
<file path=[Content_Types].xml><?xml version="1.0" encoding="utf-8"?>
<Types xmlns="http://schemas.openxmlformats.org/package/2006/content-types">
  <Override PartName="/xl/worksheets/sheet13.xml" ContentType="application/vnd.openxmlformats-officedocument.spreadsheetml.worksheet+xml"/>
  <Override PartName="/xl/externalLinks/externalLink9.xml" ContentType="application/vnd.openxmlformats-officedocument.spreadsheetml.externalLink+xml"/>
  <Override PartName="/xl/externalLinks/externalLink38.xml" ContentType="application/vnd.openxmlformats-officedocument.spreadsheetml.externalLink+xml"/>
  <Override PartName="/xl/styles.xml" ContentType="application/vnd.openxmlformats-officedocument.spreadsheetml.styles+xml"/>
  <Override PartName="/xl/drawings/drawing6.xml" ContentType="application/vnd.openxmlformats-officedocument.drawing+xml"/>
  <Override PartName="/xl/charts/chart4.xml" ContentType="application/vnd.openxmlformats-officedocument.drawingml.chart+xml"/>
  <Override PartName="/xl/comments8.xml" ContentType="application/vnd.openxmlformats-officedocument.spreadsheetml.comments+xml"/>
  <Override PartName="/xl/worksheets/sheet7.xml" ContentType="application/vnd.openxmlformats-officedocument.spreadsheetml.worksheet+xml"/>
  <Override PartName="/xl/externalLinks/externalLink27.xml" ContentType="application/vnd.openxmlformats-officedocument.spreadsheetml.externalLink+xml"/>
  <Override PartName="/xl/embeddings/oleObject4.bin" ContentType="application/vnd.openxmlformats-officedocument.oleObject"/>
  <Override PartName="/xl/drawings/drawing17.xml" ContentType="application/vnd.openxmlformats-officedocument.drawing+xml"/>
  <Override PartName="/xl/vbaProject.bin" ContentType="application/vnd.ms-office.vbaProject"/>
  <Default Extension="xml" ContentType="application/xml"/>
  <Override PartName="/xl/externalLinks/externalLink5.xml" ContentType="application/vnd.openxmlformats-officedocument.spreadsheetml.externalLink+xml"/>
  <Override PartName="/xl/externalLinks/externalLink16.xml" ContentType="application/vnd.openxmlformats-officedocument.spreadsheetml.externalLink+xml"/>
  <Override PartName="/xl/externalLinks/externalLink34.xml" ContentType="application/vnd.openxmlformats-officedocument.spreadsheetml.externalLink+xml"/>
  <Override PartName="/xl/drawings/drawing2.xml" ContentType="application/vnd.openxmlformats-officedocument.drawing+xml"/>
  <Override PartName="/xl/comments4.xml" ContentType="application/vnd.openxmlformats-officedocument.spreadsheetml.comments+xml"/>
  <Override PartName="/xl/worksheets/sheet3.xml" ContentType="application/vnd.openxmlformats-officedocument.spreadsheetml.worksheet+xml"/>
  <Override PartName="/xl/externalLinks/externalLink23.xml" ContentType="application/vnd.openxmlformats-officedocument.spreadsheetml.externalLink+xml"/>
  <Override PartName="/xl/drawings/drawing13.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12.xml" ContentType="application/vnd.openxmlformats-officedocument.spreadsheetml.externalLink+xml"/>
  <Override PartName="/xl/externalLinks/externalLink21.xml" ContentType="application/vnd.openxmlformats-officedocument.spreadsheetml.externalLink+xml"/>
  <Override PartName="/xl/externalLinks/externalLink30.xml" ContentType="application/vnd.openxmlformats-officedocument.spreadsheetml.externalLink+xml"/>
  <Override PartName="/xl/drawings/drawing11.xml" ContentType="application/vnd.openxmlformats-officedocument.drawingml.chartshapes+xml"/>
  <Override PartName="/xl/charts/chart16.xml" ContentType="application/vnd.openxmlformats-officedocument.drawingml.chart+xml"/>
  <Override PartName="/xl/drawings/drawing20.xml" ContentType="application/vnd.openxmlformats-officedocument.drawingml.chartshapes+xml"/>
  <Override PartName="/xl/externalLinks/externalLink10.xml" ContentType="application/vnd.openxmlformats-officedocument.spreadsheetml.externalLink+xml"/>
  <Override PartName="/xl/sharedStrings.xml" ContentType="application/vnd.openxmlformats-officedocument.spreadsheetml.sharedStrings+xml"/>
  <Override PartName="/xl/charts/chart14.xml" ContentType="application/vnd.openxmlformats-officedocument.drawingml.chart+xml"/>
  <Override PartName="/xl/comments12.xml" ContentType="application/vnd.openxmlformats-officedocument.spreadsheetml.comments+xml"/>
  <Override PartName="/xl/charts/chart9.xml" ContentType="application/vnd.openxmlformats-officedocument.drawingml.chart+xml"/>
  <Override PartName="/xl/comments10.xml" ContentType="application/vnd.openxmlformats-officedocument.spreadsheetml.comments+xml"/>
  <Override PartName="/xl/charts/chart12.xml" ContentType="application/vnd.openxmlformats-officedocument.drawingml.chart+xml"/>
  <Default Extension="bin" ContentType="application/vnd.openxmlformats-officedocument.spreadsheetml.printerSettings"/>
  <Override PartName="/xl/charts/chart7.xml" ContentType="application/vnd.openxmlformats-officedocument.drawingml.chart+xml"/>
  <Override PartName="/xl/drawings/drawing9.xml" ContentType="application/vnd.openxmlformats-officedocument.drawing+xml"/>
  <Override PartName="/xl/charts/chart10.xml" ContentType="application/vnd.openxmlformats-officedocument.drawingml.chart+xml"/>
  <Override PartName="/xl/externalLinks/externalLink8.xml" ContentType="application/vnd.openxmlformats-officedocument.spreadsheetml.externalLink+xml"/>
  <Override PartName="/xl/externalLinks/externalLink19.xml" ContentType="application/vnd.openxmlformats-officedocument.spreadsheetml.externalLink+xml"/>
  <Override PartName="/xl/externalLinks/externalLink39.xml" ContentType="application/vnd.openxmlformats-officedocument.spreadsheetml.externalLink+xml"/>
  <Override PartName="/xl/drawings/drawing7.xml" ContentType="application/vnd.openxmlformats-officedocument.drawing+xml"/>
  <Override PartName="/xl/charts/chart5.xml" ContentType="application/vnd.openxmlformats-officedocument.drawingml.chart+xml"/>
  <Override PartName="/xl/comments9.xml" ContentType="application/vnd.openxmlformats-officedocument.spreadsheetml.comment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externalLinks/externalLink6.xml" ContentType="application/vnd.openxmlformats-officedocument.spreadsheetml.externalLink+xml"/>
  <Override PartName="/xl/externalLinks/externalLink17.xml" ContentType="application/vnd.openxmlformats-officedocument.spreadsheetml.externalLink+xml"/>
  <Override PartName="/xl/externalLinks/externalLink28.xml" ContentType="application/vnd.openxmlformats-officedocument.spreadsheetml.externalLink+xml"/>
  <Override PartName="/xl/externalLinks/externalLink37.xml" ContentType="application/vnd.openxmlformats-officedocument.spreadsheetml.externalLink+xml"/>
  <Default Extension="emf" ContentType="image/x-emf"/>
  <Override PartName="/xl/drawings/drawing5.xml" ContentType="application/vnd.openxmlformats-officedocument.drawingml.chartshapes+xml"/>
  <Override PartName="/xl/charts/chart3.xml" ContentType="application/vnd.openxmlformats-officedocument.drawingml.chart+xml"/>
  <Override PartName="/xl/comments7.xml" ContentType="application/vnd.openxmlformats-officedocument.spreadsheetml.comments+xml"/>
  <Override PartName="/xl/embeddings/oleObject3.bin" ContentType="application/vnd.openxmlformats-officedocument.oleObject"/>
  <Override PartName="/xl/drawings/drawing18.xml" ContentType="application/vnd.openxmlformats-officedocument.drawingml.chartshap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externalLinks/externalLink15.xml" ContentType="application/vnd.openxmlformats-officedocument.spreadsheetml.externalLink+xml"/>
  <Override PartName="/xl/externalLinks/externalLink24.xml" ContentType="application/vnd.openxmlformats-officedocument.spreadsheetml.externalLink+xml"/>
  <Override PartName="/xl/externalLinks/externalLink26.xml" ContentType="application/vnd.openxmlformats-officedocument.spreadsheetml.externalLink+xml"/>
  <Override PartName="/xl/externalLinks/externalLink35.xml" ContentType="application/vnd.openxmlformats-officedocument.spreadsheetml.externalLink+xml"/>
  <Override PartName="/xl/charts/chart1.xml" ContentType="application/vnd.openxmlformats-officedocument.drawingml.chart+xml"/>
  <Override PartName="/xl/drawings/drawing3.xml" ContentType="application/vnd.openxmlformats-officedocument.drawingml.chartshapes+xml"/>
  <Override PartName="/xl/embeddings/oleObject1.bin" ContentType="application/vnd.openxmlformats-officedocument.oleObject"/>
  <Override PartName="/xl/comments5.xml" ContentType="application/vnd.openxmlformats-officedocument.spreadsheetml.comments+xml"/>
  <Override PartName="/xl/drawings/drawing16.xml" ContentType="application/vnd.openxmlformats-officedocument.drawingml.chartshap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externalLinks/externalLink13.xml" ContentType="application/vnd.openxmlformats-officedocument.spreadsheetml.externalLink+xml"/>
  <Override PartName="/xl/externalLinks/externalLink22.xml" ContentType="application/vnd.openxmlformats-officedocument.spreadsheetml.externalLink+xml"/>
  <Override PartName="/xl/externalLinks/externalLink33.xml" ContentType="application/vnd.openxmlformats-officedocument.spreadsheetml.externalLink+xml"/>
  <Override PartName="/xl/drawings/drawing1.xml" ContentType="application/vnd.openxmlformats-officedocument.drawing+xml"/>
  <Override PartName="/xl/comments3.xml" ContentType="application/vnd.openxmlformats-officedocument.spreadsheetml.comments+xml"/>
  <Override PartName="/xl/drawings/drawing14.xml" ContentType="application/vnd.openxmlformats-officedocument.drawingml.chartshapes+xml"/>
  <Override PartName="/xl/charts/chart19.xml" ContentType="application/vnd.openxmlformats-officedocument.drawingml.chart+xml"/>
  <Override PartName="/xl/externalLinks/externalLink11.xml" ContentType="application/vnd.openxmlformats-officedocument.spreadsheetml.externalLink+xml"/>
  <Override PartName="/xl/externalLinks/externalLink20.xml" ContentType="application/vnd.openxmlformats-officedocument.spreadsheetml.externalLink+xml"/>
  <Override PartName="/xl/externalLinks/externalLink31.xml" ContentType="application/vnd.openxmlformats-officedocument.spreadsheetml.externalLink+xml"/>
  <Override PartName="/xl/externalLinks/externalLink40.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drawings/drawing21.xml" ContentType="application/vnd.openxmlformats-officedocument.drawing+xml"/>
  <Override PartName="/xl/calcChain.xml" ContentType="application/vnd.openxmlformats-officedocument.spreadsheetml.calcChain+xml"/>
  <Override PartName="/xl/drawings/drawing10.xml" ContentType="application/vnd.openxmlformats-officedocument.drawing+xml"/>
  <Override PartName="/xl/charts/chart13.xml" ContentType="application/vnd.openxmlformats-officedocument.drawingml.chart+xml"/>
  <Override PartName="/xl/charts/chart15.xml" ContentType="application/vnd.openxmlformats-officedocument.drawingml.chart+xml"/>
  <Override PartName="/xl/comments13.xml" ContentType="application/vnd.openxmlformats-officedocument.spreadsheetml.comments+xml"/>
  <Override PartName="/xl/charts/chart8.xml" ContentType="application/vnd.openxmlformats-officedocument.drawingml.chart+xml"/>
  <Override PartName="/xl/charts/chart11.xml" ContentType="application/vnd.openxmlformats-officedocument.drawingml.chart+xml"/>
  <Override PartName="/xl/comments11.xml" ContentType="application/vnd.openxmlformats-officedocument.spreadsheetml.comments+xml"/>
  <Override PartName="/docProps/core.xml" ContentType="application/vnd.openxmlformats-package.core-properties+xml"/>
  <Override PartName="/xl/charts/chart6.xml" ContentType="application/vnd.openxmlformats-officedocument.drawingml.chart+xml"/>
  <Override PartName="/xl/charts/chart20.xml" ContentType="application/vnd.openxmlformats-officedocument.drawingml.chart+xml"/>
  <Override PartName="/xl/worksheets/sheet9.xml" ContentType="application/vnd.openxmlformats-officedocument.spreadsheetml.worksheet+xml"/>
  <Override PartName="/xl/externalLinks/externalLink29.xml" ContentType="application/vnd.openxmlformats-officedocument.spreadsheetml.externalLink+xml"/>
  <Override PartName="/xl/theme/theme1.xml" ContentType="application/vnd.openxmlformats-officedocument.theme+xml"/>
  <Override PartName="/xl/drawings/drawing8.xml" ContentType="application/vnd.openxmlformats-officedocument.drawingml.chartshapes+xml"/>
  <Override PartName="/xl/drawings/drawing19.xml" ContentType="application/vnd.openxmlformats-officedocument.drawing+xml"/>
  <Override PartName="/xl/worksheets/sheet11.xml" ContentType="application/vnd.openxmlformats-officedocument.spreadsheetml.worksheet+xml"/>
  <Override PartName="/xl/externalLinks/externalLink7.xml" ContentType="application/vnd.openxmlformats-officedocument.spreadsheetml.externalLink+xml"/>
  <Override PartName="/xl/externalLinks/externalLink18.xml" ContentType="application/vnd.openxmlformats-officedocument.spreadsheetml.externalLink+xml"/>
  <Override PartName="/xl/externalLinks/externalLink36.xml" ContentType="application/vnd.openxmlformats-officedocument.spreadsheetml.externalLink+xml"/>
  <Override PartName="/xl/drawings/drawing4.xml" ContentType="application/vnd.openxmlformats-officedocument.drawing+xml"/>
  <Override PartName="/xl/charts/chart2.xml" ContentType="application/vnd.openxmlformats-officedocument.drawingml.chart+xml"/>
  <Override PartName="/xl/comments6.xml" ContentType="application/vnd.openxmlformats-officedocument.spreadsheetml.comments+xml"/>
  <Default Extension="rels" ContentType="application/vnd.openxmlformats-package.relationships+xml"/>
  <Override PartName="/xl/worksheets/sheet5.xml" ContentType="application/vnd.openxmlformats-officedocument.spreadsheetml.worksheet+xml"/>
  <Override PartName="/xl/externalLinks/externalLink25.xml" ContentType="application/vnd.openxmlformats-officedocument.spreadsheetml.externalLink+xml"/>
  <Override PartName="/xl/embeddings/oleObject2.bin" ContentType="application/vnd.openxmlformats-officedocument.oleObject"/>
  <Override PartName="/xl/drawings/drawing15.xml" ContentType="application/vnd.openxmlformats-officedocument.drawing+xml"/>
  <Override PartName="/xl/externalLinks/externalLink3.xml" ContentType="application/vnd.openxmlformats-officedocument.spreadsheetml.externalLink+xml"/>
  <Override PartName="/xl/externalLinks/externalLink14.xml" ContentType="application/vnd.openxmlformats-officedocument.spreadsheetml.externalLink+xml"/>
  <Override PartName="/xl/externalLinks/externalLink32.xml" ContentType="application/vnd.openxmlformats-officedocument.spreadsheetml.externalLink+xml"/>
  <Override PartName="/xl/comments2.xml" ContentType="application/vnd.openxmlformats-officedocument.spreadsheetml.comments+xml"/>
  <Override PartName="/xl/charts/chart18.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updateLinks="never" codeName="ThisWorkbook" defaultThemeVersion="124226"/>
  <bookViews>
    <workbookView xWindow="0" yWindow="120" windowWidth="9915" windowHeight="3495"/>
  </bookViews>
  <sheets>
    <sheet name="Intro" sheetId="5" r:id="rId1"/>
    <sheet name="Precision two" sheetId="40" r:id="rId2"/>
    <sheet name="Precision paired" sheetId="41" r:id="rId3"/>
    <sheet name="See r" sheetId="47" r:id="rId4"/>
    <sheet name="Scatterplots" sheetId="53" r:id="rId5"/>
    <sheet name="One correlation" sheetId="49" r:id="rId6"/>
    <sheet name="Two correlations" sheetId="50" r:id="rId7"/>
    <sheet name="One proportion" sheetId="51" r:id="rId8"/>
    <sheet name="Two proportions" sheetId="52" r:id="rId9"/>
    <sheet name="Ind groups comparisons" sheetId="43" r:id="rId10"/>
    <sheet name="Ind groups contrasts" sheetId="44" r:id="rId11"/>
    <sheet name="Ind groups 2 x 2" sheetId="45" r:id="rId12"/>
    <sheet name="Robust two" sheetId="46"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s>
  <definedNames>
    <definedName name="_big1" localSheetId="11">'[1]MA  Standardised units'!$AG$6:$AH$6</definedName>
    <definedName name="_big1" localSheetId="9">'[1]MA  Standardised units'!$AG$6:$AH$6</definedName>
    <definedName name="_big1" localSheetId="10">'[1]MA  Standardised units'!$AG$6:$AH$6</definedName>
    <definedName name="_big1" localSheetId="5">'[1]MA  Standardised units'!$AG$6:$AH$6</definedName>
    <definedName name="_big1" localSheetId="7">'[1]MA  Standardised units'!$AG$6:$AH$6</definedName>
    <definedName name="_big1" localSheetId="12">'[2]MA  Standardised units'!$AG$6:$AH$6</definedName>
    <definedName name="_big1" localSheetId="4">'[1]MA  Standardised units'!$AG$6:$AH$6</definedName>
    <definedName name="_big1" localSheetId="3">'[1]MA  Standardised units'!$AG$6:$AH$6</definedName>
    <definedName name="_big1" localSheetId="6">'[1]MA  Standardised units'!$AG$6:$AH$6</definedName>
    <definedName name="_big1" localSheetId="8">'[1]MA  Standardised units'!$AG$6:$AH$6</definedName>
    <definedName name="_big1">'[3]MA  Standardised units'!$AG$6:$AH$6</definedName>
    <definedName name="_big10" localSheetId="11">'[1]MA  Standardised units'!$AG$15:$AH$15</definedName>
    <definedName name="_big10" localSheetId="9">'[1]MA  Standardised units'!$AG$15:$AH$15</definedName>
    <definedName name="_big10" localSheetId="10">'[1]MA  Standardised units'!$AG$15:$AH$15</definedName>
    <definedName name="_big10" localSheetId="5">'[1]MA  Standardised units'!$AG$15:$AH$15</definedName>
    <definedName name="_big10" localSheetId="7">'[1]MA  Standardised units'!$AG$15:$AH$15</definedName>
    <definedName name="_big10" localSheetId="12">'[2]MA  Standardised units'!$AG$15:$AH$15</definedName>
    <definedName name="_big10" localSheetId="4">'[1]MA  Standardised units'!$AG$15:$AH$15</definedName>
    <definedName name="_big10" localSheetId="3">'[1]MA  Standardised units'!$AG$15:$AH$15</definedName>
    <definedName name="_big10" localSheetId="6">'[1]MA  Standardised units'!$AG$15:$AH$15</definedName>
    <definedName name="_big10" localSheetId="8">'[1]MA  Standardised units'!$AG$15:$AH$15</definedName>
    <definedName name="_big10">'[3]MA  Standardised units'!$AG$15:$AH$15</definedName>
    <definedName name="_big11" localSheetId="11">'[1]MA  Standardised units'!$AG$18:$AH$18</definedName>
    <definedName name="_big11" localSheetId="9">'[1]MA  Standardised units'!$AG$18:$AH$18</definedName>
    <definedName name="_big11" localSheetId="10">'[1]MA  Standardised units'!$AG$18:$AH$18</definedName>
    <definedName name="_big11" localSheetId="5">'[1]MA  Standardised units'!$AG$18:$AH$18</definedName>
    <definedName name="_big11" localSheetId="7">'[1]MA  Standardised units'!$AG$18:$AH$18</definedName>
    <definedName name="_big11" localSheetId="12">'[2]MA  Standardised units'!$AG$18:$AH$18</definedName>
    <definedName name="_big11" localSheetId="4">'[1]MA  Standardised units'!$AG$18:$AH$18</definedName>
    <definedName name="_big11" localSheetId="3">'[1]MA  Standardised units'!$AG$18:$AH$18</definedName>
    <definedName name="_big11" localSheetId="6">'[1]MA  Standardised units'!$AG$18:$AH$18</definedName>
    <definedName name="_big11" localSheetId="8">'[1]MA  Standardised units'!$AG$18:$AH$18</definedName>
    <definedName name="_big11">'[3]MA  Standardised units'!$AG$18:$AH$18</definedName>
    <definedName name="_big12" localSheetId="11">'[1]MA  Standardised units'!$AG$21:$AH$21</definedName>
    <definedName name="_big12" localSheetId="9">'[1]MA  Standardised units'!$AG$21:$AH$21</definedName>
    <definedName name="_big12" localSheetId="10">'[1]MA  Standardised units'!$AG$21:$AH$21</definedName>
    <definedName name="_big12" localSheetId="5">'[1]MA  Standardised units'!$AG$21:$AH$21</definedName>
    <definedName name="_big12" localSheetId="7">'[1]MA  Standardised units'!$AG$21:$AH$21</definedName>
    <definedName name="_big12" localSheetId="12">'[2]MA  Standardised units'!$AG$21:$AH$21</definedName>
    <definedName name="_big12" localSheetId="4">'[1]MA  Standardised units'!$AG$21:$AH$21</definedName>
    <definedName name="_big12" localSheetId="3">'[1]MA  Standardised units'!$AG$21:$AH$21</definedName>
    <definedName name="_big12" localSheetId="6">'[1]MA  Standardised units'!$AG$21:$AH$21</definedName>
    <definedName name="_big12" localSheetId="8">'[1]MA  Standardised units'!$AG$21:$AH$21</definedName>
    <definedName name="_big12">'[3]MA  Standardised units'!$AG$21:$AH$21</definedName>
    <definedName name="_big13" localSheetId="11">'[1]MA  Standardised units'!$AG$24:$AH$24</definedName>
    <definedName name="_big13" localSheetId="9">'[1]MA  Standardised units'!$AG$24:$AH$24</definedName>
    <definedName name="_big13" localSheetId="10">'[1]MA  Standardised units'!$AG$24:$AH$24</definedName>
    <definedName name="_big13" localSheetId="5">'[1]MA  Standardised units'!$AG$24:$AH$24</definedName>
    <definedName name="_big13" localSheetId="7">'[1]MA  Standardised units'!$AG$24:$AH$24</definedName>
    <definedName name="_big13" localSheetId="12">'[2]MA  Standardised units'!$AG$24:$AH$24</definedName>
    <definedName name="_big13" localSheetId="4">'[1]MA  Standardised units'!$AG$24:$AH$24</definedName>
    <definedName name="_big13" localSheetId="3">'[1]MA  Standardised units'!$AG$24:$AH$24</definedName>
    <definedName name="_big13" localSheetId="6">'[1]MA  Standardised units'!$AG$24:$AH$24</definedName>
    <definedName name="_big13" localSheetId="8">'[1]MA  Standardised units'!$AG$24:$AH$24</definedName>
    <definedName name="_big13">'[3]MA  Standardised units'!$AG$24:$AH$24</definedName>
    <definedName name="_big2" localSheetId="11">'[1]MA  Standardised units'!$AG$7:$AH$7</definedName>
    <definedName name="_big2" localSheetId="9">'[1]MA  Standardised units'!$AG$7:$AH$7</definedName>
    <definedName name="_big2" localSheetId="10">'[1]MA  Standardised units'!$AG$7:$AH$7</definedName>
    <definedName name="_big2" localSheetId="5">'[1]MA  Standardised units'!$AG$7:$AH$7</definedName>
    <definedName name="_big2" localSheetId="7">'[1]MA  Standardised units'!$AG$7:$AH$7</definedName>
    <definedName name="_big2" localSheetId="12">'[2]MA  Standardised units'!$AG$7:$AH$7</definedName>
    <definedName name="_big2" localSheetId="4">'[1]MA  Standardised units'!$AG$7:$AH$7</definedName>
    <definedName name="_big2" localSheetId="3">'[1]MA  Standardised units'!$AG$7:$AH$7</definedName>
    <definedName name="_big2" localSheetId="6">'[1]MA  Standardised units'!$AG$7:$AH$7</definedName>
    <definedName name="_big2" localSheetId="8">'[1]MA  Standardised units'!$AG$7:$AH$7</definedName>
    <definedName name="_big2">'[3]MA  Standardised units'!$AG$7:$AH$7</definedName>
    <definedName name="_big3" localSheetId="11">'[1]MA  Standardised units'!$AG$8:$AH$8</definedName>
    <definedName name="_big3" localSheetId="9">'[1]MA  Standardised units'!$AG$8:$AH$8</definedName>
    <definedName name="_big3" localSheetId="10">'[1]MA  Standardised units'!$AG$8:$AH$8</definedName>
    <definedName name="_big3" localSheetId="5">'[1]MA  Standardised units'!$AG$8:$AH$8</definedName>
    <definedName name="_big3" localSheetId="7">'[1]MA  Standardised units'!$AG$8:$AH$8</definedName>
    <definedName name="_big3" localSheetId="12">'[2]MA  Standardised units'!$AG$8:$AH$8</definedName>
    <definedName name="_big3" localSheetId="4">'[1]MA  Standardised units'!$AG$8:$AH$8</definedName>
    <definedName name="_big3" localSheetId="3">'[1]MA  Standardised units'!$AG$8:$AH$8</definedName>
    <definedName name="_big3" localSheetId="6">'[1]MA  Standardised units'!$AG$8:$AH$8</definedName>
    <definedName name="_big3" localSheetId="8">'[1]MA  Standardised units'!$AG$8:$AH$8</definedName>
    <definedName name="_big3">'[3]MA  Standardised units'!$AG$8:$AH$8</definedName>
    <definedName name="_big4" localSheetId="11">'[1]MA  Standardised units'!$AG$9:$AH$9</definedName>
    <definedName name="_big4" localSheetId="9">'[1]MA  Standardised units'!$AG$9:$AH$9</definedName>
    <definedName name="_big4" localSheetId="10">'[1]MA  Standardised units'!$AG$9:$AH$9</definedName>
    <definedName name="_big4" localSheetId="5">'[1]MA  Standardised units'!$AG$9:$AH$9</definedName>
    <definedName name="_big4" localSheetId="7">'[1]MA  Standardised units'!$AG$9:$AH$9</definedName>
    <definedName name="_big4" localSheetId="12">'[2]MA  Standardised units'!$AG$9:$AH$9</definedName>
    <definedName name="_big4" localSheetId="4">'[1]MA  Standardised units'!$AG$9:$AH$9</definedName>
    <definedName name="_big4" localSheetId="3">'[1]MA  Standardised units'!$AG$9:$AH$9</definedName>
    <definedName name="_big4" localSheetId="6">'[1]MA  Standardised units'!$AG$9:$AH$9</definedName>
    <definedName name="_big4" localSheetId="8">'[1]MA  Standardised units'!$AG$9:$AH$9</definedName>
    <definedName name="_big4">'[3]MA  Standardised units'!$AG$9:$AH$9</definedName>
    <definedName name="_big5" localSheetId="11">'[1]MA  Standardised units'!$AG$10:$AH$10</definedName>
    <definedName name="_big5" localSheetId="9">'[1]MA  Standardised units'!$AG$10:$AH$10</definedName>
    <definedName name="_big5" localSheetId="10">'[1]MA  Standardised units'!$AG$10:$AH$10</definedName>
    <definedName name="_big5" localSheetId="5">'[1]MA  Standardised units'!$AG$10:$AH$10</definedName>
    <definedName name="_big5" localSheetId="7">'[1]MA  Standardised units'!$AG$10:$AH$10</definedName>
    <definedName name="_big5" localSheetId="12">'[2]MA  Standardised units'!$AG$10:$AH$10</definedName>
    <definedName name="_big5" localSheetId="4">'[1]MA  Standardised units'!$AG$10:$AH$10</definedName>
    <definedName name="_big5" localSheetId="3">'[1]MA  Standardised units'!$AG$10:$AH$10</definedName>
    <definedName name="_big5" localSheetId="6">'[1]MA  Standardised units'!$AG$10:$AH$10</definedName>
    <definedName name="_big5" localSheetId="8">'[1]MA  Standardised units'!$AG$10:$AH$10</definedName>
    <definedName name="_big5">'[3]MA  Standardised units'!$AG$10:$AH$10</definedName>
    <definedName name="_big6" localSheetId="11">'[1]MA  Standardised units'!$AG$11:$AH$11</definedName>
    <definedName name="_big6" localSheetId="9">'[1]MA  Standardised units'!$AG$11:$AH$11</definedName>
    <definedName name="_big6" localSheetId="10">'[1]MA  Standardised units'!$AG$11:$AH$11</definedName>
    <definedName name="_big6" localSheetId="5">'[1]MA  Standardised units'!$AG$11:$AH$11</definedName>
    <definedName name="_big6" localSheetId="7">'[1]MA  Standardised units'!$AG$11:$AH$11</definedName>
    <definedName name="_big6" localSheetId="12">'[2]MA  Standardised units'!$AG$11:$AH$11</definedName>
    <definedName name="_big6" localSheetId="4">'[1]MA  Standardised units'!$AG$11:$AH$11</definedName>
    <definedName name="_big6" localSheetId="3">'[1]MA  Standardised units'!$AG$11:$AH$11</definedName>
    <definedName name="_big6" localSheetId="6">'[1]MA  Standardised units'!$AG$11:$AH$11</definedName>
    <definedName name="_big6" localSheetId="8">'[1]MA  Standardised units'!$AG$11:$AH$11</definedName>
    <definedName name="_big6">'[3]MA  Standardised units'!$AG$11:$AH$11</definedName>
    <definedName name="_big7" localSheetId="11">'[1]MA  Standardised units'!$AG$12:$AH$12</definedName>
    <definedName name="_big7" localSheetId="9">'[1]MA  Standardised units'!$AG$12:$AH$12</definedName>
    <definedName name="_big7" localSheetId="10">'[1]MA  Standardised units'!$AG$12:$AH$12</definedName>
    <definedName name="_big7" localSheetId="5">'[1]MA  Standardised units'!$AG$12:$AH$12</definedName>
    <definedName name="_big7" localSheetId="7">'[1]MA  Standardised units'!$AG$12:$AH$12</definedName>
    <definedName name="_big7" localSheetId="12">'[2]MA  Standardised units'!$AG$12:$AH$12</definedName>
    <definedName name="_big7" localSheetId="4">'[1]MA  Standardised units'!$AG$12:$AH$12</definedName>
    <definedName name="_big7" localSheetId="3">'[1]MA  Standardised units'!$AG$12:$AH$12</definedName>
    <definedName name="_big7" localSheetId="6">'[1]MA  Standardised units'!$AG$12:$AH$12</definedName>
    <definedName name="_big7" localSheetId="8">'[1]MA  Standardised units'!$AG$12:$AH$12</definedName>
    <definedName name="_big7">'[3]MA  Standardised units'!$AG$12:$AH$12</definedName>
    <definedName name="_big8" localSheetId="11">'[1]MA  Standardised units'!$AG$13:$AH$13</definedName>
    <definedName name="_big8" localSheetId="9">'[1]MA  Standardised units'!$AG$13:$AH$13</definedName>
    <definedName name="_big8" localSheetId="10">'[1]MA  Standardised units'!$AG$13:$AH$13</definedName>
    <definedName name="_big8" localSheetId="5">'[1]MA  Standardised units'!$AG$13:$AH$13</definedName>
    <definedName name="_big8" localSheetId="7">'[1]MA  Standardised units'!$AG$13:$AH$13</definedName>
    <definedName name="_big8" localSheetId="12">'[2]MA  Standardised units'!$AG$13:$AH$13</definedName>
    <definedName name="_big8" localSheetId="4">'[1]MA  Standardised units'!$AG$13:$AH$13</definedName>
    <definedName name="_big8" localSheetId="3">'[1]MA  Standardised units'!$AG$13:$AH$13</definedName>
    <definedName name="_big8" localSheetId="6">'[1]MA  Standardised units'!$AG$13:$AH$13</definedName>
    <definedName name="_big8" localSheetId="8">'[1]MA  Standardised units'!$AG$13:$AH$13</definedName>
    <definedName name="_big8">'[3]MA  Standardised units'!$AG$13:$AH$13</definedName>
    <definedName name="_big9" localSheetId="11">'[1]MA  Standardised units'!$AG$14:$AH$14</definedName>
    <definedName name="_big9" localSheetId="9">'[1]MA  Standardised units'!$AG$14:$AH$14</definedName>
    <definedName name="_big9" localSheetId="10">'[1]MA  Standardised units'!$AG$14:$AH$14</definedName>
    <definedName name="_big9" localSheetId="5">'[1]MA  Standardised units'!$AG$14:$AH$14</definedName>
    <definedName name="_big9" localSheetId="7">'[1]MA  Standardised units'!$AG$14:$AH$14</definedName>
    <definedName name="_big9" localSheetId="12">'[2]MA  Standardised units'!$AG$14:$AH$14</definedName>
    <definedName name="_big9" localSheetId="4">'[1]MA  Standardised units'!$AG$14:$AH$14</definedName>
    <definedName name="_big9" localSheetId="3">'[1]MA  Standardised units'!$AG$14:$AH$14</definedName>
    <definedName name="_big9" localSheetId="6">'[1]MA  Standardised units'!$AG$14:$AH$14</definedName>
    <definedName name="_big9" localSheetId="8">'[1]MA  Standardised units'!$AG$14:$AH$14</definedName>
    <definedName name="_big9">'[3]MA  Standardised units'!$AG$14:$AH$14</definedName>
    <definedName name="_cid1" localSheetId="11">'[1]MA  Standardised units'!$J$6</definedName>
    <definedName name="_cid1" localSheetId="9">'[1]MA  Standardised units'!$J$6</definedName>
    <definedName name="_cid1" localSheetId="10">'[1]MA  Standardised units'!$J$6</definedName>
    <definedName name="_cid1" localSheetId="5">'[1]MA  Standardised units'!$J$6</definedName>
    <definedName name="_cid1" localSheetId="7">'[1]MA  Standardised units'!$J$6</definedName>
    <definedName name="_cid1" localSheetId="12">'[2]MA  Standardised units'!$J$6</definedName>
    <definedName name="_cid1" localSheetId="4">'[1]MA  Standardised units'!$J$6</definedName>
    <definedName name="_cid1" localSheetId="3">'[1]MA  Standardised units'!$J$6</definedName>
    <definedName name="_cid1" localSheetId="6">'[1]MA  Standardised units'!$J$6</definedName>
    <definedName name="_cid1" localSheetId="8">'[1]MA  Standardised units'!$J$6</definedName>
    <definedName name="_cid1">'[3]MA  Standardised units'!$J$6</definedName>
    <definedName name="_cid10" localSheetId="11">'[1]MA  Standardised units'!$J$15</definedName>
    <definedName name="_cid10" localSheetId="9">'[1]MA  Standardised units'!$J$15</definedName>
    <definedName name="_cid10" localSheetId="10">'[1]MA  Standardised units'!$J$15</definedName>
    <definedName name="_cid10" localSheetId="5">'[1]MA  Standardised units'!$J$15</definedName>
    <definedName name="_cid10" localSheetId="7">'[1]MA  Standardised units'!$J$15</definedName>
    <definedName name="_cid10" localSheetId="12">'[2]MA  Standardised units'!$J$15</definedName>
    <definedName name="_cid10" localSheetId="4">'[1]MA  Standardised units'!$J$15</definedName>
    <definedName name="_cid10" localSheetId="3">'[1]MA  Standardised units'!$J$15</definedName>
    <definedName name="_cid10" localSheetId="6">'[1]MA  Standardised units'!$J$15</definedName>
    <definedName name="_cid10" localSheetId="8">'[1]MA  Standardised units'!$J$15</definedName>
    <definedName name="_cid10">'[3]MA  Standardised units'!$J$15</definedName>
    <definedName name="_cid11" localSheetId="11">'[1]MA  Standardised units'!$J$18</definedName>
    <definedName name="_cid11" localSheetId="9">'[1]MA  Standardised units'!$J$18</definedName>
    <definedName name="_cid11" localSheetId="10">'[1]MA  Standardised units'!$J$18</definedName>
    <definedName name="_cid11" localSheetId="5">'[1]MA  Standardised units'!$J$18</definedName>
    <definedName name="_cid11" localSheetId="7">'[1]MA  Standardised units'!$J$18</definedName>
    <definedName name="_cid11" localSheetId="12">'[2]MA  Standardised units'!$J$18</definedName>
    <definedName name="_cid11" localSheetId="4">'[1]MA  Standardised units'!$J$18</definedName>
    <definedName name="_cid11" localSheetId="3">'[1]MA  Standardised units'!$J$18</definedName>
    <definedName name="_cid11" localSheetId="6">'[1]MA  Standardised units'!$J$18</definedName>
    <definedName name="_cid11" localSheetId="8">'[1]MA  Standardised units'!$J$18</definedName>
    <definedName name="_cid11">'[3]MA  Standardised units'!$J$18</definedName>
    <definedName name="_cid12" localSheetId="11">'[1]MA  Standardised units'!$J$21</definedName>
    <definedName name="_cid12" localSheetId="9">'[1]MA  Standardised units'!$J$21</definedName>
    <definedName name="_cid12" localSheetId="10">'[1]MA  Standardised units'!$J$21</definedName>
    <definedName name="_cid12" localSheetId="5">'[1]MA  Standardised units'!$J$21</definedName>
    <definedName name="_cid12" localSheetId="7">'[1]MA  Standardised units'!$J$21</definedName>
    <definedName name="_cid12" localSheetId="12">'[2]MA  Standardised units'!$J$21</definedName>
    <definedName name="_cid12" localSheetId="4">'[1]MA  Standardised units'!$J$21</definedName>
    <definedName name="_cid12" localSheetId="3">'[1]MA  Standardised units'!$J$21</definedName>
    <definedName name="_cid12" localSheetId="6">'[1]MA  Standardised units'!$J$21</definedName>
    <definedName name="_cid12" localSheetId="8">'[1]MA  Standardised units'!$J$21</definedName>
    <definedName name="_cid12">'[3]MA  Standardised units'!$J$21</definedName>
    <definedName name="_cid13" localSheetId="11">'[1]MA  Standardised units'!$J$24</definedName>
    <definedName name="_cid13" localSheetId="9">'[1]MA  Standardised units'!$J$24</definedName>
    <definedName name="_cid13" localSheetId="10">'[1]MA  Standardised units'!$J$24</definedName>
    <definedName name="_cid13" localSheetId="5">'[1]MA  Standardised units'!$J$24</definedName>
    <definedName name="_cid13" localSheetId="7">'[1]MA  Standardised units'!$J$24</definedName>
    <definedName name="_cid13" localSheetId="12">'[2]MA  Standardised units'!$J$24</definedName>
    <definedName name="_cid13" localSheetId="4">'[1]MA  Standardised units'!$J$24</definedName>
    <definedName name="_cid13" localSheetId="3">'[1]MA  Standardised units'!$J$24</definedName>
    <definedName name="_cid13" localSheetId="6">'[1]MA  Standardised units'!$J$24</definedName>
    <definedName name="_cid13" localSheetId="8">'[1]MA  Standardised units'!$J$24</definedName>
    <definedName name="_cid13">'[3]MA  Standardised units'!$J$24</definedName>
    <definedName name="_cid2" localSheetId="11">'[1]MA  Standardised units'!$J$7</definedName>
    <definedName name="_cid2" localSheetId="9">'[1]MA  Standardised units'!$J$7</definedName>
    <definedName name="_cid2" localSheetId="10">'[1]MA  Standardised units'!$J$7</definedName>
    <definedName name="_cid2" localSheetId="5">'[1]MA  Standardised units'!$J$7</definedName>
    <definedName name="_cid2" localSheetId="7">'[1]MA  Standardised units'!$J$7</definedName>
    <definedName name="_cid2" localSheetId="12">'[2]MA  Standardised units'!$J$7</definedName>
    <definedName name="_cid2" localSheetId="4">'[1]MA  Standardised units'!$J$7</definedName>
    <definedName name="_cid2" localSheetId="3">'[1]MA  Standardised units'!$J$7</definedName>
    <definedName name="_cid2" localSheetId="6">'[1]MA  Standardised units'!$J$7</definedName>
    <definedName name="_cid2" localSheetId="8">'[1]MA  Standardised units'!$J$7</definedName>
    <definedName name="_cid2">'[3]MA  Standardised units'!$J$7</definedName>
    <definedName name="_cid3" localSheetId="11">'[1]MA  Standardised units'!$J$8</definedName>
    <definedName name="_cid3" localSheetId="9">'[1]MA  Standardised units'!$J$8</definedName>
    <definedName name="_cid3" localSheetId="10">'[1]MA  Standardised units'!$J$8</definedName>
    <definedName name="_cid3" localSheetId="5">'[1]MA  Standardised units'!$J$8</definedName>
    <definedName name="_cid3" localSheetId="7">'[1]MA  Standardised units'!$J$8</definedName>
    <definedName name="_cid3" localSheetId="12">'[2]MA  Standardised units'!$J$8</definedName>
    <definedName name="_cid3" localSheetId="4">'[1]MA  Standardised units'!$J$8</definedName>
    <definedName name="_cid3" localSheetId="3">'[1]MA  Standardised units'!$J$8</definedName>
    <definedName name="_cid3" localSheetId="6">'[1]MA  Standardised units'!$J$8</definedName>
    <definedName name="_cid3" localSheetId="8">'[1]MA  Standardised units'!$J$8</definedName>
    <definedName name="_cid3">'[3]MA  Standardised units'!$J$8</definedName>
    <definedName name="_cid4" localSheetId="11">'[1]MA  Standardised units'!$J$9</definedName>
    <definedName name="_cid4" localSheetId="9">'[1]MA  Standardised units'!$J$9</definedName>
    <definedName name="_cid4" localSheetId="10">'[1]MA  Standardised units'!$J$9</definedName>
    <definedName name="_cid4" localSheetId="5">'[1]MA  Standardised units'!$J$9</definedName>
    <definedName name="_cid4" localSheetId="7">'[1]MA  Standardised units'!$J$9</definedName>
    <definedName name="_cid4" localSheetId="12">'[2]MA  Standardised units'!$J$9</definedName>
    <definedName name="_cid4" localSheetId="4">'[1]MA  Standardised units'!$J$9</definedName>
    <definedName name="_cid4" localSheetId="3">'[1]MA  Standardised units'!$J$9</definedName>
    <definedName name="_cid4" localSheetId="6">'[1]MA  Standardised units'!$J$9</definedName>
    <definedName name="_cid4" localSheetId="8">'[1]MA  Standardised units'!$J$9</definedName>
    <definedName name="_cid4">'[3]MA  Standardised units'!$J$9</definedName>
    <definedName name="_cid5" localSheetId="11">'[1]MA  Standardised units'!$J$10</definedName>
    <definedName name="_cid5" localSheetId="9">'[1]MA  Standardised units'!$J$10</definedName>
    <definedName name="_cid5" localSheetId="10">'[1]MA  Standardised units'!$J$10</definedName>
    <definedName name="_cid5" localSheetId="5">'[1]MA  Standardised units'!$J$10</definedName>
    <definedName name="_cid5" localSheetId="7">'[1]MA  Standardised units'!$J$10</definedName>
    <definedName name="_cid5" localSheetId="12">'[2]MA  Standardised units'!$J$10</definedName>
    <definedName name="_cid5" localSheetId="4">'[1]MA  Standardised units'!$J$10</definedName>
    <definedName name="_cid5" localSheetId="3">'[1]MA  Standardised units'!$J$10</definedName>
    <definedName name="_cid5" localSheetId="6">'[1]MA  Standardised units'!$J$10</definedName>
    <definedName name="_cid5" localSheetId="8">'[1]MA  Standardised units'!$J$10</definedName>
    <definedName name="_cid5">'[3]MA  Standardised units'!$J$10</definedName>
    <definedName name="_cid6" localSheetId="11">'[1]MA  Standardised units'!$J$11</definedName>
    <definedName name="_cid6" localSheetId="9">'[1]MA  Standardised units'!$J$11</definedName>
    <definedName name="_cid6" localSheetId="10">'[1]MA  Standardised units'!$J$11</definedName>
    <definedName name="_cid6" localSheetId="5">'[1]MA  Standardised units'!$J$11</definedName>
    <definedName name="_cid6" localSheetId="7">'[1]MA  Standardised units'!$J$11</definedName>
    <definedName name="_cid6" localSheetId="12">'[2]MA  Standardised units'!$J$11</definedName>
    <definedName name="_cid6" localSheetId="4">'[1]MA  Standardised units'!$J$11</definedName>
    <definedName name="_cid6" localSheetId="3">'[1]MA  Standardised units'!$J$11</definedName>
    <definedName name="_cid6" localSheetId="6">'[1]MA  Standardised units'!$J$11</definedName>
    <definedName name="_cid6" localSheetId="8">'[1]MA  Standardised units'!$J$11</definedName>
    <definedName name="_cid6">'[3]MA  Standardised units'!$J$11</definedName>
    <definedName name="_cid7" localSheetId="11">'[1]MA  Standardised units'!$J$12</definedName>
    <definedName name="_cid7" localSheetId="9">'[1]MA  Standardised units'!$J$12</definedName>
    <definedName name="_cid7" localSheetId="10">'[1]MA  Standardised units'!$J$12</definedName>
    <definedName name="_cid7" localSheetId="5">'[1]MA  Standardised units'!$J$12</definedName>
    <definedName name="_cid7" localSheetId="7">'[1]MA  Standardised units'!$J$12</definedName>
    <definedName name="_cid7" localSheetId="12">'[2]MA  Standardised units'!$J$12</definedName>
    <definedName name="_cid7" localSheetId="4">'[1]MA  Standardised units'!$J$12</definedName>
    <definedName name="_cid7" localSheetId="3">'[1]MA  Standardised units'!$J$12</definedName>
    <definedName name="_cid7" localSheetId="6">'[1]MA  Standardised units'!$J$12</definedName>
    <definedName name="_cid7" localSheetId="8">'[1]MA  Standardised units'!$J$12</definedName>
    <definedName name="_cid7">'[3]MA  Standardised units'!$J$12</definedName>
    <definedName name="_cid8" localSheetId="11">'[1]MA  Standardised units'!$J$13</definedName>
    <definedName name="_cid8" localSheetId="9">'[1]MA  Standardised units'!$J$13</definedName>
    <definedName name="_cid8" localSheetId="10">'[1]MA  Standardised units'!$J$13</definedName>
    <definedName name="_cid8" localSheetId="5">'[1]MA  Standardised units'!$J$13</definedName>
    <definedName name="_cid8" localSheetId="7">'[1]MA  Standardised units'!$J$13</definedName>
    <definedName name="_cid8" localSheetId="12">'[2]MA  Standardised units'!$J$13</definedName>
    <definedName name="_cid8" localSheetId="4">'[1]MA  Standardised units'!$J$13</definedName>
    <definedName name="_cid8" localSheetId="3">'[1]MA  Standardised units'!$J$13</definedName>
    <definedName name="_cid8" localSheetId="6">'[1]MA  Standardised units'!$J$13</definedName>
    <definedName name="_cid8" localSheetId="8">'[1]MA  Standardised units'!$J$13</definedName>
    <definedName name="_cid8">'[3]MA  Standardised units'!$J$13</definedName>
    <definedName name="_cid9" localSheetId="11">'[1]MA  Standardised units'!$J$14</definedName>
    <definedName name="_cid9" localSheetId="9">'[1]MA  Standardised units'!$J$14</definedName>
    <definedName name="_cid9" localSheetId="10">'[1]MA  Standardised units'!$J$14</definedName>
    <definedName name="_cid9" localSheetId="5">'[1]MA  Standardised units'!$J$14</definedName>
    <definedName name="_cid9" localSheetId="7">'[1]MA  Standardised units'!$J$14</definedName>
    <definedName name="_cid9" localSheetId="12">'[2]MA  Standardised units'!$J$14</definedName>
    <definedName name="_cid9" localSheetId="4">'[1]MA  Standardised units'!$J$14</definedName>
    <definedName name="_cid9" localSheetId="3">'[1]MA  Standardised units'!$J$14</definedName>
    <definedName name="_cid9" localSheetId="6">'[1]MA  Standardised units'!$J$14</definedName>
    <definedName name="_cid9" localSheetId="8">'[1]MA  Standardised units'!$J$14</definedName>
    <definedName name="_cid9">'[3]MA  Standardised units'!$J$14</definedName>
    <definedName name="_frr1" localSheetId="11">'[4]Overlap two correlations (n1)'!$O$5</definedName>
    <definedName name="_frr1" localSheetId="9">'[4]Overlap two correlations (n1)'!$O$5</definedName>
    <definedName name="_frr1" localSheetId="10">'[4]Overlap two correlations (n1)'!$O$5</definedName>
    <definedName name="_frr1" localSheetId="5">'[4]Overlap two correlations (n1)'!$O$5</definedName>
    <definedName name="_frr1" localSheetId="7">'[4]Overlap two correlations (n1)'!$O$5</definedName>
    <definedName name="_frr1" localSheetId="12">'[5]Overlap two correlations (n1)'!$O$5</definedName>
    <definedName name="_frr1" localSheetId="4">'[4]Overlap two correlations (n1)'!$O$5</definedName>
    <definedName name="_frr1" localSheetId="3">'[4]Overlap two correlations (n1)'!$O$5</definedName>
    <definedName name="_frr1" localSheetId="6">'[4]Overlap two correlations (n1)'!$O$5</definedName>
    <definedName name="_frr1" localSheetId="8">'[4]Overlap two correlations (n1)'!$O$5</definedName>
    <definedName name="_frr1">'[4]Overlap two correlations (n1)'!$O$5</definedName>
    <definedName name="_frr10" localSheetId="11">'[4]Overlap two correlations (n1)'!$O$14</definedName>
    <definedName name="_frr10" localSheetId="9">'[4]Overlap two correlations (n1)'!$O$14</definedName>
    <definedName name="_frr10" localSheetId="10">'[4]Overlap two correlations (n1)'!$O$14</definedName>
    <definedName name="_frr10" localSheetId="5">'[4]Overlap two correlations (n1)'!$O$14</definedName>
    <definedName name="_frr10" localSheetId="7">'[4]Overlap two correlations (n1)'!$O$14</definedName>
    <definedName name="_frr10" localSheetId="12">'[5]Overlap two correlations (n1)'!$O$14</definedName>
    <definedName name="_frr10" localSheetId="4">'[4]Overlap two correlations (n1)'!$O$14</definedName>
    <definedName name="_frr10" localSheetId="3">'[4]Overlap two correlations (n1)'!$O$14</definedName>
    <definedName name="_frr10" localSheetId="6">'[4]Overlap two correlations (n1)'!$O$14</definedName>
    <definedName name="_frr10" localSheetId="8">'[4]Overlap two correlations (n1)'!$O$14</definedName>
    <definedName name="_frr10">'[4]Overlap two correlations (n1)'!$O$14</definedName>
    <definedName name="_frr11" localSheetId="11">'[4]Overlap two correlations (n1)'!$O$15</definedName>
    <definedName name="_frr11" localSheetId="9">'[4]Overlap two correlations (n1)'!$O$15</definedName>
    <definedName name="_frr11" localSheetId="10">'[4]Overlap two correlations (n1)'!$O$15</definedName>
    <definedName name="_frr11" localSheetId="5">'[4]Overlap two correlations (n1)'!$O$15</definedName>
    <definedName name="_frr11" localSheetId="7">'[4]Overlap two correlations (n1)'!$O$15</definedName>
    <definedName name="_frr11" localSheetId="12">'[5]Overlap two correlations (n1)'!$O$15</definedName>
    <definedName name="_frr11" localSheetId="4">'[4]Overlap two correlations (n1)'!$O$15</definedName>
    <definedName name="_frr11" localSheetId="3">'[4]Overlap two correlations (n1)'!$O$15</definedName>
    <definedName name="_frr11" localSheetId="6">'[4]Overlap two correlations (n1)'!$O$15</definedName>
    <definedName name="_frr11" localSheetId="8">'[4]Overlap two correlations (n1)'!$O$15</definedName>
    <definedName name="_frr11">'[4]Overlap two correlations (n1)'!$O$15</definedName>
    <definedName name="_frr12" localSheetId="11">'[4]Overlap two correlations (n1)'!$O$16</definedName>
    <definedName name="_frr12" localSheetId="9">'[4]Overlap two correlations (n1)'!$O$16</definedName>
    <definedName name="_frr12" localSheetId="10">'[4]Overlap two correlations (n1)'!$O$16</definedName>
    <definedName name="_frr12" localSheetId="5">'[4]Overlap two correlations (n1)'!$O$16</definedName>
    <definedName name="_frr12" localSheetId="7">'[4]Overlap two correlations (n1)'!$O$16</definedName>
    <definedName name="_frr12" localSheetId="12">'[5]Overlap two correlations (n1)'!$O$16</definedName>
    <definedName name="_frr12" localSheetId="4">'[4]Overlap two correlations (n1)'!$O$16</definedName>
    <definedName name="_frr12" localSheetId="3">'[4]Overlap two correlations (n1)'!$O$16</definedName>
    <definedName name="_frr12" localSheetId="6">'[4]Overlap two correlations (n1)'!$O$16</definedName>
    <definedName name="_frr12" localSheetId="8">'[4]Overlap two correlations (n1)'!$O$16</definedName>
    <definedName name="_frr12">'[4]Overlap two correlations (n1)'!$O$16</definedName>
    <definedName name="_frr13" localSheetId="11">'[4]Overlap two correlations (n1)'!$O$17</definedName>
    <definedName name="_frr13" localSheetId="9">'[4]Overlap two correlations (n1)'!$O$17</definedName>
    <definedName name="_frr13" localSheetId="10">'[4]Overlap two correlations (n1)'!$O$17</definedName>
    <definedName name="_frr13" localSheetId="5">'[4]Overlap two correlations (n1)'!$O$17</definedName>
    <definedName name="_frr13" localSheetId="7">'[4]Overlap two correlations (n1)'!$O$17</definedName>
    <definedName name="_frr13" localSheetId="12">'[5]Overlap two correlations (n1)'!$O$17</definedName>
    <definedName name="_frr13" localSheetId="4">'[4]Overlap two correlations (n1)'!$O$17</definedName>
    <definedName name="_frr13" localSheetId="3">'[4]Overlap two correlations (n1)'!$O$17</definedName>
    <definedName name="_frr13" localSheetId="6">'[4]Overlap two correlations (n1)'!$O$17</definedName>
    <definedName name="_frr13" localSheetId="8">'[4]Overlap two correlations (n1)'!$O$17</definedName>
    <definedName name="_frr13">'[4]Overlap two correlations (n1)'!$O$17</definedName>
    <definedName name="_frr14" localSheetId="11">'[4]Overlap two correlations (n1)'!$O$18</definedName>
    <definedName name="_frr14" localSheetId="9">'[4]Overlap two correlations (n1)'!$O$18</definedName>
    <definedName name="_frr14" localSheetId="10">'[4]Overlap two correlations (n1)'!$O$18</definedName>
    <definedName name="_frr14" localSheetId="5">'[4]Overlap two correlations (n1)'!$O$18</definedName>
    <definedName name="_frr14" localSheetId="7">'[4]Overlap two correlations (n1)'!$O$18</definedName>
    <definedName name="_frr14" localSheetId="12">'[5]Overlap two correlations (n1)'!$O$18</definedName>
    <definedName name="_frr14" localSheetId="4">'[4]Overlap two correlations (n1)'!$O$18</definedName>
    <definedName name="_frr14" localSheetId="3">'[4]Overlap two correlations (n1)'!$O$18</definedName>
    <definedName name="_frr14" localSheetId="6">'[4]Overlap two correlations (n1)'!$O$18</definedName>
    <definedName name="_frr14" localSheetId="8">'[4]Overlap two correlations (n1)'!$O$18</definedName>
    <definedName name="_frr14">'[4]Overlap two correlations (n1)'!$O$18</definedName>
    <definedName name="_frr15" localSheetId="11">'[4]Overlap two correlations (n1)'!$O$19</definedName>
    <definedName name="_frr15" localSheetId="9">'[4]Overlap two correlations (n1)'!$O$19</definedName>
    <definedName name="_frr15" localSheetId="10">'[4]Overlap two correlations (n1)'!$O$19</definedName>
    <definedName name="_frr15" localSheetId="5">'[4]Overlap two correlations (n1)'!$O$19</definedName>
    <definedName name="_frr15" localSheetId="7">'[4]Overlap two correlations (n1)'!$O$19</definedName>
    <definedName name="_frr15" localSheetId="12">'[5]Overlap two correlations (n1)'!$O$19</definedName>
    <definedName name="_frr15" localSheetId="4">'[4]Overlap two correlations (n1)'!$O$19</definedName>
    <definedName name="_frr15" localSheetId="3">'[4]Overlap two correlations (n1)'!$O$19</definedName>
    <definedName name="_frr15" localSheetId="6">'[4]Overlap two correlations (n1)'!$O$19</definedName>
    <definedName name="_frr15" localSheetId="8">'[4]Overlap two correlations (n1)'!$O$19</definedName>
    <definedName name="_frr15">'[4]Overlap two correlations (n1)'!$O$19</definedName>
    <definedName name="_frr16" localSheetId="11">'[4]Overlap two correlations (n1)'!$O$20</definedName>
    <definedName name="_frr16" localSheetId="9">'[4]Overlap two correlations (n1)'!$O$20</definedName>
    <definedName name="_frr16" localSheetId="10">'[4]Overlap two correlations (n1)'!$O$20</definedName>
    <definedName name="_frr16" localSheetId="5">'[4]Overlap two correlations (n1)'!$O$20</definedName>
    <definedName name="_frr16" localSheetId="7">'[4]Overlap two correlations (n1)'!$O$20</definedName>
    <definedName name="_frr16" localSheetId="12">'[5]Overlap two correlations (n1)'!$O$20</definedName>
    <definedName name="_frr16" localSheetId="4">'[4]Overlap two correlations (n1)'!$O$20</definedName>
    <definedName name="_frr16" localSheetId="3">'[4]Overlap two correlations (n1)'!$O$20</definedName>
    <definedName name="_frr16" localSheetId="6">'[4]Overlap two correlations (n1)'!$O$20</definedName>
    <definedName name="_frr16" localSheetId="8">'[4]Overlap two correlations (n1)'!$O$20</definedName>
    <definedName name="_frr16">'[4]Overlap two correlations (n1)'!$O$20</definedName>
    <definedName name="_frr17" localSheetId="11">'[4]Overlap two correlations (n1)'!$O$21</definedName>
    <definedName name="_frr17" localSheetId="9">'[4]Overlap two correlations (n1)'!$O$21</definedName>
    <definedName name="_frr17" localSheetId="10">'[4]Overlap two correlations (n1)'!$O$21</definedName>
    <definedName name="_frr17" localSheetId="5">'[4]Overlap two correlations (n1)'!$O$21</definedName>
    <definedName name="_frr17" localSheetId="7">'[4]Overlap two correlations (n1)'!$O$21</definedName>
    <definedName name="_frr17" localSheetId="12">'[5]Overlap two correlations (n1)'!$O$21</definedName>
    <definedName name="_frr17" localSheetId="4">'[4]Overlap two correlations (n1)'!$O$21</definedName>
    <definedName name="_frr17" localSheetId="3">'[4]Overlap two correlations (n1)'!$O$21</definedName>
    <definedName name="_frr17" localSheetId="6">'[4]Overlap two correlations (n1)'!$O$21</definedName>
    <definedName name="_frr17" localSheetId="8">'[4]Overlap two correlations (n1)'!$O$21</definedName>
    <definedName name="_frr17">'[4]Overlap two correlations (n1)'!$O$21</definedName>
    <definedName name="_frr18" localSheetId="11">'[4]Overlap two correlations (n1)'!$O$22</definedName>
    <definedName name="_frr18" localSheetId="9">'[4]Overlap two correlations (n1)'!$O$22</definedName>
    <definedName name="_frr18" localSheetId="10">'[4]Overlap two correlations (n1)'!$O$22</definedName>
    <definedName name="_frr18" localSheetId="5">'[4]Overlap two correlations (n1)'!$O$22</definedName>
    <definedName name="_frr18" localSheetId="7">'[4]Overlap two correlations (n1)'!$O$22</definedName>
    <definedName name="_frr18" localSheetId="12">'[5]Overlap two correlations (n1)'!$O$22</definedName>
    <definedName name="_frr18" localSheetId="4">'[4]Overlap two correlations (n1)'!$O$22</definedName>
    <definedName name="_frr18" localSheetId="3">'[4]Overlap two correlations (n1)'!$O$22</definedName>
    <definedName name="_frr18" localSheetId="6">'[4]Overlap two correlations (n1)'!$O$22</definedName>
    <definedName name="_frr18" localSheetId="8">'[4]Overlap two correlations (n1)'!$O$22</definedName>
    <definedName name="_frr18">'[4]Overlap two correlations (n1)'!$O$22</definedName>
    <definedName name="_frr19" localSheetId="11">'[4]Overlap two correlations (n1)'!$O$23</definedName>
    <definedName name="_frr19" localSheetId="9">'[4]Overlap two correlations (n1)'!$O$23</definedName>
    <definedName name="_frr19" localSheetId="10">'[4]Overlap two correlations (n1)'!$O$23</definedName>
    <definedName name="_frr19" localSheetId="5">'[4]Overlap two correlations (n1)'!$O$23</definedName>
    <definedName name="_frr19" localSheetId="7">'[4]Overlap two correlations (n1)'!$O$23</definedName>
    <definedName name="_frr19" localSheetId="12">'[5]Overlap two correlations (n1)'!$O$23</definedName>
    <definedName name="_frr19" localSheetId="4">'[4]Overlap two correlations (n1)'!$O$23</definedName>
    <definedName name="_frr19" localSheetId="3">'[4]Overlap two correlations (n1)'!$O$23</definedName>
    <definedName name="_frr19" localSheetId="6">'[4]Overlap two correlations (n1)'!$O$23</definedName>
    <definedName name="_frr19" localSheetId="8">'[4]Overlap two correlations (n1)'!$O$23</definedName>
    <definedName name="_frr19">'[4]Overlap two correlations (n1)'!$O$23</definedName>
    <definedName name="_frr2" localSheetId="11">'[4]Overlap two correlations (n1)'!$O$6</definedName>
    <definedName name="_frr2" localSheetId="9">'[4]Overlap two correlations (n1)'!$O$6</definedName>
    <definedName name="_frr2" localSheetId="10">'[4]Overlap two correlations (n1)'!$O$6</definedName>
    <definedName name="_frr2" localSheetId="5">'[4]Overlap two correlations (n1)'!$O$6</definedName>
    <definedName name="_frr2" localSheetId="7">'[4]Overlap two correlations (n1)'!$O$6</definedName>
    <definedName name="_frr2" localSheetId="12">'[5]Overlap two correlations (n1)'!$O$6</definedName>
    <definedName name="_frr2" localSheetId="4">'[4]Overlap two correlations (n1)'!$O$6</definedName>
    <definedName name="_frr2" localSheetId="3">'[4]Overlap two correlations (n1)'!$O$6</definedName>
    <definedName name="_frr2" localSheetId="6">'[4]Overlap two correlations (n1)'!$O$6</definedName>
    <definedName name="_frr2" localSheetId="8">'[4]Overlap two correlations (n1)'!$O$6</definedName>
    <definedName name="_frr2">'[4]Overlap two correlations (n1)'!$O$6</definedName>
    <definedName name="_frr20" localSheetId="11">'[4]Overlap two correlations (n1)'!$O$24</definedName>
    <definedName name="_frr20" localSheetId="9">'[4]Overlap two correlations (n1)'!$O$24</definedName>
    <definedName name="_frr20" localSheetId="10">'[4]Overlap two correlations (n1)'!$O$24</definedName>
    <definedName name="_frr20" localSheetId="5">'[4]Overlap two correlations (n1)'!$O$24</definedName>
    <definedName name="_frr20" localSheetId="7">'[4]Overlap two correlations (n1)'!$O$24</definedName>
    <definedName name="_frr20" localSheetId="12">'[5]Overlap two correlations (n1)'!$O$24</definedName>
    <definedName name="_frr20" localSheetId="4">'[4]Overlap two correlations (n1)'!$O$24</definedName>
    <definedName name="_frr20" localSheetId="3">'[4]Overlap two correlations (n1)'!$O$24</definedName>
    <definedName name="_frr20" localSheetId="6">'[4]Overlap two correlations (n1)'!$O$24</definedName>
    <definedName name="_frr20" localSheetId="8">'[4]Overlap two correlations (n1)'!$O$24</definedName>
    <definedName name="_frr20">'[4]Overlap two correlations (n1)'!$O$24</definedName>
    <definedName name="_frr21" localSheetId="11">'[4]Overlap two correlations (n1)'!$O$25</definedName>
    <definedName name="_frr21" localSheetId="9">'[4]Overlap two correlations (n1)'!$O$25</definedName>
    <definedName name="_frr21" localSheetId="10">'[4]Overlap two correlations (n1)'!$O$25</definedName>
    <definedName name="_frr21" localSheetId="5">'[4]Overlap two correlations (n1)'!$O$25</definedName>
    <definedName name="_frr21" localSheetId="7">'[4]Overlap two correlations (n1)'!$O$25</definedName>
    <definedName name="_frr21" localSheetId="12">'[5]Overlap two correlations (n1)'!$O$25</definedName>
    <definedName name="_frr21" localSheetId="4">'[4]Overlap two correlations (n1)'!$O$25</definedName>
    <definedName name="_frr21" localSheetId="3">'[4]Overlap two correlations (n1)'!$O$25</definedName>
    <definedName name="_frr21" localSheetId="6">'[4]Overlap two correlations (n1)'!$O$25</definedName>
    <definedName name="_frr21" localSheetId="8">'[4]Overlap two correlations (n1)'!$O$25</definedName>
    <definedName name="_frr21">'[4]Overlap two correlations (n1)'!$O$25</definedName>
    <definedName name="_frr22" localSheetId="11">'[4]Overlap two correlations (n1)'!$O$26</definedName>
    <definedName name="_frr22" localSheetId="9">'[4]Overlap two correlations (n1)'!$O$26</definedName>
    <definedName name="_frr22" localSheetId="10">'[4]Overlap two correlations (n1)'!$O$26</definedName>
    <definedName name="_frr22" localSheetId="5">'[4]Overlap two correlations (n1)'!$O$26</definedName>
    <definedName name="_frr22" localSheetId="7">'[4]Overlap two correlations (n1)'!$O$26</definedName>
    <definedName name="_frr22" localSheetId="12">'[5]Overlap two correlations (n1)'!$O$26</definedName>
    <definedName name="_frr22" localSheetId="4">'[4]Overlap two correlations (n1)'!$O$26</definedName>
    <definedName name="_frr22" localSheetId="3">'[4]Overlap two correlations (n1)'!$O$26</definedName>
    <definedName name="_frr22" localSheetId="6">'[4]Overlap two correlations (n1)'!$O$26</definedName>
    <definedName name="_frr22" localSheetId="8">'[4]Overlap two correlations (n1)'!$O$26</definedName>
    <definedName name="_frr22">'[4]Overlap two correlations (n1)'!$O$26</definedName>
    <definedName name="_frr23" localSheetId="11">'[4]Overlap two correlations (n1)'!$O$27</definedName>
    <definedName name="_frr23" localSheetId="9">'[4]Overlap two correlations (n1)'!$O$27</definedName>
    <definedName name="_frr23" localSheetId="10">'[4]Overlap two correlations (n1)'!$O$27</definedName>
    <definedName name="_frr23" localSheetId="5">'[4]Overlap two correlations (n1)'!$O$27</definedName>
    <definedName name="_frr23" localSheetId="7">'[4]Overlap two correlations (n1)'!$O$27</definedName>
    <definedName name="_frr23" localSheetId="12">'[5]Overlap two correlations (n1)'!$O$27</definedName>
    <definedName name="_frr23" localSheetId="4">'[4]Overlap two correlations (n1)'!$O$27</definedName>
    <definedName name="_frr23" localSheetId="3">'[4]Overlap two correlations (n1)'!$O$27</definedName>
    <definedName name="_frr23" localSheetId="6">'[4]Overlap two correlations (n1)'!$O$27</definedName>
    <definedName name="_frr23" localSheetId="8">'[4]Overlap two correlations (n1)'!$O$27</definedName>
    <definedName name="_frr23">'[4]Overlap two correlations (n1)'!$O$27</definedName>
    <definedName name="_frr24" localSheetId="11">'[4]Overlap two correlations (n1)'!$O$28</definedName>
    <definedName name="_frr24" localSheetId="9">'[4]Overlap two correlations (n1)'!$O$28</definedName>
    <definedName name="_frr24" localSheetId="10">'[4]Overlap two correlations (n1)'!$O$28</definedName>
    <definedName name="_frr24" localSheetId="5">'[4]Overlap two correlations (n1)'!$O$28</definedName>
    <definedName name="_frr24" localSheetId="7">'[4]Overlap two correlations (n1)'!$O$28</definedName>
    <definedName name="_frr24" localSheetId="12">'[5]Overlap two correlations (n1)'!$O$28</definedName>
    <definedName name="_frr24" localSheetId="4">'[4]Overlap two correlations (n1)'!$O$28</definedName>
    <definedName name="_frr24" localSheetId="3">'[4]Overlap two correlations (n1)'!$O$28</definedName>
    <definedName name="_frr24" localSheetId="6">'[4]Overlap two correlations (n1)'!$O$28</definedName>
    <definedName name="_frr24" localSheetId="8">'[4]Overlap two correlations (n1)'!$O$28</definedName>
    <definedName name="_frr24">'[4]Overlap two correlations (n1)'!$O$28</definedName>
    <definedName name="_frr25" localSheetId="11">'[4]Overlap two correlations (n1)'!$O$29</definedName>
    <definedName name="_frr25" localSheetId="9">'[4]Overlap two correlations (n1)'!$O$29</definedName>
    <definedName name="_frr25" localSheetId="10">'[4]Overlap two correlations (n1)'!$O$29</definedName>
    <definedName name="_frr25" localSheetId="5">'[4]Overlap two correlations (n1)'!$O$29</definedName>
    <definedName name="_frr25" localSheetId="7">'[4]Overlap two correlations (n1)'!$O$29</definedName>
    <definedName name="_frr25" localSheetId="12">'[5]Overlap two correlations (n1)'!$O$29</definedName>
    <definedName name="_frr25" localSheetId="4">'[4]Overlap two correlations (n1)'!$O$29</definedName>
    <definedName name="_frr25" localSheetId="3">'[4]Overlap two correlations (n1)'!$O$29</definedName>
    <definedName name="_frr25" localSheetId="6">'[4]Overlap two correlations (n1)'!$O$29</definedName>
    <definedName name="_frr25" localSheetId="8">'[4]Overlap two correlations (n1)'!$O$29</definedName>
    <definedName name="_frr25">'[4]Overlap two correlations (n1)'!$O$29</definedName>
    <definedName name="_frr26" localSheetId="11">'[4]Overlap two correlations (n1)'!$O$30</definedName>
    <definedName name="_frr26" localSheetId="9">'[4]Overlap two correlations (n1)'!$O$30</definedName>
    <definedName name="_frr26" localSheetId="10">'[4]Overlap two correlations (n1)'!$O$30</definedName>
    <definedName name="_frr26" localSheetId="5">'[4]Overlap two correlations (n1)'!$O$30</definedName>
    <definedName name="_frr26" localSheetId="7">'[4]Overlap two correlations (n1)'!$O$30</definedName>
    <definedName name="_frr26" localSheetId="12">'[5]Overlap two correlations (n1)'!$O$30</definedName>
    <definedName name="_frr26" localSheetId="4">'[4]Overlap two correlations (n1)'!$O$30</definedName>
    <definedName name="_frr26" localSheetId="3">'[4]Overlap two correlations (n1)'!$O$30</definedName>
    <definedName name="_frr26" localSheetId="6">'[4]Overlap two correlations (n1)'!$O$30</definedName>
    <definedName name="_frr26" localSheetId="8">'[4]Overlap two correlations (n1)'!$O$30</definedName>
    <definedName name="_frr26">'[4]Overlap two correlations (n1)'!$O$30</definedName>
    <definedName name="_frr27" localSheetId="11">'[4]Overlap two correlations (n1)'!$O$31</definedName>
    <definedName name="_frr27" localSheetId="9">'[4]Overlap two correlations (n1)'!$O$31</definedName>
    <definedName name="_frr27" localSheetId="10">'[4]Overlap two correlations (n1)'!$O$31</definedName>
    <definedName name="_frr27" localSheetId="5">'[4]Overlap two correlations (n1)'!$O$31</definedName>
    <definedName name="_frr27" localSheetId="7">'[4]Overlap two correlations (n1)'!$O$31</definedName>
    <definedName name="_frr27" localSheetId="12">'[5]Overlap two correlations (n1)'!$O$31</definedName>
    <definedName name="_frr27" localSheetId="4">'[4]Overlap two correlations (n1)'!$O$31</definedName>
    <definedName name="_frr27" localSheetId="3">'[4]Overlap two correlations (n1)'!$O$31</definedName>
    <definedName name="_frr27" localSheetId="6">'[4]Overlap two correlations (n1)'!$O$31</definedName>
    <definedName name="_frr27" localSheetId="8">'[4]Overlap two correlations (n1)'!$O$31</definedName>
    <definedName name="_frr27">'[4]Overlap two correlations (n1)'!$O$31</definedName>
    <definedName name="_frr28" localSheetId="11">'[4]Overlap two correlations (n1)'!$O$32</definedName>
    <definedName name="_frr28" localSheetId="9">'[4]Overlap two correlations (n1)'!$O$32</definedName>
    <definedName name="_frr28" localSheetId="10">'[4]Overlap two correlations (n1)'!$O$32</definedName>
    <definedName name="_frr28" localSheetId="5">'[4]Overlap two correlations (n1)'!$O$32</definedName>
    <definedName name="_frr28" localSheetId="7">'[4]Overlap two correlations (n1)'!$O$32</definedName>
    <definedName name="_frr28" localSheetId="12">'[5]Overlap two correlations (n1)'!$O$32</definedName>
    <definedName name="_frr28" localSheetId="4">'[4]Overlap two correlations (n1)'!$O$32</definedName>
    <definedName name="_frr28" localSheetId="3">'[4]Overlap two correlations (n1)'!$O$32</definedName>
    <definedName name="_frr28" localSheetId="6">'[4]Overlap two correlations (n1)'!$O$32</definedName>
    <definedName name="_frr28" localSheetId="8">'[4]Overlap two correlations (n1)'!$O$32</definedName>
    <definedName name="_frr28">'[4]Overlap two correlations (n1)'!$O$32</definedName>
    <definedName name="_frr29" localSheetId="11">'[4]Overlap two correlations (n1)'!$O$33</definedName>
    <definedName name="_frr29" localSheetId="9">'[4]Overlap two correlations (n1)'!$O$33</definedName>
    <definedName name="_frr29" localSheetId="10">'[4]Overlap two correlations (n1)'!$O$33</definedName>
    <definedName name="_frr29" localSheetId="5">'[4]Overlap two correlations (n1)'!$O$33</definedName>
    <definedName name="_frr29" localSheetId="7">'[4]Overlap two correlations (n1)'!$O$33</definedName>
    <definedName name="_frr29" localSheetId="12">'[5]Overlap two correlations (n1)'!$O$33</definedName>
    <definedName name="_frr29" localSheetId="4">'[4]Overlap two correlations (n1)'!$O$33</definedName>
    <definedName name="_frr29" localSheetId="3">'[4]Overlap two correlations (n1)'!$O$33</definedName>
    <definedName name="_frr29" localSheetId="6">'[4]Overlap two correlations (n1)'!$O$33</definedName>
    <definedName name="_frr29" localSheetId="8">'[4]Overlap two correlations (n1)'!$O$33</definedName>
    <definedName name="_frr29">'[4]Overlap two correlations (n1)'!$O$33</definedName>
    <definedName name="_frr3" localSheetId="11">'[4]Overlap two correlations (n1)'!$O$7</definedName>
    <definedName name="_frr3" localSheetId="9">'[4]Overlap two correlations (n1)'!$O$7</definedName>
    <definedName name="_frr3" localSheetId="10">'[4]Overlap two correlations (n1)'!$O$7</definedName>
    <definedName name="_frr3" localSheetId="5">'[4]Overlap two correlations (n1)'!$O$7</definedName>
    <definedName name="_frr3" localSheetId="7">'[4]Overlap two correlations (n1)'!$O$7</definedName>
    <definedName name="_frr3" localSheetId="12">'[5]Overlap two correlations (n1)'!$O$7</definedName>
    <definedName name="_frr3" localSheetId="4">'[4]Overlap two correlations (n1)'!$O$7</definedName>
    <definedName name="_frr3" localSheetId="3">'[4]Overlap two correlations (n1)'!$O$7</definedName>
    <definedName name="_frr3" localSheetId="6">'[4]Overlap two correlations (n1)'!$O$7</definedName>
    <definedName name="_frr3" localSheetId="8">'[4]Overlap two correlations (n1)'!$O$7</definedName>
    <definedName name="_frr3">'[4]Overlap two correlations (n1)'!$O$7</definedName>
    <definedName name="_frr30" localSheetId="11">'[4]Overlap two correlations (n1)'!$O$34</definedName>
    <definedName name="_frr30" localSheetId="9">'[4]Overlap two correlations (n1)'!$O$34</definedName>
    <definedName name="_frr30" localSheetId="10">'[4]Overlap two correlations (n1)'!$O$34</definedName>
    <definedName name="_frr30" localSheetId="5">'[4]Overlap two correlations (n1)'!$O$34</definedName>
    <definedName name="_frr30" localSheetId="7">'[4]Overlap two correlations (n1)'!$O$34</definedName>
    <definedName name="_frr30" localSheetId="12">'[5]Overlap two correlations (n1)'!$O$34</definedName>
    <definedName name="_frr30" localSheetId="4">'[4]Overlap two correlations (n1)'!$O$34</definedName>
    <definedName name="_frr30" localSheetId="3">'[4]Overlap two correlations (n1)'!$O$34</definedName>
    <definedName name="_frr30" localSheetId="6">'[4]Overlap two correlations (n1)'!$O$34</definedName>
    <definedName name="_frr30" localSheetId="8">'[4]Overlap two correlations (n1)'!$O$34</definedName>
    <definedName name="_frr30">'[4]Overlap two correlations (n1)'!$O$34</definedName>
    <definedName name="_frr31" localSheetId="11">'[4]Overlap two correlations (n1)'!$O$35</definedName>
    <definedName name="_frr31" localSheetId="9">'[4]Overlap two correlations (n1)'!$O$35</definedName>
    <definedName name="_frr31" localSheetId="10">'[4]Overlap two correlations (n1)'!$O$35</definedName>
    <definedName name="_frr31" localSheetId="5">'[4]Overlap two correlations (n1)'!$O$35</definedName>
    <definedName name="_frr31" localSheetId="7">'[4]Overlap two correlations (n1)'!$O$35</definedName>
    <definedName name="_frr31" localSheetId="12">'[5]Overlap two correlations (n1)'!$O$35</definedName>
    <definedName name="_frr31" localSheetId="4">'[4]Overlap two correlations (n1)'!$O$35</definedName>
    <definedName name="_frr31" localSheetId="3">'[4]Overlap two correlations (n1)'!$O$35</definedName>
    <definedName name="_frr31" localSheetId="6">'[4]Overlap two correlations (n1)'!$O$35</definedName>
    <definedName name="_frr31" localSheetId="8">'[4]Overlap two correlations (n1)'!$O$35</definedName>
    <definedName name="_frr31">'[4]Overlap two correlations (n1)'!$O$35</definedName>
    <definedName name="_frr32" localSheetId="11">'[4]Overlap two correlations (n1)'!$O$36</definedName>
    <definedName name="_frr32" localSheetId="9">'[4]Overlap two correlations (n1)'!$O$36</definedName>
    <definedName name="_frr32" localSheetId="10">'[4]Overlap two correlations (n1)'!$O$36</definedName>
    <definedName name="_frr32" localSheetId="5">'[4]Overlap two correlations (n1)'!$O$36</definedName>
    <definedName name="_frr32" localSheetId="7">'[4]Overlap two correlations (n1)'!$O$36</definedName>
    <definedName name="_frr32" localSheetId="12">'[5]Overlap two correlations (n1)'!$O$36</definedName>
    <definedName name="_frr32" localSheetId="4">'[4]Overlap two correlations (n1)'!$O$36</definedName>
    <definedName name="_frr32" localSheetId="3">'[4]Overlap two correlations (n1)'!$O$36</definedName>
    <definedName name="_frr32" localSheetId="6">'[4]Overlap two correlations (n1)'!$O$36</definedName>
    <definedName name="_frr32" localSheetId="8">'[4]Overlap two correlations (n1)'!$O$36</definedName>
    <definedName name="_frr32">'[4]Overlap two correlations (n1)'!$O$36</definedName>
    <definedName name="_frr33" localSheetId="11">'[4]Overlap two correlations (n1)'!$O$37</definedName>
    <definedName name="_frr33" localSheetId="9">'[4]Overlap two correlations (n1)'!$O$37</definedName>
    <definedName name="_frr33" localSheetId="10">'[4]Overlap two correlations (n1)'!$O$37</definedName>
    <definedName name="_frr33" localSheetId="5">'[4]Overlap two correlations (n1)'!$O$37</definedName>
    <definedName name="_frr33" localSheetId="7">'[4]Overlap two correlations (n1)'!$O$37</definedName>
    <definedName name="_frr33" localSheetId="12">'[5]Overlap two correlations (n1)'!$O$37</definedName>
    <definedName name="_frr33" localSheetId="4">'[4]Overlap two correlations (n1)'!$O$37</definedName>
    <definedName name="_frr33" localSheetId="3">'[4]Overlap two correlations (n1)'!$O$37</definedName>
    <definedName name="_frr33" localSheetId="6">'[4]Overlap two correlations (n1)'!$O$37</definedName>
    <definedName name="_frr33" localSheetId="8">'[4]Overlap two correlations (n1)'!$O$37</definedName>
    <definedName name="_frr33">'[4]Overlap two correlations (n1)'!$O$37</definedName>
    <definedName name="_frr34" localSheetId="11">'[4]Overlap two correlations (n1)'!$O$38</definedName>
    <definedName name="_frr34" localSheetId="9">'[4]Overlap two correlations (n1)'!$O$38</definedName>
    <definedName name="_frr34" localSheetId="10">'[4]Overlap two correlations (n1)'!$O$38</definedName>
    <definedName name="_frr34" localSheetId="5">'[4]Overlap two correlations (n1)'!$O$38</definedName>
    <definedName name="_frr34" localSheetId="7">'[4]Overlap two correlations (n1)'!$O$38</definedName>
    <definedName name="_frr34" localSheetId="12">'[5]Overlap two correlations (n1)'!$O$38</definedName>
    <definedName name="_frr34" localSheetId="4">'[4]Overlap two correlations (n1)'!$O$38</definedName>
    <definedName name="_frr34" localSheetId="3">'[4]Overlap two correlations (n1)'!$O$38</definedName>
    <definedName name="_frr34" localSheetId="6">'[4]Overlap two correlations (n1)'!$O$38</definedName>
    <definedName name="_frr34" localSheetId="8">'[4]Overlap two correlations (n1)'!$O$38</definedName>
    <definedName name="_frr34">'[4]Overlap two correlations (n1)'!$O$38</definedName>
    <definedName name="_frr35" localSheetId="11">'[4]Overlap two correlations (n1)'!$O$39</definedName>
    <definedName name="_frr35" localSheetId="9">'[4]Overlap two correlations (n1)'!$O$39</definedName>
    <definedName name="_frr35" localSheetId="10">'[4]Overlap two correlations (n1)'!$O$39</definedName>
    <definedName name="_frr35" localSheetId="5">'[4]Overlap two correlations (n1)'!$O$39</definedName>
    <definedName name="_frr35" localSheetId="7">'[4]Overlap two correlations (n1)'!$O$39</definedName>
    <definedName name="_frr35" localSheetId="12">'[5]Overlap two correlations (n1)'!$O$39</definedName>
    <definedName name="_frr35" localSheetId="4">'[4]Overlap two correlations (n1)'!$O$39</definedName>
    <definedName name="_frr35" localSheetId="3">'[4]Overlap two correlations (n1)'!$O$39</definedName>
    <definedName name="_frr35" localSheetId="6">'[4]Overlap two correlations (n1)'!$O$39</definedName>
    <definedName name="_frr35" localSheetId="8">'[4]Overlap two correlations (n1)'!$O$39</definedName>
    <definedName name="_frr35">'[4]Overlap two correlations (n1)'!$O$39</definedName>
    <definedName name="_frr36" localSheetId="11">'[4]Overlap two correlations (n1)'!$O$40</definedName>
    <definedName name="_frr36" localSheetId="9">'[4]Overlap two correlations (n1)'!$O$40</definedName>
    <definedName name="_frr36" localSheetId="10">'[4]Overlap two correlations (n1)'!$O$40</definedName>
    <definedName name="_frr36" localSheetId="5">'[4]Overlap two correlations (n1)'!$O$40</definedName>
    <definedName name="_frr36" localSheetId="7">'[4]Overlap two correlations (n1)'!$O$40</definedName>
    <definedName name="_frr36" localSheetId="12">'[5]Overlap two correlations (n1)'!$O$40</definedName>
    <definedName name="_frr36" localSheetId="4">'[4]Overlap two correlations (n1)'!$O$40</definedName>
    <definedName name="_frr36" localSheetId="3">'[4]Overlap two correlations (n1)'!$O$40</definedName>
    <definedName name="_frr36" localSheetId="6">'[4]Overlap two correlations (n1)'!$O$40</definedName>
    <definedName name="_frr36" localSheetId="8">'[4]Overlap two correlations (n1)'!$O$40</definedName>
    <definedName name="_frr36">'[4]Overlap two correlations (n1)'!$O$40</definedName>
    <definedName name="_frr37" localSheetId="11">'[4]Overlap two correlations (n1)'!$O$41</definedName>
    <definedName name="_frr37" localSheetId="9">'[4]Overlap two correlations (n1)'!$O$41</definedName>
    <definedName name="_frr37" localSheetId="10">'[4]Overlap two correlations (n1)'!$O$41</definedName>
    <definedName name="_frr37" localSheetId="5">'[4]Overlap two correlations (n1)'!$O$41</definedName>
    <definedName name="_frr37" localSheetId="7">'[4]Overlap two correlations (n1)'!$O$41</definedName>
    <definedName name="_frr37" localSheetId="12">'[5]Overlap two correlations (n1)'!$O$41</definedName>
    <definedName name="_frr37" localSheetId="4">'[4]Overlap two correlations (n1)'!$O$41</definedName>
    <definedName name="_frr37" localSheetId="3">'[4]Overlap two correlations (n1)'!$O$41</definedName>
    <definedName name="_frr37" localSheetId="6">'[4]Overlap two correlations (n1)'!$O$41</definedName>
    <definedName name="_frr37" localSheetId="8">'[4]Overlap two correlations (n1)'!$O$41</definedName>
    <definedName name="_frr37">'[4]Overlap two correlations (n1)'!$O$41</definedName>
    <definedName name="_frr38" localSheetId="11">'[4]Overlap two correlations (n1)'!$O$42</definedName>
    <definedName name="_frr38" localSheetId="9">'[4]Overlap two correlations (n1)'!$O$42</definedName>
    <definedName name="_frr38" localSheetId="10">'[4]Overlap two correlations (n1)'!$O$42</definedName>
    <definedName name="_frr38" localSheetId="5">'[4]Overlap two correlations (n1)'!$O$42</definedName>
    <definedName name="_frr38" localSheetId="7">'[4]Overlap two correlations (n1)'!$O$42</definedName>
    <definedName name="_frr38" localSheetId="12">'[5]Overlap two correlations (n1)'!$O$42</definedName>
    <definedName name="_frr38" localSheetId="4">'[4]Overlap two correlations (n1)'!$O$42</definedName>
    <definedName name="_frr38" localSheetId="3">'[4]Overlap two correlations (n1)'!$O$42</definedName>
    <definedName name="_frr38" localSheetId="6">'[4]Overlap two correlations (n1)'!$O$42</definedName>
    <definedName name="_frr38" localSheetId="8">'[4]Overlap two correlations (n1)'!$O$42</definedName>
    <definedName name="_frr38">'[4]Overlap two correlations (n1)'!$O$42</definedName>
    <definedName name="_frr39" localSheetId="11">'[4]Overlap two correlations (n1)'!$O$43</definedName>
    <definedName name="_frr39" localSheetId="9">'[4]Overlap two correlations (n1)'!$O$43</definedName>
    <definedName name="_frr39" localSheetId="10">'[4]Overlap two correlations (n1)'!$O$43</definedName>
    <definedName name="_frr39" localSheetId="5">'[4]Overlap two correlations (n1)'!$O$43</definedName>
    <definedName name="_frr39" localSheetId="7">'[4]Overlap two correlations (n1)'!$O$43</definedName>
    <definedName name="_frr39" localSheetId="12">'[5]Overlap two correlations (n1)'!$O$43</definedName>
    <definedName name="_frr39" localSheetId="4">'[4]Overlap two correlations (n1)'!$O$43</definedName>
    <definedName name="_frr39" localSheetId="3">'[4]Overlap two correlations (n1)'!$O$43</definedName>
    <definedName name="_frr39" localSheetId="6">'[4]Overlap two correlations (n1)'!$O$43</definedName>
    <definedName name="_frr39" localSheetId="8">'[4]Overlap two correlations (n1)'!$O$43</definedName>
    <definedName name="_frr39">'[4]Overlap two correlations (n1)'!$O$43</definedName>
    <definedName name="_frr4" localSheetId="11">'[4]Overlap two correlations (n1)'!$O$8</definedName>
    <definedName name="_frr4" localSheetId="9">'[4]Overlap two correlations (n1)'!$O$8</definedName>
    <definedName name="_frr4" localSheetId="10">'[4]Overlap two correlations (n1)'!$O$8</definedName>
    <definedName name="_frr4" localSheetId="5">'[4]Overlap two correlations (n1)'!$O$8</definedName>
    <definedName name="_frr4" localSheetId="7">'[4]Overlap two correlations (n1)'!$O$8</definedName>
    <definedName name="_frr4" localSheetId="12">'[5]Overlap two correlations (n1)'!$O$8</definedName>
    <definedName name="_frr4" localSheetId="4">'[4]Overlap two correlations (n1)'!$O$8</definedName>
    <definedName name="_frr4" localSheetId="3">'[4]Overlap two correlations (n1)'!$O$8</definedName>
    <definedName name="_frr4" localSheetId="6">'[4]Overlap two correlations (n1)'!$O$8</definedName>
    <definedName name="_frr4" localSheetId="8">'[4]Overlap two correlations (n1)'!$O$8</definedName>
    <definedName name="_frr4">'[4]Overlap two correlations (n1)'!$O$8</definedName>
    <definedName name="_frr40" localSheetId="11">'[4]Overlap two correlations (n1)'!$O$44</definedName>
    <definedName name="_frr40" localSheetId="9">'[4]Overlap two correlations (n1)'!$O$44</definedName>
    <definedName name="_frr40" localSheetId="10">'[4]Overlap two correlations (n1)'!$O$44</definedName>
    <definedName name="_frr40" localSheetId="5">'[4]Overlap two correlations (n1)'!$O$44</definedName>
    <definedName name="_frr40" localSheetId="7">'[4]Overlap two correlations (n1)'!$O$44</definedName>
    <definedName name="_frr40" localSheetId="12">'[5]Overlap two correlations (n1)'!$O$44</definedName>
    <definedName name="_frr40" localSheetId="4">'[4]Overlap two correlations (n1)'!$O$44</definedName>
    <definedName name="_frr40" localSheetId="3">'[4]Overlap two correlations (n1)'!$O$44</definedName>
    <definedName name="_frr40" localSheetId="6">'[4]Overlap two correlations (n1)'!$O$44</definedName>
    <definedName name="_frr40" localSheetId="8">'[4]Overlap two correlations (n1)'!$O$44</definedName>
    <definedName name="_frr40">'[4]Overlap two correlations (n1)'!$O$44</definedName>
    <definedName name="_frr41" localSheetId="11">'[4]Overlap two correlations (n1)'!$O$45</definedName>
    <definedName name="_frr41" localSheetId="9">'[4]Overlap two correlations (n1)'!$O$45</definedName>
    <definedName name="_frr41" localSheetId="10">'[4]Overlap two correlations (n1)'!$O$45</definedName>
    <definedName name="_frr41" localSheetId="5">'[4]Overlap two correlations (n1)'!$O$45</definedName>
    <definedName name="_frr41" localSheetId="7">'[4]Overlap two correlations (n1)'!$O$45</definedName>
    <definedName name="_frr41" localSheetId="12">'[5]Overlap two correlations (n1)'!$O$45</definedName>
    <definedName name="_frr41" localSheetId="4">'[4]Overlap two correlations (n1)'!$O$45</definedName>
    <definedName name="_frr41" localSheetId="3">'[4]Overlap two correlations (n1)'!$O$45</definedName>
    <definedName name="_frr41" localSheetId="6">'[4]Overlap two correlations (n1)'!$O$45</definedName>
    <definedName name="_frr41" localSheetId="8">'[4]Overlap two correlations (n1)'!$O$45</definedName>
    <definedName name="_frr41">'[4]Overlap two correlations (n1)'!$O$45</definedName>
    <definedName name="_frr42" localSheetId="11">'[4]Overlap two correlations (n1)'!$O$46</definedName>
    <definedName name="_frr42" localSheetId="9">'[4]Overlap two correlations (n1)'!$O$46</definedName>
    <definedName name="_frr42" localSheetId="10">'[4]Overlap two correlations (n1)'!$O$46</definedName>
    <definedName name="_frr42" localSheetId="5">'[4]Overlap two correlations (n1)'!$O$46</definedName>
    <definedName name="_frr42" localSheetId="7">'[4]Overlap two correlations (n1)'!$O$46</definedName>
    <definedName name="_frr42" localSheetId="12">'[5]Overlap two correlations (n1)'!$O$46</definedName>
    <definedName name="_frr42" localSheetId="4">'[4]Overlap two correlations (n1)'!$O$46</definedName>
    <definedName name="_frr42" localSheetId="3">'[4]Overlap two correlations (n1)'!$O$46</definedName>
    <definedName name="_frr42" localSheetId="6">'[4]Overlap two correlations (n1)'!$O$46</definedName>
    <definedName name="_frr42" localSheetId="8">'[4]Overlap two correlations (n1)'!$O$46</definedName>
    <definedName name="_frr42">'[4]Overlap two correlations (n1)'!$O$46</definedName>
    <definedName name="_frr43" localSheetId="11">'[4]Overlap two correlations (n1)'!$O$47</definedName>
    <definedName name="_frr43" localSheetId="9">'[4]Overlap two correlations (n1)'!$O$47</definedName>
    <definedName name="_frr43" localSheetId="10">'[4]Overlap two correlations (n1)'!$O$47</definedName>
    <definedName name="_frr43" localSheetId="5">'[4]Overlap two correlations (n1)'!$O$47</definedName>
    <definedName name="_frr43" localSheetId="7">'[4]Overlap two correlations (n1)'!$O$47</definedName>
    <definedName name="_frr43" localSheetId="12">'[5]Overlap two correlations (n1)'!$O$47</definedName>
    <definedName name="_frr43" localSheetId="4">'[4]Overlap two correlations (n1)'!$O$47</definedName>
    <definedName name="_frr43" localSheetId="3">'[4]Overlap two correlations (n1)'!$O$47</definedName>
    <definedName name="_frr43" localSheetId="6">'[4]Overlap two correlations (n1)'!$O$47</definedName>
    <definedName name="_frr43" localSheetId="8">'[4]Overlap two correlations (n1)'!$O$47</definedName>
    <definedName name="_frr43">'[4]Overlap two correlations (n1)'!$O$47</definedName>
    <definedName name="_frr44" localSheetId="11">'[4]Overlap two correlations (n1)'!$O$48</definedName>
    <definedName name="_frr44" localSheetId="9">'[4]Overlap two correlations (n1)'!$O$48</definedName>
    <definedName name="_frr44" localSheetId="10">'[4]Overlap two correlations (n1)'!$O$48</definedName>
    <definedName name="_frr44" localSheetId="5">'[4]Overlap two correlations (n1)'!$O$48</definedName>
    <definedName name="_frr44" localSheetId="7">'[4]Overlap two correlations (n1)'!$O$48</definedName>
    <definedName name="_frr44" localSheetId="12">'[5]Overlap two correlations (n1)'!$O$48</definedName>
    <definedName name="_frr44" localSheetId="4">'[4]Overlap two correlations (n1)'!$O$48</definedName>
    <definedName name="_frr44" localSheetId="3">'[4]Overlap two correlations (n1)'!$O$48</definedName>
    <definedName name="_frr44" localSheetId="6">'[4]Overlap two correlations (n1)'!$O$48</definedName>
    <definedName name="_frr44" localSheetId="8">'[4]Overlap two correlations (n1)'!$O$48</definedName>
    <definedName name="_frr44">'[4]Overlap two correlations (n1)'!$O$48</definedName>
    <definedName name="_frr45" localSheetId="11">'[4]Overlap two correlations (n1)'!$O$49</definedName>
    <definedName name="_frr45" localSheetId="9">'[4]Overlap two correlations (n1)'!$O$49</definedName>
    <definedName name="_frr45" localSheetId="10">'[4]Overlap two correlations (n1)'!$O$49</definedName>
    <definedName name="_frr45" localSheetId="5">'[4]Overlap two correlations (n1)'!$O$49</definedName>
    <definedName name="_frr45" localSheetId="7">'[4]Overlap two correlations (n1)'!$O$49</definedName>
    <definedName name="_frr45" localSheetId="12">'[5]Overlap two correlations (n1)'!$O$49</definedName>
    <definedName name="_frr45" localSheetId="4">'[4]Overlap two correlations (n1)'!$O$49</definedName>
    <definedName name="_frr45" localSheetId="3">'[4]Overlap two correlations (n1)'!$O$49</definedName>
    <definedName name="_frr45" localSheetId="6">'[4]Overlap two correlations (n1)'!$O$49</definedName>
    <definedName name="_frr45" localSheetId="8">'[4]Overlap two correlations (n1)'!$O$49</definedName>
    <definedName name="_frr45">'[4]Overlap two correlations (n1)'!$O$49</definedName>
    <definedName name="_frr46" localSheetId="11">'[4]Overlap two correlations (n1)'!$O$50</definedName>
    <definedName name="_frr46" localSheetId="9">'[4]Overlap two correlations (n1)'!$O$50</definedName>
    <definedName name="_frr46" localSheetId="10">'[4]Overlap two correlations (n1)'!$O$50</definedName>
    <definedName name="_frr46" localSheetId="5">'[4]Overlap two correlations (n1)'!$O$50</definedName>
    <definedName name="_frr46" localSheetId="7">'[4]Overlap two correlations (n1)'!$O$50</definedName>
    <definedName name="_frr46" localSheetId="12">'[5]Overlap two correlations (n1)'!$O$50</definedName>
    <definedName name="_frr46" localSheetId="4">'[4]Overlap two correlations (n1)'!$O$50</definedName>
    <definedName name="_frr46" localSheetId="3">'[4]Overlap two correlations (n1)'!$O$50</definedName>
    <definedName name="_frr46" localSheetId="6">'[4]Overlap two correlations (n1)'!$O$50</definedName>
    <definedName name="_frr46" localSheetId="8">'[4]Overlap two correlations (n1)'!$O$50</definedName>
    <definedName name="_frr46">'[4]Overlap two correlations (n1)'!$O$50</definedName>
    <definedName name="_frr47" localSheetId="11">'[4]Overlap two correlations (n1)'!$O$51</definedName>
    <definedName name="_frr47" localSheetId="9">'[4]Overlap two correlations (n1)'!$O$51</definedName>
    <definedName name="_frr47" localSheetId="10">'[4]Overlap two correlations (n1)'!$O$51</definedName>
    <definedName name="_frr47" localSheetId="5">'[4]Overlap two correlations (n1)'!$O$51</definedName>
    <definedName name="_frr47" localSheetId="7">'[4]Overlap two correlations (n1)'!$O$51</definedName>
    <definedName name="_frr47" localSheetId="12">'[5]Overlap two correlations (n1)'!$O$51</definedName>
    <definedName name="_frr47" localSheetId="4">'[4]Overlap two correlations (n1)'!$O$51</definedName>
    <definedName name="_frr47" localSheetId="3">'[4]Overlap two correlations (n1)'!$O$51</definedName>
    <definedName name="_frr47" localSheetId="6">'[4]Overlap two correlations (n1)'!$O$51</definedName>
    <definedName name="_frr47" localSheetId="8">'[4]Overlap two correlations (n1)'!$O$51</definedName>
    <definedName name="_frr47">'[4]Overlap two correlations (n1)'!$O$51</definedName>
    <definedName name="_frr48" localSheetId="11">'[4]Overlap two correlations (n1)'!$O$52</definedName>
    <definedName name="_frr48" localSheetId="9">'[4]Overlap two correlations (n1)'!$O$52</definedName>
    <definedName name="_frr48" localSheetId="10">'[4]Overlap two correlations (n1)'!$O$52</definedName>
    <definedName name="_frr48" localSheetId="5">'[4]Overlap two correlations (n1)'!$O$52</definedName>
    <definedName name="_frr48" localSheetId="7">'[4]Overlap two correlations (n1)'!$O$52</definedName>
    <definedName name="_frr48" localSheetId="12">'[5]Overlap two correlations (n1)'!$O$52</definedName>
    <definedName name="_frr48" localSheetId="4">'[4]Overlap two correlations (n1)'!$O$52</definedName>
    <definedName name="_frr48" localSheetId="3">'[4]Overlap two correlations (n1)'!$O$52</definedName>
    <definedName name="_frr48" localSheetId="6">'[4]Overlap two correlations (n1)'!$O$52</definedName>
    <definedName name="_frr48" localSheetId="8">'[4]Overlap two correlations (n1)'!$O$52</definedName>
    <definedName name="_frr48">'[4]Overlap two correlations (n1)'!$O$52</definedName>
    <definedName name="_frr49" localSheetId="11">'[4]Overlap two correlations (n1)'!$O$53</definedName>
    <definedName name="_frr49" localSheetId="9">'[4]Overlap two correlations (n1)'!$O$53</definedName>
    <definedName name="_frr49" localSheetId="10">'[4]Overlap two correlations (n1)'!$O$53</definedName>
    <definedName name="_frr49" localSheetId="5">'[4]Overlap two correlations (n1)'!$O$53</definedName>
    <definedName name="_frr49" localSheetId="7">'[4]Overlap two correlations (n1)'!$O$53</definedName>
    <definedName name="_frr49" localSheetId="12">'[5]Overlap two correlations (n1)'!$O$53</definedName>
    <definedName name="_frr49" localSheetId="4">'[4]Overlap two correlations (n1)'!$O$53</definedName>
    <definedName name="_frr49" localSheetId="3">'[4]Overlap two correlations (n1)'!$O$53</definedName>
    <definedName name="_frr49" localSheetId="6">'[4]Overlap two correlations (n1)'!$O$53</definedName>
    <definedName name="_frr49" localSheetId="8">'[4]Overlap two correlations (n1)'!$O$53</definedName>
    <definedName name="_frr49">'[4]Overlap two correlations (n1)'!$O$53</definedName>
    <definedName name="_frr5" localSheetId="11">'[4]Overlap two correlations (n1)'!$O$9</definedName>
    <definedName name="_frr5" localSheetId="9">'[4]Overlap two correlations (n1)'!$O$9</definedName>
    <definedName name="_frr5" localSheetId="10">'[4]Overlap two correlations (n1)'!$O$9</definedName>
    <definedName name="_frr5" localSheetId="5">'[4]Overlap two correlations (n1)'!$O$9</definedName>
    <definedName name="_frr5" localSheetId="7">'[4]Overlap two correlations (n1)'!$O$9</definedName>
    <definedName name="_frr5" localSheetId="12">'[5]Overlap two correlations (n1)'!$O$9</definedName>
    <definedName name="_frr5" localSheetId="4">'[4]Overlap two correlations (n1)'!$O$9</definedName>
    <definedName name="_frr5" localSheetId="3">'[4]Overlap two correlations (n1)'!$O$9</definedName>
    <definedName name="_frr5" localSheetId="6">'[4]Overlap two correlations (n1)'!$O$9</definedName>
    <definedName name="_frr5" localSheetId="8">'[4]Overlap two correlations (n1)'!$O$9</definedName>
    <definedName name="_frr5">'[4]Overlap two correlations (n1)'!$O$9</definedName>
    <definedName name="_frr50" localSheetId="11">'[4]Overlap two correlations (n1)'!$O$54</definedName>
    <definedName name="_frr50" localSheetId="9">'[4]Overlap two correlations (n1)'!$O$54</definedName>
    <definedName name="_frr50" localSheetId="10">'[4]Overlap two correlations (n1)'!$O$54</definedName>
    <definedName name="_frr50" localSheetId="5">'[4]Overlap two correlations (n1)'!$O$54</definedName>
    <definedName name="_frr50" localSheetId="7">'[4]Overlap two correlations (n1)'!$O$54</definedName>
    <definedName name="_frr50" localSheetId="12">'[5]Overlap two correlations (n1)'!$O$54</definedName>
    <definedName name="_frr50" localSheetId="4">'[4]Overlap two correlations (n1)'!$O$54</definedName>
    <definedName name="_frr50" localSheetId="3">'[4]Overlap two correlations (n1)'!$O$54</definedName>
    <definedName name="_frr50" localSheetId="6">'[4]Overlap two correlations (n1)'!$O$54</definedName>
    <definedName name="_frr50" localSheetId="8">'[4]Overlap two correlations (n1)'!$O$54</definedName>
    <definedName name="_frr50">'[4]Overlap two correlations (n1)'!$O$54</definedName>
    <definedName name="_frr51" localSheetId="11">'[4]Overlap two correlations (n1)'!$O$55</definedName>
    <definedName name="_frr51" localSheetId="9">'[4]Overlap two correlations (n1)'!$O$55</definedName>
    <definedName name="_frr51" localSheetId="10">'[4]Overlap two correlations (n1)'!$O$55</definedName>
    <definedName name="_frr51" localSheetId="5">'[4]Overlap two correlations (n1)'!$O$55</definedName>
    <definedName name="_frr51" localSheetId="7">'[4]Overlap two correlations (n1)'!$O$55</definedName>
    <definedName name="_frr51" localSheetId="12">'[5]Overlap two correlations (n1)'!$O$55</definedName>
    <definedName name="_frr51" localSheetId="4">'[4]Overlap two correlations (n1)'!$O$55</definedName>
    <definedName name="_frr51" localSheetId="3">'[4]Overlap two correlations (n1)'!$O$55</definedName>
    <definedName name="_frr51" localSheetId="6">'[4]Overlap two correlations (n1)'!$O$55</definedName>
    <definedName name="_frr51" localSheetId="8">'[4]Overlap two correlations (n1)'!$O$55</definedName>
    <definedName name="_frr51">'[4]Overlap two correlations (n1)'!$O$55</definedName>
    <definedName name="_frr52" localSheetId="11">'[4]Overlap two correlations (n1)'!$O$56</definedName>
    <definedName name="_frr52" localSheetId="9">'[4]Overlap two correlations (n1)'!$O$56</definedName>
    <definedName name="_frr52" localSheetId="10">'[4]Overlap two correlations (n1)'!$O$56</definedName>
    <definedName name="_frr52" localSheetId="5">'[4]Overlap two correlations (n1)'!$O$56</definedName>
    <definedName name="_frr52" localSheetId="7">'[4]Overlap two correlations (n1)'!$O$56</definedName>
    <definedName name="_frr52" localSheetId="12">'[5]Overlap two correlations (n1)'!$O$56</definedName>
    <definedName name="_frr52" localSheetId="4">'[4]Overlap two correlations (n1)'!$O$56</definedName>
    <definedName name="_frr52" localSheetId="3">'[4]Overlap two correlations (n1)'!$O$56</definedName>
    <definedName name="_frr52" localSheetId="6">'[4]Overlap two correlations (n1)'!$O$56</definedName>
    <definedName name="_frr52" localSheetId="8">'[4]Overlap two correlations (n1)'!$O$56</definedName>
    <definedName name="_frr52">'[4]Overlap two correlations (n1)'!$O$56</definedName>
    <definedName name="_frr53" localSheetId="11">'[4]Overlap two correlations (n1)'!$O$57</definedName>
    <definedName name="_frr53" localSheetId="9">'[4]Overlap two correlations (n1)'!$O$57</definedName>
    <definedName name="_frr53" localSheetId="10">'[4]Overlap two correlations (n1)'!$O$57</definedName>
    <definedName name="_frr53" localSheetId="5">'[4]Overlap two correlations (n1)'!$O$57</definedName>
    <definedName name="_frr53" localSheetId="7">'[4]Overlap two correlations (n1)'!$O$57</definedName>
    <definedName name="_frr53" localSheetId="12">'[5]Overlap two correlations (n1)'!$O$57</definedName>
    <definedName name="_frr53" localSheetId="4">'[4]Overlap two correlations (n1)'!$O$57</definedName>
    <definedName name="_frr53" localSheetId="3">'[4]Overlap two correlations (n1)'!$O$57</definedName>
    <definedName name="_frr53" localSheetId="6">'[4]Overlap two correlations (n1)'!$O$57</definedName>
    <definedName name="_frr53" localSheetId="8">'[4]Overlap two correlations (n1)'!$O$57</definedName>
    <definedName name="_frr53">'[4]Overlap two correlations (n1)'!$O$57</definedName>
    <definedName name="_frr54" localSheetId="11">'[4]Overlap two correlations (n1)'!$O$58</definedName>
    <definedName name="_frr54" localSheetId="9">'[4]Overlap two correlations (n1)'!$O$58</definedName>
    <definedName name="_frr54" localSheetId="10">'[4]Overlap two correlations (n1)'!$O$58</definedName>
    <definedName name="_frr54" localSheetId="5">'[4]Overlap two correlations (n1)'!$O$58</definedName>
    <definedName name="_frr54" localSheetId="7">'[4]Overlap two correlations (n1)'!$O$58</definedName>
    <definedName name="_frr54" localSheetId="12">'[5]Overlap two correlations (n1)'!$O$58</definedName>
    <definedName name="_frr54" localSheetId="4">'[4]Overlap two correlations (n1)'!$O$58</definedName>
    <definedName name="_frr54" localSheetId="3">'[4]Overlap two correlations (n1)'!$O$58</definedName>
    <definedName name="_frr54" localSheetId="6">'[4]Overlap two correlations (n1)'!$O$58</definedName>
    <definedName name="_frr54" localSheetId="8">'[4]Overlap two correlations (n1)'!$O$58</definedName>
    <definedName name="_frr54">'[4]Overlap two correlations (n1)'!$O$58</definedName>
    <definedName name="_frr55" localSheetId="11">'[4]Overlap two correlations (n1)'!$O$59</definedName>
    <definedName name="_frr55" localSheetId="9">'[4]Overlap two correlations (n1)'!$O$59</definedName>
    <definedName name="_frr55" localSheetId="10">'[4]Overlap two correlations (n1)'!$O$59</definedName>
    <definedName name="_frr55" localSheetId="5">'[4]Overlap two correlations (n1)'!$O$59</definedName>
    <definedName name="_frr55" localSheetId="7">'[4]Overlap two correlations (n1)'!$O$59</definedName>
    <definedName name="_frr55" localSheetId="12">'[5]Overlap two correlations (n1)'!$O$59</definedName>
    <definedName name="_frr55" localSheetId="4">'[4]Overlap two correlations (n1)'!$O$59</definedName>
    <definedName name="_frr55" localSheetId="3">'[4]Overlap two correlations (n1)'!$O$59</definedName>
    <definedName name="_frr55" localSheetId="6">'[4]Overlap two correlations (n1)'!$O$59</definedName>
    <definedName name="_frr55" localSheetId="8">'[4]Overlap two correlations (n1)'!$O$59</definedName>
    <definedName name="_frr55">'[4]Overlap two correlations (n1)'!$O$59</definedName>
    <definedName name="_frr56" localSheetId="11">'[4]Overlap two correlations (n1)'!$O$60</definedName>
    <definedName name="_frr56" localSheetId="9">'[4]Overlap two correlations (n1)'!$O$60</definedName>
    <definedName name="_frr56" localSheetId="10">'[4]Overlap two correlations (n1)'!$O$60</definedName>
    <definedName name="_frr56" localSheetId="5">'[4]Overlap two correlations (n1)'!$O$60</definedName>
    <definedName name="_frr56" localSheetId="7">'[4]Overlap two correlations (n1)'!$O$60</definedName>
    <definedName name="_frr56" localSheetId="12">'[5]Overlap two correlations (n1)'!$O$60</definedName>
    <definedName name="_frr56" localSheetId="4">'[4]Overlap two correlations (n1)'!$O$60</definedName>
    <definedName name="_frr56" localSheetId="3">'[4]Overlap two correlations (n1)'!$O$60</definedName>
    <definedName name="_frr56" localSheetId="6">'[4]Overlap two correlations (n1)'!$O$60</definedName>
    <definedName name="_frr56" localSheetId="8">'[4]Overlap two correlations (n1)'!$O$60</definedName>
    <definedName name="_frr56">'[4]Overlap two correlations (n1)'!$O$60</definedName>
    <definedName name="_frr57" localSheetId="11">'[4]Overlap two correlations (n1)'!$O$61</definedName>
    <definedName name="_frr57" localSheetId="9">'[4]Overlap two correlations (n1)'!$O$61</definedName>
    <definedName name="_frr57" localSheetId="10">'[4]Overlap two correlations (n1)'!$O$61</definedName>
    <definedName name="_frr57" localSheetId="5">'[4]Overlap two correlations (n1)'!$O$61</definedName>
    <definedName name="_frr57" localSheetId="7">'[4]Overlap two correlations (n1)'!$O$61</definedName>
    <definedName name="_frr57" localSheetId="12">'[5]Overlap two correlations (n1)'!$O$61</definedName>
    <definedName name="_frr57" localSheetId="4">'[4]Overlap two correlations (n1)'!$O$61</definedName>
    <definedName name="_frr57" localSheetId="3">'[4]Overlap two correlations (n1)'!$O$61</definedName>
    <definedName name="_frr57" localSheetId="6">'[4]Overlap two correlations (n1)'!$O$61</definedName>
    <definedName name="_frr57" localSheetId="8">'[4]Overlap two correlations (n1)'!$O$61</definedName>
    <definedName name="_frr57">'[4]Overlap two correlations (n1)'!$O$61</definedName>
    <definedName name="_frr58" localSheetId="11">'[4]Overlap two correlations (n1)'!$O$62</definedName>
    <definedName name="_frr58" localSheetId="9">'[4]Overlap two correlations (n1)'!$O$62</definedName>
    <definedName name="_frr58" localSheetId="10">'[4]Overlap two correlations (n1)'!$O$62</definedName>
    <definedName name="_frr58" localSheetId="5">'[4]Overlap two correlations (n1)'!$O$62</definedName>
    <definedName name="_frr58" localSheetId="7">'[4]Overlap two correlations (n1)'!$O$62</definedName>
    <definedName name="_frr58" localSheetId="12">'[5]Overlap two correlations (n1)'!$O$62</definedName>
    <definedName name="_frr58" localSheetId="4">'[4]Overlap two correlations (n1)'!$O$62</definedName>
    <definedName name="_frr58" localSheetId="3">'[4]Overlap two correlations (n1)'!$O$62</definedName>
    <definedName name="_frr58" localSheetId="6">'[4]Overlap two correlations (n1)'!$O$62</definedName>
    <definedName name="_frr58" localSheetId="8">'[4]Overlap two correlations (n1)'!$O$62</definedName>
    <definedName name="_frr58">'[4]Overlap two correlations (n1)'!$O$62</definedName>
    <definedName name="_frr59" localSheetId="11">'[4]Overlap two correlations (n1)'!$O$63</definedName>
    <definedName name="_frr59" localSheetId="9">'[4]Overlap two correlations (n1)'!$O$63</definedName>
    <definedName name="_frr59" localSheetId="10">'[4]Overlap two correlations (n1)'!$O$63</definedName>
    <definedName name="_frr59" localSheetId="5">'[4]Overlap two correlations (n1)'!$O$63</definedName>
    <definedName name="_frr59" localSheetId="7">'[4]Overlap two correlations (n1)'!$O$63</definedName>
    <definedName name="_frr59" localSheetId="12">'[5]Overlap two correlations (n1)'!$O$63</definedName>
    <definedName name="_frr59" localSheetId="4">'[4]Overlap two correlations (n1)'!$O$63</definedName>
    <definedName name="_frr59" localSheetId="3">'[4]Overlap two correlations (n1)'!$O$63</definedName>
    <definedName name="_frr59" localSheetId="6">'[4]Overlap two correlations (n1)'!$O$63</definedName>
    <definedName name="_frr59" localSheetId="8">'[4]Overlap two correlations (n1)'!$O$63</definedName>
    <definedName name="_frr59">'[4]Overlap two correlations (n1)'!$O$63</definedName>
    <definedName name="_frr6" localSheetId="11">'[4]Overlap two correlations (n1)'!$O$10</definedName>
    <definedName name="_frr6" localSheetId="9">'[4]Overlap two correlations (n1)'!$O$10</definedName>
    <definedName name="_frr6" localSheetId="10">'[4]Overlap two correlations (n1)'!$O$10</definedName>
    <definedName name="_frr6" localSheetId="5">'[4]Overlap two correlations (n1)'!$O$10</definedName>
    <definedName name="_frr6" localSheetId="7">'[4]Overlap two correlations (n1)'!$O$10</definedName>
    <definedName name="_frr6" localSheetId="12">'[5]Overlap two correlations (n1)'!$O$10</definedName>
    <definedName name="_frr6" localSheetId="4">'[4]Overlap two correlations (n1)'!$O$10</definedName>
    <definedName name="_frr6" localSheetId="3">'[4]Overlap two correlations (n1)'!$O$10</definedName>
    <definedName name="_frr6" localSheetId="6">'[4]Overlap two correlations (n1)'!$O$10</definedName>
    <definedName name="_frr6" localSheetId="8">'[4]Overlap two correlations (n1)'!$O$10</definedName>
    <definedName name="_frr6">'[4]Overlap two correlations (n1)'!$O$10</definedName>
    <definedName name="_frr60" localSheetId="11">'[4]Overlap two correlations (n1)'!$O$64</definedName>
    <definedName name="_frr60" localSheetId="9">'[4]Overlap two correlations (n1)'!$O$64</definedName>
    <definedName name="_frr60" localSheetId="10">'[4]Overlap two correlations (n1)'!$O$64</definedName>
    <definedName name="_frr60" localSheetId="5">'[4]Overlap two correlations (n1)'!$O$64</definedName>
    <definedName name="_frr60" localSheetId="7">'[4]Overlap two correlations (n1)'!$O$64</definedName>
    <definedName name="_frr60" localSheetId="12">'[5]Overlap two correlations (n1)'!$O$64</definedName>
    <definedName name="_frr60" localSheetId="4">'[4]Overlap two correlations (n1)'!$O$64</definedName>
    <definedName name="_frr60" localSheetId="3">'[4]Overlap two correlations (n1)'!$O$64</definedName>
    <definedName name="_frr60" localSheetId="6">'[4]Overlap two correlations (n1)'!$O$64</definedName>
    <definedName name="_frr60" localSheetId="8">'[4]Overlap two correlations (n1)'!$O$64</definedName>
    <definedName name="_frr60">'[4]Overlap two correlations (n1)'!$O$64</definedName>
    <definedName name="_frr7" localSheetId="11">'[4]Overlap two correlations (n1)'!$O$11</definedName>
    <definedName name="_frr7" localSheetId="9">'[4]Overlap two correlations (n1)'!$O$11</definedName>
    <definedName name="_frr7" localSheetId="10">'[4]Overlap two correlations (n1)'!$O$11</definedName>
    <definedName name="_frr7" localSheetId="5">'[4]Overlap two correlations (n1)'!$O$11</definedName>
    <definedName name="_frr7" localSheetId="7">'[4]Overlap two correlations (n1)'!$O$11</definedName>
    <definedName name="_frr7" localSheetId="12">'[5]Overlap two correlations (n1)'!$O$11</definedName>
    <definedName name="_frr7" localSheetId="4">'[4]Overlap two correlations (n1)'!$O$11</definedName>
    <definedName name="_frr7" localSheetId="3">'[4]Overlap two correlations (n1)'!$O$11</definedName>
    <definedName name="_frr7" localSheetId="6">'[4]Overlap two correlations (n1)'!$O$11</definedName>
    <definedName name="_frr7" localSheetId="8">'[4]Overlap two correlations (n1)'!$O$11</definedName>
    <definedName name="_frr7">'[4]Overlap two correlations (n1)'!$O$11</definedName>
    <definedName name="_frr8" localSheetId="11">'[4]Overlap two correlations (n1)'!$O$12</definedName>
    <definedName name="_frr8" localSheetId="9">'[4]Overlap two correlations (n1)'!$O$12</definedName>
    <definedName name="_frr8" localSheetId="10">'[4]Overlap two correlations (n1)'!$O$12</definedName>
    <definedName name="_frr8" localSheetId="5">'[4]Overlap two correlations (n1)'!$O$12</definedName>
    <definedName name="_frr8" localSheetId="7">'[4]Overlap two correlations (n1)'!$O$12</definedName>
    <definedName name="_frr8" localSheetId="12">'[5]Overlap two correlations (n1)'!$O$12</definedName>
    <definedName name="_frr8" localSheetId="4">'[4]Overlap two correlations (n1)'!$O$12</definedName>
    <definedName name="_frr8" localSheetId="3">'[4]Overlap two correlations (n1)'!$O$12</definedName>
    <definedName name="_frr8" localSheetId="6">'[4]Overlap two correlations (n1)'!$O$12</definedName>
    <definedName name="_frr8" localSheetId="8">'[4]Overlap two correlations (n1)'!$O$12</definedName>
    <definedName name="_frr8">'[4]Overlap two correlations (n1)'!$O$12</definedName>
    <definedName name="_frr9" localSheetId="11">'[4]Overlap two correlations (n1)'!$O$13</definedName>
    <definedName name="_frr9" localSheetId="9">'[4]Overlap two correlations (n1)'!$O$13</definedName>
    <definedName name="_frr9" localSheetId="10">'[4]Overlap two correlations (n1)'!$O$13</definedName>
    <definedName name="_frr9" localSheetId="5">'[4]Overlap two correlations (n1)'!$O$13</definedName>
    <definedName name="_frr9" localSheetId="7">'[4]Overlap two correlations (n1)'!$O$13</definedName>
    <definedName name="_frr9" localSheetId="12">'[5]Overlap two correlations (n1)'!$O$13</definedName>
    <definedName name="_frr9" localSheetId="4">'[4]Overlap two correlations (n1)'!$O$13</definedName>
    <definedName name="_frr9" localSheetId="3">'[4]Overlap two correlations (n1)'!$O$13</definedName>
    <definedName name="_frr9" localSheetId="6">'[4]Overlap two correlations (n1)'!$O$13</definedName>
    <definedName name="_frr9" localSheetId="8">'[4]Overlap two correlations (n1)'!$O$13</definedName>
    <definedName name="_frr9">'[4]Overlap two correlations (n1)'!$O$13</definedName>
    <definedName name="_tbz1" localSheetId="11">'[4]Overlap two proportions'!$AI$8</definedName>
    <definedName name="_tbz1" localSheetId="9">'[4]Overlap two proportions'!$AI$8</definedName>
    <definedName name="_tbz1" localSheetId="10">'[4]Overlap two proportions'!$AI$8</definedName>
    <definedName name="_tbz1" localSheetId="5">'[4]Overlap two proportions'!$AI$8</definedName>
    <definedName name="_tbz1" localSheetId="7">'[4]Overlap two proportions'!$AI$8</definedName>
    <definedName name="_tbz1" localSheetId="12">'[5]Overlap two proportions'!$AI$8</definedName>
    <definedName name="_tbz1" localSheetId="4">'[4]Overlap two proportions'!$AI$8</definedName>
    <definedName name="_tbz1" localSheetId="3">'[4]Overlap two proportions'!$AI$8</definedName>
    <definedName name="_tbz1" localSheetId="6">'[4]Overlap two proportions'!$AI$8</definedName>
    <definedName name="_tbz1" localSheetId="8">'[4]Overlap two proportions'!$AI$8</definedName>
    <definedName name="_tbz1">'[4]Overlap two proportions'!$AI$8</definedName>
    <definedName name="_tbz10" localSheetId="11">'[4]Overlap two proportions'!$AI$17</definedName>
    <definedName name="_tbz10" localSheetId="9">'[4]Overlap two proportions'!$AI$17</definedName>
    <definedName name="_tbz10" localSheetId="10">'[4]Overlap two proportions'!$AI$17</definedName>
    <definedName name="_tbz10" localSheetId="5">'[4]Overlap two proportions'!$AI$17</definedName>
    <definedName name="_tbz10" localSheetId="7">'[4]Overlap two proportions'!$AI$17</definedName>
    <definedName name="_tbz10" localSheetId="12">'[5]Overlap two proportions'!$AI$17</definedName>
    <definedName name="_tbz10" localSheetId="4">'[4]Overlap two proportions'!$AI$17</definedName>
    <definedName name="_tbz10" localSheetId="3">'[4]Overlap two proportions'!$AI$17</definedName>
    <definedName name="_tbz10" localSheetId="6">'[4]Overlap two proportions'!$AI$17</definedName>
    <definedName name="_tbz10" localSheetId="8">'[4]Overlap two proportions'!$AI$17</definedName>
    <definedName name="_tbz10">'[4]Overlap two proportions'!$AI$17</definedName>
    <definedName name="_tbz11" localSheetId="11">'[4]Overlap two proportions'!$AI$18</definedName>
    <definedName name="_tbz11" localSheetId="9">'[4]Overlap two proportions'!$AI$18</definedName>
    <definedName name="_tbz11" localSheetId="10">'[4]Overlap two proportions'!$AI$18</definedName>
    <definedName name="_tbz11" localSheetId="5">'[4]Overlap two proportions'!$AI$18</definedName>
    <definedName name="_tbz11" localSheetId="7">'[4]Overlap two proportions'!$AI$18</definedName>
    <definedName name="_tbz11" localSheetId="12">'[5]Overlap two proportions'!$AI$18</definedName>
    <definedName name="_tbz11" localSheetId="4">'[4]Overlap two proportions'!$AI$18</definedName>
    <definedName name="_tbz11" localSheetId="3">'[4]Overlap two proportions'!$AI$18</definedName>
    <definedName name="_tbz11" localSheetId="6">'[4]Overlap two proportions'!$AI$18</definedName>
    <definedName name="_tbz11" localSheetId="8">'[4]Overlap two proportions'!$AI$18</definedName>
    <definedName name="_tbz11">'[4]Overlap two proportions'!$AI$18</definedName>
    <definedName name="_tbz12" localSheetId="11">'[4]Overlap two proportions'!$AI$19</definedName>
    <definedName name="_tbz12" localSheetId="9">'[4]Overlap two proportions'!$AI$19</definedName>
    <definedName name="_tbz12" localSheetId="10">'[4]Overlap two proportions'!$AI$19</definedName>
    <definedName name="_tbz12" localSheetId="5">'[4]Overlap two proportions'!$AI$19</definedName>
    <definedName name="_tbz12" localSheetId="7">'[4]Overlap two proportions'!$AI$19</definedName>
    <definedName name="_tbz12" localSheetId="12">'[5]Overlap two proportions'!$AI$19</definedName>
    <definedName name="_tbz12" localSheetId="4">'[4]Overlap two proportions'!$AI$19</definedName>
    <definedName name="_tbz12" localSheetId="3">'[4]Overlap two proportions'!$AI$19</definedName>
    <definedName name="_tbz12" localSheetId="6">'[4]Overlap two proportions'!$AI$19</definedName>
    <definedName name="_tbz12" localSheetId="8">'[4]Overlap two proportions'!$AI$19</definedName>
    <definedName name="_tbz12">'[4]Overlap two proportions'!$AI$19</definedName>
    <definedName name="_tbz13" localSheetId="11">'[4]Overlap two proportions'!$AI$20</definedName>
    <definedName name="_tbz13" localSheetId="9">'[4]Overlap two proportions'!$AI$20</definedName>
    <definedName name="_tbz13" localSheetId="10">'[4]Overlap two proportions'!$AI$20</definedName>
    <definedName name="_tbz13" localSheetId="5">'[4]Overlap two proportions'!$AI$20</definedName>
    <definedName name="_tbz13" localSheetId="7">'[4]Overlap two proportions'!$AI$20</definedName>
    <definedName name="_tbz13" localSheetId="12">'[5]Overlap two proportions'!$AI$20</definedName>
    <definedName name="_tbz13" localSheetId="4">'[4]Overlap two proportions'!$AI$20</definedName>
    <definedName name="_tbz13" localSheetId="3">'[4]Overlap two proportions'!$AI$20</definedName>
    <definedName name="_tbz13" localSheetId="6">'[4]Overlap two proportions'!$AI$20</definedName>
    <definedName name="_tbz13" localSheetId="8">'[4]Overlap two proportions'!$AI$20</definedName>
    <definedName name="_tbz13">'[4]Overlap two proportions'!$AI$20</definedName>
    <definedName name="_tbz14" localSheetId="11">'[4]Overlap two proportions'!$AI$21</definedName>
    <definedName name="_tbz14" localSheetId="9">'[4]Overlap two proportions'!$AI$21</definedName>
    <definedName name="_tbz14" localSheetId="10">'[4]Overlap two proportions'!$AI$21</definedName>
    <definedName name="_tbz14" localSheetId="5">'[4]Overlap two proportions'!$AI$21</definedName>
    <definedName name="_tbz14" localSheetId="7">'[4]Overlap two proportions'!$AI$21</definedName>
    <definedName name="_tbz14" localSheetId="12">'[5]Overlap two proportions'!$AI$21</definedName>
    <definedName name="_tbz14" localSheetId="4">'[4]Overlap two proportions'!$AI$21</definedName>
    <definedName name="_tbz14" localSheetId="3">'[4]Overlap two proportions'!$AI$21</definedName>
    <definedName name="_tbz14" localSheetId="6">'[4]Overlap two proportions'!$AI$21</definedName>
    <definedName name="_tbz14" localSheetId="8">'[4]Overlap two proportions'!$AI$21</definedName>
    <definedName name="_tbz14">'[4]Overlap two proportions'!$AI$21</definedName>
    <definedName name="_tbz15" localSheetId="11">'[4]Overlap two proportions'!$AI$22</definedName>
    <definedName name="_tbz15" localSheetId="9">'[4]Overlap two proportions'!$AI$22</definedName>
    <definedName name="_tbz15" localSheetId="10">'[4]Overlap two proportions'!$AI$22</definedName>
    <definedName name="_tbz15" localSheetId="5">'[4]Overlap two proportions'!$AI$22</definedName>
    <definedName name="_tbz15" localSheetId="7">'[4]Overlap two proportions'!$AI$22</definedName>
    <definedName name="_tbz15" localSheetId="12">'[5]Overlap two proportions'!$AI$22</definedName>
    <definedName name="_tbz15" localSheetId="4">'[4]Overlap two proportions'!$AI$22</definedName>
    <definedName name="_tbz15" localSheetId="3">'[4]Overlap two proportions'!$AI$22</definedName>
    <definedName name="_tbz15" localSheetId="6">'[4]Overlap two proportions'!$AI$22</definedName>
    <definedName name="_tbz15" localSheetId="8">'[4]Overlap two proportions'!$AI$22</definedName>
    <definedName name="_tbz15">'[4]Overlap two proportions'!$AI$22</definedName>
    <definedName name="_tbz16" localSheetId="11">'[4]Overlap two proportions'!$AI$23</definedName>
    <definedName name="_tbz16" localSheetId="9">'[4]Overlap two proportions'!$AI$23</definedName>
    <definedName name="_tbz16" localSheetId="10">'[4]Overlap two proportions'!$AI$23</definedName>
    <definedName name="_tbz16" localSheetId="5">'[4]Overlap two proportions'!$AI$23</definedName>
    <definedName name="_tbz16" localSheetId="7">'[4]Overlap two proportions'!$AI$23</definedName>
    <definedName name="_tbz16" localSheetId="12">'[5]Overlap two proportions'!$AI$23</definedName>
    <definedName name="_tbz16" localSheetId="4">'[4]Overlap two proportions'!$AI$23</definedName>
    <definedName name="_tbz16" localSheetId="3">'[4]Overlap two proportions'!$AI$23</definedName>
    <definedName name="_tbz16" localSheetId="6">'[4]Overlap two proportions'!$AI$23</definedName>
    <definedName name="_tbz16" localSheetId="8">'[4]Overlap two proportions'!$AI$23</definedName>
    <definedName name="_tbz16">'[4]Overlap two proportions'!$AI$23</definedName>
    <definedName name="_tbz17" localSheetId="11">'[4]Overlap two proportions'!$AI$24</definedName>
    <definedName name="_tbz17" localSheetId="9">'[4]Overlap two proportions'!$AI$24</definedName>
    <definedName name="_tbz17" localSheetId="10">'[4]Overlap two proportions'!$AI$24</definedName>
    <definedName name="_tbz17" localSheetId="5">'[4]Overlap two proportions'!$AI$24</definedName>
    <definedName name="_tbz17" localSheetId="7">'[4]Overlap two proportions'!$AI$24</definedName>
    <definedName name="_tbz17" localSheetId="12">'[5]Overlap two proportions'!$AI$24</definedName>
    <definedName name="_tbz17" localSheetId="4">'[4]Overlap two proportions'!$AI$24</definedName>
    <definedName name="_tbz17" localSheetId="3">'[4]Overlap two proportions'!$AI$24</definedName>
    <definedName name="_tbz17" localSheetId="6">'[4]Overlap two proportions'!$AI$24</definedName>
    <definedName name="_tbz17" localSheetId="8">'[4]Overlap two proportions'!$AI$24</definedName>
    <definedName name="_tbz17">'[4]Overlap two proportions'!$AI$24</definedName>
    <definedName name="_tbz18" localSheetId="11">'[4]Overlap two proportions'!$AI$25</definedName>
    <definedName name="_tbz18" localSheetId="9">'[4]Overlap two proportions'!$AI$25</definedName>
    <definedName name="_tbz18" localSheetId="10">'[4]Overlap two proportions'!$AI$25</definedName>
    <definedName name="_tbz18" localSheetId="5">'[4]Overlap two proportions'!$AI$25</definedName>
    <definedName name="_tbz18" localSheetId="7">'[4]Overlap two proportions'!$AI$25</definedName>
    <definedName name="_tbz18" localSheetId="12">'[5]Overlap two proportions'!$AI$25</definedName>
    <definedName name="_tbz18" localSheetId="4">'[4]Overlap two proportions'!$AI$25</definedName>
    <definedName name="_tbz18" localSheetId="3">'[4]Overlap two proportions'!$AI$25</definedName>
    <definedName name="_tbz18" localSheetId="6">'[4]Overlap two proportions'!$AI$25</definedName>
    <definedName name="_tbz18" localSheetId="8">'[4]Overlap two proportions'!$AI$25</definedName>
    <definedName name="_tbz18">'[4]Overlap two proportions'!$AI$25</definedName>
    <definedName name="_tbz19" localSheetId="11">'[4]Overlap two proportions'!$AI$26</definedName>
    <definedName name="_tbz19" localSheetId="9">'[4]Overlap two proportions'!$AI$26</definedName>
    <definedName name="_tbz19" localSheetId="10">'[4]Overlap two proportions'!$AI$26</definedName>
    <definedName name="_tbz19" localSheetId="5">'[4]Overlap two proportions'!$AI$26</definedName>
    <definedName name="_tbz19" localSheetId="7">'[4]Overlap two proportions'!$AI$26</definedName>
    <definedName name="_tbz19" localSheetId="12">'[5]Overlap two proportions'!$AI$26</definedName>
    <definedName name="_tbz19" localSheetId="4">'[4]Overlap two proportions'!$AI$26</definedName>
    <definedName name="_tbz19" localSheetId="3">'[4]Overlap two proportions'!$AI$26</definedName>
    <definedName name="_tbz19" localSheetId="6">'[4]Overlap two proportions'!$AI$26</definedName>
    <definedName name="_tbz19" localSheetId="8">'[4]Overlap two proportions'!$AI$26</definedName>
    <definedName name="_tbz19">'[4]Overlap two proportions'!$AI$26</definedName>
    <definedName name="_tbz2" localSheetId="11">'[4]Overlap two proportions'!$AI$9</definedName>
    <definedName name="_tbz2" localSheetId="9">'[4]Overlap two proportions'!$AI$9</definedName>
    <definedName name="_tbz2" localSheetId="10">'[4]Overlap two proportions'!$AI$9</definedName>
    <definedName name="_tbz2" localSheetId="5">'[4]Overlap two proportions'!$AI$9</definedName>
    <definedName name="_tbz2" localSheetId="7">'[4]Overlap two proportions'!$AI$9</definedName>
    <definedName name="_tbz2" localSheetId="12">'[5]Overlap two proportions'!$AI$9</definedName>
    <definedName name="_tbz2" localSheetId="4">'[4]Overlap two proportions'!$AI$9</definedName>
    <definedName name="_tbz2" localSheetId="3">'[4]Overlap two proportions'!$AI$9</definedName>
    <definedName name="_tbz2" localSheetId="6">'[4]Overlap two proportions'!$AI$9</definedName>
    <definedName name="_tbz2" localSheetId="8">'[4]Overlap two proportions'!$AI$9</definedName>
    <definedName name="_tbz2">'[4]Overlap two proportions'!$AI$9</definedName>
    <definedName name="_tbz20" localSheetId="11">'[4]Overlap two proportions'!$AI$27</definedName>
    <definedName name="_tbz20" localSheetId="9">'[4]Overlap two proportions'!$AI$27</definedName>
    <definedName name="_tbz20" localSheetId="10">'[4]Overlap two proportions'!$AI$27</definedName>
    <definedName name="_tbz20" localSheetId="5">'[4]Overlap two proportions'!$AI$27</definedName>
    <definedName name="_tbz20" localSheetId="7">'[4]Overlap two proportions'!$AI$27</definedName>
    <definedName name="_tbz20" localSheetId="12">'[5]Overlap two proportions'!$AI$27</definedName>
    <definedName name="_tbz20" localSheetId="4">'[4]Overlap two proportions'!$AI$27</definedName>
    <definedName name="_tbz20" localSheetId="3">'[4]Overlap two proportions'!$AI$27</definedName>
    <definedName name="_tbz20" localSheetId="6">'[4]Overlap two proportions'!$AI$27</definedName>
    <definedName name="_tbz20" localSheetId="8">'[4]Overlap two proportions'!$AI$27</definedName>
    <definedName name="_tbz20">'[4]Overlap two proportions'!$AI$27</definedName>
    <definedName name="_tbz21" localSheetId="11">'[4]Overlap two proportions'!$AI$28</definedName>
    <definedName name="_tbz21" localSheetId="9">'[4]Overlap two proportions'!$AI$28</definedName>
    <definedName name="_tbz21" localSheetId="10">'[4]Overlap two proportions'!$AI$28</definedName>
    <definedName name="_tbz21" localSheetId="5">'[4]Overlap two proportions'!$AI$28</definedName>
    <definedName name="_tbz21" localSheetId="7">'[4]Overlap two proportions'!$AI$28</definedName>
    <definedName name="_tbz21" localSheetId="12">'[5]Overlap two proportions'!$AI$28</definedName>
    <definedName name="_tbz21" localSheetId="4">'[4]Overlap two proportions'!$AI$28</definedName>
    <definedName name="_tbz21" localSheetId="3">'[4]Overlap two proportions'!$AI$28</definedName>
    <definedName name="_tbz21" localSheetId="6">'[4]Overlap two proportions'!$AI$28</definedName>
    <definedName name="_tbz21" localSheetId="8">'[4]Overlap two proportions'!$AI$28</definedName>
    <definedName name="_tbz21">'[4]Overlap two proportions'!$AI$28</definedName>
    <definedName name="_tbz22" localSheetId="11">'[4]Overlap two proportions'!$AI$29</definedName>
    <definedName name="_tbz22" localSheetId="9">'[4]Overlap two proportions'!$AI$29</definedName>
    <definedName name="_tbz22" localSheetId="10">'[4]Overlap two proportions'!$AI$29</definedName>
    <definedName name="_tbz22" localSheetId="5">'[4]Overlap two proportions'!$AI$29</definedName>
    <definedName name="_tbz22" localSheetId="7">'[4]Overlap two proportions'!$AI$29</definedName>
    <definedName name="_tbz22" localSheetId="12">'[5]Overlap two proportions'!$AI$29</definedName>
    <definedName name="_tbz22" localSheetId="4">'[4]Overlap two proportions'!$AI$29</definedName>
    <definedName name="_tbz22" localSheetId="3">'[4]Overlap two proportions'!$AI$29</definedName>
    <definedName name="_tbz22" localSheetId="6">'[4]Overlap two proportions'!$AI$29</definedName>
    <definedName name="_tbz22" localSheetId="8">'[4]Overlap two proportions'!$AI$29</definedName>
    <definedName name="_tbz22">'[4]Overlap two proportions'!$AI$29</definedName>
    <definedName name="_tbz23" localSheetId="11">'[4]Overlap two proportions'!$AI$30</definedName>
    <definedName name="_tbz23" localSheetId="9">'[4]Overlap two proportions'!$AI$30</definedName>
    <definedName name="_tbz23" localSheetId="10">'[4]Overlap two proportions'!$AI$30</definedName>
    <definedName name="_tbz23" localSheetId="5">'[4]Overlap two proportions'!$AI$30</definedName>
    <definedName name="_tbz23" localSheetId="7">'[4]Overlap two proportions'!$AI$30</definedName>
    <definedName name="_tbz23" localSheetId="12">'[5]Overlap two proportions'!$AI$30</definedName>
    <definedName name="_tbz23" localSheetId="4">'[4]Overlap two proportions'!$AI$30</definedName>
    <definedName name="_tbz23" localSheetId="3">'[4]Overlap two proportions'!$AI$30</definedName>
    <definedName name="_tbz23" localSheetId="6">'[4]Overlap two proportions'!$AI$30</definedName>
    <definedName name="_tbz23" localSheetId="8">'[4]Overlap two proportions'!$AI$30</definedName>
    <definedName name="_tbz23">'[4]Overlap two proportions'!$AI$30</definedName>
    <definedName name="_tbz24" localSheetId="11">'[4]Overlap two proportions'!$AI$31</definedName>
    <definedName name="_tbz24" localSheetId="9">'[4]Overlap two proportions'!$AI$31</definedName>
    <definedName name="_tbz24" localSheetId="10">'[4]Overlap two proportions'!$AI$31</definedName>
    <definedName name="_tbz24" localSheetId="5">'[4]Overlap two proportions'!$AI$31</definedName>
    <definedName name="_tbz24" localSheetId="7">'[4]Overlap two proportions'!$AI$31</definedName>
    <definedName name="_tbz24" localSheetId="12">'[5]Overlap two proportions'!$AI$31</definedName>
    <definedName name="_tbz24" localSheetId="4">'[4]Overlap two proportions'!$AI$31</definedName>
    <definedName name="_tbz24" localSheetId="3">'[4]Overlap two proportions'!$AI$31</definedName>
    <definedName name="_tbz24" localSheetId="6">'[4]Overlap two proportions'!$AI$31</definedName>
    <definedName name="_tbz24" localSheetId="8">'[4]Overlap two proportions'!$AI$31</definedName>
    <definedName name="_tbz24">'[4]Overlap two proportions'!$AI$31</definedName>
    <definedName name="_tbz25" localSheetId="11">'[4]Overlap two proportions'!$AI$32</definedName>
    <definedName name="_tbz25" localSheetId="9">'[4]Overlap two proportions'!$AI$32</definedName>
    <definedName name="_tbz25" localSheetId="10">'[4]Overlap two proportions'!$AI$32</definedName>
    <definedName name="_tbz25" localSheetId="5">'[4]Overlap two proportions'!$AI$32</definedName>
    <definedName name="_tbz25" localSheetId="7">'[4]Overlap two proportions'!$AI$32</definedName>
    <definedName name="_tbz25" localSheetId="12">'[5]Overlap two proportions'!$AI$32</definedName>
    <definedName name="_tbz25" localSheetId="4">'[4]Overlap two proportions'!$AI$32</definedName>
    <definedName name="_tbz25" localSheetId="3">'[4]Overlap two proportions'!$AI$32</definedName>
    <definedName name="_tbz25" localSheetId="6">'[4]Overlap two proportions'!$AI$32</definedName>
    <definedName name="_tbz25" localSheetId="8">'[4]Overlap two proportions'!$AI$32</definedName>
    <definedName name="_tbz25">'[4]Overlap two proportions'!$AI$32</definedName>
    <definedName name="_tbz26" localSheetId="11">'[4]Overlap two proportions'!$AI$33</definedName>
    <definedName name="_tbz26" localSheetId="9">'[4]Overlap two proportions'!$AI$33</definedName>
    <definedName name="_tbz26" localSheetId="10">'[4]Overlap two proportions'!$AI$33</definedName>
    <definedName name="_tbz26" localSheetId="5">'[4]Overlap two proportions'!$AI$33</definedName>
    <definedName name="_tbz26" localSheetId="7">'[4]Overlap two proportions'!$AI$33</definedName>
    <definedName name="_tbz26" localSheetId="12">'[5]Overlap two proportions'!$AI$33</definedName>
    <definedName name="_tbz26" localSheetId="4">'[4]Overlap two proportions'!$AI$33</definedName>
    <definedName name="_tbz26" localSheetId="3">'[4]Overlap two proportions'!$AI$33</definedName>
    <definedName name="_tbz26" localSheetId="6">'[4]Overlap two proportions'!$AI$33</definedName>
    <definedName name="_tbz26" localSheetId="8">'[4]Overlap two proportions'!$AI$33</definedName>
    <definedName name="_tbz26">'[4]Overlap two proportions'!$AI$33</definedName>
    <definedName name="_tbz27" localSheetId="11">'[4]Overlap two proportions'!$AI$34</definedName>
    <definedName name="_tbz27" localSheetId="9">'[4]Overlap two proportions'!$AI$34</definedName>
    <definedName name="_tbz27" localSheetId="10">'[4]Overlap two proportions'!$AI$34</definedName>
    <definedName name="_tbz27" localSheetId="5">'[4]Overlap two proportions'!$AI$34</definedName>
    <definedName name="_tbz27" localSheetId="7">'[4]Overlap two proportions'!$AI$34</definedName>
    <definedName name="_tbz27" localSheetId="12">'[5]Overlap two proportions'!$AI$34</definedName>
    <definedName name="_tbz27" localSheetId="4">'[4]Overlap two proportions'!$AI$34</definedName>
    <definedName name="_tbz27" localSheetId="3">'[4]Overlap two proportions'!$AI$34</definedName>
    <definedName name="_tbz27" localSheetId="6">'[4]Overlap two proportions'!$AI$34</definedName>
    <definedName name="_tbz27" localSheetId="8">'[4]Overlap two proportions'!$AI$34</definedName>
    <definedName name="_tbz27">'[4]Overlap two proportions'!$AI$34</definedName>
    <definedName name="_tbz28" localSheetId="11">'[4]Overlap two proportions'!$AI$35</definedName>
    <definedName name="_tbz28" localSheetId="9">'[4]Overlap two proportions'!$AI$35</definedName>
    <definedName name="_tbz28" localSheetId="10">'[4]Overlap two proportions'!$AI$35</definedName>
    <definedName name="_tbz28" localSheetId="5">'[4]Overlap two proportions'!$AI$35</definedName>
    <definedName name="_tbz28" localSheetId="7">'[4]Overlap two proportions'!$AI$35</definedName>
    <definedName name="_tbz28" localSheetId="12">'[5]Overlap two proportions'!$AI$35</definedName>
    <definedName name="_tbz28" localSheetId="4">'[4]Overlap two proportions'!$AI$35</definedName>
    <definedName name="_tbz28" localSheetId="3">'[4]Overlap two proportions'!$AI$35</definedName>
    <definedName name="_tbz28" localSheetId="6">'[4]Overlap two proportions'!$AI$35</definedName>
    <definedName name="_tbz28" localSheetId="8">'[4]Overlap two proportions'!$AI$35</definedName>
    <definedName name="_tbz28">'[4]Overlap two proportions'!$AI$35</definedName>
    <definedName name="_tbz29" localSheetId="11">'[4]Overlap two proportions'!$AI$36</definedName>
    <definedName name="_tbz29" localSheetId="9">'[4]Overlap two proportions'!$AI$36</definedName>
    <definedName name="_tbz29" localSheetId="10">'[4]Overlap two proportions'!$AI$36</definedName>
    <definedName name="_tbz29" localSheetId="5">'[4]Overlap two proportions'!$AI$36</definedName>
    <definedName name="_tbz29" localSheetId="7">'[4]Overlap two proportions'!$AI$36</definedName>
    <definedName name="_tbz29" localSheetId="12">'[5]Overlap two proportions'!$AI$36</definedName>
    <definedName name="_tbz29" localSheetId="4">'[4]Overlap two proportions'!$AI$36</definedName>
    <definedName name="_tbz29" localSheetId="3">'[4]Overlap two proportions'!$AI$36</definedName>
    <definedName name="_tbz29" localSheetId="6">'[4]Overlap two proportions'!$AI$36</definedName>
    <definedName name="_tbz29" localSheetId="8">'[4]Overlap two proportions'!$AI$36</definedName>
    <definedName name="_tbz29">'[4]Overlap two proportions'!$AI$36</definedName>
    <definedName name="_tbz3" localSheetId="11">'[4]Overlap two proportions'!$AI$10</definedName>
    <definedName name="_tbz3" localSheetId="9">'[4]Overlap two proportions'!$AI$10</definedName>
    <definedName name="_tbz3" localSheetId="10">'[4]Overlap two proportions'!$AI$10</definedName>
    <definedName name="_tbz3" localSheetId="5">'[4]Overlap two proportions'!$AI$10</definedName>
    <definedName name="_tbz3" localSheetId="7">'[4]Overlap two proportions'!$AI$10</definedName>
    <definedName name="_tbz3" localSheetId="12">'[5]Overlap two proportions'!$AI$10</definedName>
    <definedName name="_tbz3" localSheetId="4">'[4]Overlap two proportions'!$AI$10</definedName>
    <definedName name="_tbz3" localSheetId="3">'[4]Overlap two proportions'!$AI$10</definedName>
    <definedName name="_tbz3" localSheetId="6">'[4]Overlap two proportions'!$AI$10</definedName>
    <definedName name="_tbz3" localSheetId="8">'[4]Overlap two proportions'!$AI$10</definedName>
    <definedName name="_tbz3">'[4]Overlap two proportions'!$AI$10</definedName>
    <definedName name="_tbz30" localSheetId="11">'[4]Overlap two proportions'!$AI$37</definedName>
    <definedName name="_tbz30" localSheetId="9">'[4]Overlap two proportions'!$AI$37</definedName>
    <definedName name="_tbz30" localSheetId="10">'[4]Overlap two proportions'!$AI$37</definedName>
    <definedName name="_tbz30" localSheetId="5">'[4]Overlap two proportions'!$AI$37</definedName>
    <definedName name="_tbz30" localSheetId="7">'[4]Overlap two proportions'!$AI$37</definedName>
    <definedName name="_tbz30" localSheetId="12">'[5]Overlap two proportions'!$AI$37</definedName>
    <definedName name="_tbz30" localSheetId="4">'[4]Overlap two proportions'!$AI$37</definedName>
    <definedName name="_tbz30" localSheetId="3">'[4]Overlap two proportions'!$AI$37</definedName>
    <definedName name="_tbz30" localSheetId="6">'[4]Overlap two proportions'!$AI$37</definedName>
    <definedName name="_tbz30" localSheetId="8">'[4]Overlap two proportions'!$AI$37</definedName>
    <definedName name="_tbz30">'[4]Overlap two proportions'!$AI$37</definedName>
    <definedName name="_tbz31" localSheetId="11">'[4]Overlap two proportions'!$AI$38</definedName>
    <definedName name="_tbz31" localSheetId="9">'[4]Overlap two proportions'!$AI$38</definedName>
    <definedName name="_tbz31" localSheetId="10">'[4]Overlap two proportions'!$AI$38</definedName>
    <definedName name="_tbz31" localSheetId="5">'[4]Overlap two proportions'!$AI$38</definedName>
    <definedName name="_tbz31" localSheetId="7">'[4]Overlap two proportions'!$AI$38</definedName>
    <definedName name="_tbz31" localSheetId="12">'[5]Overlap two proportions'!$AI$38</definedName>
    <definedName name="_tbz31" localSheetId="4">'[4]Overlap two proportions'!$AI$38</definedName>
    <definedName name="_tbz31" localSheetId="3">'[4]Overlap two proportions'!$AI$38</definedName>
    <definedName name="_tbz31" localSheetId="6">'[4]Overlap two proportions'!$AI$38</definedName>
    <definedName name="_tbz31" localSheetId="8">'[4]Overlap two proportions'!$AI$38</definedName>
    <definedName name="_tbz31">'[4]Overlap two proportions'!$AI$38</definedName>
    <definedName name="_tbz32" localSheetId="11">'[4]Overlap two proportions'!$AI$39</definedName>
    <definedName name="_tbz32" localSheetId="9">'[4]Overlap two proportions'!$AI$39</definedName>
    <definedName name="_tbz32" localSheetId="10">'[4]Overlap two proportions'!$AI$39</definedName>
    <definedName name="_tbz32" localSheetId="5">'[4]Overlap two proportions'!$AI$39</definedName>
    <definedName name="_tbz32" localSheetId="7">'[4]Overlap two proportions'!$AI$39</definedName>
    <definedName name="_tbz32" localSheetId="12">'[5]Overlap two proportions'!$AI$39</definedName>
    <definedName name="_tbz32" localSheetId="4">'[4]Overlap two proportions'!$AI$39</definedName>
    <definedName name="_tbz32" localSheetId="3">'[4]Overlap two proportions'!$AI$39</definedName>
    <definedName name="_tbz32" localSheetId="6">'[4]Overlap two proportions'!$AI$39</definedName>
    <definedName name="_tbz32" localSheetId="8">'[4]Overlap two proportions'!$AI$39</definedName>
    <definedName name="_tbz32">'[4]Overlap two proportions'!$AI$39</definedName>
    <definedName name="_tbz33" localSheetId="11">'[4]Overlap two proportions'!$AI$40</definedName>
    <definedName name="_tbz33" localSheetId="9">'[4]Overlap two proportions'!$AI$40</definedName>
    <definedName name="_tbz33" localSheetId="10">'[4]Overlap two proportions'!$AI$40</definedName>
    <definedName name="_tbz33" localSheetId="5">'[4]Overlap two proportions'!$AI$40</definedName>
    <definedName name="_tbz33" localSheetId="7">'[4]Overlap two proportions'!$AI$40</definedName>
    <definedName name="_tbz33" localSheetId="12">'[5]Overlap two proportions'!$AI$40</definedName>
    <definedName name="_tbz33" localSheetId="4">'[4]Overlap two proportions'!$AI$40</definedName>
    <definedName name="_tbz33" localSheetId="3">'[4]Overlap two proportions'!$AI$40</definedName>
    <definedName name="_tbz33" localSheetId="6">'[4]Overlap two proportions'!$AI$40</definedName>
    <definedName name="_tbz33" localSheetId="8">'[4]Overlap two proportions'!$AI$40</definedName>
    <definedName name="_tbz33">'[4]Overlap two proportions'!$AI$40</definedName>
    <definedName name="_tbz34" localSheetId="11">'[4]Overlap two proportions'!$AI$41</definedName>
    <definedName name="_tbz34" localSheetId="9">'[4]Overlap two proportions'!$AI$41</definedName>
    <definedName name="_tbz34" localSheetId="10">'[4]Overlap two proportions'!$AI$41</definedName>
    <definedName name="_tbz34" localSheetId="5">'[4]Overlap two proportions'!$AI$41</definedName>
    <definedName name="_tbz34" localSheetId="7">'[4]Overlap two proportions'!$AI$41</definedName>
    <definedName name="_tbz34" localSheetId="12">'[5]Overlap two proportions'!$AI$41</definedName>
    <definedName name="_tbz34" localSheetId="4">'[4]Overlap two proportions'!$AI$41</definedName>
    <definedName name="_tbz34" localSheetId="3">'[4]Overlap two proportions'!$AI$41</definedName>
    <definedName name="_tbz34" localSheetId="6">'[4]Overlap two proportions'!$AI$41</definedName>
    <definedName name="_tbz34" localSheetId="8">'[4]Overlap two proportions'!$AI$41</definedName>
    <definedName name="_tbz34">'[4]Overlap two proportions'!$AI$41</definedName>
    <definedName name="_tbz35" localSheetId="11">'[4]Overlap two proportions'!$AI$42</definedName>
    <definedName name="_tbz35" localSheetId="9">'[4]Overlap two proportions'!$AI$42</definedName>
    <definedName name="_tbz35" localSheetId="10">'[4]Overlap two proportions'!$AI$42</definedName>
    <definedName name="_tbz35" localSheetId="5">'[4]Overlap two proportions'!$AI$42</definedName>
    <definedName name="_tbz35" localSheetId="7">'[4]Overlap two proportions'!$AI$42</definedName>
    <definedName name="_tbz35" localSheetId="12">'[5]Overlap two proportions'!$AI$42</definedName>
    <definedName name="_tbz35" localSheetId="4">'[4]Overlap two proportions'!$AI$42</definedName>
    <definedName name="_tbz35" localSheetId="3">'[4]Overlap two proportions'!$AI$42</definedName>
    <definedName name="_tbz35" localSheetId="6">'[4]Overlap two proportions'!$AI$42</definedName>
    <definedName name="_tbz35" localSheetId="8">'[4]Overlap two proportions'!$AI$42</definedName>
    <definedName name="_tbz35">'[4]Overlap two proportions'!$AI$42</definedName>
    <definedName name="_tbz36" localSheetId="11">'[4]Overlap two proportions'!$AI$43</definedName>
    <definedName name="_tbz36" localSheetId="9">'[4]Overlap two proportions'!$AI$43</definedName>
    <definedName name="_tbz36" localSheetId="10">'[4]Overlap two proportions'!$AI$43</definedName>
    <definedName name="_tbz36" localSheetId="5">'[4]Overlap two proportions'!$AI$43</definedName>
    <definedName name="_tbz36" localSheetId="7">'[4]Overlap two proportions'!$AI$43</definedName>
    <definedName name="_tbz36" localSheetId="12">'[5]Overlap two proportions'!$AI$43</definedName>
    <definedName name="_tbz36" localSheetId="4">'[4]Overlap two proportions'!$AI$43</definedName>
    <definedName name="_tbz36" localSheetId="3">'[4]Overlap two proportions'!$AI$43</definedName>
    <definedName name="_tbz36" localSheetId="6">'[4]Overlap two proportions'!$AI$43</definedName>
    <definedName name="_tbz36" localSheetId="8">'[4]Overlap two proportions'!$AI$43</definedName>
    <definedName name="_tbz36">'[4]Overlap two proportions'!$AI$43</definedName>
    <definedName name="_tbz37" localSheetId="11">'[4]Overlap two proportions'!$AI$44</definedName>
    <definedName name="_tbz37" localSheetId="9">'[4]Overlap two proportions'!$AI$44</definedName>
    <definedName name="_tbz37" localSheetId="10">'[4]Overlap two proportions'!$AI$44</definedName>
    <definedName name="_tbz37" localSheetId="5">'[4]Overlap two proportions'!$AI$44</definedName>
    <definedName name="_tbz37" localSheetId="7">'[4]Overlap two proportions'!$AI$44</definedName>
    <definedName name="_tbz37" localSheetId="12">'[5]Overlap two proportions'!$AI$44</definedName>
    <definedName name="_tbz37" localSheetId="4">'[4]Overlap two proportions'!$AI$44</definedName>
    <definedName name="_tbz37" localSheetId="3">'[4]Overlap two proportions'!$AI$44</definedName>
    <definedName name="_tbz37" localSheetId="6">'[4]Overlap two proportions'!$AI$44</definedName>
    <definedName name="_tbz37" localSheetId="8">'[4]Overlap two proportions'!$AI$44</definedName>
    <definedName name="_tbz37">'[4]Overlap two proportions'!$AI$44</definedName>
    <definedName name="_tbz38" localSheetId="11">'[4]Overlap two proportions'!$AI$45</definedName>
    <definedName name="_tbz38" localSheetId="9">'[4]Overlap two proportions'!$AI$45</definedName>
    <definedName name="_tbz38" localSheetId="10">'[4]Overlap two proportions'!$AI$45</definedName>
    <definedName name="_tbz38" localSheetId="5">'[4]Overlap two proportions'!$AI$45</definedName>
    <definedName name="_tbz38" localSheetId="7">'[4]Overlap two proportions'!$AI$45</definedName>
    <definedName name="_tbz38" localSheetId="12">'[5]Overlap two proportions'!$AI$45</definedName>
    <definedName name="_tbz38" localSheetId="4">'[4]Overlap two proportions'!$AI$45</definedName>
    <definedName name="_tbz38" localSheetId="3">'[4]Overlap two proportions'!$AI$45</definedName>
    <definedName name="_tbz38" localSheetId="6">'[4]Overlap two proportions'!$AI$45</definedName>
    <definedName name="_tbz38" localSheetId="8">'[4]Overlap two proportions'!$AI$45</definedName>
    <definedName name="_tbz38">'[4]Overlap two proportions'!$AI$45</definedName>
    <definedName name="_tbz39" localSheetId="11">'[4]Overlap two proportions'!$AI$46</definedName>
    <definedName name="_tbz39" localSheetId="9">'[4]Overlap two proportions'!$AI$46</definedName>
    <definedName name="_tbz39" localSheetId="10">'[4]Overlap two proportions'!$AI$46</definedName>
    <definedName name="_tbz39" localSheetId="5">'[4]Overlap two proportions'!$AI$46</definedName>
    <definedName name="_tbz39" localSheetId="7">'[4]Overlap two proportions'!$AI$46</definedName>
    <definedName name="_tbz39" localSheetId="12">'[5]Overlap two proportions'!$AI$46</definedName>
    <definedName name="_tbz39" localSheetId="4">'[4]Overlap two proportions'!$AI$46</definedName>
    <definedName name="_tbz39" localSheetId="3">'[4]Overlap two proportions'!$AI$46</definedName>
    <definedName name="_tbz39" localSheetId="6">'[4]Overlap two proportions'!$AI$46</definedName>
    <definedName name="_tbz39" localSheetId="8">'[4]Overlap two proportions'!$AI$46</definedName>
    <definedName name="_tbz39">'[4]Overlap two proportions'!$AI$46</definedName>
    <definedName name="_tbz4" localSheetId="11">'[4]Overlap two proportions'!$AI$11</definedName>
    <definedName name="_tbz4" localSheetId="9">'[4]Overlap two proportions'!$AI$11</definedName>
    <definedName name="_tbz4" localSheetId="10">'[4]Overlap two proportions'!$AI$11</definedName>
    <definedName name="_tbz4" localSheetId="5">'[4]Overlap two proportions'!$AI$11</definedName>
    <definedName name="_tbz4" localSheetId="7">'[4]Overlap two proportions'!$AI$11</definedName>
    <definedName name="_tbz4" localSheetId="12">'[5]Overlap two proportions'!$AI$11</definedName>
    <definedName name="_tbz4" localSheetId="4">'[4]Overlap two proportions'!$AI$11</definedName>
    <definedName name="_tbz4" localSheetId="3">'[4]Overlap two proportions'!$AI$11</definedName>
    <definedName name="_tbz4" localSheetId="6">'[4]Overlap two proportions'!$AI$11</definedName>
    <definedName name="_tbz4" localSheetId="8">'[4]Overlap two proportions'!$AI$11</definedName>
    <definedName name="_tbz4">'[4]Overlap two proportions'!$AI$11</definedName>
    <definedName name="_tbz40" localSheetId="11">'[4]Overlap two proportions'!$AI$47</definedName>
    <definedName name="_tbz40" localSheetId="9">'[4]Overlap two proportions'!$AI$47</definedName>
    <definedName name="_tbz40" localSheetId="10">'[4]Overlap two proportions'!$AI$47</definedName>
    <definedName name="_tbz40" localSheetId="5">'[4]Overlap two proportions'!$AI$47</definedName>
    <definedName name="_tbz40" localSheetId="7">'[4]Overlap two proportions'!$AI$47</definedName>
    <definedName name="_tbz40" localSheetId="12">'[5]Overlap two proportions'!$AI$47</definedName>
    <definedName name="_tbz40" localSheetId="4">'[4]Overlap two proportions'!$AI$47</definedName>
    <definedName name="_tbz40" localSheetId="3">'[4]Overlap two proportions'!$AI$47</definedName>
    <definedName name="_tbz40" localSheetId="6">'[4]Overlap two proportions'!$AI$47</definedName>
    <definedName name="_tbz40" localSheetId="8">'[4]Overlap two proportions'!$AI$47</definedName>
    <definedName name="_tbz40">'[4]Overlap two proportions'!$AI$47</definedName>
    <definedName name="_tbz41" localSheetId="11">'[4]Overlap two proportions'!$AI$48</definedName>
    <definedName name="_tbz41" localSheetId="9">'[4]Overlap two proportions'!$AI$48</definedName>
    <definedName name="_tbz41" localSheetId="10">'[4]Overlap two proportions'!$AI$48</definedName>
    <definedName name="_tbz41" localSheetId="5">'[4]Overlap two proportions'!$AI$48</definedName>
    <definedName name="_tbz41" localSheetId="7">'[4]Overlap two proportions'!$AI$48</definedName>
    <definedName name="_tbz41" localSheetId="12">'[5]Overlap two proportions'!$AI$48</definedName>
    <definedName name="_tbz41" localSheetId="4">'[4]Overlap two proportions'!$AI$48</definedName>
    <definedName name="_tbz41" localSheetId="3">'[4]Overlap two proportions'!$AI$48</definedName>
    <definedName name="_tbz41" localSheetId="6">'[4]Overlap two proportions'!$AI$48</definedName>
    <definedName name="_tbz41" localSheetId="8">'[4]Overlap two proportions'!$AI$48</definedName>
    <definedName name="_tbz41">'[4]Overlap two proportions'!$AI$48</definedName>
    <definedName name="_tbz42" localSheetId="11">'[4]Overlap two proportions'!$AI$49</definedName>
    <definedName name="_tbz42" localSheetId="9">'[4]Overlap two proportions'!$AI$49</definedName>
    <definedName name="_tbz42" localSheetId="10">'[4]Overlap two proportions'!$AI$49</definedName>
    <definedName name="_tbz42" localSheetId="5">'[4]Overlap two proportions'!$AI$49</definedName>
    <definedName name="_tbz42" localSheetId="7">'[4]Overlap two proportions'!$AI$49</definedName>
    <definedName name="_tbz42" localSheetId="12">'[5]Overlap two proportions'!$AI$49</definedName>
    <definedName name="_tbz42" localSheetId="4">'[4]Overlap two proportions'!$AI$49</definedName>
    <definedName name="_tbz42" localSheetId="3">'[4]Overlap two proportions'!$AI$49</definedName>
    <definedName name="_tbz42" localSheetId="6">'[4]Overlap two proportions'!$AI$49</definedName>
    <definedName name="_tbz42" localSheetId="8">'[4]Overlap two proportions'!$AI$49</definedName>
    <definedName name="_tbz42">'[4]Overlap two proportions'!$AI$49</definedName>
    <definedName name="_tbz43" localSheetId="11">'[4]Overlap two proportions'!$AI$50</definedName>
    <definedName name="_tbz43" localSheetId="9">'[4]Overlap two proportions'!$AI$50</definedName>
    <definedName name="_tbz43" localSheetId="10">'[4]Overlap two proportions'!$AI$50</definedName>
    <definedName name="_tbz43" localSheetId="5">'[4]Overlap two proportions'!$AI$50</definedName>
    <definedName name="_tbz43" localSheetId="7">'[4]Overlap two proportions'!$AI$50</definedName>
    <definedName name="_tbz43" localSheetId="12">'[5]Overlap two proportions'!$AI$50</definedName>
    <definedName name="_tbz43" localSheetId="4">'[4]Overlap two proportions'!$AI$50</definedName>
    <definedName name="_tbz43" localSheetId="3">'[4]Overlap two proportions'!$AI$50</definedName>
    <definedName name="_tbz43" localSheetId="6">'[4]Overlap two proportions'!$AI$50</definedName>
    <definedName name="_tbz43" localSheetId="8">'[4]Overlap two proportions'!$AI$50</definedName>
    <definedName name="_tbz43">'[4]Overlap two proportions'!$AI$50</definedName>
    <definedName name="_tbz44" localSheetId="11">'[4]Overlap two proportions'!$AI$51</definedName>
    <definedName name="_tbz44" localSheetId="9">'[4]Overlap two proportions'!$AI$51</definedName>
    <definedName name="_tbz44" localSheetId="10">'[4]Overlap two proportions'!$AI$51</definedName>
    <definedName name="_tbz44" localSheetId="5">'[4]Overlap two proportions'!$AI$51</definedName>
    <definedName name="_tbz44" localSheetId="7">'[4]Overlap two proportions'!$AI$51</definedName>
    <definedName name="_tbz44" localSheetId="12">'[5]Overlap two proportions'!$AI$51</definedName>
    <definedName name="_tbz44" localSheetId="4">'[4]Overlap two proportions'!$AI$51</definedName>
    <definedName name="_tbz44" localSheetId="3">'[4]Overlap two proportions'!$AI$51</definedName>
    <definedName name="_tbz44" localSheetId="6">'[4]Overlap two proportions'!$AI$51</definedName>
    <definedName name="_tbz44" localSheetId="8">'[4]Overlap two proportions'!$AI$51</definedName>
    <definedName name="_tbz44">'[4]Overlap two proportions'!$AI$51</definedName>
    <definedName name="_tbz45" localSheetId="11">'[4]Overlap two proportions'!$AI$52</definedName>
    <definedName name="_tbz45" localSheetId="9">'[4]Overlap two proportions'!$AI$52</definedName>
    <definedName name="_tbz45" localSheetId="10">'[4]Overlap two proportions'!$AI$52</definedName>
    <definedName name="_tbz45" localSheetId="5">'[4]Overlap two proportions'!$AI$52</definedName>
    <definedName name="_tbz45" localSheetId="7">'[4]Overlap two proportions'!$AI$52</definedName>
    <definedName name="_tbz45" localSheetId="12">'[5]Overlap two proportions'!$AI$52</definedName>
    <definedName name="_tbz45" localSheetId="4">'[4]Overlap two proportions'!$AI$52</definedName>
    <definedName name="_tbz45" localSheetId="3">'[4]Overlap two proportions'!$AI$52</definedName>
    <definedName name="_tbz45" localSheetId="6">'[4]Overlap two proportions'!$AI$52</definedName>
    <definedName name="_tbz45" localSheetId="8">'[4]Overlap two proportions'!$AI$52</definedName>
    <definedName name="_tbz45">'[4]Overlap two proportions'!$AI$52</definedName>
    <definedName name="_tbz46" localSheetId="11">'[4]Overlap two proportions'!$AI$53</definedName>
    <definedName name="_tbz46" localSheetId="9">'[4]Overlap two proportions'!$AI$53</definedName>
    <definedName name="_tbz46" localSheetId="10">'[4]Overlap two proportions'!$AI$53</definedName>
    <definedName name="_tbz46" localSheetId="5">'[4]Overlap two proportions'!$AI$53</definedName>
    <definedName name="_tbz46" localSheetId="7">'[4]Overlap two proportions'!$AI$53</definedName>
    <definedName name="_tbz46" localSheetId="12">'[5]Overlap two proportions'!$AI$53</definedName>
    <definedName name="_tbz46" localSheetId="4">'[4]Overlap two proportions'!$AI$53</definedName>
    <definedName name="_tbz46" localSheetId="3">'[4]Overlap two proportions'!$AI$53</definedName>
    <definedName name="_tbz46" localSheetId="6">'[4]Overlap two proportions'!$AI$53</definedName>
    <definedName name="_tbz46" localSheetId="8">'[4]Overlap two proportions'!$AI$53</definedName>
    <definedName name="_tbz46">'[4]Overlap two proportions'!$AI$53</definedName>
    <definedName name="_tbz47" localSheetId="11">'[4]Overlap two proportions'!$AI$54</definedName>
    <definedName name="_tbz47" localSheetId="9">'[4]Overlap two proportions'!$AI$54</definedName>
    <definedName name="_tbz47" localSheetId="10">'[4]Overlap two proportions'!$AI$54</definedName>
    <definedName name="_tbz47" localSheetId="5">'[4]Overlap two proportions'!$AI$54</definedName>
    <definedName name="_tbz47" localSheetId="7">'[4]Overlap two proportions'!$AI$54</definedName>
    <definedName name="_tbz47" localSheetId="12">'[5]Overlap two proportions'!$AI$54</definedName>
    <definedName name="_tbz47" localSheetId="4">'[4]Overlap two proportions'!$AI$54</definedName>
    <definedName name="_tbz47" localSheetId="3">'[4]Overlap two proportions'!$AI$54</definedName>
    <definedName name="_tbz47" localSheetId="6">'[4]Overlap two proportions'!$AI$54</definedName>
    <definedName name="_tbz47" localSheetId="8">'[4]Overlap two proportions'!$AI$54</definedName>
    <definedName name="_tbz47">'[4]Overlap two proportions'!$AI$54</definedName>
    <definedName name="_tbz48" localSheetId="11">'[4]Overlap two proportions'!$AI$55</definedName>
    <definedName name="_tbz48" localSheetId="9">'[4]Overlap two proportions'!$AI$55</definedName>
    <definedName name="_tbz48" localSheetId="10">'[4]Overlap two proportions'!$AI$55</definedName>
    <definedName name="_tbz48" localSheetId="5">'[4]Overlap two proportions'!$AI$55</definedName>
    <definedName name="_tbz48" localSheetId="7">'[4]Overlap two proportions'!$AI$55</definedName>
    <definedName name="_tbz48" localSheetId="12">'[5]Overlap two proportions'!$AI$55</definedName>
    <definedName name="_tbz48" localSheetId="4">'[4]Overlap two proportions'!$AI$55</definedName>
    <definedName name="_tbz48" localSheetId="3">'[4]Overlap two proportions'!$AI$55</definedName>
    <definedName name="_tbz48" localSheetId="6">'[4]Overlap two proportions'!$AI$55</definedName>
    <definedName name="_tbz48" localSheetId="8">'[4]Overlap two proportions'!$AI$55</definedName>
    <definedName name="_tbz48">'[4]Overlap two proportions'!$AI$55</definedName>
    <definedName name="_tbz49" localSheetId="11">'[4]Overlap two proportions'!$AI$56</definedName>
    <definedName name="_tbz49" localSheetId="9">'[4]Overlap two proportions'!$AI$56</definedName>
    <definedName name="_tbz49" localSheetId="10">'[4]Overlap two proportions'!$AI$56</definedName>
    <definedName name="_tbz49" localSheetId="5">'[4]Overlap two proportions'!$AI$56</definedName>
    <definedName name="_tbz49" localSheetId="7">'[4]Overlap two proportions'!$AI$56</definedName>
    <definedName name="_tbz49" localSheetId="12">'[5]Overlap two proportions'!$AI$56</definedName>
    <definedName name="_tbz49" localSheetId="4">'[4]Overlap two proportions'!$AI$56</definedName>
    <definedName name="_tbz49" localSheetId="3">'[4]Overlap two proportions'!$AI$56</definedName>
    <definedName name="_tbz49" localSheetId="6">'[4]Overlap two proportions'!$AI$56</definedName>
    <definedName name="_tbz49" localSheetId="8">'[4]Overlap two proportions'!$AI$56</definedName>
    <definedName name="_tbz49">'[4]Overlap two proportions'!$AI$56</definedName>
    <definedName name="_tbz5" localSheetId="11">'[4]Overlap two proportions'!$AI$12</definedName>
    <definedName name="_tbz5" localSheetId="9">'[4]Overlap two proportions'!$AI$12</definedName>
    <definedName name="_tbz5" localSheetId="10">'[4]Overlap two proportions'!$AI$12</definedName>
    <definedName name="_tbz5" localSheetId="5">'[4]Overlap two proportions'!$AI$12</definedName>
    <definedName name="_tbz5" localSheetId="7">'[4]Overlap two proportions'!$AI$12</definedName>
    <definedName name="_tbz5" localSheetId="12">'[5]Overlap two proportions'!$AI$12</definedName>
    <definedName name="_tbz5" localSheetId="4">'[4]Overlap two proportions'!$AI$12</definedName>
    <definedName name="_tbz5" localSheetId="3">'[4]Overlap two proportions'!$AI$12</definedName>
    <definedName name="_tbz5" localSheetId="6">'[4]Overlap two proportions'!$AI$12</definedName>
    <definedName name="_tbz5" localSheetId="8">'[4]Overlap two proportions'!$AI$12</definedName>
    <definedName name="_tbz5">'[4]Overlap two proportions'!$AI$12</definedName>
    <definedName name="_tbz50" localSheetId="11">'[4]Overlap two proportions'!$AI$57</definedName>
    <definedName name="_tbz50" localSheetId="9">'[4]Overlap two proportions'!$AI$57</definedName>
    <definedName name="_tbz50" localSheetId="10">'[4]Overlap two proportions'!$AI$57</definedName>
    <definedName name="_tbz50" localSheetId="5">'[4]Overlap two proportions'!$AI$57</definedName>
    <definedName name="_tbz50" localSheetId="7">'[4]Overlap two proportions'!$AI$57</definedName>
    <definedName name="_tbz50" localSheetId="12">'[5]Overlap two proportions'!$AI$57</definedName>
    <definedName name="_tbz50" localSheetId="4">'[4]Overlap two proportions'!$AI$57</definedName>
    <definedName name="_tbz50" localSheetId="3">'[4]Overlap two proportions'!$AI$57</definedName>
    <definedName name="_tbz50" localSheetId="6">'[4]Overlap two proportions'!$AI$57</definedName>
    <definedName name="_tbz50" localSheetId="8">'[4]Overlap two proportions'!$AI$57</definedName>
    <definedName name="_tbz50">'[4]Overlap two proportions'!$AI$57</definedName>
    <definedName name="_tbz51" localSheetId="11">'[4]Overlap two proportions'!$AI$58</definedName>
    <definedName name="_tbz51" localSheetId="9">'[4]Overlap two proportions'!$AI$58</definedName>
    <definedName name="_tbz51" localSheetId="10">'[4]Overlap two proportions'!$AI$58</definedName>
    <definedName name="_tbz51" localSheetId="5">'[4]Overlap two proportions'!$AI$58</definedName>
    <definedName name="_tbz51" localSheetId="7">'[4]Overlap two proportions'!$AI$58</definedName>
    <definedName name="_tbz51" localSheetId="12">'[5]Overlap two proportions'!$AI$58</definedName>
    <definedName name="_tbz51" localSheetId="4">'[4]Overlap two proportions'!$AI$58</definedName>
    <definedName name="_tbz51" localSheetId="3">'[4]Overlap two proportions'!$AI$58</definedName>
    <definedName name="_tbz51" localSheetId="6">'[4]Overlap two proportions'!$AI$58</definedName>
    <definedName name="_tbz51" localSheetId="8">'[4]Overlap two proportions'!$AI$58</definedName>
    <definedName name="_tbz51">'[4]Overlap two proportions'!$AI$58</definedName>
    <definedName name="_tbz52" localSheetId="11">'[4]Overlap two proportions'!$AI$59</definedName>
    <definedName name="_tbz52" localSheetId="9">'[4]Overlap two proportions'!$AI$59</definedName>
    <definedName name="_tbz52" localSheetId="10">'[4]Overlap two proportions'!$AI$59</definedName>
    <definedName name="_tbz52" localSheetId="5">'[4]Overlap two proportions'!$AI$59</definedName>
    <definedName name="_tbz52" localSheetId="7">'[4]Overlap two proportions'!$AI$59</definedName>
    <definedName name="_tbz52" localSheetId="12">'[5]Overlap two proportions'!$AI$59</definedName>
    <definedName name="_tbz52" localSheetId="4">'[4]Overlap two proportions'!$AI$59</definedName>
    <definedName name="_tbz52" localSheetId="3">'[4]Overlap two proportions'!$AI$59</definedName>
    <definedName name="_tbz52" localSheetId="6">'[4]Overlap two proportions'!$AI$59</definedName>
    <definedName name="_tbz52" localSheetId="8">'[4]Overlap two proportions'!$AI$59</definedName>
    <definedName name="_tbz52">'[4]Overlap two proportions'!$AI$59</definedName>
    <definedName name="_tbz53" localSheetId="11">'[4]Overlap two proportions'!$AI$60</definedName>
    <definedName name="_tbz53" localSheetId="9">'[4]Overlap two proportions'!$AI$60</definedName>
    <definedName name="_tbz53" localSheetId="10">'[4]Overlap two proportions'!$AI$60</definedName>
    <definedName name="_tbz53" localSheetId="5">'[4]Overlap two proportions'!$AI$60</definedName>
    <definedName name="_tbz53" localSheetId="7">'[4]Overlap two proportions'!$AI$60</definedName>
    <definedName name="_tbz53" localSheetId="12">'[5]Overlap two proportions'!$AI$60</definedName>
    <definedName name="_tbz53" localSheetId="4">'[4]Overlap two proportions'!$AI$60</definedName>
    <definedName name="_tbz53" localSheetId="3">'[4]Overlap two proportions'!$AI$60</definedName>
    <definedName name="_tbz53" localSheetId="6">'[4]Overlap two proportions'!$AI$60</definedName>
    <definedName name="_tbz53" localSheetId="8">'[4]Overlap two proportions'!$AI$60</definedName>
    <definedName name="_tbz53">'[4]Overlap two proportions'!$AI$60</definedName>
    <definedName name="_tbz54" localSheetId="11">'[4]Overlap two proportions'!$AI$61</definedName>
    <definedName name="_tbz54" localSheetId="9">'[4]Overlap two proportions'!$AI$61</definedName>
    <definedName name="_tbz54" localSheetId="10">'[4]Overlap two proportions'!$AI$61</definedName>
    <definedName name="_tbz54" localSheetId="5">'[4]Overlap two proportions'!$AI$61</definedName>
    <definedName name="_tbz54" localSheetId="7">'[4]Overlap two proportions'!$AI$61</definedName>
    <definedName name="_tbz54" localSheetId="12">'[5]Overlap two proportions'!$AI$61</definedName>
    <definedName name="_tbz54" localSheetId="4">'[4]Overlap two proportions'!$AI$61</definedName>
    <definedName name="_tbz54" localSheetId="3">'[4]Overlap two proportions'!$AI$61</definedName>
    <definedName name="_tbz54" localSheetId="6">'[4]Overlap two proportions'!$AI$61</definedName>
    <definedName name="_tbz54" localSheetId="8">'[4]Overlap two proportions'!$AI$61</definedName>
    <definedName name="_tbz54">'[4]Overlap two proportions'!$AI$61</definedName>
    <definedName name="_tbz55" localSheetId="11">'[4]Overlap two proportions'!$AI$62</definedName>
    <definedName name="_tbz55" localSheetId="9">'[4]Overlap two proportions'!$AI$62</definedName>
    <definedName name="_tbz55" localSheetId="10">'[4]Overlap two proportions'!$AI$62</definedName>
    <definedName name="_tbz55" localSheetId="5">'[4]Overlap two proportions'!$AI$62</definedName>
    <definedName name="_tbz55" localSheetId="7">'[4]Overlap two proportions'!$AI$62</definedName>
    <definedName name="_tbz55" localSheetId="12">'[5]Overlap two proportions'!$AI$62</definedName>
    <definedName name="_tbz55" localSheetId="4">'[4]Overlap two proportions'!$AI$62</definedName>
    <definedName name="_tbz55" localSheetId="3">'[4]Overlap two proportions'!$AI$62</definedName>
    <definedName name="_tbz55" localSheetId="6">'[4]Overlap two proportions'!$AI$62</definedName>
    <definedName name="_tbz55" localSheetId="8">'[4]Overlap two proportions'!$AI$62</definedName>
    <definedName name="_tbz55">'[4]Overlap two proportions'!$AI$62</definedName>
    <definedName name="_tbz56" localSheetId="11">'[4]Overlap two proportions'!$AI$63</definedName>
    <definedName name="_tbz56" localSheetId="9">'[4]Overlap two proportions'!$AI$63</definedName>
    <definedName name="_tbz56" localSheetId="10">'[4]Overlap two proportions'!$AI$63</definedName>
    <definedName name="_tbz56" localSheetId="5">'[4]Overlap two proportions'!$AI$63</definedName>
    <definedName name="_tbz56" localSheetId="7">'[4]Overlap two proportions'!$AI$63</definedName>
    <definedName name="_tbz56" localSheetId="12">'[5]Overlap two proportions'!$AI$63</definedName>
    <definedName name="_tbz56" localSheetId="4">'[4]Overlap two proportions'!$AI$63</definedName>
    <definedName name="_tbz56" localSheetId="3">'[4]Overlap two proportions'!$AI$63</definedName>
    <definedName name="_tbz56" localSheetId="6">'[4]Overlap two proportions'!$AI$63</definedName>
    <definedName name="_tbz56" localSheetId="8">'[4]Overlap two proportions'!$AI$63</definedName>
    <definedName name="_tbz56">'[4]Overlap two proportions'!$AI$63</definedName>
    <definedName name="_tbz57" localSheetId="11">'[4]Overlap two proportions'!$AI$64</definedName>
    <definedName name="_tbz57" localSheetId="9">'[4]Overlap two proportions'!$AI$64</definedName>
    <definedName name="_tbz57" localSheetId="10">'[4]Overlap two proportions'!$AI$64</definedName>
    <definedName name="_tbz57" localSheetId="5">'[4]Overlap two proportions'!$AI$64</definedName>
    <definedName name="_tbz57" localSheetId="7">'[4]Overlap two proportions'!$AI$64</definedName>
    <definedName name="_tbz57" localSheetId="12">'[5]Overlap two proportions'!$AI$64</definedName>
    <definedName name="_tbz57" localSheetId="4">'[4]Overlap two proportions'!$AI$64</definedName>
    <definedName name="_tbz57" localSheetId="3">'[4]Overlap two proportions'!$AI$64</definedName>
    <definedName name="_tbz57" localSheetId="6">'[4]Overlap two proportions'!$AI$64</definedName>
    <definedName name="_tbz57" localSheetId="8">'[4]Overlap two proportions'!$AI$64</definedName>
    <definedName name="_tbz57">'[4]Overlap two proportions'!$AI$64</definedName>
    <definedName name="_tbz58" localSheetId="11">'[4]Overlap two proportions'!$AI$65</definedName>
    <definedName name="_tbz58" localSheetId="9">'[4]Overlap two proportions'!$AI$65</definedName>
    <definedName name="_tbz58" localSheetId="10">'[4]Overlap two proportions'!$AI$65</definedName>
    <definedName name="_tbz58" localSheetId="5">'[4]Overlap two proportions'!$AI$65</definedName>
    <definedName name="_tbz58" localSheetId="7">'[4]Overlap two proportions'!$AI$65</definedName>
    <definedName name="_tbz58" localSheetId="12">'[5]Overlap two proportions'!$AI$65</definedName>
    <definedName name="_tbz58" localSheetId="4">'[4]Overlap two proportions'!$AI$65</definedName>
    <definedName name="_tbz58" localSheetId="3">'[4]Overlap two proportions'!$AI$65</definedName>
    <definedName name="_tbz58" localSheetId="6">'[4]Overlap two proportions'!$AI$65</definedName>
    <definedName name="_tbz58" localSheetId="8">'[4]Overlap two proportions'!$AI$65</definedName>
    <definedName name="_tbz58">'[4]Overlap two proportions'!$AI$65</definedName>
    <definedName name="_tbz59" localSheetId="11">'[4]Overlap two proportions'!$AI$66</definedName>
    <definedName name="_tbz59" localSheetId="9">'[4]Overlap two proportions'!$AI$66</definedName>
    <definedName name="_tbz59" localSheetId="10">'[4]Overlap two proportions'!$AI$66</definedName>
    <definedName name="_tbz59" localSheetId="5">'[4]Overlap two proportions'!$AI$66</definedName>
    <definedName name="_tbz59" localSheetId="7">'[4]Overlap two proportions'!$AI$66</definedName>
    <definedName name="_tbz59" localSheetId="12">'[5]Overlap two proportions'!$AI$66</definedName>
    <definedName name="_tbz59" localSheetId="4">'[4]Overlap two proportions'!$AI$66</definedName>
    <definedName name="_tbz59" localSheetId="3">'[4]Overlap two proportions'!$AI$66</definedName>
    <definedName name="_tbz59" localSheetId="6">'[4]Overlap two proportions'!$AI$66</definedName>
    <definedName name="_tbz59" localSheetId="8">'[4]Overlap two proportions'!$AI$66</definedName>
    <definedName name="_tbz59">'[4]Overlap two proportions'!$AI$66</definedName>
    <definedName name="_tbz6" localSheetId="11">'[4]Overlap two proportions'!$AI$13</definedName>
    <definedName name="_tbz6" localSheetId="9">'[4]Overlap two proportions'!$AI$13</definedName>
    <definedName name="_tbz6" localSheetId="10">'[4]Overlap two proportions'!$AI$13</definedName>
    <definedName name="_tbz6" localSheetId="5">'[4]Overlap two proportions'!$AI$13</definedName>
    <definedName name="_tbz6" localSheetId="7">'[4]Overlap two proportions'!$AI$13</definedName>
    <definedName name="_tbz6" localSheetId="12">'[5]Overlap two proportions'!$AI$13</definedName>
    <definedName name="_tbz6" localSheetId="4">'[4]Overlap two proportions'!$AI$13</definedName>
    <definedName name="_tbz6" localSheetId="3">'[4]Overlap two proportions'!$AI$13</definedName>
    <definedName name="_tbz6" localSheetId="6">'[4]Overlap two proportions'!$AI$13</definedName>
    <definedName name="_tbz6" localSheetId="8">'[4]Overlap two proportions'!$AI$13</definedName>
    <definedName name="_tbz6">'[4]Overlap two proportions'!$AI$13</definedName>
    <definedName name="_tbz60" localSheetId="11">'[4]Overlap two proportions'!$AI$67</definedName>
    <definedName name="_tbz60" localSheetId="9">'[4]Overlap two proportions'!$AI$67</definedName>
    <definedName name="_tbz60" localSheetId="10">'[4]Overlap two proportions'!$AI$67</definedName>
    <definedName name="_tbz60" localSheetId="5">'[4]Overlap two proportions'!$AI$67</definedName>
    <definedName name="_tbz60" localSheetId="7">'[4]Overlap two proportions'!$AI$67</definedName>
    <definedName name="_tbz60" localSheetId="12">'[5]Overlap two proportions'!$AI$67</definedName>
    <definedName name="_tbz60" localSheetId="4">'[4]Overlap two proportions'!$AI$67</definedName>
    <definedName name="_tbz60" localSheetId="3">'[4]Overlap two proportions'!$AI$67</definedName>
    <definedName name="_tbz60" localSheetId="6">'[4]Overlap two proportions'!$AI$67</definedName>
    <definedName name="_tbz60" localSheetId="8">'[4]Overlap two proportions'!$AI$67</definedName>
    <definedName name="_tbz60">'[4]Overlap two proportions'!$AI$67</definedName>
    <definedName name="_tbz7" localSheetId="11">'[4]Overlap two proportions'!$AI$14</definedName>
    <definedName name="_tbz7" localSheetId="9">'[4]Overlap two proportions'!$AI$14</definedName>
    <definedName name="_tbz7" localSheetId="10">'[4]Overlap two proportions'!$AI$14</definedName>
    <definedName name="_tbz7" localSheetId="5">'[4]Overlap two proportions'!$AI$14</definedName>
    <definedName name="_tbz7" localSheetId="7">'[4]Overlap two proportions'!$AI$14</definedName>
    <definedName name="_tbz7" localSheetId="12">'[5]Overlap two proportions'!$AI$14</definedName>
    <definedName name="_tbz7" localSheetId="4">'[4]Overlap two proportions'!$AI$14</definedName>
    <definedName name="_tbz7" localSheetId="3">'[4]Overlap two proportions'!$AI$14</definedName>
    <definedName name="_tbz7" localSheetId="6">'[4]Overlap two proportions'!$AI$14</definedName>
    <definedName name="_tbz7" localSheetId="8">'[4]Overlap two proportions'!$AI$14</definedName>
    <definedName name="_tbz7">'[4]Overlap two proportions'!$AI$14</definedName>
    <definedName name="_tbz8" localSheetId="11">'[4]Overlap two proportions'!$AI$15</definedName>
    <definedName name="_tbz8" localSheetId="9">'[4]Overlap two proportions'!$AI$15</definedName>
    <definedName name="_tbz8" localSheetId="10">'[4]Overlap two proportions'!$AI$15</definedName>
    <definedName name="_tbz8" localSheetId="5">'[4]Overlap two proportions'!$AI$15</definedName>
    <definedName name="_tbz8" localSheetId="7">'[4]Overlap two proportions'!$AI$15</definedName>
    <definedName name="_tbz8" localSheetId="12">'[5]Overlap two proportions'!$AI$15</definedName>
    <definedName name="_tbz8" localSheetId="4">'[4]Overlap two proportions'!$AI$15</definedName>
    <definedName name="_tbz8" localSheetId="3">'[4]Overlap two proportions'!$AI$15</definedName>
    <definedName name="_tbz8" localSheetId="6">'[4]Overlap two proportions'!$AI$15</definedName>
    <definedName name="_tbz8" localSheetId="8">'[4]Overlap two proportions'!$AI$15</definedName>
    <definedName name="_tbz8">'[4]Overlap two proportions'!$AI$15</definedName>
    <definedName name="_tbz9" localSheetId="11">'[4]Overlap two proportions'!$AI$16</definedName>
    <definedName name="_tbz9" localSheetId="9">'[4]Overlap two proportions'!$AI$16</definedName>
    <definedName name="_tbz9" localSheetId="10">'[4]Overlap two proportions'!$AI$16</definedName>
    <definedName name="_tbz9" localSheetId="5">'[4]Overlap two proportions'!$AI$16</definedName>
    <definedName name="_tbz9" localSheetId="7">'[4]Overlap two proportions'!$AI$16</definedName>
    <definedName name="_tbz9" localSheetId="12">'[5]Overlap two proportions'!$AI$16</definedName>
    <definedName name="_tbz9" localSheetId="4">'[4]Overlap two proportions'!$AI$16</definedName>
    <definedName name="_tbz9" localSheetId="3">'[4]Overlap two proportions'!$AI$16</definedName>
    <definedName name="_tbz9" localSheetId="6">'[4]Overlap two proportions'!$AI$16</definedName>
    <definedName name="_tbz9" localSheetId="8">'[4]Overlap two proportions'!$AI$16</definedName>
    <definedName name="_tbz9">'[4]Overlap two proportions'!$AI$16</definedName>
    <definedName name="alabels">'Ind groups 2 x 2'!$G$10:$H$10</definedName>
    <definedName name="all1data" localSheetId="11">'Ind groups 2 x 2'!$BB$16:$BE$315</definedName>
    <definedName name="all1data" localSheetId="9">'Ind groups comparisons'!$AY$8:$BD$307</definedName>
    <definedName name="all1data" localSheetId="10">'Ind groups contrasts'!$BA$8:$BF$307</definedName>
    <definedName name="all1data">#REF!</definedName>
    <definedName name="all2data" localSheetId="11">'Ind groups 2 x 2'!$BI$8:$BN$307</definedName>
    <definedName name="all2data" localSheetId="9">'Ind groups comparisons'!$BH$8:$BM$307</definedName>
    <definedName name="all2data" localSheetId="10">'Ind groups contrasts'!$BJ$8:$BO$307</definedName>
    <definedName name="all2data">#REF!</definedName>
    <definedName name="all3data" localSheetId="11">'Ind groups 2 x 2'!$BR$8:$CM$307</definedName>
    <definedName name="all3data" localSheetId="9">'Ind groups comparisons'!$BQ$8:$BV$307</definedName>
    <definedName name="all3data" localSheetId="10">'Ind groups contrasts'!$BS$8:$BX$307</definedName>
    <definedName name="all3data">#REF!</definedName>
    <definedName name="alldata" localSheetId="11">'Ind groups 2 x 2'!$F$32:$I$331</definedName>
    <definedName name="alldata" localSheetId="9">'Ind groups comparisons'!$D$25:$I$324</definedName>
    <definedName name="alldata" localSheetId="10">'Ind groups contrasts'!$D$25:$I$324</definedName>
    <definedName name="alldata">#REF!</definedName>
    <definedName name="ally">[6]Describe!$AU$4:$AU$703</definedName>
    <definedName name="alph" localSheetId="11">'[7]Precision one'!$AP$140</definedName>
    <definedName name="alph" localSheetId="9">'[7]Precision one'!$AP$140</definedName>
    <definedName name="alph" localSheetId="10">'[7]Precision one'!$AP$140</definedName>
    <definedName name="alph" localSheetId="5">'[7]Precision one'!$AP$140</definedName>
    <definedName name="alph" localSheetId="7">'[7]Precision one'!$AP$140</definedName>
    <definedName name="alph" localSheetId="2">'Precision paired'!$C$71</definedName>
    <definedName name="alph" localSheetId="1">'Precision two'!$C$82</definedName>
    <definedName name="alph" localSheetId="12">'[7]Precision one'!$AP$140</definedName>
    <definedName name="alph" localSheetId="4">'[7]Precision one'!$AP$140</definedName>
    <definedName name="alph" localSheetId="3">'[7]Precision one'!$AP$140</definedName>
    <definedName name="alph" localSheetId="6">'[7]Precision one'!$AP$140</definedName>
    <definedName name="alph" localSheetId="8">'[7]Precision one'!$AP$140</definedName>
    <definedName name="alph">#REF!</definedName>
    <definedName name="ame">'Ind groups 2 x 2'!$CZ$6</definedName>
    <definedName name="ancount" localSheetId="5">'One correlation'!$S$17</definedName>
    <definedName name="ancount" localSheetId="7">'One proportion'!$T$17</definedName>
    <definedName name="ancount" localSheetId="6">'Two correlations'!$AI$17</definedName>
    <definedName name="ancount" localSheetId="8">'Two proportions'!$AH$17</definedName>
    <definedName name="ancount">#REF!</definedName>
    <definedName name="approxll" localSheetId="11">'[7]CI for d'!$AS$8</definedName>
    <definedName name="approxll" localSheetId="9">'[7]CI for d'!$AS$8</definedName>
    <definedName name="approxll" localSheetId="10">'[7]CI for d'!$AS$8</definedName>
    <definedName name="approxll" localSheetId="5">'[7]CI for d'!$AS$8</definedName>
    <definedName name="approxll" localSheetId="7">'[7]CI for d'!$AS$8</definedName>
    <definedName name="approxll" localSheetId="12">'[7]CI for d'!$AS$8</definedName>
    <definedName name="approxll" localSheetId="4">'[7]CI for d'!$AS$8</definedName>
    <definedName name="approxll" localSheetId="3">'[7]CI for d'!$AS$8</definedName>
    <definedName name="approxll" localSheetId="6">'[7]CI for d'!$AS$8</definedName>
    <definedName name="approxll" localSheetId="8">'[7]CI for d'!$AS$8</definedName>
    <definedName name="approxll">#REF!</definedName>
    <definedName name="approxul" localSheetId="11">'[7]CI for d'!$AS$9</definedName>
    <definedName name="approxul" localSheetId="9">'[7]CI for d'!$AS$9</definedName>
    <definedName name="approxul" localSheetId="10">'[7]CI for d'!$AS$9</definedName>
    <definedName name="approxul" localSheetId="5">'[7]CI for d'!$AS$9</definedName>
    <definedName name="approxul" localSheetId="7">'[7]CI for d'!$AS$9</definedName>
    <definedName name="approxul" localSheetId="12">'[7]CI for d'!$AS$9</definedName>
    <definedName name="approxul" localSheetId="4">'[7]CI for d'!$AS$9</definedName>
    <definedName name="approxul" localSheetId="3">'[7]CI for d'!$AS$9</definedName>
    <definedName name="approxul" localSheetId="6">'[7]CI for d'!$AS$9</definedName>
    <definedName name="approxul" localSheetId="8">'[7]CI for d'!$AS$9</definedName>
    <definedName name="approxul">#REF!</definedName>
    <definedName name="approxz" localSheetId="7">'One proportion'!$B$11</definedName>
    <definedName name="approxz">#REF!</definedName>
    <definedName name="approxzz" localSheetId="5">'[8]Two proportions'!$C$12</definedName>
    <definedName name="approxzz" localSheetId="7">'[8]Two proportions'!$C$12</definedName>
    <definedName name="approxzz" localSheetId="12">'[8]Two proportions'!$C$12</definedName>
    <definedName name="approxzz" localSheetId="4">'[8]Two proportions'!$C$12</definedName>
    <definedName name="approxzz" localSheetId="3">'[8]Two proportions'!$C$12</definedName>
    <definedName name="approxzz" localSheetId="6">'[8]Two proportions'!$C$12</definedName>
    <definedName name="approxzz" localSheetId="8">'Two proportions'!$C$12</definedName>
    <definedName name="approxzz">#REF!</definedName>
    <definedName name="barsind" localSheetId="11">'Ind groups 2 x 2'!#REF!</definedName>
    <definedName name="barsind" localSheetId="9">'Ind groups comparisons'!#REF!</definedName>
    <definedName name="barsind" localSheetId="10">'Ind groups contrasts'!#REF!</definedName>
    <definedName name="barsind" localSheetId="5">#REF!</definedName>
    <definedName name="barsind" localSheetId="7">#REF!</definedName>
    <definedName name="barsind" localSheetId="4">#REF!</definedName>
    <definedName name="barsind" localSheetId="3">#REF!</definedName>
    <definedName name="barsind" localSheetId="6">#REF!</definedName>
    <definedName name="barsind" localSheetId="8">#REF!</definedName>
    <definedName name="barsind">#REF!</definedName>
    <definedName name="bme">'Ind groups 2 x 2'!$CZ$7</definedName>
    <definedName name="bonelabel">'Ind groups 2 x 2'!$E$14</definedName>
    <definedName name="botty">[6]Describe!$AQ$35</definedName>
    <definedName name="btwolabel">'Ind groups 2 x 2'!$E$22</definedName>
    <definedName name="calc20switch" localSheetId="11">'[9]Fig 1'!$M$12</definedName>
    <definedName name="calc20switch" localSheetId="9">'[9]Fig 1'!$M$12</definedName>
    <definedName name="calc20switch" localSheetId="10">'[9]Fig 1'!$M$12</definedName>
    <definedName name="calc20switch" localSheetId="5">'[9]Fig 1'!$M$12</definedName>
    <definedName name="calc20switch" localSheetId="7">'[9]Fig 1'!$M$12</definedName>
    <definedName name="calc20switch" localSheetId="12">'[10]Fig 1'!$M$12</definedName>
    <definedName name="calc20switch" localSheetId="4">'[9]Fig 1'!$M$12</definedName>
    <definedName name="calc20switch" localSheetId="3">'[9]Fig 1'!$M$12</definedName>
    <definedName name="calc20switch" localSheetId="6">'[9]Fig 1'!$M$12</definedName>
    <definedName name="calc20switch" localSheetId="8">'[9]Fig 1'!$M$12</definedName>
    <definedName name="calc20switch">'[9]Fig 1'!$M$12</definedName>
    <definedName name="calcddp" localSheetId="7">'[11]Data paired'!$C$11</definedName>
    <definedName name="calcddp" localSheetId="8">'[11]Data paired'!$C$11</definedName>
    <definedName name="calcddp">'[11]Data paired'!$C$11</definedName>
    <definedName name="calcddt" localSheetId="7">'[11]Data two'!$C$11</definedName>
    <definedName name="calcddt" localSheetId="12">'Robust two'!#REF!</definedName>
    <definedName name="calcddt" localSheetId="8">'[11]Data two'!$C$11</definedName>
    <definedName name="calcddt">'[11]Data two'!$C$11</definedName>
    <definedName name="calcdst">#REF!</definedName>
    <definedName name="calcswitch" localSheetId="11">'Ind groups 2 x 2'!#REF!</definedName>
    <definedName name="calcswitch" localSheetId="9">'Ind groups comparisons'!#REF!</definedName>
    <definedName name="calcswitch" localSheetId="10">'Ind groups contrasts'!#REF!</definedName>
    <definedName name="calcswitch" localSheetId="5">#REF!</definedName>
    <definedName name="calcswitch" localSheetId="7">#REF!</definedName>
    <definedName name="calcswitch" localSheetId="4">#REF!</definedName>
    <definedName name="calcswitch" localSheetId="3">#REF!</definedName>
    <definedName name="calcswitch" localSheetId="6">#REF!</definedName>
    <definedName name="calcswitch" localSheetId="8">#REF!</definedName>
    <definedName name="calcswitch">#REF!</definedName>
    <definedName name="calcswitch2prop" localSheetId="11">'[4]Two proportions'!$O$4</definedName>
    <definedName name="calcswitch2prop" localSheetId="9">'[4]Two proportions'!$O$4</definedName>
    <definedName name="calcswitch2prop" localSheetId="10">'[4]Two proportions'!$O$4</definedName>
    <definedName name="calcswitch2prop" localSheetId="5">'[4]Two proportions'!$O$4</definedName>
    <definedName name="calcswitch2prop" localSheetId="7">'[4]Two proportions'!$O$4</definedName>
    <definedName name="calcswitch2prop" localSheetId="12">'[5]Two proportions'!$O$4</definedName>
    <definedName name="calcswitch2prop" localSheetId="4">'[4]Two proportions'!$O$4</definedName>
    <definedName name="calcswitch2prop" localSheetId="3">'[4]Two proportions'!$O$4</definedName>
    <definedName name="calcswitch2prop" localSheetId="6">'[4]Two proportions'!$O$4</definedName>
    <definedName name="calcswitch2prop" localSheetId="8">'[4]Two proportions'!$O$4</definedName>
    <definedName name="calcswitch2prop">'[4]Two proportions'!$O$4</definedName>
    <definedName name="calcswitchone" localSheetId="11">#REF!</definedName>
    <definedName name="calcswitchone" localSheetId="9">#REF!</definedName>
    <definedName name="calcswitchone" localSheetId="10">#REF!</definedName>
    <definedName name="calcswitchone" localSheetId="5">#REF!</definedName>
    <definedName name="calcswitchone" localSheetId="7">#REF!</definedName>
    <definedName name="calcswitchone" localSheetId="4">#REF!</definedName>
    <definedName name="calcswitchone" localSheetId="3">#REF!</definedName>
    <definedName name="calcswitchone" localSheetId="6">#REF!</definedName>
    <definedName name="calcswitchone" localSheetId="8">#REF!</definedName>
    <definedName name="calcswitchone">#REF!</definedName>
    <definedName name="calcswitchpair" localSheetId="11">#REF!</definedName>
    <definedName name="calcswitchpair" localSheetId="9">#REF!</definedName>
    <definedName name="calcswitchpair" localSheetId="10">#REF!</definedName>
    <definedName name="calcswitchpair" localSheetId="5">#REF!</definedName>
    <definedName name="calcswitchpair" localSheetId="7">#REF!</definedName>
    <definedName name="calcswitchpair" localSheetId="4">#REF!</definedName>
    <definedName name="calcswitchpair" localSheetId="3">#REF!</definedName>
    <definedName name="calcswitchpair" localSheetId="6">#REF!</definedName>
    <definedName name="calcswitchpair" localSheetId="8">#REF!</definedName>
    <definedName name="calcswitchpair">#REF!</definedName>
    <definedName name="calcswitchtwo" localSheetId="11">#REF!</definedName>
    <definedName name="calcswitchtwo" localSheetId="9">#REF!</definedName>
    <definedName name="calcswitchtwo" localSheetId="10">#REF!</definedName>
    <definedName name="calcswitchtwo" localSheetId="5">#REF!</definedName>
    <definedName name="calcswitchtwo" localSheetId="7">#REF!</definedName>
    <definedName name="calcswitchtwo" localSheetId="4">#REF!</definedName>
    <definedName name="calcswitchtwo" localSheetId="3">#REF!</definedName>
    <definedName name="calcswitchtwo" localSheetId="6">#REF!</definedName>
    <definedName name="calcswitchtwo" localSheetId="8">#REF!</definedName>
    <definedName name="calcswitchtwo">#REF!</definedName>
    <definedName name="calct1" localSheetId="11">'[1]MA  Standardised units'!$X$6</definedName>
    <definedName name="calct1" localSheetId="9">'[1]MA  Standardised units'!$X$6</definedName>
    <definedName name="calct1" localSheetId="10">'[1]MA  Standardised units'!$X$6</definedName>
    <definedName name="calct1" localSheetId="5">'[1]MA  Standardised units'!$X$6</definedName>
    <definedName name="calct1" localSheetId="7">'[1]MA  Standardised units'!$X$6</definedName>
    <definedName name="calct1" localSheetId="12">'[2]MA  Standardised units'!$X$6</definedName>
    <definedName name="calct1" localSheetId="4">'[1]MA  Standardised units'!$X$6</definedName>
    <definedName name="calct1" localSheetId="3">'[1]MA  Standardised units'!$X$6</definedName>
    <definedName name="calct1" localSheetId="6">'[1]MA  Standardised units'!$X$6</definedName>
    <definedName name="calct1" localSheetId="8">'[1]MA  Standardised units'!$X$6</definedName>
    <definedName name="calct1">'[3]MA  Standardised units'!$X$6</definedName>
    <definedName name="calct10" localSheetId="11">'[1]MA  Standardised units'!$X$15</definedName>
    <definedName name="calct10" localSheetId="9">'[1]MA  Standardised units'!$X$15</definedName>
    <definedName name="calct10" localSheetId="10">'[1]MA  Standardised units'!$X$15</definedName>
    <definedName name="calct10" localSheetId="5">'[1]MA  Standardised units'!$X$15</definedName>
    <definedName name="calct10" localSheetId="7">'[1]MA  Standardised units'!$X$15</definedName>
    <definedName name="calct10" localSheetId="12">'[2]MA  Standardised units'!$X$15</definedName>
    <definedName name="calct10" localSheetId="4">'[1]MA  Standardised units'!$X$15</definedName>
    <definedName name="calct10" localSheetId="3">'[1]MA  Standardised units'!$X$15</definedName>
    <definedName name="calct10" localSheetId="6">'[1]MA  Standardised units'!$X$15</definedName>
    <definedName name="calct10" localSheetId="8">'[1]MA  Standardised units'!$X$15</definedName>
    <definedName name="calct10">'[3]MA  Standardised units'!$X$15</definedName>
    <definedName name="calct11" localSheetId="11">'[1]MA  Standardised units'!$X$18</definedName>
    <definedName name="calct11" localSheetId="9">'[1]MA  Standardised units'!$X$18</definedName>
    <definedName name="calct11" localSheetId="10">'[1]MA  Standardised units'!$X$18</definedName>
    <definedName name="calct11" localSheetId="5">'[1]MA  Standardised units'!$X$18</definedName>
    <definedName name="calct11" localSheetId="7">'[1]MA  Standardised units'!$X$18</definedName>
    <definedName name="calct11" localSheetId="12">'[2]MA  Standardised units'!$X$18</definedName>
    <definedName name="calct11" localSheetId="4">'[1]MA  Standardised units'!$X$18</definedName>
    <definedName name="calct11" localSheetId="3">'[1]MA  Standardised units'!$X$18</definedName>
    <definedName name="calct11" localSheetId="6">'[1]MA  Standardised units'!$X$18</definedName>
    <definedName name="calct11" localSheetId="8">'[1]MA  Standardised units'!$X$18</definedName>
    <definedName name="calct11">'[3]MA  Standardised units'!$X$18</definedName>
    <definedName name="calct12" localSheetId="11">'[1]MA  Standardised units'!$X$21</definedName>
    <definedName name="calct12" localSheetId="9">'[1]MA  Standardised units'!$X$21</definedName>
    <definedName name="calct12" localSheetId="10">'[1]MA  Standardised units'!$X$21</definedName>
    <definedName name="calct12" localSheetId="5">'[1]MA  Standardised units'!$X$21</definedName>
    <definedName name="calct12" localSheetId="7">'[1]MA  Standardised units'!$X$21</definedName>
    <definedName name="calct12" localSheetId="12">'[2]MA  Standardised units'!$X$21</definedName>
    <definedName name="calct12" localSheetId="4">'[1]MA  Standardised units'!$X$21</definedName>
    <definedName name="calct12" localSheetId="3">'[1]MA  Standardised units'!$X$21</definedName>
    <definedName name="calct12" localSheetId="6">'[1]MA  Standardised units'!$X$21</definedName>
    <definedName name="calct12" localSheetId="8">'[1]MA  Standardised units'!$X$21</definedName>
    <definedName name="calct12">'[3]MA  Standardised units'!$X$21</definedName>
    <definedName name="calct13" localSheetId="11">'[1]MA  Standardised units'!$X$24</definedName>
    <definedName name="calct13" localSheetId="9">'[1]MA  Standardised units'!$X$24</definedName>
    <definedName name="calct13" localSheetId="10">'[1]MA  Standardised units'!$X$24</definedName>
    <definedName name="calct13" localSheetId="5">'[1]MA  Standardised units'!$X$24</definedName>
    <definedName name="calct13" localSheetId="7">'[1]MA  Standardised units'!$X$24</definedName>
    <definedName name="calct13" localSheetId="12">'[2]MA  Standardised units'!$X$24</definedName>
    <definedName name="calct13" localSheetId="4">'[1]MA  Standardised units'!$X$24</definedName>
    <definedName name="calct13" localSheetId="3">'[1]MA  Standardised units'!$X$24</definedName>
    <definedName name="calct13" localSheetId="6">'[1]MA  Standardised units'!$X$24</definedName>
    <definedName name="calct13" localSheetId="8">'[1]MA  Standardised units'!$X$24</definedName>
    <definedName name="calct13">'[3]MA  Standardised units'!$X$24</definedName>
    <definedName name="calct2" localSheetId="11">'[1]MA  Standardised units'!$X$7</definedName>
    <definedName name="calct2" localSheetId="9">'[1]MA  Standardised units'!$X$7</definedName>
    <definedName name="calct2" localSheetId="10">'[1]MA  Standardised units'!$X$7</definedName>
    <definedName name="calct2" localSheetId="5">'[1]MA  Standardised units'!$X$7</definedName>
    <definedName name="calct2" localSheetId="7">'[1]MA  Standardised units'!$X$7</definedName>
    <definedName name="calct2" localSheetId="12">'[2]MA  Standardised units'!$X$7</definedName>
    <definedName name="calct2" localSheetId="4">'[1]MA  Standardised units'!$X$7</definedName>
    <definedName name="calct2" localSheetId="3">'[1]MA  Standardised units'!$X$7</definedName>
    <definedName name="calct2" localSheetId="6">'[1]MA  Standardised units'!$X$7</definedName>
    <definedName name="calct2" localSheetId="8">'[1]MA  Standardised units'!$X$7</definedName>
    <definedName name="calct2">'[3]MA  Standardised units'!$X$7</definedName>
    <definedName name="calct3" localSheetId="11">'[1]MA  Standardised units'!$X$8</definedName>
    <definedName name="calct3" localSheetId="9">'[1]MA  Standardised units'!$X$8</definedName>
    <definedName name="calct3" localSheetId="10">'[1]MA  Standardised units'!$X$8</definedName>
    <definedName name="calct3" localSheetId="5">'[1]MA  Standardised units'!$X$8</definedName>
    <definedName name="calct3" localSheetId="7">'[1]MA  Standardised units'!$X$8</definedName>
    <definedName name="calct3" localSheetId="12">'[2]MA  Standardised units'!$X$8</definedName>
    <definedName name="calct3" localSheetId="4">'[1]MA  Standardised units'!$X$8</definedName>
    <definedName name="calct3" localSheetId="3">'[1]MA  Standardised units'!$X$8</definedName>
    <definedName name="calct3" localSheetId="6">'[1]MA  Standardised units'!$X$8</definedName>
    <definedName name="calct3" localSheetId="8">'[1]MA  Standardised units'!$X$8</definedName>
    <definedName name="calct3">'[3]MA  Standardised units'!$X$8</definedName>
    <definedName name="calct4" localSheetId="11">'[1]MA  Standardised units'!$X$9</definedName>
    <definedName name="calct4" localSheetId="9">'[1]MA  Standardised units'!$X$9</definedName>
    <definedName name="calct4" localSheetId="10">'[1]MA  Standardised units'!$X$9</definedName>
    <definedName name="calct4" localSheetId="5">'[1]MA  Standardised units'!$X$9</definedName>
    <definedName name="calct4" localSheetId="7">'[1]MA  Standardised units'!$X$9</definedName>
    <definedName name="calct4" localSheetId="12">'[2]MA  Standardised units'!$X$9</definedName>
    <definedName name="calct4" localSheetId="4">'[1]MA  Standardised units'!$X$9</definedName>
    <definedName name="calct4" localSheetId="3">'[1]MA  Standardised units'!$X$9</definedName>
    <definedName name="calct4" localSheetId="6">'[1]MA  Standardised units'!$X$9</definedName>
    <definedName name="calct4" localSheetId="8">'[1]MA  Standardised units'!$X$9</definedName>
    <definedName name="calct4">'[3]MA  Standardised units'!$X$9</definedName>
    <definedName name="calct5" localSheetId="11">'[1]MA  Standardised units'!$X$10</definedName>
    <definedName name="calct5" localSheetId="9">'[1]MA  Standardised units'!$X$10</definedName>
    <definedName name="calct5" localSheetId="10">'[1]MA  Standardised units'!$X$10</definedName>
    <definedName name="calct5" localSheetId="5">'[1]MA  Standardised units'!$X$10</definedName>
    <definedName name="calct5" localSheetId="7">'[1]MA  Standardised units'!$X$10</definedName>
    <definedName name="calct5" localSheetId="12">'[2]MA  Standardised units'!$X$10</definedName>
    <definedName name="calct5" localSheetId="4">'[1]MA  Standardised units'!$X$10</definedName>
    <definedName name="calct5" localSheetId="3">'[1]MA  Standardised units'!$X$10</definedName>
    <definedName name="calct5" localSheetId="6">'[1]MA  Standardised units'!$X$10</definedName>
    <definedName name="calct5" localSheetId="8">'[1]MA  Standardised units'!$X$10</definedName>
    <definedName name="calct5">'[3]MA  Standardised units'!$X$10</definedName>
    <definedName name="calct6" localSheetId="11">'[1]MA  Standardised units'!$X$11</definedName>
    <definedName name="calct6" localSheetId="9">'[1]MA  Standardised units'!$X$11</definedName>
    <definedName name="calct6" localSheetId="10">'[1]MA  Standardised units'!$X$11</definedName>
    <definedName name="calct6" localSheetId="5">'[1]MA  Standardised units'!$X$11</definedName>
    <definedName name="calct6" localSheetId="7">'[1]MA  Standardised units'!$X$11</definedName>
    <definedName name="calct6" localSheetId="12">'[2]MA  Standardised units'!$X$11</definedName>
    <definedName name="calct6" localSheetId="4">'[1]MA  Standardised units'!$X$11</definedName>
    <definedName name="calct6" localSheetId="3">'[1]MA  Standardised units'!$X$11</definedName>
    <definedName name="calct6" localSheetId="6">'[1]MA  Standardised units'!$X$11</definedName>
    <definedName name="calct6" localSheetId="8">'[1]MA  Standardised units'!$X$11</definedName>
    <definedName name="calct6">'[3]MA  Standardised units'!$X$11</definedName>
    <definedName name="calct7" localSheetId="11">'[1]MA  Standardised units'!$X$12</definedName>
    <definedName name="calct7" localSheetId="9">'[1]MA  Standardised units'!$X$12</definedName>
    <definedName name="calct7" localSheetId="10">'[1]MA  Standardised units'!$X$12</definedName>
    <definedName name="calct7" localSheetId="5">'[1]MA  Standardised units'!$X$12</definedName>
    <definedName name="calct7" localSheetId="7">'[1]MA  Standardised units'!$X$12</definedName>
    <definedName name="calct7" localSheetId="12">'[2]MA  Standardised units'!$X$12</definedName>
    <definedName name="calct7" localSheetId="4">'[1]MA  Standardised units'!$X$12</definedName>
    <definedName name="calct7" localSheetId="3">'[1]MA  Standardised units'!$X$12</definedName>
    <definedName name="calct7" localSheetId="6">'[1]MA  Standardised units'!$X$12</definedName>
    <definedName name="calct7" localSheetId="8">'[1]MA  Standardised units'!$X$12</definedName>
    <definedName name="calct7">'[3]MA  Standardised units'!$X$12</definedName>
    <definedName name="calct8" localSheetId="11">'[1]MA  Standardised units'!$X$13</definedName>
    <definedName name="calct8" localSheetId="9">'[1]MA  Standardised units'!$X$13</definedName>
    <definedName name="calct8" localSheetId="10">'[1]MA  Standardised units'!$X$13</definedName>
    <definedName name="calct8" localSheetId="5">'[1]MA  Standardised units'!$X$13</definedName>
    <definedName name="calct8" localSheetId="7">'[1]MA  Standardised units'!$X$13</definedName>
    <definedName name="calct8" localSheetId="12">'[2]MA  Standardised units'!$X$13</definedName>
    <definedName name="calct8" localSheetId="4">'[1]MA  Standardised units'!$X$13</definedName>
    <definedName name="calct8" localSheetId="3">'[1]MA  Standardised units'!$X$13</definedName>
    <definedName name="calct8" localSheetId="6">'[1]MA  Standardised units'!$X$13</definedName>
    <definedName name="calct8" localSheetId="8">'[1]MA  Standardised units'!$X$13</definedName>
    <definedName name="calct8">'[3]MA  Standardised units'!$X$13</definedName>
    <definedName name="calct9" localSheetId="11">'[1]MA  Standardised units'!$X$14</definedName>
    <definedName name="calct9" localSheetId="9">'[1]MA  Standardised units'!$X$14</definedName>
    <definedName name="calct9" localSheetId="10">'[1]MA  Standardised units'!$X$14</definedName>
    <definedName name="calct9" localSheetId="5">'[1]MA  Standardised units'!$X$14</definedName>
    <definedName name="calct9" localSheetId="7">'[1]MA  Standardised units'!$X$14</definedName>
    <definedName name="calct9" localSheetId="12">'[2]MA  Standardised units'!$X$14</definedName>
    <definedName name="calct9" localSheetId="4">'[1]MA  Standardised units'!$X$14</definedName>
    <definedName name="calct9" localSheetId="3">'[1]MA  Standardised units'!$X$14</definedName>
    <definedName name="calct9" localSheetId="6">'[1]MA  Standardised units'!$X$14</definedName>
    <definedName name="calct9" localSheetId="8">'[1]MA  Standardised units'!$X$14</definedName>
    <definedName name="calct9">'[3]MA  Standardised units'!$X$14</definedName>
    <definedName name="calib1">[6]Describe!$T$34</definedName>
    <definedName name="calib2">[6]Describe!$T$35</definedName>
    <definedName name="calibpark">[6]Describe!$AO$31</definedName>
    <definedName name="caporigget" localSheetId="11">'[12]Capture probabilities'!$R$21:$S$520</definedName>
    <definedName name="caporigget" localSheetId="9">'[12]Capture probabilities'!$R$21:$S$520</definedName>
    <definedName name="caporigget" localSheetId="10">'[12]Capture probabilities'!$R$21:$S$520</definedName>
    <definedName name="caporigget" localSheetId="5">'[12]Capture probabilities'!$R$21:$S$520</definedName>
    <definedName name="caporigget" localSheetId="7">'[12]Capture probabilities'!$R$21:$S$520</definedName>
    <definedName name="caporigget" localSheetId="12">'[13]Capture probabilities'!$R$21:$S$520</definedName>
    <definedName name="caporigget" localSheetId="4">'[14]Capture probabilities'!$R$21:$S$520</definedName>
    <definedName name="caporigget" localSheetId="3">'[14]Capture probabilities'!$R$21:$S$520</definedName>
    <definedName name="caporigget" localSheetId="6">'[12]Capture probabilities'!$R$21:$S$520</definedName>
    <definedName name="caporigget" localSheetId="8">'[12]Capture probabilities'!$R$21:$S$520</definedName>
    <definedName name="caporigget">'[12]Capture probabilities'!$R$21:$S$520</definedName>
    <definedName name="caporigput" localSheetId="11">'[12]Capture probabilities'!$R$22:$S$521</definedName>
    <definedName name="caporigput" localSheetId="9">'[12]Capture probabilities'!$R$22:$S$521</definedName>
    <definedName name="caporigput" localSheetId="10">'[12]Capture probabilities'!$R$22:$S$521</definedName>
    <definedName name="caporigput" localSheetId="5">'[12]Capture probabilities'!$R$22:$S$521</definedName>
    <definedName name="caporigput" localSheetId="7">'[12]Capture probabilities'!$R$22:$S$521</definedName>
    <definedName name="caporigput" localSheetId="12">'[13]Capture probabilities'!$R$22:$S$521</definedName>
    <definedName name="caporigput" localSheetId="4">'[14]Capture probabilities'!$R$22:$S$521</definedName>
    <definedName name="caporigput" localSheetId="3">'[14]Capture probabilities'!$R$22:$S$521</definedName>
    <definedName name="caporigput" localSheetId="6">'[12]Capture probabilities'!$R$22:$S$521</definedName>
    <definedName name="caporigput" localSheetId="8">'[12]Capture probabilities'!$R$22:$S$521</definedName>
    <definedName name="caporigput">'[12]Capture probabilities'!$R$22:$S$521</definedName>
    <definedName name="cdata1000" localSheetId="11">'[15]Sample r'!$I$15:$K$1014</definedName>
    <definedName name="cdata1000" localSheetId="9">'[15]Sample r'!$I$15:$K$1014</definedName>
    <definedName name="cdata1000" localSheetId="10">'[15]Sample r'!$I$15:$K$1014</definedName>
    <definedName name="cdata1000" localSheetId="5">'[16]Sample r'!$I$15:$K$1014</definedName>
    <definedName name="cdata1000" localSheetId="7">'[16]Sample r'!$I$15:$K$1014</definedName>
    <definedName name="cdata1000" localSheetId="12">'[16]Sample r'!$I$15:$K$1014</definedName>
    <definedName name="cdata1000" localSheetId="4">'[16]Sample r'!$I$15:$K$1014</definedName>
    <definedName name="cdata1000" localSheetId="3">'[16]Sample r'!$I$15:$K$1014</definedName>
    <definedName name="cdata1000" localSheetId="6">'[16]Sample r'!$I$15:$K$1014</definedName>
    <definedName name="cdata1000" localSheetId="8">'[16]Sample r'!$I$15:$K$1014</definedName>
    <definedName name="cdata1000">'[15]Sample r'!$I$15:$K$1014</definedName>
    <definedName name="cdatanew" localSheetId="11">'[15]Sample r'!$I$16:$K$16</definedName>
    <definedName name="cdatanew" localSheetId="9">'[15]Sample r'!$I$16:$K$16</definedName>
    <definedName name="cdatanew" localSheetId="10">'[15]Sample r'!$I$16:$K$16</definedName>
    <definedName name="cdatanew" localSheetId="5">'[16]Sample r'!$I$16:$K$16</definedName>
    <definedName name="cdatanew" localSheetId="7">'[16]Sample r'!$I$16:$K$16</definedName>
    <definedName name="cdatanew" localSheetId="12">'[16]Sample r'!$I$16:$K$16</definedName>
    <definedName name="cdatanew" localSheetId="4">'[16]Sample r'!$I$16:$K$16</definedName>
    <definedName name="cdatanew" localSheetId="3">'[16]Sample r'!$I$16:$K$16</definedName>
    <definedName name="cdatanew" localSheetId="6">'[16]Sample r'!$I$16:$K$16</definedName>
    <definedName name="cdatanew" localSheetId="8">'[16]Sample r'!$I$16:$K$16</definedName>
    <definedName name="cdatanew">'[15]Sample r'!$I$16:$K$16</definedName>
    <definedName name="cdatath">'[17]Sample r'!$A$11:$C$1010</definedName>
    <definedName name="CElabel">#REF!</definedName>
    <definedName name="CforC" localSheetId="11">'[18]Vary C'!$C$20</definedName>
    <definedName name="CforC" localSheetId="9">'[18]Vary C'!$C$20</definedName>
    <definedName name="CforC" localSheetId="10">'[18]Vary C'!$C$20</definedName>
    <definedName name="CforC" localSheetId="5">'[18]Vary C'!$C$20</definedName>
    <definedName name="CforC" localSheetId="7">'[18]Vary C'!$C$20</definedName>
    <definedName name="CforC" localSheetId="12">'[19]Vary C'!$C$20</definedName>
    <definedName name="CforC" localSheetId="4">'[18]Vary C'!$C$20</definedName>
    <definedName name="CforC" localSheetId="3">'[18]Vary C'!$C$20</definedName>
    <definedName name="CforC" localSheetId="6">'[18]Vary C'!$C$20</definedName>
    <definedName name="CforC" localSheetId="8">'[18]Vary C'!$C$20</definedName>
    <definedName name="CforC">'[18]Vary C'!$C$20</definedName>
    <definedName name="Cforcalculator" localSheetId="11">#REF!</definedName>
    <definedName name="Cforcalculator" localSheetId="9">#REF!</definedName>
    <definedName name="Cforcalculator" localSheetId="10">#REF!</definedName>
    <definedName name="Cforcalculator" localSheetId="5">#REF!</definedName>
    <definedName name="Cforcalculator" localSheetId="7">#REF!</definedName>
    <definedName name="Cforcalculator" localSheetId="12">#REF!</definedName>
    <definedName name="Cforcalculator" localSheetId="4">#REF!</definedName>
    <definedName name="Cforcalculator" localSheetId="3">#REF!</definedName>
    <definedName name="Cforcalculator" localSheetId="6">#REF!</definedName>
    <definedName name="Cforcalculator" localSheetId="8">#REF!</definedName>
    <definedName name="Cforcalculator">#REF!</definedName>
    <definedName name="Cformula" localSheetId="11">#REF!</definedName>
    <definedName name="Cformula" localSheetId="9">#REF!</definedName>
    <definedName name="Cformula" localSheetId="10">#REF!</definedName>
    <definedName name="Cformula" localSheetId="5">#REF!</definedName>
    <definedName name="Cformula" localSheetId="7">#REF!</definedName>
    <definedName name="Cformula" localSheetId="12">#REF!</definedName>
    <definedName name="Cformula" localSheetId="4">#REF!</definedName>
    <definedName name="Cformula" localSheetId="3">#REF!</definedName>
    <definedName name="Cformula" localSheetId="6">#REF!</definedName>
    <definedName name="Cformula" localSheetId="8">#REF!</definedName>
    <definedName name="Cformula">#REF!</definedName>
    <definedName name="ChooseMod" localSheetId="11">'[4]Two proportions'!$R$14</definedName>
    <definedName name="ChooseMod" localSheetId="9">'[4]Two proportions'!$R$14</definedName>
    <definedName name="ChooseMod" localSheetId="10">'[4]Two proportions'!$R$14</definedName>
    <definedName name="ChooseMod" localSheetId="5">'[4]Two proportions'!$R$14</definedName>
    <definedName name="ChooseMod" localSheetId="7">'[4]Two proportions'!$R$14</definedName>
    <definedName name="ChooseMod" localSheetId="12">'[5]Two proportions'!$R$14</definedName>
    <definedName name="ChooseMod" localSheetId="4">'[4]Two proportions'!$R$14</definedName>
    <definedName name="ChooseMod" localSheetId="3">'[4]Two proportions'!$R$14</definedName>
    <definedName name="ChooseMod" localSheetId="6">'[4]Two proportions'!$R$14</definedName>
    <definedName name="ChooseMod" localSheetId="8">'[4]Two proportions'!$R$14</definedName>
    <definedName name="ChooseMod">'[4]Two proportions'!$R$14</definedName>
    <definedName name="CI1L" localSheetId="11">'[10]p value function'!$M$4</definedName>
    <definedName name="CI1L" localSheetId="9">'[10]p value function'!$M$4</definedName>
    <definedName name="CI1L" localSheetId="10">'[10]p value function'!$M$4</definedName>
    <definedName name="CI1L" localSheetId="5">'[9]p value function'!$M$4</definedName>
    <definedName name="CI1L" localSheetId="7">'[9]p value function'!$M$4</definedName>
    <definedName name="CI1L" localSheetId="12">'[10]p value function'!$M$4</definedName>
    <definedName name="CI1L" localSheetId="4">'[9]p value function'!$M$4</definedName>
    <definedName name="CI1L" localSheetId="3">'[9]p value function'!$M$4</definedName>
    <definedName name="CI1L" localSheetId="6">'[9]p value function'!$M$4</definedName>
    <definedName name="CI1L" localSheetId="8">'[9]p value function'!$M$4</definedName>
    <definedName name="CI1L">'[9]p value function'!$M$4</definedName>
    <definedName name="CI1R" localSheetId="11">'[10]p value function'!$M$5</definedName>
    <definedName name="CI1R" localSheetId="9">'[10]p value function'!$M$5</definedName>
    <definedName name="CI1R" localSheetId="10">'[10]p value function'!$M$5</definedName>
    <definedName name="CI1R" localSheetId="5">'[9]p value function'!$M$5</definedName>
    <definedName name="CI1R" localSheetId="7">'[9]p value function'!$M$5</definedName>
    <definedName name="CI1R" localSheetId="12">'[10]p value function'!$M$5</definedName>
    <definedName name="CI1R" localSheetId="4">'[9]p value function'!$M$5</definedName>
    <definedName name="CI1R" localSheetId="3">'[9]p value function'!$M$5</definedName>
    <definedName name="CI1R" localSheetId="6">'[9]p value function'!$M$5</definedName>
    <definedName name="CI1R" localSheetId="8">'[9]p value function'!$M$5</definedName>
    <definedName name="CI1R">'[9]p value function'!$M$5</definedName>
    <definedName name="CI2s" localSheetId="11">'[10]p value function'!$M$3</definedName>
    <definedName name="CI2s" localSheetId="9">'[10]p value function'!$M$3</definedName>
    <definedName name="CI2s" localSheetId="10">'[10]p value function'!$M$3</definedName>
    <definedName name="CI2s" localSheetId="5">'[9]p value function'!$M$3</definedName>
    <definedName name="CI2s" localSheetId="7">'[9]p value function'!$M$3</definedName>
    <definedName name="CI2s" localSheetId="12">'[10]p value function'!$M$3</definedName>
    <definedName name="CI2s" localSheetId="4">'[9]p value function'!$M$3</definedName>
    <definedName name="CI2s" localSheetId="3">'[9]p value function'!$M$3</definedName>
    <definedName name="CI2s" localSheetId="6">'[9]p value function'!$M$3</definedName>
    <definedName name="CI2s" localSheetId="8">'[9]p value function'!$M$3</definedName>
    <definedName name="CI2s">'[9]p value function'!$M$3</definedName>
    <definedName name="cid" localSheetId="11">'[1]MA  Standardised units'!$Z$4:$AA$4</definedName>
    <definedName name="cid" localSheetId="9">'[1]MA  Standardised units'!$Z$4:$AA$4</definedName>
    <definedName name="cid" localSheetId="10">'[1]MA  Standardised units'!$Z$4:$AA$4</definedName>
    <definedName name="cid" localSheetId="5">'[1]MA  Standardised units'!$Z$4:$AA$4</definedName>
    <definedName name="cid" localSheetId="7">'[1]MA  Standardised units'!$Z$4:$AA$4</definedName>
    <definedName name="cid" localSheetId="12">'[2]MA  Standardised units'!$Z$4:$AA$4</definedName>
    <definedName name="cid" localSheetId="4">'[1]MA  Standardised units'!$Z$4:$AA$4</definedName>
    <definedName name="cid" localSheetId="3">'[1]MA  Standardised units'!$Z$4:$AA$4</definedName>
    <definedName name="cid" localSheetId="6">'[1]MA  Standardised units'!$Z$4:$AA$4</definedName>
    <definedName name="cid" localSheetId="8">'[1]MA  Standardised units'!$Z$4:$AA$4</definedName>
    <definedName name="cid">'[3]MA  Standardised units'!$Z$4:$AA$4</definedName>
    <definedName name="cidpl" localSheetId="7">'[11]Data paired'!$B$17</definedName>
    <definedName name="cidpl" localSheetId="8">'[11]Data paired'!$B$17</definedName>
    <definedName name="cidpl">'[11]Data paired'!$B$17</definedName>
    <definedName name="cidptbzl" localSheetId="7">'[11]Data paired'!$B$15</definedName>
    <definedName name="cidptbzl" localSheetId="8">'[11]Data paired'!$B$15</definedName>
    <definedName name="cidptbzl">'[11]Data paired'!$B$15</definedName>
    <definedName name="cidptbzu" localSheetId="7">'[11]Data paired'!$C$15</definedName>
    <definedName name="cidptbzu" localSheetId="8">'[11]Data paired'!$C$15</definedName>
    <definedName name="cidptbzu">'[11]Data paired'!$C$15</definedName>
    <definedName name="cidpu" localSheetId="7">'[11]Data paired'!$C$17</definedName>
    <definedName name="cidpu" localSheetId="8">'[11]Data paired'!$C$17</definedName>
    <definedName name="cidpu">'[11]Data paired'!$C$17</definedName>
    <definedName name="cidtl" localSheetId="7">'[11]Data two'!$B$16</definedName>
    <definedName name="cidtl" localSheetId="12">'Robust two'!#REF!</definedName>
    <definedName name="cidtl" localSheetId="8">'[11]Data two'!$B$16</definedName>
    <definedName name="cidtl">'[11]Data two'!$B$16</definedName>
    <definedName name="cidttbzl" localSheetId="7">'[11]Data two'!$B$14</definedName>
    <definedName name="cidttbzl" localSheetId="12">'Robust two'!#REF!</definedName>
    <definedName name="cidttbzl" localSheetId="8">'[11]Data two'!$B$14</definedName>
    <definedName name="cidttbzl">'[11]Data two'!$B$14</definedName>
    <definedName name="cidttbzu" localSheetId="7">'[11]Data two'!$C$14</definedName>
    <definedName name="cidttbzu" localSheetId="12">'Robust two'!#REF!</definedName>
    <definedName name="cidttbzu" localSheetId="8">'[11]Data two'!$C$14</definedName>
    <definedName name="cidttbzu">'[11]Data two'!$C$14</definedName>
    <definedName name="cidtu" localSheetId="7">'[11]Data two'!$C$16</definedName>
    <definedName name="cidtu" localSheetId="12">'Robust two'!#REF!</definedName>
    <definedName name="cidtu" localSheetId="8">'[11]Data two'!$C$16</definedName>
    <definedName name="cidtu">'[11]Data two'!$C$16</definedName>
    <definedName name="cijgrab" localSheetId="11">'Ind groups 2 x 2'!#REF!</definedName>
    <definedName name="cijgrab" localSheetId="9">'Ind groups comparisons'!#REF!</definedName>
    <definedName name="cijgrab" localSheetId="10">'Ind groups contrasts'!#REF!</definedName>
    <definedName name="cijgrab" localSheetId="5">#REF!</definedName>
    <definedName name="cijgrab" localSheetId="7">#REF!</definedName>
    <definedName name="cijgrab" localSheetId="4">#REF!</definedName>
    <definedName name="cijgrab" localSheetId="3">#REF!</definedName>
    <definedName name="cijgrab" localSheetId="6">#REF!</definedName>
    <definedName name="cijgrab" localSheetId="8">#REF!</definedName>
    <definedName name="cijgrab">#REF!</definedName>
    <definedName name="cijput" localSheetId="11">'Ind groups 2 x 2'!#REF!</definedName>
    <definedName name="cijput" localSheetId="9">'Ind groups comparisons'!#REF!</definedName>
    <definedName name="cijput" localSheetId="10">'Ind groups contrasts'!#REF!</definedName>
    <definedName name="cijput" localSheetId="5">#REF!</definedName>
    <definedName name="cijput" localSheetId="7">#REF!</definedName>
    <definedName name="cijput" localSheetId="4">#REF!</definedName>
    <definedName name="cijput" localSheetId="3">#REF!</definedName>
    <definedName name="cijput" localSheetId="6">#REF!</definedName>
    <definedName name="cijput" localSheetId="8">#REF!</definedName>
    <definedName name="cijput">#REF!</definedName>
    <definedName name="cilh1" localSheetId="11">'[1]MA  Standardised units'!$Z$6</definedName>
    <definedName name="cilh1" localSheetId="9">'[1]MA  Standardised units'!$Z$6</definedName>
    <definedName name="cilh1" localSheetId="10">'[1]MA  Standardised units'!$Z$6</definedName>
    <definedName name="cilh1" localSheetId="5">'[1]MA  Standardised units'!$Z$6</definedName>
    <definedName name="cilh1" localSheetId="7">'[1]MA  Standardised units'!$Z$6</definedName>
    <definedName name="cilh1" localSheetId="12">'[2]MA  Standardised units'!$Z$6</definedName>
    <definedName name="cilh1" localSheetId="4">'[1]MA  Standardised units'!$Z$6</definedName>
    <definedName name="cilh1" localSheetId="3">'[1]MA  Standardised units'!$Z$6</definedName>
    <definedName name="cilh1" localSheetId="6">'[1]MA  Standardised units'!$Z$6</definedName>
    <definedName name="cilh1" localSheetId="8">'[1]MA  Standardised units'!$Z$6</definedName>
    <definedName name="cilh1">'[3]MA  Standardised units'!$Z$6</definedName>
    <definedName name="cilh10" localSheetId="11">'[1]MA  Standardised units'!$Z$15</definedName>
    <definedName name="cilh10" localSheetId="9">'[1]MA  Standardised units'!$Z$15</definedName>
    <definedName name="cilh10" localSheetId="10">'[1]MA  Standardised units'!$Z$15</definedName>
    <definedName name="cilh10" localSheetId="5">'[1]MA  Standardised units'!$Z$15</definedName>
    <definedName name="cilh10" localSheetId="7">'[1]MA  Standardised units'!$Z$15</definedName>
    <definedName name="cilh10" localSheetId="12">'[2]MA  Standardised units'!$Z$15</definedName>
    <definedName name="cilh10" localSheetId="4">'[1]MA  Standardised units'!$Z$15</definedName>
    <definedName name="cilh10" localSheetId="3">'[1]MA  Standardised units'!$Z$15</definedName>
    <definedName name="cilh10" localSheetId="6">'[1]MA  Standardised units'!$Z$15</definedName>
    <definedName name="cilh10" localSheetId="8">'[1]MA  Standardised units'!$Z$15</definedName>
    <definedName name="cilh10">'[3]MA  Standardised units'!$Z$15</definedName>
    <definedName name="cilh11" localSheetId="11">'[1]MA  Standardised units'!$Z$18</definedName>
    <definedName name="cilh11" localSheetId="9">'[1]MA  Standardised units'!$Z$18</definedName>
    <definedName name="cilh11" localSheetId="10">'[1]MA  Standardised units'!$Z$18</definedName>
    <definedName name="cilh11" localSheetId="5">'[1]MA  Standardised units'!$Z$18</definedName>
    <definedName name="cilh11" localSheetId="7">'[1]MA  Standardised units'!$Z$18</definedName>
    <definedName name="cilh11" localSheetId="12">'[2]MA  Standardised units'!$Z$18</definedName>
    <definedName name="cilh11" localSheetId="4">'[1]MA  Standardised units'!$Z$18</definedName>
    <definedName name="cilh11" localSheetId="3">'[1]MA  Standardised units'!$Z$18</definedName>
    <definedName name="cilh11" localSheetId="6">'[1]MA  Standardised units'!$Z$18</definedName>
    <definedName name="cilh11" localSheetId="8">'[1]MA  Standardised units'!$Z$18</definedName>
    <definedName name="cilh11">'[3]MA  Standardised units'!$Z$18</definedName>
    <definedName name="cilh12" localSheetId="11">'[1]MA  Standardised units'!$Z$21</definedName>
    <definedName name="cilh12" localSheetId="9">'[1]MA  Standardised units'!$Z$21</definedName>
    <definedName name="cilh12" localSheetId="10">'[1]MA  Standardised units'!$Z$21</definedName>
    <definedName name="cilh12" localSheetId="5">'[1]MA  Standardised units'!$Z$21</definedName>
    <definedName name="cilh12" localSheetId="7">'[1]MA  Standardised units'!$Z$21</definedName>
    <definedName name="cilh12" localSheetId="12">'[2]MA  Standardised units'!$Z$21</definedName>
    <definedName name="cilh12" localSheetId="4">'[1]MA  Standardised units'!$Z$21</definedName>
    <definedName name="cilh12" localSheetId="3">'[1]MA  Standardised units'!$Z$21</definedName>
    <definedName name="cilh12" localSheetId="6">'[1]MA  Standardised units'!$Z$21</definedName>
    <definedName name="cilh12" localSheetId="8">'[1]MA  Standardised units'!$Z$21</definedName>
    <definedName name="cilh12">'[3]MA  Standardised units'!$Z$21</definedName>
    <definedName name="cilh13" localSheetId="11">'[1]MA  Standardised units'!$Z$24</definedName>
    <definedName name="cilh13" localSheetId="9">'[1]MA  Standardised units'!$Z$24</definedName>
    <definedName name="cilh13" localSheetId="10">'[1]MA  Standardised units'!$Z$24</definedName>
    <definedName name="cilh13" localSheetId="5">'[1]MA  Standardised units'!$Z$24</definedName>
    <definedName name="cilh13" localSheetId="7">'[1]MA  Standardised units'!$Z$24</definedName>
    <definedName name="cilh13" localSheetId="12">'[2]MA  Standardised units'!$Z$24</definedName>
    <definedName name="cilh13" localSheetId="4">'[1]MA  Standardised units'!$Z$24</definedName>
    <definedName name="cilh13" localSheetId="3">'[1]MA  Standardised units'!$Z$24</definedName>
    <definedName name="cilh13" localSheetId="6">'[1]MA  Standardised units'!$Z$24</definedName>
    <definedName name="cilh13" localSheetId="8">'[1]MA  Standardised units'!$Z$24</definedName>
    <definedName name="cilh13">'[3]MA  Standardised units'!$Z$24</definedName>
    <definedName name="cilh2" localSheetId="11">'[1]MA  Standardised units'!$Z$7</definedName>
    <definedName name="cilh2" localSheetId="9">'[1]MA  Standardised units'!$Z$7</definedName>
    <definedName name="cilh2" localSheetId="10">'[1]MA  Standardised units'!$Z$7</definedName>
    <definedName name="cilh2" localSheetId="5">'[1]MA  Standardised units'!$Z$7</definedName>
    <definedName name="cilh2" localSheetId="7">'[1]MA  Standardised units'!$Z$7</definedName>
    <definedName name="cilh2" localSheetId="12">'[2]MA  Standardised units'!$Z$7</definedName>
    <definedName name="cilh2" localSheetId="4">'[1]MA  Standardised units'!$Z$7</definedName>
    <definedName name="cilh2" localSheetId="3">'[1]MA  Standardised units'!$Z$7</definedName>
    <definedName name="cilh2" localSheetId="6">'[1]MA  Standardised units'!$Z$7</definedName>
    <definedName name="cilh2" localSheetId="8">'[1]MA  Standardised units'!$Z$7</definedName>
    <definedName name="cilh2">'[3]MA  Standardised units'!$Z$7</definedName>
    <definedName name="cilh3" localSheetId="11">'[1]MA  Standardised units'!$Z$8</definedName>
    <definedName name="cilh3" localSheetId="9">'[1]MA  Standardised units'!$Z$8</definedName>
    <definedName name="cilh3" localSheetId="10">'[1]MA  Standardised units'!$Z$8</definedName>
    <definedName name="cilh3" localSheetId="5">'[1]MA  Standardised units'!$Z$8</definedName>
    <definedName name="cilh3" localSheetId="7">'[1]MA  Standardised units'!$Z$8</definedName>
    <definedName name="cilh3" localSheetId="12">'[2]MA  Standardised units'!$Z$8</definedName>
    <definedName name="cilh3" localSheetId="4">'[1]MA  Standardised units'!$Z$8</definedName>
    <definedName name="cilh3" localSheetId="3">'[1]MA  Standardised units'!$Z$8</definedName>
    <definedName name="cilh3" localSheetId="6">'[1]MA  Standardised units'!$Z$8</definedName>
    <definedName name="cilh3" localSheetId="8">'[1]MA  Standardised units'!$Z$8</definedName>
    <definedName name="cilh3">'[3]MA  Standardised units'!$Z$8</definedName>
    <definedName name="cilh4" localSheetId="11">'[1]MA  Standardised units'!$Z$9</definedName>
    <definedName name="cilh4" localSheetId="9">'[1]MA  Standardised units'!$Z$9</definedName>
    <definedName name="cilh4" localSheetId="10">'[1]MA  Standardised units'!$Z$9</definedName>
    <definedName name="cilh4" localSheetId="5">'[1]MA  Standardised units'!$Z$9</definedName>
    <definedName name="cilh4" localSheetId="7">'[1]MA  Standardised units'!$Z$9</definedName>
    <definedName name="cilh4" localSheetId="12">'[2]MA  Standardised units'!$Z$9</definedName>
    <definedName name="cilh4" localSheetId="4">'[1]MA  Standardised units'!$Z$9</definedName>
    <definedName name="cilh4" localSheetId="3">'[1]MA  Standardised units'!$Z$9</definedName>
    <definedName name="cilh4" localSheetId="6">'[1]MA  Standardised units'!$Z$9</definedName>
    <definedName name="cilh4" localSheetId="8">'[1]MA  Standardised units'!$Z$9</definedName>
    <definedName name="cilh4">'[3]MA  Standardised units'!$Z$9</definedName>
    <definedName name="cilh5" localSheetId="11">'[1]MA  Standardised units'!$Z$10</definedName>
    <definedName name="cilh5" localSheetId="9">'[1]MA  Standardised units'!$Z$10</definedName>
    <definedName name="cilh5" localSheetId="10">'[1]MA  Standardised units'!$Z$10</definedName>
    <definedName name="cilh5" localSheetId="5">'[1]MA  Standardised units'!$Z$10</definedName>
    <definedName name="cilh5" localSheetId="7">'[1]MA  Standardised units'!$Z$10</definedName>
    <definedName name="cilh5" localSheetId="12">'[2]MA  Standardised units'!$Z$10</definedName>
    <definedName name="cilh5" localSheetId="4">'[1]MA  Standardised units'!$Z$10</definedName>
    <definedName name="cilh5" localSheetId="3">'[1]MA  Standardised units'!$Z$10</definedName>
    <definedName name="cilh5" localSheetId="6">'[1]MA  Standardised units'!$Z$10</definedName>
    <definedName name="cilh5" localSheetId="8">'[1]MA  Standardised units'!$Z$10</definedName>
    <definedName name="cilh5">'[3]MA  Standardised units'!$Z$10</definedName>
    <definedName name="cilh6" localSheetId="11">'[1]MA  Standardised units'!$Z$11</definedName>
    <definedName name="cilh6" localSheetId="9">'[1]MA  Standardised units'!$Z$11</definedName>
    <definedName name="cilh6" localSheetId="10">'[1]MA  Standardised units'!$Z$11</definedName>
    <definedName name="cilh6" localSheetId="5">'[1]MA  Standardised units'!$Z$11</definedName>
    <definedName name="cilh6" localSheetId="7">'[1]MA  Standardised units'!$Z$11</definedName>
    <definedName name="cilh6" localSheetId="12">'[2]MA  Standardised units'!$Z$11</definedName>
    <definedName name="cilh6" localSheetId="4">'[1]MA  Standardised units'!$Z$11</definedName>
    <definedName name="cilh6" localSheetId="3">'[1]MA  Standardised units'!$Z$11</definedName>
    <definedName name="cilh6" localSheetId="6">'[1]MA  Standardised units'!$Z$11</definedName>
    <definedName name="cilh6" localSheetId="8">'[1]MA  Standardised units'!$Z$11</definedName>
    <definedName name="cilh6">'[3]MA  Standardised units'!$Z$11</definedName>
    <definedName name="cilh7" localSheetId="11">'[1]MA  Standardised units'!$Z$12</definedName>
    <definedName name="cilh7" localSheetId="9">'[1]MA  Standardised units'!$Z$12</definedName>
    <definedName name="cilh7" localSheetId="10">'[1]MA  Standardised units'!$Z$12</definedName>
    <definedName name="cilh7" localSheetId="5">'[1]MA  Standardised units'!$Z$12</definedName>
    <definedName name="cilh7" localSheetId="7">'[1]MA  Standardised units'!$Z$12</definedName>
    <definedName name="cilh7" localSheetId="12">'[2]MA  Standardised units'!$Z$12</definedName>
    <definedName name="cilh7" localSheetId="4">'[1]MA  Standardised units'!$Z$12</definedName>
    <definedName name="cilh7" localSheetId="3">'[1]MA  Standardised units'!$Z$12</definedName>
    <definedName name="cilh7" localSheetId="6">'[1]MA  Standardised units'!$Z$12</definedName>
    <definedName name="cilh7" localSheetId="8">'[1]MA  Standardised units'!$Z$12</definedName>
    <definedName name="cilh7">'[3]MA  Standardised units'!$Z$12</definedName>
    <definedName name="cilh8" localSheetId="11">'[1]MA  Standardised units'!$Z$13</definedName>
    <definedName name="cilh8" localSheetId="9">'[1]MA  Standardised units'!$Z$13</definedName>
    <definedName name="cilh8" localSheetId="10">'[1]MA  Standardised units'!$Z$13</definedName>
    <definedName name="cilh8" localSheetId="5">'[1]MA  Standardised units'!$Z$13</definedName>
    <definedName name="cilh8" localSheetId="7">'[1]MA  Standardised units'!$Z$13</definedName>
    <definedName name="cilh8" localSheetId="12">'[2]MA  Standardised units'!$Z$13</definedName>
    <definedName name="cilh8" localSheetId="4">'[1]MA  Standardised units'!$Z$13</definedName>
    <definedName name="cilh8" localSheetId="3">'[1]MA  Standardised units'!$Z$13</definedName>
    <definedName name="cilh8" localSheetId="6">'[1]MA  Standardised units'!$Z$13</definedName>
    <definedName name="cilh8" localSheetId="8">'[1]MA  Standardised units'!$Z$13</definedName>
    <definedName name="cilh8">'[3]MA  Standardised units'!$Z$13</definedName>
    <definedName name="cilh9" localSheetId="11">'[1]MA  Standardised units'!$Z$14</definedName>
    <definedName name="cilh9" localSheetId="9">'[1]MA  Standardised units'!$Z$14</definedName>
    <definedName name="cilh9" localSheetId="10">'[1]MA  Standardised units'!$Z$14</definedName>
    <definedName name="cilh9" localSheetId="5">'[1]MA  Standardised units'!$Z$14</definedName>
    <definedName name="cilh9" localSheetId="7">'[1]MA  Standardised units'!$Z$14</definedName>
    <definedName name="cilh9" localSheetId="12">'[2]MA  Standardised units'!$Z$14</definedName>
    <definedName name="cilh9" localSheetId="4">'[1]MA  Standardised units'!$Z$14</definedName>
    <definedName name="cilh9" localSheetId="3">'[1]MA  Standardised units'!$Z$14</definedName>
    <definedName name="cilh9" localSheetId="6">'[1]MA  Standardised units'!$Z$14</definedName>
    <definedName name="cilh9" localSheetId="8">'[1]MA  Standardised units'!$Z$14</definedName>
    <definedName name="cilh9">'[3]MA  Standardised units'!$Z$14</definedName>
    <definedName name="CIoL">'[20]CI and p'!$O$3</definedName>
    <definedName name="CIoR">'[20]CI and p'!$O$5</definedName>
    <definedName name="cispl">#REF!</definedName>
    <definedName name="cisptbzl">#REF!</definedName>
    <definedName name="cisptbzu">#REF!</definedName>
    <definedName name="cispu">#REF!</definedName>
    <definedName name="cistl">#REF!</definedName>
    <definedName name="cisttbzl">#REF!</definedName>
    <definedName name="cisttbzu">#REF!</definedName>
    <definedName name="cistu">#REF!</definedName>
    <definedName name="CIts">'[20]CI function'!$AK$3</definedName>
    <definedName name="cldata1000" localSheetId="11">'[15]Sample r'!$I$16:$K$1015</definedName>
    <definedName name="cldata1000" localSheetId="9">'[15]Sample r'!$I$16:$K$1015</definedName>
    <definedName name="cldata1000" localSheetId="10">'[15]Sample r'!$I$16:$K$1015</definedName>
    <definedName name="cldata1000" localSheetId="5">'[16]Sample r'!$I$16:$K$1015</definedName>
    <definedName name="cldata1000" localSheetId="7">'[16]Sample r'!$I$16:$K$1015</definedName>
    <definedName name="cldata1000" localSheetId="12">'[16]Sample r'!$I$16:$K$1015</definedName>
    <definedName name="cldata1000" localSheetId="4">'[16]Sample r'!$I$16:$K$1015</definedName>
    <definedName name="cldata1000" localSheetId="3">'[16]Sample r'!$I$16:$K$1015</definedName>
    <definedName name="cldata1000" localSheetId="6">'[16]Sample r'!$I$16:$K$1015</definedName>
    <definedName name="cldata1000" localSheetId="8">'[16]Sample r'!$I$16:$K$1015</definedName>
    <definedName name="cldata1000">'[15]Sample r'!$I$16:$K$1015</definedName>
    <definedName name="cldatath">'[17]Sample r'!$A$12:$C$1011</definedName>
    <definedName name="clear20" localSheetId="11">'[9]Fig 1'!$M$11</definedName>
    <definedName name="clear20" localSheetId="9">'[9]Fig 1'!$M$11</definedName>
    <definedName name="clear20" localSheetId="10">'[9]Fig 1'!$M$11</definedName>
    <definedName name="clear20" localSheetId="5">'[9]Fig 1'!$M$11</definedName>
    <definedName name="clear20" localSheetId="7">'[9]Fig 1'!$M$11</definedName>
    <definedName name="clear20" localSheetId="12">'[10]Fig 1'!$M$11</definedName>
    <definedName name="clear20" localSheetId="4">'[9]Fig 1'!$M$11</definedName>
    <definedName name="clear20" localSheetId="3">'[9]Fig 1'!$M$11</definedName>
    <definedName name="clear20" localSheetId="6">'[9]Fig 1'!$M$11</definedName>
    <definedName name="clear20" localSheetId="8">'[9]Fig 1'!$M$11</definedName>
    <definedName name="clear20">'[9]Fig 1'!$M$11</definedName>
    <definedName name="cleardisp" localSheetId="11">'Ind groups 2 x 2'!#REF!</definedName>
    <definedName name="cleardisp" localSheetId="9">'Ind groups comparisons'!#REF!</definedName>
    <definedName name="cleardisp" localSheetId="10">'Ind groups contrasts'!#REF!</definedName>
    <definedName name="cleardisp" localSheetId="5">#REF!</definedName>
    <definedName name="cleardisp" localSheetId="7">#REF!</definedName>
    <definedName name="cleardisp" localSheetId="4">#REF!</definedName>
    <definedName name="cleardisp" localSheetId="3">#REF!</definedName>
    <definedName name="cleardisp" localSheetId="6">#REF!</definedName>
    <definedName name="cleardisp" localSheetId="8">#REF!</definedName>
    <definedName name="cleardisp">#REF!</definedName>
    <definedName name="cleardisp1" localSheetId="11">#REF!</definedName>
    <definedName name="cleardisp1" localSheetId="9">#REF!</definedName>
    <definedName name="cleardisp1" localSheetId="10">#REF!</definedName>
    <definedName name="cleardisp1" localSheetId="5">#REF!</definedName>
    <definedName name="cleardisp1" localSheetId="7">#REF!</definedName>
    <definedName name="cleardisp1" localSheetId="4">#REF!</definedName>
    <definedName name="cleardisp1" localSheetId="3">#REF!</definedName>
    <definedName name="cleardisp1" localSheetId="6">#REF!</definedName>
    <definedName name="cleardisp1" localSheetId="8">#REF!</definedName>
    <definedName name="cleardisp1">#REF!</definedName>
    <definedName name="cleardispo" localSheetId="11">'[7]d heap'!$BD$4</definedName>
    <definedName name="cleardispo" localSheetId="9">'[7]d heap'!$BD$4</definedName>
    <definedName name="cleardispo" localSheetId="10">'[7]d heap'!$BD$4</definedName>
    <definedName name="cleardispo" localSheetId="5">'[7]d heap'!$BD$4</definedName>
    <definedName name="cleardispo" localSheetId="7">'[7]d heap'!$BD$4</definedName>
    <definedName name="cleardispo" localSheetId="12">'[7]d heap'!$BD$4</definedName>
    <definedName name="cleardispo" localSheetId="4">'[7]d heap'!$BD$4</definedName>
    <definedName name="cleardispo" localSheetId="3">'[7]d heap'!$BD$4</definedName>
    <definedName name="cleardispo" localSheetId="6">'[7]d heap'!$BD$4</definedName>
    <definedName name="cleardispo" localSheetId="8">'[7]d heap'!$BD$4</definedName>
    <definedName name="cleardispo">#REF!</definedName>
    <definedName name="cleardisps" localSheetId="11">[7]Sampling!$BD$4</definedName>
    <definedName name="cleardisps" localSheetId="9">[7]Sampling!$BD$4</definedName>
    <definedName name="cleardisps" localSheetId="10">[7]Sampling!$BD$4</definedName>
    <definedName name="cleardisps" localSheetId="5">[7]Sampling!$BD$4</definedName>
    <definedName name="cleardisps" localSheetId="7">[7]Sampling!$BD$4</definedName>
    <definedName name="cleardisps" localSheetId="12">[7]Sampling!$BD$4</definedName>
    <definedName name="cleardisps" localSheetId="4">[7]Sampling!$BD$4</definedName>
    <definedName name="cleardisps" localSheetId="3">[7]Sampling!$BD$4</definedName>
    <definedName name="cleardisps" localSheetId="6">[7]Sampling!$BD$4</definedName>
    <definedName name="cleardisps" localSheetId="8">[7]Sampling!$BD$4</definedName>
    <definedName name="cleardisps">#REF!</definedName>
    <definedName name="conf" localSheetId="11">'[1]MA  Standardised units'!$K$2</definedName>
    <definedName name="conf" localSheetId="9">'[1]MA  Standardised units'!$K$2</definedName>
    <definedName name="conf" localSheetId="10">'[1]MA  Standardised units'!$K$2</definedName>
    <definedName name="conf" localSheetId="5">'[1]MA  Standardised units'!$K$2</definedName>
    <definedName name="conf" localSheetId="7">'[1]MA  Standardised units'!$K$2</definedName>
    <definedName name="conf" localSheetId="12">'[2]MA  Standardised units'!$K$2</definedName>
    <definedName name="conf" localSheetId="4">'[1]MA  Standardised units'!$K$2</definedName>
    <definedName name="conf" localSheetId="3">'[1]MA  Standardised units'!$K$2</definedName>
    <definedName name="conf" localSheetId="6">'[1]MA  Standardised units'!$K$2</definedName>
    <definedName name="conf" localSheetId="8">'[1]MA  Standardised units'!$K$2</definedName>
    <definedName name="conf">'[3]MA  Standardised units'!$K$2</definedName>
    <definedName name="conf1" localSheetId="11">'[1]MA  Standardised units'!$AD$6</definedName>
    <definedName name="conf1" localSheetId="9">'[1]MA  Standardised units'!$AD$6</definedName>
    <definedName name="conf1" localSheetId="10">'[1]MA  Standardised units'!$AD$6</definedName>
    <definedName name="conf1" localSheetId="5">'[1]MA  Standardised units'!$AD$6</definedName>
    <definedName name="conf1" localSheetId="7">'[1]MA  Standardised units'!$AD$6</definedName>
    <definedName name="conf1" localSheetId="12">'[2]MA  Standardised units'!$AD$6</definedName>
    <definedName name="conf1" localSheetId="4">'[1]MA  Standardised units'!$AD$6</definedName>
    <definedName name="conf1" localSheetId="3">'[1]MA  Standardised units'!$AD$6</definedName>
    <definedName name="conf1" localSheetId="6">'[1]MA  Standardised units'!$AD$6</definedName>
    <definedName name="conf1" localSheetId="8">'[1]MA  Standardised units'!$AD$6</definedName>
    <definedName name="conf1">'[3]MA  Standardised units'!$AD$6</definedName>
    <definedName name="conf10" localSheetId="11">'[1]MA  Standardised units'!$AD$15</definedName>
    <definedName name="conf10" localSheetId="9">'[1]MA  Standardised units'!$AD$15</definedName>
    <definedName name="conf10" localSheetId="10">'[1]MA  Standardised units'!$AD$15</definedName>
    <definedName name="conf10" localSheetId="5">'[1]MA  Standardised units'!$AD$15</definedName>
    <definedName name="conf10" localSheetId="7">'[1]MA  Standardised units'!$AD$15</definedName>
    <definedName name="conf10" localSheetId="12">'[2]MA  Standardised units'!$AD$15</definedName>
    <definedName name="conf10" localSheetId="4">'[1]MA  Standardised units'!$AD$15</definedName>
    <definedName name="conf10" localSheetId="3">'[1]MA  Standardised units'!$AD$15</definedName>
    <definedName name="conf10" localSheetId="6">'[1]MA  Standardised units'!$AD$15</definedName>
    <definedName name="conf10" localSheetId="8">'[1]MA  Standardised units'!$AD$15</definedName>
    <definedName name="conf10">'[3]MA  Standardised units'!$AD$15</definedName>
    <definedName name="conf11" localSheetId="11">'[1]MA  Standardised units'!$AD$18</definedName>
    <definedName name="conf11" localSheetId="9">'[1]MA  Standardised units'!$AD$18</definedName>
    <definedName name="conf11" localSheetId="10">'[1]MA  Standardised units'!$AD$18</definedName>
    <definedName name="conf11" localSheetId="5">'[1]MA  Standardised units'!$AD$18</definedName>
    <definedName name="conf11" localSheetId="7">'[1]MA  Standardised units'!$AD$18</definedName>
    <definedName name="conf11" localSheetId="12">'[2]MA  Standardised units'!$AD$18</definedName>
    <definedName name="conf11" localSheetId="4">'[1]MA  Standardised units'!$AD$18</definedName>
    <definedName name="conf11" localSheetId="3">'[1]MA  Standardised units'!$AD$18</definedName>
    <definedName name="conf11" localSheetId="6">'[1]MA  Standardised units'!$AD$18</definedName>
    <definedName name="conf11" localSheetId="8">'[1]MA  Standardised units'!$AD$18</definedName>
    <definedName name="conf11">'[3]MA  Standardised units'!$AD$18</definedName>
    <definedName name="conf12" localSheetId="11">'[1]MA  Standardised units'!$AD$21</definedName>
    <definedName name="conf12" localSheetId="9">'[1]MA  Standardised units'!$AD$21</definedName>
    <definedName name="conf12" localSheetId="10">'[1]MA  Standardised units'!$AD$21</definedName>
    <definedName name="conf12" localSheetId="5">'[1]MA  Standardised units'!$AD$21</definedName>
    <definedName name="conf12" localSheetId="7">'[1]MA  Standardised units'!$AD$21</definedName>
    <definedName name="conf12" localSheetId="12">'[2]MA  Standardised units'!$AD$21</definedName>
    <definedName name="conf12" localSheetId="4">'[1]MA  Standardised units'!$AD$21</definedName>
    <definedName name="conf12" localSheetId="3">'[1]MA  Standardised units'!$AD$21</definedName>
    <definedName name="conf12" localSheetId="6">'[1]MA  Standardised units'!$AD$21</definedName>
    <definedName name="conf12" localSheetId="8">'[1]MA  Standardised units'!$AD$21</definedName>
    <definedName name="conf12">'[3]MA  Standardised units'!$AD$21</definedName>
    <definedName name="conf13" localSheetId="11">'[1]MA  Standardised units'!$AD$24</definedName>
    <definedName name="conf13" localSheetId="9">'[1]MA  Standardised units'!$AD$24</definedName>
    <definedName name="conf13" localSheetId="10">'[1]MA  Standardised units'!$AD$24</definedName>
    <definedName name="conf13" localSheetId="5">'[1]MA  Standardised units'!$AD$24</definedName>
    <definedName name="conf13" localSheetId="7">'[1]MA  Standardised units'!$AD$24</definedName>
    <definedName name="conf13" localSheetId="12">'[2]MA  Standardised units'!$AD$24</definedName>
    <definedName name="conf13" localSheetId="4">'[1]MA  Standardised units'!$AD$24</definedName>
    <definedName name="conf13" localSheetId="3">'[1]MA  Standardised units'!$AD$24</definedName>
    <definedName name="conf13" localSheetId="6">'[1]MA  Standardised units'!$AD$24</definedName>
    <definedName name="conf13" localSheetId="8">'[1]MA  Standardised units'!$AD$24</definedName>
    <definedName name="conf13">'[3]MA  Standardised units'!$AD$24</definedName>
    <definedName name="conf2" localSheetId="11">'[1]MA  Standardised units'!$AD$7</definedName>
    <definedName name="conf2" localSheetId="9">'[1]MA  Standardised units'!$AD$7</definedName>
    <definedName name="conf2" localSheetId="10">'[1]MA  Standardised units'!$AD$7</definedName>
    <definedName name="conf2" localSheetId="5">'[1]MA  Standardised units'!$AD$7</definedName>
    <definedName name="conf2" localSheetId="7">'[1]MA  Standardised units'!$AD$7</definedName>
    <definedName name="conf2" localSheetId="12">'[2]MA  Standardised units'!$AD$7</definedName>
    <definedName name="conf2" localSheetId="4">'[1]MA  Standardised units'!$AD$7</definedName>
    <definedName name="conf2" localSheetId="3">'[1]MA  Standardised units'!$AD$7</definedName>
    <definedName name="conf2" localSheetId="6">'[1]MA  Standardised units'!$AD$7</definedName>
    <definedName name="conf2" localSheetId="8">'[1]MA  Standardised units'!$AD$7</definedName>
    <definedName name="conf2">'[3]MA  Standardised units'!$AD$7</definedName>
    <definedName name="conf3" localSheetId="11">'[1]MA  Standardised units'!$AD$8</definedName>
    <definedName name="conf3" localSheetId="9">'[1]MA  Standardised units'!$AD$8</definedName>
    <definedName name="conf3" localSheetId="10">'[1]MA  Standardised units'!$AD$8</definedName>
    <definedName name="conf3" localSheetId="5">'[1]MA  Standardised units'!$AD$8</definedName>
    <definedName name="conf3" localSheetId="7">'[1]MA  Standardised units'!$AD$8</definedName>
    <definedName name="conf3" localSheetId="12">'[2]MA  Standardised units'!$AD$8</definedName>
    <definedName name="conf3" localSheetId="4">'[1]MA  Standardised units'!$AD$8</definedName>
    <definedName name="conf3" localSheetId="3">'[1]MA  Standardised units'!$AD$8</definedName>
    <definedName name="conf3" localSheetId="6">'[1]MA  Standardised units'!$AD$8</definedName>
    <definedName name="conf3" localSheetId="8">'[1]MA  Standardised units'!$AD$8</definedName>
    <definedName name="conf3">'[3]MA  Standardised units'!$AD$8</definedName>
    <definedName name="conf4" localSheetId="11">'[1]MA  Standardised units'!$AD$9</definedName>
    <definedName name="conf4" localSheetId="9">'[1]MA  Standardised units'!$AD$9</definedName>
    <definedName name="conf4" localSheetId="10">'[1]MA  Standardised units'!$AD$9</definedName>
    <definedName name="conf4" localSheetId="5">'[1]MA  Standardised units'!$AD$9</definedName>
    <definedName name="conf4" localSheetId="7">'[1]MA  Standardised units'!$AD$9</definedName>
    <definedName name="conf4" localSheetId="12">'[2]MA  Standardised units'!$AD$9</definedName>
    <definedName name="conf4" localSheetId="4">'[1]MA  Standardised units'!$AD$9</definedName>
    <definedName name="conf4" localSheetId="3">'[1]MA  Standardised units'!$AD$9</definedName>
    <definedName name="conf4" localSheetId="6">'[1]MA  Standardised units'!$AD$9</definedName>
    <definedName name="conf4" localSheetId="8">'[1]MA  Standardised units'!$AD$9</definedName>
    <definedName name="conf4">'[3]MA  Standardised units'!$AD$9</definedName>
    <definedName name="conf5" localSheetId="11">'[1]MA  Standardised units'!$AD$10</definedName>
    <definedName name="conf5" localSheetId="9">'[1]MA  Standardised units'!$AD$10</definedName>
    <definedName name="conf5" localSheetId="10">'[1]MA  Standardised units'!$AD$10</definedName>
    <definedName name="conf5" localSheetId="5">'[1]MA  Standardised units'!$AD$10</definedName>
    <definedName name="conf5" localSheetId="7">'[1]MA  Standardised units'!$AD$10</definedName>
    <definedName name="conf5" localSheetId="12">'[2]MA  Standardised units'!$AD$10</definedName>
    <definedName name="conf5" localSheetId="4">'[1]MA  Standardised units'!$AD$10</definedName>
    <definedName name="conf5" localSheetId="3">'[1]MA  Standardised units'!$AD$10</definedName>
    <definedName name="conf5" localSheetId="6">'[1]MA  Standardised units'!$AD$10</definedName>
    <definedName name="conf5" localSheetId="8">'[1]MA  Standardised units'!$AD$10</definedName>
    <definedName name="conf5">'[3]MA  Standardised units'!$AD$10</definedName>
    <definedName name="conf6" localSheetId="11">'[1]MA  Standardised units'!$AD$11</definedName>
    <definedName name="conf6" localSheetId="9">'[1]MA  Standardised units'!$AD$11</definedName>
    <definedName name="conf6" localSheetId="10">'[1]MA  Standardised units'!$AD$11</definedName>
    <definedName name="conf6" localSheetId="5">'[1]MA  Standardised units'!$AD$11</definedName>
    <definedName name="conf6" localSheetId="7">'[1]MA  Standardised units'!$AD$11</definedName>
    <definedName name="conf6" localSheetId="12">'[2]MA  Standardised units'!$AD$11</definedName>
    <definedName name="conf6" localSheetId="4">'[1]MA  Standardised units'!$AD$11</definedName>
    <definedName name="conf6" localSheetId="3">'[1]MA  Standardised units'!$AD$11</definedName>
    <definedName name="conf6" localSheetId="6">'[1]MA  Standardised units'!$AD$11</definedName>
    <definedName name="conf6" localSheetId="8">'[1]MA  Standardised units'!$AD$11</definedName>
    <definedName name="conf6">'[3]MA  Standardised units'!$AD$11</definedName>
    <definedName name="conf7" localSheetId="11">'[1]MA  Standardised units'!$AD$12</definedName>
    <definedName name="conf7" localSheetId="9">'[1]MA  Standardised units'!$AD$12</definedName>
    <definedName name="conf7" localSheetId="10">'[1]MA  Standardised units'!$AD$12</definedName>
    <definedName name="conf7" localSheetId="5">'[1]MA  Standardised units'!$AD$12</definedName>
    <definedName name="conf7" localSheetId="7">'[1]MA  Standardised units'!$AD$12</definedName>
    <definedName name="conf7" localSheetId="12">'[2]MA  Standardised units'!$AD$12</definedName>
    <definedName name="conf7" localSheetId="4">'[1]MA  Standardised units'!$AD$12</definedName>
    <definedName name="conf7" localSheetId="3">'[1]MA  Standardised units'!$AD$12</definedName>
    <definedName name="conf7" localSheetId="6">'[1]MA  Standardised units'!$AD$12</definedName>
    <definedName name="conf7" localSheetId="8">'[1]MA  Standardised units'!$AD$12</definedName>
    <definedName name="conf7">'[3]MA  Standardised units'!$AD$12</definedName>
    <definedName name="conf8" localSheetId="11">'[1]MA  Standardised units'!$AD$13</definedName>
    <definedName name="conf8" localSheetId="9">'[1]MA  Standardised units'!$AD$13</definedName>
    <definedName name="conf8" localSheetId="10">'[1]MA  Standardised units'!$AD$13</definedName>
    <definedName name="conf8" localSheetId="5">'[1]MA  Standardised units'!$AD$13</definedName>
    <definedName name="conf8" localSheetId="7">'[1]MA  Standardised units'!$AD$13</definedName>
    <definedName name="conf8" localSheetId="12">'[2]MA  Standardised units'!$AD$13</definedName>
    <definedName name="conf8" localSheetId="4">'[1]MA  Standardised units'!$AD$13</definedName>
    <definedName name="conf8" localSheetId="3">'[1]MA  Standardised units'!$AD$13</definedName>
    <definedName name="conf8" localSheetId="6">'[1]MA  Standardised units'!$AD$13</definedName>
    <definedName name="conf8" localSheetId="8">'[1]MA  Standardised units'!$AD$13</definedName>
    <definedName name="conf8">'[3]MA  Standardised units'!$AD$13</definedName>
    <definedName name="conf9" localSheetId="11">'[1]MA  Standardised units'!$AD$14</definedName>
    <definedName name="conf9" localSheetId="9">'[1]MA  Standardised units'!$AD$14</definedName>
    <definedName name="conf9" localSheetId="10">'[1]MA  Standardised units'!$AD$14</definedName>
    <definedName name="conf9" localSheetId="5">'[1]MA  Standardised units'!$AD$14</definedName>
    <definedName name="conf9" localSheetId="7">'[1]MA  Standardised units'!$AD$14</definedName>
    <definedName name="conf9" localSheetId="12">'[2]MA  Standardised units'!$AD$14</definedName>
    <definedName name="conf9" localSheetId="4">'[1]MA  Standardised units'!$AD$14</definedName>
    <definedName name="conf9" localSheetId="3">'[1]MA  Standardised units'!$AD$14</definedName>
    <definedName name="conf9" localSheetId="6">'[1]MA  Standardised units'!$AD$14</definedName>
    <definedName name="conf9" localSheetId="8">'[1]MA  Standardised units'!$AD$14</definedName>
    <definedName name="conf9">'[3]MA  Standardised units'!$AD$14</definedName>
    <definedName name="copyn" localSheetId="11">'[1]MA  Standardised units'!$AC$2</definedName>
    <definedName name="copyn" localSheetId="9">'[1]MA  Standardised units'!$AC$2</definedName>
    <definedName name="copyn" localSheetId="10">'[1]MA  Standardised units'!$AC$2</definedName>
    <definedName name="copyn" localSheetId="5">'[1]MA  Standardised units'!$AC$2</definedName>
    <definedName name="copyn" localSheetId="7">'[1]MA  Standardised units'!$AC$2</definedName>
    <definedName name="copyn" localSheetId="12">'[2]MA  Standardised units'!$AC$2</definedName>
    <definedName name="copyn" localSheetId="4">'[1]MA  Standardised units'!$AC$2</definedName>
    <definedName name="copyn" localSheetId="3">'[1]MA  Standardised units'!$AC$2</definedName>
    <definedName name="copyn" localSheetId="6">'[1]MA  Standardised units'!$AC$2</definedName>
    <definedName name="copyn" localSheetId="8">'[1]MA  Standardised units'!$AC$2</definedName>
    <definedName name="copyn">'[3]MA  Standardised units'!$AC$2</definedName>
    <definedName name="copyt" localSheetId="11">'[1]MA  Standardised units'!$AC$3</definedName>
    <definedName name="copyt" localSheetId="9">'[1]MA  Standardised units'!$AC$3</definedName>
    <definedName name="copyt" localSheetId="10">'[1]MA  Standardised units'!$AC$3</definedName>
    <definedName name="copyt" localSheetId="5">'[1]MA  Standardised units'!$AC$3</definedName>
    <definedName name="copyt" localSheetId="7">'[1]MA  Standardised units'!$AC$3</definedName>
    <definedName name="copyt" localSheetId="12">'[2]MA  Standardised units'!$AC$3</definedName>
    <definedName name="copyt" localSheetId="4">'[1]MA  Standardised units'!$AC$3</definedName>
    <definedName name="copyt" localSheetId="3">'[1]MA  Standardised units'!$AC$3</definedName>
    <definedName name="copyt" localSheetId="6">'[1]MA  Standardised units'!$AC$3</definedName>
    <definedName name="copyt" localSheetId="8">'[1]MA  Standardised units'!$AC$3</definedName>
    <definedName name="copyt">'[3]MA  Standardised units'!$AC$3</definedName>
    <definedName name="copyt1" localSheetId="11">'[1]MA  Standardised units'!$Y$6</definedName>
    <definedName name="copyt1" localSheetId="9">'[1]MA  Standardised units'!$Y$6</definedName>
    <definedName name="copyt1" localSheetId="10">'[1]MA  Standardised units'!$Y$6</definedName>
    <definedName name="copyt1" localSheetId="5">'[1]MA  Standardised units'!$Y$6</definedName>
    <definedName name="copyt1" localSheetId="7">'[1]MA  Standardised units'!$Y$6</definedName>
    <definedName name="copyt1" localSheetId="12">'[2]MA  Standardised units'!$Y$6</definedName>
    <definedName name="copyt1" localSheetId="4">'[1]MA  Standardised units'!$Y$6</definedName>
    <definedName name="copyt1" localSheetId="3">'[1]MA  Standardised units'!$Y$6</definedName>
    <definedName name="copyt1" localSheetId="6">'[1]MA  Standardised units'!$Y$6</definedName>
    <definedName name="copyt1" localSheetId="8">'[1]MA  Standardised units'!$Y$6</definedName>
    <definedName name="copyt1">'[3]MA  Standardised units'!$Y$6</definedName>
    <definedName name="copyt10" localSheetId="11">'[1]MA  Standardised units'!$Y$15</definedName>
    <definedName name="copyt10" localSheetId="9">'[1]MA  Standardised units'!$Y$15</definedName>
    <definedName name="copyt10" localSheetId="10">'[1]MA  Standardised units'!$Y$15</definedName>
    <definedName name="copyt10" localSheetId="5">'[1]MA  Standardised units'!$Y$15</definedName>
    <definedName name="copyt10" localSheetId="7">'[1]MA  Standardised units'!$Y$15</definedName>
    <definedName name="copyt10" localSheetId="12">'[2]MA  Standardised units'!$Y$15</definedName>
    <definedName name="copyt10" localSheetId="4">'[1]MA  Standardised units'!$Y$15</definedName>
    <definedName name="copyt10" localSheetId="3">'[1]MA  Standardised units'!$Y$15</definedName>
    <definedName name="copyt10" localSheetId="6">'[1]MA  Standardised units'!$Y$15</definedName>
    <definedName name="copyt10" localSheetId="8">'[1]MA  Standardised units'!$Y$15</definedName>
    <definedName name="copyt10">'[3]MA  Standardised units'!$Y$15</definedName>
    <definedName name="copyt11" localSheetId="11">'[1]MA  Standardised units'!$Y$18</definedName>
    <definedName name="copyt11" localSheetId="9">'[1]MA  Standardised units'!$Y$18</definedName>
    <definedName name="copyt11" localSheetId="10">'[1]MA  Standardised units'!$Y$18</definedName>
    <definedName name="copyt11" localSheetId="5">'[1]MA  Standardised units'!$Y$18</definedName>
    <definedName name="copyt11" localSheetId="7">'[1]MA  Standardised units'!$Y$18</definedName>
    <definedName name="copyt11" localSheetId="12">'[2]MA  Standardised units'!$Y$18</definedName>
    <definedName name="copyt11" localSheetId="4">'[1]MA  Standardised units'!$Y$18</definedName>
    <definedName name="copyt11" localSheetId="3">'[1]MA  Standardised units'!$Y$18</definedName>
    <definedName name="copyt11" localSheetId="6">'[1]MA  Standardised units'!$Y$18</definedName>
    <definedName name="copyt11" localSheetId="8">'[1]MA  Standardised units'!$Y$18</definedName>
    <definedName name="copyt11">'[3]MA  Standardised units'!$Y$18</definedName>
    <definedName name="copyt12" localSheetId="11">'[1]MA  Standardised units'!$Y$21</definedName>
    <definedName name="copyt12" localSheetId="9">'[1]MA  Standardised units'!$Y$21</definedName>
    <definedName name="copyt12" localSheetId="10">'[1]MA  Standardised units'!$Y$21</definedName>
    <definedName name="copyt12" localSheetId="5">'[1]MA  Standardised units'!$Y$21</definedName>
    <definedName name="copyt12" localSheetId="7">'[1]MA  Standardised units'!$Y$21</definedName>
    <definedName name="copyt12" localSheetId="12">'[2]MA  Standardised units'!$Y$21</definedName>
    <definedName name="copyt12" localSheetId="4">'[1]MA  Standardised units'!$Y$21</definedName>
    <definedName name="copyt12" localSheetId="3">'[1]MA  Standardised units'!$Y$21</definedName>
    <definedName name="copyt12" localSheetId="6">'[1]MA  Standardised units'!$Y$21</definedName>
    <definedName name="copyt12" localSheetId="8">'[1]MA  Standardised units'!$Y$21</definedName>
    <definedName name="copyt12">'[3]MA  Standardised units'!$Y$21</definedName>
    <definedName name="copyt13" localSheetId="11">'[1]MA  Standardised units'!$Y$24</definedName>
    <definedName name="copyt13" localSheetId="9">'[1]MA  Standardised units'!$Y$24</definedName>
    <definedName name="copyt13" localSheetId="10">'[1]MA  Standardised units'!$Y$24</definedName>
    <definedName name="copyt13" localSheetId="5">'[1]MA  Standardised units'!$Y$24</definedName>
    <definedName name="copyt13" localSheetId="7">'[1]MA  Standardised units'!$Y$24</definedName>
    <definedName name="copyt13" localSheetId="12">'[2]MA  Standardised units'!$Y$24</definedName>
    <definedName name="copyt13" localSheetId="4">'[1]MA  Standardised units'!$Y$24</definedName>
    <definedName name="copyt13" localSheetId="3">'[1]MA  Standardised units'!$Y$24</definedName>
    <definedName name="copyt13" localSheetId="6">'[1]MA  Standardised units'!$Y$24</definedName>
    <definedName name="copyt13" localSheetId="8">'[1]MA  Standardised units'!$Y$24</definedName>
    <definedName name="copyt13">'[3]MA  Standardised units'!$Y$24</definedName>
    <definedName name="copyt2" localSheetId="11">'[1]MA  Standardised units'!$Y$7</definedName>
    <definedName name="copyt2" localSheetId="9">'[1]MA  Standardised units'!$Y$7</definedName>
    <definedName name="copyt2" localSheetId="10">'[1]MA  Standardised units'!$Y$7</definedName>
    <definedName name="copyt2" localSheetId="5">'[1]MA  Standardised units'!$Y$7</definedName>
    <definedName name="copyt2" localSheetId="7">'[1]MA  Standardised units'!$Y$7</definedName>
    <definedName name="copyt2" localSheetId="12">'[2]MA  Standardised units'!$Y$7</definedName>
    <definedName name="copyt2" localSheetId="4">'[1]MA  Standardised units'!$Y$7</definedName>
    <definedName name="copyt2" localSheetId="3">'[1]MA  Standardised units'!$Y$7</definedName>
    <definedName name="copyt2" localSheetId="6">'[1]MA  Standardised units'!$Y$7</definedName>
    <definedName name="copyt2" localSheetId="8">'[1]MA  Standardised units'!$Y$7</definedName>
    <definedName name="copyt2">'[3]MA  Standardised units'!$Y$7</definedName>
    <definedName name="copyt3" localSheetId="11">'[1]MA  Standardised units'!$Y$8</definedName>
    <definedName name="copyt3" localSheetId="9">'[1]MA  Standardised units'!$Y$8</definedName>
    <definedName name="copyt3" localSheetId="10">'[1]MA  Standardised units'!$Y$8</definedName>
    <definedName name="copyt3" localSheetId="5">'[1]MA  Standardised units'!$Y$8</definedName>
    <definedName name="copyt3" localSheetId="7">'[1]MA  Standardised units'!$Y$8</definedName>
    <definedName name="copyt3" localSheetId="12">'[2]MA  Standardised units'!$Y$8</definedName>
    <definedName name="copyt3" localSheetId="4">'[1]MA  Standardised units'!$Y$8</definedName>
    <definedName name="copyt3" localSheetId="3">'[1]MA  Standardised units'!$Y$8</definedName>
    <definedName name="copyt3" localSheetId="6">'[1]MA  Standardised units'!$Y$8</definedName>
    <definedName name="copyt3" localSheetId="8">'[1]MA  Standardised units'!$Y$8</definedName>
    <definedName name="copyt3">'[3]MA  Standardised units'!$Y$8</definedName>
    <definedName name="copyt4" localSheetId="11">'[1]MA  Standardised units'!$Y$9</definedName>
    <definedName name="copyt4" localSheetId="9">'[1]MA  Standardised units'!$Y$9</definedName>
    <definedName name="copyt4" localSheetId="10">'[1]MA  Standardised units'!$Y$9</definedName>
    <definedName name="copyt4" localSheetId="5">'[1]MA  Standardised units'!$Y$9</definedName>
    <definedName name="copyt4" localSheetId="7">'[1]MA  Standardised units'!$Y$9</definedName>
    <definedName name="copyt4" localSheetId="12">'[2]MA  Standardised units'!$Y$9</definedName>
    <definedName name="copyt4" localSheetId="4">'[1]MA  Standardised units'!$Y$9</definedName>
    <definedName name="copyt4" localSheetId="3">'[1]MA  Standardised units'!$Y$9</definedName>
    <definedName name="copyt4" localSheetId="6">'[1]MA  Standardised units'!$Y$9</definedName>
    <definedName name="copyt4" localSheetId="8">'[1]MA  Standardised units'!$Y$9</definedName>
    <definedName name="copyt4">'[3]MA  Standardised units'!$Y$9</definedName>
    <definedName name="copyt5" localSheetId="11">'[1]MA  Standardised units'!$Y$10</definedName>
    <definedName name="copyt5" localSheetId="9">'[1]MA  Standardised units'!$Y$10</definedName>
    <definedName name="copyt5" localSheetId="10">'[1]MA  Standardised units'!$Y$10</definedName>
    <definedName name="copyt5" localSheetId="5">'[1]MA  Standardised units'!$Y$10</definedName>
    <definedName name="copyt5" localSheetId="7">'[1]MA  Standardised units'!$Y$10</definedName>
    <definedName name="copyt5" localSheetId="12">'[2]MA  Standardised units'!$Y$10</definedName>
    <definedName name="copyt5" localSheetId="4">'[1]MA  Standardised units'!$Y$10</definedName>
    <definedName name="copyt5" localSheetId="3">'[1]MA  Standardised units'!$Y$10</definedName>
    <definedName name="copyt5" localSheetId="6">'[1]MA  Standardised units'!$Y$10</definedName>
    <definedName name="copyt5" localSheetId="8">'[1]MA  Standardised units'!$Y$10</definedName>
    <definedName name="copyt5">'[3]MA  Standardised units'!$Y$10</definedName>
    <definedName name="copyt6" localSheetId="11">'[1]MA  Standardised units'!$Y$11</definedName>
    <definedName name="copyt6" localSheetId="9">'[1]MA  Standardised units'!$Y$11</definedName>
    <definedName name="copyt6" localSheetId="10">'[1]MA  Standardised units'!$Y$11</definedName>
    <definedName name="copyt6" localSheetId="5">'[1]MA  Standardised units'!$Y$11</definedName>
    <definedName name="copyt6" localSheetId="7">'[1]MA  Standardised units'!$Y$11</definedName>
    <definedName name="copyt6" localSheetId="12">'[2]MA  Standardised units'!$Y$11</definedName>
    <definedName name="copyt6" localSheetId="4">'[1]MA  Standardised units'!$Y$11</definedName>
    <definedName name="copyt6" localSheetId="3">'[1]MA  Standardised units'!$Y$11</definedName>
    <definedName name="copyt6" localSheetId="6">'[1]MA  Standardised units'!$Y$11</definedName>
    <definedName name="copyt6" localSheetId="8">'[1]MA  Standardised units'!$Y$11</definedName>
    <definedName name="copyt6">'[3]MA  Standardised units'!$Y$11</definedName>
    <definedName name="copyt7" localSheetId="11">'[1]MA  Standardised units'!$Y$12</definedName>
    <definedName name="copyt7" localSheetId="9">'[1]MA  Standardised units'!$Y$12</definedName>
    <definedName name="copyt7" localSheetId="10">'[1]MA  Standardised units'!$Y$12</definedName>
    <definedName name="copyt7" localSheetId="5">'[1]MA  Standardised units'!$Y$12</definedName>
    <definedName name="copyt7" localSheetId="7">'[1]MA  Standardised units'!$Y$12</definedName>
    <definedName name="copyt7" localSheetId="12">'[2]MA  Standardised units'!$Y$12</definedName>
    <definedName name="copyt7" localSheetId="4">'[1]MA  Standardised units'!$Y$12</definedName>
    <definedName name="copyt7" localSheetId="3">'[1]MA  Standardised units'!$Y$12</definedName>
    <definedName name="copyt7" localSheetId="6">'[1]MA  Standardised units'!$Y$12</definedName>
    <definedName name="copyt7" localSheetId="8">'[1]MA  Standardised units'!$Y$12</definedName>
    <definedName name="copyt7">'[3]MA  Standardised units'!$Y$12</definedName>
    <definedName name="copyt8" localSheetId="11">'[1]MA  Standardised units'!$Y$13</definedName>
    <definedName name="copyt8" localSheetId="9">'[1]MA  Standardised units'!$Y$13</definedName>
    <definedName name="copyt8" localSheetId="10">'[1]MA  Standardised units'!$Y$13</definedName>
    <definedName name="copyt8" localSheetId="5">'[1]MA  Standardised units'!$Y$13</definedName>
    <definedName name="copyt8" localSheetId="7">'[1]MA  Standardised units'!$Y$13</definedName>
    <definedName name="copyt8" localSheetId="12">'[2]MA  Standardised units'!$Y$13</definedName>
    <definedName name="copyt8" localSheetId="4">'[1]MA  Standardised units'!$Y$13</definedName>
    <definedName name="copyt8" localSheetId="3">'[1]MA  Standardised units'!$Y$13</definedName>
    <definedName name="copyt8" localSheetId="6">'[1]MA  Standardised units'!$Y$13</definedName>
    <definedName name="copyt8" localSheetId="8">'[1]MA  Standardised units'!$Y$13</definedName>
    <definedName name="copyt8">'[3]MA  Standardised units'!$Y$13</definedName>
    <definedName name="copyt9" localSheetId="11">'[1]MA  Standardised units'!$Y$14</definedName>
    <definedName name="copyt9" localSheetId="9">'[1]MA  Standardised units'!$Y$14</definedName>
    <definedName name="copyt9" localSheetId="10">'[1]MA  Standardised units'!$Y$14</definedName>
    <definedName name="copyt9" localSheetId="5">'[1]MA  Standardised units'!$Y$14</definedName>
    <definedName name="copyt9" localSheetId="7">'[1]MA  Standardised units'!$Y$14</definedName>
    <definedName name="copyt9" localSheetId="12">'[2]MA  Standardised units'!$Y$14</definedName>
    <definedName name="copyt9" localSheetId="4">'[1]MA  Standardised units'!$Y$14</definedName>
    <definedName name="copyt9" localSheetId="3">'[1]MA  Standardised units'!$Y$14</definedName>
    <definedName name="copyt9" localSheetId="6">'[1]MA  Standardised units'!$Y$14</definedName>
    <definedName name="copyt9" localSheetId="8">'[1]MA  Standardised units'!$Y$14</definedName>
    <definedName name="copyt9">'[3]MA  Standardised units'!$Y$14</definedName>
    <definedName name="countcapt" localSheetId="11">'Ind groups 2 x 2'!$EV$18</definedName>
    <definedName name="countcapt" localSheetId="9">'Ind groups comparisons'!$EP$18</definedName>
    <definedName name="countcapt" localSheetId="10">'Ind groups contrasts'!$EV$18</definedName>
    <definedName name="countcapt" localSheetId="5">#REF!</definedName>
    <definedName name="countcapt" localSheetId="7">#REF!</definedName>
    <definedName name="countcapt" localSheetId="4">#REF!</definedName>
    <definedName name="countcapt" localSheetId="3">#REF!</definedName>
    <definedName name="countcapt" localSheetId="6">#REF!</definedName>
    <definedName name="countcapt" localSheetId="8">#REF!</definedName>
    <definedName name="countcapt">#REF!</definedName>
    <definedName name="countcaptM" localSheetId="11">[21]Replication!$AS$6</definedName>
    <definedName name="countcaptM" localSheetId="9">[21]Replication!$AS$6</definedName>
    <definedName name="countcaptM" localSheetId="10">[21]Replication!$AS$6</definedName>
    <definedName name="countcaptM" localSheetId="5">[21]Replication!$AS$6</definedName>
    <definedName name="countcaptM" localSheetId="7">[21]Replication!$AS$6</definedName>
    <definedName name="countcaptM" localSheetId="12">[22]Replication!$AS$6</definedName>
    <definedName name="countcaptM" localSheetId="4">[21]Replication!$AS$6</definedName>
    <definedName name="countcaptM" localSheetId="3">[21]Replication!$AS$6</definedName>
    <definedName name="countcaptM" localSheetId="6">[21]Replication!$AS$6</definedName>
    <definedName name="countcaptM" localSheetId="8">[21]Replication!$AS$6</definedName>
    <definedName name="countcaptM">[21]Replication!$AS$6</definedName>
    <definedName name="countnextcapt">[6]CIjumping!$BM$11</definedName>
    <definedName name="countsone" localSheetId="11">#REF!</definedName>
    <definedName name="countsone" localSheetId="9">#REF!</definedName>
    <definedName name="countsone" localSheetId="10">#REF!</definedName>
    <definedName name="countsone" localSheetId="5">#REF!</definedName>
    <definedName name="countsone" localSheetId="7">#REF!</definedName>
    <definedName name="countsone" localSheetId="4">#REF!</definedName>
    <definedName name="countsone" localSheetId="3">#REF!</definedName>
    <definedName name="countsone" localSheetId="6">#REF!</definedName>
    <definedName name="countsone" localSheetId="8">#REF!</definedName>
    <definedName name="countsone">#REF!</definedName>
    <definedName name="ctgforseed" localSheetId="5">#REF!</definedName>
    <definedName name="ctgforseed" localSheetId="7">#REF!</definedName>
    <definedName name="ctgforseed" localSheetId="4">#REF!</definedName>
    <definedName name="ctgforseed" localSheetId="3">#REF!</definedName>
    <definedName name="ctgforseed" localSheetId="6">#REF!</definedName>
    <definedName name="ctgforseed" localSheetId="8">#REF!</definedName>
    <definedName name="ctgforseed">#REF!</definedName>
    <definedName name="ctgseed" localSheetId="5">#REF!</definedName>
    <definedName name="ctgseed" localSheetId="7">#REF!</definedName>
    <definedName name="ctgseed" localSheetId="4">#REF!</definedName>
    <definedName name="ctgseed" localSheetId="3">#REF!</definedName>
    <definedName name="ctgseed" localSheetId="6">#REF!</definedName>
    <definedName name="ctgseed" localSheetId="8">#REF!</definedName>
    <definedName name="ctgseed">#REF!</definedName>
    <definedName name="Ctobezero" localSheetId="11">'[18]Vary C'!$N$8</definedName>
    <definedName name="Ctobezero" localSheetId="9">'[18]Vary C'!$N$8</definedName>
    <definedName name="Ctobezero" localSheetId="10">'[18]Vary C'!$N$8</definedName>
    <definedName name="Ctobezero" localSheetId="5">'[18]Vary C'!$N$8</definedName>
    <definedName name="Ctobezero" localSheetId="7">'[18]Vary C'!$N$8</definedName>
    <definedName name="Ctobezero" localSheetId="12">'[19]Vary C'!$N$8</definedName>
    <definedName name="Ctobezero" localSheetId="4">'[18]Vary C'!$N$8</definedName>
    <definedName name="Ctobezero" localSheetId="3">'[18]Vary C'!$N$8</definedName>
    <definedName name="Ctobezero" localSheetId="6">'[18]Vary C'!$N$8</definedName>
    <definedName name="Ctobezero" localSheetId="8">'[18]Vary C'!$N$8</definedName>
    <definedName name="Ctobezero">'[18]Vary C'!$N$8</definedName>
    <definedName name="current" localSheetId="11">'Ind groups 2 x 2'!$DM$2</definedName>
    <definedName name="current" localSheetId="9">'Ind groups comparisons'!$DA$2</definedName>
    <definedName name="current" localSheetId="10">'Ind groups contrasts'!$DM$2</definedName>
    <definedName name="current">#REF!</definedName>
    <definedName name="dancep">#REF!</definedName>
    <definedName name="dancespeed">#REF!</definedName>
    <definedName name="dat11two" localSheetId="12">'Robust two'!$BK$8:$BK$208</definedName>
    <definedName name="dat11two">'[23]Data two'!$BJ$8:$BJ$1008</definedName>
    <definedName name="dat12two" localSheetId="12">'Robust two'!$BN$8:$BN$208</definedName>
    <definedName name="dat12two">'[23]Data two'!$BM$8:$BM$1008</definedName>
    <definedName name="dat1two" localSheetId="5">'[24]Data two'!$BJ$8:$BJ$1008,'[24]Data two'!$BM$8:$BM$1008</definedName>
    <definedName name="dat1two" localSheetId="7">'[24]Data two'!$BJ$8:$BJ$1008,'[24]Data two'!$BM$8:$BM$1008</definedName>
    <definedName name="dat1two" localSheetId="12">'Robust two'!$BK$8:$BK$208,'Robust two'!$BN$8:$BN$208</definedName>
    <definedName name="dat1two" localSheetId="4">'[24]Data two'!$BJ$8:$BJ$1008,'[24]Data two'!$BM$8:$BM$1008</definedName>
    <definedName name="dat1two" localSheetId="3">'[24]Data two'!$BJ$8:$BJ$1008,'[24]Data two'!$BM$8:$BM$1008</definedName>
    <definedName name="dat1two" localSheetId="6">'[24]Data two'!$BJ$8:$BJ$1008,'[24]Data two'!$BM$8:$BM$1008</definedName>
    <definedName name="dat1two" localSheetId="8">'[24]Data two'!$BJ$8:$BJ$1008,'[24]Data two'!$BM$8:$BM$1008</definedName>
    <definedName name="dat1two">'[23]Data two'!$BJ$8:$BJ$1008,'[23]Data two'!$BM$8:$BM$1008</definedName>
    <definedName name="dat21two" localSheetId="12">'Robust two'!$BS$8:$BS$208</definedName>
    <definedName name="dat21two">'[23]Data two'!$BR$8:$BR$1008</definedName>
    <definedName name="dat22two" localSheetId="12">'Robust two'!$BV$8:$BV$208</definedName>
    <definedName name="dat22two">'[23]Data two'!$BU$8:$BU$1008</definedName>
    <definedName name="dat31two" localSheetId="12">'Robust two'!$CA$8:$CA$208</definedName>
    <definedName name="dat31two">'[23]Data two'!$BZ$8:$BZ$1008</definedName>
    <definedName name="dat32two" localSheetId="12">'Robust two'!$CD$8:$CD$208</definedName>
    <definedName name="dat32two">'[23]Data two'!$CC$8:$CC$1008</definedName>
    <definedName name="data1two" localSheetId="12">'Robust two'!$B$8</definedName>
    <definedName name="data1two">'[23]Data two'!$F$8</definedName>
    <definedName name="data2two" localSheetId="12">'Robust two'!$E$8</definedName>
    <definedName name="data2two">'[23]Data two'!$I$8</definedName>
    <definedName name="data300">[6]Describe!$AC$4:$AC$303</definedName>
    <definedName name="DataPairedGrab" localSheetId="7">'[11]Data paired'!$C$5:$C$10</definedName>
    <definedName name="DataPairedGrab" localSheetId="8">'[11]Data paired'!$C$5:$C$10</definedName>
    <definedName name="DataPairedGrab">'[11]Data paired'!$C$5:$C$10</definedName>
    <definedName name="DataPairedPut" localSheetId="7">'[11]Data paired'!$B$5:$B$10</definedName>
    <definedName name="DataPairedPut" localSheetId="8">'[11]Data paired'!$B$5:$B$10</definedName>
    <definedName name="DataPairedPut">'[11]Data paired'!$B$5:$B$10</definedName>
    <definedName name="dataport">[6]Describe!$F$2:$F$37</definedName>
    <definedName name="dataportkbins" localSheetId="11">[25]Data!$F$2:$F$37,[25]Data!$T$37</definedName>
    <definedName name="dataportkbins" localSheetId="9">[25]Data!$F$2:$F$37,[25]Data!$T$37</definedName>
    <definedName name="dataportkbins" localSheetId="10">[25]Data!$F$2:$F$37,[25]Data!$T$37</definedName>
    <definedName name="dataportkbins" localSheetId="0">[26]Data!$F$2:$F$37,[26]Data!$T$37</definedName>
    <definedName name="dataportkbins" localSheetId="5">[27]Data!$F$2:$F$37,[27]Data!$T$37</definedName>
    <definedName name="dataportkbins" localSheetId="7">[27]Data!$F$2:$F$37,[27]Data!$T$37</definedName>
    <definedName name="dataportkbins" localSheetId="12">[28]Data!$F$2:$F$37,[28]Data!$T$37</definedName>
    <definedName name="dataportkbins" localSheetId="4">[25]Data!$F$2:$F$37,[25]Data!$T$37</definedName>
    <definedName name="dataportkbins" localSheetId="3">[25]Data!$F$2:$F$37,[25]Data!$T$37</definedName>
    <definedName name="dataportkbins" localSheetId="6">[27]Data!$F$2:$F$37,[27]Data!$T$37</definedName>
    <definedName name="dataportkbins" localSheetId="8">[27]Data!$F$2:$F$37,[27]Data!$T$37</definedName>
    <definedName name="dataportkbins">[27]Data!$F$2:$F$37,[27]Data!$T$37</definedName>
    <definedName name="datapts">'[29]Case 1 Single Group'!$C$7:$C$106</definedName>
    <definedName name="datapts1">#REF!</definedName>
    <definedName name="datapts2">#REF!</definedName>
    <definedName name="dataput">[6]Describe!$AC$4</definedName>
    <definedName name="DataTwoGrab" localSheetId="7">'[11]Data two'!$C$4:$C$10</definedName>
    <definedName name="DataTwoGrab" localSheetId="12">'Robust two'!#REF!</definedName>
    <definedName name="DataTwoGrab" localSheetId="8">'[11]Data two'!$C$4:$C$10</definedName>
    <definedName name="DataTwoGrab">'[11]Data two'!$C$4:$C$10</definedName>
    <definedName name="DataTwoPut" localSheetId="7">'[11]Data two'!$B$4:$B$10</definedName>
    <definedName name="DataTwoPut" localSheetId="12">'Robust two'!#REF!</definedName>
    <definedName name="DataTwoPut" localSheetId="8">'[11]Data two'!$B$4:$B$10</definedName>
    <definedName name="DataTwoPut">'[11]Data two'!$B$4:$B$10</definedName>
    <definedName name="diffzero" localSheetId="11">'[4]Two proportions'!$AC$3</definedName>
    <definedName name="diffzero" localSheetId="9">'[4]Two proportions'!$AC$3</definedName>
    <definedName name="diffzero" localSheetId="10">'[4]Two proportions'!$AC$3</definedName>
    <definedName name="diffzero" localSheetId="5">'[4]Two proportions'!$AC$3</definedName>
    <definedName name="diffzero" localSheetId="7">'[4]Two proportions'!$AC$3</definedName>
    <definedName name="diffzero" localSheetId="12">'[5]Two proportions'!$AC$3</definedName>
    <definedName name="diffzero" localSheetId="4">'[4]Two proportions'!$AC$3</definedName>
    <definedName name="diffzero" localSheetId="3">'[4]Two proportions'!$AC$3</definedName>
    <definedName name="diffzero" localSheetId="6">'[4]Two proportions'!$AC$3</definedName>
    <definedName name="diffzero" localSheetId="8">'[4]Two proportions'!$AC$3</definedName>
    <definedName name="diffzero">'[4]Two proportions'!$AC$3</definedName>
    <definedName name="dispaxes" localSheetId="11">'[15]Calculate r'!$AX$4</definedName>
    <definedName name="dispaxes" localSheetId="9">'[15]Calculate r'!$AX$4</definedName>
    <definedName name="dispaxes" localSheetId="10">'[15]Calculate r'!$AX$4</definedName>
    <definedName name="dispaxes" localSheetId="5">#REF!</definedName>
    <definedName name="dispaxes" localSheetId="7">#REF!</definedName>
    <definedName name="dispaxes" localSheetId="12">'[16]Calculate r'!$AX$4</definedName>
    <definedName name="dispaxes" localSheetId="4">#REF!</definedName>
    <definedName name="dispaxes" localSheetId="3">#REF!</definedName>
    <definedName name="dispaxes" localSheetId="6">#REF!</definedName>
    <definedName name="dispaxes" localSheetId="8">#REF!</definedName>
    <definedName name="dispaxes">'[15]Calculate r'!$AX$4</definedName>
    <definedName name="DispBin" localSheetId="11">'[4]Two proportions'!$AT$6</definedName>
    <definedName name="DispBin" localSheetId="9">'[4]Two proportions'!$AT$6</definedName>
    <definedName name="DispBin" localSheetId="10">'[4]Two proportions'!$AT$6</definedName>
    <definedName name="DispBin" localSheetId="5">'[4]Two proportions'!$AT$6</definedName>
    <definedName name="DispBin" localSheetId="7">'[4]Two proportions'!$AT$6</definedName>
    <definedName name="DispBin" localSheetId="12">'[5]Two proportions'!$AT$6</definedName>
    <definedName name="DispBin" localSheetId="4">'[4]Two proportions'!$AT$6</definedName>
    <definedName name="DispBin" localSheetId="3">'[4]Two proportions'!$AT$6</definedName>
    <definedName name="DispBin" localSheetId="6">'[4]Two proportions'!$AT$6</definedName>
    <definedName name="DispBin" localSheetId="8">'[4]Two proportions'!$AT$6</definedName>
    <definedName name="DispBin">'[4]Two proportions'!$AT$6</definedName>
    <definedName name="dispcidsp">#REF!</definedName>
    <definedName name="DispComp" localSheetId="11">'[4]Two proportions'!$P$22</definedName>
    <definedName name="DispComp" localSheetId="9">'[4]Two proportions'!$P$22</definedName>
    <definedName name="DispComp" localSheetId="10">'[4]Two proportions'!$P$22</definedName>
    <definedName name="DispComp" localSheetId="5">'[4]Two proportions'!$P$22</definedName>
    <definedName name="DispComp" localSheetId="7">'[4]Two proportions'!$P$22</definedName>
    <definedName name="DispComp" localSheetId="12">'[5]Two proportions'!$P$22</definedName>
    <definedName name="DispComp" localSheetId="4">'[4]Two proportions'!$P$22</definedName>
    <definedName name="DispComp" localSheetId="3">'[4]Two proportions'!$P$22</definedName>
    <definedName name="DispComp" localSheetId="6">'[4]Two proportions'!$P$22</definedName>
    <definedName name="DispComp" localSheetId="8">'[4]Two proportions'!$P$22</definedName>
    <definedName name="DispComp">'[4]Two proportions'!$P$22</definedName>
    <definedName name="dispddp" localSheetId="7">'[11]Data paired'!$C$3</definedName>
    <definedName name="dispddp" localSheetId="8">'[11]Data paired'!$C$3</definedName>
    <definedName name="dispddp">'[11]Data paired'!$C$3</definedName>
    <definedName name="dispddt" localSheetId="7">'[11]Data two'!$X$77</definedName>
    <definedName name="dispddt" localSheetId="12">'Robust two'!$AO$94</definedName>
    <definedName name="dispddt" localSheetId="8">'[11]Data two'!$X$77</definedName>
    <definedName name="dispddt">'[11]Data two'!$X$77</definedName>
    <definedName name="dispdiffaxis">#REF!</definedName>
    <definedName name="DispDiffProp" localSheetId="11">'[4]Two proportions'!$R$23</definedName>
    <definedName name="DispDiffProp" localSheetId="9">'[4]Two proportions'!$R$23</definedName>
    <definedName name="DispDiffProp" localSheetId="10">'[4]Two proportions'!$R$23</definedName>
    <definedName name="DispDiffProp" localSheetId="5">'[4]Two proportions'!$R$23</definedName>
    <definedName name="DispDiffProp" localSheetId="7">'[4]Two proportions'!$R$23</definedName>
    <definedName name="DispDiffProp" localSheetId="12">'[5]Two proportions'!$R$23</definedName>
    <definedName name="DispDiffProp" localSheetId="4">'[4]Two proportions'!$R$23</definedName>
    <definedName name="DispDiffProp" localSheetId="3">'[4]Two proportions'!$R$23</definedName>
    <definedName name="DispDiffProp" localSheetId="6">'[4]Two proportions'!$R$23</definedName>
    <definedName name="DispDiffProp" localSheetId="8">'[4]Two proportions'!$R$23</definedName>
    <definedName name="DispDiffProp">'[4]Two proportions'!$R$23</definedName>
    <definedName name="DispDiffsData" localSheetId="11">'[4]Two proportions'!$AO$6</definedName>
    <definedName name="DispDiffsData" localSheetId="9">'[4]Two proportions'!$AO$6</definedName>
    <definedName name="DispDiffsData" localSheetId="10">'[4]Two proportions'!$AO$6</definedName>
    <definedName name="DispDiffsData" localSheetId="5">'[4]Two proportions'!$AO$6</definedName>
    <definedName name="DispDiffsData" localSheetId="7">'[4]Two proportions'!$AO$6</definedName>
    <definedName name="DispDiffsData" localSheetId="12">'[5]Two proportions'!$AO$6</definedName>
    <definedName name="DispDiffsData" localSheetId="4">'[4]Two proportions'!$AO$6</definedName>
    <definedName name="DispDiffsData" localSheetId="3">'[4]Two proportions'!$AO$6</definedName>
    <definedName name="DispDiffsData" localSheetId="6">'[4]Two proportions'!$AO$6</definedName>
    <definedName name="DispDiffsData" localSheetId="8">'[4]Two proportions'!$AO$6</definedName>
    <definedName name="DispDiffsData">'[4]Two proportions'!$AO$6</definedName>
    <definedName name="dispdsp">#REF!</definedName>
    <definedName name="dispdst">#REF!</definedName>
    <definedName name="disph" localSheetId="7">'One proportion'!$B$7</definedName>
    <definedName name="disph">#REF!</definedName>
    <definedName name="dispmeans" localSheetId="11">'[15]Calculate r'!$AX$3</definedName>
    <definedName name="dispmeans" localSheetId="9">'[15]Calculate r'!$AX$3</definedName>
    <definedName name="dispmeans" localSheetId="10">'[15]Calculate r'!$AX$3</definedName>
    <definedName name="dispmeans" localSheetId="5">#REF!</definedName>
    <definedName name="dispmeans" localSheetId="7">#REF!</definedName>
    <definedName name="dispmeans" localSheetId="12">'[16]Calculate r'!$AX$3</definedName>
    <definedName name="dispmeans" localSheetId="4">#REF!</definedName>
    <definedName name="dispmeans" localSheetId="3">#REF!</definedName>
    <definedName name="dispmeans" localSheetId="6">#REF!</definedName>
    <definedName name="dispmeans" localSheetId="8">#REF!</definedName>
    <definedName name="dispmeans">'[15]Calculate r'!$AX$3</definedName>
    <definedName name="dispnow" localSheetId="11">#REF!</definedName>
    <definedName name="dispnow" localSheetId="9">#REF!</definedName>
    <definedName name="dispnow" localSheetId="10">#REF!</definedName>
    <definedName name="dispnow">#REF!</definedName>
    <definedName name="dispOK" localSheetId="11">'[15]Sample r'!$N$19</definedName>
    <definedName name="dispOK" localSheetId="9">'[15]Sample r'!$N$19</definedName>
    <definedName name="dispOK" localSheetId="10">'[15]Sample r'!$N$19</definedName>
    <definedName name="dispOK" localSheetId="5">'[16]Sample r'!$N$19</definedName>
    <definedName name="dispOK" localSheetId="7">'[16]Sample r'!$N$19</definedName>
    <definedName name="dispOK" localSheetId="12">'[16]Sample r'!$N$19</definedName>
    <definedName name="dispOK" localSheetId="4">'[16]Sample r'!$N$19</definedName>
    <definedName name="dispOK" localSheetId="3">'[16]Sample r'!$N$19</definedName>
    <definedName name="dispOK" localSheetId="6">'[16]Sample r'!$N$19</definedName>
    <definedName name="dispOK" localSheetId="8">'[16]Sample r'!$N$19</definedName>
    <definedName name="dispOK">'[15]Sample r'!$N$19</definedName>
    <definedName name="dispp" localSheetId="5">'[8]Two proportions'!$C$9</definedName>
    <definedName name="dispp" localSheetId="7">'[8]Two proportions'!$C$9</definedName>
    <definedName name="dispp" localSheetId="12">'[8]Two proportions'!$C$9</definedName>
    <definedName name="dispp" localSheetId="4">'[8]Two proportions'!$C$9</definedName>
    <definedName name="dispp" localSheetId="3">'[8]Two proportions'!$C$9</definedName>
    <definedName name="dispp" localSheetId="6">'[8]Two proportions'!$C$9</definedName>
    <definedName name="dispp" localSheetId="8">'Two proportions'!$C$9</definedName>
    <definedName name="dispp">#REF!</definedName>
    <definedName name="disppowerspair">#REF!</definedName>
    <definedName name="disppowerst">#REF!</definedName>
    <definedName name="dispreg" localSheetId="4">Scatterplots!$DS$2</definedName>
    <definedName name="dispreg">[24]Scatterplots!$DS$2</definedName>
    <definedName name="Dispt" localSheetId="11">'[9]Fig 5'!$O$2</definedName>
    <definedName name="Dispt" localSheetId="9">'[9]Fig 5'!$O$2</definedName>
    <definedName name="Dispt" localSheetId="10">'[9]Fig 5'!$O$2</definedName>
    <definedName name="Dispt" localSheetId="5">'[9]Fig 5'!$O$2</definedName>
    <definedName name="Dispt" localSheetId="7">'[9]Fig 5'!$O$2</definedName>
    <definedName name="Dispt" localSheetId="12">'[10]Fig 5'!$O$2</definedName>
    <definedName name="Dispt" localSheetId="4">'[9]Fig 5'!$O$2</definedName>
    <definedName name="Dispt" localSheetId="3">'[9]Fig 5'!$O$2</definedName>
    <definedName name="Dispt" localSheetId="6">'[9]Fig 5'!$O$2</definedName>
    <definedName name="Dispt" localSheetId="8">'[9]Fig 5'!$O$2</definedName>
    <definedName name="Dispt">'[9]Fig 5'!$O$2</definedName>
    <definedName name="dispzplot" localSheetId="4">Scatterplots!$DH$1</definedName>
    <definedName name="dispzplot">[23]Scatterplots!$CK$1</definedName>
    <definedName name="dispzzplot" localSheetId="4">Scatterplots!$DK$1</definedName>
    <definedName name="dispzzplot">[23]Scatterplots!$CN$1</definedName>
    <definedName name="dlend">#REF!</definedName>
    <definedName name="dll" localSheetId="11">'[7]CI for d'!$Q$32</definedName>
    <definedName name="dll" localSheetId="9">'[7]CI for d'!$Q$32</definedName>
    <definedName name="dll" localSheetId="10">'[7]CI for d'!$Q$32</definedName>
    <definedName name="dll" localSheetId="5">'[7]CI for d'!$Q$32</definedName>
    <definedName name="dll" localSheetId="7">'[7]CI for d'!$Q$32</definedName>
    <definedName name="dll" localSheetId="12">'[7]CI for d'!$Q$32</definedName>
    <definedName name="dll" localSheetId="4">'[7]CI for d'!$Q$32</definedName>
    <definedName name="dll" localSheetId="3">'[7]CI for d'!$Q$32</definedName>
    <definedName name="dll" localSheetId="6">'[7]CI for d'!$Q$32</definedName>
    <definedName name="dll" localSheetId="8">'[7]CI for d'!$Q$32</definedName>
    <definedName name="dll">#REF!</definedName>
    <definedName name="dod">'Ind groups 2 x 2'!$DA$7</definedName>
    <definedName name="dotstf">[6]Describe!$T$36</definedName>
    <definedName name="dpark" localSheetId="11">#REF!</definedName>
    <definedName name="dpark" localSheetId="9">#REF!</definedName>
    <definedName name="dpark" localSheetId="10">#REF!</definedName>
    <definedName name="dpark" localSheetId="7">#REF!</definedName>
    <definedName name="dpark" localSheetId="2">'Precision paired'!$J$2</definedName>
    <definedName name="dpark" localSheetId="1">'Precision two'!$J$2</definedName>
    <definedName name="dpark" localSheetId="8">#REF!</definedName>
    <definedName name="dpark">#REF!</definedName>
    <definedName name="dpd1dat">'[23]Data paired'!$BH$7:$BI$307</definedName>
    <definedName name="dpd1name">'[23]Data paired'!$BI$4:$BI$5</definedName>
    <definedName name="dpd2dat">'[23]Data paired'!$BM$7:$BN$307</definedName>
    <definedName name="dpd2name">'[23]Data paired'!$BN$4:$BN$5</definedName>
    <definedName name="dpd3dat">'[23]Data paired'!$BR$7:$BS$307</definedName>
    <definedName name="dpd3name">'[23]Data paired'!$BS$4:$BS$5</definedName>
    <definedName name="dpddat">'[23]Data paired'!$F$8:$G$8</definedName>
    <definedName name="dpdname">'[23]Data paired'!$G$5:$G$6</definedName>
    <definedName name="dptsone" localSheetId="11">#REF!</definedName>
    <definedName name="dptsone" localSheetId="9">#REF!</definedName>
    <definedName name="dptsone" localSheetId="10">#REF!</definedName>
    <definedName name="dptsone" localSheetId="5">#REF!</definedName>
    <definedName name="dptsone" localSheetId="7">#REF!</definedName>
    <definedName name="dptsone" localSheetId="4">#REF!</definedName>
    <definedName name="dptsone" localSheetId="3">#REF!</definedName>
    <definedName name="dptsone" localSheetId="6">#REF!</definedName>
    <definedName name="dptsone" localSheetId="8">#REF!</definedName>
    <definedName name="dptsone">#REF!</definedName>
    <definedName name="dptspair" localSheetId="11">#REF!</definedName>
    <definedName name="dptspair" localSheetId="9">#REF!</definedName>
    <definedName name="dptspair" localSheetId="10">#REF!</definedName>
    <definedName name="dptspair" localSheetId="5">#REF!</definedName>
    <definedName name="dptspair" localSheetId="7">#REF!</definedName>
    <definedName name="dptspair" localSheetId="4">#REF!</definedName>
    <definedName name="dptspair" localSheetId="3">#REF!</definedName>
    <definedName name="dptspair" localSheetId="6">#REF!</definedName>
    <definedName name="dptspair" localSheetId="8">#REF!</definedName>
    <definedName name="dptspair">#REF!</definedName>
    <definedName name="dptsprops" localSheetId="11">#REF!,#REF!,#REF!,#REF!</definedName>
    <definedName name="dptsprops" localSheetId="9">#REF!,#REF!,#REF!,#REF!</definedName>
    <definedName name="dptsprops" localSheetId="10">#REF!,#REF!,#REF!,#REF!</definedName>
    <definedName name="dptsprops" localSheetId="5">'[4]Two proportions'!$G$8,'[4]Two proportions'!$I$8,'[4]Two proportions'!$G$11,'[4]Two proportions'!$I$11</definedName>
    <definedName name="dptsprops" localSheetId="7">'[4]Two proportions'!$G$8,'[4]Two proportions'!$I$8,'[4]Two proportions'!$G$11,'[4]Two proportions'!$I$11</definedName>
    <definedName name="dptsprops" localSheetId="4">#REF!,#REF!,#REF!,#REF!</definedName>
    <definedName name="dptsprops" localSheetId="3">#REF!,#REF!,#REF!,#REF!</definedName>
    <definedName name="dptsprops" localSheetId="6">'[4]Two proportions'!$G$8,'[4]Two proportions'!$I$8,'[4]Two proportions'!$G$11,'[4]Two proportions'!$I$11</definedName>
    <definedName name="dptsprops" localSheetId="8">'[4]Two proportions'!$G$8,'[4]Two proportions'!$I$8,'[4]Two proportions'!$G$11,'[4]Two proportions'!$I$11</definedName>
    <definedName name="dptsprops">#REF!,#REF!,#REF!,#REF!</definedName>
    <definedName name="dptstwo" localSheetId="11">'[30]Data Two'!$B$7:$B$1006,'[30]Data Two'!$E$7:$E$1006</definedName>
    <definedName name="dptstwo" localSheetId="9">'[30]Data Two'!$B$7:$B$1006,'[30]Data Two'!$E$7:$E$1006</definedName>
    <definedName name="dptstwo" localSheetId="10">'[30]Data Two'!$B$7:$B$1006,'[30]Data Two'!$E$7:$E$1006</definedName>
    <definedName name="dptstwo" localSheetId="5">#REF!,#REF!</definedName>
    <definedName name="dptstwo" localSheetId="7">#REF!,#REF!</definedName>
    <definedName name="dptstwo" localSheetId="12">'Robust two'!$B$8:$B$208,'Robust two'!$E$8:$E$208</definedName>
    <definedName name="dptstwo" localSheetId="4">#REF!,#REF!</definedName>
    <definedName name="dptstwo" localSheetId="3">#REF!,#REF!</definedName>
    <definedName name="dptstwo" localSheetId="6">#REF!,#REF!</definedName>
    <definedName name="dptstwo" localSheetId="8">#REF!,#REF!</definedName>
    <definedName name="dptstwo">#REF!,#REF!</definedName>
    <definedName name="drawdata300">[6]Describe!$BH$4:$BH$303</definedName>
    <definedName name="drend">#REF!</definedName>
    <definedName name="dul" localSheetId="11">'[7]CI for d'!$U$32</definedName>
    <definedName name="dul" localSheetId="9">'[7]CI for d'!$U$32</definedName>
    <definedName name="dul" localSheetId="10">'[7]CI for d'!$U$32</definedName>
    <definedName name="dul" localSheetId="5">'[7]CI for d'!$U$32</definedName>
    <definedName name="dul" localSheetId="7">'[7]CI for d'!$U$32</definedName>
    <definedName name="dul" localSheetId="12">'[7]CI for d'!$U$32</definedName>
    <definedName name="dul" localSheetId="4">'[7]CI for d'!$U$32</definedName>
    <definedName name="dul" localSheetId="3">'[7]CI for d'!$U$32</definedName>
    <definedName name="dul" localSheetId="6">'[7]CI for d'!$U$32</definedName>
    <definedName name="dul" localSheetId="8">'[7]CI for d'!$U$32</definedName>
    <definedName name="dul">#REF!</definedName>
    <definedName name="dval1" localSheetId="11">'[1]MA  Standardised units'!$F$6</definedName>
    <definedName name="dval1" localSheetId="9">'[1]MA  Standardised units'!$F$6</definedName>
    <definedName name="dval1" localSheetId="10">'[1]MA  Standardised units'!$F$6</definedName>
    <definedName name="dval1" localSheetId="5">'[1]MA  Standardised units'!$F$6</definedName>
    <definedName name="dval1" localSheetId="7">'[1]MA  Standardised units'!$F$6</definedName>
    <definedName name="dval1" localSheetId="12">'[2]MA  Standardised units'!$F$6</definedName>
    <definedName name="dval1" localSheetId="4">'[1]MA  Standardised units'!$F$6</definedName>
    <definedName name="dval1" localSheetId="3">'[1]MA  Standardised units'!$F$6</definedName>
    <definedName name="dval1" localSheetId="6">'[1]MA  Standardised units'!$F$6</definedName>
    <definedName name="dval1" localSheetId="8">'[1]MA  Standardised units'!$F$6</definedName>
    <definedName name="dval1">'[3]MA  Standardised units'!$F$6</definedName>
    <definedName name="dval10" localSheetId="11">'[1]MA  Standardised units'!$F$15</definedName>
    <definedName name="dval10" localSheetId="9">'[1]MA  Standardised units'!$F$15</definedName>
    <definedName name="dval10" localSheetId="10">'[1]MA  Standardised units'!$F$15</definedName>
    <definedName name="dval10" localSheetId="5">'[1]MA  Standardised units'!$F$15</definedName>
    <definedName name="dval10" localSheetId="7">'[1]MA  Standardised units'!$F$15</definedName>
    <definedName name="dval10" localSheetId="12">'[2]MA  Standardised units'!$F$15</definedName>
    <definedName name="dval10" localSheetId="4">'[1]MA  Standardised units'!$F$15</definedName>
    <definedName name="dval10" localSheetId="3">'[1]MA  Standardised units'!$F$15</definedName>
    <definedName name="dval10" localSheetId="6">'[1]MA  Standardised units'!$F$15</definedName>
    <definedName name="dval10" localSheetId="8">'[1]MA  Standardised units'!$F$15</definedName>
    <definedName name="dval10">'[3]MA  Standardised units'!$F$15</definedName>
    <definedName name="dval11" localSheetId="11">'[1]MA  Standardised units'!$F$18</definedName>
    <definedName name="dval11" localSheetId="9">'[1]MA  Standardised units'!$F$18</definedName>
    <definedName name="dval11" localSheetId="10">'[1]MA  Standardised units'!$F$18</definedName>
    <definedName name="dval11" localSheetId="5">'[1]MA  Standardised units'!$F$18</definedName>
    <definedName name="dval11" localSheetId="7">'[1]MA  Standardised units'!$F$18</definedName>
    <definedName name="dval11" localSheetId="12">'[2]MA  Standardised units'!$F$18</definedName>
    <definedName name="dval11" localSheetId="4">'[1]MA  Standardised units'!$F$18</definedName>
    <definedName name="dval11" localSheetId="3">'[1]MA  Standardised units'!$F$18</definedName>
    <definedName name="dval11" localSheetId="6">'[1]MA  Standardised units'!$F$18</definedName>
    <definedName name="dval11" localSheetId="8">'[1]MA  Standardised units'!$F$18</definedName>
    <definedName name="dval11">'[3]MA  Standardised units'!$F$18</definedName>
    <definedName name="dval12" localSheetId="11">'[1]MA  Standardised units'!$F$21</definedName>
    <definedName name="dval12" localSheetId="9">'[1]MA  Standardised units'!$F$21</definedName>
    <definedName name="dval12" localSheetId="10">'[1]MA  Standardised units'!$F$21</definedName>
    <definedName name="dval12" localSheetId="5">'[1]MA  Standardised units'!$F$21</definedName>
    <definedName name="dval12" localSheetId="7">'[1]MA  Standardised units'!$F$21</definedName>
    <definedName name="dval12" localSheetId="12">'[2]MA  Standardised units'!$F$21</definedName>
    <definedName name="dval12" localSheetId="4">'[1]MA  Standardised units'!$F$21</definedName>
    <definedName name="dval12" localSheetId="3">'[1]MA  Standardised units'!$F$21</definedName>
    <definedName name="dval12" localSheetId="6">'[1]MA  Standardised units'!$F$21</definedName>
    <definedName name="dval12" localSheetId="8">'[1]MA  Standardised units'!$F$21</definedName>
    <definedName name="dval12">'[3]MA  Standardised units'!$F$21</definedName>
    <definedName name="dval13" localSheetId="11">'[1]MA  Standardised units'!$F$24</definedName>
    <definedName name="dval13" localSheetId="9">'[1]MA  Standardised units'!$F$24</definedName>
    <definedName name="dval13" localSheetId="10">'[1]MA  Standardised units'!$F$24</definedName>
    <definedName name="dval13" localSheetId="5">'[1]MA  Standardised units'!$F$24</definedName>
    <definedName name="dval13" localSheetId="7">'[1]MA  Standardised units'!$F$24</definedName>
    <definedName name="dval13" localSheetId="12">'[2]MA  Standardised units'!$F$24</definedName>
    <definedName name="dval13" localSheetId="4">'[1]MA  Standardised units'!$F$24</definedName>
    <definedName name="dval13" localSheetId="3">'[1]MA  Standardised units'!$F$24</definedName>
    <definedName name="dval13" localSheetId="6">'[1]MA  Standardised units'!$F$24</definedName>
    <definedName name="dval13" localSheetId="8">'[1]MA  Standardised units'!$F$24</definedName>
    <definedName name="dval13">'[3]MA  Standardised units'!$F$24</definedName>
    <definedName name="dval2" localSheetId="11">'[1]MA  Standardised units'!$F$7</definedName>
    <definedName name="dval2" localSheetId="9">'[1]MA  Standardised units'!$F$7</definedName>
    <definedName name="dval2" localSheetId="10">'[1]MA  Standardised units'!$F$7</definedName>
    <definedName name="dval2" localSheetId="5">'[1]MA  Standardised units'!$F$7</definedName>
    <definedName name="dval2" localSheetId="7">'[1]MA  Standardised units'!$F$7</definedName>
    <definedName name="dval2" localSheetId="12">'[2]MA  Standardised units'!$F$7</definedName>
    <definedName name="dval2" localSheetId="4">'[1]MA  Standardised units'!$F$7</definedName>
    <definedName name="dval2" localSheetId="3">'[1]MA  Standardised units'!$F$7</definedName>
    <definedName name="dval2" localSheetId="6">'[1]MA  Standardised units'!$F$7</definedName>
    <definedName name="dval2" localSheetId="8">'[1]MA  Standardised units'!$F$7</definedName>
    <definedName name="dval2">'[3]MA  Standardised units'!$F$7</definedName>
    <definedName name="dval3" localSheetId="11">'[1]MA  Standardised units'!$F$8</definedName>
    <definedName name="dval3" localSheetId="9">'[1]MA  Standardised units'!$F$8</definedName>
    <definedName name="dval3" localSheetId="10">'[1]MA  Standardised units'!$F$8</definedName>
    <definedName name="dval3" localSheetId="5">'[1]MA  Standardised units'!$F$8</definedName>
    <definedName name="dval3" localSheetId="7">'[1]MA  Standardised units'!$F$8</definedName>
    <definedName name="dval3" localSheetId="12">'[2]MA  Standardised units'!$F$8</definedName>
    <definedName name="dval3" localSheetId="4">'[1]MA  Standardised units'!$F$8</definedName>
    <definedName name="dval3" localSheetId="3">'[1]MA  Standardised units'!$F$8</definedName>
    <definedName name="dval3" localSheetId="6">'[1]MA  Standardised units'!$F$8</definedName>
    <definedName name="dval3" localSheetId="8">'[1]MA  Standardised units'!$F$8</definedName>
    <definedName name="dval3">'[3]MA  Standardised units'!$F$8</definedName>
    <definedName name="dval4" localSheetId="11">'[1]MA  Standardised units'!$F$9</definedName>
    <definedName name="dval4" localSheetId="9">'[1]MA  Standardised units'!$F$9</definedName>
    <definedName name="dval4" localSheetId="10">'[1]MA  Standardised units'!$F$9</definedName>
    <definedName name="dval4" localSheetId="5">'[1]MA  Standardised units'!$F$9</definedName>
    <definedName name="dval4" localSheetId="7">'[1]MA  Standardised units'!$F$9</definedName>
    <definedName name="dval4" localSheetId="12">'[2]MA  Standardised units'!$F$9</definedName>
    <definedName name="dval4" localSheetId="4">'[1]MA  Standardised units'!$F$9</definedName>
    <definedName name="dval4" localSheetId="3">'[1]MA  Standardised units'!$F$9</definedName>
    <definedName name="dval4" localSheetId="6">'[1]MA  Standardised units'!$F$9</definedName>
    <definedName name="dval4" localSheetId="8">'[1]MA  Standardised units'!$F$9</definedName>
    <definedName name="dval4">'[3]MA  Standardised units'!$F$9</definedName>
    <definedName name="dval5" localSheetId="11">'[1]MA  Standardised units'!$F$10</definedName>
    <definedName name="dval5" localSheetId="9">'[1]MA  Standardised units'!$F$10</definedName>
    <definedName name="dval5" localSheetId="10">'[1]MA  Standardised units'!$F$10</definedName>
    <definedName name="dval5" localSheetId="5">'[1]MA  Standardised units'!$F$10</definedName>
    <definedName name="dval5" localSheetId="7">'[1]MA  Standardised units'!$F$10</definedName>
    <definedName name="dval5" localSheetId="12">'[2]MA  Standardised units'!$F$10</definedName>
    <definedName name="dval5" localSheetId="4">'[1]MA  Standardised units'!$F$10</definedName>
    <definedName name="dval5" localSheetId="3">'[1]MA  Standardised units'!$F$10</definedName>
    <definedName name="dval5" localSheetId="6">'[1]MA  Standardised units'!$F$10</definedName>
    <definedName name="dval5" localSheetId="8">'[1]MA  Standardised units'!$F$10</definedName>
    <definedName name="dval5">'[3]MA  Standardised units'!$F$10</definedName>
    <definedName name="dval6" localSheetId="11">'[1]MA  Standardised units'!$F$11</definedName>
    <definedName name="dval6" localSheetId="9">'[1]MA  Standardised units'!$F$11</definedName>
    <definedName name="dval6" localSheetId="10">'[1]MA  Standardised units'!$F$11</definedName>
    <definedName name="dval6" localSheetId="5">'[1]MA  Standardised units'!$F$11</definedName>
    <definedName name="dval6" localSheetId="7">'[1]MA  Standardised units'!$F$11</definedName>
    <definedName name="dval6" localSheetId="12">'[2]MA  Standardised units'!$F$11</definedName>
    <definedName name="dval6" localSheetId="4">'[1]MA  Standardised units'!$F$11</definedName>
    <definedName name="dval6" localSheetId="3">'[1]MA  Standardised units'!$F$11</definedName>
    <definedName name="dval6" localSheetId="6">'[1]MA  Standardised units'!$F$11</definedName>
    <definedName name="dval6" localSheetId="8">'[1]MA  Standardised units'!$F$11</definedName>
    <definedName name="dval6">'[3]MA  Standardised units'!$F$11</definedName>
    <definedName name="dval7" localSheetId="11">'[1]MA  Standardised units'!$F$12</definedName>
    <definedName name="dval7" localSheetId="9">'[1]MA  Standardised units'!$F$12</definedName>
    <definedName name="dval7" localSheetId="10">'[1]MA  Standardised units'!$F$12</definedName>
    <definedName name="dval7" localSheetId="5">'[1]MA  Standardised units'!$F$12</definedName>
    <definedName name="dval7" localSheetId="7">'[1]MA  Standardised units'!$F$12</definedName>
    <definedName name="dval7" localSheetId="12">'[2]MA  Standardised units'!$F$12</definedName>
    <definedName name="dval7" localSheetId="4">'[1]MA  Standardised units'!$F$12</definedName>
    <definedName name="dval7" localSheetId="3">'[1]MA  Standardised units'!$F$12</definedName>
    <definedName name="dval7" localSheetId="6">'[1]MA  Standardised units'!$F$12</definedName>
    <definedName name="dval7" localSheetId="8">'[1]MA  Standardised units'!$F$12</definedName>
    <definedName name="dval7">'[3]MA  Standardised units'!$F$12</definedName>
    <definedName name="dval8" localSheetId="11">'[1]MA  Standardised units'!$F$13</definedName>
    <definedName name="dval8" localSheetId="9">'[1]MA  Standardised units'!$F$13</definedName>
    <definedName name="dval8" localSheetId="10">'[1]MA  Standardised units'!$F$13</definedName>
    <definedName name="dval8" localSheetId="5">'[1]MA  Standardised units'!$F$13</definedName>
    <definedName name="dval8" localSheetId="7">'[1]MA  Standardised units'!$F$13</definedName>
    <definedName name="dval8" localSheetId="12">'[2]MA  Standardised units'!$F$13</definedName>
    <definedName name="dval8" localSheetId="4">'[1]MA  Standardised units'!$F$13</definedName>
    <definedName name="dval8" localSheetId="3">'[1]MA  Standardised units'!$F$13</definedName>
    <definedName name="dval8" localSheetId="6">'[1]MA  Standardised units'!$F$13</definedName>
    <definedName name="dval8" localSheetId="8">'[1]MA  Standardised units'!$F$13</definedName>
    <definedName name="dval8">'[3]MA  Standardised units'!$F$13</definedName>
    <definedName name="dval9" localSheetId="11">'[1]MA  Standardised units'!$F$14</definedName>
    <definedName name="dval9" localSheetId="9">'[1]MA  Standardised units'!$F$14</definedName>
    <definedName name="dval9" localSheetId="10">'[1]MA  Standardised units'!$F$14</definedName>
    <definedName name="dval9" localSheetId="5">'[1]MA  Standardised units'!$F$14</definedName>
    <definedName name="dval9" localSheetId="7">'[1]MA  Standardised units'!$F$14</definedName>
    <definedName name="dval9" localSheetId="12">'[2]MA  Standardised units'!$F$14</definedName>
    <definedName name="dval9" localSheetId="4">'[1]MA  Standardised units'!$F$14</definedName>
    <definedName name="dval9" localSheetId="3">'[1]MA  Standardised units'!$F$14</definedName>
    <definedName name="dval9" localSheetId="6">'[1]MA  Standardised units'!$F$14</definedName>
    <definedName name="dval9" localSheetId="8">'[1]MA  Standardised units'!$F$14</definedName>
    <definedName name="dval9">'[3]MA  Standardised units'!$F$14</definedName>
    <definedName name="equivncpdp" localSheetId="7">'[11]Data paired'!$B$21:$C$21</definedName>
    <definedName name="equivncpdp" localSheetId="8">'[11]Data paired'!$B$21:$C$21</definedName>
    <definedName name="equivncpdp">'[11]Data paired'!$B$21:$C$21</definedName>
    <definedName name="equivncpdt" localSheetId="7">'[11]Data two'!$B$20:$C$20</definedName>
    <definedName name="equivncpdt" localSheetId="12">'Robust two'!#REF!</definedName>
    <definedName name="equivncpdt" localSheetId="8">'[11]Data two'!$B$20:$C$20</definedName>
    <definedName name="equivncpdt">'[11]Data two'!$B$20:$C$20</definedName>
    <definedName name="equivncpsp">#REF!</definedName>
    <definedName name="equivncpst">#REF!</definedName>
    <definedName name="f9za1">#REF!</definedName>
    <definedName name="f9za2">#REF!</definedName>
    <definedName name="f9za3">#REF!</definedName>
    <definedName name="f9za4">#REF!</definedName>
    <definedName name="f9zb3">#REF!</definedName>
    <definedName name="f9zb4">#REF!</definedName>
    <definedName name="fd1alabels">'Ind groups 2 x 2'!$BC$7:$BD$7</definedName>
    <definedName name="fd1ba">'Ind groups 2 x 2'!$BB$9</definedName>
    <definedName name="fd1bb">'Ind groups 2 x 2'!$BB$11</definedName>
    <definedName name="fd1data">'Ind groups 2 x 2'!$BB$16:$BE$315</definedName>
    <definedName name="fd1names">'Ind groups 2 x 2'!$BC$3:$BC$4</definedName>
    <definedName name="fd2alabels">'Ind groups 2 x 2'!$BJ$7:$BK$7</definedName>
    <definedName name="fd2ba">'Ind groups 2 x 2'!$BI$9</definedName>
    <definedName name="fd2bb">'Ind groups 2 x 2'!$BI$11</definedName>
    <definedName name="fd2data">'Ind groups 2 x 2'!$BI$16:$BL$315</definedName>
    <definedName name="fd2names">'Ind groups 2 x 2'!$BJ$3:$BJ$4</definedName>
    <definedName name="fd3alabels">'Ind groups 2 x 2'!$BQ$7:$BR$7</definedName>
    <definedName name="fd3ba">'Ind groups 2 x 2'!$BP$9</definedName>
    <definedName name="fd3bb">'Ind groups 2 x 2'!$BP$11</definedName>
    <definedName name="fd3data">'Ind groups 2 x 2'!$BP$16:$BS$315</definedName>
    <definedName name="fd3names">'Ind groups 2 x 2'!$BQ$3:$BQ$4</definedName>
    <definedName name="fdame">'Ind groups 2 x 2'!$DU$3:$DV$6</definedName>
    <definedName name="fdany">'Ind groups 2 x 2'!$CW$9</definedName>
    <definedName name="fdbme">'Ind groups 2 x 2'!$DW$3:$DX$6</definedName>
    <definedName name="fdnames">'Ind groups 2 x 2'!$F$6:$F$7</definedName>
    <definedName name="fdnome">'Ind groups 2 x 2'!$DY$3:$DZ$6</definedName>
    <definedName name="fdpark">'Ind groups 2 x 2'!$G$10</definedName>
    <definedName name="fdtf">'Ind groups 2 x 2'!$CZ$2:$DA$5</definedName>
    <definedName name="fig1disp">#REF!</definedName>
    <definedName name="Fig1Rand" localSheetId="11">'[9]Fig 1'!$M$8:$R$8</definedName>
    <definedName name="Fig1Rand" localSheetId="9">'[9]Fig 1'!$M$8:$R$8</definedName>
    <definedName name="Fig1Rand" localSheetId="10">'[9]Fig 1'!$M$8:$R$8</definedName>
    <definedName name="Fig1Rand" localSheetId="5">'[9]Fig 1'!$M$8:$R$8</definedName>
    <definedName name="Fig1Rand" localSheetId="7">'[9]Fig 1'!$M$8:$R$8</definedName>
    <definedName name="Fig1Rand" localSheetId="12">'[10]Fig 1'!$M$8:$R$8</definedName>
    <definedName name="Fig1Rand" localSheetId="4">'[9]Fig 1'!$M$8:$R$8</definedName>
    <definedName name="Fig1Rand" localSheetId="3">'[9]Fig 1'!$M$8:$R$8</definedName>
    <definedName name="Fig1Rand" localSheetId="6">'[9]Fig 1'!$M$8:$R$8</definedName>
    <definedName name="Fig1Rand" localSheetId="8">'[9]Fig 1'!$M$8:$R$8</definedName>
    <definedName name="Fig1Rand">'[9]Fig 1'!$M$8:$R$8</definedName>
    <definedName name="Fig1SeedN" localSheetId="11">'[9]Fig 1'!$M$9</definedName>
    <definedName name="Fig1SeedN" localSheetId="9">'[9]Fig 1'!$M$9</definedName>
    <definedName name="Fig1SeedN" localSheetId="10">'[9]Fig 1'!$M$9</definedName>
    <definedName name="Fig1SeedN" localSheetId="5">'[9]Fig 1'!$M$9</definedName>
    <definedName name="Fig1SeedN" localSheetId="7">'[9]Fig 1'!$M$9</definedName>
    <definedName name="Fig1SeedN" localSheetId="12">'[10]Fig 1'!$M$9</definedName>
    <definedName name="Fig1SeedN" localSheetId="4">'[9]Fig 1'!$M$9</definedName>
    <definedName name="Fig1SeedN" localSheetId="3">'[9]Fig 1'!$M$9</definedName>
    <definedName name="Fig1SeedN" localSheetId="6">'[9]Fig 1'!$M$9</definedName>
    <definedName name="Fig1SeedN" localSheetId="8">'[9]Fig 1'!$M$9</definedName>
    <definedName name="Fig1SeedN">'[9]Fig 1'!$M$9</definedName>
    <definedName name="fig2disp">#REF!</definedName>
    <definedName name="Fig2Rand" localSheetId="11">'[18]Fig 2'!$J$13:$L$13</definedName>
    <definedName name="Fig2Rand" localSheetId="9">'[18]Fig 2'!$J$13:$L$13</definedName>
    <definedName name="Fig2Rand" localSheetId="10">'[18]Fig 2'!$J$13:$L$13</definedName>
    <definedName name="Fig2Rand" localSheetId="5">'[18]Fig 2'!$J$13:$L$13</definedName>
    <definedName name="Fig2Rand" localSheetId="7">'[18]Fig 2'!$J$13:$L$13</definedName>
    <definedName name="Fig2Rand" localSheetId="12">'[19]Fig 2'!$J$13:$L$13</definedName>
    <definedName name="Fig2Rand" localSheetId="4">'[18]Fig 2'!$J$13:$L$13</definedName>
    <definedName name="Fig2Rand" localSheetId="3">'[18]Fig 2'!$J$13:$L$13</definedName>
    <definedName name="Fig2Rand" localSheetId="6">'[18]Fig 2'!$J$13:$L$13</definedName>
    <definedName name="Fig2Rand" localSheetId="8">'[18]Fig 2'!$J$13:$L$13</definedName>
    <definedName name="Fig2Rand">'[18]Fig 2'!$J$13:$L$13</definedName>
    <definedName name="Fig2SeedN" localSheetId="11">'[18]Fig 2'!$J$14:$L$14</definedName>
    <definedName name="Fig2SeedN" localSheetId="9">'[18]Fig 2'!$J$14:$L$14</definedName>
    <definedName name="Fig2SeedN" localSheetId="10">'[18]Fig 2'!$J$14:$L$14</definedName>
    <definedName name="Fig2SeedN" localSheetId="5">'[18]Fig 2'!$J$14:$L$14</definedName>
    <definedName name="Fig2SeedN" localSheetId="7">'[18]Fig 2'!$J$14:$L$14</definedName>
    <definedName name="Fig2SeedN" localSheetId="12">'[19]Fig 2'!$J$14:$L$14</definedName>
    <definedName name="Fig2SeedN" localSheetId="4">'[18]Fig 2'!$J$14:$L$14</definedName>
    <definedName name="Fig2SeedN" localSheetId="3">'[18]Fig 2'!$J$14:$L$14</definedName>
    <definedName name="Fig2SeedN" localSheetId="6">'[18]Fig 2'!$J$14:$L$14</definedName>
    <definedName name="Fig2SeedN" localSheetId="8">'[18]Fig 2'!$J$14:$L$14</definedName>
    <definedName name="Fig2SeedN">'[18]Fig 2'!$J$14:$L$14</definedName>
    <definedName name="fig3disp">#REF!</definedName>
    <definedName name="fig4disp">#REF!</definedName>
    <definedName name="fig5disp">#REF!</definedName>
    <definedName name="figdisplength">#REF!</definedName>
    <definedName name="figfivedisp" localSheetId="5">#REF!</definedName>
    <definedName name="figfivedisp" localSheetId="7">#REF!</definedName>
    <definedName name="figfivedisp" localSheetId="12">#REF!</definedName>
    <definedName name="figfivedisp" localSheetId="4">#REF!</definedName>
    <definedName name="figfivedisp" localSheetId="3">#REF!</definedName>
    <definedName name="figfivedisp" localSheetId="6">#REF!</definedName>
    <definedName name="figfivedisp" localSheetId="8">#REF!</definedName>
    <definedName name="figfivedisp">'[11]Dance p'!$AD$106</definedName>
    <definedName name="figfourdisp" localSheetId="5">#REF!</definedName>
    <definedName name="figfourdisp" localSheetId="7">#REF!</definedName>
    <definedName name="figfourdisp" localSheetId="12">#REF!</definedName>
    <definedName name="figfourdisp" localSheetId="4">#REF!</definedName>
    <definedName name="figfourdisp" localSheetId="3">#REF!</definedName>
    <definedName name="figfourdisp" localSheetId="6">#REF!</definedName>
    <definedName name="figfourdisp" localSheetId="8">#REF!</definedName>
    <definedName name="figfourdisp">'[11]Dance p'!$AD$105</definedName>
    <definedName name="figonedisp" localSheetId="5">#REF!</definedName>
    <definedName name="figonedisp" localSheetId="7">#REF!</definedName>
    <definedName name="figonedisp" localSheetId="12">#REF!</definedName>
    <definedName name="figonedisp" localSheetId="4">#REF!</definedName>
    <definedName name="figonedisp" localSheetId="3">#REF!</definedName>
    <definedName name="figonedisp" localSheetId="6">#REF!</definedName>
    <definedName name="figonedisp" localSheetId="8">#REF!</definedName>
    <definedName name="figonedisp">'[11]Dance p'!$AD$102</definedName>
    <definedName name="figthreedisp" localSheetId="5">#REF!</definedName>
    <definedName name="figthreedisp" localSheetId="7">#REF!</definedName>
    <definedName name="figthreedisp" localSheetId="12">#REF!</definedName>
    <definedName name="figthreedisp" localSheetId="4">#REF!</definedName>
    <definedName name="figthreedisp" localSheetId="3">#REF!</definedName>
    <definedName name="figthreedisp" localSheetId="6">#REF!</definedName>
    <definedName name="figthreedisp" localSheetId="8">#REF!</definedName>
    <definedName name="figthreedisp">'[11]Dance p'!$AD$104</definedName>
    <definedName name="figtwodisp" localSheetId="5">#REF!</definedName>
    <definedName name="figtwodisp" localSheetId="7">#REF!</definedName>
    <definedName name="figtwodisp" localSheetId="12">#REF!</definedName>
    <definedName name="figtwodisp" localSheetId="4">#REF!</definedName>
    <definedName name="figtwodisp" localSheetId="3">#REF!</definedName>
    <definedName name="figtwodisp" localSheetId="6">#REF!</definedName>
    <definedName name="figtwodisp" localSheetId="8">#REF!</definedName>
    <definedName name="figtwodisp">'[11]Dance p'!$AD$103</definedName>
    <definedName name="firstptdp" localSheetId="7">'[11]Data paired'!$F$8</definedName>
    <definedName name="firstptdp" localSheetId="8">'[11]Data paired'!$F$8</definedName>
    <definedName name="firstptdp">'[11]Data paired'!$F$8</definedName>
    <definedName name="firstptdt" localSheetId="7">'[11]Data two'!$F$8</definedName>
    <definedName name="firstptdt" localSheetId="12">'Robust two'!$B$9</definedName>
    <definedName name="firstptdt" localSheetId="8">'[11]Data two'!$F$8</definedName>
    <definedName name="firstptdt">'[11]Data two'!$F$8</definedName>
    <definedName name="firstptxy" localSheetId="4">Scatterplots!$B$13</definedName>
    <definedName name="firstptxy">[23]Scatterplots!$B$12</definedName>
    <definedName name="fninezafour">#REF!</definedName>
    <definedName name="fninezaone">#REF!</definedName>
    <definedName name="fninezathree">#REF!</definedName>
    <definedName name="fninezatwo">#REF!</definedName>
    <definedName name="fninezbfour">#REF!</definedName>
    <definedName name="fninezbthree">#REF!</definedName>
    <definedName name="for2p1" localSheetId="11">'[4]Overlap two proportions'!$N$8</definedName>
    <definedName name="for2p1" localSheetId="9">'[4]Overlap two proportions'!$N$8</definedName>
    <definedName name="for2p1" localSheetId="10">'[4]Overlap two proportions'!$N$8</definedName>
    <definedName name="for2p1" localSheetId="5">'[4]Overlap two proportions'!$N$8</definedName>
    <definedName name="for2p1" localSheetId="7">'[4]Overlap two proportions'!$N$8</definedName>
    <definedName name="for2p1" localSheetId="12">'[5]Overlap two proportions'!$N$8</definedName>
    <definedName name="for2p1" localSheetId="4">'[4]Overlap two proportions'!$N$8</definedName>
    <definedName name="for2p1" localSheetId="3">'[4]Overlap two proportions'!$N$8</definedName>
    <definedName name="for2p1" localSheetId="6">'[4]Overlap two proportions'!$N$8</definedName>
    <definedName name="for2p1" localSheetId="8">'[4]Overlap two proportions'!$N$8</definedName>
    <definedName name="for2p1">'[4]Overlap two proportions'!$N$8</definedName>
    <definedName name="for2p10" localSheetId="11">'[4]Overlap two proportions'!$N$17</definedName>
    <definedName name="for2p10" localSheetId="9">'[4]Overlap two proportions'!$N$17</definedName>
    <definedName name="for2p10" localSheetId="10">'[4]Overlap two proportions'!$N$17</definedName>
    <definedName name="for2p10" localSheetId="5">'[4]Overlap two proportions'!$N$17</definedName>
    <definedName name="for2p10" localSheetId="7">'[4]Overlap two proportions'!$N$17</definedName>
    <definedName name="for2p10" localSheetId="12">'[5]Overlap two proportions'!$N$17</definedName>
    <definedName name="for2p10" localSheetId="4">'[4]Overlap two proportions'!$N$17</definedName>
    <definedName name="for2p10" localSheetId="3">'[4]Overlap two proportions'!$N$17</definedName>
    <definedName name="for2p10" localSheetId="6">'[4]Overlap two proportions'!$N$17</definedName>
    <definedName name="for2p10" localSheetId="8">'[4]Overlap two proportions'!$N$17</definedName>
    <definedName name="for2p10">'[4]Overlap two proportions'!$N$17</definedName>
    <definedName name="for2p11" localSheetId="11">'[4]Overlap two proportions'!$N$18</definedName>
    <definedName name="for2p11" localSheetId="9">'[4]Overlap two proportions'!$N$18</definedName>
    <definedName name="for2p11" localSheetId="10">'[4]Overlap two proportions'!$N$18</definedName>
    <definedName name="for2p11" localSheetId="5">'[4]Overlap two proportions'!$N$18</definedName>
    <definedName name="for2p11" localSheetId="7">'[4]Overlap two proportions'!$N$18</definedName>
    <definedName name="for2p11" localSheetId="12">'[5]Overlap two proportions'!$N$18</definedName>
    <definedName name="for2p11" localSheetId="4">'[4]Overlap two proportions'!$N$18</definedName>
    <definedName name="for2p11" localSheetId="3">'[4]Overlap two proportions'!$N$18</definedName>
    <definedName name="for2p11" localSheetId="6">'[4]Overlap two proportions'!$N$18</definedName>
    <definedName name="for2p11" localSheetId="8">'[4]Overlap two proportions'!$N$18</definedName>
    <definedName name="for2p11">'[4]Overlap two proportions'!$N$18</definedName>
    <definedName name="for2p12" localSheetId="11">'[4]Overlap two proportions'!$N$19</definedName>
    <definedName name="for2p12" localSheetId="9">'[4]Overlap two proportions'!$N$19</definedName>
    <definedName name="for2p12" localSheetId="10">'[4]Overlap two proportions'!$N$19</definedName>
    <definedName name="for2p12" localSheetId="5">'[4]Overlap two proportions'!$N$19</definedName>
    <definedName name="for2p12" localSheetId="7">'[4]Overlap two proportions'!$N$19</definedName>
    <definedName name="for2p12" localSheetId="12">'[5]Overlap two proportions'!$N$19</definedName>
    <definedName name="for2p12" localSheetId="4">'[4]Overlap two proportions'!$N$19</definedName>
    <definedName name="for2p12" localSheetId="3">'[4]Overlap two proportions'!$N$19</definedName>
    <definedName name="for2p12" localSheetId="6">'[4]Overlap two proportions'!$N$19</definedName>
    <definedName name="for2p12" localSheetId="8">'[4]Overlap two proportions'!$N$19</definedName>
    <definedName name="for2p12">'[4]Overlap two proportions'!$N$19</definedName>
    <definedName name="for2p13" localSheetId="11">'[4]Overlap two proportions'!$N$20</definedName>
    <definedName name="for2p13" localSheetId="9">'[4]Overlap two proportions'!$N$20</definedName>
    <definedName name="for2p13" localSheetId="10">'[4]Overlap two proportions'!$N$20</definedName>
    <definedName name="for2p13" localSheetId="5">'[4]Overlap two proportions'!$N$20</definedName>
    <definedName name="for2p13" localSheetId="7">'[4]Overlap two proportions'!$N$20</definedName>
    <definedName name="for2p13" localSheetId="12">'[5]Overlap two proportions'!$N$20</definedName>
    <definedName name="for2p13" localSheetId="4">'[4]Overlap two proportions'!$N$20</definedName>
    <definedName name="for2p13" localSheetId="3">'[4]Overlap two proportions'!$N$20</definedName>
    <definedName name="for2p13" localSheetId="6">'[4]Overlap two proportions'!$N$20</definedName>
    <definedName name="for2p13" localSheetId="8">'[4]Overlap two proportions'!$N$20</definedName>
    <definedName name="for2p13">'[4]Overlap two proportions'!$N$20</definedName>
    <definedName name="for2p14" localSheetId="11">'[4]Overlap two proportions'!$N$21</definedName>
    <definedName name="for2p14" localSheetId="9">'[4]Overlap two proportions'!$N$21</definedName>
    <definedName name="for2p14" localSheetId="10">'[4]Overlap two proportions'!$N$21</definedName>
    <definedName name="for2p14" localSheetId="5">'[4]Overlap two proportions'!$N$21</definedName>
    <definedName name="for2p14" localSheetId="7">'[4]Overlap two proportions'!$N$21</definedName>
    <definedName name="for2p14" localSheetId="12">'[5]Overlap two proportions'!$N$21</definedName>
    <definedName name="for2p14" localSheetId="4">'[4]Overlap two proportions'!$N$21</definedName>
    <definedName name="for2p14" localSheetId="3">'[4]Overlap two proportions'!$N$21</definedName>
    <definedName name="for2p14" localSheetId="6">'[4]Overlap two proportions'!$N$21</definedName>
    <definedName name="for2p14" localSheetId="8">'[4]Overlap two proportions'!$N$21</definedName>
    <definedName name="for2p14">'[4]Overlap two proportions'!$N$21</definedName>
    <definedName name="for2p15" localSheetId="11">'[4]Overlap two proportions'!$N$22</definedName>
    <definedName name="for2p15" localSheetId="9">'[4]Overlap two proportions'!$N$22</definedName>
    <definedName name="for2p15" localSheetId="10">'[4]Overlap two proportions'!$N$22</definedName>
    <definedName name="for2p15" localSheetId="5">'[4]Overlap two proportions'!$N$22</definedName>
    <definedName name="for2p15" localSheetId="7">'[4]Overlap two proportions'!$N$22</definedName>
    <definedName name="for2p15" localSheetId="12">'[5]Overlap two proportions'!$N$22</definedName>
    <definedName name="for2p15" localSheetId="4">'[4]Overlap two proportions'!$N$22</definedName>
    <definedName name="for2p15" localSheetId="3">'[4]Overlap two proportions'!$N$22</definedName>
    <definedName name="for2p15" localSheetId="6">'[4]Overlap two proportions'!$N$22</definedName>
    <definedName name="for2p15" localSheetId="8">'[4]Overlap two proportions'!$N$22</definedName>
    <definedName name="for2p15">'[4]Overlap two proportions'!$N$22</definedName>
    <definedName name="for2p16" localSheetId="11">'[4]Overlap two proportions'!$N$23</definedName>
    <definedName name="for2p16" localSheetId="9">'[4]Overlap two proportions'!$N$23</definedName>
    <definedName name="for2p16" localSheetId="10">'[4]Overlap two proportions'!$N$23</definedName>
    <definedName name="for2p16" localSheetId="5">'[4]Overlap two proportions'!$N$23</definedName>
    <definedName name="for2p16" localSheetId="7">'[4]Overlap two proportions'!$N$23</definedName>
    <definedName name="for2p16" localSheetId="12">'[5]Overlap two proportions'!$N$23</definedName>
    <definedName name="for2p16" localSheetId="4">'[4]Overlap two proportions'!$N$23</definedName>
    <definedName name="for2p16" localSheetId="3">'[4]Overlap two proportions'!$N$23</definedName>
    <definedName name="for2p16" localSheetId="6">'[4]Overlap two proportions'!$N$23</definedName>
    <definedName name="for2p16" localSheetId="8">'[4]Overlap two proportions'!$N$23</definedName>
    <definedName name="for2p16">'[4]Overlap two proportions'!$N$23</definedName>
    <definedName name="for2p17" localSheetId="11">'[4]Overlap two proportions'!$N$24</definedName>
    <definedName name="for2p17" localSheetId="9">'[4]Overlap two proportions'!$N$24</definedName>
    <definedName name="for2p17" localSheetId="10">'[4]Overlap two proportions'!$N$24</definedName>
    <definedName name="for2p17" localSheetId="5">'[4]Overlap two proportions'!$N$24</definedName>
    <definedName name="for2p17" localSheetId="7">'[4]Overlap two proportions'!$N$24</definedName>
    <definedName name="for2p17" localSheetId="12">'[5]Overlap two proportions'!$N$24</definedName>
    <definedName name="for2p17" localSheetId="4">'[4]Overlap two proportions'!$N$24</definedName>
    <definedName name="for2p17" localSheetId="3">'[4]Overlap two proportions'!$N$24</definedName>
    <definedName name="for2p17" localSheetId="6">'[4]Overlap two proportions'!$N$24</definedName>
    <definedName name="for2p17" localSheetId="8">'[4]Overlap two proportions'!$N$24</definedName>
    <definedName name="for2p17">'[4]Overlap two proportions'!$N$24</definedName>
    <definedName name="for2p18" localSheetId="11">'[4]Overlap two proportions'!$N$25</definedName>
    <definedName name="for2p18" localSheetId="9">'[4]Overlap two proportions'!$N$25</definedName>
    <definedName name="for2p18" localSheetId="10">'[4]Overlap two proportions'!$N$25</definedName>
    <definedName name="for2p18" localSheetId="5">'[4]Overlap two proportions'!$N$25</definedName>
    <definedName name="for2p18" localSheetId="7">'[4]Overlap two proportions'!$N$25</definedName>
    <definedName name="for2p18" localSheetId="12">'[5]Overlap two proportions'!$N$25</definedName>
    <definedName name="for2p18" localSheetId="4">'[4]Overlap two proportions'!$N$25</definedName>
    <definedName name="for2p18" localSheetId="3">'[4]Overlap two proportions'!$N$25</definedName>
    <definedName name="for2p18" localSheetId="6">'[4]Overlap two proportions'!$N$25</definedName>
    <definedName name="for2p18" localSheetId="8">'[4]Overlap two proportions'!$N$25</definedName>
    <definedName name="for2p18">'[4]Overlap two proportions'!$N$25</definedName>
    <definedName name="for2p19" localSheetId="11">'[4]Overlap two proportions'!$N$26</definedName>
    <definedName name="for2p19" localSheetId="9">'[4]Overlap two proportions'!$N$26</definedName>
    <definedName name="for2p19" localSheetId="10">'[4]Overlap two proportions'!$N$26</definedName>
    <definedName name="for2p19" localSheetId="5">'[4]Overlap two proportions'!$N$26</definedName>
    <definedName name="for2p19" localSheetId="7">'[4]Overlap two proportions'!$N$26</definedName>
    <definedName name="for2p19" localSheetId="12">'[5]Overlap two proportions'!$N$26</definedName>
    <definedName name="for2p19" localSheetId="4">'[4]Overlap two proportions'!$N$26</definedName>
    <definedName name="for2p19" localSheetId="3">'[4]Overlap two proportions'!$N$26</definedName>
    <definedName name="for2p19" localSheetId="6">'[4]Overlap two proportions'!$N$26</definedName>
    <definedName name="for2p19" localSheetId="8">'[4]Overlap two proportions'!$N$26</definedName>
    <definedName name="for2p19">'[4]Overlap two proportions'!$N$26</definedName>
    <definedName name="for2p2" localSheetId="11">'[4]Overlap two proportions'!$N$9</definedName>
    <definedName name="for2p2" localSheetId="9">'[4]Overlap two proportions'!$N$9</definedName>
    <definedName name="for2p2" localSheetId="10">'[4]Overlap two proportions'!$N$9</definedName>
    <definedName name="for2p2" localSheetId="5">'[4]Overlap two proportions'!$N$9</definedName>
    <definedName name="for2p2" localSheetId="7">'[4]Overlap two proportions'!$N$9</definedName>
    <definedName name="for2p2" localSheetId="12">'[5]Overlap two proportions'!$N$9</definedName>
    <definedName name="for2p2" localSheetId="4">'[4]Overlap two proportions'!$N$9</definedName>
    <definedName name="for2p2" localSheetId="3">'[4]Overlap two proportions'!$N$9</definedName>
    <definedName name="for2p2" localSheetId="6">'[4]Overlap two proportions'!$N$9</definedName>
    <definedName name="for2p2" localSheetId="8">'[4]Overlap two proportions'!$N$9</definedName>
    <definedName name="for2p2">'[4]Overlap two proportions'!$N$9</definedName>
    <definedName name="for2p20" localSheetId="11">'[4]Overlap two proportions'!$N$27</definedName>
    <definedName name="for2p20" localSheetId="9">'[4]Overlap two proportions'!$N$27</definedName>
    <definedName name="for2p20" localSheetId="10">'[4]Overlap two proportions'!$N$27</definedName>
    <definedName name="for2p20" localSheetId="5">'[4]Overlap two proportions'!$N$27</definedName>
    <definedName name="for2p20" localSheetId="7">'[4]Overlap two proportions'!$N$27</definedName>
    <definedName name="for2p20" localSheetId="12">'[5]Overlap two proportions'!$N$27</definedName>
    <definedName name="for2p20" localSheetId="4">'[4]Overlap two proportions'!$N$27</definedName>
    <definedName name="for2p20" localSheetId="3">'[4]Overlap two proportions'!$N$27</definedName>
    <definedName name="for2p20" localSheetId="6">'[4]Overlap two proportions'!$N$27</definedName>
    <definedName name="for2p20" localSheetId="8">'[4]Overlap two proportions'!$N$27</definedName>
    <definedName name="for2p20">'[4]Overlap two proportions'!$N$27</definedName>
    <definedName name="for2p21" localSheetId="11">'[4]Overlap two proportions'!$N$28</definedName>
    <definedName name="for2p21" localSheetId="9">'[4]Overlap two proportions'!$N$28</definedName>
    <definedName name="for2p21" localSheetId="10">'[4]Overlap two proportions'!$N$28</definedName>
    <definedName name="for2p21" localSheetId="5">'[4]Overlap two proportions'!$N$28</definedName>
    <definedName name="for2p21" localSheetId="7">'[4]Overlap two proportions'!$N$28</definedName>
    <definedName name="for2p21" localSheetId="12">'[5]Overlap two proportions'!$N$28</definedName>
    <definedName name="for2p21" localSheetId="4">'[4]Overlap two proportions'!$N$28</definedName>
    <definedName name="for2p21" localSheetId="3">'[4]Overlap two proportions'!$N$28</definedName>
    <definedName name="for2p21" localSheetId="6">'[4]Overlap two proportions'!$N$28</definedName>
    <definedName name="for2p21" localSheetId="8">'[4]Overlap two proportions'!$N$28</definedName>
    <definedName name="for2p21">'[4]Overlap two proportions'!$N$28</definedName>
    <definedName name="for2p22" localSheetId="11">'[4]Overlap two proportions'!$N$29</definedName>
    <definedName name="for2p22" localSheetId="9">'[4]Overlap two proportions'!$N$29</definedName>
    <definedName name="for2p22" localSheetId="10">'[4]Overlap two proportions'!$N$29</definedName>
    <definedName name="for2p22" localSheetId="5">'[4]Overlap two proportions'!$N$29</definedName>
    <definedName name="for2p22" localSheetId="7">'[4]Overlap two proportions'!$N$29</definedName>
    <definedName name="for2p22" localSheetId="12">'[5]Overlap two proportions'!$N$29</definedName>
    <definedName name="for2p22" localSheetId="4">'[4]Overlap two proportions'!$N$29</definedName>
    <definedName name="for2p22" localSheetId="3">'[4]Overlap two proportions'!$N$29</definedName>
    <definedName name="for2p22" localSheetId="6">'[4]Overlap two proportions'!$N$29</definedName>
    <definedName name="for2p22" localSheetId="8">'[4]Overlap two proportions'!$N$29</definedName>
    <definedName name="for2p22">'[4]Overlap two proportions'!$N$29</definedName>
    <definedName name="for2p23" localSheetId="11">'[4]Overlap two proportions'!$N$30</definedName>
    <definedName name="for2p23" localSheetId="9">'[4]Overlap two proportions'!$N$30</definedName>
    <definedName name="for2p23" localSheetId="10">'[4]Overlap two proportions'!$N$30</definedName>
    <definedName name="for2p23" localSheetId="5">'[4]Overlap two proportions'!$N$30</definedName>
    <definedName name="for2p23" localSheetId="7">'[4]Overlap two proportions'!$N$30</definedName>
    <definedName name="for2p23" localSheetId="12">'[5]Overlap two proportions'!$N$30</definedName>
    <definedName name="for2p23" localSheetId="4">'[4]Overlap two proportions'!$N$30</definedName>
    <definedName name="for2p23" localSheetId="3">'[4]Overlap two proportions'!$N$30</definedName>
    <definedName name="for2p23" localSheetId="6">'[4]Overlap two proportions'!$N$30</definedName>
    <definedName name="for2p23" localSheetId="8">'[4]Overlap two proportions'!$N$30</definedName>
    <definedName name="for2p23">'[4]Overlap two proportions'!$N$30</definedName>
    <definedName name="for2p24" localSheetId="11">'[4]Overlap two proportions'!$N$31</definedName>
    <definedName name="for2p24" localSheetId="9">'[4]Overlap two proportions'!$N$31</definedName>
    <definedName name="for2p24" localSheetId="10">'[4]Overlap two proportions'!$N$31</definedName>
    <definedName name="for2p24" localSheetId="5">'[4]Overlap two proportions'!$N$31</definedName>
    <definedName name="for2p24" localSheetId="7">'[4]Overlap two proportions'!$N$31</definedName>
    <definedName name="for2p24" localSheetId="12">'[5]Overlap two proportions'!$N$31</definedName>
    <definedName name="for2p24" localSheetId="4">'[4]Overlap two proportions'!$N$31</definedName>
    <definedName name="for2p24" localSheetId="3">'[4]Overlap two proportions'!$N$31</definedName>
    <definedName name="for2p24" localSheetId="6">'[4]Overlap two proportions'!$N$31</definedName>
    <definedName name="for2p24" localSheetId="8">'[4]Overlap two proportions'!$N$31</definedName>
    <definedName name="for2p24">'[4]Overlap two proportions'!$N$31</definedName>
    <definedName name="for2p25" localSheetId="11">'[4]Overlap two proportions'!$N$32</definedName>
    <definedName name="for2p25" localSheetId="9">'[4]Overlap two proportions'!$N$32</definedName>
    <definedName name="for2p25" localSheetId="10">'[4]Overlap two proportions'!$N$32</definedName>
    <definedName name="for2p25" localSheetId="5">'[4]Overlap two proportions'!$N$32</definedName>
    <definedName name="for2p25" localSheetId="7">'[4]Overlap two proportions'!$N$32</definedName>
    <definedName name="for2p25" localSheetId="12">'[5]Overlap two proportions'!$N$32</definedName>
    <definedName name="for2p25" localSheetId="4">'[4]Overlap two proportions'!$N$32</definedName>
    <definedName name="for2p25" localSheetId="3">'[4]Overlap two proportions'!$N$32</definedName>
    <definedName name="for2p25" localSheetId="6">'[4]Overlap two proportions'!$N$32</definedName>
    <definedName name="for2p25" localSheetId="8">'[4]Overlap two proportions'!$N$32</definedName>
    <definedName name="for2p25">'[4]Overlap two proportions'!$N$32</definedName>
    <definedName name="for2p26" localSheetId="11">'[4]Overlap two proportions'!$N$33</definedName>
    <definedName name="for2p26" localSheetId="9">'[4]Overlap two proportions'!$N$33</definedName>
    <definedName name="for2p26" localSheetId="10">'[4]Overlap two proportions'!$N$33</definedName>
    <definedName name="for2p26" localSheetId="5">'[4]Overlap two proportions'!$N$33</definedName>
    <definedName name="for2p26" localSheetId="7">'[4]Overlap two proportions'!$N$33</definedName>
    <definedName name="for2p26" localSheetId="12">'[5]Overlap two proportions'!$N$33</definedName>
    <definedName name="for2p26" localSheetId="4">'[4]Overlap two proportions'!$N$33</definedName>
    <definedName name="for2p26" localSheetId="3">'[4]Overlap two proportions'!$N$33</definedName>
    <definedName name="for2p26" localSheetId="6">'[4]Overlap two proportions'!$N$33</definedName>
    <definedName name="for2p26" localSheetId="8">'[4]Overlap two proportions'!$N$33</definedName>
    <definedName name="for2p26">'[4]Overlap two proportions'!$N$33</definedName>
    <definedName name="for2p27" localSheetId="11">'[4]Overlap two proportions'!$N$34</definedName>
    <definedName name="for2p27" localSheetId="9">'[4]Overlap two proportions'!$N$34</definedName>
    <definedName name="for2p27" localSheetId="10">'[4]Overlap two proportions'!$N$34</definedName>
    <definedName name="for2p27" localSheetId="5">'[4]Overlap two proportions'!$N$34</definedName>
    <definedName name="for2p27" localSheetId="7">'[4]Overlap two proportions'!$N$34</definedName>
    <definedName name="for2p27" localSheetId="12">'[5]Overlap two proportions'!$N$34</definedName>
    <definedName name="for2p27" localSheetId="4">'[4]Overlap two proportions'!$N$34</definedName>
    <definedName name="for2p27" localSheetId="3">'[4]Overlap two proportions'!$N$34</definedName>
    <definedName name="for2p27" localSheetId="6">'[4]Overlap two proportions'!$N$34</definedName>
    <definedName name="for2p27" localSheetId="8">'[4]Overlap two proportions'!$N$34</definedName>
    <definedName name="for2p27">'[4]Overlap two proportions'!$N$34</definedName>
    <definedName name="for2p28" localSheetId="11">'[4]Overlap two proportions'!$N$35</definedName>
    <definedName name="for2p28" localSheetId="9">'[4]Overlap two proportions'!$N$35</definedName>
    <definedName name="for2p28" localSheetId="10">'[4]Overlap two proportions'!$N$35</definedName>
    <definedName name="for2p28" localSheetId="5">'[4]Overlap two proportions'!$N$35</definedName>
    <definedName name="for2p28" localSheetId="7">'[4]Overlap two proportions'!$N$35</definedName>
    <definedName name="for2p28" localSheetId="12">'[5]Overlap two proportions'!$N$35</definedName>
    <definedName name="for2p28" localSheetId="4">'[4]Overlap two proportions'!$N$35</definedName>
    <definedName name="for2p28" localSheetId="3">'[4]Overlap two proportions'!$N$35</definedName>
    <definedName name="for2p28" localSheetId="6">'[4]Overlap two proportions'!$N$35</definedName>
    <definedName name="for2p28" localSheetId="8">'[4]Overlap two proportions'!$N$35</definedName>
    <definedName name="for2p28">'[4]Overlap two proportions'!$N$35</definedName>
    <definedName name="for2p29" localSheetId="11">'[4]Overlap two proportions'!$N$36</definedName>
    <definedName name="for2p29" localSheetId="9">'[4]Overlap two proportions'!$N$36</definedName>
    <definedName name="for2p29" localSheetId="10">'[4]Overlap two proportions'!$N$36</definedName>
    <definedName name="for2p29" localSheetId="5">'[4]Overlap two proportions'!$N$36</definedName>
    <definedName name="for2p29" localSheetId="7">'[4]Overlap two proportions'!$N$36</definedName>
    <definedName name="for2p29" localSheetId="12">'[5]Overlap two proportions'!$N$36</definedName>
    <definedName name="for2p29" localSheetId="4">'[4]Overlap two proportions'!$N$36</definedName>
    <definedName name="for2p29" localSheetId="3">'[4]Overlap two proportions'!$N$36</definedName>
    <definedName name="for2p29" localSheetId="6">'[4]Overlap two proportions'!$N$36</definedName>
    <definedName name="for2p29" localSheetId="8">'[4]Overlap two proportions'!$N$36</definedName>
    <definedName name="for2p29">'[4]Overlap two proportions'!$N$36</definedName>
    <definedName name="for2p3" localSheetId="11">'[4]Overlap two proportions'!$N$10</definedName>
    <definedName name="for2p3" localSheetId="9">'[4]Overlap two proportions'!$N$10</definedName>
    <definedName name="for2p3" localSheetId="10">'[4]Overlap two proportions'!$N$10</definedName>
    <definedName name="for2p3" localSheetId="5">'[4]Overlap two proportions'!$N$10</definedName>
    <definedName name="for2p3" localSheetId="7">'[4]Overlap two proportions'!$N$10</definedName>
    <definedName name="for2p3" localSheetId="12">'[5]Overlap two proportions'!$N$10</definedName>
    <definedName name="for2p3" localSheetId="4">'[4]Overlap two proportions'!$N$10</definedName>
    <definedName name="for2p3" localSheetId="3">'[4]Overlap two proportions'!$N$10</definedName>
    <definedName name="for2p3" localSheetId="6">'[4]Overlap two proportions'!$N$10</definedName>
    <definedName name="for2p3" localSheetId="8">'[4]Overlap two proportions'!$N$10</definedName>
    <definedName name="for2p3">'[4]Overlap two proportions'!$N$10</definedName>
    <definedName name="for2p30" localSheetId="11">'[4]Overlap two proportions'!$N$37</definedName>
    <definedName name="for2p30" localSheetId="9">'[4]Overlap two proportions'!$N$37</definedName>
    <definedName name="for2p30" localSheetId="10">'[4]Overlap two proportions'!$N$37</definedName>
    <definedName name="for2p30" localSheetId="5">'[4]Overlap two proportions'!$N$37</definedName>
    <definedName name="for2p30" localSheetId="7">'[4]Overlap two proportions'!$N$37</definedName>
    <definedName name="for2p30" localSheetId="12">'[5]Overlap two proportions'!$N$37</definedName>
    <definedName name="for2p30" localSheetId="4">'[4]Overlap two proportions'!$N$37</definedName>
    <definedName name="for2p30" localSheetId="3">'[4]Overlap two proportions'!$N$37</definedName>
    <definedName name="for2p30" localSheetId="6">'[4]Overlap two proportions'!$N$37</definedName>
    <definedName name="for2p30" localSheetId="8">'[4]Overlap two proportions'!$N$37</definedName>
    <definedName name="for2p30">'[4]Overlap two proportions'!$N$37</definedName>
    <definedName name="for2p31" localSheetId="11">'[4]Overlap two proportions'!$N$38</definedName>
    <definedName name="for2p31" localSheetId="9">'[4]Overlap two proportions'!$N$38</definedName>
    <definedName name="for2p31" localSheetId="10">'[4]Overlap two proportions'!$N$38</definedName>
    <definedName name="for2p31" localSheetId="5">'[4]Overlap two proportions'!$N$38</definedName>
    <definedName name="for2p31" localSheetId="7">'[4]Overlap two proportions'!$N$38</definedName>
    <definedName name="for2p31" localSheetId="12">'[5]Overlap two proportions'!$N$38</definedName>
    <definedName name="for2p31" localSheetId="4">'[4]Overlap two proportions'!$N$38</definedName>
    <definedName name="for2p31" localSheetId="3">'[4]Overlap two proportions'!$N$38</definedName>
    <definedName name="for2p31" localSheetId="6">'[4]Overlap two proportions'!$N$38</definedName>
    <definedName name="for2p31" localSheetId="8">'[4]Overlap two proportions'!$N$38</definedName>
    <definedName name="for2p31">'[4]Overlap two proportions'!$N$38</definedName>
    <definedName name="for2p32" localSheetId="11">'[4]Overlap two proportions'!$N$39</definedName>
    <definedName name="for2p32" localSheetId="9">'[4]Overlap two proportions'!$N$39</definedName>
    <definedName name="for2p32" localSheetId="10">'[4]Overlap two proportions'!$N$39</definedName>
    <definedName name="for2p32" localSheetId="5">'[4]Overlap two proportions'!$N$39</definedName>
    <definedName name="for2p32" localSheetId="7">'[4]Overlap two proportions'!$N$39</definedName>
    <definedName name="for2p32" localSheetId="12">'[5]Overlap two proportions'!$N$39</definedName>
    <definedName name="for2p32" localSheetId="4">'[4]Overlap two proportions'!$N$39</definedName>
    <definedName name="for2p32" localSheetId="3">'[4]Overlap two proportions'!$N$39</definedName>
    <definedName name="for2p32" localSheetId="6">'[4]Overlap two proportions'!$N$39</definedName>
    <definedName name="for2p32" localSheetId="8">'[4]Overlap two proportions'!$N$39</definedName>
    <definedName name="for2p32">'[4]Overlap two proportions'!$N$39</definedName>
    <definedName name="for2p33" localSheetId="11">'[4]Overlap two proportions'!$N$40</definedName>
    <definedName name="for2p33" localSheetId="9">'[4]Overlap two proportions'!$N$40</definedName>
    <definedName name="for2p33" localSheetId="10">'[4]Overlap two proportions'!$N$40</definedName>
    <definedName name="for2p33" localSheetId="5">'[4]Overlap two proportions'!$N$40</definedName>
    <definedName name="for2p33" localSheetId="7">'[4]Overlap two proportions'!$N$40</definedName>
    <definedName name="for2p33" localSheetId="12">'[5]Overlap two proportions'!$N$40</definedName>
    <definedName name="for2p33" localSheetId="4">'[4]Overlap two proportions'!$N$40</definedName>
    <definedName name="for2p33" localSheetId="3">'[4]Overlap two proportions'!$N$40</definedName>
    <definedName name="for2p33" localSheetId="6">'[4]Overlap two proportions'!$N$40</definedName>
    <definedName name="for2p33" localSheetId="8">'[4]Overlap two proportions'!$N$40</definedName>
    <definedName name="for2p33">'[4]Overlap two proportions'!$N$40</definedName>
    <definedName name="for2p34" localSheetId="11">'[4]Overlap two proportions'!$N$41</definedName>
    <definedName name="for2p34" localSheetId="9">'[4]Overlap two proportions'!$N$41</definedName>
    <definedName name="for2p34" localSheetId="10">'[4]Overlap two proportions'!$N$41</definedName>
    <definedName name="for2p34" localSheetId="5">'[4]Overlap two proportions'!$N$41</definedName>
    <definedName name="for2p34" localSheetId="7">'[4]Overlap two proportions'!$N$41</definedName>
    <definedName name="for2p34" localSheetId="12">'[5]Overlap two proportions'!$N$41</definedName>
    <definedName name="for2p34" localSheetId="4">'[4]Overlap two proportions'!$N$41</definedName>
    <definedName name="for2p34" localSheetId="3">'[4]Overlap two proportions'!$N$41</definedName>
    <definedName name="for2p34" localSheetId="6">'[4]Overlap two proportions'!$N$41</definedName>
    <definedName name="for2p34" localSheetId="8">'[4]Overlap two proportions'!$N$41</definedName>
    <definedName name="for2p34">'[4]Overlap two proportions'!$N$41</definedName>
    <definedName name="for2p35" localSheetId="11">'[4]Overlap two proportions'!$N$42</definedName>
    <definedName name="for2p35" localSheetId="9">'[4]Overlap two proportions'!$N$42</definedName>
    <definedName name="for2p35" localSheetId="10">'[4]Overlap two proportions'!$N$42</definedName>
    <definedName name="for2p35" localSheetId="5">'[4]Overlap two proportions'!$N$42</definedName>
    <definedName name="for2p35" localSheetId="7">'[4]Overlap two proportions'!$N$42</definedName>
    <definedName name="for2p35" localSheetId="12">'[5]Overlap two proportions'!$N$42</definedName>
    <definedName name="for2p35" localSheetId="4">'[4]Overlap two proportions'!$N$42</definedName>
    <definedName name="for2p35" localSheetId="3">'[4]Overlap two proportions'!$N$42</definedName>
    <definedName name="for2p35" localSheetId="6">'[4]Overlap two proportions'!$N$42</definedName>
    <definedName name="for2p35" localSheetId="8">'[4]Overlap two proportions'!$N$42</definedName>
    <definedName name="for2p35">'[4]Overlap two proportions'!$N$42</definedName>
    <definedName name="for2p36" localSheetId="11">'[4]Overlap two proportions'!$N$43</definedName>
    <definedName name="for2p36" localSheetId="9">'[4]Overlap two proportions'!$N$43</definedName>
    <definedName name="for2p36" localSheetId="10">'[4]Overlap two proportions'!$N$43</definedName>
    <definedName name="for2p36" localSheetId="5">'[4]Overlap two proportions'!$N$43</definedName>
    <definedName name="for2p36" localSheetId="7">'[4]Overlap two proportions'!$N$43</definedName>
    <definedName name="for2p36" localSheetId="12">'[5]Overlap two proportions'!$N$43</definedName>
    <definedName name="for2p36" localSheetId="4">'[4]Overlap two proportions'!$N$43</definedName>
    <definedName name="for2p36" localSheetId="3">'[4]Overlap two proportions'!$N$43</definedName>
    <definedName name="for2p36" localSheetId="6">'[4]Overlap two proportions'!$N$43</definedName>
    <definedName name="for2p36" localSheetId="8">'[4]Overlap two proportions'!$N$43</definedName>
    <definedName name="for2p36">'[4]Overlap two proportions'!$N$43</definedName>
    <definedName name="for2p37" localSheetId="11">'[4]Overlap two proportions'!$N$44</definedName>
    <definedName name="for2p37" localSheetId="9">'[4]Overlap two proportions'!$N$44</definedName>
    <definedName name="for2p37" localSheetId="10">'[4]Overlap two proportions'!$N$44</definedName>
    <definedName name="for2p37" localSheetId="5">'[4]Overlap two proportions'!$N$44</definedName>
    <definedName name="for2p37" localSheetId="7">'[4]Overlap two proportions'!$N$44</definedName>
    <definedName name="for2p37" localSheetId="12">'[5]Overlap two proportions'!$N$44</definedName>
    <definedName name="for2p37" localSheetId="4">'[4]Overlap two proportions'!$N$44</definedName>
    <definedName name="for2p37" localSheetId="3">'[4]Overlap two proportions'!$N$44</definedName>
    <definedName name="for2p37" localSheetId="6">'[4]Overlap two proportions'!$N$44</definedName>
    <definedName name="for2p37" localSheetId="8">'[4]Overlap two proportions'!$N$44</definedName>
    <definedName name="for2p37">'[4]Overlap two proportions'!$N$44</definedName>
    <definedName name="for2p38" localSheetId="11">'[4]Overlap two proportions'!$N$45</definedName>
    <definedName name="for2p38" localSheetId="9">'[4]Overlap two proportions'!$N$45</definedName>
    <definedName name="for2p38" localSheetId="10">'[4]Overlap two proportions'!$N$45</definedName>
    <definedName name="for2p38" localSheetId="5">'[4]Overlap two proportions'!$N$45</definedName>
    <definedName name="for2p38" localSheetId="7">'[4]Overlap two proportions'!$N$45</definedName>
    <definedName name="for2p38" localSheetId="12">'[5]Overlap two proportions'!$N$45</definedName>
    <definedName name="for2p38" localSheetId="4">'[4]Overlap two proportions'!$N$45</definedName>
    <definedName name="for2p38" localSheetId="3">'[4]Overlap two proportions'!$N$45</definedName>
    <definedName name="for2p38" localSheetId="6">'[4]Overlap two proportions'!$N$45</definedName>
    <definedName name="for2p38" localSheetId="8">'[4]Overlap two proportions'!$N$45</definedName>
    <definedName name="for2p38">'[4]Overlap two proportions'!$N$45</definedName>
    <definedName name="for2p39" localSheetId="11">'[4]Overlap two proportions'!$N$46</definedName>
    <definedName name="for2p39" localSheetId="9">'[4]Overlap two proportions'!$N$46</definedName>
    <definedName name="for2p39" localSheetId="10">'[4]Overlap two proportions'!$N$46</definedName>
    <definedName name="for2p39" localSheetId="5">'[4]Overlap two proportions'!$N$46</definedName>
    <definedName name="for2p39" localSheetId="7">'[4]Overlap two proportions'!$N$46</definedName>
    <definedName name="for2p39" localSheetId="12">'[5]Overlap two proportions'!$N$46</definedName>
    <definedName name="for2p39" localSheetId="4">'[4]Overlap two proportions'!$N$46</definedName>
    <definedName name="for2p39" localSheetId="3">'[4]Overlap two proportions'!$N$46</definedName>
    <definedName name="for2p39" localSheetId="6">'[4]Overlap two proportions'!$N$46</definedName>
    <definedName name="for2p39" localSheetId="8">'[4]Overlap two proportions'!$N$46</definedName>
    <definedName name="for2p39">'[4]Overlap two proportions'!$N$46</definedName>
    <definedName name="for2p4" localSheetId="11">'[4]Overlap two proportions'!$N$11</definedName>
    <definedName name="for2p4" localSheetId="9">'[4]Overlap two proportions'!$N$11</definedName>
    <definedName name="for2p4" localSheetId="10">'[4]Overlap two proportions'!$N$11</definedName>
    <definedName name="for2p4" localSheetId="5">'[4]Overlap two proportions'!$N$11</definedName>
    <definedName name="for2p4" localSheetId="7">'[4]Overlap two proportions'!$N$11</definedName>
    <definedName name="for2p4" localSheetId="12">'[5]Overlap two proportions'!$N$11</definedName>
    <definedName name="for2p4" localSheetId="4">'[4]Overlap two proportions'!$N$11</definedName>
    <definedName name="for2p4" localSheetId="3">'[4]Overlap two proportions'!$N$11</definedName>
    <definedName name="for2p4" localSheetId="6">'[4]Overlap two proportions'!$N$11</definedName>
    <definedName name="for2p4" localSheetId="8">'[4]Overlap two proportions'!$N$11</definedName>
    <definedName name="for2p4">'[4]Overlap two proportions'!$N$11</definedName>
    <definedName name="for2p40" localSheetId="11">'[4]Overlap two proportions'!$N$47</definedName>
    <definedName name="for2p40" localSheetId="9">'[4]Overlap two proportions'!$N$47</definedName>
    <definedName name="for2p40" localSheetId="10">'[4]Overlap two proportions'!$N$47</definedName>
    <definedName name="for2p40" localSheetId="5">'[4]Overlap two proportions'!$N$47</definedName>
    <definedName name="for2p40" localSheetId="7">'[4]Overlap two proportions'!$N$47</definedName>
    <definedName name="for2p40" localSheetId="12">'[5]Overlap two proportions'!$N$47</definedName>
    <definedName name="for2p40" localSheetId="4">'[4]Overlap two proportions'!$N$47</definedName>
    <definedName name="for2p40" localSheetId="3">'[4]Overlap two proportions'!$N$47</definedName>
    <definedName name="for2p40" localSheetId="6">'[4]Overlap two proportions'!$N$47</definedName>
    <definedName name="for2p40" localSheetId="8">'[4]Overlap two proportions'!$N$47</definedName>
    <definedName name="for2p40">'[4]Overlap two proportions'!$N$47</definedName>
    <definedName name="for2p41" localSheetId="11">'[4]Overlap two proportions'!$N$48</definedName>
    <definedName name="for2p41" localSheetId="9">'[4]Overlap two proportions'!$N$48</definedName>
    <definedName name="for2p41" localSheetId="10">'[4]Overlap two proportions'!$N$48</definedName>
    <definedName name="for2p41" localSheetId="5">'[4]Overlap two proportions'!$N$48</definedName>
    <definedName name="for2p41" localSheetId="7">'[4]Overlap two proportions'!$N$48</definedName>
    <definedName name="for2p41" localSheetId="12">'[5]Overlap two proportions'!$N$48</definedName>
    <definedName name="for2p41" localSheetId="4">'[4]Overlap two proportions'!$N$48</definedName>
    <definedName name="for2p41" localSheetId="3">'[4]Overlap two proportions'!$N$48</definedName>
    <definedName name="for2p41" localSheetId="6">'[4]Overlap two proportions'!$N$48</definedName>
    <definedName name="for2p41" localSheetId="8">'[4]Overlap two proportions'!$N$48</definedName>
    <definedName name="for2p41">'[4]Overlap two proportions'!$N$48</definedName>
    <definedName name="for2p42" localSheetId="11">'[4]Overlap two proportions'!$N$49</definedName>
    <definedName name="for2p42" localSheetId="9">'[4]Overlap two proportions'!$N$49</definedName>
    <definedName name="for2p42" localSheetId="10">'[4]Overlap two proportions'!$N$49</definedName>
    <definedName name="for2p42" localSheetId="5">'[4]Overlap two proportions'!$N$49</definedName>
    <definedName name="for2p42" localSheetId="7">'[4]Overlap two proportions'!$N$49</definedName>
    <definedName name="for2p42" localSheetId="12">'[5]Overlap two proportions'!$N$49</definedName>
    <definedName name="for2p42" localSheetId="4">'[4]Overlap two proportions'!$N$49</definedName>
    <definedName name="for2p42" localSheetId="3">'[4]Overlap two proportions'!$N$49</definedName>
    <definedName name="for2p42" localSheetId="6">'[4]Overlap two proportions'!$N$49</definedName>
    <definedName name="for2p42" localSheetId="8">'[4]Overlap two proportions'!$N$49</definedName>
    <definedName name="for2p42">'[4]Overlap two proportions'!$N$49</definedName>
    <definedName name="for2p43" localSheetId="11">'[4]Overlap two proportions'!$N$50</definedName>
    <definedName name="for2p43" localSheetId="9">'[4]Overlap two proportions'!$N$50</definedName>
    <definedName name="for2p43" localSheetId="10">'[4]Overlap two proportions'!$N$50</definedName>
    <definedName name="for2p43" localSheetId="5">'[4]Overlap two proportions'!$N$50</definedName>
    <definedName name="for2p43" localSheetId="7">'[4]Overlap two proportions'!$N$50</definedName>
    <definedName name="for2p43" localSheetId="12">'[5]Overlap two proportions'!$N$50</definedName>
    <definedName name="for2p43" localSheetId="4">'[4]Overlap two proportions'!$N$50</definedName>
    <definedName name="for2p43" localSheetId="3">'[4]Overlap two proportions'!$N$50</definedName>
    <definedName name="for2p43" localSheetId="6">'[4]Overlap two proportions'!$N$50</definedName>
    <definedName name="for2p43" localSheetId="8">'[4]Overlap two proportions'!$N$50</definedName>
    <definedName name="for2p43">'[4]Overlap two proportions'!$N$50</definedName>
    <definedName name="for2p44" localSheetId="11">'[4]Overlap two proportions'!$N$51</definedName>
    <definedName name="for2p44" localSheetId="9">'[4]Overlap two proportions'!$N$51</definedName>
    <definedName name="for2p44" localSheetId="10">'[4]Overlap two proportions'!$N$51</definedName>
    <definedName name="for2p44" localSheetId="5">'[4]Overlap two proportions'!$N$51</definedName>
    <definedName name="for2p44" localSheetId="7">'[4]Overlap two proportions'!$N$51</definedName>
    <definedName name="for2p44" localSheetId="12">'[5]Overlap two proportions'!$N$51</definedName>
    <definedName name="for2p44" localSheetId="4">'[4]Overlap two proportions'!$N$51</definedName>
    <definedName name="for2p44" localSheetId="3">'[4]Overlap two proportions'!$N$51</definedName>
    <definedName name="for2p44" localSheetId="6">'[4]Overlap two proportions'!$N$51</definedName>
    <definedName name="for2p44" localSheetId="8">'[4]Overlap two proportions'!$N$51</definedName>
    <definedName name="for2p44">'[4]Overlap two proportions'!$N$51</definedName>
    <definedName name="for2p45" localSheetId="11">'[4]Overlap two proportions'!$N$52</definedName>
    <definedName name="for2p45" localSheetId="9">'[4]Overlap two proportions'!$N$52</definedName>
    <definedName name="for2p45" localSheetId="10">'[4]Overlap two proportions'!$N$52</definedName>
    <definedName name="for2p45" localSheetId="5">'[4]Overlap two proportions'!$N$52</definedName>
    <definedName name="for2p45" localSheetId="7">'[4]Overlap two proportions'!$N$52</definedName>
    <definedName name="for2p45" localSheetId="12">'[5]Overlap two proportions'!$N$52</definedName>
    <definedName name="for2p45" localSheetId="4">'[4]Overlap two proportions'!$N$52</definedName>
    <definedName name="for2p45" localSheetId="3">'[4]Overlap two proportions'!$N$52</definedName>
    <definedName name="for2p45" localSheetId="6">'[4]Overlap two proportions'!$N$52</definedName>
    <definedName name="for2p45" localSheetId="8">'[4]Overlap two proportions'!$N$52</definedName>
    <definedName name="for2p45">'[4]Overlap two proportions'!$N$52</definedName>
    <definedName name="for2p46" localSheetId="11">'[4]Overlap two proportions'!$N$53</definedName>
    <definedName name="for2p46" localSheetId="9">'[4]Overlap two proportions'!$N$53</definedName>
    <definedName name="for2p46" localSheetId="10">'[4]Overlap two proportions'!$N$53</definedName>
    <definedName name="for2p46" localSheetId="5">'[4]Overlap two proportions'!$N$53</definedName>
    <definedName name="for2p46" localSheetId="7">'[4]Overlap two proportions'!$N$53</definedName>
    <definedName name="for2p46" localSheetId="12">'[5]Overlap two proportions'!$N$53</definedName>
    <definedName name="for2p46" localSheetId="4">'[4]Overlap two proportions'!$N$53</definedName>
    <definedName name="for2p46" localSheetId="3">'[4]Overlap two proportions'!$N$53</definedName>
    <definedName name="for2p46" localSheetId="6">'[4]Overlap two proportions'!$N$53</definedName>
    <definedName name="for2p46" localSheetId="8">'[4]Overlap two proportions'!$N$53</definedName>
    <definedName name="for2p46">'[4]Overlap two proportions'!$N$53</definedName>
    <definedName name="for2p47" localSheetId="11">'[4]Overlap two proportions'!$N$54</definedName>
    <definedName name="for2p47" localSheetId="9">'[4]Overlap two proportions'!$N$54</definedName>
    <definedName name="for2p47" localSheetId="10">'[4]Overlap two proportions'!$N$54</definedName>
    <definedName name="for2p47" localSheetId="5">'[4]Overlap two proportions'!$N$54</definedName>
    <definedName name="for2p47" localSheetId="7">'[4]Overlap two proportions'!$N$54</definedName>
    <definedName name="for2p47" localSheetId="12">'[5]Overlap two proportions'!$N$54</definedName>
    <definedName name="for2p47" localSheetId="4">'[4]Overlap two proportions'!$N$54</definedName>
    <definedName name="for2p47" localSheetId="3">'[4]Overlap two proportions'!$N$54</definedName>
    <definedName name="for2p47" localSheetId="6">'[4]Overlap two proportions'!$N$54</definedName>
    <definedName name="for2p47" localSheetId="8">'[4]Overlap two proportions'!$N$54</definedName>
    <definedName name="for2p47">'[4]Overlap two proportions'!$N$54</definedName>
    <definedName name="for2p48" localSheetId="11">'[4]Overlap two proportions'!$N$55</definedName>
    <definedName name="for2p48" localSheetId="9">'[4]Overlap two proportions'!$N$55</definedName>
    <definedName name="for2p48" localSheetId="10">'[4]Overlap two proportions'!$N$55</definedName>
    <definedName name="for2p48" localSheetId="5">'[4]Overlap two proportions'!$N$55</definedName>
    <definedName name="for2p48" localSheetId="7">'[4]Overlap two proportions'!$N$55</definedName>
    <definedName name="for2p48" localSheetId="12">'[5]Overlap two proportions'!$N$55</definedName>
    <definedName name="for2p48" localSheetId="4">'[4]Overlap two proportions'!$N$55</definedName>
    <definedName name="for2p48" localSheetId="3">'[4]Overlap two proportions'!$N$55</definedName>
    <definedName name="for2p48" localSheetId="6">'[4]Overlap two proportions'!$N$55</definedName>
    <definedName name="for2p48" localSheetId="8">'[4]Overlap two proportions'!$N$55</definedName>
    <definedName name="for2p48">'[4]Overlap two proportions'!$N$55</definedName>
    <definedName name="for2p49" localSheetId="11">'[4]Overlap two proportions'!$N$56</definedName>
    <definedName name="for2p49" localSheetId="9">'[4]Overlap two proportions'!$N$56</definedName>
    <definedName name="for2p49" localSheetId="10">'[4]Overlap two proportions'!$N$56</definedName>
    <definedName name="for2p49" localSheetId="5">'[4]Overlap two proportions'!$N$56</definedName>
    <definedName name="for2p49" localSheetId="7">'[4]Overlap two proportions'!$N$56</definedName>
    <definedName name="for2p49" localSheetId="12">'[5]Overlap two proportions'!$N$56</definedName>
    <definedName name="for2p49" localSheetId="4">'[4]Overlap two proportions'!$N$56</definedName>
    <definedName name="for2p49" localSheetId="3">'[4]Overlap two proportions'!$N$56</definedName>
    <definedName name="for2p49" localSheetId="6">'[4]Overlap two proportions'!$N$56</definedName>
    <definedName name="for2p49" localSheetId="8">'[4]Overlap two proportions'!$N$56</definedName>
    <definedName name="for2p49">'[4]Overlap two proportions'!$N$56</definedName>
    <definedName name="for2p5" localSheetId="11">'[4]Overlap two proportions'!$N$12</definedName>
    <definedName name="for2p5" localSheetId="9">'[4]Overlap two proportions'!$N$12</definedName>
    <definedName name="for2p5" localSheetId="10">'[4]Overlap two proportions'!$N$12</definedName>
    <definedName name="for2p5" localSheetId="5">'[4]Overlap two proportions'!$N$12</definedName>
    <definedName name="for2p5" localSheetId="7">'[4]Overlap two proportions'!$N$12</definedName>
    <definedName name="for2p5" localSheetId="12">'[5]Overlap two proportions'!$N$12</definedName>
    <definedName name="for2p5" localSheetId="4">'[4]Overlap two proportions'!$N$12</definedName>
    <definedName name="for2p5" localSheetId="3">'[4]Overlap two proportions'!$N$12</definedName>
    <definedName name="for2p5" localSheetId="6">'[4]Overlap two proportions'!$N$12</definedName>
    <definedName name="for2p5" localSheetId="8">'[4]Overlap two proportions'!$N$12</definedName>
    <definedName name="for2p5">'[4]Overlap two proportions'!$N$12</definedName>
    <definedName name="for2p50" localSheetId="11">'[4]Overlap two proportions'!$N$57</definedName>
    <definedName name="for2p50" localSheetId="9">'[4]Overlap two proportions'!$N$57</definedName>
    <definedName name="for2p50" localSheetId="10">'[4]Overlap two proportions'!$N$57</definedName>
    <definedName name="for2p50" localSheetId="5">'[4]Overlap two proportions'!$N$57</definedName>
    <definedName name="for2p50" localSheetId="7">'[4]Overlap two proportions'!$N$57</definedName>
    <definedName name="for2p50" localSheetId="12">'[5]Overlap two proportions'!$N$57</definedName>
    <definedName name="for2p50" localSheetId="4">'[4]Overlap two proportions'!$N$57</definedName>
    <definedName name="for2p50" localSheetId="3">'[4]Overlap two proportions'!$N$57</definedName>
    <definedName name="for2p50" localSheetId="6">'[4]Overlap two proportions'!$N$57</definedName>
    <definedName name="for2p50" localSheetId="8">'[4]Overlap two proportions'!$N$57</definedName>
    <definedName name="for2p50">'[4]Overlap two proportions'!$N$57</definedName>
    <definedName name="for2p51" localSheetId="11">'[4]Overlap two proportions'!$N$58</definedName>
    <definedName name="for2p51" localSheetId="9">'[4]Overlap two proportions'!$N$58</definedName>
    <definedName name="for2p51" localSheetId="10">'[4]Overlap two proportions'!$N$58</definedName>
    <definedName name="for2p51" localSheetId="5">'[4]Overlap two proportions'!$N$58</definedName>
    <definedName name="for2p51" localSheetId="7">'[4]Overlap two proportions'!$N$58</definedName>
    <definedName name="for2p51" localSheetId="12">'[5]Overlap two proportions'!$N$58</definedName>
    <definedName name="for2p51" localSheetId="4">'[4]Overlap two proportions'!$N$58</definedName>
    <definedName name="for2p51" localSheetId="3">'[4]Overlap two proportions'!$N$58</definedName>
    <definedName name="for2p51" localSheetId="6">'[4]Overlap two proportions'!$N$58</definedName>
    <definedName name="for2p51" localSheetId="8">'[4]Overlap two proportions'!$N$58</definedName>
    <definedName name="for2p51">'[4]Overlap two proportions'!$N$58</definedName>
    <definedName name="for2p52" localSheetId="11">'[4]Overlap two proportions'!$N$59</definedName>
    <definedName name="for2p52" localSheetId="9">'[4]Overlap two proportions'!$N$59</definedName>
    <definedName name="for2p52" localSheetId="10">'[4]Overlap two proportions'!$N$59</definedName>
    <definedName name="for2p52" localSheetId="5">'[4]Overlap two proportions'!$N$59</definedName>
    <definedName name="for2p52" localSheetId="7">'[4]Overlap two proportions'!$N$59</definedName>
    <definedName name="for2p52" localSheetId="12">'[5]Overlap two proportions'!$N$59</definedName>
    <definedName name="for2p52" localSheetId="4">'[4]Overlap two proportions'!$N$59</definedName>
    <definedName name="for2p52" localSheetId="3">'[4]Overlap two proportions'!$N$59</definedName>
    <definedName name="for2p52" localSheetId="6">'[4]Overlap two proportions'!$N$59</definedName>
    <definedName name="for2p52" localSheetId="8">'[4]Overlap two proportions'!$N$59</definedName>
    <definedName name="for2p52">'[4]Overlap two proportions'!$N$59</definedName>
    <definedName name="for2p53" localSheetId="11">'[4]Overlap two proportions'!$N$60</definedName>
    <definedName name="for2p53" localSheetId="9">'[4]Overlap two proportions'!$N$60</definedName>
    <definedName name="for2p53" localSheetId="10">'[4]Overlap two proportions'!$N$60</definedName>
    <definedName name="for2p53" localSheetId="5">'[4]Overlap two proportions'!$N$60</definedName>
    <definedName name="for2p53" localSheetId="7">'[4]Overlap two proportions'!$N$60</definedName>
    <definedName name="for2p53" localSheetId="12">'[5]Overlap two proportions'!$N$60</definedName>
    <definedName name="for2p53" localSheetId="4">'[4]Overlap two proportions'!$N$60</definedName>
    <definedName name="for2p53" localSheetId="3">'[4]Overlap two proportions'!$N$60</definedName>
    <definedName name="for2p53" localSheetId="6">'[4]Overlap two proportions'!$N$60</definedName>
    <definedName name="for2p53" localSheetId="8">'[4]Overlap two proportions'!$N$60</definedName>
    <definedName name="for2p53">'[4]Overlap two proportions'!$N$60</definedName>
    <definedName name="for2p54" localSheetId="11">'[4]Overlap two proportions'!$N$61</definedName>
    <definedName name="for2p54" localSheetId="9">'[4]Overlap two proportions'!$N$61</definedName>
    <definedName name="for2p54" localSheetId="10">'[4]Overlap two proportions'!$N$61</definedName>
    <definedName name="for2p54" localSheetId="5">'[4]Overlap two proportions'!$N$61</definedName>
    <definedName name="for2p54" localSheetId="7">'[4]Overlap two proportions'!$N$61</definedName>
    <definedName name="for2p54" localSheetId="12">'[5]Overlap two proportions'!$N$61</definedName>
    <definedName name="for2p54" localSheetId="4">'[4]Overlap two proportions'!$N$61</definedName>
    <definedName name="for2p54" localSheetId="3">'[4]Overlap two proportions'!$N$61</definedName>
    <definedName name="for2p54" localSheetId="6">'[4]Overlap two proportions'!$N$61</definedName>
    <definedName name="for2p54" localSheetId="8">'[4]Overlap two proportions'!$N$61</definedName>
    <definedName name="for2p54">'[4]Overlap two proportions'!$N$61</definedName>
    <definedName name="for2p55" localSheetId="11">'[4]Overlap two proportions'!$N$62</definedName>
    <definedName name="for2p55" localSheetId="9">'[4]Overlap two proportions'!$N$62</definedName>
    <definedName name="for2p55" localSheetId="10">'[4]Overlap two proportions'!$N$62</definedName>
    <definedName name="for2p55" localSheetId="5">'[4]Overlap two proportions'!$N$62</definedName>
    <definedName name="for2p55" localSheetId="7">'[4]Overlap two proportions'!$N$62</definedName>
    <definedName name="for2p55" localSheetId="12">'[5]Overlap two proportions'!$N$62</definedName>
    <definedName name="for2p55" localSheetId="4">'[4]Overlap two proportions'!$N$62</definedName>
    <definedName name="for2p55" localSheetId="3">'[4]Overlap two proportions'!$N$62</definedName>
    <definedName name="for2p55" localSheetId="6">'[4]Overlap two proportions'!$N$62</definedName>
    <definedName name="for2p55" localSheetId="8">'[4]Overlap two proportions'!$N$62</definedName>
    <definedName name="for2p55">'[4]Overlap two proportions'!$N$62</definedName>
    <definedName name="for2p56" localSheetId="11">'[4]Overlap two proportions'!$N$63</definedName>
    <definedName name="for2p56" localSheetId="9">'[4]Overlap two proportions'!$N$63</definedName>
    <definedName name="for2p56" localSheetId="10">'[4]Overlap two proportions'!$N$63</definedName>
    <definedName name="for2p56" localSheetId="5">'[4]Overlap two proportions'!$N$63</definedName>
    <definedName name="for2p56" localSheetId="7">'[4]Overlap two proportions'!$N$63</definedName>
    <definedName name="for2p56" localSheetId="12">'[5]Overlap two proportions'!$N$63</definedName>
    <definedName name="for2p56" localSheetId="4">'[4]Overlap two proportions'!$N$63</definedName>
    <definedName name="for2p56" localSheetId="3">'[4]Overlap two proportions'!$N$63</definedName>
    <definedName name="for2p56" localSheetId="6">'[4]Overlap two proportions'!$N$63</definedName>
    <definedName name="for2p56" localSheetId="8">'[4]Overlap two proportions'!$N$63</definedName>
    <definedName name="for2p56">'[4]Overlap two proportions'!$N$63</definedName>
    <definedName name="for2p57" localSheetId="11">'[4]Overlap two proportions'!$N$64</definedName>
    <definedName name="for2p57" localSheetId="9">'[4]Overlap two proportions'!$N$64</definedName>
    <definedName name="for2p57" localSheetId="10">'[4]Overlap two proportions'!$N$64</definedName>
    <definedName name="for2p57" localSheetId="5">'[4]Overlap two proportions'!$N$64</definedName>
    <definedName name="for2p57" localSheetId="7">'[4]Overlap two proportions'!$N$64</definedName>
    <definedName name="for2p57" localSheetId="12">'[5]Overlap two proportions'!$N$64</definedName>
    <definedName name="for2p57" localSheetId="4">'[4]Overlap two proportions'!$N$64</definedName>
    <definedName name="for2p57" localSheetId="3">'[4]Overlap two proportions'!$N$64</definedName>
    <definedName name="for2p57" localSheetId="6">'[4]Overlap two proportions'!$N$64</definedName>
    <definedName name="for2p57" localSheetId="8">'[4]Overlap two proportions'!$N$64</definedName>
    <definedName name="for2p57">'[4]Overlap two proportions'!$N$64</definedName>
    <definedName name="for2p58" localSheetId="11">'[4]Overlap two proportions'!$N$65</definedName>
    <definedName name="for2p58" localSheetId="9">'[4]Overlap two proportions'!$N$65</definedName>
    <definedName name="for2p58" localSheetId="10">'[4]Overlap two proportions'!$N$65</definedName>
    <definedName name="for2p58" localSheetId="5">'[4]Overlap two proportions'!$N$65</definedName>
    <definedName name="for2p58" localSheetId="7">'[4]Overlap two proportions'!$N$65</definedName>
    <definedName name="for2p58" localSheetId="12">'[5]Overlap two proportions'!$N$65</definedName>
    <definedName name="for2p58" localSheetId="4">'[4]Overlap two proportions'!$N$65</definedName>
    <definedName name="for2p58" localSheetId="3">'[4]Overlap two proportions'!$N$65</definedName>
    <definedName name="for2p58" localSheetId="6">'[4]Overlap two proportions'!$N$65</definedName>
    <definedName name="for2p58" localSheetId="8">'[4]Overlap two proportions'!$N$65</definedName>
    <definedName name="for2p58">'[4]Overlap two proportions'!$N$65</definedName>
    <definedName name="for2p59" localSheetId="11">'[4]Overlap two proportions'!$N$66</definedName>
    <definedName name="for2p59" localSheetId="9">'[4]Overlap two proportions'!$N$66</definedName>
    <definedName name="for2p59" localSheetId="10">'[4]Overlap two proportions'!$N$66</definedName>
    <definedName name="for2p59" localSheetId="5">'[4]Overlap two proportions'!$N$66</definedName>
    <definedName name="for2p59" localSheetId="7">'[4]Overlap two proportions'!$N$66</definedName>
    <definedName name="for2p59" localSheetId="12">'[5]Overlap two proportions'!$N$66</definedName>
    <definedName name="for2p59" localSheetId="4">'[4]Overlap two proportions'!$N$66</definedName>
    <definedName name="for2p59" localSheetId="3">'[4]Overlap two proportions'!$N$66</definedName>
    <definedName name="for2p59" localSheetId="6">'[4]Overlap two proportions'!$N$66</definedName>
    <definedName name="for2p59" localSheetId="8">'[4]Overlap two proportions'!$N$66</definedName>
    <definedName name="for2p59">'[4]Overlap two proportions'!$N$66</definedName>
    <definedName name="for2p6" localSheetId="11">'[4]Overlap two proportions'!$N$13</definedName>
    <definedName name="for2p6" localSheetId="9">'[4]Overlap two proportions'!$N$13</definedName>
    <definedName name="for2p6" localSheetId="10">'[4]Overlap two proportions'!$N$13</definedName>
    <definedName name="for2p6" localSheetId="5">'[4]Overlap two proportions'!$N$13</definedName>
    <definedName name="for2p6" localSheetId="7">'[4]Overlap two proportions'!$N$13</definedName>
    <definedName name="for2p6" localSheetId="12">'[5]Overlap two proportions'!$N$13</definedName>
    <definedName name="for2p6" localSheetId="4">'[4]Overlap two proportions'!$N$13</definedName>
    <definedName name="for2p6" localSheetId="3">'[4]Overlap two proportions'!$N$13</definedName>
    <definedName name="for2p6" localSheetId="6">'[4]Overlap two proportions'!$N$13</definedName>
    <definedName name="for2p6" localSheetId="8">'[4]Overlap two proportions'!$N$13</definedName>
    <definedName name="for2p6">'[4]Overlap two proportions'!$N$13</definedName>
    <definedName name="for2p60" localSheetId="11">'[4]Overlap two proportions'!$N$67</definedName>
    <definedName name="for2p60" localSheetId="9">'[4]Overlap two proportions'!$N$67</definedName>
    <definedName name="for2p60" localSheetId="10">'[4]Overlap two proportions'!$N$67</definedName>
    <definedName name="for2p60" localSheetId="5">'[4]Overlap two proportions'!$N$67</definedName>
    <definedName name="for2p60" localSheetId="7">'[4]Overlap two proportions'!$N$67</definedName>
    <definedName name="for2p60" localSheetId="12">'[5]Overlap two proportions'!$N$67</definedName>
    <definedName name="for2p60" localSheetId="4">'[4]Overlap two proportions'!$N$67</definedName>
    <definedName name="for2p60" localSheetId="3">'[4]Overlap two proportions'!$N$67</definedName>
    <definedName name="for2p60" localSheetId="6">'[4]Overlap two proportions'!$N$67</definedName>
    <definedName name="for2p60" localSheetId="8">'[4]Overlap two proportions'!$N$67</definedName>
    <definedName name="for2p60">'[4]Overlap two proportions'!$N$67</definedName>
    <definedName name="for2p7" localSheetId="11">'[4]Overlap two proportions'!$N$14</definedName>
    <definedName name="for2p7" localSheetId="9">'[4]Overlap two proportions'!$N$14</definedName>
    <definedName name="for2p7" localSheetId="10">'[4]Overlap two proportions'!$N$14</definedName>
    <definedName name="for2p7" localSheetId="5">'[4]Overlap two proportions'!$N$14</definedName>
    <definedName name="for2p7" localSheetId="7">'[4]Overlap two proportions'!$N$14</definedName>
    <definedName name="for2p7" localSheetId="12">'[5]Overlap two proportions'!$N$14</definedName>
    <definedName name="for2p7" localSheetId="4">'[4]Overlap two proportions'!$N$14</definedName>
    <definedName name="for2p7" localSheetId="3">'[4]Overlap two proportions'!$N$14</definedName>
    <definedName name="for2p7" localSheetId="6">'[4]Overlap two proportions'!$N$14</definedName>
    <definedName name="for2p7" localSheetId="8">'[4]Overlap two proportions'!$N$14</definedName>
    <definedName name="for2p7">'[4]Overlap two proportions'!$N$14</definedName>
    <definedName name="for2p8" localSheetId="11">'[4]Overlap two proportions'!$N$15</definedName>
    <definedName name="for2p8" localSheetId="9">'[4]Overlap two proportions'!$N$15</definedName>
    <definedName name="for2p8" localSheetId="10">'[4]Overlap two proportions'!$N$15</definedName>
    <definedName name="for2p8" localSheetId="5">'[4]Overlap two proportions'!$N$15</definedName>
    <definedName name="for2p8" localSheetId="7">'[4]Overlap two proportions'!$N$15</definedName>
    <definedName name="for2p8" localSheetId="12">'[5]Overlap two proportions'!$N$15</definedName>
    <definedName name="for2p8" localSheetId="4">'[4]Overlap two proportions'!$N$15</definedName>
    <definedName name="for2p8" localSheetId="3">'[4]Overlap two proportions'!$N$15</definedName>
    <definedName name="for2p8" localSheetId="6">'[4]Overlap two proportions'!$N$15</definedName>
    <definedName name="for2p8" localSheetId="8">'[4]Overlap two proportions'!$N$15</definedName>
    <definedName name="for2p8">'[4]Overlap two proportions'!$N$15</definedName>
    <definedName name="for2p9" localSheetId="11">'[4]Overlap two proportions'!$N$16</definedName>
    <definedName name="for2p9" localSheetId="9">'[4]Overlap two proportions'!$N$16</definedName>
    <definedName name="for2p9" localSheetId="10">'[4]Overlap two proportions'!$N$16</definedName>
    <definedName name="for2p9" localSheetId="5">'[4]Overlap two proportions'!$N$16</definedName>
    <definedName name="for2p9" localSheetId="7">'[4]Overlap two proportions'!$N$16</definedName>
    <definedName name="for2p9" localSheetId="12">'[5]Overlap two proportions'!$N$16</definedName>
    <definedName name="for2p9" localSheetId="4">'[4]Overlap two proportions'!$N$16</definedName>
    <definedName name="for2p9" localSheetId="3">'[4]Overlap two proportions'!$N$16</definedName>
    <definedName name="for2p9" localSheetId="6">'[4]Overlap two proportions'!$N$16</definedName>
    <definedName name="for2p9" localSheetId="8">'[4]Overlap two proportions'!$N$16</definedName>
    <definedName name="for2p9">'[4]Overlap two proportions'!$N$16</definedName>
    <definedName name="ForC" localSheetId="11">'[4]Two proportions'!$AL$5</definedName>
    <definedName name="ForC" localSheetId="9">'[4]Two proportions'!$AL$5</definedName>
    <definedName name="ForC" localSheetId="10">'[4]Two proportions'!$AL$5</definedName>
    <definedName name="ForC" localSheetId="5">'[4]Two proportions'!$AL$5</definedName>
    <definedName name="ForC" localSheetId="7">'[4]Two proportions'!$AL$5</definedName>
    <definedName name="ForC" localSheetId="12">'[5]Two proportions'!$AL$5</definedName>
    <definedName name="ForC" localSheetId="4">'[4]Two proportions'!$AL$5</definedName>
    <definedName name="ForC" localSheetId="3">'[4]Two proportions'!$AL$5</definedName>
    <definedName name="ForC" localSheetId="6">'[4]Two proportions'!$AL$5</definedName>
    <definedName name="ForC" localSheetId="8">'[4]Two proportions'!$AL$5</definedName>
    <definedName name="ForC">'[4]Two proportions'!$AL$5</definedName>
    <definedName name="forC1" localSheetId="11">'[4]Overlap two proportions'!$AL$8</definedName>
    <definedName name="forC1" localSheetId="9">'[4]Overlap two proportions'!$AL$8</definedName>
    <definedName name="forC1" localSheetId="10">'[4]Overlap two proportions'!$AL$8</definedName>
    <definedName name="forC1" localSheetId="5">'[4]Overlap two proportions'!$AL$8</definedName>
    <definedName name="forC1" localSheetId="7">'[4]Overlap two proportions'!$AL$8</definedName>
    <definedName name="forC1" localSheetId="12">'[5]Overlap two proportions'!$AL$8</definedName>
    <definedName name="forC1" localSheetId="4">'[4]Overlap two proportions'!$AL$8</definedName>
    <definedName name="forC1" localSheetId="3">'[4]Overlap two proportions'!$AL$8</definedName>
    <definedName name="forC1" localSheetId="6">'[4]Overlap two proportions'!$AL$8</definedName>
    <definedName name="forC1" localSheetId="8">'[4]Overlap two proportions'!$AL$8</definedName>
    <definedName name="forC1">'[4]Overlap two proportions'!$AL$8</definedName>
    <definedName name="forC10" localSheetId="11">'[4]Overlap two proportions'!$AL$17</definedName>
    <definedName name="forC10" localSheetId="9">'[4]Overlap two proportions'!$AL$17</definedName>
    <definedName name="forC10" localSheetId="10">'[4]Overlap two proportions'!$AL$17</definedName>
    <definedName name="forC10" localSheetId="5">'[4]Overlap two proportions'!$AL$17</definedName>
    <definedName name="forC10" localSheetId="7">'[4]Overlap two proportions'!$AL$17</definedName>
    <definedName name="forC10" localSheetId="12">'[5]Overlap two proportions'!$AL$17</definedName>
    <definedName name="forC10" localSheetId="4">'[4]Overlap two proportions'!$AL$17</definedName>
    <definedName name="forC10" localSheetId="3">'[4]Overlap two proportions'!$AL$17</definedName>
    <definedName name="forC10" localSheetId="6">'[4]Overlap two proportions'!$AL$17</definedName>
    <definedName name="forC10" localSheetId="8">'[4]Overlap two proportions'!$AL$17</definedName>
    <definedName name="forC10">'[4]Overlap two proportions'!$AL$17</definedName>
    <definedName name="forC11" localSheetId="11">'[4]Overlap two proportions'!$AL$18</definedName>
    <definedName name="forC11" localSheetId="9">'[4]Overlap two proportions'!$AL$18</definedName>
    <definedName name="forC11" localSheetId="10">'[4]Overlap two proportions'!$AL$18</definedName>
    <definedName name="forC11" localSheetId="5">'[4]Overlap two proportions'!$AL$18</definedName>
    <definedName name="forC11" localSheetId="7">'[4]Overlap two proportions'!$AL$18</definedName>
    <definedName name="forC11" localSheetId="12">'[5]Overlap two proportions'!$AL$18</definedName>
    <definedName name="forC11" localSheetId="4">'[4]Overlap two proportions'!$AL$18</definedName>
    <definedName name="forC11" localSheetId="3">'[4]Overlap two proportions'!$AL$18</definedName>
    <definedName name="forC11" localSheetId="6">'[4]Overlap two proportions'!$AL$18</definedName>
    <definedName name="forC11" localSheetId="8">'[4]Overlap two proportions'!$AL$18</definedName>
    <definedName name="forC11">'[4]Overlap two proportions'!$AL$18</definedName>
    <definedName name="forC12" localSheetId="11">'[4]Overlap two proportions'!$AL$19</definedName>
    <definedName name="forC12" localSheetId="9">'[4]Overlap two proportions'!$AL$19</definedName>
    <definedName name="forC12" localSheetId="10">'[4]Overlap two proportions'!$AL$19</definedName>
    <definedName name="forC12" localSheetId="5">'[4]Overlap two proportions'!$AL$19</definedName>
    <definedName name="forC12" localSheetId="7">'[4]Overlap two proportions'!$AL$19</definedName>
    <definedName name="forC12" localSheetId="12">'[5]Overlap two proportions'!$AL$19</definedName>
    <definedName name="forC12" localSheetId="4">'[4]Overlap two proportions'!$AL$19</definedName>
    <definedName name="forC12" localSheetId="3">'[4]Overlap two proportions'!$AL$19</definedName>
    <definedName name="forC12" localSheetId="6">'[4]Overlap two proportions'!$AL$19</definedName>
    <definedName name="forC12" localSheetId="8">'[4]Overlap two proportions'!$AL$19</definedName>
    <definedName name="forC12">'[4]Overlap two proportions'!$AL$19</definedName>
    <definedName name="forC13" localSheetId="11">'[4]Overlap two proportions'!$AL$20</definedName>
    <definedName name="forC13" localSheetId="9">'[4]Overlap two proportions'!$AL$20</definedName>
    <definedName name="forC13" localSheetId="10">'[4]Overlap two proportions'!$AL$20</definedName>
    <definedName name="forC13" localSheetId="5">'[4]Overlap two proportions'!$AL$20</definedName>
    <definedName name="forC13" localSheetId="7">'[4]Overlap two proportions'!$AL$20</definedName>
    <definedName name="forC13" localSheetId="12">'[5]Overlap two proportions'!$AL$20</definedName>
    <definedName name="forC13" localSheetId="4">'[4]Overlap two proportions'!$AL$20</definedName>
    <definedName name="forC13" localSheetId="3">'[4]Overlap two proportions'!$AL$20</definedName>
    <definedName name="forC13" localSheetId="6">'[4]Overlap two proportions'!$AL$20</definedName>
    <definedName name="forC13" localSheetId="8">'[4]Overlap two proportions'!$AL$20</definedName>
    <definedName name="forC13">'[4]Overlap two proportions'!$AL$20</definedName>
    <definedName name="forC14" localSheetId="11">'[4]Overlap two proportions'!$AL$21</definedName>
    <definedName name="forC14" localSheetId="9">'[4]Overlap two proportions'!$AL$21</definedName>
    <definedName name="forC14" localSheetId="10">'[4]Overlap two proportions'!$AL$21</definedName>
    <definedName name="forC14" localSheetId="5">'[4]Overlap two proportions'!$AL$21</definedName>
    <definedName name="forC14" localSheetId="7">'[4]Overlap two proportions'!$AL$21</definedName>
    <definedName name="forC14" localSheetId="12">'[5]Overlap two proportions'!$AL$21</definedName>
    <definedName name="forC14" localSheetId="4">'[4]Overlap two proportions'!$AL$21</definedName>
    <definedName name="forC14" localSheetId="3">'[4]Overlap two proportions'!$AL$21</definedName>
    <definedName name="forC14" localSheetId="6">'[4]Overlap two proportions'!$AL$21</definedName>
    <definedName name="forC14" localSheetId="8">'[4]Overlap two proportions'!$AL$21</definedName>
    <definedName name="forC14">'[4]Overlap two proportions'!$AL$21</definedName>
    <definedName name="forC15" localSheetId="11">'[4]Overlap two proportions'!$AL$22</definedName>
    <definedName name="forC15" localSheetId="9">'[4]Overlap two proportions'!$AL$22</definedName>
    <definedName name="forC15" localSheetId="10">'[4]Overlap two proportions'!$AL$22</definedName>
    <definedName name="forC15" localSheetId="5">'[4]Overlap two proportions'!$AL$22</definedName>
    <definedName name="forC15" localSheetId="7">'[4]Overlap two proportions'!$AL$22</definedName>
    <definedName name="forC15" localSheetId="12">'[5]Overlap two proportions'!$AL$22</definedName>
    <definedName name="forC15" localSheetId="4">'[4]Overlap two proportions'!$AL$22</definedName>
    <definedName name="forC15" localSheetId="3">'[4]Overlap two proportions'!$AL$22</definedName>
    <definedName name="forC15" localSheetId="6">'[4]Overlap two proportions'!$AL$22</definedName>
    <definedName name="forC15" localSheetId="8">'[4]Overlap two proportions'!$AL$22</definedName>
    <definedName name="forC15">'[4]Overlap two proportions'!$AL$22</definedName>
    <definedName name="forC16" localSheetId="11">'[4]Overlap two proportions'!$AL$23</definedName>
    <definedName name="forC16" localSheetId="9">'[4]Overlap two proportions'!$AL$23</definedName>
    <definedName name="forC16" localSheetId="10">'[4]Overlap two proportions'!$AL$23</definedName>
    <definedName name="forC16" localSheetId="5">'[4]Overlap two proportions'!$AL$23</definedName>
    <definedName name="forC16" localSheetId="7">'[4]Overlap two proportions'!$AL$23</definedName>
    <definedName name="forC16" localSheetId="12">'[5]Overlap two proportions'!$AL$23</definedName>
    <definedName name="forC16" localSheetId="4">'[4]Overlap two proportions'!$AL$23</definedName>
    <definedName name="forC16" localSheetId="3">'[4]Overlap two proportions'!$AL$23</definedName>
    <definedName name="forC16" localSheetId="6">'[4]Overlap two proportions'!$AL$23</definedName>
    <definedName name="forC16" localSheetId="8">'[4]Overlap two proportions'!$AL$23</definedName>
    <definedName name="forC16">'[4]Overlap two proportions'!$AL$23</definedName>
    <definedName name="forC17" localSheetId="11">'[4]Overlap two proportions'!$AL$24</definedName>
    <definedName name="forC17" localSheetId="9">'[4]Overlap two proportions'!$AL$24</definedName>
    <definedName name="forC17" localSheetId="10">'[4]Overlap two proportions'!$AL$24</definedName>
    <definedName name="forC17" localSheetId="5">'[4]Overlap two proportions'!$AL$24</definedName>
    <definedName name="forC17" localSheetId="7">'[4]Overlap two proportions'!$AL$24</definedName>
    <definedName name="forC17" localSheetId="12">'[5]Overlap two proportions'!$AL$24</definedName>
    <definedName name="forC17" localSheetId="4">'[4]Overlap two proportions'!$AL$24</definedName>
    <definedName name="forC17" localSheetId="3">'[4]Overlap two proportions'!$AL$24</definedName>
    <definedName name="forC17" localSheetId="6">'[4]Overlap two proportions'!$AL$24</definedName>
    <definedName name="forC17" localSheetId="8">'[4]Overlap two proportions'!$AL$24</definedName>
    <definedName name="forC17">'[4]Overlap two proportions'!$AL$24</definedName>
    <definedName name="forC18" localSheetId="11">'[4]Overlap two proportions'!$AL$25</definedName>
    <definedName name="forC18" localSheetId="9">'[4]Overlap two proportions'!$AL$25</definedName>
    <definedName name="forC18" localSheetId="10">'[4]Overlap two proportions'!$AL$25</definedName>
    <definedName name="forC18" localSheetId="5">'[4]Overlap two proportions'!$AL$25</definedName>
    <definedName name="forC18" localSheetId="7">'[4]Overlap two proportions'!$AL$25</definedName>
    <definedName name="forC18" localSheetId="12">'[5]Overlap two proportions'!$AL$25</definedName>
    <definedName name="forC18" localSheetId="4">'[4]Overlap two proportions'!$AL$25</definedName>
    <definedName name="forC18" localSheetId="3">'[4]Overlap two proportions'!$AL$25</definedName>
    <definedName name="forC18" localSheetId="6">'[4]Overlap two proportions'!$AL$25</definedName>
    <definedName name="forC18" localSheetId="8">'[4]Overlap two proportions'!$AL$25</definedName>
    <definedName name="forC18">'[4]Overlap two proportions'!$AL$25</definedName>
    <definedName name="forC19" localSheetId="11">'[4]Overlap two proportions'!$AL$26</definedName>
    <definedName name="forC19" localSheetId="9">'[4]Overlap two proportions'!$AL$26</definedName>
    <definedName name="forC19" localSheetId="10">'[4]Overlap two proportions'!$AL$26</definedName>
    <definedName name="forC19" localSheetId="5">'[4]Overlap two proportions'!$AL$26</definedName>
    <definedName name="forC19" localSheetId="7">'[4]Overlap two proportions'!$AL$26</definedName>
    <definedName name="forC19" localSheetId="12">'[5]Overlap two proportions'!$AL$26</definedName>
    <definedName name="forC19" localSheetId="4">'[4]Overlap two proportions'!$AL$26</definedName>
    <definedName name="forC19" localSheetId="3">'[4]Overlap two proportions'!$AL$26</definedName>
    <definedName name="forC19" localSheetId="6">'[4]Overlap two proportions'!$AL$26</definedName>
    <definedName name="forC19" localSheetId="8">'[4]Overlap two proportions'!$AL$26</definedName>
    <definedName name="forC19">'[4]Overlap two proportions'!$AL$26</definedName>
    <definedName name="forC2" localSheetId="11">'[4]Overlap two proportions'!$AL$9</definedName>
    <definedName name="forC2" localSheetId="9">'[4]Overlap two proportions'!$AL$9</definedName>
    <definedName name="forC2" localSheetId="10">'[4]Overlap two proportions'!$AL$9</definedName>
    <definedName name="forC2" localSheetId="5">'[4]Overlap two proportions'!$AL$9</definedName>
    <definedName name="forC2" localSheetId="7">'[4]Overlap two proportions'!$AL$9</definedName>
    <definedName name="forC2" localSheetId="12">'[5]Overlap two proportions'!$AL$9</definedName>
    <definedName name="forC2" localSheetId="4">'[4]Overlap two proportions'!$AL$9</definedName>
    <definedName name="forC2" localSheetId="3">'[4]Overlap two proportions'!$AL$9</definedName>
    <definedName name="forC2" localSheetId="6">'[4]Overlap two proportions'!$AL$9</definedName>
    <definedName name="forC2" localSheetId="8">'[4]Overlap two proportions'!$AL$9</definedName>
    <definedName name="forC2">'[4]Overlap two proportions'!$AL$9</definedName>
    <definedName name="forC20" localSheetId="11">'[4]Overlap two proportions'!$AL$27</definedName>
    <definedName name="forC20" localSheetId="9">'[4]Overlap two proportions'!$AL$27</definedName>
    <definedName name="forC20" localSheetId="10">'[4]Overlap two proportions'!$AL$27</definedName>
    <definedName name="forC20" localSheetId="5">'[4]Overlap two proportions'!$AL$27</definedName>
    <definedName name="forC20" localSheetId="7">'[4]Overlap two proportions'!$AL$27</definedName>
    <definedName name="forC20" localSheetId="12">'[5]Overlap two proportions'!$AL$27</definedName>
    <definedName name="forC20" localSheetId="4">'[4]Overlap two proportions'!$AL$27</definedName>
    <definedName name="forC20" localSheetId="3">'[4]Overlap two proportions'!$AL$27</definedName>
    <definedName name="forC20" localSheetId="6">'[4]Overlap two proportions'!$AL$27</definedName>
    <definedName name="forC20" localSheetId="8">'[4]Overlap two proportions'!$AL$27</definedName>
    <definedName name="forC20">'[4]Overlap two proportions'!$AL$27</definedName>
    <definedName name="forC21" localSheetId="11">'[4]Overlap two proportions'!$AL$28</definedName>
    <definedName name="forC21" localSheetId="9">'[4]Overlap two proportions'!$AL$28</definedName>
    <definedName name="forC21" localSheetId="10">'[4]Overlap two proportions'!$AL$28</definedName>
    <definedName name="forC21" localSheetId="5">'[4]Overlap two proportions'!$AL$28</definedName>
    <definedName name="forC21" localSheetId="7">'[4]Overlap two proportions'!$AL$28</definedName>
    <definedName name="forC21" localSheetId="12">'[5]Overlap two proportions'!$AL$28</definedName>
    <definedName name="forC21" localSheetId="4">'[4]Overlap two proportions'!$AL$28</definedName>
    <definedName name="forC21" localSheetId="3">'[4]Overlap two proportions'!$AL$28</definedName>
    <definedName name="forC21" localSheetId="6">'[4]Overlap two proportions'!$AL$28</definedName>
    <definedName name="forC21" localSheetId="8">'[4]Overlap two proportions'!$AL$28</definedName>
    <definedName name="forC21">'[4]Overlap two proportions'!$AL$28</definedName>
    <definedName name="forC22" localSheetId="11">'[4]Overlap two proportions'!$AL$29</definedName>
    <definedName name="forC22" localSheetId="9">'[4]Overlap two proportions'!$AL$29</definedName>
    <definedName name="forC22" localSheetId="10">'[4]Overlap two proportions'!$AL$29</definedName>
    <definedName name="forC22" localSheetId="5">'[4]Overlap two proportions'!$AL$29</definedName>
    <definedName name="forC22" localSheetId="7">'[4]Overlap two proportions'!$AL$29</definedName>
    <definedName name="forC22" localSheetId="12">'[5]Overlap two proportions'!$AL$29</definedName>
    <definedName name="forC22" localSheetId="4">'[4]Overlap two proportions'!$AL$29</definedName>
    <definedName name="forC22" localSheetId="3">'[4]Overlap two proportions'!$AL$29</definedName>
    <definedName name="forC22" localSheetId="6">'[4]Overlap two proportions'!$AL$29</definedName>
    <definedName name="forC22" localSheetId="8">'[4]Overlap two proportions'!$AL$29</definedName>
    <definedName name="forC22">'[4]Overlap two proportions'!$AL$29</definedName>
    <definedName name="forC23" localSheetId="11">'[4]Overlap two proportions'!$AL$30</definedName>
    <definedName name="forC23" localSheetId="9">'[4]Overlap two proportions'!$AL$30</definedName>
    <definedName name="forC23" localSheetId="10">'[4]Overlap two proportions'!$AL$30</definedName>
    <definedName name="forC23" localSheetId="5">'[4]Overlap two proportions'!$AL$30</definedName>
    <definedName name="forC23" localSheetId="7">'[4]Overlap two proportions'!$AL$30</definedName>
    <definedName name="forC23" localSheetId="12">'[5]Overlap two proportions'!$AL$30</definedName>
    <definedName name="forC23" localSheetId="4">'[4]Overlap two proportions'!$AL$30</definedName>
    <definedName name="forC23" localSheetId="3">'[4]Overlap two proportions'!$AL$30</definedName>
    <definedName name="forC23" localSheetId="6">'[4]Overlap two proportions'!$AL$30</definedName>
    <definedName name="forC23" localSheetId="8">'[4]Overlap two proportions'!$AL$30</definedName>
    <definedName name="forC23">'[4]Overlap two proportions'!$AL$30</definedName>
    <definedName name="forC24" localSheetId="11">'[4]Overlap two proportions'!$AL$31</definedName>
    <definedName name="forC24" localSheetId="9">'[4]Overlap two proportions'!$AL$31</definedName>
    <definedName name="forC24" localSheetId="10">'[4]Overlap two proportions'!$AL$31</definedName>
    <definedName name="forC24" localSheetId="5">'[4]Overlap two proportions'!$AL$31</definedName>
    <definedName name="forC24" localSheetId="7">'[4]Overlap two proportions'!$AL$31</definedName>
    <definedName name="forC24" localSheetId="12">'[5]Overlap two proportions'!$AL$31</definedName>
    <definedName name="forC24" localSheetId="4">'[4]Overlap two proportions'!$AL$31</definedName>
    <definedName name="forC24" localSheetId="3">'[4]Overlap two proportions'!$AL$31</definedName>
    <definedName name="forC24" localSheetId="6">'[4]Overlap two proportions'!$AL$31</definedName>
    <definedName name="forC24" localSheetId="8">'[4]Overlap two proportions'!$AL$31</definedName>
    <definedName name="forC24">'[4]Overlap two proportions'!$AL$31</definedName>
    <definedName name="forC25" localSheetId="11">'[4]Overlap two proportions'!$AL$32</definedName>
    <definedName name="forC25" localSheetId="9">'[4]Overlap two proportions'!$AL$32</definedName>
    <definedName name="forC25" localSheetId="10">'[4]Overlap two proportions'!$AL$32</definedName>
    <definedName name="forC25" localSheetId="5">'[4]Overlap two proportions'!$AL$32</definedName>
    <definedName name="forC25" localSheetId="7">'[4]Overlap two proportions'!$AL$32</definedName>
    <definedName name="forC25" localSheetId="12">'[5]Overlap two proportions'!$AL$32</definedName>
    <definedName name="forC25" localSheetId="4">'[4]Overlap two proportions'!$AL$32</definedName>
    <definedName name="forC25" localSheetId="3">'[4]Overlap two proportions'!$AL$32</definedName>
    <definedName name="forC25" localSheetId="6">'[4]Overlap two proportions'!$AL$32</definedName>
    <definedName name="forC25" localSheetId="8">'[4]Overlap two proportions'!$AL$32</definedName>
    <definedName name="forC25">'[4]Overlap two proportions'!$AL$32</definedName>
    <definedName name="forC26" localSheetId="11">'[4]Overlap two proportions'!$AL$33</definedName>
    <definedName name="forC26" localSheetId="9">'[4]Overlap two proportions'!$AL$33</definedName>
    <definedName name="forC26" localSheetId="10">'[4]Overlap two proportions'!$AL$33</definedName>
    <definedName name="forC26" localSheetId="5">'[4]Overlap two proportions'!$AL$33</definedName>
    <definedName name="forC26" localSheetId="7">'[4]Overlap two proportions'!$AL$33</definedName>
    <definedName name="forC26" localSheetId="12">'[5]Overlap two proportions'!$AL$33</definedName>
    <definedName name="forC26" localSheetId="4">'[4]Overlap two proportions'!$AL$33</definedName>
    <definedName name="forC26" localSheetId="3">'[4]Overlap two proportions'!$AL$33</definedName>
    <definedName name="forC26" localSheetId="6">'[4]Overlap two proportions'!$AL$33</definedName>
    <definedName name="forC26" localSheetId="8">'[4]Overlap two proportions'!$AL$33</definedName>
    <definedName name="forC26">'[4]Overlap two proportions'!$AL$33</definedName>
    <definedName name="forC27" localSheetId="11">'[4]Overlap two proportions'!$AL$34</definedName>
    <definedName name="forC27" localSheetId="9">'[4]Overlap two proportions'!$AL$34</definedName>
    <definedName name="forC27" localSheetId="10">'[4]Overlap two proportions'!$AL$34</definedName>
    <definedName name="forC27" localSheetId="5">'[4]Overlap two proportions'!$AL$34</definedName>
    <definedName name="forC27" localSheetId="7">'[4]Overlap two proportions'!$AL$34</definedName>
    <definedName name="forC27" localSheetId="12">'[5]Overlap two proportions'!$AL$34</definedName>
    <definedName name="forC27" localSheetId="4">'[4]Overlap two proportions'!$AL$34</definedName>
    <definedName name="forC27" localSheetId="3">'[4]Overlap two proportions'!$AL$34</definedName>
    <definedName name="forC27" localSheetId="6">'[4]Overlap two proportions'!$AL$34</definedName>
    <definedName name="forC27" localSheetId="8">'[4]Overlap two proportions'!$AL$34</definedName>
    <definedName name="forC27">'[4]Overlap two proportions'!$AL$34</definedName>
    <definedName name="forC28" localSheetId="11">'[4]Overlap two proportions'!$AL$35</definedName>
    <definedName name="forC28" localSheetId="9">'[4]Overlap two proportions'!$AL$35</definedName>
    <definedName name="forC28" localSheetId="10">'[4]Overlap two proportions'!$AL$35</definedName>
    <definedName name="forC28" localSheetId="5">'[4]Overlap two proportions'!$AL$35</definedName>
    <definedName name="forC28" localSheetId="7">'[4]Overlap two proportions'!$AL$35</definedName>
    <definedName name="forC28" localSheetId="12">'[5]Overlap two proportions'!$AL$35</definedName>
    <definedName name="forC28" localSheetId="4">'[4]Overlap two proportions'!$AL$35</definedName>
    <definedName name="forC28" localSheetId="3">'[4]Overlap two proportions'!$AL$35</definedName>
    <definedName name="forC28" localSheetId="6">'[4]Overlap two proportions'!$AL$35</definedName>
    <definedName name="forC28" localSheetId="8">'[4]Overlap two proportions'!$AL$35</definedName>
    <definedName name="forC28">'[4]Overlap two proportions'!$AL$35</definedName>
    <definedName name="forC29" localSheetId="11">'[4]Overlap two proportions'!$AL$36</definedName>
    <definedName name="forC29" localSheetId="9">'[4]Overlap two proportions'!$AL$36</definedName>
    <definedName name="forC29" localSheetId="10">'[4]Overlap two proportions'!$AL$36</definedName>
    <definedName name="forC29" localSheetId="5">'[4]Overlap two proportions'!$AL$36</definedName>
    <definedName name="forC29" localSheetId="7">'[4]Overlap two proportions'!$AL$36</definedName>
    <definedName name="forC29" localSheetId="12">'[5]Overlap two proportions'!$AL$36</definedName>
    <definedName name="forC29" localSheetId="4">'[4]Overlap two proportions'!$AL$36</definedName>
    <definedName name="forC29" localSheetId="3">'[4]Overlap two proportions'!$AL$36</definedName>
    <definedName name="forC29" localSheetId="6">'[4]Overlap two proportions'!$AL$36</definedName>
    <definedName name="forC29" localSheetId="8">'[4]Overlap two proportions'!$AL$36</definedName>
    <definedName name="forC29">'[4]Overlap two proportions'!$AL$36</definedName>
    <definedName name="forC3" localSheetId="11">'[4]Overlap two proportions'!$AL$10</definedName>
    <definedName name="forC3" localSheetId="9">'[4]Overlap two proportions'!$AL$10</definedName>
    <definedName name="forC3" localSheetId="10">'[4]Overlap two proportions'!$AL$10</definedName>
    <definedName name="forC3" localSheetId="5">'[4]Overlap two proportions'!$AL$10</definedName>
    <definedName name="forC3" localSheetId="7">'[4]Overlap two proportions'!$AL$10</definedName>
    <definedName name="forC3" localSheetId="12">'[5]Overlap two proportions'!$AL$10</definedName>
    <definedName name="forC3" localSheetId="4">'[4]Overlap two proportions'!$AL$10</definedName>
    <definedName name="forC3" localSheetId="3">'[4]Overlap two proportions'!$AL$10</definedName>
    <definedName name="forC3" localSheetId="6">'[4]Overlap two proportions'!$AL$10</definedName>
    <definedName name="forC3" localSheetId="8">'[4]Overlap two proportions'!$AL$10</definedName>
    <definedName name="forC3">'[4]Overlap two proportions'!$AL$10</definedName>
    <definedName name="forC30" localSheetId="11">'[4]Overlap two proportions'!$AL$37</definedName>
    <definedName name="forC30" localSheetId="9">'[4]Overlap two proportions'!$AL$37</definedName>
    <definedName name="forC30" localSheetId="10">'[4]Overlap two proportions'!$AL$37</definedName>
    <definedName name="forC30" localSheetId="5">'[4]Overlap two proportions'!$AL$37</definedName>
    <definedName name="forC30" localSheetId="7">'[4]Overlap two proportions'!$AL$37</definedName>
    <definedName name="forC30" localSheetId="12">'[5]Overlap two proportions'!$AL$37</definedName>
    <definedName name="forC30" localSheetId="4">'[4]Overlap two proportions'!$AL$37</definedName>
    <definedName name="forC30" localSheetId="3">'[4]Overlap two proportions'!$AL$37</definedName>
    <definedName name="forC30" localSheetId="6">'[4]Overlap two proportions'!$AL$37</definedName>
    <definedName name="forC30" localSheetId="8">'[4]Overlap two proportions'!$AL$37</definedName>
    <definedName name="forC30">'[4]Overlap two proportions'!$AL$37</definedName>
    <definedName name="forC31" localSheetId="11">'[4]Overlap two proportions'!$AL$38</definedName>
    <definedName name="forC31" localSheetId="9">'[4]Overlap two proportions'!$AL$38</definedName>
    <definedName name="forC31" localSheetId="10">'[4]Overlap two proportions'!$AL$38</definedName>
    <definedName name="forC31" localSheetId="5">'[4]Overlap two proportions'!$AL$38</definedName>
    <definedName name="forC31" localSheetId="7">'[4]Overlap two proportions'!$AL$38</definedName>
    <definedName name="forC31" localSheetId="12">'[5]Overlap two proportions'!$AL$38</definedName>
    <definedName name="forC31" localSheetId="4">'[4]Overlap two proportions'!$AL$38</definedName>
    <definedName name="forC31" localSheetId="3">'[4]Overlap two proportions'!$AL$38</definedName>
    <definedName name="forC31" localSheetId="6">'[4]Overlap two proportions'!$AL$38</definedName>
    <definedName name="forC31" localSheetId="8">'[4]Overlap two proportions'!$AL$38</definedName>
    <definedName name="forC31">'[4]Overlap two proportions'!$AL$38</definedName>
    <definedName name="forC32" localSheetId="11">'[4]Overlap two proportions'!$AL$39</definedName>
    <definedName name="forC32" localSheetId="9">'[4]Overlap two proportions'!$AL$39</definedName>
    <definedName name="forC32" localSheetId="10">'[4]Overlap two proportions'!$AL$39</definedName>
    <definedName name="forC32" localSheetId="5">'[4]Overlap two proportions'!$AL$39</definedName>
    <definedName name="forC32" localSheetId="7">'[4]Overlap two proportions'!$AL$39</definedName>
    <definedName name="forC32" localSheetId="12">'[5]Overlap two proportions'!$AL$39</definedName>
    <definedName name="forC32" localSheetId="4">'[4]Overlap two proportions'!$AL$39</definedName>
    <definedName name="forC32" localSheetId="3">'[4]Overlap two proportions'!$AL$39</definedName>
    <definedName name="forC32" localSheetId="6">'[4]Overlap two proportions'!$AL$39</definedName>
    <definedName name="forC32" localSheetId="8">'[4]Overlap two proportions'!$AL$39</definedName>
    <definedName name="forC32">'[4]Overlap two proportions'!$AL$39</definedName>
    <definedName name="forC33" localSheetId="11">'[4]Overlap two proportions'!$AL$40</definedName>
    <definedName name="forC33" localSheetId="9">'[4]Overlap two proportions'!$AL$40</definedName>
    <definedName name="forC33" localSheetId="10">'[4]Overlap two proportions'!$AL$40</definedName>
    <definedName name="forC33" localSheetId="5">'[4]Overlap two proportions'!$AL$40</definedName>
    <definedName name="forC33" localSheetId="7">'[4]Overlap two proportions'!$AL$40</definedName>
    <definedName name="forC33" localSheetId="12">'[5]Overlap two proportions'!$AL$40</definedName>
    <definedName name="forC33" localSheetId="4">'[4]Overlap two proportions'!$AL$40</definedName>
    <definedName name="forC33" localSheetId="3">'[4]Overlap two proportions'!$AL$40</definedName>
    <definedName name="forC33" localSheetId="6">'[4]Overlap two proportions'!$AL$40</definedName>
    <definedName name="forC33" localSheetId="8">'[4]Overlap two proportions'!$AL$40</definedName>
    <definedName name="forC33">'[4]Overlap two proportions'!$AL$40</definedName>
    <definedName name="forC34" localSheetId="11">'[4]Overlap two proportions'!$AL$41</definedName>
    <definedName name="forC34" localSheetId="9">'[4]Overlap two proportions'!$AL$41</definedName>
    <definedName name="forC34" localSheetId="10">'[4]Overlap two proportions'!$AL$41</definedName>
    <definedName name="forC34" localSheetId="5">'[4]Overlap two proportions'!$AL$41</definedName>
    <definedName name="forC34" localSheetId="7">'[4]Overlap two proportions'!$AL$41</definedName>
    <definedName name="forC34" localSheetId="12">'[5]Overlap two proportions'!$AL$41</definedName>
    <definedName name="forC34" localSheetId="4">'[4]Overlap two proportions'!$AL$41</definedName>
    <definedName name="forC34" localSheetId="3">'[4]Overlap two proportions'!$AL$41</definedName>
    <definedName name="forC34" localSheetId="6">'[4]Overlap two proportions'!$AL$41</definedName>
    <definedName name="forC34" localSheetId="8">'[4]Overlap two proportions'!$AL$41</definedName>
    <definedName name="forC34">'[4]Overlap two proportions'!$AL$41</definedName>
    <definedName name="forC35" localSheetId="11">'[4]Overlap two proportions'!$AL$42</definedName>
    <definedName name="forC35" localSheetId="9">'[4]Overlap two proportions'!$AL$42</definedName>
    <definedName name="forC35" localSheetId="10">'[4]Overlap two proportions'!$AL$42</definedName>
    <definedName name="forC35" localSheetId="5">'[4]Overlap two proportions'!$AL$42</definedName>
    <definedName name="forC35" localSheetId="7">'[4]Overlap two proportions'!$AL$42</definedName>
    <definedName name="forC35" localSheetId="12">'[5]Overlap two proportions'!$AL$42</definedName>
    <definedName name="forC35" localSheetId="4">'[4]Overlap two proportions'!$AL$42</definedName>
    <definedName name="forC35" localSheetId="3">'[4]Overlap two proportions'!$AL$42</definedName>
    <definedName name="forC35" localSheetId="6">'[4]Overlap two proportions'!$AL$42</definedName>
    <definedName name="forC35" localSheetId="8">'[4]Overlap two proportions'!$AL$42</definedName>
    <definedName name="forC35">'[4]Overlap two proportions'!$AL$42</definedName>
    <definedName name="forC36" localSheetId="11">'[4]Overlap two proportions'!$AL$43</definedName>
    <definedName name="forC36" localSheetId="9">'[4]Overlap two proportions'!$AL$43</definedName>
    <definedName name="forC36" localSheetId="10">'[4]Overlap two proportions'!$AL$43</definedName>
    <definedName name="forC36" localSheetId="5">'[4]Overlap two proportions'!$AL$43</definedName>
    <definedName name="forC36" localSheetId="7">'[4]Overlap two proportions'!$AL$43</definedName>
    <definedName name="forC36" localSheetId="12">'[5]Overlap two proportions'!$AL$43</definedName>
    <definedName name="forC36" localSheetId="4">'[4]Overlap two proportions'!$AL$43</definedName>
    <definedName name="forC36" localSheetId="3">'[4]Overlap two proportions'!$AL$43</definedName>
    <definedName name="forC36" localSheetId="6">'[4]Overlap two proportions'!$AL$43</definedName>
    <definedName name="forC36" localSheetId="8">'[4]Overlap two proportions'!$AL$43</definedName>
    <definedName name="forC36">'[4]Overlap two proportions'!$AL$43</definedName>
    <definedName name="forC37" localSheetId="11">'[4]Overlap two proportions'!$AL$44</definedName>
    <definedName name="forC37" localSheetId="9">'[4]Overlap two proportions'!$AL$44</definedName>
    <definedName name="forC37" localSheetId="10">'[4]Overlap two proportions'!$AL$44</definedName>
    <definedName name="forC37" localSheetId="5">'[4]Overlap two proportions'!$AL$44</definedName>
    <definedName name="forC37" localSheetId="7">'[4]Overlap two proportions'!$AL$44</definedName>
    <definedName name="forC37" localSheetId="12">'[5]Overlap two proportions'!$AL$44</definedName>
    <definedName name="forC37" localSheetId="4">'[4]Overlap two proportions'!$AL$44</definedName>
    <definedName name="forC37" localSheetId="3">'[4]Overlap two proportions'!$AL$44</definedName>
    <definedName name="forC37" localSheetId="6">'[4]Overlap two proportions'!$AL$44</definedName>
    <definedName name="forC37" localSheetId="8">'[4]Overlap two proportions'!$AL$44</definedName>
    <definedName name="forC37">'[4]Overlap two proportions'!$AL$44</definedName>
    <definedName name="forC38" localSheetId="11">'[4]Overlap two proportions'!$AL$45</definedName>
    <definedName name="forC38" localSheetId="9">'[4]Overlap two proportions'!$AL$45</definedName>
    <definedName name="forC38" localSheetId="10">'[4]Overlap two proportions'!$AL$45</definedName>
    <definedName name="forC38" localSheetId="5">'[4]Overlap two proportions'!$AL$45</definedName>
    <definedName name="forC38" localSheetId="7">'[4]Overlap two proportions'!$AL$45</definedName>
    <definedName name="forC38" localSheetId="12">'[5]Overlap two proportions'!$AL$45</definedName>
    <definedName name="forC38" localSheetId="4">'[4]Overlap two proportions'!$AL$45</definedName>
    <definedName name="forC38" localSheetId="3">'[4]Overlap two proportions'!$AL$45</definedName>
    <definedName name="forC38" localSheetId="6">'[4]Overlap two proportions'!$AL$45</definedName>
    <definedName name="forC38" localSheetId="8">'[4]Overlap two proportions'!$AL$45</definedName>
    <definedName name="forC38">'[4]Overlap two proportions'!$AL$45</definedName>
    <definedName name="forC39" localSheetId="11">'[4]Overlap two proportions'!$AL$46</definedName>
    <definedName name="forC39" localSheetId="9">'[4]Overlap two proportions'!$AL$46</definedName>
    <definedName name="forC39" localSheetId="10">'[4]Overlap two proportions'!$AL$46</definedName>
    <definedName name="forC39" localSheetId="5">'[4]Overlap two proportions'!$AL$46</definedName>
    <definedName name="forC39" localSheetId="7">'[4]Overlap two proportions'!$AL$46</definedName>
    <definedName name="forC39" localSheetId="12">'[5]Overlap two proportions'!$AL$46</definedName>
    <definedName name="forC39" localSheetId="4">'[4]Overlap two proportions'!$AL$46</definedName>
    <definedName name="forC39" localSheetId="3">'[4]Overlap two proportions'!$AL$46</definedName>
    <definedName name="forC39" localSheetId="6">'[4]Overlap two proportions'!$AL$46</definedName>
    <definedName name="forC39" localSheetId="8">'[4]Overlap two proportions'!$AL$46</definedName>
    <definedName name="forC39">'[4]Overlap two proportions'!$AL$46</definedName>
    <definedName name="forC4" localSheetId="11">'[4]Overlap two proportions'!$AL$11</definedName>
    <definedName name="forC4" localSheetId="9">'[4]Overlap two proportions'!$AL$11</definedName>
    <definedName name="forC4" localSheetId="10">'[4]Overlap two proportions'!$AL$11</definedName>
    <definedName name="forC4" localSheetId="5">'[4]Overlap two proportions'!$AL$11</definedName>
    <definedName name="forC4" localSheetId="7">'[4]Overlap two proportions'!$AL$11</definedName>
    <definedName name="forC4" localSheetId="12">'[5]Overlap two proportions'!$AL$11</definedName>
    <definedName name="forC4" localSheetId="4">'[4]Overlap two proportions'!$AL$11</definedName>
    <definedName name="forC4" localSheetId="3">'[4]Overlap two proportions'!$AL$11</definedName>
    <definedName name="forC4" localSheetId="6">'[4]Overlap two proportions'!$AL$11</definedName>
    <definedName name="forC4" localSheetId="8">'[4]Overlap two proportions'!$AL$11</definedName>
    <definedName name="forC4">'[4]Overlap two proportions'!$AL$11</definedName>
    <definedName name="forC40" localSheetId="11">'[4]Overlap two proportions'!$AL$47</definedName>
    <definedName name="forC40" localSheetId="9">'[4]Overlap two proportions'!$AL$47</definedName>
    <definedName name="forC40" localSheetId="10">'[4]Overlap two proportions'!$AL$47</definedName>
    <definedName name="forC40" localSheetId="5">'[4]Overlap two proportions'!$AL$47</definedName>
    <definedName name="forC40" localSheetId="7">'[4]Overlap two proportions'!$AL$47</definedName>
    <definedName name="forC40" localSheetId="12">'[5]Overlap two proportions'!$AL$47</definedName>
    <definedName name="forC40" localSheetId="4">'[4]Overlap two proportions'!$AL$47</definedName>
    <definedName name="forC40" localSheetId="3">'[4]Overlap two proportions'!$AL$47</definedName>
    <definedName name="forC40" localSheetId="6">'[4]Overlap two proportions'!$AL$47</definedName>
    <definedName name="forC40" localSheetId="8">'[4]Overlap two proportions'!$AL$47</definedName>
    <definedName name="forC40">'[4]Overlap two proportions'!$AL$47</definedName>
    <definedName name="forC41" localSheetId="11">'[4]Overlap two proportions'!$AL$48</definedName>
    <definedName name="forC41" localSheetId="9">'[4]Overlap two proportions'!$AL$48</definedName>
    <definedName name="forC41" localSheetId="10">'[4]Overlap two proportions'!$AL$48</definedName>
    <definedName name="forC41" localSheetId="5">'[4]Overlap two proportions'!$AL$48</definedName>
    <definedName name="forC41" localSheetId="7">'[4]Overlap two proportions'!$AL$48</definedName>
    <definedName name="forC41" localSheetId="12">'[5]Overlap two proportions'!$AL$48</definedName>
    <definedName name="forC41" localSheetId="4">'[4]Overlap two proportions'!$AL$48</definedName>
    <definedName name="forC41" localSheetId="3">'[4]Overlap two proportions'!$AL$48</definedName>
    <definedName name="forC41" localSheetId="6">'[4]Overlap two proportions'!$AL$48</definedName>
    <definedName name="forC41" localSheetId="8">'[4]Overlap two proportions'!$AL$48</definedName>
    <definedName name="forC41">'[4]Overlap two proportions'!$AL$48</definedName>
    <definedName name="forC42" localSheetId="11">'[4]Overlap two proportions'!$AL$49</definedName>
    <definedName name="forC42" localSheetId="9">'[4]Overlap two proportions'!$AL$49</definedName>
    <definedName name="forC42" localSheetId="10">'[4]Overlap two proportions'!$AL$49</definedName>
    <definedName name="forC42" localSheetId="5">'[4]Overlap two proportions'!$AL$49</definedName>
    <definedName name="forC42" localSheetId="7">'[4]Overlap two proportions'!$AL$49</definedName>
    <definedName name="forC42" localSheetId="12">'[5]Overlap two proportions'!$AL$49</definedName>
    <definedName name="forC42" localSheetId="4">'[4]Overlap two proportions'!$AL$49</definedName>
    <definedName name="forC42" localSheetId="3">'[4]Overlap two proportions'!$AL$49</definedName>
    <definedName name="forC42" localSheetId="6">'[4]Overlap two proportions'!$AL$49</definedName>
    <definedName name="forC42" localSheetId="8">'[4]Overlap two proportions'!$AL$49</definedName>
    <definedName name="forC42">'[4]Overlap two proportions'!$AL$49</definedName>
    <definedName name="forC43" localSheetId="11">'[4]Overlap two proportions'!$AL$50</definedName>
    <definedName name="forC43" localSheetId="9">'[4]Overlap two proportions'!$AL$50</definedName>
    <definedName name="forC43" localSheetId="10">'[4]Overlap two proportions'!$AL$50</definedName>
    <definedName name="forC43" localSheetId="5">'[4]Overlap two proportions'!$AL$50</definedName>
    <definedName name="forC43" localSheetId="7">'[4]Overlap two proportions'!$AL$50</definedName>
    <definedName name="forC43" localSheetId="12">'[5]Overlap two proportions'!$AL$50</definedName>
    <definedName name="forC43" localSheetId="4">'[4]Overlap two proportions'!$AL$50</definedName>
    <definedName name="forC43" localSheetId="3">'[4]Overlap two proportions'!$AL$50</definedName>
    <definedName name="forC43" localSheetId="6">'[4]Overlap two proportions'!$AL$50</definedName>
    <definedName name="forC43" localSheetId="8">'[4]Overlap two proportions'!$AL$50</definedName>
    <definedName name="forC43">'[4]Overlap two proportions'!$AL$50</definedName>
    <definedName name="forC44" localSheetId="11">'[4]Overlap two proportions'!$AL$51</definedName>
    <definedName name="forC44" localSheetId="9">'[4]Overlap two proportions'!$AL$51</definedName>
    <definedName name="forC44" localSheetId="10">'[4]Overlap two proportions'!$AL$51</definedName>
    <definedName name="forC44" localSheetId="5">'[4]Overlap two proportions'!$AL$51</definedName>
    <definedName name="forC44" localSheetId="7">'[4]Overlap two proportions'!$AL$51</definedName>
    <definedName name="forC44" localSheetId="12">'[5]Overlap two proportions'!$AL$51</definedName>
    <definedName name="forC44" localSheetId="4">'[4]Overlap two proportions'!$AL$51</definedName>
    <definedName name="forC44" localSheetId="3">'[4]Overlap two proportions'!$AL$51</definedName>
    <definedName name="forC44" localSheetId="6">'[4]Overlap two proportions'!$AL$51</definedName>
    <definedName name="forC44" localSheetId="8">'[4]Overlap two proportions'!$AL$51</definedName>
    <definedName name="forC44">'[4]Overlap two proportions'!$AL$51</definedName>
    <definedName name="forC45" localSheetId="11">'[4]Overlap two proportions'!$AL$52</definedName>
    <definedName name="forC45" localSheetId="9">'[4]Overlap two proportions'!$AL$52</definedName>
    <definedName name="forC45" localSheetId="10">'[4]Overlap two proportions'!$AL$52</definedName>
    <definedName name="forC45" localSheetId="5">'[4]Overlap two proportions'!$AL$52</definedName>
    <definedName name="forC45" localSheetId="7">'[4]Overlap two proportions'!$AL$52</definedName>
    <definedName name="forC45" localSheetId="12">'[5]Overlap two proportions'!$AL$52</definedName>
    <definedName name="forC45" localSheetId="4">'[4]Overlap two proportions'!$AL$52</definedName>
    <definedName name="forC45" localSheetId="3">'[4]Overlap two proportions'!$AL$52</definedName>
    <definedName name="forC45" localSheetId="6">'[4]Overlap two proportions'!$AL$52</definedName>
    <definedName name="forC45" localSheetId="8">'[4]Overlap two proportions'!$AL$52</definedName>
    <definedName name="forC45">'[4]Overlap two proportions'!$AL$52</definedName>
    <definedName name="forC46" localSheetId="11">'[4]Overlap two proportions'!$AL$53</definedName>
    <definedName name="forC46" localSheetId="9">'[4]Overlap two proportions'!$AL$53</definedName>
    <definedName name="forC46" localSheetId="10">'[4]Overlap two proportions'!$AL$53</definedName>
    <definedName name="forC46" localSheetId="5">'[4]Overlap two proportions'!$AL$53</definedName>
    <definedName name="forC46" localSheetId="7">'[4]Overlap two proportions'!$AL$53</definedName>
    <definedName name="forC46" localSheetId="12">'[5]Overlap two proportions'!$AL$53</definedName>
    <definedName name="forC46" localSheetId="4">'[4]Overlap two proportions'!$AL$53</definedName>
    <definedName name="forC46" localSheetId="3">'[4]Overlap two proportions'!$AL$53</definedName>
    <definedName name="forC46" localSheetId="6">'[4]Overlap two proportions'!$AL$53</definedName>
    <definedName name="forC46" localSheetId="8">'[4]Overlap two proportions'!$AL$53</definedName>
    <definedName name="forC46">'[4]Overlap two proportions'!$AL$53</definedName>
    <definedName name="forC47" localSheetId="11">'[4]Overlap two proportions'!$AL$54</definedName>
    <definedName name="forC47" localSheetId="9">'[4]Overlap two proportions'!$AL$54</definedName>
    <definedName name="forC47" localSheetId="10">'[4]Overlap two proportions'!$AL$54</definedName>
    <definedName name="forC47" localSheetId="5">'[4]Overlap two proportions'!$AL$54</definedName>
    <definedName name="forC47" localSheetId="7">'[4]Overlap two proportions'!$AL$54</definedName>
    <definedName name="forC47" localSheetId="12">'[5]Overlap two proportions'!$AL$54</definedName>
    <definedName name="forC47" localSheetId="4">'[4]Overlap two proportions'!$AL$54</definedName>
    <definedName name="forC47" localSheetId="3">'[4]Overlap two proportions'!$AL$54</definedName>
    <definedName name="forC47" localSheetId="6">'[4]Overlap two proportions'!$AL$54</definedName>
    <definedName name="forC47" localSheetId="8">'[4]Overlap two proportions'!$AL$54</definedName>
    <definedName name="forC47">'[4]Overlap two proportions'!$AL$54</definedName>
    <definedName name="forC48" localSheetId="11">'[4]Overlap two proportions'!$AL$55</definedName>
    <definedName name="forC48" localSheetId="9">'[4]Overlap two proportions'!$AL$55</definedName>
    <definedName name="forC48" localSheetId="10">'[4]Overlap two proportions'!$AL$55</definedName>
    <definedName name="forC48" localSheetId="5">'[4]Overlap two proportions'!$AL$55</definedName>
    <definedName name="forC48" localSheetId="7">'[4]Overlap two proportions'!$AL$55</definedName>
    <definedName name="forC48" localSheetId="12">'[5]Overlap two proportions'!$AL$55</definedName>
    <definedName name="forC48" localSheetId="4">'[4]Overlap two proportions'!$AL$55</definedName>
    <definedName name="forC48" localSheetId="3">'[4]Overlap two proportions'!$AL$55</definedName>
    <definedName name="forC48" localSheetId="6">'[4]Overlap two proportions'!$AL$55</definedName>
    <definedName name="forC48" localSheetId="8">'[4]Overlap two proportions'!$AL$55</definedName>
    <definedName name="forC48">'[4]Overlap two proportions'!$AL$55</definedName>
    <definedName name="forC49" localSheetId="11">'[4]Overlap two proportions'!$AL$56</definedName>
    <definedName name="forC49" localSheetId="9">'[4]Overlap two proportions'!$AL$56</definedName>
    <definedName name="forC49" localSheetId="10">'[4]Overlap two proportions'!$AL$56</definedName>
    <definedName name="forC49" localSheetId="5">'[4]Overlap two proportions'!$AL$56</definedName>
    <definedName name="forC49" localSheetId="7">'[4]Overlap two proportions'!$AL$56</definedName>
    <definedName name="forC49" localSheetId="12">'[5]Overlap two proportions'!$AL$56</definedName>
    <definedName name="forC49" localSheetId="4">'[4]Overlap two proportions'!$AL$56</definedName>
    <definedName name="forC49" localSheetId="3">'[4]Overlap two proportions'!$AL$56</definedName>
    <definedName name="forC49" localSheetId="6">'[4]Overlap two proportions'!$AL$56</definedName>
    <definedName name="forC49" localSheetId="8">'[4]Overlap two proportions'!$AL$56</definedName>
    <definedName name="forC49">'[4]Overlap two proportions'!$AL$56</definedName>
    <definedName name="forC5" localSheetId="11">'[4]Overlap two proportions'!$AL$12</definedName>
    <definedName name="forC5" localSheetId="9">'[4]Overlap two proportions'!$AL$12</definedName>
    <definedName name="forC5" localSheetId="10">'[4]Overlap two proportions'!$AL$12</definedName>
    <definedName name="forC5" localSheetId="5">'[4]Overlap two proportions'!$AL$12</definedName>
    <definedName name="forC5" localSheetId="7">'[4]Overlap two proportions'!$AL$12</definedName>
    <definedName name="forC5" localSheetId="12">'[5]Overlap two proportions'!$AL$12</definedName>
    <definedName name="forC5" localSheetId="4">'[4]Overlap two proportions'!$AL$12</definedName>
    <definedName name="forC5" localSheetId="3">'[4]Overlap two proportions'!$AL$12</definedName>
    <definedName name="forC5" localSheetId="6">'[4]Overlap two proportions'!$AL$12</definedName>
    <definedName name="forC5" localSheetId="8">'[4]Overlap two proportions'!$AL$12</definedName>
    <definedName name="forC5">'[4]Overlap two proportions'!$AL$12</definedName>
    <definedName name="forC50" localSheetId="11">'[4]Overlap two proportions'!$AL$57</definedName>
    <definedName name="forC50" localSheetId="9">'[4]Overlap two proportions'!$AL$57</definedName>
    <definedName name="forC50" localSheetId="10">'[4]Overlap two proportions'!$AL$57</definedName>
    <definedName name="forC50" localSheetId="5">'[4]Overlap two proportions'!$AL$57</definedName>
    <definedName name="forC50" localSheetId="7">'[4]Overlap two proportions'!$AL$57</definedName>
    <definedName name="forC50" localSheetId="12">'[5]Overlap two proportions'!$AL$57</definedName>
    <definedName name="forC50" localSheetId="4">'[4]Overlap two proportions'!$AL$57</definedName>
    <definedName name="forC50" localSheetId="3">'[4]Overlap two proportions'!$AL$57</definedName>
    <definedName name="forC50" localSheetId="6">'[4]Overlap two proportions'!$AL$57</definedName>
    <definedName name="forC50" localSheetId="8">'[4]Overlap two proportions'!$AL$57</definedName>
    <definedName name="forC50">'[4]Overlap two proportions'!$AL$57</definedName>
    <definedName name="forC51" localSheetId="11">'[4]Overlap two proportions'!$AL$58</definedName>
    <definedName name="forC51" localSheetId="9">'[4]Overlap two proportions'!$AL$58</definedName>
    <definedName name="forC51" localSheetId="10">'[4]Overlap two proportions'!$AL$58</definedName>
    <definedName name="forC51" localSheetId="5">'[4]Overlap two proportions'!$AL$58</definedName>
    <definedName name="forC51" localSheetId="7">'[4]Overlap two proportions'!$AL$58</definedName>
    <definedName name="forC51" localSheetId="12">'[5]Overlap two proportions'!$AL$58</definedName>
    <definedName name="forC51" localSheetId="4">'[4]Overlap two proportions'!$AL$58</definedName>
    <definedName name="forC51" localSheetId="3">'[4]Overlap two proportions'!$AL$58</definedName>
    <definedName name="forC51" localSheetId="6">'[4]Overlap two proportions'!$AL$58</definedName>
    <definedName name="forC51" localSheetId="8">'[4]Overlap two proportions'!$AL$58</definedName>
    <definedName name="forC51">'[4]Overlap two proportions'!$AL$58</definedName>
    <definedName name="forC52" localSheetId="11">'[4]Overlap two proportions'!$AL$59</definedName>
    <definedName name="forC52" localSheetId="9">'[4]Overlap two proportions'!$AL$59</definedName>
    <definedName name="forC52" localSheetId="10">'[4]Overlap two proportions'!$AL$59</definedName>
    <definedName name="forC52" localSheetId="5">'[4]Overlap two proportions'!$AL$59</definedName>
    <definedName name="forC52" localSheetId="7">'[4]Overlap two proportions'!$AL$59</definedName>
    <definedName name="forC52" localSheetId="12">'[5]Overlap two proportions'!$AL$59</definedName>
    <definedName name="forC52" localSheetId="4">'[4]Overlap two proportions'!$AL$59</definedName>
    <definedName name="forC52" localSheetId="3">'[4]Overlap two proportions'!$AL$59</definedName>
    <definedName name="forC52" localSheetId="6">'[4]Overlap two proportions'!$AL$59</definedName>
    <definedName name="forC52" localSheetId="8">'[4]Overlap two proportions'!$AL$59</definedName>
    <definedName name="forC52">'[4]Overlap two proportions'!$AL$59</definedName>
    <definedName name="forC53" localSheetId="11">'[4]Overlap two proportions'!$AL$60</definedName>
    <definedName name="forC53" localSheetId="9">'[4]Overlap two proportions'!$AL$60</definedName>
    <definedName name="forC53" localSheetId="10">'[4]Overlap two proportions'!$AL$60</definedName>
    <definedName name="forC53" localSheetId="5">'[4]Overlap two proportions'!$AL$60</definedName>
    <definedName name="forC53" localSheetId="7">'[4]Overlap two proportions'!$AL$60</definedName>
    <definedName name="forC53" localSheetId="12">'[5]Overlap two proportions'!$AL$60</definedName>
    <definedName name="forC53" localSheetId="4">'[4]Overlap two proportions'!$AL$60</definedName>
    <definedName name="forC53" localSheetId="3">'[4]Overlap two proportions'!$AL$60</definedName>
    <definedName name="forC53" localSheetId="6">'[4]Overlap two proportions'!$AL$60</definedName>
    <definedName name="forC53" localSheetId="8">'[4]Overlap two proportions'!$AL$60</definedName>
    <definedName name="forC53">'[4]Overlap two proportions'!$AL$60</definedName>
    <definedName name="forC54" localSheetId="11">'[4]Overlap two proportions'!$AL$61</definedName>
    <definedName name="forC54" localSheetId="9">'[4]Overlap two proportions'!$AL$61</definedName>
    <definedName name="forC54" localSheetId="10">'[4]Overlap two proportions'!$AL$61</definedName>
    <definedName name="forC54" localSheetId="5">'[4]Overlap two proportions'!$AL$61</definedName>
    <definedName name="forC54" localSheetId="7">'[4]Overlap two proportions'!$AL$61</definedName>
    <definedName name="forC54" localSheetId="12">'[5]Overlap two proportions'!$AL$61</definedName>
    <definedName name="forC54" localSheetId="4">'[4]Overlap two proportions'!$AL$61</definedName>
    <definedName name="forC54" localSheetId="3">'[4]Overlap two proportions'!$AL$61</definedName>
    <definedName name="forC54" localSheetId="6">'[4]Overlap two proportions'!$AL$61</definedName>
    <definedName name="forC54" localSheetId="8">'[4]Overlap two proportions'!$AL$61</definedName>
    <definedName name="forC54">'[4]Overlap two proportions'!$AL$61</definedName>
    <definedName name="forC55" localSheetId="11">'[4]Overlap two proportions'!$AL$62</definedName>
    <definedName name="forC55" localSheetId="9">'[4]Overlap two proportions'!$AL$62</definedName>
    <definedName name="forC55" localSheetId="10">'[4]Overlap two proportions'!$AL$62</definedName>
    <definedName name="forC55" localSheetId="5">'[4]Overlap two proportions'!$AL$62</definedName>
    <definedName name="forC55" localSheetId="7">'[4]Overlap two proportions'!$AL$62</definedName>
    <definedName name="forC55" localSheetId="12">'[5]Overlap two proportions'!$AL$62</definedName>
    <definedName name="forC55" localSheetId="4">'[4]Overlap two proportions'!$AL$62</definedName>
    <definedName name="forC55" localSheetId="3">'[4]Overlap two proportions'!$AL$62</definedName>
    <definedName name="forC55" localSheetId="6">'[4]Overlap two proportions'!$AL$62</definedName>
    <definedName name="forC55" localSheetId="8">'[4]Overlap two proportions'!$AL$62</definedName>
    <definedName name="forC55">'[4]Overlap two proportions'!$AL$62</definedName>
    <definedName name="forC56" localSheetId="11">'[4]Overlap two proportions'!$AL$63</definedName>
    <definedName name="forC56" localSheetId="9">'[4]Overlap two proportions'!$AL$63</definedName>
    <definedName name="forC56" localSheetId="10">'[4]Overlap two proportions'!$AL$63</definedName>
    <definedName name="forC56" localSheetId="5">'[4]Overlap two proportions'!$AL$63</definedName>
    <definedName name="forC56" localSheetId="7">'[4]Overlap two proportions'!$AL$63</definedName>
    <definedName name="forC56" localSheetId="12">'[5]Overlap two proportions'!$AL$63</definedName>
    <definedName name="forC56" localSheetId="4">'[4]Overlap two proportions'!$AL$63</definedName>
    <definedName name="forC56" localSheetId="3">'[4]Overlap two proportions'!$AL$63</definedName>
    <definedName name="forC56" localSheetId="6">'[4]Overlap two proportions'!$AL$63</definedName>
    <definedName name="forC56" localSheetId="8">'[4]Overlap two proportions'!$AL$63</definedName>
    <definedName name="forC56">'[4]Overlap two proportions'!$AL$63</definedName>
    <definedName name="forC57" localSheetId="11">'[4]Overlap two proportions'!$AL$64</definedName>
    <definedName name="forC57" localSheetId="9">'[4]Overlap two proportions'!$AL$64</definedName>
    <definedName name="forC57" localSheetId="10">'[4]Overlap two proportions'!$AL$64</definedName>
    <definedName name="forC57" localSheetId="5">'[4]Overlap two proportions'!$AL$64</definedName>
    <definedName name="forC57" localSheetId="7">'[4]Overlap two proportions'!$AL$64</definedName>
    <definedName name="forC57" localSheetId="12">'[5]Overlap two proportions'!$AL$64</definedName>
    <definedName name="forC57" localSheetId="4">'[4]Overlap two proportions'!$AL$64</definedName>
    <definedName name="forC57" localSheetId="3">'[4]Overlap two proportions'!$AL$64</definedName>
    <definedName name="forC57" localSheetId="6">'[4]Overlap two proportions'!$AL$64</definedName>
    <definedName name="forC57" localSheetId="8">'[4]Overlap two proportions'!$AL$64</definedName>
    <definedName name="forC57">'[4]Overlap two proportions'!$AL$64</definedName>
    <definedName name="forC58" localSheetId="11">'[4]Overlap two proportions'!$AL$65</definedName>
    <definedName name="forC58" localSheetId="9">'[4]Overlap two proportions'!$AL$65</definedName>
    <definedName name="forC58" localSheetId="10">'[4]Overlap two proportions'!$AL$65</definedName>
    <definedName name="forC58" localSheetId="5">'[4]Overlap two proportions'!$AL$65</definedName>
    <definedName name="forC58" localSheetId="7">'[4]Overlap two proportions'!$AL$65</definedName>
    <definedName name="forC58" localSheetId="12">'[5]Overlap two proportions'!$AL$65</definedName>
    <definedName name="forC58" localSheetId="4">'[4]Overlap two proportions'!$AL$65</definedName>
    <definedName name="forC58" localSheetId="3">'[4]Overlap two proportions'!$AL$65</definedName>
    <definedName name="forC58" localSheetId="6">'[4]Overlap two proportions'!$AL$65</definedName>
    <definedName name="forC58" localSheetId="8">'[4]Overlap two proportions'!$AL$65</definedName>
    <definedName name="forC58">'[4]Overlap two proportions'!$AL$65</definedName>
    <definedName name="forC59" localSheetId="11">'[4]Overlap two proportions'!$AL$66</definedName>
    <definedName name="forC59" localSheetId="9">'[4]Overlap two proportions'!$AL$66</definedName>
    <definedName name="forC59" localSheetId="10">'[4]Overlap two proportions'!$AL$66</definedName>
    <definedName name="forC59" localSheetId="5">'[4]Overlap two proportions'!$AL$66</definedName>
    <definedName name="forC59" localSheetId="7">'[4]Overlap two proportions'!$AL$66</definedName>
    <definedName name="forC59" localSheetId="12">'[5]Overlap two proportions'!$AL$66</definedName>
    <definedName name="forC59" localSheetId="4">'[4]Overlap two proportions'!$AL$66</definedName>
    <definedName name="forC59" localSheetId="3">'[4]Overlap two proportions'!$AL$66</definedName>
    <definedName name="forC59" localSheetId="6">'[4]Overlap two proportions'!$AL$66</definedName>
    <definedName name="forC59" localSheetId="8">'[4]Overlap two proportions'!$AL$66</definedName>
    <definedName name="forC59">'[4]Overlap two proportions'!$AL$66</definedName>
    <definedName name="forC6" localSheetId="11">'[4]Overlap two proportions'!$AL$13</definedName>
    <definedName name="forC6" localSheetId="9">'[4]Overlap two proportions'!$AL$13</definedName>
    <definedName name="forC6" localSheetId="10">'[4]Overlap two proportions'!$AL$13</definedName>
    <definedName name="forC6" localSheetId="5">'[4]Overlap two proportions'!$AL$13</definedName>
    <definedName name="forC6" localSheetId="7">'[4]Overlap two proportions'!$AL$13</definedName>
    <definedName name="forC6" localSheetId="12">'[5]Overlap two proportions'!$AL$13</definedName>
    <definedName name="forC6" localSheetId="4">'[4]Overlap two proportions'!$AL$13</definedName>
    <definedName name="forC6" localSheetId="3">'[4]Overlap two proportions'!$AL$13</definedName>
    <definedName name="forC6" localSheetId="6">'[4]Overlap two proportions'!$AL$13</definedName>
    <definedName name="forC6" localSheetId="8">'[4]Overlap two proportions'!$AL$13</definedName>
    <definedName name="forC6">'[4]Overlap two proportions'!$AL$13</definedName>
    <definedName name="forC60" localSheetId="11">'[4]Overlap two proportions'!$AL$67</definedName>
    <definedName name="forC60" localSheetId="9">'[4]Overlap two proportions'!$AL$67</definedName>
    <definedName name="forC60" localSheetId="10">'[4]Overlap two proportions'!$AL$67</definedName>
    <definedName name="forC60" localSheetId="5">'[4]Overlap two proportions'!$AL$67</definedName>
    <definedName name="forC60" localSheetId="7">'[4]Overlap two proportions'!$AL$67</definedName>
    <definedName name="forC60" localSheetId="12">'[5]Overlap two proportions'!$AL$67</definedName>
    <definedName name="forC60" localSheetId="4">'[4]Overlap two proportions'!$AL$67</definedName>
    <definedName name="forC60" localSheetId="3">'[4]Overlap two proportions'!$AL$67</definedName>
    <definedName name="forC60" localSheetId="6">'[4]Overlap two proportions'!$AL$67</definedName>
    <definedName name="forC60" localSheetId="8">'[4]Overlap two proportions'!$AL$67</definedName>
    <definedName name="forC60">'[4]Overlap two proportions'!$AL$67</definedName>
    <definedName name="forC7" localSheetId="11">'[4]Overlap two proportions'!$AL$14</definedName>
    <definedName name="forC7" localSheetId="9">'[4]Overlap two proportions'!$AL$14</definedName>
    <definedName name="forC7" localSheetId="10">'[4]Overlap two proportions'!$AL$14</definedName>
    <definedName name="forC7" localSheetId="5">'[4]Overlap two proportions'!$AL$14</definedName>
    <definedName name="forC7" localSheetId="7">'[4]Overlap two proportions'!$AL$14</definedName>
    <definedName name="forC7" localSheetId="12">'[5]Overlap two proportions'!$AL$14</definedName>
    <definedName name="forC7" localSheetId="4">'[4]Overlap two proportions'!$AL$14</definedName>
    <definedName name="forC7" localSheetId="3">'[4]Overlap two proportions'!$AL$14</definedName>
    <definedName name="forC7" localSheetId="6">'[4]Overlap two proportions'!$AL$14</definedName>
    <definedName name="forC7" localSheetId="8">'[4]Overlap two proportions'!$AL$14</definedName>
    <definedName name="forC7">'[4]Overlap two proportions'!$AL$14</definedName>
    <definedName name="forC8" localSheetId="11">'[4]Overlap two proportions'!$AL$15</definedName>
    <definedName name="forC8" localSheetId="9">'[4]Overlap two proportions'!$AL$15</definedName>
    <definedName name="forC8" localSheetId="10">'[4]Overlap two proportions'!$AL$15</definedName>
    <definedName name="forC8" localSheetId="5">'[4]Overlap two proportions'!$AL$15</definedName>
    <definedName name="forC8" localSheetId="7">'[4]Overlap two proportions'!$AL$15</definedName>
    <definedName name="forC8" localSheetId="12">'[5]Overlap two proportions'!$AL$15</definedName>
    <definedName name="forC8" localSheetId="4">'[4]Overlap two proportions'!$AL$15</definedName>
    <definedName name="forC8" localSheetId="3">'[4]Overlap two proportions'!$AL$15</definedName>
    <definedName name="forC8" localSheetId="6">'[4]Overlap two proportions'!$AL$15</definedName>
    <definedName name="forC8" localSheetId="8">'[4]Overlap two proportions'!$AL$15</definedName>
    <definedName name="forC8">'[4]Overlap two proportions'!$AL$15</definedName>
    <definedName name="forC9" localSheetId="11">'[4]Overlap two proportions'!$AL$16</definedName>
    <definedName name="forC9" localSheetId="9">'[4]Overlap two proportions'!$AL$16</definedName>
    <definedName name="forC9" localSheetId="10">'[4]Overlap two proportions'!$AL$16</definedName>
    <definedName name="forC9" localSheetId="5">'[4]Overlap two proportions'!$AL$16</definedName>
    <definedName name="forC9" localSheetId="7">'[4]Overlap two proportions'!$AL$16</definedName>
    <definedName name="forC9" localSheetId="12">'[5]Overlap two proportions'!$AL$16</definedName>
    <definedName name="forC9" localSheetId="4">'[4]Overlap two proportions'!$AL$16</definedName>
    <definedName name="forC9" localSheetId="3">'[4]Overlap two proportions'!$AL$16</definedName>
    <definedName name="forC9" localSheetId="6">'[4]Overlap two proportions'!$AL$16</definedName>
    <definedName name="forC9" localSheetId="8">'[4]Overlap two proportions'!$AL$16</definedName>
    <definedName name="forC9">'[4]Overlap two proportions'!$AL$16</definedName>
    <definedName name="forCd1" localSheetId="11">'[4]Overlap two proportions'!$BN$8</definedName>
    <definedName name="forCd1" localSheetId="9">'[4]Overlap two proportions'!$BN$8</definedName>
    <definedName name="forCd1" localSheetId="10">'[4]Overlap two proportions'!$BN$8</definedName>
    <definedName name="forCd1" localSheetId="5">'[4]Overlap two proportions'!$BN$8</definedName>
    <definedName name="forCd1" localSheetId="7">'[4]Overlap two proportions'!$BN$8</definedName>
    <definedName name="forCd1" localSheetId="12">'[5]Overlap two proportions'!$BN$8</definedName>
    <definedName name="forCd1" localSheetId="4">'[4]Overlap two proportions'!$BN$8</definedName>
    <definedName name="forCd1" localSheetId="3">'[4]Overlap two proportions'!$BN$8</definedName>
    <definedName name="forCd1" localSheetId="6">'[4]Overlap two proportions'!$BN$8</definedName>
    <definedName name="forCd1" localSheetId="8">'[4]Overlap two proportions'!$BN$8</definedName>
    <definedName name="forCd1">'[4]Overlap two proportions'!$BN$8</definedName>
    <definedName name="forCd10" localSheetId="11">'[4]Overlap two proportions'!$BN$17</definedName>
    <definedName name="forCd10" localSheetId="9">'[4]Overlap two proportions'!$BN$17</definedName>
    <definedName name="forCd10" localSheetId="10">'[4]Overlap two proportions'!$BN$17</definedName>
    <definedName name="forCd10" localSheetId="5">'[4]Overlap two proportions'!$BN$17</definedName>
    <definedName name="forCd10" localSheetId="7">'[4]Overlap two proportions'!$BN$17</definedName>
    <definedName name="forCd10" localSheetId="12">'[5]Overlap two proportions'!$BN$17</definedName>
    <definedName name="forCd10" localSheetId="4">'[4]Overlap two proportions'!$BN$17</definedName>
    <definedName name="forCd10" localSheetId="3">'[4]Overlap two proportions'!$BN$17</definedName>
    <definedName name="forCd10" localSheetId="6">'[4]Overlap two proportions'!$BN$17</definedName>
    <definedName name="forCd10" localSheetId="8">'[4]Overlap two proportions'!$BN$17</definedName>
    <definedName name="forCd10">'[4]Overlap two proportions'!$BN$17</definedName>
    <definedName name="forCd11" localSheetId="11">'[4]Overlap two proportions'!$BN$18</definedName>
    <definedName name="forCd11" localSheetId="9">'[4]Overlap two proportions'!$BN$18</definedName>
    <definedName name="forCd11" localSheetId="10">'[4]Overlap two proportions'!$BN$18</definedName>
    <definedName name="forCd11" localSheetId="5">'[4]Overlap two proportions'!$BN$18</definedName>
    <definedName name="forCd11" localSheetId="7">'[4]Overlap two proportions'!$BN$18</definedName>
    <definedName name="forCd11" localSheetId="12">'[5]Overlap two proportions'!$BN$18</definedName>
    <definedName name="forCd11" localSheetId="4">'[4]Overlap two proportions'!$BN$18</definedName>
    <definedName name="forCd11" localSheetId="3">'[4]Overlap two proportions'!$BN$18</definedName>
    <definedName name="forCd11" localSheetId="6">'[4]Overlap two proportions'!$BN$18</definedName>
    <definedName name="forCd11" localSheetId="8">'[4]Overlap two proportions'!$BN$18</definedName>
    <definedName name="forCd11">'[4]Overlap two proportions'!$BN$18</definedName>
    <definedName name="forCd12" localSheetId="11">'[4]Overlap two proportions'!$BN$19</definedName>
    <definedName name="forCd12" localSheetId="9">'[4]Overlap two proportions'!$BN$19</definedName>
    <definedName name="forCd12" localSheetId="10">'[4]Overlap two proportions'!$BN$19</definedName>
    <definedName name="forCd12" localSheetId="5">'[4]Overlap two proportions'!$BN$19</definedName>
    <definedName name="forCd12" localSheetId="7">'[4]Overlap two proportions'!$BN$19</definedName>
    <definedName name="forCd12" localSheetId="12">'[5]Overlap two proportions'!$BN$19</definedName>
    <definedName name="forCd12" localSheetId="4">'[4]Overlap two proportions'!$BN$19</definedName>
    <definedName name="forCd12" localSheetId="3">'[4]Overlap two proportions'!$BN$19</definedName>
    <definedName name="forCd12" localSheetId="6">'[4]Overlap two proportions'!$BN$19</definedName>
    <definedName name="forCd12" localSheetId="8">'[4]Overlap two proportions'!$BN$19</definedName>
    <definedName name="forCd12">'[4]Overlap two proportions'!$BN$19</definedName>
    <definedName name="forCd13" localSheetId="11">'[4]Overlap two proportions'!$BN$20</definedName>
    <definedName name="forCd13" localSheetId="9">'[4]Overlap two proportions'!$BN$20</definedName>
    <definedName name="forCd13" localSheetId="10">'[4]Overlap two proportions'!$BN$20</definedName>
    <definedName name="forCd13" localSheetId="5">'[4]Overlap two proportions'!$BN$20</definedName>
    <definedName name="forCd13" localSheetId="7">'[4]Overlap two proportions'!$BN$20</definedName>
    <definedName name="forCd13" localSheetId="12">'[5]Overlap two proportions'!$BN$20</definedName>
    <definedName name="forCd13" localSheetId="4">'[4]Overlap two proportions'!$BN$20</definedName>
    <definedName name="forCd13" localSheetId="3">'[4]Overlap two proportions'!$BN$20</definedName>
    <definedName name="forCd13" localSheetId="6">'[4]Overlap two proportions'!$BN$20</definedName>
    <definedName name="forCd13" localSheetId="8">'[4]Overlap two proportions'!$BN$20</definedName>
    <definedName name="forCd13">'[4]Overlap two proportions'!$BN$20</definedName>
    <definedName name="forCd14" localSheetId="11">'[4]Overlap two proportions'!$BN$21</definedName>
    <definedName name="forCd14" localSheetId="9">'[4]Overlap two proportions'!$BN$21</definedName>
    <definedName name="forCd14" localSheetId="10">'[4]Overlap two proportions'!$BN$21</definedName>
    <definedName name="forCd14" localSheetId="5">'[4]Overlap two proportions'!$BN$21</definedName>
    <definedName name="forCd14" localSheetId="7">'[4]Overlap two proportions'!$BN$21</definedName>
    <definedName name="forCd14" localSheetId="12">'[5]Overlap two proportions'!$BN$21</definedName>
    <definedName name="forCd14" localSheetId="4">'[4]Overlap two proportions'!$BN$21</definedName>
    <definedName name="forCd14" localSheetId="3">'[4]Overlap two proportions'!$BN$21</definedName>
    <definedName name="forCd14" localSheetId="6">'[4]Overlap two proportions'!$BN$21</definedName>
    <definedName name="forCd14" localSheetId="8">'[4]Overlap two proportions'!$BN$21</definedName>
    <definedName name="forCd14">'[4]Overlap two proportions'!$BN$21</definedName>
    <definedName name="forCd15" localSheetId="11">'[4]Overlap two proportions'!$BN$22</definedName>
    <definedName name="forCd15" localSheetId="9">'[4]Overlap two proportions'!$BN$22</definedName>
    <definedName name="forCd15" localSheetId="10">'[4]Overlap two proportions'!$BN$22</definedName>
    <definedName name="forCd15" localSheetId="5">'[4]Overlap two proportions'!$BN$22</definedName>
    <definedName name="forCd15" localSheetId="7">'[4]Overlap two proportions'!$BN$22</definedName>
    <definedName name="forCd15" localSheetId="12">'[5]Overlap two proportions'!$BN$22</definedName>
    <definedName name="forCd15" localSheetId="4">'[4]Overlap two proportions'!$BN$22</definedName>
    <definedName name="forCd15" localSheetId="3">'[4]Overlap two proportions'!$BN$22</definedName>
    <definedName name="forCd15" localSheetId="6">'[4]Overlap two proportions'!$BN$22</definedName>
    <definedName name="forCd15" localSheetId="8">'[4]Overlap two proportions'!$BN$22</definedName>
    <definedName name="forCd15">'[4]Overlap two proportions'!$BN$22</definedName>
    <definedName name="forCd16" localSheetId="11">'[4]Overlap two proportions'!$BN$23</definedName>
    <definedName name="forCd16" localSheetId="9">'[4]Overlap two proportions'!$BN$23</definedName>
    <definedName name="forCd16" localSheetId="10">'[4]Overlap two proportions'!$BN$23</definedName>
    <definedName name="forCd16" localSheetId="5">'[4]Overlap two proportions'!$BN$23</definedName>
    <definedName name="forCd16" localSheetId="7">'[4]Overlap two proportions'!$BN$23</definedName>
    <definedName name="forCd16" localSheetId="12">'[5]Overlap two proportions'!$BN$23</definedName>
    <definedName name="forCd16" localSheetId="4">'[4]Overlap two proportions'!$BN$23</definedName>
    <definedName name="forCd16" localSheetId="3">'[4]Overlap two proportions'!$BN$23</definedName>
    <definedName name="forCd16" localSheetId="6">'[4]Overlap two proportions'!$BN$23</definedName>
    <definedName name="forCd16" localSheetId="8">'[4]Overlap two proportions'!$BN$23</definedName>
    <definedName name="forCd16">'[4]Overlap two proportions'!$BN$23</definedName>
    <definedName name="forCd17" localSheetId="11">'[4]Overlap two proportions'!$BN$24</definedName>
    <definedName name="forCd17" localSheetId="9">'[4]Overlap two proportions'!$BN$24</definedName>
    <definedName name="forCd17" localSheetId="10">'[4]Overlap two proportions'!$BN$24</definedName>
    <definedName name="forCd17" localSheetId="5">'[4]Overlap two proportions'!$BN$24</definedName>
    <definedName name="forCd17" localSheetId="7">'[4]Overlap two proportions'!$BN$24</definedName>
    <definedName name="forCd17" localSheetId="12">'[5]Overlap two proportions'!$BN$24</definedName>
    <definedName name="forCd17" localSheetId="4">'[4]Overlap two proportions'!$BN$24</definedName>
    <definedName name="forCd17" localSheetId="3">'[4]Overlap two proportions'!$BN$24</definedName>
    <definedName name="forCd17" localSheetId="6">'[4]Overlap two proportions'!$BN$24</definedName>
    <definedName name="forCd17" localSheetId="8">'[4]Overlap two proportions'!$BN$24</definedName>
    <definedName name="forCd17">'[4]Overlap two proportions'!$BN$24</definedName>
    <definedName name="forCd18" localSheetId="11">'[4]Overlap two proportions'!$BN$25</definedName>
    <definedName name="forCd18" localSheetId="9">'[4]Overlap two proportions'!$BN$25</definedName>
    <definedName name="forCd18" localSheetId="10">'[4]Overlap two proportions'!$BN$25</definedName>
    <definedName name="forCd18" localSheetId="5">'[4]Overlap two proportions'!$BN$25</definedName>
    <definedName name="forCd18" localSheetId="7">'[4]Overlap two proportions'!$BN$25</definedName>
    <definedName name="forCd18" localSheetId="12">'[5]Overlap two proportions'!$BN$25</definedName>
    <definedName name="forCd18" localSheetId="4">'[4]Overlap two proportions'!$BN$25</definedName>
    <definedName name="forCd18" localSheetId="3">'[4]Overlap two proportions'!$BN$25</definedName>
    <definedName name="forCd18" localSheetId="6">'[4]Overlap two proportions'!$BN$25</definedName>
    <definedName name="forCd18" localSheetId="8">'[4]Overlap two proportions'!$BN$25</definedName>
    <definedName name="forCd18">'[4]Overlap two proportions'!$BN$25</definedName>
    <definedName name="forCd19" localSheetId="11">'[4]Overlap two proportions'!$BN$26</definedName>
    <definedName name="forCd19" localSheetId="9">'[4]Overlap two proportions'!$BN$26</definedName>
    <definedName name="forCd19" localSheetId="10">'[4]Overlap two proportions'!$BN$26</definedName>
    <definedName name="forCd19" localSheetId="5">'[4]Overlap two proportions'!$BN$26</definedName>
    <definedName name="forCd19" localSheetId="7">'[4]Overlap two proportions'!$BN$26</definedName>
    <definedName name="forCd19" localSheetId="12">'[5]Overlap two proportions'!$BN$26</definedName>
    <definedName name="forCd19" localSheetId="4">'[4]Overlap two proportions'!$BN$26</definedName>
    <definedName name="forCd19" localSheetId="3">'[4]Overlap two proportions'!$BN$26</definedName>
    <definedName name="forCd19" localSheetId="6">'[4]Overlap two proportions'!$BN$26</definedName>
    <definedName name="forCd19" localSheetId="8">'[4]Overlap two proportions'!$BN$26</definedName>
    <definedName name="forCd19">'[4]Overlap two proportions'!$BN$26</definedName>
    <definedName name="forCd2" localSheetId="11">'[4]Overlap two proportions'!$BN$9</definedName>
    <definedName name="forCd2" localSheetId="9">'[4]Overlap two proportions'!$BN$9</definedName>
    <definedName name="forCd2" localSheetId="10">'[4]Overlap two proportions'!$BN$9</definedName>
    <definedName name="forCd2" localSheetId="5">'[4]Overlap two proportions'!$BN$9</definedName>
    <definedName name="forCd2" localSheetId="7">'[4]Overlap two proportions'!$BN$9</definedName>
    <definedName name="forCd2" localSheetId="12">'[5]Overlap two proportions'!$BN$9</definedName>
    <definedName name="forCd2" localSheetId="4">'[4]Overlap two proportions'!$BN$9</definedName>
    <definedName name="forCd2" localSheetId="3">'[4]Overlap two proportions'!$BN$9</definedName>
    <definedName name="forCd2" localSheetId="6">'[4]Overlap two proportions'!$BN$9</definedName>
    <definedName name="forCd2" localSheetId="8">'[4]Overlap two proportions'!$BN$9</definedName>
    <definedName name="forCd2">'[4]Overlap two proportions'!$BN$9</definedName>
    <definedName name="forCd20" localSheetId="11">'[4]Overlap two proportions'!$BN$27</definedName>
    <definedName name="forCd20" localSheetId="9">'[4]Overlap two proportions'!$BN$27</definedName>
    <definedName name="forCd20" localSheetId="10">'[4]Overlap two proportions'!$BN$27</definedName>
    <definedName name="forCd20" localSheetId="5">'[4]Overlap two proportions'!$BN$27</definedName>
    <definedName name="forCd20" localSheetId="7">'[4]Overlap two proportions'!$BN$27</definedName>
    <definedName name="forCd20" localSheetId="12">'[5]Overlap two proportions'!$BN$27</definedName>
    <definedName name="forCd20" localSheetId="4">'[4]Overlap two proportions'!$BN$27</definedName>
    <definedName name="forCd20" localSheetId="3">'[4]Overlap two proportions'!$BN$27</definedName>
    <definedName name="forCd20" localSheetId="6">'[4]Overlap two proportions'!$BN$27</definedName>
    <definedName name="forCd20" localSheetId="8">'[4]Overlap two proportions'!$BN$27</definedName>
    <definedName name="forCd20">'[4]Overlap two proportions'!$BN$27</definedName>
    <definedName name="forCd21" localSheetId="11">'[4]Overlap two proportions'!$BN$28</definedName>
    <definedName name="forCd21" localSheetId="9">'[4]Overlap two proportions'!$BN$28</definedName>
    <definedName name="forCd21" localSheetId="10">'[4]Overlap two proportions'!$BN$28</definedName>
    <definedName name="forCd21" localSheetId="5">'[4]Overlap two proportions'!$BN$28</definedName>
    <definedName name="forCd21" localSheetId="7">'[4]Overlap two proportions'!$BN$28</definedName>
    <definedName name="forCd21" localSheetId="12">'[5]Overlap two proportions'!$BN$28</definedName>
    <definedName name="forCd21" localSheetId="4">'[4]Overlap two proportions'!$BN$28</definedName>
    <definedName name="forCd21" localSheetId="3">'[4]Overlap two proportions'!$BN$28</definedName>
    <definedName name="forCd21" localSheetId="6">'[4]Overlap two proportions'!$BN$28</definedName>
    <definedName name="forCd21" localSheetId="8">'[4]Overlap two proportions'!$BN$28</definedName>
    <definedName name="forCd21">'[4]Overlap two proportions'!$BN$28</definedName>
    <definedName name="forCd22" localSheetId="11">'[4]Overlap two proportions'!$BN$29</definedName>
    <definedName name="forCd22" localSheetId="9">'[4]Overlap two proportions'!$BN$29</definedName>
    <definedName name="forCd22" localSheetId="10">'[4]Overlap two proportions'!$BN$29</definedName>
    <definedName name="forCd22" localSheetId="5">'[4]Overlap two proportions'!$BN$29</definedName>
    <definedName name="forCd22" localSheetId="7">'[4]Overlap two proportions'!$BN$29</definedName>
    <definedName name="forCd22" localSheetId="12">'[5]Overlap two proportions'!$BN$29</definedName>
    <definedName name="forCd22" localSheetId="4">'[4]Overlap two proportions'!$BN$29</definedName>
    <definedName name="forCd22" localSheetId="3">'[4]Overlap two proportions'!$BN$29</definedName>
    <definedName name="forCd22" localSheetId="6">'[4]Overlap two proportions'!$BN$29</definedName>
    <definedName name="forCd22" localSheetId="8">'[4]Overlap two proportions'!$BN$29</definedName>
    <definedName name="forCd22">'[4]Overlap two proportions'!$BN$29</definedName>
    <definedName name="forCd23" localSheetId="11">'[4]Overlap two proportions'!$BN$30</definedName>
    <definedName name="forCd23" localSheetId="9">'[4]Overlap two proportions'!$BN$30</definedName>
    <definedName name="forCd23" localSheetId="10">'[4]Overlap two proportions'!$BN$30</definedName>
    <definedName name="forCd23" localSheetId="5">'[4]Overlap two proportions'!$BN$30</definedName>
    <definedName name="forCd23" localSheetId="7">'[4]Overlap two proportions'!$BN$30</definedName>
    <definedName name="forCd23" localSheetId="12">'[5]Overlap two proportions'!$BN$30</definedName>
    <definedName name="forCd23" localSheetId="4">'[4]Overlap two proportions'!$BN$30</definedName>
    <definedName name="forCd23" localSheetId="3">'[4]Overlap two proportions'!$BN$30</definedName>
    <definedName name="forCd23" localSheetId="6">'[4]Overlap two proportions'!$BN$30</definedName>
    <definedName name="forCd23" localSheetId="8">'[4]Overlap two proportions'!$BN$30</definedName>
    <definedName name="forCd23">'[4]Overlap two proportions'!$BN$30</definedName>
    <definedName name="forCd24" localSheetId="11">'[4]Overlap two proportions'!$BN$31</definedName>
    <definedName name="forCd24" localSheetId="9">'[4]Overlap two proportions'!$BN$31</definedName>
    <definedName name="forCd24" localSheetId="10">'[4]Overlap two proportions'!$BN$31</definedName>
    <definedName name="forCd24" localSheetId="5">'[4]Overlap two proportions'!$BN$31</definedName>
    <definedName name="forCd24" localSheetId="7">'[4]Overlap two proportions'!$BN$31</definedName>
    <definedName name="forCd24" localSheetId="12">'[5]Overlap two proportions'!$BN$31</definedName>
    <definedName name="forCd24" localSheetId="4">'[4]Overlap two proportions'!$BN$31</definedName>
    <definedName name="forCd24" localSheetId="3">'[4]Overlap two proportions'!$BN$31</definedName>
    <definedName name="forCd24" localSheetId="6">'[4]Overlap two proportions'!$BN$31</definedName>
    <definedName name="forCd24" localSheetId="8">'[4]Overlap two proportions'!$BN$31</definedName>
    <definedName name="forCd24">'[4]Overlap two proportions'!$BN$31</definedName>
    <definedName name="forCd25" localSheetId="11">'[4]Overlap two proportions'!$BN$32</definedName>
    <definedName name="forCd25" localSheetId="9">'[4]Overlap two proportions'!$BN$32</definedName>
    <definedName name="forCd25" localSheetId="10">'[4]Overlap two proportions'!$BN$32</definedName>
    <definedName name="forCd25" localSheetId="5">'[4]Overlap two proportions'!$BN$32</definedName>
    <definedName name="forCd25" localSheetId="7">'[4]Overlap two proportions'!$BN$32</definedName>
    <definedName name="forCd25" localSheetId="12">'[5]Overlap two proportions'!$BN$32</definedName>
    <definedName name="forCd25" localSheetId="4">'[4]Overlap two proportions'!$BN$32</definedName>
    <definedName name="forCd25" localSheetId="3">'[4]Overlap two proportions'!$BN$32</definedName>
    <definedName name="forCd25" localSheetId="6">'[4]Overlap two proportions'!$BN$32</definedName>
    <definedName name="forCd25" localSheetId="8">'[4]Overlap two proportions'!$BN$32</definedName>
    <definedName name="forCd25">'[4]Overlap two proportions'!$BN$32</definedName>
    <definedName name="forCd26" localSheetId="11">'[4]Overlap two proportions'!$BN$33</definedName>
    <definedName name="forCd26" localSheetId="9">'[4]Overlap two proportions'!$BN$33</definedName>
    <definedName name="forCd26" localSheetId="10">'[4]Overlap two proportions'!$BN$33</definedName>
    <definedName name="forCd26" localSheetId="5">'[4]Overlap two proportions'!$BN$33</definedName>
    <definedName name="forCd26" localSheetId="7">'[4]Overlap two proportions'!$BN$33</definedName>
    <definedName name="forCd26" localSheetId="12">'[5]Overlap two proportions'!$BN$33</definedName>
    <definedName name="forCd26" localSheetId="4">'[4]Overlap two proportions'!$BN$33</definedName>
    <definedName name="forCd26" localSheetId="3">'[4]Overlap two proportions'!$BN$33</definedName>
    <definedName name="forCd26" localSheetId="6">'[4]Overlap two proportions'!$BN$33</definedName>
    <definedName name="forCd26" localSheetId="8">'[4]Overlap two proportions'!$BN$33</definedName>
    <definedName name="forCd26">'[4]Overlap two proportions'!$BN$33</definedName>
    <definedName name="forCd27" localSheetId="11">'[4]Overlap two proportions'!$BN$34</definedName>
    <definedName name="forCd27" localSheetId="9">'[4]Overlap two proportions'!$BN$34</definedName>
    <definedName name="forCd27" localSheetId="10">'[4]Overlap two proportions'!$BN$34</definedName>
    <definedName name="forCd27" localSheetId="5">'[4]Overlap two proportions'!$BN$34</definedName>
    <definedName name="forCd27" localSheetId="7">'[4]Overlap two proportions'!$BN$34</definedName>
    <definedName name="forCd27" localSheetId="12">'[5]Overlap two proportions'!$BN$34</definedName>
    <definedName name="forCd27" localSheetId="4">'[4]Overlap two proportions'!$BN$34</definedName>
    <definedName name="forCd27" localSheetId="3">'[4]Overlap two proportions'!$BN$34</definedName>
    <definedName name="forCd27" localSheetId="6">'[4]Overlap two proportions'!$BN$34</definedName>
    <definedName name="forCd27" localSheetId="8">'[4]Overlap two proportions'!$BN$34</definedName>
    <definedName name="forCd27">'[4]Overlap two proportions'!$BN$34</definedName>
    <definedName name="forCd28" localSheetId="11">'[4]Overlap two proportions'!$BN$35</definedName>
    <definedName name="forCd28" localSheetId="9">'[4]Overlap two proportions'!$BN$35</definedName>
    <definedName name="forCd28" localSheetId="10">'[4]Overlap two proportions'!$BN$35</definedName>
    <definedName name="forCd28" localSheetId="5">'[4]Overlap two proportions'!$BN$35</definedName>
    <definedName name="forCd28" localSheetId="7">'[4]Overlap two proportions'!$BN$35</definedName>
    <definedName name="forCd28" localSheetId="12">'[5]Overlap two proportions'!$BN$35</definedName>
    <definedName name="forCd28" localSheetId="4">'[4]Overlap two proportions'!$BN$35</definedName>
    <definedName name="forCd28" localSheetId="3">'[4]Overlap two proportions'!$BN$35</definedName>
    <definedName name="forCd28" localSheetId="6">'[4]Overlap two proportions'!$BN$35</definedName>
    <definedName name="forCd28" localSheetId="8">'[4]Overlap two proportions'!$BN$35</definedName>
    <definedName name="forCd28">'[4]Overlap two proportions'!$BN$35</definedName>
    <definedName name="forCd29" localSheetId="11">'[4]Overlap two proportions'!$BN$36</definedName>
    <definedName name="forCd29" localSheetId="9">'[4]Overlap two proportions'!$BN$36</definedName>
    <definedName name="forCd29" localSheetId="10">'[4]Overlap two proportions'!$BN$36</definedName>
    <definedName name="forCd29" localSheetId="5">'[4]Overlap two proportions'!$BN$36</definedName>
    <definedName name="forCd29" localSheetId="7">'[4]Overlap two proportions'!$BN$36</definedName>
    <definedName name="forCd29" localSheetId="12">'[5]Overlap two proportions'!$BN$36</definedName>
    <definedName name="forCd29" localSheetId="4">'[4]Overlap two proportions'!$BN$36</definedName>
    <definedName name="forCd29" localSheetId="3">'[4]Overlap two proportions'!$BN$36</definedName>
    <definedName name="forCd29" localSheetId="6">'[4]Overlap two proportions'!$BN$36</definedName>
    <definedName name="forCd29" localSheetId="8">'[4]Overlap two proportions'!$BN$36</definedName>
    <definedName name="forCd29">'[4]Overlap two proportions'!$BN$36</definedName>
    <definedName name="forCd3" localSheetId="11">'[4]Overlap two proportions'!$BN$10</definedName>
    <definedName name="forCd3" localSheetId="9">'[4]Overlap two proportions'!$BN$10</definedName>
    <definedName name="forCd3" localSheetId="10">'[4]Overlap two proportions'!$BN$10</definedName>
    <definedName name="forCd3" localSheetId="5">'[4]Overlap two proportions'!$BN$10</definedName>
    <definedName name="forCd3" localSheetId="7">'[4]Overlap two proportions'!$BN$10</definedName>
    <definedName name="forCd3" localSheetId="12">'[5]Overlap two proportions'!$BN$10</definedName>
    <definedName name="forCd3" localSheetId="4">'[4]Overlap two proportions'!$BN$10</definedName>
    <definedName name="forCd3" localSheetId="3">'[4]Overlap two proportions'!$BN$10</definedName>
    <definedName name="forCd3" localSheetId="6">'[4]Overlap two proportions'!$BN$10</definedName>
    <definedName name="forCd3" localSheetId="8">'[4]Overlap two proportions'!$BN$10</definedName>
    <definedName name="forCd3">'[4]Overlap two proportions'!$BN$10</definedName>
    <definedName name="forCd30" localSheetId="11">'[4]Overlap two proportions'!$BN$37</definedName>
    <definedName name="forCd30" localSheetId="9">'[4]Overlap two proportions'!$BN$37</definedName>
    <definedName name="forCd30" localSheetId="10">'[4]Overlap two proportions'!$BN$37</definedName>
    <definedName name="forCd30" localSheetId="5">'[4]Overlap two proportions'!$BN$37</definedName>
    <definedName name="forCd30" localSheetId="7">'[4]Overlap two proportions'!$BN$37</definedName>
    <definedName name="forCd30" localSheetId="12">'[5]Overlap two proportions'!$BN$37</definedName>
    <definedName name="forCd30" localSheetId="4">'[4]Overlap two proportions'!$BN$37</definedName>
    <definedName name="forCd30" localSheetId="3">'[4]Overlap two proportions'!$BN$37</definedName>
    <definedName name="forCd30" localSheetId="6">'[4]Overlap two proportions'!$BN$37</definedName>
    <definedName name="forCd30" localSheetId="8">'[4]Overlap two proportions'!$BN$37</definedName>
    <definedName name="forCd30">'[4]Overlap two proportions'!$BN$37</definedName>
    <definedName name="forCd31" localSheetId="11">'[4]Overlap two proportions'!$BN$38</definedName>
    <definedName name="forCd31" localSheetId="9">'[4]Overlap two proportions'!$BN$38</definedName>
    <definedName name="forCd31" localSheetId="10">'[4]Overlap two proportions'!$BN$38</definedName>
    <definedName name="forCd31" localSheetId="5">'[4]Overlap two proportions'!$BN$38</definedName>
    <definedName name="forCd31" localSheetId="7">'[4]Overlap two proportions'!$BN$38</definedName>
    <definedName name="forCd31" localSheetId="12">'[5]Overlap two proportions'!$BN$38</definedName>
    <definedName name="forCd31" localSheetId="4">'[4]Overlap two proportions'!$BN$38</definedName>
    <definedName name="forCd31" localSheetId="3">'[4]Overlap two proportions'!$BN$38</definedName>
    <definedName name="forCd31" localSheetId="6">'[4]Overlap two proportions'!$BN$38</definedName>
    <definedName name="forCd31" localSheetId="8">'[4]Overlap two proportions'!$BN$38</definedName>
    <definedName name="forCd31">'[4]Overlap two proportions'!$BN$38</definedName>
    <definedName name="forCd32" localSheetId="11">'[4]Overlap two proportions'!$BN$39</definedName>
    <definedName name="forCd32" localSheetId="9">'[4]Overlap two proportions'!$BN$39</definedName>
    <definedName name="forCd32" localSheetId="10">'[4]Overlap two proportions'!$BN$39</definedName>
    <definedName name="forCd32" localSheetId="5">'[4]Overlap two proportions'!$BN$39</definedName>
    <definedName name="forCd32" localSheetId="7">'[4]Overlap two proportions'!$BN$39</definedName>
    <definedName name="forCd32" localSheetId="12">'[5]Overlap two proportions'!$BN$39</definedName>
    <definedName name="forCd32" localSheetId="4">'[4]Overlap two proportions'!$BN$39</definedName>
    <definedName name="forCd32" localSheetId="3">'[4]Overlap two proportions'!$BN$39</definedName>
    <definedName name="forCd32" localSheetId="6">'[4]Overlap two proportions'!$BN$39</definedName>
    <definedName name="forCd32" localSheetId="8">'[4]Overlap two proportions'!$BN$39</definedName>
    <definedName name="forCd32">'[4]Overlap two proportions'!$BN$39</definedName>
    <definedName name="forCd33" localSheetId="11">'[4]Overlap two proportions'!$BN$40</definedName>
    <definedName name="forCd33" localSheetId="9">'[4]Overlap two proportions'!$BN$40</definedName>
    <definedName name="forCd33" localSheetId="10">'[4]Overlap two proportions'!$BN$40</definedName>
    <definedName name="forCd33" localSheetId="5">'[4]Overlap two proportions'!$BN$40</definedName>
    <definedName name="forCd33" localSheetId="7">'[4]Overlap two proportions'!$BN$40</definedName>
    <definedName name="forCd33" localSheetId="12">'[5]Overlap two proportions'!$BN$40</definedName>
    <definedName name="forCd33" localSheetId="4">'[4]Overlap two proportions'!$BN$40</definedName>
    <definedName name="forCd33" localSheetId="3">'[4]Overlap two proportions'!$BN$40</definedName>
    <definedName name="forCd33" localSheetId="6">'[4]Overlap two proportions'!$BN$40</definedName>
    <definedName name="forCd33" localSheetId="8">'[4]Overlap two proportions'!$BN$40</definedName>
    <definedName name="forCd33">'[4]Overlap two proportions'!$BN$40</definedName>
    <definedName name="forCd34" localSheetId="11">'[4]Overlap two proportions'!$BN$41</definedName>
    <definedName name="forCd34" localSheetId="9">'[4]Overlap two proportions'!$BN$41</definedName>
    <definedName name="forCd34" localSheetId="10">'[4]Overlap two proportions'!$BN$41</definedName>
    <definedName name="forCd34" localSheetId="5">'[4]Overlap two proportions'!$BN$41</definedName>
    <definedName name="forCd34" localSheetId="7">'[4]Overlap two proportions'!$BN$41</definedName>
    <definedName name="forCd34" localSheetId="12">'[5]Overlap two proportions'!$BN$41</definedName>
    <definedName name="forCd34" localSheetId="4">'[4]Overlap two proportions'!$BN$41</definedName>
    <definedName name="forCd34" localSheetId="3">'[4]Overlap two proportions'!$BN$41</definedName>
    <definedName name="forCd34" localSheetId="6">'[4]Overlap two proportions'!$BN$41</definedName>
    <definedName name="forCd34" localSheetId="8">'[4]Overlap two proportions'!$BN$41</definedName>
    <definedName name="forCd34">'[4]Overlap two proportions'!$BN$41</definedName>
    <definedName name="forCd35" localSheetId="11">'[4]Overlap two proportions'!$BN$42</definedName>
    <definedName name="forCd35" localSheetId="9">'[4]Overlap two proportions'!$BN$42</definedName>
    <definedName name="forCd35" localSheetId="10">'[4]Overlap two proportions'!$BN$42</definedName>
    <definedName name="forCd35" localSheetId="5">'[4]Overlap two proportions'!$BN$42</definedName>
    <definedName name="forCd35" localSheetId="7">'[4]Overlap two proportions'!$BN$42</definedName>
    <definedName name="forCd35" localSheetId="12">'[5]Overlap two proportions'!$BN$42</definedName>
    <definedName name="forCd35" localSheetId="4">'[4]Overlap two proportions'!$BN$42</definedName>
    <definedName name="forCd35" localSheetId="3">'[4]Overlap two proportions'!$BN$42</definedName>
    <definedName name="forCd35" localSheetId="6">'[4]Overlap two proportions'!$BN$42</definedName>
    <definedName name="forCd35" localSheetId="8">'[4]Overlap two proportions'!$BN$42</definedName>
    <definedName name="forCd35">'[4]Overlap two proportions'!$BN$42</definedName>
    <definedName name="forCd36" localSheetId="11">'[4]Overlap two proportions'!$BN$43</definedName>
    <definedName name="forCd36" localSheetId="9">'[4]Overlap two proportions'!$BN$43</definedName>
    <definedName name="forCd36" localSheetId="10">'[4]Overlap two proportions'!$BN$43</definedName>
    <definedName name="forCd36" localSheetId="5">'[4]Overlap two proportions'!$BN$43</definedName>
    <definedName name="forCd36" localSheetId="7">'[4]Overlap two proportions'!$BN$43</definedName>
    <definedName name="forCd36" localSheetId="12">'[5]Overlap two proportions'!$BN$43</definedName>
    <definedName name="forCd36" localSheetId="4">'[4]Overlap two proportions'!$BN$43</definedName>
    <definedName name="forCd36" localSheetId="3">'[4]Overlap two proportions'!$BN$43</definedName>
    <definedName name="forCd36" localSheetId="6">'[4]Overlap two proportions'!$BN$43</definedName>
    <definedName name="forCd36" localSheetId="8">'[4]Overlap two proportions'!$BN$43</definedName>
    <definedName name="forCd36">'[4]Overlap two proportions'!$BN$43</definedName>
    <definedName name="forCd37" localSheetId="11">'[4]Overlap two proportions'!$BN$44</definedName>
    <definedName name="forCd37" localSheetId="9">'[4]Overlap two proportions'!$BN$44</definedName>
    <definedName name="forCd37" localSheetId="10">'[4]Overlap two proportions'!$BN$44</definedName>
    <definedName name="forCd37" localSheetId="5">'[4]Overlap two proportions'!$BN$44</definedName>
    <definedName name="forCd37" localSheetId="7">'[4]Overlap two proportions'!$BN$44</definedName>
    <definedName name="forCd37" localSheetId="12">'[5]Overlap two proportions'!$BN$44</definedName>
    <definedName name="forCd37" localSheetId="4">'[4]Overlap two proportions'!$BN$44</definedName>
    <definedName name="forCd37" localSheetId="3">'[4]Overlap two proportions'!$BN$44</definedName>
    <definedName name="forCd37" localSheetId="6">'[4]Overlap two proportions'!$BN$44</definedName>
    <definedName name="forCd37" localSheetId="8">'[4]Overlap two proportions'!$BN$44</definedName>
    <definedName name="forCd37">'[4]Overlap two proportions'!$BN$44</definedName>
    <definedName name="forCd38" localSheetId="11">'[4]Overlap two proportions'!$BN$45</definedName>
    <definedName name="forCd38" localSheetId="9">'[4]Overlap two proportions'!$BN$45</definedName>
    <definedName name="forCd38" localSheetId="10">'[4]Overlap two proportions'!$BN$45</definedName>
    <definedName name="forCd38" localSheetId="5">'[4]Overlap two proportions'!$BN$45</definedName>
    <definedName name="forCd38" localSheetId="7">'[4]Overlap two proportions'!$BN$45</definedName>
    <definedName name="forCd38" localSheetId="12">'[5]Overlap two proportions'!$BN$45</definedName>
    <definedName name="forCd38" localSheetId="4">'[4]Overlap two proportions'!$BN$45</definedName>
    <definedName name="forCd38" localSheetId="3">'[4]Overlap two proportions'!$BN$45</definedName>
    <definedName name="forCd38" localSheetId="6">'[4]Overlap two proportions'!$BN$45</definedName>
    <definedName name="forCd38" localSheetId="8">'[4]Overlap two proportions'!$BN$45</definedName>
    <definedName name="forCd38">'[4]Overlap two proportions'!$BN$45</definedName>
    <definedName name="forCd39" localSheetId="11">'[4]Overlap two proportions'!$BN$46</definedName>
    <definedName name="forCd39" localSheetId="9">'[4]Overlap two proportions'!$BN$46</definedName>
    <definedName name="forCd39" localSheetId="10">'[4]Overlap two proportions'!$BN$46</definedName>
    <definedName name="forCd39" localSheetId="5">'[4]Overlap two proportions'!$BN$46</definedName>
    <definedName name="forCd39" localSheetId="7">'[4]Overlap two proportions'!$BN$46</definedName>
    <definedName name="forCd39" localSheetId="12">'[5]Overlap two proportions'!$BN$46</definedName>
    <definedName name="forCd39" localSheetId="4">'[4]Overlap two proportions'!$BN$46</definedName>
    <definedName name="forCd39" localSheetId="3">'[4]Overlap two proportions'!$BN$46</definedName>
    <definedName name="forCd39" localSheetId="6">'[4]Overlap two proportions'!$BN$46</definedName>
    <definedName name="forCd39" localSheetId="8">'[4]Overlap two proportions'!$BN$46</definedName>
    <definedName name="forCd39">'[4]Overlap two proportions'!$BN$46</definedName>
    <definedName name="forCd4" localSheetId="11">'[4]Overlap two proportions'!$BN$11</definedName>
    <definedName name="forCd4" localSheetId="9">'[4]Overlap two proportions'!$BN$11</definedName>
    <definedName name="forCd4" localSheetId="10">'[4]Overlap two proportions'!$BN$11</definedName>
    <definedName name="forCd4" localSheetId="5">'[4]Overlap two proportions'!$BN$11</definedName>
    <definedName name="forCd4" localSheetId="7">'[4]Overlap two proportions'!$BN$11</definedName>
    <definedName name="forCd4" localSheetId="12">'[5]Overlap two proportions'!$BN$11</definedName>
    <definedName name="forCd4" localSheetId="4">'[4]Overlap two proportions'!$BN$11</definedName>
    <definedName name="forCd4" localSheetId="3">'[4]Overlap two proportions'!$BN$11</definedName>
    <definedName name="forCd4" localSheetId="6">'[4]Overlap two proportions'!$BN$11</definedName>
    <definedName name="forCd4" localSheetId="8">'[4]Overlap two proportions'!$BN$11</definedName>
    <definedName name="forCd4">'[4]Overlap two proportions'!$BN$11</definedName>
    <definedName name="forCd40" localSheetId="11">'[4]Overlap two proportions'!$BN$47</definedName>
    <definedName name="forCd40" localSheetId="9">'[4]Overlap two proportions'!$BN$47</definedName>
    <definedName name="forCd40" localSheetId="10">'[4]Overlap two proportions'!$BN$47</definedName>
    <definedName name="forCd40" localSheetId="5">'[4]Overlap two proportions'!$BN$47</definedName>
    <definedName name="forCd40" localSheetId="7">'[4]Overlap two proportions'!$BN$47</definedName>
    <definedName name="forCd40" localSheetId="12">'[5]Overlap two proportions'!$BN$47</definedName>
    <definedName name="forCd40" localSheetId="4">'[4]Overlap two proportions'!$BN$47</definedName>
    <definedName name="forCd40" localSheetId="3">'[4]Overlap two proportions'!$BN$47</definedName>
    <definedName name="forCd40" localSheetId="6">'[4]Overlap two proportions'!$BN$47</definedName>
    <definedName name="forCd40" localSheetId="8">'[4]Overlap two proportions'!$BN$47</definedName>
    <definedName name="forCd40">'[4]Overlap two proportions'!$BN$47</definedName>
    <definedName name="forCd41" localSheetId="11">'[4]Overlap two proportions'!$BN$48</definedName>
    <definedName name="forCd41" localSheetId="9">'[4]Overlap two proportions'!$BN$48</definedName>
    <definedName name="forCd41" localSheetId="10">'[4]Overlap two proportions'!$BN$48</definedName>
    <definedName name="forCd41" localSheetId="5">'[4]Overlap two proportions'!$BN$48</definedName>
    <definedName name="forCd41" localSheetId="7">'[4]Overlap two proportions'!$BN$48</definedName>
    <definedName name="forCd41" localSheetId="12">'[5]Overlap two proportions'!$BN$48</definedName>
    <definedName name="forCd41" localSheetId="4">'[4]Overlap two proportions'!$BN$48</definedName>
    <definedName name="forCd41" localSheetId="3">'[4]Overlap two proportions'!$BN$48</definedName>
    <definedName name="forCd41" localSheetId="6">'[4]Overlap two proportions'!$BN$48</definedName>
    <definedName name="forCd41" localSheetId="8">'[4]Overlap two proportions'!$BN$48</definedName>
    <definedName name="forCd41">'[4]Overlap two proportions'!$BN$48</definedName>
    <definedName name="forCd42" localSheetId="11">'[4]Overlap two proportions'!$BN$49</definedName>
    <definedName name="forCd42" localSheetId="9">'[4]Overlap two proportions'!$BN$49</definedName>
    <definedName name="forCd42" localSheetId="10">'[4]Overlap two proportions'!$BN$49</definedName>
    <definedName name="forCd42" localSheetId="5">'[4]Overlap two proportions'!$BN$49</definedName>
    <definedName name="forCd42" localSheetId="7">'[4]Overlap two proportions'!$BN$49</definedName>
    <definedName name="forCd42" localSheetId="12">'[5]Overlap two proportions'!$BN$49</definedName>
    <definedName name="forCd42" localSheetId="4">'[4]Overlap two proportions'!$BN$49</definedName>
    <definedName name="forCd42" localSheetId="3">'[4]Overlap two proportions'!$BN$49</definedName>
    <definedName name="forCd42" localSheetId="6">'[4]Overlap two proportions'!$BN$49</definedName>
    <definedName name="forCd42" localSheetId="8">'[4]Overlap two proportions'!$BN$49</definedName>
    <definedName name="forCd42">'[4]Overlap two proportions'!$BN$49</definedName>
    <definedName name="forCd43" localSheetId="11">'[4]Overlap two proportions'!$BN$50</definedName>
    <definedName name="forCd43" localSheetId="9">'[4]Overlap two proportions'!$BN$50</definedName>
    <definedName name="forCd43" localSheetId="10">'[4]Overlap two proportions'!$BN$50</definedName>
    <definedName name="forCd43" localSheetId="5">'[4]Overlap two proportions'!$BN$50</definedName>
    <definedName name="forCd43" localSheetId="7">'[4]Overlap two proportions'!$BN$50</definedName>
    <definedName name="forCd43" localSheetId="12">'[5]Overlap two proportions'!$BN$50</definedName>
    <definedName name="forCd43" localSheetId="4">'[4]Overlap two proportions'!$BN$50</definedName>
    <definedName name="forCd43" localSheetId="3">'[4]Overlap two proportions'!$BN$50</definedName>
    <definedName name="forCd43" localSheetId="6">'[4]Overlap two proportions'!$BN$50</definedName>
    <definedName name="forCd43" localSheetId="8">'[4]Overlap two proportions'!$BN$50</definedName>
    <definedName name="forCd43">'[4]Overlap two proportions'!$BN$50</definedName>
    <definedName name="forCd44" localSheetId="11">'[4]Overlap two proportions'!$BN$51</definedName>
    <definedName name="forCd44" localSheetId="9">'[4]Overlap two proportions'!$BN$51</definedName>
    <definedName name="forCd44" localSheetId="10">'[4]Overlap two proportions'!$BN$51</definedName>
    <definedName name="forCd44" localSheetId="5">'[4]Overlap two proportions'!$BN$51</definedName>
    <definedName name="forCd44" localSheetId="7">'[4]Overlap two proportions'!$BN$51</definedName>
    <definedName name="forCd44" localSheetId="12">'[5]Overlap two proportions'!$BN$51</definedName>
    <definedName name="forCd44" localSheetId="4">'[4]Overlap two proportions'!$BN$51</definedName>
    <definedName name="forCd44" localSheetId="3">'[4]Overlap two proportions'!$BN$51</definedName>
    <definedName name="forCd44" localSheetId="6">'[4]Overlap two proportions'!$BN$51</definedName>
    <definedName name="forCd44" localSheetId="8">'[4]Overlap two proportions'!$BN$51</definedName>
    <definedName name="forCd44">'[4]Overlap two proportions'!$BN$51</definedName>
    <definedName name="forCd45" localSheetId="11">'[4]Overlap two proportions'!$BN$52</definedName>
    <definedName name="forCd45" localSheetId="9">'[4]Overlap two proportions'!$BN$52</definedName>
    <definedName name="forCd45" localSheetId="10">'[4]Overlap two proportions'!$BN$52</definedName>
    <definedName name="forCd45" localSheetId="5">'[4]Overlap two proportions'!$BN$52</definedName>
    <definedName name="forCd45" localSheetId="7">'[4]Overlap two proportions'!$BN$52</definedName>
    <definedName name="forCd45" localSheetId="12">'[5]Overlap two proportions'!$BN$52</definedName>
    <definedName name="forCd45" localSheetId="4">'[4]Overlap two proportions'!$BN$52</definedName>
    <definedName name="forCd45" localSheetId="3">'[4]Overlap two proportions'!$BN$52</definedName>
    <definedName name="forCd45" localSheetId="6">'[4]Overlap two proportions'!$BN$52</definedName>
    <definedName name="forCd45" localSheetId="8">'[4]Overlap two proportions'!$BN$52</definedName>
    <definedName name="forCd45">'[4]Overlap two proportions'!$BN$52</definedName>
    <definedName name="forCd46" localSheetId="11">'[4]Overlap two proportions'!$BN$53</definedName>
    <definedName name="forCd46" localSheetId="9">'[4]Overlap two proportions'!$BN$53</definedName>
    <definedName name="forCd46" localSheetId="10">'[4]Overlap two proportions'!$BN$53</definedName>
    <definedName name="forCd46" localSheetId="5">'[4]Overlap two proportions'!$BN$53</definedName>
    <definedName name="forCd46" localSheetId="7">'[4]Overlap two proportions'!$BN$53</definedName>
    <definedName name="forCd46" localSheetId="12">'[5]Overlap two proportions'!$BN$53</definedName>
    <definedName name="forCd46" localSheetId="4">'[4]Overlap two proportions'!$BN$53</definedName>
    <definedName name="forCd46" localSheetId="3">'[4]Overlap two proportions'!$BN$53</definedName>
    <definedName name="forCd46" localSheetId="6">'[4]Overlap two proportions'!$BN$53</definedName>
    <definedName name="forCd46" localSheetId="8">'[4]Overlap two proportions'!$BN$53</definedName>
    <definedName name="forCd46">'[4]Overlap two proportions'!$BN$53</definedName>
    <definedName name="forCd47" localSheetId="11">'[4]Overlap two proportions'!$BN$54</definedName>
    <definedName name="forCd47" localSheetId="9">'[4]Overlap two proportions'!$BN$54</definedName>
    <definedName name="forCd47" localSheetId="10">'[4]Overlap two proportions'!$BN$54</definedName>
    <definedName name="forCd47" localSheetId="5">'[4]Overlap two proportions'!$BN$54</definedName>
    <definedName name="forCd47" localSheetId="7">'[4]Overlap two proportions'!$BN$54</definedName>
    <definedName name="forCd47" localSheetId="12">'[5]Overlap two proportions'!$BN$54</definedName>
    <definedName name="forCd47" localSheetId="4">'[4]Overlap two proportions'!$BN$54</definedName>
    <definedName name="forCd47" localSheetId="3">'[4]Overlap two proportions'!$BN$54</definedName>
    <definedName name="forCd47" localSheetId="6">'[4]Overlap two proportions'!$BN$54</definedName>
    <definedName name="forCd47" localSheetId="8">'[4]Overlap two proportions'!$BN$54</definedName>
    <definedName name="forCd47">'[4]Overlap two proportions'!$BN$54</definedName>
    <definedName name="forCd48" localSheetId="11">'[4]Overlap two proportions'!$BN$55</definedName>
    <definedName name="forCd48" localSheetId="9">'[4]Overlap two proportions'!$BN$55</definedName>
    <definedName name="forCd48" localSheetId="10">'[4]Overlap two proportions'!$BN$55</definedName>
    <definedName name="forCd48" localSheetId="5">'[4]Overlap two proportions'!$BN$55</definedName>
    <definedName name="forCd48" localSheetId="7">'[4]Overlap two proportions'!$BN$55</definedName>
    <definedName name="forCd48" localSheetId="12">'[5]Overlap two proportions'!$BN$55</definedName>
    <definedName name="forCd48" localSheetId="4">'[4]Overlap two proportions'!$BN$55</definedName>
    <definedName name="forCd48" localSheetId="3">'[4]Overlap two proportions'!$BN$55</definedName>
    <definedName name="forCd48" localSheetId="6">'[4]Overlap two proportions'!$BN$55</definedName>
    <definedName name="forCd48" localSheetId="8">'[4]Overlap two proportions'!$BN$55</definedName>
    <definedName name="forCd48">'[4]Overlap two proportions'!$BN$55</definedName>
    <definedName name="forCd49" localSheetId="11">'[4]Overlap two proportions'!$BN$56</definedName>
    <definedName name="forCd49" localSheetId="9">'[4]Overlap two proportions'!$BN$56</definedName>
    <definedName name="forCd49" localSheetId="10">'[4]Overlap two proportions'!$BN$56</definedName>
    <definedName name="forCd49" localSheetId="5">'[4]Overlap two proportions'!$BN$56</definedName>
    <definedName name="forCd49" localSheetId="7">'[4]Overlap two proportions'!$BN$56</definedName>
    <definedName name="forCd49" localSheetId="12">'[5]Overlap two proportions'!$BN$56</definedName>
    <definedName name="forCd49" localSheetId="4">'[4]Overlap two proportions'!$BN$56</definedName>
    <definedName name="forCd49" localSheetId="3">'[4]Overlap two proportions'!$BN$56</definedName>
    <definedName name="forCd49" localSheetId="6">'[4]Overlap two proportions'!$BN$56</definedName>
    <definedName name="forCd49" localSheetId="8">'[4]Overlap two proportions'!$BN$56</definedName>
    <definedName name="forCd49">'[4]Overlap two proportions'!$BN$56</definedName>
    <definedName name="forCd5" localSheetId="11">'[4]Overlap two proportions'!$BN$12</definedName>
    <definedName name="forCd5" localSheetId="9">'[4]Overlap two proportions'!$BN$12</definedName>
    <definedName name="forCd5" localSheetId="10">'[4]Overlap two proportions'!$BN$12</definedName>
    <definedName name="forCd5" localSheetId="5">'[4]Overlap two proportions'!$BN$12</definedName>
    <definedName name="forCd5" localSheetId="7">'[4]Overlap two proportions'!$BN$12</definedName>
    <definedName name="forCd5" localSheetId="12">'[5]Overlap two proportions'!$BN$12</definedName>
    <definedName name="forCd5" localSheetId="4">'[4]Overlap two proportions'!$BN$12</definedName>
    <definedName name="forCd5" localSheetId="3">'[4]Overlap two proportions'!$BN$12</definedName>
    <definedName name="forCd5" localSheetId="6">'[4]Overlap two proportions'!$BN$12</definedName>
    <definedName name="forCd5" localSheetId="8">'[4]Overlap two proportions'!$BN$12</definedName>
    <definedName name="forCd5">'[4]Overlap two proportions'!$BN$12</definedName>
    <definedName name="forCd50" localSheetId="11">'[4]Overlap two proportions'!$BN$57</definedName>
    <definedName name="forCd50" localSheetId="9">'[4]Overlap two proportions'!$BN$57</definedName>
    <definedName name="forCd50" localSheetId="10">'[4]Overlap two proportions'!$BN$57</definedName>
    <definedName name="forCd50" localSheetId="5">'[4]Overlap two proportions'!$BN$57</definedName>
    <definedName name="forCd50" localSheetId="7">'[4]Overlap two proportions'!$BN$57</definedName>
    <definedName name="forCd50" localSheetId="12">'[5]Overlap two proportions'!$BN$57</definedName>
    <definedName name="forCd50" localSheetId="4">'[4]Overlap two proportions'!$BN$57</definedName>
    <definedName name="forCd50" localSheetId="3">'[4]Overlap two proportions'!$BN$57</definedName>
    <definedName name="forCd50" localSheetId="6">'[4]Overlap two proportions'!$BN$57</definedName>
    <definedName name="forCd50" localSheetId="8">'[4]Overlap two proportions'!$BN$57</definedName>
    <definedName name="forCd50">'[4]Overlap two proportions'!$BN$57</definedName>
    <definedName name="forCd51" localSheetId="11">'[4]Overlap two proportions'!$BN$58</definedName>
    <definedName name="forCd51" localSheetId="9">'[4]Overlap two proportions'!$BN$58</definedName>
    <definedName name="forCd51" localSheetId="10">'[4]Overlap two proportions'!$BN$58</definedName>
    <definedName name="forCd51" localSheetId="5">'[4]Overlap two proportions'!$BN$58</definedName>
    <definedName name="forCd51" localSheetId="7">'[4]Overlap two proportions'!$BN$58</definedName>
    <definedName name="forCd51" localSheetId="12">'[5]Overlap two proportions'!$BN$58</definedName>
    <definedName name="forCd51" localSheetId="4">'[4]Overlap two proportions'!$BN$58</definedName>
    <definedName name="forCd51" localSheetId="3">'[4]Overlap two proportions'!$BN$58</definedName>
    <definedName name="forCd51" localSheetId="6">'[4]Overlap two proportions'!$BN$58</definedName>
    <definedName name="forCd51" localSheetId="8">'[4]Overlap two proportions'!$BN$58</definedName>
    <definedName name="forCd51">'[4]Overlap two proportions'!$BN$58</definedName>
    <definedName name="forCd52" localSheetId="11">'[4]Overlap two proportions'!$BN$59</definedName>
    <definedName name="forCd52" localSheetId="9">'[4]Overlap two proportions'!$BN$59</definedName>
    <definedName name="forCd52" localSheetId="10">'[4]Overlap two proportions'!$BN$59</definedName>
    <definedName name="forCd52" localSheetId="5">'[4]Overlap two proportions'!$BN$59</definedName>
    <definedName name="forCd52" localSheetId="7">'[4]Overlap two proportions'!$BN$59</definedName>
    <definedName name="forCd52" localSheetId="12">'[5]Overlap two proportions'!$BN$59</definedName>
    <definedName name="forCd52" localSheetId="4">'[4]Overlap two proportions'!$BN$59</definedName>
    <definedName name="forCd52" localSheetId="3">'[4]Overlap two proportions'!$BN$59</definedName>
    <definedName name="forCd52" localSheetId="6">'[4]Overlap two proportions'!$BN$59</definedName>
    <definedName name="forCd52" localSheetId="8">'[4]Overlap two proportions'!$BN$59</definedName>
    <definedName name="forCd52">'[4]Overlap two proportions'!$BN$59</definedName>
    <definedName name="forCd53" localSheetId="11">'[4]Overlap two proportions'!$BN$60</definedName>
    <definedName name="forCd53" localSheetId="9">'[4]Overlap two proportions'!$BN$60</definedName>
    <definedName name="forCd53" localSheetId="10">'[4]Overlap two proportions'!$BN$60</definedName>
    <definedName name="forCd53" localSheetId="5">'[4]Overlap two proportions'!$BN$60</definedName>
    <definedName name="forCd53" localSheetId="7">'[4]Overlap two proportions'!$BN$60</definedName>
    <definedName name="forCd53" localSheetId="12">'[5]Overlap two proportions'!$BN$60</definedName>
    <definedName name="forCd53" localSheetId="4">'[4]Overlap two proportions'!$BN$60</definedName>
    <definedName name="forCd53" localSheetId="3">'[4]Overlap two proportions'!$BN$60</definedName>
    <definedName name="forCd53" localSheetId="6">'[4]Overlap two proportions'!$BN$60</definedName>
    <definedName name="forCd53" localSheetId="8">'[4]Overlap two proportions'!$BN$60</definedName>
    <definedName name="forCd53">'[4]Overlap two proportions'!$BN$60</definedName>
    <definedName name="forCd54" localSheetId="11">'[4]Overlap two proportions'!$BN$61</definedName>
    <definedName name="forCd54" localSheetId="9">'[4]Overlap two proportions'!$BN$61</definedName>
    <definedName name="forCd54" localSheetId="10">'[4]Overlap two proportions'!$BN$61</definedName>
    <definedName name="forCd54" localSheetId="5">'[4]Overlap two proportions'!$BN$61</definedName>
    <definedName name="forCd54" localSheetId="7">'[4]Overlap two proportions'!$BN$61</definedName>
    <definedName name="forCd54" localSheetId="12">'[5]Overlap two proportions'!$BN$61</definedName>
    <definedName name="forCd54" localSheetId="4">'[4]Overlap two proportions'!$BN$61</definedName>
    <definedName name="forCd54" localSheetId="3">'[4]Overlap two proportions'!$BN$61</definedName>
    <definedName name="forCd54" localSheetId="6">'[4]Overlap two proportions'!$BN$61</definedName>
    <definedName name="forCd54" localSheetId="8">'[4]Overlap two proportions'!$BN$61</definedName>
    <definedName name="forCd54">'[4]Overlap two proportions'!$BN$61</definedName>
    <definedName name="forCd55" localSheetId="11">'[4]Overlap two proportions'!$BN$62</definedName>
    <definedName name="forCd55" localSheetId="9">'[4]Overlap two proportions'!$BN$62</definedName>
    <definedName name="forCd55" localSheetId="10">'[4]Overlap two proportions'!$BN$62</definedName>
    <definedName name="forCd55" localSheetId="5">'[4]Overlap two proportions'!$BN$62</definedName>
    <definedName name="forCd55" localSheetId="7">'[4]Overlap two proportions'!$BN$62</definedName>
    <definedName name="forCd55" localSheetId="12">'[5]Overlap two proportions'!$BN$62</definedName>
    <definedName name="forCd55" localSheetId="4">'[4]Overlap two proportions'!$BN$62</definedName>
    <definedName name="forCd55" localSheetId="3">'[4]Overlap two proportions'!$BN$62</definedName>
    <definedName name="forCd55" localSheetId="6">'[4]Overlap two proportions'!$BN$62</definedName>
    <definedName name="forCd55" localSheetId="8">'[4]Overlap two proportions'!$BN$62</definedName>
    <definedName name="forCd55">'[4]Overlap two proportions'!$BN$62</definedName>
    <definedName name="forCd56" localSheetId="11">'[4]Overlap two proportions'!$BN$63</definedName>
    <definedName name="forCd56" localSheetId="9">'[4]Overlap two proportions'!$BN$63</definedName>
    <definedName name="forCd56" localSheetId="10">'[4]Overlap two proportions'!$BN$63</definedName>
    <definedName name="forCd56" localSheetId="5">'[4]Overlap two proportions'!$BN$63</definedName>
    <definedName name="forCd56" localSheetId="7">'[4]Overlap two proportions'!$BN$63</definedName>
    <definedName name="forCd56" localSheetId="12">'[5]Overlap two proportions'!$BN$63</definedName>
    <definedName name="forCd56" localSheetId="4">'[4]Overlap two proportions'!$BN$63</definedName>
    <definedName name="forCd56" localSheetId="3">'[4]Overlap two proportions'!$BN$63</definedName>
    <definedName name="forCd56" localSheetId="6">'[4]Overlap two proportions'!$BN$63</definedName>
    <definedName name="forCd56" localSheetId="8">'[4]Overlap two proportions'!$BN$63</definedName>
    <definedName name="forCd56">'[4]Overlap two proportions'!$BN$63</definedName>
    <definedName name="forCd57" localSheetId="11">'[4]Overlap two proportions'!$BN$64</definedName>
    <definedName name="forCd57" localSheetId="9">'[4]Overlap two proportions'!$BN$64</definedName>
    <definedName name="forCd57" localSheetId="10">'[4]Overlap two proportions'!$BN$64</definedName>
    <definedName name="forCd57" localSheetId="5">'[4]Overlap two proportions'!$BN$64</definedName>
    <definedName name="forCd57" localSheetId="7">'[4]Overlap two proportions'!$BN$64</definedName>
    <definedName name="forCd57" localSheetId="12">'[5]Overlap two proportions'!$BN$64</definedName>
    <definedName name="forCd57" localSheetId="4">'[4]Overlap two proportions'!$BN$64</definedName>
    <definedName name="forCd57" localSheetId="3">'[4]Overlap two proportions'!$BN$64</definedName>
    <definedName name="forCd57" localSheetId="6">'[4]Overlap two proportions'!$BN$64</definedName>
    <definedName name="forCd57" localSheetId="8">'[4]Overlap two proportions'!$BN$64</definedName>
    <definedName name="forCd57">'[4]Overlap two proportions'!$BN$64</definedName>
    <definedName name="forCd58" localSheetId="11">'[4]Overlap two proportions'!$BN$65</definedName>
    <definedName name="forCd58" localSheetId="9">'[4]Overlap two proportions'!$BN$65</definedName>
    <definedName name="forCd58" localSheetId="10">'[4]Overlap two proportions'!$BN$65</definedName>
    <definedName name="forCd58" localSheetId="5">'[4]Overlap two proportions'!$BN$65</definedName>
    <definedName name="forCd58" localSheetId="7">'[4]Overlap two proportions'!$BN$65</definedName>
    <definedName name="forCd58" localSheetId="12">'[5]Overlap two proportions'!$BN$65</definedName>
    <definedName name="forCd58" localSheetId="4">'[4]Overlap two proportions'!$BN$65</definedName>
    <definedName name="forCd58" localSheetId="3">'[4]Overlap two proportions'!$BN$65</definedName>
    <definedName name="forCd58" localSheetId="6">'[4]Overlap two proportions'!$BN$65</definedName>
    <definedName name="forCd58" localSheetId="8">'[4]Overlap two proportions'!$BN$65</definedName>
    <definedName name="forCd58">'[4]Overlap two proportions'!$BN$65</definedName>
    <definedName name="forCd59" localSheetId="11">'[4]Overlap two proportions'!$BN$66</definedName>
    <definedName name="forCd59" localSheetId="9">'[4]Overlap two proportions'!$BN$66</definedName>
    <definedName name="forCd59" localSheetId="10">'[4]Overlap two proportions'!$BN$66</definedName>
    <definedName name="forCd59" localSheetId="5">'[4]Overlap two proportions'!$BN$66</definedName>
    <definedName name="forCd59" localSheetId="7">'[4]Overlap two proportions'!$BN$66</definedName>
    <definedName name="forCd59" localSheetId="12">'[5]Overlap two proportions'!$BN$66</definedName>
    <definedName name="forCd59" localSheetId="4">'[4]Overlap two proportions'!$BN$66</definedName>
    <definedName name="forCd59" localSheetId="3">'[4]Overlap two proportions'!$BN$66</definedName>
    <definedName name="forCd59" localSheetId="6">'[4]Overlap two proportions'!$BN$66</definedName>
    <definedName name="forCd59" localSheetId="8">'[4]Overlap two proportions'!$BN$66</definedName>
    <definedName name="forCd59">'[4]Overlap two proportions'!$BN$66</definedName>
    <definedName name="forCd6" localSheetId="11">'[4]Overlap two proportions'!$BN$13</definedName>
    <definedName name="forCd6" localSheetId="9">'[4]Overlap two proportions'!$BN$13</definedName>
    <definedName name="forCd6" localSheetId="10">'[4]Overlap two proportions'!$BN$13</definedName>
    <definedName name="forCd6" localSheetId="5">'[4]Overlap two proportions'!$BN$13</definedName>
    <definedName name="forCd6" localSheetId="7">'[4]Overlap two proportions'!$BN$13</definedName>
    <definedName name="forCd6" localSheetId="12">'[5]Overlap two proportions'!$BN$13</definedName>
    <definedName name="forCd6" localSheetId="4">'[4]Overlap two proportions'!$BN$13</definedName>
    <definedName name="forCd6" localSheetId="3">'[4]Overlap two proportions'!$BN$13</definedName>
    <definedName name="forCd6" localSheetId="6">'[4]Overlap two proportions'!$BN$13</definedName>
    <definedName name="forCd6" localSheetId="8">'[4]Overlap two proportions'!$BN$13</definedName>
    <definedName name="forCd6">'[4]Overlap two proportions'!$BN$13</definedName>
    <definedName name="forCd60" localSheetId="11">'[4]Overlap two proportions'!$BN$67</definedName>
    <definedName name="forCd60" localSheetId="9">'[4]Overlap two proportions'!$BN$67</definedName>
    <definedName name="forCd60" localSheetId="10">'[4]Overlap two proportions'!$BN$67</definedName>
    <definedName name="forCd60" localSheetId="5">'[4]Overlap two proportions'!$BN$67</definedName>
    <definedName name="forCd60" localSheetId="7">'[4]Overlap two proportions'!$BN$67</definedName>
    <definedName name="forCd60" localSheetId="12">'[5]Overlap two proportions'!$BN$67</definedName>
    <definedName name="forCd60" localSheetId="4">'[4]Overlap two proportions'!$BN$67</definedName>
    <definedName name="forCd60" localSheetId="3">'[4]Overlap two proportions'!$BN$67</definedName>
    <definedName name="forCd60" localSheetId="6">'[4]Overlap two proportions'!$BN$67</definedName>
    <definedName name="forCd60" localSheetId="8">'[4]Overlap two proportions'!$BN$67</definedName>
    <definedName name="forCd60">'[4]Overlap two proportions'!$BN$67</definedName>
    <definedName name="forCd7" localSheetId="11">'[4]Overlap two proportions'!$BN$14</definedName>
    <definedName name="forCd7" localSheetId="9">'[4]Overlap two proportions'!$BN$14</definedName>
    <definedName name="forCd7" localSheetId="10">'[4]Overlap two proportions'!$BN$14</definedName>
    <definedName name="forCd7" localSheetId="5">'[4]Overlap two proportions'!$BN$14</definedName>
    <definedName name="forCd7" localSheetId="7">'[4]Overlap two proportions'!$BN$14</definedName>
    <definedName name="forCd7" localSheetId="12">'[5]Overlap two proportions'!$BN$14</definedName>
    <definedName name="forCd7" localSheetId="4">'[4]Overlap two proportions'!$BN$14</definedName>
    <definedName name="forCd7" localSheetId="3">'[4]Overlap two proportions'!$BN$14</definedName>
    <definedName name="forCd7" localSheetId="6">'[4]Overlap two proportions'!$BN$14</definedName>
    <definedName name="forCd7" localSheetId="8">'[4]Overlap two proportions'!$BN$14</definedName>
    <definedName name="forCd7">'[4]Overlap two proportions'!$BN$14</definedName>
    <definedName name="forCd8" localSheetId="11">'[4]Overlap two proportions'!$BN$15</definedName>
    <definedName name="forCd8" localSheetId="9">'[4]Overlap two proportions'!$BN$15</definedName>
    <definedName name="forCd8" localSheetId="10">'[4]Overlap two proportions'!$BN$15</definedName>
    <definedName name="forCd8" localSheetId="5">'[4]Overlap two proportions'!$BN$15</definedName>
    <definedName name="forCd8" localSheetId="7">'[4]Overlap two proportions'!$BN$15</definedName>
    <definedName name="forCd8" localSheetId="12">'[5]Overlap two proportions'!$BN$15</definedName>
    <definedName name="forCd8" localSheetId="4">'[4]Overlap two proportions'!$BN$15</definedName>
    <definedName name="forCd8" localSheetId="3">'[4]Overlap two proportions'!$BN$15</definedName>
    <definedName name="forCd8" localSheetId="6">'[4]Overlap two proportions'!$BN$15</definedName>
    <definedName name="forCd8" localSheetId="8">'[4]Overlap two proportions'!$BN$15</definedName>
    <definedName name="forCd8">'[4]Overlap two proportions'!$BN$15</definedName>
    <definedName name="forCd9" localSheetId="11">'[4]Overlap two proportions'!$BN$16</definedName>
    <definedName name="forCd9" localSheetId="9">'[4]Overlap two proportions'!$BN$16</definedName>
    <definedName name="forCd9" localSheetId="10">'[4]Overlap two proportions'!$BN$16</definedName>
    <definedName name="forCd9" localSheetId="5">'[4]Overlap two proportions'!$BN$16</definedName>
    <definedName name="forCd9" localSheetId="7">'[4]Overlap two proportions'!$BN$16</definedName>
    <definedName name="forCd9" localSheetId="12">'[5]Overlap two proportions'!$BN$16</definedName>
    <definedName name="forCd9" localSheetId="4">'[4]Overlap two proportions'!$BN$16</definedName>
    <definedName name="forCd9" localSheetId="3">'[4]Overlap two proportions'!$BN$16</definedName>
    <definedName name="forCd9" localSheetId="6">'[4]Overlap two proportions'!$BN$16</definedName>
    <definedName name="forCd9" localSheetId="8">'[4]Overlap two proportions'!$BN$16</definedName>
    <definedName name="forCd9">'[4]Overlap two proportions'!$BN$16</definedName>
    <definedName name="forchange" localSheetId="4">Scatterplots!#REF!</definedName>
    <definedName name="forchange" localSheetId="3">'See r'!$B$7:$B$8</definedName>
    <definedName name="forchange">'[23]See r'!$B$7:$B$8</definedName>
    <definedName name="forLR" localSheetId="11">#REF!</definedName>
    <definedName name="forLR" localSheetId="9">#REF!</definedName>
    <definedName name="forLR" localSheetId="10">#REF!</definedName>
    <definedName name="forLR">#REF!</definedName>
    <definedName name="forLzero">#REF!</definedName>
    <definedName name="forLzerotwo" localSheetId="11">'[20]Two studies'!$AK$12</definedName>
    <definedName name="forLzerotwo" localSheetId="9">'[20]Two studies'!$AK$12</definedName>
    <definedName name="forLzerotwo" localSheetId="10">'[20]Two studies'!$AK$12</definedName>
    <definedName name="forLzerotwo">#REF!</definedName>
    <definedName name="formean" localSheetId="11">#REF!</definedName>
    <definedName name="formean" localSheetId="9">#REF!</definedName>
    <definedName name="formean" localSheetId="10">#REF!</definedName>
    <definedName name="formean">#REF!</definedName>
    <definedName name="formeantwo" localSheetId="11">'[20]Two studies'!$AN$23</definedName>
    <definedName name="formeantwo" localSheetId="9">'[20]Two studies'!$AN$23</definedName>
    <definedName name="formeantwo" localSheetId="10">'[20]Two studies'!$AN$23</definedName>
    <definedName name="formeantwo">#REF!</definedName>
    <definedName name="formu">'[29]Case 1 Single Group'!$I$16</definedName>
    <definedName name="formul">'[29]Case 1 Single Group'!$K$14</definedName>
    <definedName name="formulaport">[6]Describe!$AD$4:$AD$39</definedName>
    <definedName name="forMX" localSheetId="11">'[15]Calculate r'!$AD$3</definedName>
    <definedName name="forMX" localSheetId="9">'[15]Calculate r'!$AD$3</definedName>
    <definedName name="forMX" localSheetId="10">'[15]Calculate r'!$AD$3</definedName>
    <definedName name="forMX" localSheetId="5">#REF!</definedName>
    <definedName name="forMX" localSheetId="7">#REF!</definedName>
    <definedName name="forMX" localSheetId="12">'[16]Calculate r'!$AD$3</definedName>
    <definedName name="forMX" localSheetId="4">#REF!</definedName>
    <definedName name="forMX" localSheetId="3">#REF!</definedName>
    <definedName name="forMX" localSheetId="6">#REF!</definedName>
    <definedName name="forMX" localSheetId="8">#REF!</definedName>
    <definedName name="forMX">'[15]Calculate r'!$AD$3</definedName>
    <definedName name="forMY" localSheetId="11">'[15]Calculate r'!$AG$3</definedName>
    <definedName name="forMY" localSheetId="9">'[15]Calculate r'!$AG$3</definedName>
    <definedName name="forMY" localSheetId="10">'[15]Calculate r'!$AG$3</definedName>
    <definedName name="forMY" localSheetId="5">#REF!</definedName>
    <definedName name="forMY" localSheetId="7">#REF!</definedName>
    <definedName name="forMY" localSheetId="12">'[16]Calculate r'!$AG$3</definedName>
    <definedName name="forMY" localSheetId="4">#REF!</definedName>
    <definedName name="forMY" localSheetId="3">#REF!</definedName>
    <definedName name="forMY" localSheetId="6">#REF!</definedName>
    <definedName name="forMY" localSheetId="8">#REF!</definedName>
    <definedName name="forMY">'[15]Calculate r'!$AG$3</definedName>
    <definedName name="forn" localSheetId="11">'[15]Calculate r'!$AG$2</definedName>
    <definedName name="forn" localSheetId="9">'[15]Calculate r'!$AG$2</definedName>
    <definedName name="forn" localSheetId="10">'[15]Calculate r'!$AG$2</definedName>
    <definedName name="forn" localSheetId="5">#REF!</definedName>
    <definedName name="forn" localSheetId="7">'One proportion'!$F$10</definedName>
    <definedName name="forn" localSheetId="12">'[16]Calculate r'!$AG$2</definedName>
    <definedName name="forn" localSheetId="4">#REF!</definedName>
    <definedName name="forn" localSheetId="3">#REF!</definedName>
    <definedName name="forn" localSheetId="6">#REF!</definedName>
    <definedName name="forn" localSheetId="8">#REF!</definedName>
    <definedName name="forn">'[15]Calculate r'!$AG$2</definedName>
    <definedName name="forna" localSheetId="8">'Two proportions'!$O$11</definedName>
    <definedName name="forna">'[24]Two proportions'!$O$11</definedName>
    <definedName name="fornb" localSheetId="8">'Two proportions'!$V$11</definedName>
    <definedName name="fornb">'[24]Two proportions'!$V$11</definedName>
    <definedName name="Forr2" localSheetId="5">'One correlation'!#REF!</definedName>
    <definedName name="Forr2" localSheetId="7">'One proportion'!#REF!</definedName>
    <definedName name="Forr2">#REF!</definedName>
    <definedName name="forRho" localSheetId="11">'[15]Calculate r'!$AG$1</definedName>
    <definedName name="forRho" localSheetId="9">'[15]Calculate r'!$AG$1</definedName>
    <definedName name="forRho" localSheetId="10">'[15]Calculate r'!$AG$1</definedName>
    <definedName name="forRho" localSheetId="5">#REF!</definedName>
    <definedName name="forRho" localSheetId="7">#REF!</definedName>
    <definedName name="forRho" localSheetId="12">'[16]Calculate r'!$AG$1</definedName>
    <definedName name="forRho" localSheetId="4">#REF!</definedName>
    <definedName name="forRho" localSheetId="3">#REF!</definedName>
    <definedName name="forRho" localSheetId="6">#REF!</definedName>
    <definedName name="forRho" localSheetId="8">#REF!</definedName>
    <definedName name="forRho">'[15]Calculate r'!$AG$1</definedName>
    <definedName name="forRound" localSheetId="11">'[15]Calculate r'!$AD$5</definedName>
    <definedName name="forRound" localSheetId="9">'[15]Calculate r'!$AD$5</definedName>
    <definedName name="forRound" localSheetId="10">'[15]Calculate r'!$AD$5</definedName>
    <definedName name="forRound" localSheetId="5">#REF!</definedName>
    <definedName name="forRound" localSheetId="7">#REF!</definedName>
    <definedName name="forRound" localSheetId="12">'[16]Calculate r'!$AD$5</definedName>
    <definedName name="forRound" localSheetId="4">#REF!</definedName>
    <definedName name="forRound" localSheetId="3">#REF!</definedName>
    <definedName name="forRound" localSheetId="6">#REF!</definedName>
    <definedName name="forRound" localSheetId="8">#REF!</definedName>
    <definedName name="forRound">'[15]Calculate r'!$AD$5</definedName>
    <definedName name="Forrtwo" localSheetId="6">'Two correlations'!$BN$14</definedName>
    <definedName name="Forrtwo" localSheetId="8">'Two proportions'!#REF!</definedName>
    <definedName name="Forrtwo">'[17]Two correlations'!$AT$19</definedName>
    <definedName name="forSD">[6]Describe!$T$11</definedName>
    <definedName name="forSDX" localSheetId="11">'[15]Calculate r'!$AD$4</definedName>
    <definedName name="forSDX" localSheetId="9">'[15]Calculate r'!$AD$4</definedName>
    <definedName name="forSDX" localSheetId="10">'[15]Calculate r'!$AD$4</definedName>
    <definedName name="forSDX" localSheetId="5">#REF!</definedName>
    <definedName name="forSDX" localSheetId="7">#REF!</definedName>
    <definedName name="forSDX" localSheetId="12">'[16]Calculate r'!$AD$4</definedName>
    <definedName name="forSDX" localSheetId="4">#REF!</definedName>
    <definedName name="forSDX" localSheetId="3">#REF!</definedName>
    <definedName name="forSDX" localSheetId="6">#REF!</definedName>
    <definedName name="forSDX" localSheetId="8">#REF!</definedName>
    <definedName name="forSDX">'[15]Calculate r'!$AD$4</definedName>
    <definedName name="forSDY" localSheetId="11">'[15]Calculate r'!$AG$4</definedName>
    <definedName name="forSDY" localSheetId="9">'[15]Calculate r'!$AG$4</definedName>
    <definedName name="forSDY" localSheetId="10">'[15]Calculate r'!$AG$4</definedName>
    <definedName name="forSDY" localSheetId="5">#REF!</definedName>
    <definedName name="forSDY" localSheetId="7">#REF!</definedName>
    <definedName name="forSDY" localSheetId="12">'[16]Calculate r'!$AG$4</definedName>
    <definedName name="forSDY" localSheetId="4">#REF!</definedName>
    <definedName name="forSDY" localSheetId="3">#REF!</definedName>
    <definedName name="forSDY" localSheetId="6">#REF!</definedName>
    <definedName name="forSDY" localSheetId="8">#REF!</definedName>
    <definedName name="forSDY">'[15]Calculate r'!$AG$4</definedName>
    <definedName name="forseed" localSheetId="11">'[15]See r'!$K$4</definedName>
    <definedName name="forseed" localSheetId="9">'[15]See r'!$K$4</definedName>
    <definedName name="forseed" localSheetId="10">'[15]See r'!$K$4</definedName>
    <definedName name="forseed" localSheetId="5">'[16]See r'!$K$4</definedName>
    <definedName name="forseed" localSheetId="7">'[16]See r'!$K$4</definedName>
    <definedName name="forseed" localSheetId="12">'[16]See r'!$K$4</definedName>
    <definedName name="forseed" localSheetId="4">Scatterplots!#REF!</definedName>
    <definedName name="forseed" localSheetId="3">'See r'!$B$3</definedName>
    <definedName name="forseed" localSheetId="6">'[16]See r'!$K$4</definedName>
    <definedName name="forseed" localSheetId="8">'[16]See r'!$K$4</definedName>
    <definedName name="forseed">'[15]See r'!$K$4</definedName>
    <definedName name="forx" localSheetId="7">'One proportion'!$F$8</definedName>
    <definedName name="forx">#REF!</definedName>
    <definedName name="forxa" localSheetId="8">'Two proportions'!$O$9</definedName>
    <definedName name="forxa">'[24]Two proportions'!$O$9</definedName>
    <definedName name="forxb" localSheetId="8">'Two proportions'!$V$9</definedName>
    <definedName name="forxb">'[24]Two proportions'!$V$9</definedName>
    <definedName name="forxx" localSheetId="5">'[8]Two proportions'!$B$4:$C$4</definedName>
    <definedName name="forxx" localSheetId="7">'[8]Two proportions'!$B$4:$C$4</definedName>
    <definedName name="forxx" localSheetId="12">'[8]Two proportions'!$B$4:$C$4</definedName>
    <definedName name="forxx" localSheetId="4">'[8]Two proportions'!$B$4:$C$4</definedName>
    <definedName name="forxx" localSheetId="3">'[8]Two proportions'!$B$4:$C$4</definedName>
    <definedName name="forxx" localSheetId="6">'[8]Two proportions'!$B$4:$C$4</definedName>
    <definedName name="forxx" localSheetId="8">'Two proportions'!$B$4:$C$4</definedName>
    <definedName name="forxx">#REF!</definedName>
    <definedName name="forzero" localSheetId="11">'[15]See r'!$AB$5</definedName>
    <definedName name="forzero" localSheetId="9">'[15]See r'!$AB$5</definedName>
    <definedName name="forzero" localSheetId="10">'[15]See r'!$AB$5</definedName>
    <definedName name="forzero" localSheetId="5">'[16]See r'!$AB$5</definedName>
    <definedName name="forzero" localSheetId="7">'[16]See r'!$AB$5</definedName>
    <definedName name="forzero" localSheetId="12">'[16]See r'!$AB$5</definedName>
    <definedName name="forzero" localSheetId="4">Scatterplots!#REF!</definedName>
    <definedName name="forzero" localSheetId="3">'See r'!$BD$5</definedName>
    <definedName name="forzero" localSheetId="6">'[16]See r'!$AB$5</definedName>
    <definedName name="forzero" localSheetId="8">'[16]See r'!$AB$5</definedName>
    <definedName name="forzero">'[15]See r'!$AB$5</definedName>
    <definedName name="forzoom" localSheetId="11">'[15]See r'!$Z$1</definedName>
    <definedName name="forzoom" localSheetId="9">'[15]See r'!$Z$1</definedName>
    <definedName name="forzoom" localSheetId="10">'[15]See r'!$Z$1</definedName>
    <definedName name="forzoom" localSheetId="5">'[16]See r'!$Z$1</definedName>
    <definedName name="forzoom" localSheetId="7">'[16]See r'!$Z$1</definedName>
    <definedName name="forzoom" localSheetId="12">'[16]See r'!$Z$1</definedName>
    <definedName name="forzoom" localSheetId="4">Scatterplots!$DJ$2</definedName>
    <definedName name="forzoom" localSheetId="3">'See r'!$BB$1</definedName>
    <definedName name="forzoom" localSheetId="6">'[16]See r'!$Z$1</definedName>
    <definedName name="forzoom" localSheetId="8">'[16]See r'!$Z$1</definedName>
    <definedName name="forzoom">'[15]See r'!$Z$1</definedName>
    <definedName name="four20" localSheetId="11">'[9]Fig 1'!$N$19:$N$22</definedName>
    <definedName name="four20" localSheetId="9">'[9]Fig 1'!$N$19:$N$22</definedName>
    <definedName name="four20" localSheetId="10">'[9]Fig 1'!$N$19:$N$22</definedName>
    <definedName name="four20" localSheetId="5">'[9]Fig 1'!$N$19:$N$22</definedName>
    <definedName name="four20" localSheetId="7">'[9]Fig 1'!$N$19:$N$22</definedName>
    <definedName name="four20" localSheetId="12">'[10]Fig 1'!$N$19:$N$22</definedName>
    <definedName name="four20" localSheetId="4">'[9]Fig 1'!$N$19:$N$22</definedName>
    <definedName name="four20" localSheetId="3">'[9]Fig 1'!$N$19:$N$22</definedName>
    <definedName name="four20" localSheetId="6">'[9]Fig 1'!$N$19:$N$22</definedName>
    <definedName name="four20" localSheetId="8">'[9]Fig 1'!$N$19:$N$22</definedName>
    <definedName name="four20">'[9]Fig 1'!$N$19:$N$22</definedName>
    <definedName name="four20old" localSheetId="11">'[9]Fig 1'!$O$19:$O$22</definedName>
    <definedName name="four20old" localSheetId="9">'[9]Fig 1'!$O$19:$O$22</definedName>
    <definedName name="four20old" localSheetId="10">'[9]Fig 1'!$O$19:$O$22</definedName>
    <definedName name="four20old" localSheetId="5">'[9]Fig 1'!$O$19:$O$22</definedName>
    <definedName name="four20old" localSheetId="7">'[9]Fig 1'!$O$19:$O$22</definedName>
    <definedName name="four20old" localSheetId="12">'[10]Fig 1'!$O$19:$O$22</definedName>
    <definedName name="four20old" localSheetId="4">'[9]Fig 1'!$O$19:$O$22</definedName>
    <definedName name="four20old" localSheetId="3">'[9]Fig 1'!$O$19:$O$22</definedName>
    <definedName name="four20old" localSheetId="6">'[9]Fig 1'!$O$19:$O$22</definedName>
    <definedName name="four20old" localSheetId="8">'[9]Fig 1'!$O$19:$O$22</definedName>
    <definedName name="four20old">'[9]Fig 1'!$O$19:$O$22</definedName>
    <definedName name="freezetf">[6]Describe!$U$26</definedName>
    <definedName name="freezeXtf" localSheetId="5">#REF!</definedName>
    <definedName name="freezeXtf" localSheetId="7">#REF!</definedName>
    <definedName name="freezeXtf" localSheetId="4">#REF!</definedName>
    <definedName name="freezeXtf" localSheetId="3">#REF!</definedName>
    <definedName name="freezeXtf" localSheetId="6">#REF!</definedName>
    <definedName name="freezeXtf" localSheetId="8">#REF!</definedName>
    <definedName name="freezeXtf">#REF!</definedName>
    <definedName name="freq11" localSheetId="11">'[4]Two proportions'!$G$8</definedName>
    <definedName name="freq11" localSheetId="9">'[4]Two proportions'!$G$8</definedName>
    <definedName name="freq11" localSheetId="10">'[4]Two proportions'!$G$8</definedName>
    <definedName name="freq11" localSheetId="5">'[4]Two proportions'!$G$8</definedName>
    <definedName name="freq11" localSheetId="7">'[4]Two proportions'!$G$8</definedName>
    <definedName name="freq11" localSheetId="12">'[5]Two proportions'!$G$8</definedName>
    <definedName name="freq11" localSheetId="4">'[4]Two proportions'!$G$8</definedName>
    <definedName name="freq11" localSheetId="3">'[4]Two proportions'!$G$8</definedName>
    <definedName name="freq11" localSheetId="6">'[4]Two proportions'!$G$8</definedName>
    <definedName name="freq11" localSheetId="8">'[4]Two proportions'!$G$8</definedName>
    <definedName name="freq11">'[4]Two proportions'!$G$8</definedName>
    <definedName name="freq12" localSheetId="11">'[4]Two proportions'!$I$8</definedName>
    <definedName name="freq12" localSheetId="9">'[4]Two proportions'!$I$8</definedName>
    <definedName name="freq12" localSheetId="10">'[4]Two proportions'!$I$8</definedName>
    <definedName name="freq12" localSheetId="5">'[4]Two proportions'!$I$8</definedName>
    <definedName name="freq12" localSheetId="7">'[4]Two proportions'!$I$8</definedName>
    <definedName name="freq12" localSheetId="12">'[5]Two proportions'!$I$8</definedName>
    <definedName name="freq12" localSheetId="4">'[4]Two proportions'!$I$8</definedName>
    <definedName name="freq12" localSheetId="3">'[4]Two proportions'!$I$8</definedName>
    <definedName name="freq12" localSheetId="6">'[4]Two proportions'!$I$8</definedName>
    <definedName name="freq12" localSheetId="8">'[4]Two proportions'!$I$8</definedName>
    <definedName name="freq12">'[4]Two proportions'!$I$8</definedName>
    <definedName name="freq21" localSheetId="11">'[4]Two proportions'!$G$11</definedName>
    <definedName name="freq21" localSheetId="9">'[4]Two proportions'!$G$11</definedName>
    <definedName name="freq21" localSheetId="10">'[4]Two proportions'!$G$11</definedName>
    <definedName name="freq21" localSheetId="5">'[4]Two proportions'!$G$11</definedName>
    <definedName name="freq21" localSheetId="7">'[4]Two proportions'!$G$11</definedName>
    <definedName name="freq21" localSheetId="12">'[5]Two proportions'!$G$11</definedName>
    <definedName name="freq21" localSheetId="4">'[4]Two proportions'!$G$11</definedName>
    <definedName name="freq21" localSheetId="3">'[4]Two proportions'!$G$11</definedName>
    <definedName name="freq21" localSheetId="6">'[4]Two proportions'!$G$11</definedName>
    <definedName name="freq21" localSheetId="8">'[4]Two proportions'!$G$11</definedName>
    <definedName name="freq21">'[4]Two proportions'!$G$11</definedName>
    <definedName name="freq22" localSheetId="11">'[4]Two proportions'!$I$11</definedName>
    <definedName name="freq22" localSheetId="9">'[4]Two proportions'!$I$11</definedName>
    <definedName name="freq22" localSheetId="10">'[4]Two proportions'!$I$11</definedName>
    <definedName name="freq22" localSheetId="5">'[4]Two proportions'!$I$11</definedName>
    <definedName name="freq22" localSheetId="7">'[4]Two proportions'!$I$11</definedName>
    <definedName name="freq22" localSheetId="12">'[5]Two proportions'!$I$11</definedName>
    <definedName name="freq22" localSheetId="4">'[4]Two proportions'!$I$11</definedName>
    <definedName name="freq22" localSheetId="3">'[4]Two proportions'!$I$11</definedName>
    <definedName name="freq22" localSheetId="6">'[4]Two proportions'!$I$11</definedName>
    <definedName name="freq22" localSheetId="8">'[4]Two proportions'!$I$11</definedName>
    <definedName name="freq22">'[4]Two proportions'!$I$11</definedName>
    <definedName name="Freqs1" localSheetId="11">'[4]Two proportions'!$G$8:$G$11</definedName>
    <definedName name="Freqs1" localSheetId="9">'[4]Two proportions'!$G$8:$G$11</definedName>
    <definedName name="Freqs1" localSheetId="10">'[4]Two proportions'!$G$8:$G$11</definedName>
    <definedName name="Freqs1" localSheetId="5">'[4]Two proportions'!$G$8:$G$11</definedName>
    <definedName name="Freqs1" localSheetId="7">'[4]Two proportions'!$G$8:$G$11</definedName>
    <definedName name="Freqs1" localSheetId="12">'[5]Two proportions'!$G$8:$G$11</definedName>
    <definedName name="Freqs1" localSheetId="4">'[4]Two proportions'!$G$8:$G$11</definedName>
    <definedName name="Freqs1" localSheetId="3">'[4]Two proportions'!$G$8:$G$11</definedName>
    <definedName name="Freqs1" localSheetId="6">'[4]Two proportions'!$G$8:$G$11</definedName>
    <definedName name="Freqs1" localSheetId="8">'[4]Two proportions'!$G$8:$G$11</definedName>
    <definedName name="Freqs1">'[4]Two proportions'!$G$8:$G$11</definedName>
    <definedName name="Freqs2" localSheetId="11">'[4]Two proportions'!$I$8:$I$11</definedName>
    <definedName name="Freqs2" localSheetId="9">'[4]Two proportions'!$I$8:$I$11</definedName>
    <definedName name="Freqs2" localSheetId="10">'[4]Two proportions'!$I$8:$I$11</definedName>
    <definedName name="Freqs2" localSheetId="5">'[4]Two proportions'!$I$8:$I$11</definedName>
    <definedName name="Freqs2" localSheetId="7">'[4]Two proportions'!$I$8:$I$11</definedName>
    <definedName name="Freqs2" localSheetId="12">'[5]Two proportions'!$I$8:$I$11</definedName>
    <definedName name="Freqs2" localSheetId="4">'[4]Two proportions'!$I$8:$I$11</definedName>
    <definedName name="Freqs2" localSheetId="3">'[4]Two proportions'!$I$8:$I$11</definedName>
    <definedName name="Freqs2" localSheetId="6">'[4]Two proportions'!$I$8:$I$11</definedName>
    <definedName name="Freqs2" localSheetId="8">'[4]Two proportions'!$I$8:$I$11</definedName>
    <definedName name="Freqs2">'[4]Two proportions'!$I$8:$I$11</definedName>
    <definedName name="FullRawData" localSheetId="11">'[4]Two proportions'!$AT$9:$AV$508</definedName>
    <definedName name="FullRawData" localSheetId="9">'[4]Two proportions'!$AT$9:$AV$508</definedName>
    <definedName name="FullRawData" localSheetId="10">'[4]Two proportions'!$AT$9:$AV$508</definedName>
    <definedName name="FullRawData" localSheetId="5">'[4]Two proportions'!$AT$9:$AV$508</definedName>
    <definedName name="FullRawData" localSheetId="7">'[4]Two proportions'!$AT$9:$AV$508</definedName>
    <definedName name="FullRawData" localSheetId="12">'[5]Two proportions'!$AT$9:$AV$508</definedName>
    <definedName name="FullRawData" localSheetId="4">'[4]Two proportions'!$AT$9:$AV$508</definedName>
    <definedName name="FullRawData" localSheetId="3">'[4]Two proportions'!$AT$9:$AV$508</definedName>
    <definedName name="FullRawData" localSheetId="6">'[4]Two proportions'!$AT$9:$AV$508</definedName>
    <definedName name="FullRawData" localSheetId="8">'[4]Two proportions'!$AT$9:$AV$508</definedName>
    <definedName name="FullRawData">'[4]Two proportions'!$AT$9:$AV$508</definedName>
    <definedName name="gamm" localSheetId="11">'[7]Precision one'!$AP$135</definedName>
    <definedName name="gamm" localSheetId="9">'[7]Precision one'!$AP$135</definedName>
    <definedName name="gamm" localSheetId="10">'[7]Precision one'!$AP$135</definedName>
    <definedName name="gamm" localSheetId="5">'[7]Precision one'!$AP$135</definedName>
    <definedName name="gamm" localSheetId="7">'[7]Precision one'!$AP$135</definedName>
    <definedName name="gamm" localSheetId="2">'Precision paired'!$C$66</definedName>
    <definedName name="gamm" localSheetId="1">'Precision two'!$C$77</definedName>
    <definedName name="gamm" localSheetId="12">'[7]Precision one'!$AP$135</definedName>
    <definedName name="gamm" localSheetId="4">'[7]Precision one'!$AP$135</definedName>
    <definedName name="gamm" localSheetId="3">'[7]Precision one'!$AP$135</definedName>
    <definedName name="gamm" localSheetId="6">'[7]Precision one'!$AP$135</definedName>
    <definedName name="gamm" localSheetId="8">'[7]Precision one'!$AP$135</definedName>
    <definedName name="gamm">#REF!</definedName>
    <definedName name="genXY" localSheetId="11">'[15]Calculate r'!$AH$8:$AI$307</definedName>
    <definedName name="genXY" localSheetId="9">'[15]Calculate r'!$AH$8:$AI$307</definedName>
    <definedName name="genXY" localSheetId="10">'[15]Calculate r'!$AH$8:$AI$307</definedName>
    <definedName name="genXY" localSheetId="5">#REF!</definedName>
    <definedName name="genXY" localSheetId="7">#REF!</definedName>
    <definedName name="genXY" localSheetId="12">'[16]Calculate r'!$AH$8:$AI$307</definedName>
    <definedName name="genXY" localSheetId="4">#REF!</definedName>
    <definedName name="genXY" localSheetId="3">#REF!</definedName>
    <definedName name="genXY" localSheetId="6">#REF!</definedName>
    <definedName name="genXY" localSheetId="8">#REF!</definedName>
    <definedName name="genXY">'[15]Calculate r'!$AH$8:$AI$307</definedName>
    <definedName name="getfour" localSheetId="11">'[7]Precision one'!$AE$1:$AE$4</definedName>
    <definedName name="getfour" localSheetId="9">'[7]Precision one'!$AE$1:$AE$4</definedName>
    <definedName name="getfour" localSheetId="10">'[7]Precision one'!$AE$1:$AE$4</definedName>
    <definedName name="getfour" localSheetId="5">'[7]Precision one'!$AE$1:$AE$4</definedName>
    <definedName name="getfour" localSheetId="7">'[7]Precision one'!$AE$1:$AE$4</definedName>
    <definedName name="getfour" localSheetId="2">'Precision paired'!#REF!</definedName>
    <definedName name="getfour" localSheetId="1">'Precision two'!#REF!</definedName>
    <definedName name="getfour" localSheetId="12">'[7]Precision one'!$AE$1:$AE$4</definedName>
    <definedName name="getfour" localSheetId="4">'[7]Precision one'!$AE$1:$AE$4</definedName>
    <definedName name="getfour" localSheetId="3">'[7]Precision one'!$AE$1:$AE$4</definedName>
    <definedName name="getfour" localSheetId="6">'[7]Precision one'!$AE$1:$AE$4</definedName>
    <definedName name="getfour" localSheetId="8">'[7]Precision one'!$AE$1:$AE$4</definedName>
    <definedName name="getfour">#REF!</definedName>
    <definedName name="getfourg" localSheetId="11">'[7]Precision one'!$AA$1:$AA$4</definedName>
    <definedName name="getfourg" localSheetId="9">'[7]Precision one'!$AA$1:$AA$4</definedName>
    <definedName name="getfourg" localSheetId="10">'[7]Precision one'!$AA$1:$AA$4</definedName>
    <definedName name="getfourg" localSheetId="5">'[7]Precision one'!$AA$1:$AA$4</definedName>
    <definedName name="getfourg" localSheetId="7">'[7]Precision one'!$AA$1:$AA$4</definedName>
    <definedName name="getfourg" localSheetId="2">'Precision paired'!#REF!</definedName>
    <definedName name="getfourg" localSheetId="1">'Precision two'!#REF!</definedName>
    <definedName name="getfourg" localSheetId="12">'[7]Precision one'!$AA$1:$AA$4</definedName>
    <definedName name="getfourg" localSheetId="4">'[7]Precision one'!$AA$1:$AA$4</definedName>
    <definedName name="getfourg" localSheetId="3">'[7]Precision one'!$AA$1:$AA$4</definedName>
    <definedName name="getfourg" localSheetId="6">'[7]Precision one'!$AA$1:$AA$4</definedName>
    <definedName name="getfourg" localSheetId="8">'[7]Precision one'!$AA$1:$AA$4</definedName>
    <definedName name="getfourg">#REF!</definedName>
    <definedName name="getgamma" localSheetId="11">'[7]Precision one'!$AI$1</definedName>
    <definedName name="getgamma" localSheetId="9">'[7]Precision one'!$AI$1</definedName>
    <definedName name="getgamma" localSheetId="10">'[7]Precision one'!$AI$1</definedName>
    <definedName name="getgamma" localSheetId="5">'[7]Precision one'!$AI$1</definedName>
    <definedName name="getgamma" localSheetId="7">'[7]Precision one'!$AI$1</definedName>
    <definedName name="getgamma" localSheetId="2">'Precision paired'!#REF!</definedName>
    <definedName name="getgamma" localSheetId="1">'Precision two'!#REF!</definedName>
    <definedName name="getgamma" localSheetId="12">'[7]Precision one'!$AI$1</definedName>
    <definedName name="getgamma" localSheetId="4">'[7]Precision one'!$AI$1</definedName>
    <definedName name="getgamma" localSheetId="3">'[7]Precision one'!$AI$1</definedName>
    <definedName name="getgamma" localSheetId="6">'[7]Precision one'!$AI$1</definedName>
    <definedName name="getgamma" localSheetId="8">'[7]Precision one'!$AI$1</definedName>
    <definedName name="getgamma">#REF!</definedName>
    <definedName name="getht">#REF!</definedName>
    <definedName name="getoneprop" localSheetId="7">'One proportion'!$B$20:$B$21</definedName>
    <definedName name="getoneprop">'[24]One proportion'!$B$20:$B$21</definedName>
    <definedName name="getrand" localSheetId="11">'[15]Calculate r'!$AD$2</definedName>
    <definedName name="getrand" localSheetId="9">'[15]Calculate r'!$AD$2</definedName>
    <definedName name="getrand" localSheetId="10">'[15]Calculate r'!$AD$2</definedName>
    <definedName name="getrand" localSheetId="5">#REF!</definedName>
    <definedName name="getrand" localSheetId="7">#REF!</definedName>
    <definedName name="getrand" localSheetId="12">'[16]Calculate r'!$AD$2</definedName>
    <definedName name="getrand" localSheetId="4">#REF!</definedName>
    <definedName name="getrand" localSheetId="3">#REF!</definedName>
    <definedName name="getrand" localSheetId="6">#REF!</definedName>
    <definedName name="getrand" localSheetId="8">#REF!</definedName>
    <definedName name="getrand">'[15]Calculate r'!$AD$2</definedName>
    <definedName name="gettwoprop" localSheetId="8">'Two proportions'!$C$18:$C$21</definedName>
    <definedName name="gettwoprop">'[24]Two proportions'!$C$18:$C$21</definedName>
    <definedName name="hictr">#REF!</definedName>
    <definedName name="holdfive">[6]Describe!$V$8:$V$12</definedName>
    <definedName name="holdthree">[6]Describe!$V$14</definedName>
    <definedName name="ig1labels" localSheetId="11">'Ind groups 2 x 2'!$BB$14:$BE$14</definedName>
    <definedName name="ig1labels" localSheetId="9">'Ind groups comparisons'!$AY$6:$BD$6</definedName>
    <definedName name="ig1labels" localSheetId="10">'Ind groups contrasts'!$BA$6:$BF$6</definedName>
    <definedName name="ig1labels">#REF!</definedName>
    <definedName name="ig1names" localSheetId="11">'Ind groups 2 x 2'!$BC$3:$BC$4</definedName>
    <definedName name="ig1names" localSheetId="9">'Ind groups comparisons'!$BB$3:$BB$4</definedName>
    <definedName name="ig1names" localSheetId="10">'Ind groups contrasts'!$BD$3:$BD$4</definedName>
    <definedName name="ig1names">#REF!</definedName>
    <definedName name="ig2labels" localSheetId="11">'Ind groups 2 x 2'!$BI$6:$BN$6</definedName>
    <definedName name="ig2labels" localSheetId="9">'Ind groups comparisons'!$BH$6:$BM$6</definedName>
    <definedName name="ig2labels" localSheetId="10">'Ind groups contrasts'!$BJ$6:$BO$6</definedName>
    <definedName name="ig2labels">#REF!</definedName>
    <definedName name="ig2names" localSheetId="11">'Ind groups 2 x 2'!$BL$3:$BL$4</definedName>
    <definedName name="ig2names" localSheetId="9">'Ind groups comparisons'!$BK$3:$BK$4</definedName>
    <definedName name="ig2names" localSheetId="10">'Ind groups contrasts'!$BM$3:$BM$4</definedName>
    <definedName name="ig2names">#REF!</definedName>
    <definedName name="ig3labels" localSheetId="11">'Ind groups 2 x 2'!$BR$6:$CM$6</definedName>
    <definedName name="ig3labels" localSheetId="9">'Ind groups comparisons'!$BQ$6:$BV$6</definedName>
    <definedName name="ig3labels" localSheetId="10">'Ind groups contrasts'!$BS$6:$BX$6</definedName>
    <definedName name="ig3labels">#REF!</definedName>
    <definedName name="ig3names" localSheetId="11">'Ind groups 2 x 2'!$BU$3:$BU$4</definedName>
    <definedName name="ig3names" localSheetId="9">'Ind groups comparisons'!$BT$3:$BT$4</definedName>
    <definedName name="ig3names" localSheetId="10">'Ind groups contrasts'!$BV$3:$BV$4</definedName>
    <definedName name="ig3names">#REF!</definedName>
    <definedName name="iglabels" localSheetId="11">'Ind groups 2 x 2'!#REF!</definedName>
    <definedName name="iglabels" localSheetId="9">'Ind groups comparisons'!$D$9:$I$9</definedName>
    <definedName name="iglabels" localSheetId="10">'Ind groups contrasts'!$D$9:$I$9</definedName>
    <definedName name="iglabels">#REF!</definedName>
    <definedName name="ignames" localSheetId="11">'Ind groups 2 x 2'!$F$6:$F$7</definedName>
    <definedName name="ignames" localSheetId="9">'Ind groups comparisons'!$E$6:$E$7</definedName>
    <definedName name="ignames" localSheetId="10">'Ind groups contrasts'!$E$6:$E$7</definedName>
    <definedName name="ignames">#REF!</definedName>
    <definedName name="ignone">'Ind groups comparisons'!$CW$2:$CW$3</definedName>
    <definedName name="igpark" localSheetId="11">'Ind groups 2 x 2'!#REF!</definedName>
    <definedName name="igpark" localSheetId="9">'Ind groups comparisons'!$D$9</definedName>
    <definedName name="igpark" localSheetId="10">'Ind groups contrasts'!$D$9</definedName>
    <definedName name="igpark">#REF!</definedName>
    <definedName name="igtf" localSheetId="11">'Ind groups 2 x 2'!$CZ$2:$DA$7</definedName>
    <definedName name="igtf">'Ind groups contrasts'!$CZ$2:$DA$7</definedName>
    <definedName name="iscaptg" localSheetId="11">'Ind groups 2 x 2'!#REF!</definedName>
    <definedName name="iscaptg" localSheetId="9">'Ind groups comparisons'!#REF!</definedName>
    <definedName name="iscaptg" localSheetId="10">'Ind groups contrasts'!#REF!</definedName>
    <definedName name="iscaptg" localSheetId="5">#REF!</definedName>
    <definedName name="iscaptg" localSheetId="7">#REF!</definedName>
    <definedName name="iscaptg" localSheetId="4">#REF!</definedName>
    <definedName name="iscaptg" localSheetId="3">#REF!</definedName>
    <definedName name="iscaptg" localSheetId="6">#REF!</definedName>
    <definedName name="iscaptg" localSheetId="8">#REF!</definedName>
    <definedName name="iscaptg">#REF!</definedName>
    <definedName name="kbins">[6]Describe!$T$37</definedName>
    <definedName name="Kclear" localSheetId="11">[31]APR!$Y$19:$AF$1016</definedName>
    <definedName name="Kclear" localSheetId="9">[31]APR!$Y$19:$AF$1016</definedName>
    <definedName name="Kclear" localSheetId="10">[31]APR!$Y$19:$AF$1016</definedName>
    <definedName name="Kclear" localSheetId="5">[31]APR!$Y$19:$AF$1016</definedName>
    <definedName name="Kclear" localSheetId="7">[31]APR!$Y$19:$AF$1016</definedName>
    <definedName name="Kclear" localSheetId="12">[32]APR!$Y$19:$AF$1016</definedName>
    <definedName name="Kclear" localSheetId="4">[31]APR!$Y$19:$AF$1016</definedName>
    <definedName name="Kclear" localSheetId="3">[31]APR!$Y$19:$AF$1016</definedName>
    <definedName name="Kclear" localSheetId="6">[31]APR!$Y$19:$AF$1016</definedName>
    <definedName name="Kclear" localSheetId="8">[31]APR!$Y$19:$AF$1016</definedName>
    <definedName name="Kclear">[31]APR!$Y$19:$AF$1016</definedName>
    <definedName name="Kcounter" localSheetId="11">[31]APR!$Z$6</definedName>
    <definedName name="Kcounter" localSheetId="9">[31]APR!$Z$6</definedName>
    <definedName name="Kcounter" localSheetId="10">[31]APR!$Z$6</definedName>
    <definedName name="Kcounter" localSheetId="5">[31]APR!$Z$6</definedName>
    <definedName name="Kcounter" localSheetId="7">[31]APR!$Z$6</definedName>
    <definedName name="Kcounter" localSheetId="12">[32]APR!$Z$6</definedName>
    <definedName name="Kcounter" localSheetId="4">[31]APR!$Z$6</definedName>
    <definedName name="Kcounter" localSheetId="3">[31]APR!$Z$6</definedName>
    <definedName name="Kcounter" localSheetId="6">[31]APR!$Z$6</definedName>
    <definedName name="Kcounter" localSheetId="8">[31]APR!$Z$6</definedName>
    <definedName name="Kcounter">[31]APR!$Z$6</definedName>
    <definedName name="KDswitch" localSheetId="11">[31]APR!$Z$9</definedName>
    <definedName name="KDswitch" localSheetId="9">[31]APR!$Z$9</definedName>
    <definedName name="KDswitch" localSheetId="10">[31]APR!$Z$9</definedName>
    <definedName name="KDswitch" localSheetId="5">[31]APR!$Z$9</definedName>
    <definedName name="KDswitch" localSheetId="7">[31]APR!$Z$9</definedName>
    <definedName name="KDswitch" localSheetId="12">[32]APR!$Z$9</definedName>
    <definedName name="KDswitch" localSheetId="4">[31]APR!$Z$9</definedName>
    <definedName name="KDswitch" localSheetId="3">[31]APR!$Z$9</definedName>
    <definedName name="KDswitch" localSheetId="6">[31]APR!$Z$9</definedName>
    <definedName name="KDswitch" localSheetId="8">[31]APR!$Z$9</definedName>
    <definedName name="KDswitch">[31]APR!$Z$9</definedName>
    <definedName name="Kfill" localSheetId="11">[31]APR!$Z$18:$AF$1016</definedName>
    <definedName name="Kfill" localSheetId="9">[31]APR!$Z$18:$AF$1016</definedName>
    <definedName name="Kfill" localSheetId="10">[31]APR!$Z$18:$AF$1016</definedName>
    <definedName name="Kfill" localSheetId="5">[31]APR!$Z$18:$AF$1016</definedName>
    <definedName name="Kfill" localSheetId="7">[31]APR!$Z$18:$AF$1016</definedName>
    <definedName name="Kfill" localSheetId="12">[32]APR!$Z$18:$AF$1016</definedName>
    <definedName name="Kfill" localSheetId="4">[31]APR!$Z$18:$AF$1016</definedName>
    <definedName name="Kfill" localSheetId="3">[31]APR!$Z$18:$AF$1016</definedName>
    <definedName name="Kfill" localSheetId="6">[31]APR!$Z$18:$AF$1016</definedName>
    <definedName name="Kfill" localSheetId="8">[31]APR!$Z$18:$AF$1016</definedName>
    <definedName name="Kfill">[31]APR!$Z$18:$AF$1016</definedName>
    <definedName name="Kformulas" localSheetId="11">[31]APR!$Z$18:$AF$18</definedName>
    <definedName name="Kformulas" localSheetId="9">[31]APR!$Z$18:$AF$18</definedName>
    <definedName name="Kformulas" localSheetId="10">[31]APR!$Z$18:$AF$18</definedName>
    <definedName name="Kformulas" localSheetId="5">[31]APR!$Z$18:$AF$18</definedName>
    <definedName name="Kformulas" localSheetId="7">[31]APR!$Z$18:$AF$18</definedName>
    <definedName name="Kformulas" localSheetId="12">[32]APR!$Z$18:$AF$18</definedName>
    <definedName name="Kformulas" localSheetId="4">[31]APR!$Z$18:$AF$18</definedName>
    <definedName name="Kformulas" localSheetId="3">[31]APR!$Z$18:$AF$18</definedName>
    <definedName name="Kformulas" localSheetId="6">[31]APR!$Z$18:$AF$18</definedName>
    <definedName name="Kformulas" localSheetId="8">[31]APR!$Z$18:$AF$18</definedName>
    <definedName name="Kformulas">[31]APR!$Z$18:$AF$18</definedName>
    <definedName name="Kmaxy" localSheetId="11">[31]APR!$AD$5</definedName>
    <definedName name="Kmaxy" localSheetId="9">[31]APR!$AD$5</definedName>
    <definedName name="Kmaxy" localSheetId="10">[31]APR!$AD$5</definedName>
    <definedName name="Kmaxy" localSheetId="5">[31]APR!$AD$5</definedName>
    <definedName name="Kmaxy" localSheetId="7">[31]APR!$AD$5</definedName>
    <definedName name="Kmaxy" localSheetId="12">[32]APR!$AD$5</definedName>
    <definedName name="Kmaxy" localSheetId="4">[31]APR!$AD$5</definedName>
    <definedName name="Kmaxy" localSheetId="3">[31]APR!$AD$5</definedName>
    <definedName name="Kmaxy" localSheetId="6">[31]APR!$AD$5</definedName>
    <definedName name="Kmaxy" localSheetId="8">[31]APR!$AD$5</definedName>
    <definedName name="Kmaxy">[31]APR!$AD$5</definedName>
    <definedName name="Knum" localSheetId="11">[31]APR!$AD$7</definedName>
    <definedName name="Knum" localSheetId="9">[31]APR!$AD$7</definedName>
    <definedName name="Knum" localSheetId="10">[31]APR!$AD$7</definedName>
    <definedName name="Knum" localSheetId="5">[31]APR!$AD$7</definedName>
    <definedName name="Knum" localSheetId="7">[31]APR!$AD$7</definedName>
    <definedName name="Knum" localSheetId="12">[32]APR!$AD$7</definedName>
    <definedName name="Knum" localSheetId="4">[31]APR!$AD$7</definedName>
    <definedName name="Knum" localSheetId="3">[31]APR!$AD$7</definedName>
    <definedName name="Knum" localSheetId="6">[31]APR!$AD$7</definedName>
    <definedName name="Knum" localSheetId="8">[31]APR!$AD$7</definedName>
    <definedName name="Knum">[31]APR!$AD$7</definedName>
    <definedName name="Kpark" localSheetId="11">[31]APR!$N$2</definedName>
    <definedName name="Kpark" localSheetId="9">[31]APR!$N$2</definedName>
    <definedName name="Kpark" localSheetId="10">[31]APR!$N$2</definedName>
    <definedName name="Kpark" localSheetId="5">[31]APR!$N$2</definedName>
    <definedName name="Kpark" localSheetId="7">[31]APR!$N$2</definedName>
    <definedName name="Kpark" localSheetId="12">[32]APR!$N$2</definedName>
    <definedName name="Kpark" localSheetId="4">[31]APR!$N$2</definedName>
    <definedName name="Kpark" localSheetId="3">[31]APR!$N$2</definedName>
    <definedName name="Kpark" localSheetId="6">[31]APR!$N$2</definedName>
    <definedName name="Kpark" localSheetId="8">[31]APR!$N$2</definedName>
    <definedName name="Kpark">[31]APR!$N$2</definedName>
    <definedName name="Krand" localSheetId="11">[31]APR!$Z$8</definedName>
    <definedName name="Krand" localSheetId="9">[31]APR!$Z$8</definedName>
    <definedName name="Krand" localSheetId="10">[31]APR!$Z$8</definedName>
    <definedName name="Krand" localSheetId="5">[31]APR!$Z$8</definedName>
    <definedName name="Krand" localSheetId="7">[31]APR!$Z$8</definedName>
    <definedName name="Krand" localSheetId="12">[32]APR!$Z$8</definedName>
    <definedName name="Krand" localSheetId="4">[31]APR!$Z$8</definedName>
    <definedName name="Krand" localSheetId="3">[31]APR!$Z$8</definedName>
    <definedName name="Krand" localSheetId="6">[31]APR!$Z$8</definedName>
    <definedName name="Krand" localSheetId="8">[31]APR!$Z$8</definedName>
    <definedName name="Krand">[31]APR!$Z$8</definedName>
    <definedName name="Kseed" localSheetId="11">[31]APR!$N$3</definedName>
    <definedName name="Kseed" localSheetId="9">[31]APR!$N$3</definedName>
    <definedName name="Kseed" localSheetId="10">[31]APR!$N$3</definedName>
    <definedName name="Kseed" localSheetId="5">[31]APR!$N$3</definedName>
    <definedName name="Kseed" localSheetId="7">[31]APR!$N$3</definedName>
    <definedName name="Kseed" localSheetId="12">[32]APR!$N$3</definedName>
    <definedName name="Kseed" localSheetId="4">[31]APR!$N$3</definedName>
    <definedName name="Kseed" localSheetId="3">[31]APR!$N$3</definedName>
    <definedName name="Kseed" localSheetId="6">[31]APR!$N$3</definedName>
    <definedName name="Kseed" localSheetId="8">[31]APR!$N$3</definedName>
    <definedName name="Kseed">[31]APR!$N$3</definedName>
    <definedName name="Kseries" localSheetId="11">[31]APR!$Y$18</definedName>
    <definedName name="Kseries" localSheetId="9">[31]APR!$Y$18</definedName>
    <definedName name="Kseries" localSheetId="10">[31]APR!$Y$18</definedName>
    <definedName name="Kseries" localSheetId="5">[31]APR!$Y$18</definedName>
    <definedName name="Kseries" localSheetId="7">[31]APR!$Y$18</definedName>
    <definedName name="Kseries" localSheetId="12">[32]APR!$Y$18</definedName>
    <definedName name="Kseries" localSheetId="4">[31]APR!$Y$18</definedName>
    <definedName name="Kseries" localSheetId="3">[31]APR!$Y$18</definedName>
    <definedName name="Kseries" localSheetId="6">[31]APR!$Y$18</definedName>
    <definedName name="Kseries" localSheetId="8">[31]APR!$Y$18</definedName>
    <definedName name="Kseries">[31]APR!$Y$18</definedName>
    <definedName name="Kspeed" localSheetId="11">[31]APR!$J$17</definedName>
    <definedName name="Kspeed" localSheetId="9">[31]APR!$J$17</definedName>
    <definedName name="Kspeed" localSheetId="10">[31]APR!$J$17</definedName>
    <definedName name="Kspeed" localSheetId="5">[31]APR!$J$17</definedName>
    <definedName name="Kspeed" localSheetId="7">[31]APR!$J$17</definedName>
    <definedName name="Kspeed" localSheetId="12">[32]APR!$J$17</definedName>
    <definedName name="Kspeed" localSheetId="4">[31]APR!$J$17</definedName>
    <definedName name="Kspeed" localSheetId="3">[31]APR!$J$17</definedName>
    <definedName name="Kspeed" localSheetId="6">[31]APR!$J$17</definedName>
    <definedName name="Kspeed" localSheetId="8">[31]APR!$J$17</definedName>
    <definedName name="Kspeed">[31]APR!$J$17</definedName>
    <definedName name="Kswitch" localSheetId="11">[31]APR!$Z$5</definedName>
    <definedName name="Kswitch" localSheetId="9">[31]APR!$Z$5</definedName>
    <definedName name="Kswitch" localSheetId="10">[31]APR!$Z$5</definedName>
    <definedName name="Kswitch" localSheetId="5">[31]APR!$Z$5</definedName>
    <definedName name="Kswitch" localSheetId="7">[31]APR!$Z$5</definedName>
    <definedName name="Kswitch" localSheetId="12">[32]APR!$Z$5</definedName>
    <definedName name="Kswitch" localSheetId="4">[31]APR!$Z$5</definedName>
    <definedName name="Kswitch" localSheetId="3">[31]APR!$Z$5</definedName>
    <definedName name="Kswitch" localSheetId="6">[31]APR!$Z$5</definedName>
    <definedName name="Kswitch" localSheetId="8">[31]APR!$Z$5</definedName>
    <definedName name="Kswitch">[31]APR!$Z$5</definedName>
    <definedName name="Ktest" localSheetId="11">[31]APR!$Y$19</definedName>
    <definedName name="Ktest" localSheetId="9">[31]APR!$Y$19</definedName>
    <definedName name="Ktest" localSheetId="10">[31]APR!$Y$19</definedName>
    <definedName name="Ktest" localSheetId="5">[31]APR!$Y$19</definedName>
    <definedName name="Ktest" localSheetId="7">[31]APR!$Y$19</definedName>
    <definedName name="Ktest" localSheetId="12">[32]APR!$Y$19</definedName>
    <definedName name="Ktest" localSheetId="4">[31]APR!$Y$19</definedName>
    <definedName name="Ktest" localSheetId="3">[31]APR!$Y$19</definedName>
    <definedName name="Ktest" localSheetId="6">[31]APR!$Y$19</definedName>
    <definedName name="Ktest" localSheetId="8">[31]APR!$Y$19</definedName>
    <definedName name="Ktest">[31]APR!$Y$19</definedName>
    <definedName name="Ktopswitch" localSheetId="11">[31]APR!$Z$7</definedName>
    <definedName name="Ktopswitch" localSheetId="9">[31]APR!$Z$7</definedName>
    <definedName name="Ktopswitch" localSheetId="10">[31]APR!$Z$7</definedName>
    <definedName name="Ktopswitch" localSheetId="5">[31]APR!$Z$7</definedName>
    <definedName name="Ktopswitch" localSheetId="7">[31]APR!$Z$7</definedName>
    <definedName name="Ktopswitch" localSheetId="12">[32]APR!$Z$7</definedName>
    <definedName name="Ktopswitch" localSheetId="4">[31]APR!$Z$7</definedName>
    <definedName name="Ktopswitch" localSheetId="3">[31]APR!$Z$7</definedName>
    <definedName name="Ktopswitch" localSheetId="6">[31]APR!$Z$7</definedName>
    <definedName name="Ktopswitch" localSheetId="8">[31]APR!$Z$7</definedName>
    <definedName name="Ktopswitch">[31]APR!$Z$7</definedName>
    <definedName name="Kxinc" localSheetId="11">[31]APR!$U$32</definedName>
    <definedName name="Kxinc" localSheetId="9">[31]APR!$U$32</definedName>
    <definedName name="Kxinc" localSheetId="10">[31]APR!$U$32</definedName>
    <definedName name="Kxinc" localSheetId="5">[31]APR!$U$32</definedName>
    <definedName name="Kxinc" localSheetId="7">[31]APR!$U$32</definedName>
    <definedName name="Kxinc" localSheetId="12">[32]APR!$U$32</definedName>
    <definedName name="Kxinc" localSheetId="4">[31]APR!$U$32</definedName>
    <definedName name="Kxinc" localSheetId="3">[31]APR!$U$32</definedName>
    <definedName name="Kxinc" localSheetId="6">[31]APR!$U$32</definedName>
    <definedName name="Kxinc" localSheetId="8">[31]APR!$U$32</definedName>
    <definedName name="Kxinc">[31]APR!$U$32</definedName>
    <definedName name="Kxinc2" localSheetId="11">[31]APR!$AE$4</definedName>
    <definedName name="Kxinc2" localSheetId="9">[31]APR!$AE$4</definedName>
    <definedName name="Kxinc2" localSheetId="10">[31]APR!$AE$4</definedName>
    <definedName name="Kxinc2" localSheetId="5">[31]APR!$AE$4</definedName>
    <definedName name="Kxinc2" localSheetId="7">[31]APR!$AE$4</definedName>
    <definedName name="Kxinc2" localSheetId="12">[32]APR!$AE$4</definedName>
    <definedName name="Kxinc2" localSheetId="4">[31]APR!$AE$4</definedName>
    <definedName name="Kxinc2" localSheetId="3">[31]APR!$AE$4</definedName>
    <definedName name="Kxinc2" localSheetId="6">[31]APR!$AE$4</definedName>
    <definedName name="Kxinc2" localSheetId="8">[31]APR!$AE$4</definedName>
    <definedName name="Kxinc2">[31]APR!$AE$4</definedName>
    <definedName name="Kxinc3" localSheetId="11">[31]APR!$AE$3</definedName>
    <definedName name="Kxinc3" localSheetId="9">[31]APR!$AE$3</definedName>
    <definedName name="Kxinc3" localSheetId="10">[31]APR!$AE$3</definedName>
    <definedName name="Kxinc3" localSheetId="5">[31]APR!$AE$3</definedName>
    <definedName name="Kxinc3" localSheetId="7">[31]APR!$AE$3</definedName>
    <definedName name="Kxinc3" localSheetId="12">[32]APR!$AE$3</definedName>
    <definedName name="Kxinc3" localSheetId="4">[31]APR!$AE$3</definedName>
    <definedName name="Kxinc3" localSheetId="3">[31]APR!$AE$3</definedName>
    <definedName name="Kxinc3" localSheetId="6">[31]APR!$AE$3</definedName>
    <definedName name="Kxinc3" localSheetId="8">[31]APR!$AE$3</definedName>
    <definedName name="Kxinc3">[31]APR!$AE$3</definedName>
    <definedName name="Kxinc4" localSheetId="11">[31]APR!$AE$2</definedName>
    <definedName name="Kxinc4" localSheetId="9">[31]APR!$AE$2</definedName>
    <definedName name="Kxinc4" localSheetId="10">[31]APR!$AE$2</definedName>
    <definedName name="Kxinc4" localSheetId="5">[31]APR!$AE$2</definedName>
    <definedName name="Kxinc4" localSheetId="7">[31]APR!$AE$2</definedName>
    <definedName name="Kxinc4" localSheetId="12">[32]APR!$AE$2</definedName>
    <definedName name="Kxinc4" localSheetId="4">[31]APR!$AE$2</definedName>
    <definedName name="Kxinc4" localSheetId="3">[31]APR!$AE$2</definedName>
    <definedName name="Kxinc4" localSheetId="6">[31]APR!$AE$2</definedName>
    <definedName name="Kxinc4" localSheetId="8">[31]APR!$AE$2</definedName>
    <definedName name="Kxinc4">[31]APR!$AE$2</definedName>
    <definedName name="Kyinc" localSheetId="11">[31]APR!$U$35</definedName>
    <definedName name="Kyinc" localSheetId="9">[31]APR!$U$35</definedName>
    <definedName name="Kyinc" localSheetId="10">[31]APR!$U$35</definedName>
    <definedName name="Kyinc" localSheetId="5">[31]APR!$U$35</definedName>
    <definedName name="Kyinc" localSheetId="7">[31]APR!$U$35</definedName>
    <definedName name="Kyinc" localSheetId="12">[32]APR!$U$35</definedName>
    <definedName name="Kyinc" localSheetId="4">[31]APR!$U$35</definedName>
    <definedName name="Kyinc" localSheetId="3">[31]APR!$U$35</definedName>
    <definedName name="Kyinc" localSheetId="6">[31]APR!$U$35</definedName>
    <definedName name="Kyinc" localSheetId="8">[31]APR!$U$35</definedName>
    <definedName name="Kyinc">[31]APR!$U$35</definedName>
    <definedName name="Kyinc2" localSheetId="11">[31]APR!$AF$4</definedName>
    <definedName name="Kyinc2" localSheetId="9">[31]APR!$AF$4</definedName>
    <definedName name="Kyinc2" localSheetId="10">[31]APR!$AF$4</definedName>
    <definedName name="Kyinc2" localSheetId="5">[31]APR!$AF$4</definedName>
    <definedName name="Kyinc2" localSheetId="7">[31]APR!$AF$4</definedName>
    <definedName name="Kyinc2" localSheetId="12">[32]APR!$AF$4</definedName>
    <definedName name="Kyinc2" localSheetId="4">[31]APR!$AF$4</definedName>
    <definedName name="Kyinc2" localSheetId="3">[31]APR!$AF$4</definedName>
    <definedName name="Kyinc2" localSheetId="6">[31]APR!$AF$4</definedName>
    <definedName name="Kyinc2" localSheetId="8">[31]APR!$AF$4</definedName>
    <definedName name="Kyinc2">[31]APR!$AF$4</definedName>
    <definedName name="Kyinc3" localSheetId="11">[31]APR!$AF$3</definedName>
    <definedName name="Kyinc3" localSheetId="9">[31]APR!$AF$3</definedName>
    <definedName name="Kyinc3" localSheetId="10">[31]APR!$AF$3</definedName>
    <definedName name="Kyinc3" localSheetId="5">[31]APR!$AF$3</definedName>
    <definedName name="Kyinc3" localSheetId="7">[31]APR!$AF$3</definedName>
    <definedName name="Kyinc3" localSheetId="12">[32]APR!$AF$3</definedName>
    <definedName name="Kyinc3" localSheetId="4">[31]APR!$AF$3</definedName>
    <definedName name="Kyinc3" localSheetId="3">[31]APR!$AF$3</definedName>
    <definedName name="Kyinc3" localSheetId="6">[31]APR!$AF$3</definedName>
    <definedName name="Kyinc3" localSheetId="8">[31]APR!$AF$3</definedName>
    <definedName name="Kyinc3">[31]APR!$AF$3</definedName>
    <definedName name="Kyinc4" localSheetId="11">[31]APR!$AF$2</definedName>
    <definedName name="Kyinc4" localSheetId="9">[31]APR!$AF$2</definedName>
    <definedName name="Kyinc4" localSheetId="10">[31]APR!$AF$2</definedName>
    <definedName name="Kyinc4" localSheetId="5">[31]APR!$AF$2</definedName>
    <definedName name="Kyinc4" localSheetId="7">[31]APR!$AF$2</definedName>
    <definedName name="Kyinc4" localSheetId="12">[32]APR!$AF$2</definedName>
    <definedName name="Kyinc4" localSheetId="4">[31]APR!$AF$2</definedName>
    <definedName name="Kyinc4" localSheetId="3">[31]APR!$AF$2</definedName>
    <definedName name="Kyinc4" localSheetId="6">[31]APR!$AF$2</definedName>
    <definedName name="Kyinc4" localSheetId="8">[31]APR!$AF$2</definedName>
    <definedName name="Kyinc4">[31]APR!$AF$2</definedName>
    <definedName name="labelsprops" localSheetId="11">'[33]Two proportions'!$B$9:$C$10,'[33]Two proportions'!$E$8,'[33]Two proportions'!$E$11,'[33]Two proportions'!$G$4:$I$4,'[33]Two proportions'!$G$6,'[33]Two proportions'!$I$6</definedName>
    <definedName name="labelsprops" localSheetId="9">'[33]Two proportions'!$B$9:$C$10,'[33]Two proportions'!$E$8,'[33]Two proportions'!$E$11,'[33]Two proportions'!$G$4:$I$4,'[33]Two proportions'!$G$6,'[33]Two proportions'!$I$6</definedName>
    <definedName name="labelsprops" localSheetId="10">'[33]Two proportions'!$B$9:$C$10,'[33]Two proportions'!$E$8,'[33]Two proportions'!$E$11,'[33]Two proportions'!$G$4:$I$4,'[33]Two proportions'!$G$6,'[33]Two proportions'!$I$6</definedName>
    <definedName name="labelsprops" localSheetId="5">'[4]Two proportions'!$B$9:$C$10,'[4]Two proportions'!$E$8,'[4]Two proportions'!$E$11,'[4]Two proportions'!$G$4:$I$4,'[4]Two proportions'!$G$6,'[4]Two proportions'!$I$6</definedName>
    <definedName name="labelsprops" localSheetId="7">'[4]Two proportions'!$B$9:$C$10,'[4]Two proportions'!$E$8,'[4]Two proportions'!$E$11,'[4]Two proportions'!$G$4:$I$4,'[4]Two proportions'!$G$6,'[4]Two proportions'!$I$6</definedName>
    <definedName name="labelsprops" localSheetId="12">'[34]Two proportions'!$B$9:$C$10,'[34]Two proportions'!$E$8,'[34]Two proportions'!$E$11,'[34]Two proportions'!$G$4:$I$4,'[34]Two proportions'!$G$6,'[34]Two proportions'!$I$6</definedName>
    <definedName name="labelsprops" localSheetId="4">'[35]Two proportions'!$B$9:$C$10,'[35]Two proportions'!$E$8,'[35]Two proportions'!$E$11,'[35]Two proportions'!$G$4:$I$4,'[35]Two proportions'!$G$6,'[35]Two proportions'!$I$6</definedName>
    <definedName name="labelsprops" localSheetId="3">'[35]Two proportions'!$B$9:$C$10,'[35]Two proportions'!$E$8,'[35]Two proportions'!$E$11,'[35]Two proportions'!$G$4:$I$4,'[35]Two proportions'!$G$6,'[35]Two proportions'!$I$6</definedName>
    <definedName name="labelsprops" localSheetId="6">'[4]Two proportions'!$B$9:$C$10,'[4]Two proportions'!$E$8,'[4]Two proportions'!$E$11,'[4]Two proportions'!$G$4:$I$4,'[4]Two proportions'!$G$6,'[4]Two proportions'!$I$6</definedName>
    <definedName name="labelsprops" localSheetId="8">'[4]Two proportions'!$B$9:$C$10,'[4]Two proportions'!$E$8,'[4]Two proportions'!$E$11,'[4]Two proportions'!$G$4:$I$4,'[4]Two proportions'!$G$6,'[4]Two proportions'!$I$6</definedName>
    <definedName name="labelsprops">'[33]Two proportions'!$B$9:$C$10,'[33]Two proportions'!$E$8,'[33]Two proportions'!$E$11,'[33]Two proportions'!$G$4:$I$4,'[33]Two proportions'!$G$6,'[33]Two proportions'!$I$6</definedName>
    <definedName name="labs1two" localSheetId="5">'[24]Data two'!$BL$5,'[24]Data two'!$BK$6,'[24]Data two'!$BJ$8,'[24]Data two'!$BM$8</definedName>
    <definedName name="labs1two" localSheetId="7">'[24]Data two'!$BL$5,'[24]Data two'!$BK$6,'[24]Data two'!$BJ$8,'[24]Data two'!$BM$8</definedName>
    <definedName name="labs1two" localSheetId="12">'Robust two'!$BM$5,'Robust two'!$BL$6,'Robust two'!$BK$8,'Robust two'!$BN$8</definedName>
    <definedName name="labs1two" localSheetId="4">'[24]Data two'!$BL$5,'[24]Data two'!$BK$6,'[24]Data two'!$BJ$8,'[24]Data two'!$BM$8</definedName>
    <definedName name="labs1two" localSheetId="3">'[24]Data two'!$BL$5,'[24]Data two'!$BK$6,'[24]Data two'!$BJ$8,'[24]Data two'!$BM$8</definedName>
    <definedName name="labs1two" localSheetId="6">'[24]Data two'!$BL$5,'[24]Data two'!$BK$6,'[24]Data two'!$BJ$8,'[24]Data two'!$BM$8</definedName>
    <definedName name="labs1two" localSheetId="8">'[24]Data two'!$BL$5,'[24]Data two'!$BK$6,'[24]Data two'!$BJ$8,'[24]Data two'!$BM$8</definedName>
    <definedName name="labs1two">'[23]Data two'!$BL$5,'[23]Data two'!$BK$6,'[23]Data two'!$BJ$8,'[23]Data two'!$BM$8</definedName>
    <definedName name="labstwo" localSheetId="5">'[24]Data two'!$H$5,'[24]Data two'!$G$6,'[24]Data two'!$F$8,'[24]Data two'!$I$8</definedName>
    <definedName name="labstwo" localSheetId="7">'[24]Data two'!$H$5,'[24]Data two'!$G$6,'[24]Data two'!$F$8,'[24]Data two'!$I$8</definedName>
    <definedName name="labstwo" localSheetId="12">'Robust two'!$D$5,'Robust two'!$C$6,'Robust two'!$B$8,'Robust two'!$E$8</definedName>
    <definedName name="labstwo" localSheetId="4">'[24]Data two'!$H$5,'[24]Data two'!$G$6,'[24]Data two'!$F$8,'[24]Data two'!$I$8</definedName>
    <definedName name="labstwo" localSheetId="3">'[24]Data two'!$H$5,'[24]Data two'!$G$6,'[24]Data two'!$F$8,'[24]Data two'!$I$8</definedName>
    <definedName name="labstwo" localSheetId="6">'[24]Data two'!$H$5,'[24]Data two'!$G$6,'[24]Data two'!$F$8,'[24]Data two'!$I$8</definedName>
    <definedName name="labstwo" localSheetId="8">'[24]Data two'!$H$5,'[24]Data two'!$G$6,'[24]Data two'!$F$8,'[24]Data two'!$I$8</definedName>
    <definedName name="labstwo">'[23]Data two'!$H$5,'[23]Data two'!$G$6,'[23]Data two'!$F$8,'[23]Data two'!$I$8</definedName>
    <definedName name="lcapt" localSheetId="11">'[15]Sample r'!$N$20</definedName>
    <definedName name="lcapt" localSheetId="9">'[15]Sample r'!$N$20</definedName>
    <definedName name="lcapt" localSheetId="10">'[15]Sample r'!$N$20</definedName>
    <definedName name="lcapt" localSheetId="5">'[16]Sample r'!$N$20</definedName>
    <definedName name="lcapt" localSheetId="7">'[16]Sample r'!$N$20</definedName>
    <definedName name="lcapt" localSheetId="12">'[16]Sample r'!$N$20</definedName>
    <definedName name="lcapt" localSheetId="4">'[16]Sample r'!$N$20</definedName>
    <definedName name="lcapt" localSheetId="3">'[16]Sample r'!$N$20</definedName>
    <definedName name="lcapt" localSheetId="6">'[16]Sample r'!$N$20</definedName>
    <definedName name="lcapt" localSheetId="8">'[16]Sample r'!$N$20</definedName>
    <definedName name="lcapt">'[15]Sample r'!$N$20</definedName>
    <definedName name="leftx">[6]Describe!$AQ$34</definedName>
    <definedName name="lforz">#REF!</definedName>
    <definedName name="limitedx" localSheetId="7">'One proportion'!$B$1</definedName>
    <definedName name="limitedx">#REF!</definedName>
    <definedName name="limitedxx" localSheetId="5">'[8]Two proportions'!$B$3:$C$3</definedName>
    <definedName name="limitedxx" localSheetId="7">'[8]Two proportions'!$B$3:$C$3</definedName>
    <definedName name="limitedxx" localSheetId="12">'[8]Two proportions'!$B$3:$C$3</definedName>
    <definedName name="limitedxx" localSheetId="4">'[8]Two proportions'!$B$3:$C$3</definedName>
    <definedName name="limitedxx" localSheetId="3">'[8]Two proportions'!$B$3:$C$3</definedName>
    <definedName name="limitedxx" localSheetId="6">'[8]Two proportions'!$B$3:$C$3</definedName>
    <definedName name="limitedxx" localSheetId="8">'Two proportions'!$B$3:$C$3</definedName>
    <definedName name="limitedxx">#REF!</definedName>
    <definedName name="lncp">#REF!</definedName>
    <definedName name="lowctr">#REF!</definedName>
    <definedName name="Lpvf" localSheetId="11">'[9]p value function'!$O$4</definedName>
    <definedName name="Lpvf" localSheetId="9">'[9]p value function'!$O$4</definedName>
    <definedName name="Lpvf" localSheetId="10">'[9]p value function'!$O$4</definedName>
    <definedName name="Lpvf" localSheetId="5">'[9]p value function'!$O$4</definedName>
    <definedName name="Lpvf" localSheetId="7">'[9]p value function'!$O$4</definedName>
    <definedName name="Lpvf" localSheetId="12">'[10]p value function'!$O$4</definedName>
    <definedName name="Lpvf" localSheetId="4">'[9]p value function'!$O$4</definedName>
    <definedName name="Lpvf" localSheetId="3">'[9]p value function'!$O$4</definedName>
    <definedName name="Lpvf" localSheetId="6">'[9]p value function'!$O$4</definedName>
    <definedName name="Lpvf" localSheetId="8">'[9]p value function'!$O$4</definedName>
    <definedName name="Lpvf">'[9]p value function'!$O$4</definedName>
    <definedName name="MatchOrig" localSheetId="11">'[4]Two proportions'!$R$15</definedName>
    <definedName name="MatchOrig" localSheetId="9">'[4]Two proportions'!$R$15</definedName>
    <definedName name="MatchOrig" localSheetId="10">'[4]Two proportions'!$R$15</definedName>
    <definedName name="MatchOrig" localSheetId="5">'[4]Two proportions'!$R$15</definedName>
    <definedName name="MatchOrig" localSheetId="7">'[4]Two proportions'!$R$15</definedName>
    <definedName name="MatchOrig" localSheetId="12">'[5]Two proportions'!$R$15</definedName>
    <definedName name="MatchOrig" localSheetId="4">'[4]Two proportions'!$R$15</definedName>
    <definedName name="MatchOrig" localSheetId="3">'[4]Two proportions'!$R$15</definedName>
    <definedName name="MatchOrig" localSheetId="6">'[4]Two proportions'!$R$15</definedName>
    <definedName name="MatchOrig" localSheetId="8">'[4]Two proportions'!$R$15</definedName>
    <definedName name="MatchOrig">'[4]Two proportions'!$R$15</definedName>
    <definedName name="MAtunits" localSheetId="5">#REF!</definedName>
    <definedName name="MAtunits" localSheetId="7">#REF!</definedName>
    <definedName name="MAtunits" localSheetId="4">#REF!</definedName>
    <definedName name="MAtunits" localSheetId="3">#REF!</definedName>
    <definedName name="MAtunits" localSheetId="6">#REF!</definedName>
    <definedName name="MAtunits" localSheetId="8">#REF!</definedName>
    <definedName name="MAtunits">#REF!</definedName>
    <definedName name="MAunits">#REF!</definedName>
    <definedName name="maxnosamps" localSheetId="11">#REF!</definedName>
    <definedName name="maxnosamps" localSheetId="9">#REF!</definedName>
    <definedName name="maxnosamps" localSheetId="10">#REF!</definedName>
    <definedName name="maxnosamps" localSheetId="5">#REF!</definedName>
    <definedName name="maxnosamps" localSheetId="7">#REF!</definedName>
    <definedName name="maxnosamps" localSheetId="4">#REF!</definedName>
    <definedName name="maxnosamps" localSheetId="3">#REF!</definedName>
    <definedName name="maxnosamps" localSheetId="6">#REF!</definedName>
    <definedName name="maxnosamps" localSheetId="8">#REF!</definedName>
    <definedName name="maxnosamps">#REF!</definedName>
    <definedName name="MeanHeapSwitch" localSheetId="11">'Ind groups 2 x 2'!$FM$8</definedName>
    <definedName name="MeanHeapSwitch" localSheetId="9">'Ind groups comparisons'!$FG$8</definedName>
    <definedName name="MeanHeapSwitch" localSheetId="10">'Ind groups contrasts'!$FM$8</definedName>
    <definedName name="MeanHeapSwitch" localSheetId="5">#REF!</definedName>
    <definedName name="MeanHeapSwitch" localSheetId="7">#REF!</definedName>
    <definedName name="MeanHeapSwitch" localSheetId="4">#REF!</definedName>
    <definedName name="MeanHeapSwitch" localSheetId="3">#REF!</definedName>
    <definedName name="MeanHeapSwitch" localSheetId="6">#REF!</definedName>
    <definedName name="MeanHeapSwitch" localSheetId="8">#REF!</definedName>
    <definedName name="MeanHeapSwitch">#REF!</definedName>
    <definedName name="mindist" localSheetId="11">#REF!</definedName>
    <definedName name="mindist" localSheetId="9">#REF!</definedName>
    <definedName name="mindist" localSheetId="10">#REF!</definedName>
    <definedName name="mindist">#REF!</definedName>
    <definedName name="MU" localSheetId="11">#REF!</definedName>
    <definedName name="MU" localSheetId="9">#REF!</definedName>
    <definedName name="MU" localSheetId="10">#REF!</definedName>
    <definedName name="MU" localSheetId="5">#REF!</definedName>
    <definedName name="MU" localSheetId="7">#REF!</definedName>
    <definedName name="MU" localSheetId="12">'Robust two'!#REF!</definedName>
    <definedName name="MU" localSheetId="4">#REF!</definedName>
    <definedName name="MU" localSheetId="3">#REF!</definedName>
    <definedName name="MU" localSheetId="6">#REF!</definedName>
    <definedName name="MU" localSheetId="8">#REF!</definedName>
    <definedName name="MU">#REF!</definedName>
    <definedName name="mue">#REF!</definedName>
    <definedName name="MUone" localSheetId="11">#REF!</definedName>
    <definedName name="MUone" localSheetId="9">#REF!</definedName>
    <definedName name="MUone" localSheetId="10">#REF!</definedName>
    <definedName name="MUone" localSheetId="5">#REF!</definedName>
    <definedName name="MUone" localSheetId="7">#REF!</definedName>
    <definedName name="MUone" localSheetId="4">#REF!</definedName>
    <definedName name="MUone" localSheetId="3">#REF!</definedName>
    <definedName name="MUone" localSheetId="6">#REF!</definedName>
    <definedName name="MUone" localSheetId="8">#REF!</definedName>
    <definedName name="MUone">#REF!</definedName>
    <definedName name="MUREP" localSheetId="11">#REF!</definedName>
    <definedName name="MUREP" localSheetId="9">#REF!</definedName>
    <definedName name="MUREP" localSheetId="10">#REF!</definedName>
    <definedName name="MUREP" localSheetId="5">#REF!</definedName>
    <definedName name="MUREP" localSheetId="7">#REF!</definedName>
    <definedName name="MUREP" localSheetId="4">#REF!</definedName>
    <definedName name="MUREP" localSheetId="3">#REF!</definedName>
    <definedName name="MUREP" localSheetId="6">#REF!</definedName>
    <definedName name="MUREP" localSheetId="8">#REF!</definedName>
    <definedName name="MUREP">#REF!</definedName>
    <definedName name="MUtwo" localSheetId="11">#REF!</definedName>
    <definedName name="MUtwo" localSheetId="9">#REF!</definedName>
    <definedName name="MUtwo" localSheetId="10">#REF!</definedName>
    <definedName name="MUtwo" localSheetId="5">#REF!</definedName>
    <definedName name="MUtwo" localSheetId="7">#REF!</definedName>
    <definedName name="MUtwo" localSheetId="4">#REF!</definedName>
    <definedName name="MUtwo" localSheetId="3">#REF!</definedName>
    <definedName name="MUtwo" localSheetId="6">#REF!</definedName>
    <definedName name="MUtwo" localSheetId="8">#REF!</definedName>
    <definedName name="MUtwo">#REF!</definedName>
    <definedName name="N" localSheetId="11">#REF!</definedName>
    <definedName name="N" localSheetId="9">#REF!</definedName>
    <definedName name="N" localSheetId="10">#REF!</definedName>
    <definedName name="N" localSheetId="5">#REF!</definedName>
    <definedName name="N" localSheetId="7">#REF!</definedName>
    <definedName name="N" localSheetId="4">#REF!</definedName>
    <definedName name="N" localSheetId="3">#REF!</definedName>
    <definedName name="N" localSheetId="6">#REF!</definedName>
    <definedName name="N" localSheetId="8">#REF!</definedName>
    <definedName name="N">#REF!</definedName>
    <definedName name="nam1two" localSheetId="12">'Robust two'!$BM$5</definedName>
    <definedName name="nam1two">'[23]Data two'!$BL$5</definedName>
    <definedName name="nam2two" localSheetId="12">'Robust two'!$BU$5</definedName>
    <definedName name="nam2two">'[23]Data two'!$BT$5</definedName>
    <definedName name="nam3two" localSheetId="12">'Robust two'!$CC$5</definedName>
    <definedName name="nam3two">'[23]Data two'!$CB$5</definedName>
    <definedName name="namtwo" localSheetId="12">'Robust two'!$D$5</definedName>
    <definedName name="namtwo">'[23]Data two'!$H$5</definedName>
    <definedName name="nawtone" localSheetId="11">#REF!</definedName>
    <definedName name="nawtone" localSheetId="9">#REF!</definedName>
    <definedName name="nawtone" localSheetId="10">#REF!</definedName>
    <definedName name="nawtone" localSheetId="5">#REF!</definedName>
    <definedName name="nawtone" localSheetId="7">#REF!</definedName>
    <definedName name="nawtone" localSheetId="4">#REF!</definedName>
    <definedName name="nawtone" localSheetId="3">#REF!</definedName>
    <definedName name="nawtone" localSheetId="6">#REF!</definedName>
    <definedName name="nawtone" localSheetId="8">#REF!</definedName>
    <definedName name="nawtone">#REF!</definedName>
    <definedName name="ncaptg" localSheetId="11">'Ind groups 2 x 2'!#REF!</definedName>
    <definedName name="ncaptg" localSheetId="9">'Ind groups comparisons'!#REF!</definedName>
    <definedName name="ncaptg" localSheetId="10">'Ind groups contrasts'!#REF!</definedName>
    <definedName name="ncaptg" localSheetId="5">#REF!</definedName>
    <definedName name="ncaptg" localSheetId="7">#REF!</definedName>
    <definedName name="ncaptg" localSheetId="4">#REF!</definedName>
    <definedName name="ncaptg" localSheetId="3">#REF!</definedName>
    <definedName name="ncaptg" localSheetId="6">#REF!</definedName>
    <definedName name="ncaptg" localSheetId="8">#REF!</definedName>
    <definedName name="ncaptg">#REF!</definedName>
    <definedName name="ncaptgM" localSheetId="11">[21]Replication!$W$26</definedName>
    <definedName name="ncaptgM" localSheetId="9">[21]Replication!$W$26</definedName>
    <definedName name="ncaptgM" localSheetId="10">[21]Replication!$W$26</definedName>
    <definedName name="ncaptgM" localSheetId="5">[21]Replication!$W$26</definedName>
    <definedName name="ncaptgM" localSheetId="7">[21]Replication!$W$26</definedName>
    <definedName name="ncaptgM" localSheetId="12">[22]Replication!$W$26</definedName>
    <definedName name="ncaptgM" localSheetId="4">[21]Replication!$W$26</definedName>
    <definedName name="ncaptgM" localSheetId="3">[21]Replication!$W$26</definedName>
    <definedName name="ncaptgM" localSheetId="6">[21]Replication!$W$26</definedName>
    <definedName name="ncaptgM" localSheetId="8">[21]Replication!$W$26</definedName>
    <definedName name="ncaptgM">[21]Replication!$W$26</definedName>
    <definedName name="ncplh" localSheetId="11">'[1]MA  Standardised units'!$Z$4</definedName>
    <definedName name="ncplh" localSheetId="9">'[1]MA  Standardised units'!$Z$4</definedName>
    <definedName name="ncplh" localSheetId="10">'[1]MA  Standardised units'!$Z$4</definedName>
    <definedName name="ncplh" localSheetId="5">'[1]MA  Standardised units'!$Z$4</definedName>
    <definedName name="ncplh" localSheetId="7">'[1]MA  Standardised units'!$Z$4</definedName>
    <definedName name="ncplh" localSheetId="12">'[2]MA  Standardised units'!$Z$4</definedName>
    <definedName name="ncplh" localSheetId="4">'[1]MA  Standardised units'!$Z$4</definedName>
    <definedName name="ncplh" localSheetId="3">'[1]MA  Standardised units'!$Z$4</definedName>
    <definedName name="ncplh" localSheetId="6">'[1]MA  Standardised units'!$Z$4</definedName>
    <definedName name="ncplh" localSheetId="8">'[1]MA  Standardised units'!$Z$4</definedName>
    <definedName name="ncplh">'[3]MA  Standardised units'!$Z$4</definedName>
    <definedName name="ncprh" localSheetId="11">'[1]MA  Standardised units'!$AA$4</definedName>
    <definedName name="ncprh" localSheetId="9">'[1]MA  Standardised units'!$AA$4</definedName>
    <definedName name="ncprh" localSheetId="10">'[1]MA  Standardised units'!$AA$4</definedName>
    <definedName name="ncprh" localSheetId="5">'[1]MA  Standardised units'!$AA$4</definedName>
    <definedName name="ncprh" localSheetId="7">'[1]MA  Standardised units'!$AA$4</definedName>
    <definedName name="ncprh" localSheetId="12">'[2]MA  Standardised units'!$AA$4</definedName>
    <definedName name="ncprh" localSheetId="4">'[1]MA  Standardised units'!$AA$4</definedName>
    <definedName name="ncprh" localSheetId="3">'[1]MA  Standardised units'!$AA$4</definedName>
    <definedName name="ncprh" localSheetId="6">'[1]MA  Standardised units'!$AA$4</definedName>
    <definedName name="ncprh" localSheetId="8">'[1]MA  Standardised units'!$AA$4</definedName>
    <definedName name="ncprh">'[3]MA  Standardised units'!$AA$4</definedName>
    <definedName name="ncpstartdp" localSheetId="7">'[11]Data paired'!$B$17:$C$17</definedName>
    <definedName name="ncpstartdp" localSheetId="8">'[11]Data paired'!$B$17:$C$17</definedName>
    <definedName name="ncpstartdp">'[11]Data paired'!$B$17:$C$17</definedName>
    <definedName name="ncpstartdt" localSheetId="7">'[11]Data two'!$B$16:$C$16</definedName>
    <definedName name="ncpstartdt" localSheetId="12">'Robust two'!#REF!</definedName>
    <definedName name="ncpstartdt" localSheetId="8">'[11]Data two'!$B$16:$C$16</definedName>
    <definedName name="ncpstartdt">'[11]Data two'!$B$16:$C$16</definedName>
    <definedName name="ncpstartsp">#REF!</definedName>
    <definedName name="ncpstartst">#REF!</definedName>
    <definedName name="newsamps" localSheetId="11">'Ind groups 2 x 2'!#REF!</definedName>
    <definedName name="newsamps" localSheetId="9">'Ind groups comparisons'!#REF!</definedName>
    <definedName name="newsamps" localSheetId="10">'Ind groups contrasts'!#REF!</definedName>
    <definedName name="newsamps" localSheetId="5">#REF!</definedName>
    <definedName name="newsamps" localSheetId="7">#REF!</definedName>
    <definedName name="newsamps" localSheetId="4">#REF!</definedName>
    <definedName name="newsamps" localSheetId="3">#REF!</definedName>
    <definedName name="newsamps" localSheetId="6">#REF!</definedName>
    <definedName name="newsamps" localSheetId="8">#REF!</definedName>
    <definedName name="newsamps">#REF!</definedName>
    <definedName name="newsamps1" localSheetId="11">#REF!</definedName>
    <definedName name="newsamps1" localSheetId="9">#REF!</definedName>
    <definedName name="newsamps1" localSheetId="10">#REF!</definedName>
    <definedName name="newsamps1" localSheetId="5">#REF!</definedName>
    <definedName name="newsamps1" localSheetId="7">#REF!</definedName>
    <definedName name="newsamps1" localSheetId="4">#REF!</definedName>
    <definedName name="newsamps1" localSheetId="3">#REF!</definedName>
    <definedName name="newsamps1" localSheetId="6">#REF!</definedName>
    <definedName name="newsamps1" localSheetId="8">#REF!</definedName>
    <definedName name="newsamps1">#REF!</definedName>
    <definedName name="newsampso" localSheetId="11">'[7]d heap'!$A$4:$B$4</definedName>
    <definedName name="newsampso" localSheetId="9">'[7]d heap'!$A$4:$B$4</definedName>
    <definedName name="newsampso" localSheetId="10">'[7]d heap'!$A$4:$B$4</definedName>
    <definedName name="newsampso" localSheetId="5">'[7]d heap'!$A$4:$B$4</definedName>
    <definedName name="newsampso" localSheetId="7">'[7]d heap'!$A$4:$B$4</definedName>
    <definedName name="newsampso" localSheetId="12">'[7]d heap'!$A$4:$B$4</definedName>
    <definedName name="newsampso" localSheetId="4">'[7]d heap'!$A$4:$B$4</definedName>
    <definedName name="newsampso" localSheetId="3">'[7]d heap'!$A$4:$B$4</definedName>
    <definedName name="newsampso" localSheetId="6">'[7]d heap'!$A$4:$B$4</definedName>
    <definedName name="newsampso" localSheetId="8">'[7]d heap'!$A$4:$B$4</definedName>
    <definedName name="newsampso">#REF!</definedName>
    <definedName name="newsampss" localSheetId="11">[7]Sampling!$D$4:$E$4</definedName>
    <definedName name="newsampss" localSheetId="9">[7]Sampling!$D$4:$E$4</definedName>
    <definedName name="newsampss" localSheetId="10">[7]Sampling!$D$4:$E$4</definedName>
    <definedName name="newsampss" localSheetId="5">[7]Sampling!$D$4:$E$4</definedName>
    <definedName name="newsampss" localSheetId="7">[7]Sampling!$D$4:$E$4</definedName>
    <definedName name="newsampss" localSheetId="12">[7]Sampling!$D$4:$E$4</definedName>
    <definedName name="newsampss" localSheetId="4">[7]Sampling!$D$4:$E$4</definedName>
    <definedName name="newsampss" localSheetId="3">[7]Sampling!$D$4:$E$4</definedName>
    <definedName name="newsampss" localSheetId="6">[7]Sampling!$D$4:$E$4</definedName>
    <definedName name="newsampss" localSheetId="8">[7]Sampling!$D$4:$E$4</definedName>
    <definedName name="newsampss">#REF!</definedName>
    <definedName name="nextcapnext">[6]CIjumping!$D$27</definedName>
    <definedName name="nextcaptg" localSheetId="11">'Ind groups 2 x 2'!#REF!</definedName>
    <definedName name="nextcaptg" localSheetId="9">'Ind groups comparisons'!#REF!</definedName>
    <definedName name="nextcaptg" localSheetId="10">'Ind groups contrasts'!#REF!</definedName>
    <definedName name="nextcaptg" localSheetId="5">#REF!</definedName>
    <definedName name="nextcaptg" localSheetId="7">#REF!</definedName>
    <definedName name="nextcaptg" localSheetId="4">#REF!</definedName>
    <definedName name="nextcaptg" localSheetId="3">#REF!</definedName>
    <definedName name="nextcaptg" localSheetId="6">#REF!</definedName>
    <definedName name="nextcaptg" localSheetId="8">#REF!</definedName>
    <definedName name="nextcaptg">#REF!</definedName>
    <definedName name="nextcaptgM" localSheetId="11">[21]Replication!$W$27</definedName>
    <definedName name="nextcaptgM" localSheetId="9">[21]Replication!$W$27</definedName>
    <definedName name="nextcaptgM" localSheetId="10">[21]Replication!$W$27</definedName>
    <definedName name="nextcaptgM" localSheetId="5">[21]Replication!$W$27</definedName>
    <definedName name="nextcaptgM" localSheetId="7">[21]Replication!$W$27</definedName>
    <definedName name="nextcaptgM" localSheetId="12">[22]Replication!$W$27</definedName>
    <definedName name="nextcaptgM" localSheetId="4">[21]Replication!$W$27</definedName>
    <definedName name="nextcaptgM" localSheetId="3">[21]Replication!$W$27</definedName>
    <definedName name="nextcaptgM" localSheetId="6">[21]Replication!$W$27</definedName>
    <definedName name="nextcaptgM" localSheetId="8">[21]Replication!$W$27</definedName>
    <definedName name="nextcaptgM">[21]Replication!$W$27</definedName>
    <definedName name="nextsamples" localSheetId="11">[36]CIjumping!$G$27</definedName>
    <definedName name="nextsamples" localSheetId="9">[36]CIjumping!$G$27</definedName>
    <definedName name="nextsamples" localSheetId="10">[36]CIjumping!$G$27</definedName>
    <definedName name="nextsamples" localSheetId="5">#REF!</definedName>
    <definedName name="nextsamples" localSheetId="7">#REF!</definedName>
    <definedName name="nextsamples" localSheetId="12">[37]CIjumping!$G$27</definedName>
    <definedName name="nextsamples" localSheetId="4">[36]CIjumping!$G$27</definedName>
    <definedName name="nextsamples" localSheetId="3">[36]CIjumping!$G$27</definedName>
    <definedName name="nextsamples" localSheetId="6">#REF!</definedName>
    <definedName name="nextsamples" localSheetId="8">#REF!</definedName>
    <definedName name="nextsamples">[38]CIjumping!$G$27</definedName>
    <definedName name="nhisto">#REF!</definedName>
    <definedName name="nlcapt" localSheetId="11">'[15]Sample r'!$P$21</definedName>
    <definedName name="nlcapt" localSheetId="9">'[15]Sample r'!$P$21</definedName>
    <definedName name="nlcapt" localSheetId="10">'[15]Sample r'!$P$21</definedName>
    <definedName name="nlcapt" localSheetId="5">'[16]Sample r'!$P$21</definedName>
    <definedName name="nlcapt" localSheetId="7">'[16]Sample r'!$P$21</definedName>
    <definedName name="nlcapt" localSheetId="12">'[16]Sample r'!$P$21</definedName>
    <definedName name="nlcapt" localSheetId="4">'[16]Sample r'!$P$21</definedName>
    <definedName name="nlcapt" localSheetId="3">'[16]Sample r'!$P$21</definedName>
    <definedName name="nlcapt" localSheetId="6">'[16]Sample r'!$P$21</definedName>
    <definedName name="nlcapt" localSheetId="8">'[16]Sample r'!$P$21</definedName>
    <definedName name="nlcapt">'[15]Sample r'!$P$21</definedName>
    <definedName name="nlu" localSheetId="11">'[15]Sample r'!$P$20:$P$22</definedName>
    <definedName name="nlu" localSheetId="9">'[15]Sample r'!$P$20:$P$22</definedName>
    <definedName name="nlu" localSheetId="10">'[15]Sample r'!$P$20:$P$22</definedName>
    <definedName name="nlu" localSheetId="5">'[16]Sample r'!$P$20:$P$22</definedName>
    <definedName name="nlu" localSheetId="7">'[16]Sample r'!$P$20:$P$22</definedName>
    <definedName name="nlu" localSheetId="12">'[16]Sample r'!$P$20:$P$22</definedName>
    <definedName name="nlu" localSheetId="4">'[16]Sample r'!$P$20:$P$22</definedName>
    <definedName name="nlu" localSheetId="3">'[16]Sample r'!$P$20:$P$22</definedName>
    <definedName name="nlu" localSheetId="6">'[16]Sample r'!$P$20:$P$22</definedName>
    <definedName name="nlu" localSheetId="8">'[16]Sample r'!$P$20:$P$22</definedName>
    <definedName name="nlu">'[15]Sample r'!$P$20:$P$22</definedName>
    <definedName name="NN" localSheetId="11">#REF!</definedName>
    <definedName name="NN" localSheetId="9">#REF!</definedName>
    <definedName name="NN" localSheetId="10">#REF!</definedName>
    <definedName name="NN" localSheetId="5">#REF!</definedName>
    <definedName name="NN" localSheetId="7">#REF!</definedName>
    <definedName name="NN" localSheetId="4">#REF!</definedName>
    <definedName name="NN" localSheetId="3">#REF!</definedName>
    <definedName name="NN" localSheetId="6">#REF!</definedName>
    <definedName name="NN" localSheetId="8">#REF!</definedName>
    <definedName name="NN">#REF!</definedName>
    <definedName name="nof" localSheetId="11">#REF!</definedName>
    <definedName name="nof" localSheetId="9">#REF!</definedName>
    <definedName name="nof" localSheetId="10">#REF!</definedName>
    <definedName name="nof">#REF!</definedName>
    <definedName name="None" localSheetId="11">#REF!</definedName>
    <definedName name="None" localSheetId="9">#REF!</definedName>
    <definedName name="None" localSheetId="10">#REF!</definedName>
    <definedName name="None" localSheetId="5">#REF!</definedName>
    <definedName name="None" localSheetId="7">#REF!</definedName>
    <definedName name="None" localSheetId="12">'Robust two'!$K$11</definedName>
    <definedName name="None" localSheetId="4">#REF!</definedName>
    <definedName name="None" localSheetId="3">#REF!</definedName>
    <definedName name="None" localSheetId="6">#REF!</definedName>
    <definedName name="None" localSheetId="8">#REF!</definedName>
    <definedName name="None">#REF!</definedName>
    <definedName name="nopts" localSheetId="11">#REF!</definedName>
    <definedName name="nopts" localSheetId="9">#REF!</definedName>
    <definedName name="nopts" localSheetId="10">#REF!</definedName>
    <definedName name="nopts">#REF!</definedName>
    <definedName name="normdata">[6]Describe!$CG$3:$CG$302</definedName>
    <definedName name="notcapnext">[6]CIjumping!$D$26</definedName>
    <definedName name="NP" localSheetId="11">#REF!</definedName>
    <definedName name="NP" localSheetId="9">#REF!</definedName>
    <definedName name="NP" localSheetId="10">#REF!</definedName>
    <definedName name="NP" localSheetId="5">#REF!</definedName>
    <definedName name="NP" localSheetId="7">#REF!</definedName>
    <definedName name="NP" localSheetId="12">#REF!</definedName>
    <definedName name="NP" localSheetId="4">#REF!</definedName>
    <definedName name="NP" localSheetId="3">#REF!</definedName>
    <definedName name="NP" localSheetId="6">#REF!</definedName>
    <definedName name="NP" localSheetId="8">#REF!</definedName>
    <definedName name="NP">'[39]Paired Data'!$K$8</definedName>
    <definedName name="nrep" localSheetId="11">#REF!</definedName>
    <definedName name="nrep" localSheetId="9">#REF!</definedName>
    <definedName name="nrep" localSheetId="10">#REF!</definedName>
    <definedName name="nrep" localSheetId="5">#REF!</definedName>
    <definedName name="nrep" localSheetId="7">#REF!</definedName>
    <definedName name="nrep" localSheetId="4">#REF!</definedName>
    <definedName name="nrep" localSheetId="3">#REF!</definedName>
    <definedName name="nrep" localSheetId="6">#REF!</definedName>
    <definedName name="nrep" localSheetId="8">#REF!</definedName>
    <definedName name="nrep">#REF!</definedName>
    <definedName name="nsamp1" localSheetId="11">'[1]MA  Standardised units'!$G$6</definedName>
    <definedName name="nsamp1" localSheetId="9">'[1]MA  Standardised units'!$G$6</definedName>
    <definedName name="nsamp1" localSheetId="10">'[1]MA  Standardised units'!$G$6</definedName>
    <definedName name="nsamp1" localSheetId="5">'[1]MA  Standardised units'!$G$6</definedName>
    <definedName name="nsamp1" localSheetId="7">'[1]MA  Standardised units'!$G$6</definedName>
    <definedName name="nsamp1" localSheetId="12">'[2]MA  Standardised units'!$G$6</definedName>
    <definedName name="nsamp1" localSheetId="4">'[1]MA  Standardised units'!$G$6</definedName>
    <definedName name="nsamp1" localSheetId="3">'[1]MA  Standardised units'!$G$6</definedName>
    <definedName name="nsamp1" localSheetId="6">'[1]MA  Standardised units'!$G$6</definedName>
    <definedName name="nsamp1" localSheetId="8">'[1]MA  Standardised units'!$G$6</definedName>
    <definedName name="nsamp1">'[3]MA  Standardised units'!$G$6</definedName>
    <definedName name="nsamp10" localSheetId="11">'[1]MA  Standardised units'!$G$15</definedName>
    <definedName name="nsamp10" localSheetId="9">'[1]MA  Standardised units'!$G$15</definedName>
    <definedName name="nsamp10" localSheetId="10">'[1]MA  Standardised units'!$G$15</definedName>
    <definedName name="nsamp10" localSheetId="5">'[1]MA  Standardised units'!$G$15</definedName>
    <definedName name="nsamp10" localSheetId="7">'[1]MA  Standardised units'!$G$15</definedName>
    <definedName name="nsamp10" localSheetId="12">'[2]MA  Standardised units'!$G$15</definedName>
    <definedName name="nsamp10" localSheetId="4">'[1]MA  Standardised units'!$G$15</definedName>
    <definedName name="nsamp10" localSheetId="3">'[1]MA  Standardised units'!$G$15</definedName>
    <definedName name="nsamp10" localSheetId="6">'[1]MA  Standardised units'!$G$15</definedName>
    <definedName name="nsamp10" localSheetId="8">'[1]MA  Standardised units'!$G$15</definedName>
    <definedName name="nsamp10">'[3]MA  Standardised units'!$G$15</definedName>
    <definedName name="nsamp11" localSheetId="11">'[1]MA  Standardised units'!$G$18</definedName>
    <definedName name="nsamp11" localSheetId="9">'[1]MA  Standardised units'!$G$18</definedName>
    <definedName name="nsamp11" localSheetId="10">'[1]MA  Standardised units'!$G$18</definedName>
    <definedName name="nsamp11" localSheetId="5">'[1]MA  Standardised units'!$G$18</definedName>
    <definedName name="nsamp11" localSheetId="7">'[1]MA  Standardised units'!$G$18</definedName>
    <definedName name="nsamp11" localSheetId="12">'[2]MA  Standardised units'!$G$18</definedName>
    <definedName name="nsamp11" localSheetId="4">'[1]MA  Standardised units'!$G$18</definedName>
    <definedName name="nsamp11" localSheetId="3">'[1]MA  Standardised units'!$G$18</definedName>
    <definedName name="nsamp11" localSheetId="6">'[1]MA  Standardised units'!$G$18</definedName>
    <definedName name="nsamp11" localSheetId="8">'[1]MA  Standardised units'!$G$18</definedName>
    <definedName name="nsamp11">'[3]MA  Standardised units'!$G$18</definedName>
    <definedName name="nsamp12" localSheetId="11">'[1]MA  Standardised units'!$G$21</definedName>
    <definedName name="nsamp12" localSheetId="9">'[1]MA  Standardised units'!$G$21</definedName>
    <definedName name="nsamp12" localSheetId="10">'[1]MA  Standardised units'!$G$21</definedName>
    <definedName name="nsamp12" localSheetId="5">'[1]MA  Standardised units'!$G$21</definedName>
    <definedName name="nsamp12" localSheetId="7">'[1]MA  Standardised units'!$G$21</definedName>
    <definedName name="nsamp12" localSheetId="12">'[2]MA  Standardised units'!$G$21</definedName>
    <definedName name="nsamp12" localSheetId="4">'[1]MA  Standardised units'!$G$21</definedName>
    <definedName name="nsamp12" localSheetId="3">'[1]MA  Standardised units'!$G$21</definedName>
    <definedName name="nsamp12" localSheetId="6">'[1]MA  Standardised units'!$G$21</definedName>
    <definedName name="nsamp12" localSheetId="8">'[1]MA  Standardised units'!$G$21</definedName>
    <definedName name="nsamp12">'[3]MA  Standardised units'!$G$21</definedName>
    <definedName name="nsamp13" localSheetId="11">'[1]MA  Standardised units'!$G$24</definedName>
    <definedName name="nsamp13" localSheetId="9">'[1]MA  Standardised units'!$G$24</definedName>
    <definedName name="nsamp13" localSheetId="10">'[1]MA  Standardised units'!$G$24</definedName>
    <definedName name="nsamp13" localSheetId="5">'[1]MA  Standardised units'!$G$24</definedName>
    <definedName name="nsamp13" localSheetId="7">'[1]MA  Standardised units'!$G$24</definedName>
    <definedName name="nsamp13" localSheetId="12">'[2]MA  Standardised units'!$G$24</definedName>
    <definedName name="nsamp13" localSheetId="4">'[1]MA  Standardised units'!$G$24</definedName>
    <definedName name="nsamp13" localSheetId="3">'[1]MA  Standardised units'!$G$24</definedName>
    <definedName name="nsamp13" localSheetId="6">'[1]MA  Standardised units'!$G$24</definedName>
    <definedName name="nsamp13" localSheetId="8">'[1]MA  Standardised units'!$G$24</definedName>
    <definedName name="nsamp13">'[3]MA  Standardised units'!$G$24</definedName>
    <definedName name="nsamp2" localSheetId="11">'[1]MA  Standardised units'!$G$7</definedName>
    <definedName name="nsamp2" localSheetId="9">'[1]MA  Standardised units'!$G$7</definedName>
    <definedName name="nsamp2" localSheetId="10">'[1]MA  Standardised units'!$G$7</definedName>
    <definedName name="nsamp2" localSheetId="5">'[1]MA  Standardised units'!$G$7</definedName>
    <definedName name="nsamp2" localSheetId="7">'[1]MA  Standardised units'!$G$7</definedName>
    <definedName name="nsamp2" localSheetId="12">'[2]MA  Standardised units'!$G$7</definedName>
    <definedName name="nsamp2" localSheetId="4">'[1]MA  Standardised units'!$G$7</definedName>
    <definedName name="nsamp2" localSheetId="3">'[1]MA  Standardised units'!$G$7</definedName>
    <definedName name="nsamp2" localSheetId="6">'[1]MA  Standardised units'!$G$7</definedName>
    <definedName name="nsamp2" localSheetId="8">'[1]MA  Standardised units'!$G$7</definedName>
    <definedName name="nsamp2">'[3]MA  Standardised units'!$G$7</definedName>
    <definedName name="nsamp3" localSheetId="11">'[1]MA  Standardised units'!$G$8</definedName>
    <definedName name="nsamp3" localSheetId="9">'[1]MA  Standardised units'!$G$8</definedName>
    <definedName name="nsamp3" localSheetId="10">'[1]MA  Standardised units'!$G$8</definedName>
    <definedName name="nsamp3" localSheetId="5">'[1]MA  Standardised units'!$G$8</definedName>
    <definedName name="nsamp3" localSheetId="7">'[1]MA  Standardised units'!$G$8</definedName>
    <definedName name="nsamp3" localSheetId="12">'[2]MA  Standardised units'!$G$8</definedName>
    <definedName name="nsamp3" localSheetId="4">'[1]MA  Standardised units'!$G$8</definedName>
    <definedName name="nsamp3" localSheetId="3">'[1]MA  Standardised units'!$G$8</definedName>
    <definedName name="nsamp3" localSheetId="6">'[1]MA  Standardised units'!$G$8</definedName>
    <definedName name="nsamp3" localSheetId="8">'[1]MA  Standardised units'!$G$8</definedName>
    <definedName name="nsamp3">'[3]MA  Standardised units'!$G$8</definedName>
    <definedName name="nsamp4" localSheetId="11">'[1]MA  Standardised units'!$G$9</definedName>
    <definedName name="nsamp4" localSheetId="9">'[1]MA  Standardised units'!$G$9</definedName>
    <definedName name="nsamp4" localSheetId="10">'[1]MA  Standardised units'!$G$9</definedName>
    <definedName name="nsamp4" localSheetId="5">'[1]MA  Standardised units'!$G$9</definedName>
    <definedName name="nsamp4" localSheetId="7">'[1]MA  Standardised units'!$G$9</definedName>
    <definedName name="nsamp4" localSheetId="12">'[2]MA  Standardised units'!$G$9</definedName>
    <definedName name="nsamp4" localSheetId="4">'[1]MA  Standardised units'!$G$9</definedName>
    <definedName name="nsamp4" localSheetId="3">'[1]MA  Standardised units'!$G$9</definedName>
    <definedName name="nsamp4" localSheetId="6">'[1]MA  Standardised units'!$G$9</definedName>
    <definedName name="nsamp4" localSheetId="8">'[1]MA  Standardised units'!$G$9</definedName>
    <definedName name="nsamp4">'[3]MA  Standardised units'!$G$9</definedName>
    <definedName name="nsamp5" localSheetId="11">'[1]MA  Standardised units'!$G$10</definedName>
    <definedName name="nsamp5" localSheetId="9">'[1]MA  Standardised units'!$G$10</definedName>
    <definedName name="nsamp5" localSheetId="10">'[1]MA  Standardised units'!$G$10</definedName>
    <definedName name="nsamp5" localSheetId="5">'[1]MA  Standardised units'!$G$10</definedName>
    <definedName name="nsamp5" localSheetId="7">'[1]MA  Standardised units'!$G$10</definedName>
    <definedName name="nsamp5" localSheetId="12">'[2]MA  Standardised units'!$G$10</definedName>
    <definedName name="nsamp5" localSheetId="4">'[1]MA  Standardised units'!$G$10</definedName>
    <definedName name="nsamp5" localSheetId="3">'[1]MA  Standardised units'!$G$10</definedName>
    <definedName name="nsamp5" localSheetId="6">'[1]MA  Standardised units'!$G$10</definedName>
    <definedName name="nsamp5" localSheetId="8">'[1]MA  Standardised units'!$G$10</definedName>
    <definedName name="nsamp5">'[3]MA  Standardised units'!$G$10</definedName>
    <definedName name="nsamp6" localSheetId="11">'[1]MA  Standardised units'!$G$11</definedName>
    <definedName name="nsamp6" localSheetId="9">'[1]MA  Standardised units'!$G$11</definedName>
    <definedName name="nsamp6" localSheetId="10">'[1]MA  Standardised units'!$G$11</definedName>
    <definedName name="nsamp6" localSheetId="5">'[1]MA  Standardised units'!$G$11</definedName>
    <definedName name="nsamp6" localSheetId="7">'[1]MA  Standardised units'!$G$11</definedName>
    <definedName name="nsamp6" localSheetId="12">'[2]MA  Standardised units'!$G$11</definedName>
    <definedName name="nsamp6" localSheetId="4">'[1]MA  Standardised units'!$G$11</definedName>
    <definedName name="nsamp6" localSheetId="3">'[1]MA  Standardised units'!$G$11</definedName>
    <definedName name="nsamp6" localSheetId="6">'[1]MA  Standardised units'!$G$11</definedName>
    <definedName name="nsamp6" localSheetId="8">'[1]MA  Standardised units'!$G$11</definedName>
    <definedName name="nsamp6">'[3]MA  Standardised units'!$G$11</definedName>
    <definedName name="nsamp7" localSheetId="11">'[1]MA  Standardised units'!$G$12</definedName>
    <definedName name="nsamp7" localSheetId="9">'[1]MA  Standardised units'!$G$12</definedName>
    <definedName name="nsamp7" localSheetId="10">'[1]MA  Standardised units'!$G$12</definedName>
    <definedName name="nsamp7" localSheetId="5">'[1]MA  Standardised units'!$G$12</definedName>
    <definedName name="nsamp7" localSheetId="7">'[1]MA  Standardised units'!$G$12</definedName>
    <definedName name="nsamp7" localSheetId="12">'[2]MA  Standardised units'!$G$12</definedName>
    <definedName name="nsamp7" localSheetId="4">'[1]MA  Standardised units'!$G$12</definedName>
    <definedName name="nsamp7" localSheetId="3">'[1]MA  Standardised units'!$G$12</definedName>
    <definedName name="nsamp7" localSheetId="6">'[1]MA  Standardised units'!$G$12</definedName>
    <definedName name="nsamp7" localSheetId="8">'[1]MA  Standardised units'!$G$12</definedName>
    <definedName name="nsamp7">'[3]MA  Standardised units'!$G$12</definedName>
    <definedName name="nsamp8" localSheetId="11">'[1]MA  Standardised units'!$G$13</definedName>
    <definedName name="nsamp8" localSheetId="9">'[1]MA  Standardised units'!$G$13</definedName>
    <definedName name="nsamp8" localSheetId="10">'[1]MA  Standardised units'!$G$13</definedName>
    <definedName name="nsamp8" localSheetId="5">'[1]MA  Standardised units'!$G$13</definedName>
    <definedName name="nsamp8" localSheetId="7">'[1]MA  Standardised units'!$G$13</definedName>
    <definedName name="nsamp8" localSheetId="12">'[2]MA  Standardised units'!$G$13</definedName>
    <definedName name="nsamp8" localSheetId="4">'[1]MA  Standardised units'!$G$13</definedName>
    <definedName name="nsamp8" localSheetId="3">'[1]MA  Standardised units'!$G$13</definedName>
    <definedName name="nsamp8" localSheetId="6">'[1]MA  Standardised units'!$G$13</definedName>
    <definedName name="nsamp8" localSheetId="8">'[1]MA  Standardised units'!$G$13</definedName>
    <definedName name="nsamp8">'[3]MA  Standardised units'!$G$13</definedName>
    <definedName name="nsamp9" localSheetId="11">'[1]MA  Standardised units'!$G$14</definedName>
    <definedName name="nsamp9" localSheetId="9">'[1]MA  Standardised units'!$G$14</definedName>
    <definedName name="nsamp9" localSheetId="10">'[1]MA  Standardised units'!$G$14</definedName>
    <definedName name="nsamp9" localSheetId="5">'[1]MA  Standardised units'!$G$14</definedName>
    <definedName name="nsamp9" localSheetId="7">'[1]MA  Standardised units'!$G$14</definedName>
    <definedName name="nsamp9" localSheetId="12">'[2]MA  Standardised units'!$G$14</definedName>
    <definedName name="nsamp9" localSheetId="4">'[1]MA  Standardised units'!$G$14</definedName>
    <definedName name="nsamp9" localSheetId="3">'[1]MA  Standardised units'!$G$14</definedName>
    <definedName name="nsamp9" localSheetId="6">'[1]MA  Standardised units'!$G$14</definedName>
    <definedName name="nsamp9" localSheetId="8">'[1]MA  Standardised units'!$G$14</definedName>
    <definedName name="nsamp9">'[3]MA  Standardised units'!$G$14</definedName>
    <definedName name="nsamples" localSheetId="11">'Ind groups 2 x 2'!#REF!</definedName>
    <definedName name="nsamples" localSheetId="9">'Ind groups comparisons'!#REF!</definedName>
    <definedName name="nsamples" localSheetId="10">'Ind groups contrasts'!#REF!</definedName>
    <definedName name="nsamples" localSheetId="5">#REF!</definedName>
    <definedName name="nsamples" localSheetId="7">#REF!</definedName>
    <definedName name="nsamples" localSheetId="4">#REF!</definedName>
    <definedName name="nsamples" localSheetId="3">#REF!</definedName>
    <definedName name="nsamples" localSheetId="6">#REF!</definedName>
    <definedName name="nsamples" localSheetId="8">#REF!</definedName>
    <definedName name="nsamples">#REF!</definedName>
    <definedName name="nsamps" localSheetId="11">#REF!</definedName>
    <definedName name="nsamps" localSheetId="9">#REF!</definedName>
    <definedName name="nsamps" localSheetId="10">#REF!</definedName>
    <definedName name="nsamps" localSheetId="5">#REF!</definedName>
    <definedName name="nsamps" localSheetId="7">#REF!</definedName>
    <definedName name="nsamps" localSheetId="4">#REF!</definedName>
    <definedName name="nsamps" localSheetId="3">#REF!</definedName>
    <definedName name="nsamps" localSheetId="6">#REF!</definedName>
    <definedName name="nsamps" localSheetId="8">#REF!</definedName>
    <definedName name="nsamps">#REF!</definedName>
    <definedName name="nsamps1" localSheetId="11">#REF!</definedName>
    <definedName name="nsamps1" localSheetId="9">#REF!</definedName>
    <definedName name="nsamps1" localSheetId="10">#REF!</definedName>
    <definedName name="nsamps1" localSheetId="5">#REF!</definedName>
    <definedName name="nsamps1" localSheetId="7">#REF!</definedName>
    <definedName name="nsamps1" localSheetId="4">#REF!</definedName>
    <definedName name="nsamps1" localSheetId="3">#REF!</definedName>
    <definedName name="nsamps1" localSheetId="6">#REF!</definedName>
    <definedName name="nsamps1" localSheetId="8">#REF!</definedName>
    <definedName name="nsamps1">#REF!</definedName>
    <definedName name="nsampso" localSheetId="11">'[7]d heap'!$N$18</definedName>
    <definedName name="nsampso" localSheetId="9">'[7]d heap'!$N$18</definedName>
    <definedName name="nsampso" localSheetId="10">'[7]d heap'!$N$18</definedName>
    <definedName name="nsampso" localSheetId="5">'[7]d heap'!$N$18</definedName>
    <definedName name="nsampso" localSheetId="7">'[7]d heap'!$N$18</definedName>
    <definedName name="nsampso" localSheetId="12">'[7]d heap'!$N$18</definedName>
    <definedName name="nsampso" localSheetId="4">'[7]d heap'!$N$18</definedName>
    <definedName name="nsampso" localSheetId="3">'[7]d heap'!$N$18</definedName>
    <definedName name="nsampso" localSheetId="6">'[7]d heap'!$N$18</definedName>
    <definedName name="nsampso" localSheetId="8">'[7]d heap'!$N$18</definedName>
    <definedName name="nsampso">#REF!</definedName>
    <definedName name="nsampss" localSheetId="11">[7]Sampling!$T$17</definedName>
    <definedName name="nsampss" localSheetId="9">[7]Sampling!$T$17</definedName>
    <definedName name="nsampss" localSheetId="10">[7]Sampling!$T$17</definedName>
    <definedName name="nsampss" localSheetId="5">[7]Sampling!$T$17</definedName>
    <definedName name="nsampss" localSheetId="7">[7]Sampling!$T$17</definedName>
    <definedName name="nsampss" localSheetId="12">[7]Sampling!$T$17</definedName>
    <definedName name="nsampss" localSheetId="4">[7]Sampling!$T$17</definedName>
    <definedName name="nsampss" localSheetId="3">[7]Sampling!$T$17</definedName>
    <definedName name="nsampss" localSheetId="6">[7]Sampling!$T$17</definedName>
    <definedName name="nsampss" localSheetId="8">[7]Sampling!$T$17</definedName>
    <definedName name="nsampss">#REF!</definedName>
    <definedName name="nsets" localSheetId="11">'[15]Sample r'!$P$20</definedName>
    <definedName name="nsets" localSheetId="9">'[15]Sample r'!$P$20</definedName>
    <definedName name="nsets" localSheetId="10">'[15]Sample r'!$P$20</definedName>
    <definedName name="nsets" localSheetId="5">'[16]Sample r'!$P$20</definedName>
    <definedName name="nsets" localSheetId="7">'[16]Sample r'!$P$20</definedName>
    <definedName name="nsets" localSheetId="12">'[16]Sample r'!$P$20</definedName>
    <definedName name="nsets" localSheetId="4">'[16]Sample r'!$P$20</definedName>
    <definedName name="nsets" localSheetId="3">'[16]Sample r'!$P$20</definedName>
    <definedName name="nsets" localSheetId="6">'[16]Sample r'!$P$20</definedName>
    <definedName name="nsets" localSheetId="8">'[16]Sample r'!$P$20</definedName>
    <definedName name="nsets">'[15]Sample r'!$P$20</definedName>
    <definedName name="Ntwo" localSheetId="11">#REF!</definedName>
    <definedName name="Ntwo" localSheetId="9">#REF!</definedName>
    <definedName name="Ntwo" localSheetId="10">#REF!</definedName>
    <definedName name="Ntwo" localSheetId="5">#REF!</definedName>
    <definedName name="Ntwo" localSheetId="7">#REF!</definedName>
    <definedName name="Ntwo" localSheetId="12">'Robust two'!$M$11</definedName>
    <definedName name="Ntwo" localSheetId="4">#REF!</definedName>
    <definedName name="Ntwo" localSheetId="3">#REF!</definedName>
    <definedName name="Ntwo" localSheetId="6">#REF!</definedName>
    <definedName name="Ntwo" localSheetId="8">#REF!</definedName>
    <definedName name="Ntwo">#REF!</definedName>
    <definedName name="nucapt" localSheetId="11">'[15]Sample r'!$P$22</definedName>
    <definedName name="nucapt" localSheetId="9">'[15]Sample r'!$P$22</definedName>
    <definedName name="nucapt" localSheetId="10">'[15]Sample r'!$P$22</definedName>
    <definedName name="nucapt" localSheetId="5">'[16]Sample r'!$P$22</definedName>
    <definedName name="nucapt" localSheetId="7">'[16]Sample r'!$P$22</definedName>
    <definedName name="nucapt" localSheetId="12">'[16]Sample r'!$P$22</definedName>
    <definedName name="nucapt" localSheetId="4">'[16]Sample r'!$P$22</definedName>
    <definedName name="nucapt" localSheetId="3">'[16]Sample r'!$P$22</definedName>
    <definedName name="nucapt" localSheetId="6">'[16]Sample r'!$P$22</definedName>
    <definedName name="nucapt" localSheetId="8">'[16]Sample r'!$P$22</definedName>
    <definedName name="nucapt">'[15]Sample r'!$P$22</definedName>
    <definedName name="nullctr">'[29]Case 1 Single Group'!$K$2</definedName>
    <definedName name="NumFreqSets" localSheetId="11">'[4]Two proportions'!$L$31</definedName>
    <definedName name="NumFreqSets" localSheetId="9">'[4]Two proportions'!$L$31</definedName>
    <definedName name="NumFreqSets" localSheetId="10">'[4]Two proportions'!$L$31</definedName>
    <definedName name="NumFreqSets" localSheetId="5">'[4]Two proportions'!$L$31</definedName>
    <definedName name="NumFreqSets" localSheetId="7">'[4]Two proportions'!$L$31</definedName>
    <definedName name="NumFreqSets" localSheetId="12">'[5]Two proportions'!$L$31</definedName>
    <definedName name="NumFreqSets" localSheetId="4">'[4]Two proportions'!$L$31</definedName>
    <definedName name="NumFreqSets" localSheetId="3">'[4]Two proportions'!$L$31</definedName>
    <definedName name="NumFreqSets" localSheetId="6">'[4]Two proportions'!$L$31</definedName>
    <definedName name="NumFreqSets" localSheetId="8">'[4]Two proportions'!$L$31</definedName>
    <definedName name="NumFreqSets">'[4]Two proportions'!$L$31</definedName>
    <definedName name="numinitsamps">#REF!</definedName>
    <definedName name="oldsamps" localSheetId="11">'Ind groups 2 x 2'!#REF!</definedName>
    <definedName name="oldsamps" localSheetId="9">'Ind groups comparisons'!#REF!</definedName>
    <definedName name="oldsamps" localSheetId="10">'Ind groups contrasts'!#REF!</definedName>
    <definedName name="oldsamps" localSheetId="5">#REF!</definedName>
    <definedName name="oldsamps" localSheetId="7">#REF!</definedName>
    <definedName name="oldsamps" localSheetId="4">#REF!</definedName>
    <definedName name="oldsamps" localSheetId="3">#REF!</definedName>
    <definedName name="oldsamps" localSheetId="6">#REF!</definedName>
    <definedName name="oldsamps" localSheetId="8">#REF!</definedName>
    <definedName name="oldsamps">#REF!</definedName>
    <definedName name="oldsamps1" localSheetId="11">#REF!</definedName>
    <definedName name="oldsamps1" localSheetId="9">#REF!</definedName>
    <definedName name="oldsamps1" localSheetId="10">#REF!</definedName>
    <definedName name="oldsamps1" localSheetId="5">#REF!</definedName>
    <definedName name="oldsamps1" localSheetId="7">#REF!</definedName>
    <definedName name="oldsamps1" localSheetId="4">#REF!</definedName>
    <definedName name="oldsamps1" localSheetId="3">#REF!</definedName>
    <definedName name="oldsamps1" localSheetId="6">#REF!</definedName>
    <definedName name="oldsamps1" localSheetId="8">#REF!</definedName>
    <definedName name="oldsamps1">#REF!</definedName>
    <definedName name="oldsampso" localSheetId="11">'[7]d heap'!$A$3:$B$304</definedName>
    <definedName name="oldsampso" localSheetId="9">'[7]d heap'!$A$3:$B$304</definedName>
    <definedName name="oldsampso" localSheetId="10">'[7]d heap'!$A$3:$B$304</definedName>
    <definedName name="oldsampso" localSheetId="5">'[7]d heap'!$A$3:$B$304</definedName>
    <definedName name="oldsampso" localSheetId="7">'[7]d heap'!$A$3:$B$304</definedName>
    <definedName name="oldsampso" localSheetId="12">'[7]d heap'!$A$3:$B$304</definedName>
    <definedName name="oldsampso" localSheetId="4">'[7]d heap'!$A$3:$B$304</definedName>
    <definedName name="oldsampso" localSheetId="3">'[7]d heap'!$A$3:$B$304</definedName>
    <definedName name="oldsampso" localSheetId="6">'[7]d heap'!$A$3:$B$304</definedName>
    <definedName name="oldsampso" localSheetId="8">'[7]d heap'!$A$3:$B$304</definedName>
    <definedName name="oldsampso">#REF!</definedName>
    <definedName name="oldsampss" localSheetId="11">[7]Sampling!$D$3:$E$304</definedName>
    <definedName name="oldsampss" localSheetId="9">[7]Sampling!$D$3:$E$304</definedName>
    <definedName name="oldsampss" localSheetId="10">[7]Sampling!$D$3:$E$304</definedName>
    <definedName name="oldsampss" localSheetId="5">[7]Sampling!$D$3:$E$304</definedName>
    <definedName name="oldsampss" localSheetId="7">[7]Sampling!$D$3:$E$304</definedName>
    <definedName name="oldsampss" localSheetId="12">[7]Sampling!$D$3:$E$304</definedName>
    <definedName name="oldsampss" localSheetId="4">[7]Sampling!$D$3:$E$304</definedName>
    <definedName name="oldsampss" localSheetId="3">[7]Sampling!$D$3:$E$304</definedName>
    <definedName name="oldsampss" localSheetId="6">[7]Sampling!$D$3:$E$304</definedName>
    <definedName name="oldsampss" localSheetId="8">[7]Sampling!$D$3:$E$304</definedName>
    <definedName name="oldsampss">#REF!</definedName>
    <definedName name="onealso" localSheetId="11">#REF!</definedName>
    <definedName name="onealso" localSheetId="9">#REF!</definedName>
    <definedName name="onealso" localSheetId="10">#REF!</definedName>
    <definedName name="onealso" localSheetId="5">#REF!</definedName>
    <definedName name="onealso" localSheetId="7">#REF!</definedName>
    <definedName name="onealso" localSheetId="4">#REF!</definedName>
    <definedName name="onealso" localSheetId="3">#REF!</definedName>
    <definedName name="onealso" localSheetId="6">#REF!</definedName>
    <definedName name="onealso" localSheetId="8">#REF!</definedName>
    <definedName name="onealso">#REF!</definedName>
    <definedName name="OneSpeed" localSheetId="11">#REF!</definedName>
    <definedName name="OneSpeed" localSheetId="9">#REF!</definedName>
    <definedName name="OneSpeed" localSheetId="10">#REF!</definedName>
    <definedName name="OneSpeed" localSheetId="5">#REF!</definedName>
    <definedName name="OneSpeed" localSheetId="7">#REF!</definedName>
    <definedName name="OneSpeed" localSheetId="4">#REF!</definedName>
    <definedName name="OneSpeed" localSheetId="3">#REF!</definedName>
    <definedName name="OneSpeed" localSheetId="6">#REF!</definedName>
    <definedName name="OneSpeed" localSheetId="8">#REF!</definedName>
    <definedName name="OneSpeed">#REF!</definedName>
    <definedName name="orddata300">[6]Describe!$BM$4:$BM$303</definedName>
    <definedName name="orddataput">[6]Describe!$I$2:$I$301</definedName>
    <definedName name="Oscrollcount">[6]Describe!$AD$2</definedName>
    <definedName name="overflow" localSheetId="11">'[18]Vary C'!$N$14</definedName>
    <definedName name="overflow" localSheetId="9">'[18]Vary C'!$N$14</definedName>
    <definedName name="overflow" localSheetId="10">'[18]Vary C'!$N$14</definedName>
    <definedName name="overflow" localSheetId="5">'[18]Vary C'!$N$14</definedName>
    <definedName name="overflow" localSheetId="7">'[18]Vary C'!$N$14</definedName>
    <definedName name="overflow" localSheetId="12">'[19]Vary C'!$N$14</definedName>
    <definedName name="overflow" localSheetId="4">'[18]Vary C'!$N$14</definedName>
    <definedName name="overflow" localSheetId="3">'[18]Vary C'!$N$14</definedName>
    <definedName name="overflow" localSheetId="6">'[18]Vary C'!$N$14</definedName>
    <definedName name="overflow" localSheetId="8">'[18]Vary C'!$N$14</definedName>
    <definedName name="overflow">'[18]Vary C'!$N$14</definedName>
    <definedName name="p9obt">#REF!</definedName>
    <definedName name="p9vala1">#REF!</definedName>
    <definedName name="p9vala2">#REF!</definedName>
    <definedName name="p9vala3">#REF!</definedName>
    <definedName name="p9vala4">#REF!</definedName>
    <definedName name="p9valb3">#REF!</definedName>
    <definedName name="p9valb4">#REF!</definedName>
    <definedName name="PairSpeed" localSheetId="11">#REF!</definedName>
    <definedName name="PairSpeed" localSheetId="9">#REF!</definedName>
    <definedName name="PairSpeed" localSheetId="10">#REF!</definedName>
    <definedName name="PairSpeed" localSheetId="5">#REF!</definedName>
    <definedName name="PairSpeed" localSheetId="7">#REF!</definedName>
    <definedName name="PairSpeed" localSheetId="4">#REF!</definedName>
    <definedName name="PairSpeed" localSheetId="3">#REF!</definedName>
    <definedName name="PairSpeed" localSheetId="6">#REF!</definedName>
    <definedName name="PairSpeed" localSheetId="8">#REF!</definedName>
    <definedName name="PairSpeed">#REF!</definedName>
    <definedName name="paraminto" localSheetId="11">'Ind groups 2 x 2'!#REF!</definedName>
    <definedName name="paraminto" localSheetId="9">'Ind groups comparisons'!#REF!</definedName>
    <definedName name="paraminto" localSheetId="10">'Ind groups contrasts'!#REF!</definedName>
    <definedName name="paraminto" localSheetId="5">#REF!</definedName>
    <definedName name="paraminto" localSheetId="7">#REF!</definedName>
    <definedName name="paraminto" localSheetId="4">#REF!</definedName>
    <definedName name="paraminto" localSheetId="3">#REF!</definedName>
    <definedName name="paraminto" localSheetId="6">#REF!</definedName>
    <definedName name="paraminto" localSheetId="8">#REF!</definedName>
    <definedName name="paraminto">#REF!</definedName>
    <definedName name="paraminto1" localSheetId="11">#REF!</definedName>
    <definedName name="paraminto1" localSheetId="9">#REF!</definedName>
    <definedName name="paraminto1" localSheetId="10">#REF!</definedName>
    <definedName name="paraminto1" localSheetId="5">#REF!</definedName>
    <definedName name="paraminto1" localSheetId="7">#REF!</definedName>
    <definedName name="paraminto1" localSheetId="4">#REF!</definedName>
    <definedName name="paraminto1" localSheetId="3">#REF!</definedName>
    <definedName name="paraminto1" localSheetId="6">#REF!</definedName>
    <definedName name="paraminto1" localSheetId="8">#REF!</definedName>
    <definedName name="paraminto1">#REF!</definedName>
    <definedName name="paramintoo" localSheetId="11">'[7]d heap'!$D$10</definedName>
    <definedName name="paramintoo" localSheetId="9">'[7]d heap'!$D$10</definedName>
    <definedName name="paramintoo" localSheetId="10">'[7]d heap'!$D$10</definedName>
    <definedName name="paramintoo" localSheetId="5">'[7]d heap'!$D$10</definedName>
    <definedName name="paramintoo" localSheetId="7">'[7]d heap'!$D$10</definedName>
    <definedName name="paramintoo" localSheetId="12">'[7]d heap'!$D$10</definedName>
    <definedName name="paramintoo" localSheetId="4">'[7]d heap'!$D$10</definedName>
    <definedName name="paramintoo" localSheetId="3">'[7]d heap'!$D$10</definedName>
    <definedName name="paramintoo" localSheetId="6">'[7]d heap'!$D$10</definedName>
    <definedName name="paramintoo" localSheetId="8">'[7]d heap'!$D$10</definedName>
    <definedName name="paramintoo">#REF!</definedName>
    <definedName name="paramintos" localSheetId="11">[7]Sampling!$G$10</definedName>
    <definedName name="paramintos" localSheetId="9">[7]Sampling!$G$10</definedName>
    <definedName name="paramintos" localSheetId="10">[7]Sampling!$G$10</definedName>
    <definedName name="paramintos" localSheetId="5">[7]Sampling!$G$10</definedName>
    <definedName name="paramintos" localSheetId="7">[7]Sampling!$G$10</definedName>
    <definedName name="paramintos" localSheetId="12">[7]Sampling!$G$10</definedName>
    <definedName name="paramintos" localSheetId="4">[7]Sampling!$G$10</definedName>
    <definedName name="paramintos" localSheetId="3">[7]Sampling!$G$10</definedName>
    <definedName name="paramintos" localSheetId="6">[7]Sampling!$G$10</definedName>
    <definedName name="paramintos" localSheetId="8">[7]Sampling!$G$10</definedName>
    <definedName name="paramintos">#REF!</definedName>
    <definedName name="params" localSheetId="11">'Ind groups 2 x 2'!#REF!</definedName>
    <definedName name="params" localSheetId="9">'Ind groups comparisons'!#REF!</definedName>
    <definedName name="params" localSheetId="10">'Ind groups contrasts'!#REF!</definedName>
    <definedName name="params" localSheetId="5">#REF!</definedName>
    <definedName name="params" localSheetId="7">#REF!</definedName>
    <definedName name="params" localSheetId="4">#REF!</definedName>
    <definedName name="params" localSheetId="3">#REF!</definedName>
    <definedName name="params" localSheetId="6">#REF!</definedName>
    <definedName name="params" localSheetId="8">#REF!</definedName>
    <definedName name="params">#REF!</definedName>
    <definedName name="params1" localSheetId="11">#REF!</definedName>
    <definedName name="params1" localSheetId="9">#REF!</definedName>
    <definedName name="params1" localSheetId="10">#REF!</definedName>
    <definedName name="params1">#REF!</definedName>
    <definedName name="paramso" localSheetId="11">'[7]d heap'!$E$10:$E$13</definedName>
    <definedName name="paramso" localSheetId="9">'[7]d heap'!$E$10:$E$13</definedName>
    <definedName name="paramso" localSheetId="10">'[7]d heap'!$E$10:$E$13</definedName>
    <definedName name="paramso" localSheetId="5">'[7]d heap'!$E$10:$E$13</definedName>
    <definedName name="paramso" localSheetId="7">'[7]d heap'!$E$10:$E$13</definedName>
    <definedName name="paramso" localSheetId="12">'[7]d heap'!$E$10:$E$13</definedName>
    <definedName name="paramso" localSheetId="4">'[7]d heap'!$E$10:$E$13</definedName>
    <definedName name="paramso" localSheetId="3">'[7]d heap'!$E$10:$E$13</definedName>
    <definedName name="paramso" localSheetId="6">'[7]d heap'!$E$10:$E$13</definedName>
    <definedName name="paramso" localSheetId="8">'[7]d heap'!$E$10:$E$13</definedName>
    <definedName name="paramso">#REF!</definedName>
    <definedName name="paramss" localSheetId="11">[7]Sampling!$H$10:$H$13</definedName>
    <definedName name="paramss" localSheetId="9">[7]Sampling!$H$10:$H$13</definedName>
    <definedName name="paramss" localSheetId="10">[7]Sampling!$H$10:$H$13</definedName>
    <definedName name="paramss" localSheetId="5">[7]Sampling!$H$10:$H$13</definedName>
    <definedName name="paramss" localSheetId="7">[7]Sampling!$H$10:$H$13</definedName>
    <definedName name="paramss" localSheetId="12">[7]Sampling!$H$10:$H$13</definedName>
    <definedName name="paramss" localSheetId="4">[7]Sampling!$H$10:$H$13</definedName>
    <definedName name="paramss" localSheetId="3">[7]Sampling!$H$10:$H$13</definedName>
    <definedName name="paramss" localSheetId="6">[7]Sampling!$H$10:$H$13</definedName>
    <definedName name="paramss" localSheetId="8">[7]Sampling!$H$10:$H$13</definedName>
    <definedName name="paramss">#REF!</definedName>
    <definedName name="park" localSheetId="11">'[15]Calculate r'!$K$2</definedName>
    <definedName name="park" localSheetId="9">'[15]Calculate r'!$K$2</definedName>
    <definedName name="park" localSheetId="10">'[15]Calculate r'!$K$2</definedName>
    <definedName name="park" localSheetId="5">#REF!</definedName>
    <definedName name="park" localSheetId="7">#REF!</definedName>
    <definedName name="park" localSheetId="12">'[16]Calculate r'!$K$2</definedName>
    <definedName name="park" localSheetId="4">#REF!</definedName>
    <definedName name="park" localSheetId="3">#REF!</definedName>
    <definedName name="park" localSheetId="6">#REF!</definedName>
    <definedName name="park" localSheetId="8">#REF!</definedName>
    <definedName name="park">'[15]Calculate r'!$K$2</definedName>
    <definedName name="parkr" localSheetId="11">'[15]See r'!$C$14</definedName>
    <definedName name="parkr" localSheetId="9">'[15]See r'!$C$14</definedName>
    <definedName name="parkr" localSheetId="10">'[15]See r'!$C$14</definedName>
    <definedName name="parkr" localSheetId="5">'[16]See r'!$C$14</definedName>
    <definedName name="parkr" localSheetId="7">'[16]See r'!$C$14</definedName>
    <definedName name="parkr" localSheetId="12">'[16]See r'!$C$14</definedName>
    <definedName name="parkr" localSheetId="4">Scatterplots!#REF!</definedName>
    <definedName name="parkr" localSheetId="3">'See r'!#REF!</definedName>
    <definedName name="parkr" localSheetId="6">'[16]See r'!$C$14</definedName>
    <definedName name="parkr" localSheetId="8">'[16]See r'!$C$14</definedName>
    <definedName name="parkr">'[15]See r'!$C$14</definedName>
    <definedName name="parkr2" localSheetId="5">'One correlation'!$D$19</definedName>
    <definedName name="parkr2" localSheetId="7">'One proportion'!#REF!</definedName>
    <definedName name="parkr2">#REF!</definedName>
    <definedName name="parkrtwo" localSheetId="6">'Two correlations'!$AC$2</definedName>
    <definedName name="parkrtwo" localSheetId="8">'Two proportions'!$AB$2</definedName>
    <definedName name="parkrtwo">'[17]Two correlations'!$J$2</definedName>
    <definedName name="parkrz" localSheetId="5">'One correlation'!$O$2</definedName>
    <definedName name="parkrz" localSheetId="7">'One proportion'!$P$2</definedName>
    <definedName name="parkrz">'[17]r to z'!$J$2</definedName>
    <definedName name="parksr" localSheetId="11">'[15]Sample r'!$N$2</definedName>
    <definedName name="parksr" localSheetId="9">'[15]Sample r'!$N$2</definedName>
    <definedName name="parksr" localSheetId="10">'[15]Sample r'!$N$2</definedName>
    <definedName name="parksr" localSheetId="5">'[17]Sample r'!#REF!</definedName>
    <definedName name="parksr" localSheetId="7">'[17]Sample r'!#REF!</definedName>
    <definedName name="parksr" localSheetId="12">'[16]Sample r'!$N$2</definedName>
    <definedName name="parksr" localSheetId="4">'[17]Sample r'!#REF!</definedName>
    <definedName name="parksr" localSheetId="3">'[17]Sample r'!#REF!</definedName>
    <definedName name="parksr" localSheetId="6">'[17]Sample r'!#REF!</definedName>
    <definedName name="parksr" localSheetId="8">'[17]Sample r'!#REF!</definedName>
    <definedName name="parksr">'[15]Sample r'!$N$2</definedName>
    <definedName name="pccursortf">[6]Describe!$U$24</definedName>
    <definedName name="persist" localSheetId="11">#REF!</definedName>
    <definedName name="persist" localSheetId="9">#REF!</definedName>
    <definedName name="persist" localSheetId="10">#REF!</definedName>
    <definedName name="persist">#REF!</definedName>
    <definedName name="pnineobt">#REF!</definedName>
    <definedName name="pnvalafour">#REF!</definedName>
    <definedName name="pnvalaone">#REF!</definedName>
    <definedName name="pnvalathree">#REF!</definedName>
    <definedName name="pnvalatwo">#REF!</definedName>
    <definedName name="pnvalbfour">#REF!</definedName>
    <definedName name="pnvalbthree">#REF!</definedName>
    <definedName name="POPMEAN" localSheetId="11">#REF!</definedName>
    <definedName name="POPMEAN" localSheetId="9">#REF!</definedName>
    <definedName name="POPMEAN" localSheetId="10">#REF!</definedName>
    <definedName name="POPMEAN" localSheetId="5">#REF!</definedName>
    <definedName name="POPMEAN" localSheetId="7">#REF!</definedName>
    <definedName name="POPMEAN" localSheetId="12">#REF!</definedName>
    <definedName name="POPMEAN" localSheetId="4">#REF!</definedName>
    <definedName name="POPMEAN" localSheetId="3">#REF!</definedName>
    <definedName name="POPMEAN" localSheetId="6">#REF!</definedName>
    <definedName name="POPMEAN" localSheetId="8">#REF!</definedName>
    <definedName name="POPMEAN">'[39]Paired Data'!$K$3</definedName>
    <definedName name="POPMEANDIFF" localSheetId="11">#REF!</definedName>
    <definedName name="POPMEANDIFF" localSheetId="9">#REF!</definedName>
    <definedName name="POPMEANDIFF" localSheetId="10">#REF!</definedName>
    <definedName name="POPMEANDIFF" localSheetId="5">#REF!</definedName>
    <definedName name="POPMEANDIFF" localSheetId="7">#REF!</definedName>
    <definedName name="POPMEANDIFF" localSheetId="12">#REF!</definedName>
    <definedName name="POPMEANDIFF" localSheetId="4">#REF!</definedName>
    <definedName name="POPMEANDIFF" localSheetId="3">#REF!</definedName>
    <definedName name="POPMEANDIFF" localSheetId="6">#REF!</definedName>
    <definedName name="POPMEANDIFF" localSheetId="8">#REF!</definedName>
    <definedName name="POPMEANDIFF">'[39]Paired Data'!$H$11</definedName>
    <definedName name="POPSIGMA" localSheetId="11">#REF!</definedName>
    <definedName name="POPSIGMA" localSheetId="9">#REF!</definedName>
    <definedName name="POPSIGMA" localSheetId="10">#REF!</definedName>
    <definedName name="POPSIGMA" localSheetId="5">#REF!</definedName>
    <definedName name="POPSIGMA" localSheetId="7">#REF!</definedName>
    <definedName name="POPSIGMA" localSheetId="12">#REF!</definedName>
    <definedName name="POPSIGMA" localSheetId="4">#REF!</definedName>
    <definedName name="POPSIGMA" localSheetId="3">#REF!</definedName>
    <definedName name="POPSIGMA" localSheetId="6">#REF!</definedName>
    <definedName name="POPSIGMA" localSheetId="8">#REF!</definedName>
    <definedName name="POPSIGMA">'[39]Paired Data'!$K$5</definedName>
    <definedName name="preplabel" localSheetId="11">[21]Replication!$AS$8</definedName>
    <definedName name="preplabel" localSheetId="9">[21]Replication!$AS$8</definedName>
    <definedName name="preplabel" localSheetId="10">[21]Replication!$AS$8</definedName>
    <definedName name="preplabel" localSheetId="5">[21]Replication!$AS$8</definedName>
    <definedName name="preplabel" localSheetId="7">[21]Replication!$AS$8</definedName>
    <definedName name="preplabel" localSheetId="12">[22]Replication!$AS$8</definedName>
    <definedName name="preplabel" localSheetId="4">[21]Replication!$AS$8</definedName>
    <definedName name="preplabel" localSheetId="3">[21]Replication!$AS$8</definedName>
    <definedName name="preplabel" localSheetId="6">[21]Replication!$AS$8</definedName>
    <definedName name="preplabel" localSheetId="8">[21]Replication!$AS$8</definedName>
    <definedName name="preplabel">[21]Replication!$AS$8</definedName>
    <definedName name="Prop1" localSheetId="11">'[4]Two proportions'!$G$31</definedName>
    <definedName name="Prop1" localSheetId="9">'[4]Two proportions'!$G$31</definedName>
    <definedName name="Prop1" localSheetId="10">'[4]Two proportions'!$G$31</definedName>
    <definedName name="Prop1" localSheetId="5">'[4]Two proportions'!$G$31</definedName>
    <definedName name="Prop1" localSheetId="7">'[4]Two proportions'!$G$31</definedName>
    <definedName name="Prop1" localSheetId="12">'[5]Two proportions'!$G$31</definedName>
    <definedName name="Prop1" localSheetId="4">'[4]Two proportions'!$G$31</definedName>
    <definedName name="Prop1" localSheetId="3">'[4]Two proportions'!$G$31</definedName>
    <definedName name="Prop1" localSheetId="6">'[4]Two proportions'!$G$31</definedName>
    <definedName name="Prop1" localSheetId="8">'[4]Two proportions'!$G$31</definedName>
    <definedName name="Prop1">'[4]Two proportions'!$G$31</definedName>
    <definedName name="Prop2" localSheetId="11">'[4]Two proportions'!$I$31</definedName>
    <definedName name="Prop2" localSheetId="9">'[4]Two proportions'!$I$31</definedName>
    <definedName name="Prop2" localSheetId="10">'[4]Two proportions'!$I$31</definedName>
    <definedName name="Prop2" localSheetId="5">'[4]Two proportions'!$I$31</definedName>
    <definedName name="Prop2" localSheetId="7">'[4]Two proportions'!$I$31</definedName>
    <definedName name="Prop2" localSheetId="12">'[5]Two proportions'!$I$31</definedName>
    <definedName name="Prop2" localSheetId="4">'[4]Two proportions'!$I$31</definedName>
    <definedName name="Prop2" localSheetId="3">'[4]Two proportions'!$I$31</definedName>
    <definedName name="Prop2" localSheetId="6">'[4]Two proportions'!$I$31</definedName>
    <definedName name="Prop2" localSheetId="8">'[4]Two proportions'!$I$31</definedName>
    <definedName name="Prop2">'[4]Two proportions'!$I$31</definedName>
    <definedName name="ptrs">#REF!</definedName>
    <definedName name="putfour" localSheetId="11">'[7]Precision one'!$AD$1:$AD$4</definedName>
    <definedName name="putfour" localSheetId="9">'[7]Precision one'!$AD$1:$AD$4</definedName>
    <definedName name="putfour" localSheetId="10">'[7]Precision one'!$AD$1:$AD$4</definedName>
    <definedName name="putfour" localSheetId="5">'[7]Precision one'!$AD$1:$AD$4</definedName>
    <definedName name="putfour" localSheetId="7">'[7]Precision one'!$AD$1:$AD$4</definedName>
    <definedName name="putfour" localSheetId="2">'Precision paired'!#REF!</definedName>
    <definedName name="putfour" localSheetId="1">'Precision two'!#REF!</definedName>
    <definedName name="putfour" localSheetId="12">'[7]Precision one'!$AD$1:$AD$4</definedName>
    <definedName name="putfour" localSheetId="4">'[7]Precision one'!$AD$1:$AD$4</definedName>
    <definedName name="putfour" localSheetId="3">'[7]Precision one'!$AD$1:$AD$4</definedName>
    <definedName name="putfour" localSheetId="6">'[7]Precision one'!$AD$1:$AD$4</definedName>
    <definedName name="putfour" localSheetId="8">'[7]Precision one'!$AD$1:$AD$4</definedName>
    <definedName name="putfour">#REF!</definedName>
    <definedName name="putfourg" localSheetId="11">'[7]Precision one'!$Z$1:$Z$4</definedName>
    <definedName name="putfourg" localSheetId="9">'[7]Precision one'!$Z$1:$Z$4</definedName>
    <definedName name="putfourg" localSheetId="10">'[7]Precision one'!$Z$1:$Z$4</definedName>
    <definedName name="putfourg" localSheetId="5">'[7]Precision one'!$Z$1:$Z$4</definedName>
    <definedName name="putfourg" localSheetId="7">'[7]Precision one'!$Z$1:$Z$4</definedName>
    <definedName name="putfourg" localSheetId="2">'Precision paired'!#REF!</definedName>
    <definedName name="putfourg" localSheetId="1">'Precision two'!#REF!</definedName>
    <definedName name="putfourg" localSheetId="12">'[7]Precision one'!$Z$1:$Z$4</definedName>
    <definedName name="putfourg" localSheetId="4">'[7]Precision one'!$Z$1:$Z$4</definedName>
    <definedName name="putfourg" localSheetId="3">'[7]Precision one'!$Z$1:$Z$4</definedName>
    <definedName name="putfourg" localSheetId="6">'[7]Precision one'!$Z$1:$Z$4</definedName>
    <definedName name="putfourg" localSheetId="8">'[7]Precision one'!$Z$1:$Z$4</definedName>
    <definedName name="putfourg">#REF!</definedName>
    <definedName name="putgamma" localSheetId="11">'[7]Precision one'!$AH$1</definedName>
    <definedName name="putgamma" localSheetId="9">'[7]Precision one'!$AH$1</definedName>
    <definedName name="putgamma" localSheetId="10">'[7]Precision one'!$AH$1</definedName>
    <definedName name="putgamma" localSheetId="5">'[7]Precision one'!$AH$1</definedName>
    <definedName name="putgamma" localSheetId="7">'[7]Precision one'!$AH$1</definedName>
    <definedName name="putgamma" localSheetId="2">'Precision paired'!#REF!</definedName>
    <definedName name="putgamma" localSheetId="1">'Precision two'!#REF!</definedName>
    <definedName name="putgamma" localSheetId="12">'[7]Precision one'!$AH$1</definedName>
    <definedName name="putgamma" localSheetId="4">'[7]Precision one'!$AH$1</definedName>
    <definedName name="putgamma" localSheetId="3">'[7]Precision one'!$AH$1</definedName>
    <definedName name="putgamma" localSheetId="6">'[7]Precision one'!$AH$1</definedName>
    <definedName name="putgamma" localSheetId="8">'[7]Precision one'!$AH$1</definedName>
    <definedName name="putgamma">#REF!</definedName>
    <definedName name="putht">#REF!</definedName>
    <definedName name="putoneprop" localSheetId="7">'One proportion'!$A$20</definedName>
    <definedName name="putoneprop">'[24]One proportion'!$A$20</definedName>
    <definedName name="putrand" localSheetId="11">'[15]Calculate r'!$AE$2</definedName>
    <definedName name="putrand" localSheetId="9">'[15]Calculate r'!$AE$2</definedName>
    <definedName name="putrand" localSheetId="10">'[15]Calculate r'!$AE$2</definedName>
    <definedName name="putrand" localSheetId="5">#REF!</definedName>
    <definedName name="putrand" localSheetId="7">#REF!</definedName>
    <definedName name="putrand" localSheetId="12">'[16]Calculate r'!$AE$2</definedName>
    <definedName name="putrand" localSheetId="4">#REF!</definedName>
    <definedName name="putrand" localSheetId="3">#REF!</definedName>
    <definedName name="putrand" localSheetId="6">#REF!</definedName>
    <definedName name="putrand" localSheetId="8">#REF!</definedName>
    <definedName name="putrand">'[15]Calculate r'!$AE$2</definedName>
    <definedName name="puttwoprop" localSheetId="8">'Two proportions'!$B$18</definedName>
    <definedName name="puttwoprop">'[24]Two proportions'!$B$18</definedName>
    <definedName name="putXY" localSheetId="11">'[15]Calculate r'!$B$8</definedName>
    <definedName name="putXY" localSheetId="9">'[15]Calculate r'!$B$8</definedName>
    <definedName name="putXY" localSheetId="10">'[15]Calculate r'!$B$8</definedName>
    <definedName name="putXY" localSheetId="5">#REF!</definedName>
    <definedName name="putXY" localSheetId="7">#REF!</definedName>
    <definedName name="putXY" localSheetId="12">'[16]Calculate r'!$B$8</definedName>
    <definedName name="putXY" localSheetId="4">#REF!</definedName>
    <definedName name="putXY" localSheetId="3">#REF!</definedName>
    <definedName name="putXY" localSheetId="6">#REF!</definedName>
    <definedName name="putXY" localSheetId="8">#REF!</definedName>
    <definedName name="putXY">'[15]Calculate r'!$B$8</definedName>
    <definedName name="pvallabel" localSheetId="11">[21]Replication!$AS$7</definedName>
    <definedName name="pvallabel" localSheetId="9">[21]Replication!$AS$7</definedName>
    <definedName name="pvallabel" localSheetId="10">[21]Replication!$AS$7</definedName>
    <definedName name="pvallabel" localSheetId="5">[21]Replication!$AS$7</definedName>
    <definedName name="pvallabel" localSheetId="7">[21]Replication!$AS$7</definedName>
    <definedName name="pvallabel" localSheetId="12">[22]Replication!$AS$7</definedName>
    <definedName name="pvallabel" localSheetId="4">[21]Replication!$AS$7</definedName>
    <definedName name="pvallabel" localSheetId="3">[21]Replication!$AS$7</definedName>
    <definedName name="pvallabel" localSheetId="6">[21]Replication!$AS$7</definedName>
    <definedName name="pvallabel" localSheetId="8">[21]Replication!$AS$7</definedName>
    <definedName name="pvallabel">[21]Replication!$AS$7</definedName>
    <definedName name="RangeSliders" localSheetId="11">'[15]Calculate r'!$AX$5</definedName>
    <definedName name="RangeSliders" localSheetId="9">'[15]Calculate r'!$AX$5</definedName>
    <definedName name="RangeSliders" localSheetId="10">'[15]Calculate r'!$AX$5</definedName>
    <definedName name="RangeSliders" localSheetId="5">#REF!</definedName>
    <definedName name="RangeSliders" localSheetId="7">#REF!</definedName>
    <definedName name="RangeSliders" localSheetId="12">'[16]Calculate r'!$AX$5</definedName>
    <definedName name="RangeSliders" localSheetId="4">#REF!</definedName>
    <definedName name="RangeSliders" localSheetId="3">#REF!</definedName>
    <definedName name="RangeSliders" localSheetId="6">#REF!</definedName>
    <definedName name="RangeSliders" localSheetId="8">#REF!</definedName>
    <definedName name="RangeSliders">'[15]Calculate r'!$AX$5</definedName>
    <definedName name="rectdata">[6]Describe!$CK$3:$CK$302</definedName>
    <definedName name="Rep4copy">#REF!</definedName>
    <definedName name="Rep4paste">#REF!</definedName>
    <definedName name="Rep5copy">#REF!</definedName>
    <definedName name="Rep5paste">#REF!</definedName>
    <definedName name="Repchange" localSheetId="11">#REF!</definedName>
    <definedName name="Repchange" localSheetId="9">#REF!</definedName>
    <definedName name="Repchange" localSheetId="10">#REF!</definedName>
    <definedName name="Repchange" localSheetId="5">#REF!</definedName>
    <definedName name="Repchange" localSheetId="7">#REF!</definedName>
    <definedName name="Repchange" localSheetId="12">#REF!</definedName>
    <definedName name="Repchange" localSheetId="4">#REF!</definedName>
    <definedName name="Repchange" localSheetId="3">#REF!</definedName>
    <definedName name="Repchange" localSheetId="6">#REF!</definedName>
    <definedName name="Repchange" localSheetId="8">#REF!</definedName>
    <definedName name="Repchange">#REF!</definedName>
    <definedName name="Repfivecopy">#REF!</definedName>
    <definedName name="Repfivepaste">#REF!</definedName>
    <definedName name="repindex" localSheetId="11">#REF!</definedName>
    <definedName name="repindex" localSheetId="9">#REF!</definedName>
    <definedName name="repindex" localSheetId="10">#REF!</definedName>
    <definedName name="repindex" localSheetId="5">#REF!</definedName>
    <definedName name="repindex" localSheetId="7">#REF!</definedName>
    <definedName name="repindex" localSheetId="12">#REF!</definedName>
    <definedName name="repindex" localSheetId="4">#REF!</definedName>
    <definedName name="repindex" localSheetId="3">#REF!</definedName>
    <definedName name="repindex" localSheetId="6">#REF!</definedName>
    <definedName name="repindex" localSheetId="8">#REF!</definedName>
    <definedName name="repindex">#REF!</definedName>
    <definedName name="Replast" localSheetId="11">#REF!</definedName>
    <definedName name="Replast" localSheetId="9">#REF!</definedName>
    <definedName name="Replast" localSheetId="10">#REF!</definedName>
    <definedName name="Replast" localSheetId="5">#REF!</definedName>
    <definedName name="Replast" localSheetId="7">#REF!</definedName>
    <definedName name="Replast" localSheetId="12">#REF!</definedName>
    <definedName name="Replast" localSheetId="4">#REF!</definedName>
    <definedName name="Replast" localSheetId="3">#REF!</definedName>
    <definedName name="Replast" localSheetId="6">#REF!</definedName>
    <definedName name="Replast" localSheetId="8">#REF!</definedName>
    <definedName name="Replast">#REF!</definedName>
    <definedName name="Repnew" localSheetId="11">#REF!</definedName>
    <definedName name="Repnew" localSheetId="9">#REF!</definedName>
    <definedName name="Repnew" localSheetId="10">#REF!</definedName>
    <definedName name="Repnew" localSheetId="5">#REF!</definedName>
    <definedName name="Repnew" localSheetId="7">#REF!</definedName>
    <definedName name="Repnew" localSheetId="12">#REF!</definedName>
    <definedName name="Repnew" localSheetId="4">#REF!</definedName>
    <definedName name="Repnew" localSheetId="3">#REF!</definedName>
    <definedName name="Repnew" localSheetId="6">#REF!</definedName>
    <definedName name="Repnew" localSheetId="8">#REF!</definedName>
    <definedName name="Repnew">#REF!</definedName>
    <definedName name="repnow" localSheetId="11">#REF!</definedName>
    <definedName name="repnow" localSheetId="9">#REF!</definedName>
    <definedName name="repnow" localSheetId="10">#REF!</definedName>
    <definedName name="repnow" localSheetId="5">#REF!</definedName>
    <definedName name="repnow" localSheetId="7">#REF!</definedName>
    <definedName name="repnow" localSheetId="12">#REF!</definedName>
    <definedName name="repnow" localSheetId="4">#REF!</definedName>
    <definedName name="repnow" localSheetId="3">#REF!</definedName>
    <definedName name="repnow" localSheetId="6">#REF!</definedName>
    <definedName name="repnow" localSheetId="8">#REF!</definedName>
    <definedName name="repnow">#REF!</definedName>
    <definedName name="Repold" localSheetId="11">#REF!</definedName>
    <definedName name="Repold" localSheetId="9">#REF!</definedName>
    <definedName name="Repold" localSheetId="10">#REF!</definedName>
    <definedName name="Repold" localSheetId="5">#REF!</definedName>
    <definedName name="Repold" localSheetId="7">#REF!</definedName>
    <definedName name="Repold" localSheetId="12">#REF!</definedName>
    <definedName name="Repold" localSheetId="4">#REF!</definedName>
    <definedName name="Repold" localSheetId="3">#REF!</definedName>
    <definedName name="Repold" localSheetId="6">#REF!</definedName>
    <definedName name="Repold" localSheetId="8">#REF!</definedName>
    <definedName name="Repold">#REF!</definedName>
    <definedName name="repseed" localSheetId="11">#REF!</definedName>
    <definedName name="repseed" localSheetId="9">#REF!</definedName>
    <definedName name="repseed" localSheetId="10">#REF!</definedName>
    <definedName name="repseed" localSheetId="5">#REF!</definedName>
    <definedName name="repseed" localSheetId="7">#REF!</definedName>
    <definedName name="repseed" localSheetId="12">#REF!</definedName>
    <definedName name="repseed" localSheetId="4">#REF!</definedName>
    <definedName name="repseed" localSheetId="3">#REF!</definedName>
    <definedName name="repseed" localSheetId="6">#REF!</definedName>
    <definedName name="repseed" localSheetId="8">#REF!</definedName>
    <definedName name="repseed">#REF!</definedName>
    <definedName name="Repsing2switch">#REF!</definedName>
    <definedName name="repsingswitch" localSheetId="11">#REF!</definedName>
    <definedName name="repsingswitch" localSheetId="9">#REF!</definedName>
    <definedName name="repsingswitch" localSheetId="10">#REF!</definedName>
    <definedName name="repsingswitch" localSheetId="5">#REF!</definedName>
    <definedName name="repsingswitch" localSheetId="7">#REF!</definedName>
    <definedName name="repsingswitch" localSheetId="12">#REF!</definedName>
    <definedName name="repsingswitch" localSheetId="4">#REF!</definedName>
    <definedName name="repsingswitch" localSheetId="3">#REF!</definedName>
    <definedName name="repsingswitch" localSheetId="6">#REF!</definedName>
    <definedName name="repsingswitch" localSheetId="8">#REF!</definedName>
    <definedName name="repsingswitch">#REF!</definedName>
    <definedName name="RepSingtwoSwitch">#REF!</definedName>
    <definedName name="RepSpeed" localSheetId="11">#REF!</definedName>
    <definedName name="RepSpeed" localSheetId="9">#REF!</definedName>
    <definedName name="RepSpeed" localSheetId="10">#REF!</definedName>
    <definedName name="RepSpeed" localSheetId="5">#REF!</definedName>
    <definedName name="RepSpeed" localSheetId="7">#REF!</definedName>
    <definedName name="RepSpeed" localSheetId="12">#REF!</definedName>
    <definedName name="RepSpeed" localSheetId="4">#REF!</definedName>
    <definedName name="RepSpeed" localSheetId="3">#REF!</definedName>
    <definedName name="RepSpeed" localSheetId="6">#REF!</definedName>
    <definedName name="RepSpeed" localSheetId="8">#REF!</definedName>
    <definedName name="RepSpeed">#REF!</definedName>
    <definedName name="Repswitch" localSheetId="5">#REF!</definedName>
    <definedName name="Repswitch" localSheetId="7">#REF!</definedName>
    <definedName name="Repswitch" localSheetId="4">#REF!</definedName>
    <definedName name="Repswitch" localSheetId="3">#REF!</definedName>
    <definedName name="Repswitch" localSheetId="6">#REF!</definedName>
    <definedName name="Repswitch" localSheetId="8">#REF!</definedName>
    <definedName name="Repswitch">#REF!</definedName>
    <definedName name="revchi" localSheetId="8">'Two proportions'!$BM$3</definedName>
    <definedName name="revchi">'[24]Two proportions'!$BM$3</definedName>
    <definedName name="RevCI" localSheetId="11">'[20]Two studies'!$AN$18</definedName>
    <definedName name="RevCI" localSheetId="9">'[20]Two studies'!$AN$18</definedName>
    <definedName name="RevCI" localSheetId="10">'[20]Two studies'!$AN$18</definedName>
    <definedName name="RevCI">#REF!</definedName>
    <definedName name="revdatatwo" localSheetId="5">#REF!</definedName>
    <definedName name="revdatatwo" localSheetId="7">#REF!</definedName>
    <definedName name="revdatatwo" localSheetId="12">'Robust two'!$AQ$98</definedName>
    <definedName name="revdatatwo" localSheetId="4">#REF!</definedName>
    <definedName name="revdatatwo" localSheetId="3">#REF!</definedName>
    <definedName name="revdatatwo" localSheetId="6">#REF!</definedName>
    <definedName name="revdatatwo" localSheetId="8">#REF!</definedName>
    <definedName name="revdatatwo">#REF!</definedName>
    <definedName name="RevealMoren" localSheetId="11">'[4]Two proportions'!$AN$1</definedName>
    <definedName name="RevealMoren" localSheetId="9">'[4]Two proportions'!$AN$1</definedName>
    <definedName name="RevealMoren" localSheetId="10">'[4]Two proportions'!$AN$1</definedName>
    <definedName name="RevealMoren" localSheetId="5">'[4]Two proportions'!$AN$1</definedName>
    <definedName name="RevealMoren" localSheetId="7">'[4]Two proportions'!$AN$1</definedName>
    <definedName name="RevealMoren" localSheetId="12">'[5]Two proportions'!$AN$1</definedName>
    <definedName name="RevealMoren" localSheetId="4">'[4]Two proportions'!$AN$1</definedName>
    <definedName name="RevealMoren" localSheetId="3">'[4]Two proportions'!$AN$1</definedName>
    <definedName name="RevealMoren" localSheetId="6">'[4]Two proportions'!$AN$1</definedName>
    <definedName name="RevealMoren" localSheetId="8">'[4]Two proportions'!$AN$1</definedName>
    <definedName name="RevealMoren">'[4]Two proportions'!$AN$1</definedName>
    <definedName name="RevealSimn" localSheetId="11">'[4]Two proportions'!$AN$2</definedName>
    <definedName name="RevealSimn" localSheetId="9">'[4]Two proportions'!$AN$2</definedName>
    <definedName name="RevealSimn" localSheetId="10">'[4]Two proportions'!$AN$2</definedName>
    <definedName name="RevealSimn" localSheetId="5">'[4]Two proportions'!$AN$2</definedName>
    <definedName name="RevealSimn" localSheetId="7">'[4]Two proportions'!$AN$2</definedName>
    <definedName name="RevealSimn" localSheetId="12">'[5]Two proportions'!$AN$2</definedName>
    <definedName name="RevealSimn" localSheetId="4">'[4]Two proportions'!$AN$2</definedName>
    <definedName name="RevealSimn" localSheetId="3">'[4]Two proportions'!$AN$2</definedName>
    <definedName name="RevealSimn" localSheetId="6">'[4]Two proportions'!$AN$2</definedName>
    <definedName name="RevealSimn" localSheetId="8">'[4]Two proportions'!$AN$2</definedName>
    <definedName name="RevealSimn">'[4]Two proportions'!$AN$2</definedName>
    <definedName name="RevMA" localSheetId="11">'[20]Two studies'!$AN$19</definedName>
    <definedName name="RevMA" localSheetId="9">'[20]Two studies'!$AN$19</definedName>
    <definedName name="RevMA" localSheetId="10">'[20]Two studies'!$AN$19</definedName>
    <definedName name="RevMA">#REF!</definedName>
    <definedName name="RevNHST" localSheetId="11">'[20]Two studies'!$AN$17</definedName>
    <definedName name="RevNHST" localSheetId="9">'[20]Two studies'!$AN$17</definedName>
    <definedName name="RevNHST" localSheetId="10">'[20]Two studies'!$AN$17</definedName>
    <definedName name="RevNHST">#REF!</definedName>
    <definedName name="Revpaired">#REF!</definedName>
    <definedName name="rforz">#REF!</definedName>
    <definedName name="rfyinc" localSheetId="11">'[15]Sample r'!$V$36</definedName>
    <definedName name="rfyinc" localSheetId="9">'[15]Sample r'!$V$36</definedName>
    <definedName name="rfyinc" localSheetId="10">'[15]Sample r'!$V$36</definedName>
    <definedName name="rfyinc" localSheetId="5">'[16]Sample r'!$V$36</definedName>
    <definedName name="rfyinc" localSheetId="7">'[16]Sample r'!$V$36</definedName>
    <definedName name="rfyinc" localSheetId="12">'[16]Sample r'!$V$36</definedName>
    <definedName name="rfyinc" localSheetId="4">'[16]Sample r'!$V$36</definedName>
    <definedName name="rfyinc" localSheetId="3">'[16]Sample r'!$V$36</definedName>
    <definedName name="rfyinc" localSheetId="6">'[16]Sample r'!$V$36</definedName>
    <definedName name="rfyinc" localSheetId="8">'[16]Sample r'!$V$36</definedName>
    <definedName name="rfyinc">'[15]Sample r'!$V$36</definedName>
    <definedName name="rightx">[6]Describe!$AR$34</definedName>
    <definedName name="rmaxy" localSheetId="11">'[15]Sample r'!$AD$8</definedName>
    <definedName name="rmaxy" localSheetId="9">'[15]Sample r'!$AD$8</definedName>
    <definedName name="rmaxy" localSheetId="10">'[15]Sample r'!$AD$8</definedName>
    <definedName name="rmaxy" localSheetId="5">'[16]Sample r'!$AD$8</definedName>
    <definedName name="rmaxy" localSheetId="7">'[16]Sample r'!$AD$8</definedName>
    <definedName name="rmaxy" localSheetId="12">'[16]Sample r'!$AD$8</definedName>
    <definedName name="rmaxy" localSheetId="4">'[16]Sample r'!$AD$8</definedName>
    <definedName name="rmaxy" localSheetId="3">'[16]Sample r'!$AD$8</definedName>
    <definedName name="rmaxy" localSheetId="6">'[16]Sample r'!$AD$8</definedName>
    <definedName name="rmaxy" localSheetId="8">'[16]Sample r'!$AD$8</definedName>
    <definedName name="rmaxy">'[15]Sample r'!$AD$8</definedName>
    <definedName name="rparams" localSheetId="11">'[15]Sample r'!$P$15:$P$19</definedName>
    <definedName name="rparams" localSheetId="9">'[15]Sample r'!$P$15:$P$19</definedName>
    <definedName name="rparams" localSheetId="10">'[15]Sample r'!$P$15:$P$19</definedName>
    <definedName name="rparams" localSheetId="5">'[16]Sample r'!$P$15:$P$19</definedName>
    <definedName name="rparams" localSheetId="7">'[16]Sample r'!$P$15:$P$19</definedName>
    <definedName name="rparams" localSheetId="12">'[16]Sample r'!$P$15:$P$19</definedName>
    <definedName name="rparams" localSheetId="4">'[16]Sample r'!$P$15:$P$19</definedName>
    <definedName name="rparams" localSheetId="3">'[16]Sample r'!$P$15:$P$19</definedName>
    <definedName name="rparams" localSheetId="6">'[16]Sample r'!$P$15:$P$19</definedName>
    <definedName name="rparams" localSheetId="8">'[16]Sample r'!$P$15:$P$19</definedName>
    <definedName name="rparams">'[15]Sample r'!$P$15:$P$19</definedName>
    <definedName name="rparamsinto" localSheetId="11">'[15]Sample r'!$O$15</definedName>
    <definedName name="rparamsinto" localSheetId="9">'[15]Sample r'!$O$15</definedName>
    <definedName name="rparamsinto" localSheetId="10">'[15]Sample r'!$O$15</definedName>
    <definedName name="rparamsinto" localSheetId="5">'[16]Sample r'!$O$15</definedName>
    <definedName name="rparamsinto" localSheetId="7">'[16]Sample r'!$O$15</definedName>
    <definedName name="rparamsinto" localSheetId="12">'[16]Sample r'!$O$15</definedName>
    <definedName name="rparamsinto" localSheetId="4">'[16]Sample r'!$O$15</definedName>
    <definedName name="rparamsinto" localSheetId="3">'[16]Sample r'!$O$15</definedName>
    <definedName name="rparamsinto" localSheetId="6">'[16]Sample r'!$O$15</definedName>
    <definedName name="rparamsinto" localSheetId="8">'[16]Sample r'!$O$15</definedName>
    <definedName name="rparamsinto">'[15]Sample r'!$O$15</definedName>
    <definedName name="Rpvf" localSheetId="11">'[9]p value function'!$O$5</definedName>
    <definedName name="Rpvf" localSheetId="9">'[9]p value function'!$O$5</definedName>
    <definedName name="Rpvf" localSheetId="10">'[9]p value function'!$O$5</definedName>
    <definedName name="Rpvf" localSheetId="5">'[9]p value function'!$O$5</definedName>
    <definedName name="Rpvf" localSheetId="7">'[9]p value function'!$O$5</definedName>
    <definedName name="Rpvf" localSheetId="12">'[10]p value function'!$O$5</definedName>
    <definedName name="Rpvf" localSheetId="4">'[9]p value function'!$O$5</definedName>
    <definedName name="Rpvf" localSheetId="3">'[9]p value function'!$O$5</definedName>
    <definedName name="Rpvf" localSheetId="6">'[9]p value function'!$O$5</definedName>
    <definedName name="Rpvf" localSheetId="8">'[9]p value function'!$O$5</definedName>
    <definedName name="Rpvf">'[9]p value function'!$O$5</definedName>
    <definedName name="rseed" localSheetId="11">'[15]See r'!$K$5</definedName>
    <definedName name="rseed" localSheetId="9">'[15]See r'!$K$5</definedName>
    <definedName name="rseed" localSheetId="10">'[15]See r'!$K$5</definedName>
    <definedName name="rseed" localSheetId="5">'[16]See r'!$K$5</definedName>
    <definedName name="rseed" localSheetId="7">'[16]See r'!$K$5</definedName>
    <definedName name="rseed" localSheetId="12">'[16]See r'!$K$5</definedName>
    <definedName name="rseed" localSheetId="4">Scatterplots!#REF!</definedName>
    <definedName name="rseed" localSheetId="3">'See r'!$B$4</definedName>
    <definedName name="rseed" localSheetId="6">'[16]See r'!$K$5</definedName>
    <definedName name="rseed" localSheetId="8">'[16]See r'!$K$5</definedName>
    <definedName name="rseed">'[15]See r'!$K$5</definedName>
    <definedName name="rswitch" localSheetId="11">'[15]Sample r'!$N$17</definedName>
    <definedName name="rswitch" localSheetId="9">'[15]Sample r'!$N$17</definedName>
    <definedName name="rswitch" localSheetId="10">'[15]Sample r'!$N$17</definedName>
    <definedName name="rswitch" localSheetId="5">'[16]Sample r'!$N$17</definedName>
    <definedName name="rswitch" localSheetId="7">'[16]Sample r'!$N$17</definedName>
    <definedName name="rswitch" localSheetId="12">'[16]Sample r'!$N$17</definedName>
    <definedName name="rswitch" localSheetId="4">'[16]Sample r'!$N$17</definedName>
    <definedName name="rswitch" localSheetId="3">'[16]Sample r'!$N$17</definedName>
    <definedName name="rswitch" localSheetId="6">'[16]Sample r'!$N$17</definedName>
    <definedName name="rswitch" localSheetId="8">'[16]Sample r'!$N$17</definedName>
    <definedName name="rswitch">'[15]Sample r'!$N$17</definedName>
    <definedName name="rtzshow" localSheetId="5">'One correlation'!$S$16</definedName>
    <definedName name="rtzshow" localSheetId="7">'One proportion'!$T$16</definedName>
    <definedName name="rtzshow" localSheetId="6">'Two correlations'!$AI$16</definedName>
    <definedName name="rtzshow" localSheetId="8">'Two proportions'!$AH$16</definedName>
    <definedName name="rtzshow">#REF!</definedName>
    <definedName name="ryinitial" localSheetId="11">'[15]Sample r'!$AB$1</definedName>
    <definedName name="ryinitial" localSheetId="9">'[15]Sample r'!$AB$1</definedName>
    <definedName name="ryinitial" localSheetId="10">'[15]Sample r'!$AB$1</definedName>
    <definedName name="ryinitial" localSheetId="5">'[16]Sample r'!$AB$1</definedName>
    <definedName name="ryinitial" localSheetId="7">'[16]Sample r'!$AB$1</definedName>
    <definedName name="ryinitial" localSheetId="12">'[16]Sample r'!$AB$1</definedName>
    <definedName name="ryinitial" localSheetId="4">'[16]Sample r'!$AB$1</definedName>
    <definedName name="ryinitial" localSheetId="3">'[16]Sample r'!$AB$1</definedName>
    <definedName name="ryinitial" localSheetId="6">'[16]Sample r'!$AB$1</definedName>
    <definedName name="ryinitial" localSheetId="8">'[16]Sample r'!$AB$1</definedName>
    <definedName name="ryinitial">'[15]Sample r'!$AB$1</definedName>
    <definedName name="samplefix" localSheetId="4">Scatterplots!#REF!</definedName>
    <definedName name="samplefix" localSheetId="3">'See r'!$AY$9</definedName>
    <definedName name="samplefix">'[23]See r'!$AY$9</definedName>
    <definedName name="samps" localSheetId="11">'Ind groups 2 x 2'!#REF!</definedName>
    <definedName name="samps" localSheetId="9">'Ind groups comparisons'!#REF!</definedName>
    <definedName name="samps" localSheetId="10">'Ind groups contrasts'!#REF!</definedName>
    <definedName name="samps" localSheetId="5">#REF!</definedName>
    <definedName name="samps" localSheetId="7">#REF!</definedName>
    <definedName name="samps" localSheetId="4">#REF!</definedName>
    <definedName name="samps" localSheetId="3">#REF!</definedName>
    <definedName name="samps" localSheetId="6">#REF!</definedName>
    <definedName name="samps" localSheetId="8">#REF!</definedName>
    <definedName name="samps">#REF!</definedName>
    <definedName name="samps1" localSheetId="11">#REF!</definedName>
    <definedName name="samps1" localSheetId="9">#REF!</definedName>
    <definedName name="samps1" localSheetId="10">#REF!</definedName>
    <definedName name="samps1" localSheetId="5">#REF!</definedName>
    <definedName name="samps1" localSheetId="7">#REF!</definedName>
    <definedName name="samps1" localSheetId="4">#REF!</definedName>
    <definedName name="samps1" localSheetId="3">#REF!</definedName>
    <definedName name="samps1" localSheetId="6">#REF!</definedName>
    <definedName name="samps1" localSheetId="8">#REF!</definedName>
    <definedName name="samps1">#REF!</definedName>
    <definedName name="sampso" localSheetId="11">'[7]d heap'!$A$4:$B$305</definedName>
    <definedName name="sampso" localSheetId="9">'[7]d heap'!$A$4:$B$305</definedName>
    <definedName name="sampso" localSheetId="10">'[7]d heap'!$A$4:$B$305</definedName>
    <definedName name="sampso" localSheetId="5">'[7]d heap'!$A$4:$B$305</definedName>
    <definedName name="sampso" localSheetId="7">'[7]d heap'!$A$4:$B$305</definedName>
    <definedName name="sampso" localSheetId="12">'[7]d heap'!$A$4:$B$305</definedName>
    <definedName name="sampso" localSheetId="4">'[7]d heap'!$A$4:$B$305</definedName>
    <definedName name="sampso" localSheetId="3">'[7]d heap'!$A$4:$B$305</definedName>
    <definedName name="sampso" localSheetId="6">'[7]d heap'!$A$4:$B$305</definedName>
    <definedName name="sampso" localSheetId="8">'[7]d heap'!$A$4:$B$305</definedName>
    <definedName name="sampso">#REF!</definedName>
    <definedName name="sampss" localSheetId="11">[7]Sampling!$D$4:$E$305</definedName>
    <definedName name="sampss" localSheetId="9">[7]Sampling!$D$4:$E$305</definedName>
    <definedName name="sampss" localSheetId="10">[7]Sampling!$D$4:$E$305</definedName>
    <definedName name="sampss" localSheetId="5">[7]Sampling!$D$4:$E$305</definedName>
    <definedName name="sampss" localSheetId="7">[7]Sampling!$D$4:$E$305</definedName>
    <definedName name="sampss" localSheetId="12">[7]Sampling!$D$4:$E$305</definedName>
    <definedName name="sampss" localSheetId="4">[7]Sampling!$D$4:$E$305</definedName>
    <definedName name="sampss" localSheetId="3">[7]Sampling!$D$4:$E$305</definedName>
    <definedName name="sampss" localSheetId="6">[7]Sampling!$D$4:$E$305</definedName>
    <definedName name="sampss" localSheetId="8">[7]Sampling!$D$4:$E$305</definedName>
    <definedName name="sampss">#REF!</definedName>
    <definedName name="save11" localSheetId="11">'[4]Two proportions'!$AD$5</definedName>
    <definedName name="save11" localSheetId="9">'[4]Two proportions'!$AD$5</definedName>
    <definedName name="save11" localSheetId="10">'[4]Two proportions'!$AD$5</definedName>
    <definedName name="save11" localSheetId="5">'[4]Two proportions'!$AD$5</definedName>
    <definedName name="save11" localSheetId="7">'[4]Two proportions'!$AD$5</definedName>
    <definedName name="save11" localSheetId="12">'[5]Two proportions'!$AD$5</definedName>
    <definedName name="save11" localSheetId="4">'[4]Two proportions'!$AD$5</definedName>
    <definedName name="save11" localSheetId="3">'[4]Two proportions'!$AD$5</definedName>
    <definedName name="save11" localSheetId="6">'[4]Two proportions'!$AD$5</definedName>
    <definedName name="save11" localSheetId="8">'[4]Two proportions'!$AD$5</definedName>
    <definedName name="save11">'[4]Two proportions'!$AD$5</definedName>
    <definedName name="save12" localSheetId="11">'[4]Two proportions'!$AE$5</definedName>
    <definedName name="save12" localSheetId="9">'[4]Two proportions'!$AE$5</definedName>
    <definedName name="save12" localSheetId="10">'[4]Two proportions'!$AE$5</definedName>
    <definedName name="save12" localSheetId="5">'[4]Two proportions'!$AE$5</definedName>
    <definedName name="save12" localSheetId="7">'[4]Two proportions'!$AE$5</definedName>
    <definedName name="save12" localSheetId="12">'[5]Two proportions'!$AE$5</definedName>
    <definedName name="save12" localSheetId="4">'[4]Two proportions'!$AE$5</definedName>
    <definedName name="save12" localSheetId="3">'[4]Two proportions'!$AE$5</definedName>
    <definedName name="save12" localSheetId="6">'[4]Two proportions'!$AE$5</definedName>
    <definedName name="save12" localSheetId="8">'[4]Two proportions'!$AE$5</definedName>
    <definedName name="save12">'[4]Two proportions'!$AE$5</definedName>
    <definedName name="save21" localSheetId="11">'[4]Two proportions'!$AD$6</definedName>
    <definedName name="save21" localSheetId="9">'[4]Two proportions'!$AD$6</definedName>
    <definedName name="save21" localSheetId="10">'[4]Two proportions'!$AD$6</definedName>
    <definedName name="save21" localSheetId="5">'[4]Two proportions'!$AD$6</definedName>
    <definedName name="save21" localSheetId="7">'[4]Two proportions'!$AD$6</definedName>
    <definedName name="save21" localSheetId="12">'[5]Two proportions'!$AD$6</definedName>
    <definedName name="save21" localSheetId="4">'[4]Two proportions'!$AD$6</definedName>
    <definedName name="save21" localSheetId="3">'[4]Two proportions'!$AD$6</definedName>
    <definedName name="save21" localSheetId="6">'[4]Two proportions'!$AD$6</definedName>
    <definedName name="save21" localSheetId="8">'[4]Two proportions'!$AD$6</definedName>
    <definedName name="save21">'[4]Two proportions'!$AD$6</definedName>
    <definedName name="save22" localSheetId="11">'[4]Two proportions'!$AE$6</definedName>
    <definedName name="save22" localSheetId="9">'[4]Two proportions'!$AE$6</definedName>
    <definedName name="save22" localSheetId="10">'[4]Two proportions'!$AE$6</definedName>
    <definedName name="save22" localSheetId="5">'[4]Two proportions'!$AE$6</definedName>
    <definedName name="save22" localSheetId="7">'[4]Two proportions'!$AE$6</definedName>
    <definedName name="save22" localSheetId="12">'[5]Two proportions'!$AE$6</definedName>
    <definedName name="save22" localSheetId="4">'[4]Two proportions'!$AE$6</definedName>
    <definedName name="save22" localSheetId="3">'[4]Two proportions'!$AE$6</definedName>
    <definedName name="save22" localSheetId="6">'[4]Two proportions'!$AE$6</definedName>
    <definedName name="save22" localSheetId="8">'[4]Two proportions'!$AE$6</definedName>
    <definedName name="save22">'[4]Two proportions'!$AE$6</definedName>
    <definedName name="savetotal1" localSheetId="11">'[4]Two proportions'!$AD$7</definedName>
    <definedName name="savetotal1" localSheetId="9">'[4]Two proportions'!$AD$7</definedName>
    <definedName name="savetotal1" localSheetId="10">'[4]Two proportions'!$AD$7</definedName>
    <definedName name="savetotal1" localSheetId="5">'[4]Two proportions'!$AD$7</definedName>
    <definedName name="savetotal1" localSheetId="7">'[4]Two proportions'!$AD$7</definedName>
    <definedName name="savetotal1" localSheetId="12">'[5]Two proportions'!$AD$7</definedName>
    <definedName name="savetotal1" localSheetId="4">'[4]Two proportions'!$AD$7</definedName>
    <definedName name="savetotal1" localSheetId="3">'[4]Two proportions'!$AD$7</definedName>
    <definedName name="savetotal1" localSheetId="6">'[4]Two proportions'!$AD$7</definedName>
    <definedName name="savetotal1" localSheetId="8">'[4]Two proportions'!$AD$7</definedName>
    <definedName name="savetotal1">'[4]Two proportions'!$AD$7</definedName>
    <definedName name="savetotal2" localSheetId="11">'[4]Two proportions'!$AE$7</definedName>
    <definedName name="savetotal2" localSheetId="9">'[4]Two proportions'!$AE$7</definedName>
    <definedName name="savetotal2" localSheetId="10">'[4]Two proportions'!$AE$7</definedName>
    <definedName name="savetotal2" localSheetId="5">'[4]Two proportions'!$AE$7</definedName>
    <definedName name="savetotal2" localSheetId="7">'[4]Two proportions'!$AE$7</definedName>
    <definedName name="savetotal2" localSheetId="12">'[5]Two proportions'!$AE$7</definedName>
    <definedName name="savetotal2" localSheetId="4">'[4]Two proportions'!$AE$7</definedName>
    <definedName name="savetotal2" localSheetId="3">'[4]Two proportions'!$AE$7</definedName>
    <definedName name="savetotal2" localSheetId="6">'[4]Two proportions'!$AE$7</definedName>
    <definedName name="savetotal2" localSheetId="8">'[4]Two proportions'!$AE$7</definedName>
    <definedName name="savetotal2">'[4]Two proportions'!$AE$7</definedName>
    <definedName name="savexinc">[6]Describe!$V$16</definedName>
    <definedName name="scatd1name" localSheetId="4">Scatterplots!$BC$4</definedName>
    <definedName name="scatd1name">[23]Scatterplots!$BG$4</definedName>
    <definedName name="scatd2name" localSheetId="4">Scatterplots!$BH$4</definedName>
    <definedName name="scatd2name">[23]Scatterplots!$BL$4</definedName>
    <definedName name="scatd3name" localSheetId="4">Scatterplots!$BM$4</definedName>
    <definedName name="scatd3name">[23]Scatterplots!$BQ$4</definedName>
    <definedName name="scatd4name" localSheetId="4">Scatterplots!$BR$4</definedName>
    <definedName name="scatd4name">[24]Scatterplots!$BR$4</definedName>
    <definedName name="scatd5name" localSheetId="4">Scatterplots!$BW$4</definedName>
    <definedName name="scatd5name">[24]Scatterplots!$BW$4</definedName>
    <definedName name="scatd6name" localSheetId="4">Scatterplots!$CB$4</definedName>
    <definedName name="scatd6name">[24]Scatterplots!$CB$4</definedName>
    <definedName name="scatdatafive" localSheetId="4">Scatterplots!$BV$7:$BW$306</definedName>
    <definedName name="scatdatafive">[24]Scatterplots!$BV$7:$BW$306</definedName>
    <definedName name="scatdatafour" localSheetId="4">Scatterplots!$BQ$7:$BR$306</definedName>
    <definedName name="scatdatafour">[24]Scatterplots!$BQ$7:$BR$306</definedName>
    <definedName name="scatdataone" localSheetId="4">Scatterplots!$BB$7:$BC$306</definedName>
    <definedName name="scatdataone">[23]Scatterplots!$BF$7:$BG$306</definedName>
    <definedName name="scatdatasix" localSheetId="4">Scatterplots!$CA$7:$CB$306</definedName>
    <definedName name="scatdatasix">[24]Scatterplots!$CA$7:$CB$306</definedName>
    <definedName name="scatdatathree" localSheetId="4">Scatterplots!$BL$7:$BM$306</definedName>
    <definedName name="scatdatathree">[23]Scatterplots!$BP$7:$BQ$306</definedName>
    <definedName name="scatdatatwo" localSheetId="4">Scatterplots!$BG$7:$BH$306</definedName>
    <definedName name="scatdatatwo">[23]Scatterplots!$BK$7:$BL$306</definedName>
    <definedName name="scatdname" localSheetId="4">Scatterplots!$C$6</definedName>
    <definedName name="scatdname">[23]Scatterplots!$C$5</definedName>
    <definedName name="scatlabels" localSheetId="4">Scatterplots!$B$12:$C$12</definedName>
    <definedName name="scatlabels">[23]Scatterplots!$B$11:$C$11</definedName>
    <definedName name="scatlabfive" localSheetId="4">Scatterplots!$BV$6:$BW$6</definedName>
    <definedName name="scatlabfive">[24]Scatterplots!$BV$6:$BW$6</definedName>
    <definedName name="scatlabfour" localSheetId="4">Scatterplots!$BQ$6:$BR$6</definedName>
    <definedName name="scatlabfour">[24]Scatterplots!$BQ$6:$BR$6</definedName>
    <definedName name="scatlabone" localSheetId="4">Scatterplots!$BB$6:$BC$6</definedName>
    <definedName name="scatlabone">[23]Scatterplots!$BF$6:$BG$6</definedName>
    <definedName name="scatlabsix" localSheetId="4">Scatterplots!$CA$6:$CB$6</definedName>
    <definedName name="scatlabsix">[24]Scatterplots!$CA$6:$CB$6</definedName>
    <definedName name="scatlabthree" localSheetId="4">Scatterplots!$BL$6:$BM$6</definedName>
    <definedName name="scatlabthree">[23]Scatterplots!$BP$6:$BQ$6</definedName>
    <definedName name="scatlabtwo" localSheetId="4">Scatterplots!$BG$6:$BH$6</definedName>
    <definedName name="scatlabtwo">[23]Scatterplots!$BK$6:$BL$6</definedName>
    <definedName name="seed">[6]Describe!$R$37</definedName>
    <definedName name="seriesfourtf">[17]Figure!$AC$96</definedName>
    <definedName name="seriesolabel">[17]Figure!$B$12</definedName>
    <definedName name="seriesonetf">[17]Figure!$AC$84</definedName>
    <definedName name="seriesthreetf">[17]Figure!$AC$92</definedName>
    <definedName name="seriestwotf">[17]Figure!$AC$88</definedName>
    <definedName name="setfive">[6]Describe!$U$20:$U$24</definedName>
    <definedName name="showcapt" localSheetId="11">'Ind groups 2 x 2'!#REF!</definedName>
    <definedName name="showcapt" localSheetId="9">'Ind groups comparisons'!#REF!</definedName>
    <definedName name="showcapt" localSheetId="10">'Ind groups contrasts'!#REF!</definedName>
    <definedName name="showcapt" localSheetId="5">#REF!</definedName>
    <definedName name="showcapt" localSheetId="7">#REF!</definedName>
    <definedName name="showcapt" localSheetId="4">#REF!</definedName>
    <definedName name="showcapt" localSheetId="3">#REF!</definedName>
    <definedName name="showcapt" localSheetId="6">#REF!</definedName>
    <definedName name="showcapt" localSheetId="8">#REF!</definedName>
    <definedName name="showcapt">#REF!</definedName>
    <definedName name="showmu" localSheetId="11">'Ind groups 2 x 2'!#REF!</definedName>
    <definedName name="showmu" localSheetId="9">'Ind groups comparisons'!#REF!</definedName>
    <definedName name="showmu" localSheetId="10">'Ind groups contrasts'!#REF!</definedName>
    <definedName name="showmu" localSheetId="5">#REF!</definedName>
    <definedName name="showmu" localSheetId="7">#REF!</definedName>
    <definedName name="showmu" localSheetId="4">#REF!</definedName>
    <definedName name="showmu" localSheetId="3">#REF!</definedName>
    <definedName name="showmu" localSheetId="6">#REF!</definedName>
    <definedName name="showmu" localSheetId="8">#REF!</definedName>
    <definedName name="showmu">#REF!</definedName>
    <definedName name="ShowOrigFreq" localSheetId="11">'[4]Two proportions'!$R$16</definedName>
    <definedName name="ShowOrigFreq" localSheetId="9">'[4]Two proportions'!$R$16</definedName>
    <definedName name="ShowOrigFreq" localSheetId="10">'[4]Two proportions'!$R$16</definedName>
    <definedName name="ShowOrigFreq" localSheetId="5">'[4]Two proportions'!$R$16</definedName>
    <definedName name="ShowOrigFreq" localSheetId="7">'[4]Two proportions'!$R$16</definedName>
    <definedName name="ShowOrigFreq" localSheetId="12">'[5]Two proportions'!$R$16</definedName>
    <definedName name="ShowOrigFreq" localSheetId="4">'[4]Two proportions'!$R$16</definedName>
    <definedName name="ShowOrigFreq" localSheetId="3">'[4]Two proportions'!$R$16</definedName>
    <definedName name="ShowOrigFreq" localSheetId="6">'[4]Two proportions'!$R$16</definedName>
    <definedName name="ShowOrigFreq" localSheetId="8">'[4]Two proportions'!$R$16</definedName>
    <definedName name="ShowOrigFreq">'[4]Two proportions'!$R$16</definedName>
    <definedName name="Showp" localSheetId="11">'[4]Two proportions'!$AL$6</definedName>
    <definedName name="Showp" localSheetId="9">'[4]Two proportions'!$AL$6</definedName>
    <definedName name="Showp" localSheetId="10">'[4]Two proportions'!$AL$6</definedName>
    <definedName name="Showp" localSheetId="5">'[4]Two proportions'!$AL$6</definedName>
    <definedName name="Showp" localSheetId="7">'[4]Two proportions'!$AL$6</definedName>
    <definedName name="Showp" localSheetId="12">'[5]Two proportions'!$AL$6</definedName>
    <definedName name="Showp" localSheetId="4">'[4]Two proportions'!$AL$6</definedName>
    <definedName name="Showp" localSheetId="3">'[4]Two proportions'!$AL$6</definedName>
    <definedName name="Showp" localSheetId="6">'[4]Two proportions'!$AL$6</definedName>
    <definedName name="Showp" localSheetId="8">'[4]Two proportions'!$AL$6</definedName>
    <definedName name="Showp">'[4]Two proportions'!$AL$6</definedName>
    <definedName name="showthree">[6]Describe!$R$35</definedName>
    <definedName name="SIGMA" localSheetId="11">#REF!</definedName>
    <definedName name="SIGMA" localSheetId="9">#REF!</definedName>
    <definedName name="SIGMA" localSheetId="10">#REF!</definedName>
    <definedName name="SIGMA" localSheetId="5">#REF!</definedName>
    <definedName name="SIGMA" localSheetId="7">#REF!</definedName>
    <definedName name="SIGMA" localSheetId="12">'Robust two'!#REF!</definedName>
    <definedName name="SIGMA" localSheetId="4">#REF!</definedName>
    <definedName name="SIGMA" localSheetId="3">#REF!</definedName>
    <definedName name="SIGMA" localSheetId="6">#REF!</definedName>
    <definedName name="SIGMA" localSheetId="8">#REF!</definedName>
    <definedName name="SIGMA">#REF!</definedName>
    <definedName name="SIGMADIFF" localSheetId="11">#REF!</definedName>
    <definedName name="SIGMADIFF" localSheetId="9">#REF!</definedName>
    <definedName name="SIGMADIFF" localSheetId="10">#REF!</definedName>
    <definedName name="SIGMADIFF" localSheetId="5">#REF!</definedName>
    <definedName name="SIGMADIFF" localSheetId="7">#REF!</definedName>
    <definedName name="SIGMADIFF" localSheetId="12">#REF!</definedName>
    <definedName name="SIGMADIFF" localSheetId="4">#REF!</definedName>
    <definedName name="SIGMADIFF" localSheetId="3">#REF!</definedName>
    <definedName name="SIGMADIFF" localSheetId="6">#REF!</definedName>
    <definedName name="SIGMADIFF" localSheetId="8">#REF!</definedName>
    <definedName name="SIGMADIFF">'[39]Paired Data'!$K$6</definedName>
    <definedName name="SIGMAREP" localSheetId="11">#REF!</definedName>
    <definedName name="SIGMAREP" localSheetId="9">#REF!</definedName>
    <definedName name="SIGMAREP" localSheetId="10">#REF!</definedName>
    <definedName name="SIGMAREP" localSheetId="5">#REF!</definedName>
    <definedName name="SIGMAREP" localSheetId="7">#REF!</definedName>
    <definedName name="SIGMAREP" localSheetId="4">#REF!</definedName>
    <definedName name="SIGMAREP" localSheetId="3">#REF!</definedName>
    <definedName name="SIGMAREP" localSheetId="6">#REF!</definedName>
    <definedName name="SIGMAREP" localSheetId="8">#REF!</definedName>
    <definedName name="SIGMAREP">#REF!</definedName>
    <definedName name="SimOneGrab" localSheetId="11">#REF!</definedName>
    <definedName name="SimOneGrab" localSheetId="9">#REF!</definedName>
    <definedName name="SimOneGrab" localSheetId="10">#REF!</definedName>
    <definedName name="SimOneGrab" localSheetId="5">#REF!</definedName>
    <definedName name="SimOneGrab" localSheetId="7">#REF!</definedName>
    <definedName name="SimOneGrab" localSheetId="4">#REF!</definedName>
    <definedName name="SimOneGrab" localSheetId="3">#REF!</definedName>
    <definedName name="SimOneGrab" localSheetId="6">#REF!</definedName>
    <definedName name="SimOneGrab" localSheetId="8">#REF!</definedName>
    <definedName name="SimOneGrab">#REF!</definedName>
    <definedName name="SimOnePut" localSheetId="11">#REF!</definedName>
    <definedName name="SimOnePut" localSheetId="9">#REF!</definedName>
    <definedName name="SimOnePut" localSheetId="10">#REF!</definedName>
    <definedName name="SimOnePut" localSheetId="5">#REF!</definedName>
    <definedName name="SimOnePut" localSheetId="7">#REF!</definedName>
    <definedName name="SimOnePut" localSheetId="4">#REF!</definedName>
    <definedName name="SimOnePut" localSheetId="3">#REF!</definedName>
    <definedName name="SimOnePut" localSheetId="6">#REF!</definedName>
    <definedName name="SimOnePut" localSheetId="8">#REF!</definedName>
    <definedName name="SimOnePut">#REF!</definedName>
    <definedName name="SimPairGrab" localSheetId="11">#REF!</definedName>
    <definedName name="SimPairGrab" localSheetId="9">#REF!</definedName>
    <definedName name="SimPairGrab" localSheetId="10">#REF!</definedName>
    <definedName name="SimPairGrab" localSheetId="5">#REF!</definedName>
    <definedName name="SimPairGrab" localSheetId="7">#REF!</definedName>
    <definedName name="SimPairGrab" localSheetId="4">#REF!</definedName>
    <definedName name="SimPairGrab" localSheetId="3">#REF!</definedName>
    <definedName name="SimPairGrab" localSheetId="6">#REF!</definedName>
    <definedName name="SimPairGrab" localSheetId="8">#REF!</definedName>
    <definedName name="SimPairGrab">#REF!</definedName>
    <definedName name="SimPairPut" localSheetId="11">#REF!</definedName>
    <definedName name="SimPairPut" localSheetId="9">#REF!</definedName>
    <definedName name="SimPairPut" localSheetId="10">#REF!</definedName>
    <definedName name="SimPairPut" localSheetId="5">#REF!</definedName>
    <definedName name="SimPairPut" localSheetId="7">#REF!</definedName>
    <definedName name="SimPairPut" localSheetId="4">#REF!</definedName>
    <definedName name="SimPairPut" localSheetId="3">#REF!</definedName>
    <definedName name="SimPairPut" localSheetId="6">#REF!</definedName>
    <definedName name="SimPairPut" localSheetId="8">#REF!</definedName>
    <definedName name="SimPairPut">#REF!</definedName>
    <definedName name="SimTwoGrab" localSheetId="11">#REF!</definedName>
    <definedName name="SimTwoGrab" localSheetId="9">#REF!</definedName>
    <definedName name="SimTwoGrab" localSheetId="10">#REF!</definedName>
    <definedName name="SimTwoGrab" localSheetId="5">#REF!</definedName>
    <definedName name="SimTwoGrab" localSheetId="7">#REF!</definedName>
    <definedName name="SimTwoGrab" localSheetId="4">#REF!</definedName>
    <definedName name="SimTwoGrab" localSheetId="3">#REF!</definedName>
    <definedName name="SimTwoGrab" localSheetId="6">#REF!</definedName>
    <definedName name="SimTwoGrab" localSheetId="8">#REF!</definedName>
    <definedName name="SimTwoGrab">#REF!</definedName>
    <definedName name="SimTwoPut" localSheetId="11">#REF!</definedName>
    <definedName name="SimTwoPut" localSheetId="9">#REF!</definedName>
    <definedName name="SimTwoPut" localSheetId="10">#REF!</definedName>
    <definedName name="SimTwoPut" localSheetId="5">#REF!</definedName>
    <definedName name="SimTwoPut" localSheetId="7">#REF!</definedName>
    <definedName name="SimTwoPut" localSheetId="4">#REF!</definedName>
    <definedName name="SimTwoPut" localSheetId="3">#REF!</definedName>
    <definedName name="SimTwoPut" localSheetId="6">#REF!</definedName>
    <definedName name="SimTwoPut" localSheetId="8">#REF!</definedName>
    <definedName name="SimTwoPut">#REF!</definedName>
    <definedName name="skewLdata">[6]Describe!$CI$3:$CI$302</definedName>
    <definedName name="skewRdata">[6]Describe!$CJ$3:$CJ$302</definedName>
    <definedName name="slidersget" localSheetId="11">'[15]Calculate r'!$AB$11:$AB$14</definedName>
    <definedName name="slidersget" localSheetId="9">'[15]Calculate r'!$AB$11:$AB$14</definedName>
    <definedName name="slidersget" localSheetId="10">'[15]Calculate r'!$AB$11:$AB$14</definedName>
    <definedName name="slidersget" localSheetId="5">#REF!</definedName>
    <definedName name="slidersget" localSheetId="7">#REF!</definedName>
    <definedName name="slidersget" localSheetId="12">'[16]Calculate r'!$AB$11:$AB$14</definedName>
    <definedName name="slidersget" localSheetId="4">#REF!</definedName>
    <definedName name="slidersget" localSheetId="3">#REF!</definedName>
    <definedName name="slidersget" localSheetId="6">#REF!</definedName>
    <definedName name="slidersget" localSheetId="8">#REF!</definedName>
    <definedName name="slidersget">'[15]Calculate r'!$AB$11:$AB$14</definedName>
    <definedName name="slidersput" localSheetId="11">'[15]Calculate r'!$AB$2</definedName>
    <definedName name="slidersput" localSheetId="9">'[15]Calculate r'!$AB$2</definedName>
    <definedName name="slidersput" localSheetId="10">'[15]Calculate r'!$AB$2</definedName>
    <definedName name="slidersput" localSheetId="5">#REF!</definedName>
    <definedName name="slidersput" localSheetId="7">#REF!</definedName>
    <definedName name="slidersput" localSheetId="12">'[16]Calculate r'!$AB$2</definedName>
    <definedName name="slidersput" localSheetId="4">#REF!</definedName>
    <definedName name="slidersput" localSheetId="3">#REF!</definedName>
    <definedName name="slidersput" localSheetId="6">#REF!</definedName>
    <definedName name="slidersput" localSheetId="8">#REF!</definedName>
    <definedName name="slidersput">'[15]Calculate r'!$AB$2</definedName>
    <definedName name="sometrue">[17]Figure!$R$89</definedName>
    <definedName name="soundflag">#REF!</definedName>
    <definedName name="spadjsl" localSheetId="4">Scatterplots!$DS$1</definedName>
    <definedName name="spadjsl">[24]Scatterplots!$DS$1</definedName>
    <definedName name="spcim" localSheetId="4">Scatterplots!$DU$1</definedName>
    <definedName name="spcim">[24]Scatterplots!$DU$1</definedName>
    <definedName name="spparticx" localSheetId="4">Scatterplots!$DW$2</definedName>
    <definedName name="spparticx">[24]Scatterplots!$DW$2</definedName>
    <definedName name="spregl" localSheetId="4">Scatterplots!$DM$1</definedName>
    <definedName name="spregl">[24]Scatterplots!$DM$1</definedName>
    <definedName name="spxy" localSheetId="4">Scatterplots!$DS$3</definedName>
    <definedName name="spxy">[24]Scatterplots!$DS$3</definedName>
    <definedName name="spyerr" localSheetId="4">Scatterplots!$DO$1</definedName>
    <definedName name="spyerr">[24]Scatterplots!$DO$1</definedName>
    <definedName name="spypr" localSheetId="4">Scatterplots!$DW$1</definedName>
    <definedName name="spypr">[24]Scatterplots!$DW$1</definedName>
    <definedName name="stack">[6]Describe!$U$14</definedName>
    <definedName name="StartC" localSheetId="11">'[4]Overlap two proportions'!$AL$8:$AL$67</definedName>
    <definedName name="StartC" localSheetId="9">'[4]Overlap two proportions'!$AL$8:$AL$67</definedName>
    <definedName name="StartC" localSheetId="10">'[4]Overlap two proportions'!$AL$8:$AL$67</definedName>
    <definedName name="StartC" localSheetId="5">'[4]Overlap two proportions'!$AL$8:$AL$67</definedName>
    <definedName name="StartC" localSheetId="7">'[4]Overlap two proportions'!$AL$8:$AL$67</definedName>
    <definedName name="StartC" localSheetId="12">'[5]Overlap two proportions'!$AL$8:$AL$67</definedName>
    <definedName name="StartC" localSheetId="4">'[4]Overlap two proportions'!$AL$8:$AL$67</definedName>
    <definedName name="StartC" localSheetId="3">'[4]Overlap two proportions'!$AL$8:$AL$67</definedName>
    <definedName name="StartC" localSheetId="6">'[4]Overlap two proportions'!$AL$8:$AL$67</definedName>
    <definedName name="StartC" localSheetId="8">'[4]Overlap two proportions'!$AL$8:$AL$67</definedName>
    <definedName name="StartC">'[4]Overlap two proportions'!$AL$8:$AL$67</definedName>
    <definedName name="StartCd" localSheetId="11">'[4]Overlap two proportions'!$BN$8:$BN$67</definedName>
    <definedName name="StartCd" localSheetId="9">'[4]Overlap two proportions'!$BN$8:$BN$67</definedName>
    <definedName name="StartCd" localSheetId="10">'[4]Overlap two proportions'!$BN$8:$BN$67</definedName>
    <definedName name="StartCd" localSheetId="5">'[4]Overlap two proportions'!$BN$8:$BN$67</definedName>
    <definedName name="StartCd" localSheetId="7">'[4]Overlap two proportions'!$BN$8:$BN$67</definedName>
    <definedName name="StartCd" localSheetId="12">'[5]Overlap two proportions'!$BN$8:$BN$67</definedName>
    <definedName name="StartCd" localSheetId="4">'[4]Overlap two proportions'!$BN$8:$BN$67</definedName>
    <definedName name="StartCd" localSheetId="3">'[4]Overlap two proportions'!$BN$8:$BN$67</definedName>
    <definedName name="StartCd" localSheetId="6">'[4]Overlap two proportions'!$BN$8:$BN$67</definedName>
    <definedName name="StartCd" localSheetId="8">'[4]Overlap two proportions'!$BN$8:$BN$67</definedName>
    <definedName name="StartCd">'[4]Overlap two proportions'!$BN$8:$BN$67</definedName>
    <definedName name="startncp">#REF!</definedName>
    <definedName name="Startp2" localSheetId="11">'[4]Overlap two proportions'!$V$8:$V$67</definedName>
    <definedName name="Startp2" localSheetId="9">'[4]Overlap two proportions'!$V$8:$V$67</definedName>
    <definedName name="Startp2" localSheetId="10">'[4]Overlap two proportions'!$V$8:$V$67</definedName>
    <definedName name="Startp2" localSheetId="5">'[4]Overlap two proportions'!$V$8:$V$67</definedName>
    <definedName name="Startp2" localSheetId="7">'[4]Overlap two proportions'!$V$8:$V$67</definedName>
    <definedName name="Startp2" localSheetId="12">'[5]Overlap two proportions'!$V$8:$V$67</definedName>
    <definedName name="Startp2" localSheetId="4">'[4]Overlap two proportions'!$V$8:$V$67</definedName>
    <definedName name="Startp2" localSheetId="3">'[4]Overlap two proportions'!$V$8:$V$67</definedName>
    <definedName name="Startp2" localSheetId="6">'[4]Overlap two proportions'!$V$8:$V$67</definedName>
    <definedName name="Startp2" localSheetId="8">'[4]Overlap two proportions'!$V$8:$V$67</definedName>
    <definedName name="Startp2">'[4]Overlap two proportions'!$V$8:$V$67</definedName>
    <definedName name="startpos">#REF!</definedName>
    <definedName name="Startr2" localSheetId="11">'[4]Overlap two correlations (n1)'!$P$5:$P$64</definedName>
    <definedName name="Startr2" localSheetId="9">'[4]Overlap two correlations (n1)'!$P$5:$P$64</definedName>
    <definedName name="Startr2" localSheetId="10">'[4]Overlap two correlations (n1)'!$P$5:$P$64</definedName>
    <definedName name="Startr2" localSheetId="5">'[4]Overlap two correlations (n1)'!$P$5:$P$64</definedName>
    <definedName name="Startr2" localSheetId="7">'[4]Overlap two correlations (n1)'!$P$5:$P$64</definedName>
    <definedName name="Startr2" localSheetId="12">'[5]Overlap two correlations (n1)'!$P$5:$P$64</definedName>
    <definedName name="Startr2" localSheetId="4">'[4]Overlap two correlations (n1)'!$P$5:$P$64</definedName>
    <definedName name="Startr2" localSheetId="3">'[4]Overlap two correlations (n1)'!$P$5:$P$64</definedName>
    <definedName name="Startr2" localSheetId="6">'[4]Overlap two correlations (n1)'!$P$5:$P$64</definedName>
    <definedName name="Startr2" localSheetId="8">'[4]Overlap two correlations (n1)'!$P$5:$P$64</definedName>
    <definedName name="Startr2">'[4]Overlap two correlations (n1)'!$P$5:$P$64</definedName>
    <definedName name="StartRawData" localSheetId="11">'[4]Two proportions'!$AT$9:$AV$9</definedName>
    <definedName name="StartRawData" localSheetId="9">'[4]Two proportions'!$AT$9:$AV$9</definedName>
    <definedName name="StartRawData" localSheetId="10">'[4]Two proportions'!$AT$9:$AV$9</definedName>
    <definedName name="StartRawData" localSheetId="5">'[4]Two proportions'!$AT$9:$AV$9</definedName>
    <definedName name="StartRawData" localSheetId="7">'[4]Two proportions'!$AT$9:$AV$9</definedName>
    <definedName name="StartRawData" localSheetId="12">'[5]Two proportions'!$AT$9:$AV$9</definedName>
    <definedName name="StartRawData" localSheetId="4">'[4]Two proportions'!$AT$9:$AV$9</definedName>
    <definedName name="StartRawData" localSheetId="3">'[4]Two proportions'!$AT$9:$AV$9</definedName>
    <definedName name="StartRawData" localSheetId="6">'[4]Two proportions'!$AT$9:$AV$9</definedName>
    <definedName name="StartRawData" localSheetId="8">'[4]Two proportions'!$AT$9:$AV$9</definedName>
    <definedName name="StartRawData">'[4]Two proportions'!$AT$9:$AV$9</definedName>
    <definedName name="Stz" localSheetId="5">'One correlation'!$R$3</definedName>
    <definedName name="Stz" localSheetId="7">'One proportion'!$S$3</definedName>
    <definedName name="Stz" localSheetId="6">'Two correlations'!$AF$3</definedName>
    <definedName name="Stz" localSheetId="8">'Two proportions'!$AE$3</definedName>
    <definedName name="Stz">#REF!</definedName>
    <definedName name="Stzz" localSheetId="5">'One correlation'!$R$2</definedName>
    <definedName name="Stzz" localSheetId="7">'One proportion'!$S$2</definedName>
    <definedName name="Stzz" localSheetId="6">'Two correlations'!$AF$2</definedName>
    <definedName name="Stzz" localSheetId="8">'Two proportions'!$AE$2</definedName>
    <definedName name="Stzz">#REF!</definedName>
    <definedName name="sumall" localSheetId="11">'Ind groups 2 x 2'!$DM$1</definedName>
    <definedName name="sumall" localSheetId="9">'Ind groups comparisons'!$DA$1</definedName>
    <definedName name="sumall" localSheetId="10">'Ind groups contrasts'!$DM$1</definedName>
    <definedName name="sumall">#REF!</definedName>
    <definedName name="sumdata" localSheetId="11">'Ind groups 2 x 2'!$G$12:$I$14</definedName>
    <definedName name="sumdata" localSheetId="9">'Ind groups comparisons'!$D$11:$I$13</definedName>
    <definedName name="sumdata" localSheetId="10">'Ind groups contrasts'!$D$11:$I$13</definedName>
    <definedName name="sumdata">#REF!</definedName>
    <definedName name="sumdataa">'Ind groups 2 x 2'!$G$12:$H$14</definedName>
    <definedName name="sumdatab">'Ind groups 2 x 2'!$G$20:$H$22</definedName>
    <definedName name="sumformulas" localSheetId="11">'Ind groups 2 x 2'!$CW$29:$DB$31</definedName>
    <definedName name="sumformulas" localSheetId="9">'Ind groups comparisons'!$CW$34:$DB$36</definedName>
    <definedName name="sumformulas" localSheetId="10">'Ind groups contrasts'!$CY$29:$DD$31</definedName>
    <definedName name="sumformulas">#REF!</definedName>
    <definedName name="sumformulasa">'Ind groups 2 x 2'!$CW$70:$CX$72</definedName>
    <definedName name="sumformulasb">'Ind groups 2 x 2'!$CW$73:$CX$75</definedName>
    <definedName name="t" localSheetId="11">#REF!</definedName>
    <definedName name="t" localSheetId="9">#REF!</definedName>
    <definedName name="t" localSheetId="10">#REF!</definedName>
    <definedName name="t" localSheetId="5">#REF!</definedName>
    <definedName name="t" localSheetId="7">#REF!</definedName>
    <definedName name="t" localSheetId="4">#REF!</definedName>
    <definedName name="t" localSheetId="3">#REF!</definedName>
    <definedName name="t" localSheetId="6">#REF!</definedName>
    <definedName name="t" localSheetId="8">#REF!</definedName>
    <definedName name="t">#REF!</definedName>
    <definedName name="tbzlh" localSheetId="11">'[1]MA  Standardised units'!$Z$3</definedName>
    <definedName name="tbzlh" localSheetId="9">'[1]MA  Standardised units'!$Z$3</definedName>
    <definedName name="tbzlh" localSheetId="10">'[1]MA  Standardised units'!$Z$3</definedName>
    <definedName name="tbzlh" localSheetId="5">'[1]MA  Standardised units'!$Z$3</definedName>
    <definedName name="tbzlh" localSheetId="7">'[1]MA  Standardised units'!$Z$3</definedName>
    <definedName name="tbzlh" localSheetId="12">'[2]MA  Standardised units'!$Z$3</definedName>
    <definedName name="tbzlh" localSheetId="4">'[1]MA  Standardised units'!$Z$3</definedName>
    <definedName name="tbzlh" localSheetId="3">'[1]MA  Standardised units'!$Z$3</definedName>
    <definedName name="tbzlh" localSheetId="6">'[1]MA  Standardised units'!$Z$3</definedName>
    <definedName name="tbzlh" localSheetId="8">'[1]MA  Standardised units'!$Z$3</definedName>
    <definedName name="tbzlh">'[3]MA  Standardised units'!$Z$3</definedName>
    <definedName name="tbzlld" localSheetId="11">'[7]CI for d'!$AS$5</definedName>
    <definedName name="tbzlld" localSheetId="9">'[7]CI for d'!$AS$5</definedName>
    <definedName name="tbzlld" localSheetId="10">'[7]CI for d'!$AS$5</definedName>
    <definedName name="tbzlld" localSheetId="5">'[7]CI for d'!$AS$5</definedName>
    <definedName name="tbzlld" localSheetId="7">'[7]CI for d'!$AS$5</definedName>
    <definedName name="tbzlld" localSheetId="12">'[7]CI for d'!$AS$5</definedName>
    <definedName name="tbzlld" localSheetId="4">'[7]CI for d'!$AS$5</definedName>
    <definedName name="tbzlld" localSheetId="3">'[7]CI for d'!$AS$5</definedName>
    <definedName name="tbzlld" localSheetId="6">'[7]CI for d'!$AS$5</definedName>
    <definedName name="tbzlld" localSheetId="8">'[7]CI for d'!$AS$5</definedName>
    <definedName name="tbzlld">#REF!</definedName>
    <definedName name="tbzoneprop" localSheetId="7">'One proportion'!$B$14</definedName>
    <definedName name="tbzoneprop">#REF!</definedName>
    <definedName name="tbzrh" localSheetId="11">'[1]MA  Standardised units'!$AA$3</definedName>
    <definedName name="tbzrh" localSheetId="9">'[1]MA  Standardised units'!$AA$3</definedName>
    <definedName name="tbzrh" localSheetId="10">'[1]MA  Standardised units'!$AA$3</definedName>
    <definedName name="tbzrh" localSheetId="5">'[1]MA  Standardised units'!$AA$3</definedName>
    <definedName name="tbzrh" localSheetId="7">'[1]MA  Standardised units'!$AA$3</definedName>
    <definedName name="tbzrh" localSheetId="12">'[2]MA  Standardised units'!$AA$3</definedName>
    <definedName name="tbzrh" localSheetId="4">'[1]MA  Standardised units'!$AA$3</definedName>
    <definedName name="tbzrh" localSheetId="3">'[1]MA  Standardised units'!$AA$3</definedName>
    <definedName name="tbzrh" localSheetId="6">'[1]MA  Standardised units'!$AA$3</definedName>
    <definedName name="tbzrh" localSheetId="8">'[1]MA  Standardised units'!$AA$3</definedName>
    <definedName name="tbzrh">'[3]MA  Standardised units'!$AA$3</definedName>
    <definedName name="tbztwoprop" localSheetId="5">'[8]Two proportions'!$C$15</definedName>
    <definedName name="tbztwoprop" localSheetId="7">'[8]Two proportions'!$C$15</definedName>
    <definedName name="tbztwoprop" localSheetId="12">'[8]Two proportions'!$C$15</definedName>
    <definedName name="tbztwoprop" localSheetId="4">'[8]Two proportions'!$C$15</definedName>
    <definedName name="tbztwoprop" localSheetId="3">'[8]Two proportions'!$C$15</definedName>
    <definedName name="tbztwoprop" localSheetId="6">'[8]Two proportions'!$C$15</definedName>
    <definedName name="tbztwoprop" localSheetId="8">'Two proportions'!$C$15</definedName>
    <definedName name="tbztwoprop">#REF!</definedName>
    <definedName name="tbzuld" localSheetId="11">'[7]CI for d'!$AS$6</definedName>
    <definedName name="tbzuld" localSheetId="9">'[7]CI for d'!$AS$6</definedName>
    <definedName name="tbzuld" localSheetId="10">'[7]CI for d'!$AS$6</definedName>
    <definedName name="tbzuld" localSheetId="5">'[7]CI for d'!$AS$6</definedName>
    <definedName name="tbzuld" localSheetId="7">'[7]CI for d'!$AS$6</definedName>
    <definedName name="tbzuld" localSheetId="12">'[7]CI for d'!$AS$6</definedName>
    <definedName name="tbzuld" localSheetId="4">'[7]CI for d'!$AS$6</definedName>
    <definedName name="tbzuld" localSheetId="3">'[7]CI for d'!$AS$6</definedName>
    <definedName name="tbzuld" localSheetId="6">'[7]CI for d'!$AS$6</definedName>
    <definedName name="tbzuld" localSheetId="8">'[7]CI for d'!$AS$6</definedName>
    <definedName name="tbzuld">#REF!</definedName>
    <definedName name="tbzz1" localSheetId="11">'[4]Overlap two proportions'!$CD$8</definedName>
    <definedName name="tbzz1" localSheetId="9">'[4]Overlap two proportions'!$CD$8</definedName>
    <definedName name="tbzz1" localSheetId="10">'[4]Overlap two proportions'!$CD$8</definedName>
    <definedName name="tbzz1" localSheetId="5">'[4]Overlap two proportions'!$CD$8</definedName>
    <definedName name="tbzz1" localSheetId="7">'[4]Overlap two proportions'!$CD$8</definedName>
    <definedName name="tbzz1" localSheetId="12">'[5]Overlap two proportions'!$CD$8</definedName>
    <definedName name="tbzz1" localSheetId="4">'[4]Overlap two proportions'!$CD$8</definedName>
    <definedName name="tbzz1" localSheetId="3">'[4]Overlap two proportions'!$CD$8</definedName>
    <definedName name="tbzz1" localSheetId="6">'[4]Overlap two proportions'!$CD$8</definedName>
    <definedName name="tbzz1" localSheetId="8">'[4]Overlap two proportions'!$CD$8</definedName>
    <definedName name="tbzz1">'[4]Overlap two proportions'!$CD$8</definedName>
    <definedName name="tbzz10" localSheetId="11">'[4]Overlap two proportions'!$CD$17</definedName>
    <definedName name="tbzz10" localSheetId="9">'[4]Overlap two proportions'!$CD$17</definedName>
    <definedName name="tbzz10" localSheetId="10">'[4]Overlap two proportions'!$CD$17</definedName>
    <definedName name="tbzz10" localSheetId="5">'[4]Overlap two proportions'!$CD$17</definedName>
    <definedName name="tbzz10" localSheetId="7">'[4]Overlap two proportions'!$CD$17</definedName>
    <definedName name="tbzz10" localSheetId="12">'[5]Overlap two proportions'!$CD$17</definedName>
    <definedName name="tbzz10" localSheetId="4">'[4]Overlap two proportions'!$CD$17</definedName>
    <definedName name="tbzz10" localSheetId="3">'[4]Overlap two proportions'!$CD$17</definedName>
    <definedName name="tbzz10" localSheetId="6">'[4]Overlap two proportions'!$CD$17</definedName>
    <definedName name="tbzz10" localSheetId="8">'[4]Overlap two proportions'!$CD$17</definedName>
    <definedName name="tbzz10">'[4]Overlap two proportions'!$CD$17</definedName>
    <definedName name="tbzz11" localSheetId="11">'[4]Overlap two proportions'!$CD$18</definedName>
    <definedName name="tbzz11" localSheetId="9">'[4]Overlap two proportions'!$CD$18</definedName>
    <definedName name="tbzz11" localSheetId="10">'[4]Overlap two proportions'!$CD$18</definedName>
    <definedName name="tbzz11" localSheetId="5">'[4]Overlap two proportions'!$CD$18</definedName>
    <definedName name="tbzz11" localSheetId="7">'[4]Overlap two proportions'!$CD$18</definedName>
    <definedName name="tbzz11" localSheetId="12">'[5]Overlap two proportions'!$CD$18</definedName>
    <definedName name="tbzz11" localSheetId="4">'[4]Overlap two proportions'!$CD$18</definedName>
    <definedName name="tbzz11" localSheetId="3">'[4]Overlap two proportions'!$CD$18</definedName>
    <definedName name="tbzz11" localSheetId="6">'[4]Overlap two proportions'!$CD$18</definedName>
    <definedName name="tbzz11" localSheetId="8">'[4]Overlap two proportions'!$CD$18</definedName>
    <definedName name="tbzz11">'[4]Overlap two proportions'!$CD$18</definedName>
    <definedName name="tbzz12" localSheetId="11">'[4]Overlap two proportions'!$CD$19</definedName>
    <definedName name="tbzz12" localSheetId="9">'[4]Overlap two proportions'!$CD$19</definedName>
    <definedName name="tbzz12" localSheetId="10">'[4]Overlap two proportions'!$CD$19</definedName>
    <definedName name="tbzz12" localSheetId="5">'[4]Overlap two proportions'!$CD$19</definedName>
    <definedName name="tbzz12" localSheetId="7">'[4]Overlap two proportions'!$CD$19</definedName>
    <definedName name="tbzz12" localSheetId="12">'[5]Overlap two proportions'!$CD$19</definedName>
    <definedName name="tbzz12" localSheetId="4">'[4]Overlap two proportions'!$CD$19</definedName>
    <definedName name="tbzz12" localSheetId="3">'[4]Overlap two proportions'!$CD$19</definedName>
    <definedName name="tbzz12" localSheetId="6">'[4]Overlap two proportions'!$CD$19</definedName>
    <definedName name="tbzz12" localSheetId="8">'[4]Overlap two proportions'!$CD$19</definedName>
    <definedName name="tbzz12">'[4]Overlap two proportions'!$CD$19</definedName>
    <definedName name="tbzz13" localSheetId="11">'[4]Overlap two proportions'!$CD$20</definedName>
    <definedName name="tbzz13" localSheetId="9">'[4]Overlap two proportions'!$CD$20</definedName>
    <definedName name="tbzz13" localSheetId="10">'[4]Overlap two proportions'!$CD$20</definedName>
    <definedName name="tbzz13" localSheetId="5">'[4]Overlap two proportions'!$CD$20</definedName>
    <definedName name="tbzz13" localSheetId="7">'[4]Overlap two proportions'!$CD$20</definedName>
    <definedName name="tbzz13" localSheetId="12">'[5]Overlap two proportions'!$CD$20</definedName>
    <definedName name="tbzz13" localSheetId="4">'[4]Overlap two proportions'!$CD$20</definedName>
    <definedName name="tbzz13" localSheetId="3">'[4]Overlap two proportions'!$CD$20</definedName>
    <definedName name="tbzz13" localSheetId="6">'[4]Overlap two proportions'!$CD$20</definedName>
    <definedName name="tbzz13" localSheetId="8">'[4]Overlap two proportions'!$CD$20</definedName>
    <definedName name="tbzz13">'[4]Overlap two proportions'!$CD$20</definedName>
    <definedName name="tbzz14" localSheetId="11">'[4]Overlap two proportions'!$CD$21</definedName>
    <definedName name="tbzz14" localSheetId="9">'[4]Overlap two proportions'!$CD$21</definedName>
    <definedName name="tbzz14" localSheetId="10">'[4]Overlap two proportions'!$CD$21</definedName>
    <definedName name="tbzz14" localSheetId="5">'[4]Overlap two proportions'!$CD$21</definedName>
    <definedName name="tbzz14" localSheetId="7">'[4]Overlap two proportions'!$CD$21</definedName>
    <definedName name="tbzz14" localSheetId="12">'[5]Overlap two proportions'!$CD$21</definedName>
    <definedName name="tbzz14" localSheetId="4">'[4]Overlap two proportions'!$CD$21</definedName>
    <definedName name="tbzz14" localSheetId="3">'[4]Overlap two proportions'!$CD$21</definedName>
    <definedName name="tbzz14" localSheetId="6">'[4]Overlap two proportions'!$CD$21</definedName>
    <definedName name="tbzz14" localSheetId="8">'[4]Overlap two proportions'!$CD$21</definedName>
    <definedName name="tbzz14">'[4]Overlap two proportions'!$CD$21</definedName>
    <definedName name="tbzz15" localSheetId="11">'[4]Overlap two proportions'!$CD$22</definedName>
    <definedName name="tbzz15" localSheetId="9">'[4]Overlap two proportions'!$CD$22</definedName>
    <definedName name="tbzz15" localSheetId="10">'[4]Overlap two proportions'!$CD$22</definedName>
    <definedName name="tbzz15" localSheetId="5">'[4]Overlap two proportions'!$CD$22</definedName>
    <definedName name="tbzz15" localSheetId="7">'[4]Overlap two proportions'!$CD$22</definedName>
    <definedName name="tbzz15" localSheetId="12">'[5]Overlap two proportions'!$CD$22</definedName>
    <definedName name="tbzz15" localSheetId="4">'[4]Overlap two proportions'!$CD$22</definedName>
    <definedName name="tbzz15" localSheetId="3">'[4]Overlap two proportions'!$CD$22</definedName>
    <definedName name="tbzz15" localSheetId="6">'[4]Overlap two proportions'!$CD$22</definedName>
    <definedName name="tbzz15" localSheetId="8">'[4]Overlap two proportions'!$CD$22</definedName>
    <definedName name="tbzz15">'[4]Overlap two proportions'!$CD$22</definedName>
    <definedName name="tbzz16" localSheetId="11">'[4]Overlap two proportions'!$CD$23</definedName>
    <definedName name="tbzz16" localSheetId="9">'[4]Overlap two proportions'!$CD$23</definedName>
    <definedName name="tbzz16" localSheetId="10">'[4]Overlap two proportions'!$CD$23</definedName>
    <definedName name="tbzz16" localSheetId="5">'[4]Overlap two proportions'!$CD$23</definedName>
    <definedName name="tbzz16" localSheetId="7">'[4]Overlap two proportions'!$CD$23</definedName>
    <definedName name="tbzz16" localSheetId="12">'[5]Overlap two proportions'!$CD$23</definedName>
    <definedName name="tbzz16" localSheetId="4">'[4]Overlap two proportions'!$CD$23</definedName>
    <definedName name="tbzz16" localSheetId="3">'[4]Overlap two proportions'!$CD$23</definedName>
    <definedName name="tbzz16" localSheetId="6">'[4]Overlap two proportions'!$CD$23</definedName>
    <definedName name="tbzz16" localSheetId="8">'[4]Overlap two proportions'!$CD$23</definedName>
    <definedName name="tbzz16">'[4]Overlap two proportions'!$CD$23</definedName>
    <definedName name="tbzz17" localSheetId="11">'[4]Overlap two proportions'!$CD$24</definedName>
    <definedName name="tbzz17" localSheetId="9">'[4]Overlap two proportions'!$CD$24</definedName>
    <definedName name="tbzz17" localSheetId="10">'[4]Overlap two proportions'!$CD$24</definedName>
    <definedName name="tbzz17" localSheetId="5">'[4]Overlap two proportions'!$CD$24</definedName>
    <definedName name="tbzz17" localSheetId="7">'[4]Overlap two proportions'!$CD$24</definedName>
    <definedName name="tbzz17" localSheetId="12">'[5]Overlap two proportions'!$CD$24</definedName>
    <definedName name="tbzz17" localSheetId="4">'[4]Overlap two proportions'!$CD$24</definedName>
    <definedName name="tbzz17" localSheetId="3">'[4]Overlap two proportions'!$CD$24</definedName>
    <definedName name="tbzz17" localSheetId="6">'[4]Overlap two proportions'!$CD$24</definedName>
    <definedName name="tbzz17" localSheetId="8">'[4]Overlap two proportions'!$CD$24</definedName>
    <definedName name="tbzz17">'[4]Overlap two proportions'!$CD$24</definedName>
    <definedName name="tbzz18" localSheetId="11">'[4]Overlap two proportions'!$CD$25</definedName>
    <definedName name="tbzz18" localSheetId="9">'[4]Overlap two proportions'!$CD$25</definedName>
    <definedName name="tbzz18" localSheetId="10">'[4]Overlap two proportions'!$CD$25</definedName>
    <definedName name="tbzz18" localSheetId="5">'[4]Overlap two proportions'!$CD$25</definedName>
    <definedName name="tbzz18" localSheetId="7">'[4]Overlap two proportions'!$CD$25</definedName>
    <definedName name="tbzz18" localSheetId="12">'[5]Overlap two proportions'!$CD$25</definedName>
    <definedName name="tbzz18" localSheetId="4">'[4]Overlap two proportions'!$CD$25</definedName>
    <definedName name="tbzz18" localSheetId="3">'[4]Overlap two proportions'!$CD$25</definedName>
    <definedName name="tbzz18" localSheetId="6">'[4]Overlap two proportions'!$CD$25</definedName>
    <definedName name="tbzz18" localSheetId="8">'[4]Overlap two proportions'!$CD$25</definedName>
    <definedName name="tbzz18">'[4]Overlap two proportions'!$CD$25</definedName>
    <definedName name="tbzz19" localSheetId="11">'[4]Overlap two proportions'!$CD$26</definedName>
    <definedName name="tbzz19" localSheetId="9">'[4]Overlap two proportions'!$CD$26</definedName>
    <definedName name="tbzz19" localSheetId="10">'[4]Overlap two proportions'!$CD$26</definedName>
    <definedName name="tbzz19" localSheetId="5">'[4]Overlap two proportions'!$CD$26</definedName>
    <definedName name="tbzz19" localSheetId="7">'[4]Overlap two proportions'!$CD$26</definedName>
    <definedName name="tbzz19" localSheetId="12">'[5]Overlap two proportions'!$CD$26</definedName>
    <definedName name="tbzz19" localSheetId="4">'[4]Overlap two proportions'!$CD$26</definedName>
    <definedName name="tbzz19" localSheetId="3">'[4]Overlap two proportions'!$CD$26</definedName>
    <definedName name="tbzz19" localSheetId="6">'[4]Overlap two proportions'!$CD$26</definedName>
    <definedName name="tbzz19" localSheetId="8">'[4]Overlap two proportions'!$CD$26</definedName>
    <definedName name="tbzz19">'[4]Overlap two proportions'!$CD$26</definedName>
    <definedName name="tbzz2" localSheetId="11">'[4]Overlap two proportions'!$CD$9</definedName>
    <definedName name="tbzz2" localSheetId="9">'[4]Overlap two proportions'!$CD$9</definedName>
    <definedName name="tbzz2" localSheetId="10">'[4]Overlap two proportions'!$CD$9</definedName>
    <definedName name="tbzz2" localSheetId="5">'[4]Overlap two proportions'!$CD$9</definedName>
    <definedName name="tbzz2" localSheetId="7">'[4]Overlap two proportions'!$CD$9</definedName>
    <definedName name="tbzz2" localSheetId="12">'[5]Overlap two proportions'!$CD$9</definedName>
    <definedName name="tbzz2" localSheetId="4">'[4]Overlap two proportions'!$CD$9</definedName>
    <definedName name="tbzz2" localSheetId="3">'[4]Overlap two proportions'!$CD$9</definedName>
    <definedName name="tbzz2" localSheetId="6">'[4]Overlap two proportions'!$CD$9</definedName>
    <definedName name="tbzz2" localSheetId="8">'[4]Overlap two proportions'!$CD$9</definedName>
    <definedName name="tbzz2">'[4]Overlap two proportions'!$CD$9</definedName>
    <definedName name="tbzz20" localSheetId="11">'[4]Overlap two proportions'!$CD$27</definedName>
    <definedName name="tbzz20" localSheetId="9">'[4]Overlap two proportions'!$CD$27</definedName>
    <definedName name="tbzz20" localSheetId="10">'[4]Overlap two proportions'!$CD$27</definedName>
    <definedName name="tbzz20" localSheetId="5">'[4]Overlap two proportions'!$CD$27</definedName>
    <definedName name="tbzz20" localSheetId="7">'[4]Overlap two proportions'!$CD$27</definedName>
    <definedName name="tbzz20" localSheetId="12">'[5]Overlap two proportions'!$CD$27</definedName>
    <definedName name="tbzz20" localSheetId="4">'[4]Overlap two proportions'!$CD$27</definedName>
    <definedName name="tbzz20" localSheetId="3">'[4]Overlap two proportions'!$CD$27</definedName>
    <definedName name="tbzz20" localSheetId="6">'[4]Overlap two proportions'!$CD$27</definedName>
    <definedName name="tbzz20" localSheetId="8">'[4]Overlap two proportions'!$CD$27</definedName>
    <definedName name="tbzz20">'[4]Overlap two proportions'!$CD$27</definedName>
    <definedName name="tbzz21" localSheetId="11">'[4]Overlap two proportions'!$CD$28</definedName>
    <definedName name="tbzz21" localSheetId="9">'[4]Overlap two proportions'!$CD$28</definedName>
    <definedName name="tbzz21" localSheetId="10">'[4]Overlap two proportions'!$CD$28</definedName>
    <definedName name="tbzz21" localSheetId="5">'[4]Overlap two proportions'!$CD$28</definedName>
    <definedName name="tbzz21" localSheetId="7">'[4]Overlap two proportions'!$CD$28</definedName>
    <definedName name="tbzz21" localSheetId="12">'[5]Overlap two proportions'!$CD$28</definedName>
    <definedName name="tbzz21" localSheetId="4">'[4]Overlap two proportions'!$CD$28</definedName>
    <definedName name="tbzz21" localSheetId="3">'[4]Overlap two proportions'!$CD$28</definedName>
    <definedName name="tbzz21" localSheetId="6">'[4]Overlap two proportions'!$CD$28</definedName>
    <definedName name="tbzz21" localSheetId="8">'[4]Overlap two proportions'!$CD$28</definedName>
    <definedName name="tbzz21">'[4]Overlap two proportions'!$CD$28</definedName>
    <definedName name="tbzz22" localSheetId="11">'[4]Overlap two proportions'!$CD$29</definedName>
    <definedName name="tbzz22" localSheetId="9">'[4]Overlap two proportions'!$CD$29</definedName>
    <definedName name="tbzz22" localSheetId="10">'[4]Overlap two proportions'!$CD$29</definedName>
    <definedName name="tbzz22" localSheetId="5">'[4]Overlap two proportions'!$CD$29</definedName>
    <definedName name="tbzz22" localSheetId="7">'[4]Overlap two proportions'!$CD$29</definedName>
    <definedName name="tbzz22" localSheetId="12">'[5]Overlap two proportions'!$CD$29</definedName>
    <definedName name="tbzz22" localSheetId="4">'[4]Overlap two proportions'!$CD$29</definedName>
    <definedName name="tbzz22" localSheetId="3">'[4]Overlap two proportions'!$CD$29</definedName>
    <definedName name="tbzz22" localSheetId="6">'[4]Overlap two proportions'!$CD$29</definedName>
    <definedName name="tbzz22" localSheetId="8">'[4]Overlap two proportions'!$CD$29</definedName>
    <definedName name="tbzz22">'[4]Overlap two proportions'!$CD$29</definedName>
    <definedName name="tbzz23" localSheetId="11">'[4]Overlap two proportions'!$CD$30</definedName>
    <definedName name="tbzz23" localSheetId="9">'[4]Overlap two proportions'!$CD$30</definedName>
    <definedName name="tbzz23" localSheetId="10">'[4]Overlap two proportions'!$CD$30</definedName>
    <definedName name="tbzz23" localSheetId="5">'[4]Overlap two proportions'!$CD$30</definedName>
    <definedName name="tbzz23" localSheetId="7">'[4]Overlap two proportions'!$CD$30</definedName>
    <definedName name="tbzz23" localSheetId="12">'[5]Overlap two proportions'!$CD$30</definedName>
    <definedName name="tbzz23" localSheetId="4">'[4]Overlap two proportions'!$CD$30</definedName>
    <definedName name="tbzz23" localSheetId="3">'[4]Overlap two proportions'!$CD$30</definedName>
    <definedName name="tbzz23" localSheetId="6">'[4]Overlap two proportions'!$CD$30</definedName>
    <definedName name="tbzz23" localSheetId="8">'[4]Overlap two proportions'!$CD$30</definedName>
    <definedName name="tbzz23">'[4]Overlap two proportions'!$CD$30</definedName>
    <definedName name="tbzz24" localSheetId="11">'[4]Overlap two proportions'!$CD$31</definedName>
    <definedName name="tbzz24" localSheetId="9">'[4]Overlap two proportions'!$CD$31</definedName>
    <definedName name="tbzz24" localSheetId="10">'[4]Overlap two proportions'!$CD$31</definedName>
    <definedName name="tbzz24" localSheetId="5">'[4]Overlap two proportions'!$CD$31</definedName>
    <definedName name="tbzz24" localSheetId="7">'[4]Overlap two proportions'!$CD$31</definedName>
    <definedName name="tbzz24" localSheetId="12">'[5]Overlap two proportions'!$CD$31</definedName>
    <definedName name="tbzz24" localSheetId="4">'[4]Overlap two proportions'!$CD$31</definedName>
    <definedName name="tbzz24" localSheetId="3">'[4]Overlap two proportions'!$CD$31</definedName>
    <definedName name="tbzz24" localSheetId="6">'[4]Overlap two proportions'!$CD$31</definedName>
    <definedName name="tbzz24" localSheetId="8">'[4]Overlap two proportions'!$CD$31</definedName>
    <definedName name="tbzz24">'[4]Overlap two proportions'!$CD$31</definedName>
    <definedName name="tbzz25" localSheetId="11">'[4]Overlap two proportions'!$CD$32</definedName>
    <definedName name="tbzz25" localSheetId="9">'[4]Overlap two proportions'!$CD$32</definedName>
    <definedName name="tbzz25" localSheetId="10">'[4]Overlap two proportions'!$CD$32</definedName>
    <definedName name="tbzz25" localSheetId="5">'[4]Overlap two proportions'!$CD$32</definedName>
    <definedName name="tbzz25" localSheetId="7">'[4]Overlap two proportions'!$CD$32</definedName>
    <definedName name="tbzz25" localSheetId="12">'[5]Overlap two proportions'!$CD$32</definedName>
    <definedName name="tbzz25" localSheetId="4">'[4]Overlap two proportions'!$CD$32</definedName>
    <definedName name="tbzz25" localSheetId="3">'[4]Overlap two proportions'!$CD$32</definedName>
    <definedName name="tbzz25" localSheetId="6">'[4]Overlap two proportions'!$CD$32</definedName>
    <definedName name="tbzz25" localSheetId="8">'[4]Overlap two proportions'!$CD$32</definedName>
    <definedName name="tbzz25">'[4]Overlap two proportions'!$CD$32</definedName>
    <definedName name="tbzz26" localSheetId="11">'[4]Overlap two proportions'!$CD$33</definedName>
    <definedName name="tbzz26" localSheetId="9">'[4]Overlap two proportions'!$CD$33</definedName>
    <definedName name="tbzz26" localSheetId="10">'[4]Overlap two proportions'!$CD$33</definedName>
    <definedName name="tbzz26" localSheetId="5">'[4]Overlap two proportions'!$CD$33</definedName>
    <definedName name="tbzz26" localSheetId="7">'[4]Overlap two proportions'!$CD$33</definedName>
    <definedName name="tbzz26" localSheetId="12">'[5]Overlap two proportions'!$CD$33</definedName>
    <definedName name="tbzz26" localSheetId="4">'[4]Overlap two proportions'!$CD$33</definedName>
    <definedName name="tbzz26" localSheetId="3">'[4]Overlap two proportions'!$CD$33</definedName>
    <definedName name="tbzz26" localSheetId="6">'[4]Overlap two proportions'!$CD$33</definedName>
    <definedName name="tbzz26" localSheetId="8">'[4]Overlap two proportions'!$CD$33</definedName>
    <definedName name="tbzz26">'[4]Overlap two proportions'!$CD$33</definedName>
    <definedName name="tbzz27" localSheetId="11">'[4]Overlap two proportions'!$CD$34</definedName>
    <definedName name="tbzz27" localSheetId="9">'[4]Overlap two proportions'!$CD$34</definedName>
    <definedName name="tbzz27" localSheetId="10">'[4]Overlap two proportions'!$CD$34</definedName>
    <definedName name="tbzz27" localSheetId="5">'[4]Overlap two proportions'!$CD$34</definedName>
    <definedName name="tbzz27" localSheetId="7">'[4]Overlap two proportions'!$CD$34</definedName>
    <definedName name="tbzz27" localSheetId="12">'[5]Overlap two proportions'!$CD$34</definedName>
    <definedName name="tbzz27" localSheetId="4">'[4]Overlap two proportions'!$CD$34</definedName>
    <definedName name="tbzz27" localSheetId="3">'[4]Overlap two proportions'!$CD$34</definedName>
    <definedName name="tbzz27" localSheetId="6">'[4]Overlap two proportions'!$CD$34</definedName>
    <definedName name="tbzz27" localSheetId="8">'[4]Overlap two proportions'!$CD$34</definedName>
    <definedName name="tbzz27">'[4]Overlap two proportions'!$CD$34</definedName>
    <definedName name="tbzz28" localSheetId="11">'[4]Overlap two proportions'!$CD$35</definedName>
    <definedName name="tbzz28" localSheetId="9">'[4]Overlap two proportions'!$CD$35</definedName>
    <definedName name="tbzz28" localSheetId="10">'[4]Overlap two proportions'!$CD$35</definedName>
    <definedName name="tbzz28" localSheetId="5">'[4]Overlap two proportions'!$CD$35</definedName>
    <definedName name="tbzz28" localSheetId="7">'[4]Overlap two proportions'!$CD$35</definedName>
    <definedName name="tbzz28" localSheetId="12">'[5]Overlap two proportions'!$CD$35</definedName>
    <definedName name="tbzz28" localSheetId="4">'[4]Overlap two proportions'!$CD$35</definedName>
    <definedName name="tbzz28" localSheetId="3">'[4]Overlap two proportions'!$CD$35</definedName>
    <definedName name="tbzz28" localSheetId="6">'[4]Overlap two proportions'!$CD$35</definedName>
    <definedName name="tbzz28" localSheetId="8">'[4]Overlap two proportions'!$CD$35</definedName>
    <definedName name="tbzz28">'[4]Overlap two proportions'!$CD$35</definedName>
    <definedName name="tbzz29" localSheetId="11">'[4]Overlap two proportions'!$CD$36</definedName>
    <definedName name="tbzz29" localSheetId="9">'[4]Overlap two proportions'!$CD$36</definedName>
    <definedName name="tbzz29" localSheetId="10">'[4]Overlap two proportions'!$CD$36</definedName>
    <definedName name="tbzz29" localSheetId="5">'[4]Overlap two proportions'!$CD$36</definedName>
    <definedName name="tbzz29" localSheetId="7">'[4]Overlap two proportions'!$CD$36</definedName>
    <definedName name="tbzz29" localSheetId="12">'[5]Overlap two proportions'!$CD$36</definedName>
    <definedName name="tbzz29" localSheetId="4">'[4]Overlap two proportions'!$CD$36</definedName>
    <definedName name="tbzz29" localSheetId="3">'[4]Overlap two proportions'!$CD$36</definedName>
    <definedName name="tbzz29" localSheetId="6">'[4]Overlap two proportions'!$CD$36</definedName>
    <definedName name="tbzz29" localSheetId="8">'[4]Overlap two proportions'!$CD$36</definedName>
    <definedName name="tbzz29">'[4]Overlap two proportions'!$CD$36</definedName>
    <definedName name="tbzz3" localSheetId="11">'[4]Overlap two proportions'!$CD$10</definedName>
    <definedName name="tbzz3" localSheetId="9">'[4]Overlap two proportions'!$CD$10</definedName>
    <definedName name="tbzz3" localSheetId="10">'[4]Overlap two proportions'!$CD$10</definedName>
    <definedName name="tbzz3" localSheetId="5">'[4]Overlap two proportions'!$CD$10</definedName>
    <definedName name="tbzz3" localSheetId="7">'[4]Overlap two proportions'!$CD$10</definedName>
    <definedName name="tbzz3" localSheetId="12">'[5]Overlap two proportions'!$CD$10</definedName>
    <definedName name="tbzz3" localSheetId="4">'[4]Overlap two proportions'!$CD$10</definedName>
    <definedName name="tbzz3" localSheetId="3">'[4]Overlap two proportions'!$CD$10</definedName>
    <definedName name="tbzz3" localSheetId="6">'[4]Overlap two proportions'!$CD$10</definedName>
    <definedName name="tbzz3" localSheetId="8">'[4]Overlap two proportions'!$CD$10</definedName>
    <definedName name="tbzz3">'[4]Overlap two proportions'!$CD$10</definedName>
    <definedName name="tbzz30" localSheetId="11">'[4]Overlap two proportions'!$CD$37</definedName>
    <definedName name="tbzz30" localSheetId="9">'[4]Overlap two proportions'!$CD$37</definedName>
    <definedName name="tbzz30" localSheetId="10">'[4]Overlap two proportions'!$CD$37</definedName>
    <definedName name="tbzz30" localSheetId="5">'[4]Overlap two proportions'!$CD$37</definedName>
    <definedName name="tbzz30" localSheetId="7">'[4]Overlap two proportions'!$CD$37</definedName>
    <definedName name="tbzz30" localSheetId="12">'[5]Overlap two proportions'!$CD$37</definedName>
    <definedName name="tbzz30" localSheetId="4">'[4]Overlap two proportions'!$CD$37</definedName>
    <definedName name="tbzz30" localSheetId="3">'[4]Overlap two proportions'!$CD$37</definedName>
    <definedName name="tbzz30" localSheetId="6">'[4]Overlap two proportions'!$CD$37</definedName>
    <definedName name="tbzz30" localSheetId="8">'[4]Overlap two proportions'!$CD$37</definedName>
    <definedName name="tbzz30">'[4]Overlap two proportions'!$CD$37</definedName>
    <definedName name="tbzz31" localSheetId="11">'[4]Overlap two proportions'!$CD$38</definedName>
    <definedName name="tbzz31" localSheetId="9">'[4]Overlap two proportions'!$CD$38</definedName>
    <definedName name="tbzz31" localSheetId="10">'[4]Overlap two proportions'!$CD$38</definedName>
    <definedName name="tbzz31" localSheetId="5">'[4]Overlap two proportions'!$CD$38</definedName>
    <definedName name="tbzz31" localSheetId="7">'[4]Overlap two proportions'!$CD$38</definedName>
    <definedName name="tbzz31" localSheetId="12">'[5]Overlap two proportions'!$CD$38</definedName>
    <definedName name="tbzz31" localSheetId="4">'[4]Overlap two proportions'!$CD$38</definedName>
    <definedName name="tbzz31" localSheetId="3">'[4]Overlap two proportions'!$CD$38</definedName>
    <definedName name="tbzz31" localSheetId="6">'[4]Overlap two proportions'!$CD$38</definedName>
    <definedName name="tbzz31" localSheetId="8">'[4]Overlap two proportions'!$CD$38</definedName>
    <definedName name="tbzz31">'[4]Overlap two proportions'!$CD$38</definedName>
    <definedName name="tbzz32" localSheetId="11">'[4]Overlap two proportions'!$CD$39</definedName>
    <definedName name="tbzz32" localSheetId="9">'[4]Overlap two proportions'!$CD$39</definedName>
    <definedName name="tbzz32" localSheetId="10">'[4]Overlap two proportions'!$CD$39</definedName>
    <definedName name="tbzz32" localSheetId="5">'[4]Overlap two proportions'!$CD$39</definedName>
    <definedName name="tbzz32" localSheetId="7">'[4]Overlap two proportions'!$CD$39</definedName>
    <definedName name="tbzz32" localSheetId="12">'[5]Overlap two proportions'!$CD$39</definedName>
    <definedName name="tbzz32" localSheetId="4">'[4]Overlap two proportions'!$CD$39</definedName>
    <definedName name="tbzz32" localSheetId="3">'[4]Overlap two proportions'!$CD$39</definedName>
    <definedName name="tbzz32" localSheetId="6">'[4]Overlap two proportions'!$CD$39</definedName>
    <definedName name="tbzz32" localSheetId="8">'[4]Overlap two proportions'!$CD$39</definedName>
    <definedName name="tbzz32">'[4]Overlap two proportions'!$CD$39</definedName>
    <definedName name="tbzz33" localSheetId="11">'[4]Overlap two proportions'!$CD$40</definedName>
    <definedName name="tbzz33" localSheetId="9">'[4]Overlap two proportions'!$CD$40</definedName>
    <definedName name="tbzz33" localSheetId="10">'[4]Overlap two proportions'!$CD$40</definedName>
    <definedName name="tbzz33" localSheetId="5">'[4]Overlap two proportions'!$CD$40</definedName>
    <definedName name="tbzz33" localSheetId="7">'[4]Overlap two proportions'!$CD$40</definedName>
    <definedName name="tbzz33" localSheetId="12">'[5]Overlap two proportions'!$CD$40</definedName>
    <definedName name="tbzz33" localSheetId="4">'[4]Overlap two proportions'!$CD$40</definedName>
    <definedName name="tbzz33" localSheetId="3">'[4]Overlap two proportions'!$CD$40</definedName>
    <definedName name="tbzz33" localSheetId="6">'[4]Overlap two proportions'!$CD$40</definedName>
    <definedName name="tbzz33" localSheetId="8">'[4]Overlap two proportions'!$CD$40</definedName>
    <definedName name="tbzz33">'[4]Overlap two proportions'!$CD$40</definedName>
    <definedName name="tbzz34" localSheetId="11">'[4]Overlap two proportions'!$CD$41</definedName>
    <definedName name="tbzz34" localSheetId="9">'[4]Overlap two proportions'!$CD$41</definedName>
    <definedName name="tbzz34" localSheetId="10">'[4]Overlap two proportions'!$CD$41</definedName>
    <definedName name="tbzz34" localSheetId="5">'[4]Overlap two proportions'!$CD$41</definedName>
    <definedName name="tbzz34" localSheetId="7">'[4]Overlap two proportions'!$CD$41</definedName>
    <definedName name="tbzz34" localSheetId="12">'[5]Overlap two proportions'!$CD$41</definedName>
    <definedName name="tbzz34" localSheetId="4">'[4]Overlap two proportions'!$CD$41</definedName>
    <definedName name="tbzz34" localSheetId="3">'[4]Overlap two proportions'!$CD$41</definedName>
    <definedName name="tbzz34" localSheetId="6">'[4]Overlap two proportions'!$CD$41</definedName>
    <definedName name="tbzz34" localSheetId="8">'[4]Overlap two proportions'!$CD$41</definedName>
    <definedName name="tbzz34">'[4]Overlap two proportions'!$CD$41</definedName>
    <definedName name="tbzz35" localSheetId="11">'[4]Overlap two proportions'!$CD$42</definedName>
    <definedName name="tbzz35" localSheetId="9">'[4]Overlap two proportions'!$CD$42</definedName>
    <definedName name="tbzz35" localSheetId="10">'[4]Overlap two proportions'!$CD$42</definedName>
    <definedName name="tbzz35" localSheetId="5">'[4]Overlap two proportions'!$CD$42</definedName>
    <definedName name="tbzz35" localSheetId="7">'[4]Overlap two proportions'!$CD$42</definedName>
    <definedName name="tbzz35" localSheetId="12">'[5]Overlap two proportions'!$CD$42</definedName>
    <definedName name="tbzz35" localSheetId="4">'[4]Overlap two proportions'!$CD$42</definedName>
    <definedName name="tbzz35" localSheetId="3">'[4]Overlap two proportions'!$CD$42</definedName>
    <definedName name="tbzz35" localSheetId="6">'[4]Overlap two proportions'!$CD$42</definedName>
    <definedName name="tbzz35" localSheetId="8">'[4]Overlap two proportions'!$CD$42</definedName>
    <definedName name="tbzz35">'[4]Overlap two proportions'!$CD$42</definedName>
    <definedName name="tbzz36" localSheetId="11">'[4]Overlap two proportions'!$CD$43</definedName>
    <definedName name="tbzz36" localSheetId="9">'[4]Overlap two proportions'!$CD$43</definedName>
    <definedName name="tbzz36" localSheetId="10">'[4]Overlap two proportions'!$CD$43</definedName>
    <definedName name="tbzz36" localSheetId="5">'[4]Overlap two proportions'!$CD$43</definedName>
    <definedName name="tbzz36" localSheetId="7">'[4]Overlap two proportions'!$CD$43</definedName>
    <definedName name="tbzz36" localSheetId="12">'[5]Overlap two proportions'!$CD$43</definedName>
    <definedName name="tbzz36" localSheetId="4">'[4]Overlap two proportions'!$CD$43</definedName>
    <definedName name="tbzz36" localSheetId="3">'[4]Overlap two proportions'!$CD$43</definedName>
    <definedName name="tbzz36" localSheetId="6">'[4]Overlap two proportions'!$CD$43</definedName>
    <definedName name="tbzz36" localSheetId="8">'[4]Overlap two proportions'!$CD$43</definedName>
    <definedName name="tbzz36">'[4]Overlap two proportions'!$CD$43</definedName>
    <definedName name="tbzz37" localSheetId="11">'[4]Overlap two proportions'!$CD$44</definedName>
    <definedName name="tbzz37" localSheetId="9">'[4]Overlap two proportions'!$CD$44</definedName>
    <definedName name="tbzz37" localSheetId="10">'[4]Overlap two proportions'!$CD$44</definedName>
    <definedName name="tbzz37" localSheetId="5">'[4]Overlap two proportions'!$CD$44</definedName>
    <definedName name="tbzz37" localSheetId="7">'[4]Overlap two proportions'!$CD$44</definedName>
    <definedName name="tbzz37" localSheetId="12">'[5]Overlap two proportions'!$CD$44</definedName>
    <definedName name="tbzz37" localSheetId="4">'[4]Overlap two proportions'!$CD$44</definedName>
    <definedName name="tbzz37" localSheetId="3">'[4]Overlap two proportions'!$CD$44</definedName>
    <definedName name="tbzz37" localSheetId="6">'[4]Overlap two proportions'!$CD$44</definedName>
    <definedName name="tbzz37" localSheetId="8">'[4]Overlap two proportions'!$CD$44</definedName>
    <definedName name="tbzz37">'[4]Overlap two proportions'!$CD$44</definedName>
    <definedName name="tbzz38" localSheetId="11">'[4]Overlap two proportions'!$CD$45</definedName>
    <definedName name="tbzz38" localSheetId="9">'[4]Overlap two proportions'!$CD$45</definedName>
    <definedName name="tbzz38" localSheetId="10">'[4]Overlap two proportions'!$CD$45</definedName>
    <definedName name="tbzz38" localSheetId="5">'[4]Overlap two proportions'!$CD$45</definedName>
    <definedName name="tbzz38" localSheetId="7">'[4]Overlap two proportions'!$CD$45</definedName>
    <definedName name="tbzz38" localSheetId="12">'[5]Overlap two proportions'!$CD$45</definedName>
    <definedName name="tbzz38" localSheetId="4">'[4]Overlap two proportions'!$CD$45</definedName>
    <definedName name="tbzz38" localSheetId="3">'[4]Overlap two proportions'!$CD$45</definedName>
    <definedName name="tbzz38" localSheetId="6">'[4]Overlap two proportions'!$CD$45</definedName>
    <definedName name="tbzz38" localSheetId="8">'[4]Overlap two proportions'!$CD$45</definedName>
    <definedName name="tbzz38">'[4]Overlap two proportions'!$CD$45</definedName>
    <definedName name="tbzz39" localSheetId="11">'[4]Overlap two proportions'!$CD$46</definedName>
    <definedName name="tbzz39" localSheetId="9">'[4]Overlap two proportions'!$CD$46</definedName>
    <definedName name="tbzz39" localSheetId="10">'[4]Overlap two proportions'!$CD$46</definedName>
    <definedName name="tbzz39" localSheetId="5">'[4]Overlap two proportions'!$CD$46</definedName>
    <definedName name="tbzz39" localSheetId="7">'[4]Overlap two proportions'!$CD$46</definedName>
    <definedName name="tbzz39" localSheetId="12">'[5]Overlap two proportions'!$CD$46</definedName>
    <definedName name="tbzz39" localSheetId="4">'[4]Overlap two proportions'!$CD$46</definedName>
    <definedName name="tbzz39" localSheetId="3">'[4]Overlap two proportions'!$CD$46</definedName>
    <definedName name="tbzz39" localSheetId="6">'[4]Overlap two proportions'!$CD$46</definedName>
    <definedName name="tbzz39" localSheetId="8">'[4]Overlap two proportions'!$CD$46</definedName>
    <definedName name="tbzz39">'[4]Overlap two proportions'!$CD$46</definedName>
    <definedName name="tbzz4" localSheetId="11">'[4]Overlap two proportions'!$CD$11</definedName>
    <definedName name="tbzz4" localSheetId="9">'[4]Overlap two proportions'!$CD$11</definedName>
    <definedName name="tbzz4" localSheetId="10">'[4]Overlap two proportions'!$CD$11</definedName>
    <definedName name="tbzz4" localSheetId="5">'[4]Overlap two proportions'!$CD$11</definedName>
    <definedName name="tbzz4" localSheetId="7">'[4]Overlap two proportions'!$CD$11</definedName>
    <definedName name="tbzz4" localSheetId="12">'[5]Overlap two proportions'!$CD$11</definedName>
    <definedName name="tbzz4" localSheetId="4">'[4]Overlap two proportions'!$CD$11</definedName>
    <definedName name="tbzz4" localSheetId="3">'[4]Overlap two proportions'!$CD$11</definedName>
    <definedName name="tbzz4" localSheetId="6">'[4]Overlap two proportions'!$CD$11</definedName>
    <definedName name="tbzz4" localSheetId="8">'[4]Overlap two proportions'!$CD$11</definedName>
    <definedName name="tbzz4">'[4]Overlap two proportions'!$CD$11</definedName>
    <definedName name="tbzz40" localSheetId="11">'[4]Overlap two proportions'!$CD$47</definedName>
    <definedName name="tbzz40" localSheetId="9">'[4]Overlap two proportions'!$CD$47</definedName>
    <definedName name="tbzz40" localSheetId="10">'[4]Overlap two proportions'!$CD$47</definedName>
    <definedName name="tbzz40" localSheetId="5">'[4]Overlap two proportions'!$CD$47</definedName>
    <definedName name="tbzz40" localSheetId="7">'[4]Overlap two proportions'!$CD$47</definedName>
    <definedName name="tbzz40" localSheetId="12">'[5]Overlap two proportions'!$CD$47</definedName>
    <definedName name="tbzz40" localSheetId="4">'[4]Overlap two proportions'!$CD$47</definedName>
    <definedName name="tbzz40" localSheetId="3">'[4]Overlap two proportions'!$CD$47</definedName>
    <definedName name="tbzz40" localSheetId="6">'[4]Overlap two proportions'!$CD$47</definedName>
    <definedName name="tbzz40" localSheetId="8">'[4]Overlap two proportions'!$CD$47</definedName>
    <definedName name="tbzz40">'[4]Overlap two proportions'!$CD$47</definedName>
    <definedName name="tbzz41" localSheetId="11">'[4]Overlap two proportions'!$CD$48</definedName>
    <definedName name="tbzz41" localSheetId="9">'[4]Overlap two proportions'!$CD$48</definedName>
    <definedName name="tbzz41" localSheetId="10">'[4]Overlap two proportions'!$CD$48</definedName>
    <definedName name="tbzz41" localSheetId="5">'[4]Overlap two proportions'!$CD$48</definedName>
    <definedName name="tbzz41" localSheetId="7">'[4]Overlap two proportions'!$CD$48</definedName>
    <definedName name="tbzz41" localSheetId="12">'[5]Overlap two proportions'!$CD$48</definedName>
    <definedName name="tbzz41" localSheetId="4">'[4]Overlap two proportions'!$CD$48</definedName>
    <definedName name="tbzz41" localSheetId="3">'[4]Overlap two proportions'!$CD$48</definedName>
    <definedName name="tbzz41" localSheetId="6">'[4]Overlap two proportions'!$CD$48</definedName>
    <definedName name="tbzz41" localSheetId="8">'[4]Overlap two proportions'!$CD$48</definedName>
    <definedName name="tbzz41">'[4]Overlap two proportions'!$CD$48</definedName>
    <definedName name="tbzz42" localSheetId="11">'[4]Overlap two proportions'!$CD$49</definedName>
    <definedName name="tbzz42" localSheetId="9">'[4]Overlap two proportions'!$CD$49</definedName>
    <definedName name="tbzz42" localSheetId="10">'[4]Overlap two proportions'!$CD$49</definedName>
    <definedName name="tbzz42" localSheetId="5">'[4]Overlap two proportions'!$CD$49</definedName>
    <definedName name="tbzz42" localSheetId="7">'[4]Overlap two proportions'!$CD$49</definedName>
    <definedName name="tbzz42" localSheetId="12">'[5]Overlap two proportions'!$CD$49</definedName>
    <definedName name="tbzz42" localSheetId="4">'[4]Overlap two proportions'!$CD$49</definedName>
    <definedName name="tbzz42" localSheetId="3">'[4]Overlap two proportions'!$CD$49</definedName>
    <definedName name="tbzz42" localSheetId="6">'[4]Overlap two proportions'!$CD$49</definedName>
    <definedName name="tbzz42" localSheetId="8">'[4]Overlap two proportions'!$CD$49</definedName>
    <definedName name="tbzz42">'[4]Overlap two proportions'!$CD$49</definedName>
    <definedName name="tbzz43" localSheetId="11">'[4]Overlap two proportions'!$CD$50</definedName>
    <definedName name="tbzz43" localSheetId="9">'[4]Overlap two proportions'!$CD$50</definedName>
    <definedName name="tbzz43" localSheetId="10">'[4]Overlap two proportions'!$CD$50</definedName>
    <definedName name="tbzz43" localSheetId="5">'[4]Overlap two proportions'!$CD$50</definedName>
    <definedName name="tbzz43" localSheetId="7">'[4]Overlap two proportions'!$CD$50</definedName>
    <definedName name="tbzz43" localSheetId="12">'[5]Overlap two proportions'!$CD$50</definedName>
    <definedName name="tbzz43" localSheetId="4">'[4]Overlap two proportions'!$CD$50</definedName>
    <definedName name="tbzz43" localSheetId="3">'[4]Overlap two proportions'!$CD$50</definedName>
    <definedName name="tbzz43" localSheetId="6">'[4]Overlap two proportions'!$CD$50</definedName>
    <definedName name="tbzz43" localSheetId="8">'[4]Overlap two proportions'!$CD$50</definedName>
    <definedName name="tbzz43">'[4]Overlap two proportions'!$CD$50</definedName>
    <definedName name="tbzz44" localSheetId="11">'[4]Overlap two proportions'!$CD$51</definedName>
    <definedName name="tbzz44" localSheetId="9">'[4]Overlap two proportions'!$CD$51</definedName>
    <definedName name="tbzz44" localSheetId="10">'[4]Overlap two proportions'!$CD$51</definedName>
    <definedName name="tbzz44" localSheetId="5">'[4]Overlap two proportions'!$CD$51</definedName>
    <definedName name="tbzz44" localSheetId="7">'[4]Overlap two proportions'!$CD$51</definedName>
    <definedName name="tbzz44" localSheetId="12">'[5]Overlap two proportions'!$CD$51</definedName>
    <definedName name="tbzz44" localSheetId="4">'[4]Overlap two proportions'!$CD$51</definedName>
    <definedName name="tbzz44" localSheetId="3">'[4]Overlap two proportions'!$CD$51</definedName>
    <definedName name="tbzz44" localSheetId="6">'[4]Overlap two proportions'!$CD$51</definedName>
    <definedName name="tbzz44" localSheetId="8">'[4]Overlap two proportions'!$CD$51</definedName>
    <definedName name="tbzz44">'[4]Overlap two proportions'!$CD$51</definedName>
    <definedName name="tbzz45" localSheetId="11">'[4]Overlap two proportions'!$CD$52</definedName>
    <definedName name="tbzz45" localSheetId="9">'[4]Overlap two proportions'!$CD$52</definedName>
    <definedName name="tbzz45" localSheetId="10">'[4]Overlap two proportions'!$CD$52</definedName>
    <definedName name="tbzz45" localSheetId="5">'[4]Overlap two proportions'!$CD$52</definedName>
    <definedName name="tbzz45" localSheetId="7">'[4]Overlap two proportions'!$CD$52</definedName>
    <definedName name="tbzz45" localSheetId="12">'[5]Overlap two proportions'!$CD$52</definedName>
    <definedName name="tbzz45" localSheetId="4">'[4]Overlap two proportions'!$CD$52</definedName>
    <definedName name="tbzz45" localSheetId="3">'[4]Overlap two proportions'!$CD$52</definedName>
    <definedName name="tbzz45" localSheetId="6">'[4]Overlap two proportions'!$CD$52</definedName>
    <definedName name="tbzz45" localSheetId="8">'[4]Overlap two proportions'!$CD$52</definedName>
    <definedName name="tbzz45">'[4]Overlap two proportions'!$CD$52</definedName>
    <definedName name="tbzz46" localSheetId="11">'[4]Overlap two proportions'!$CD$53</definedName>
    <definedName name="tbzz46" localSheetId="9">'[4]Overlap two proportions'!$CD$53</definedName>
    <definedName name="tbzz46" localSheetId="10">'[4]Overlap two proportions'!$CD$53</definedName>
    <definedName name="tbzz46" localSheetId="5">'[4]Overlap two proportions'!$CD$53</definedName>
    <definedName name="tbzz46" localSheetId="7">'[4]Overlap two proportions'!$CD$53</definedName>
    <definedName name="tbzz46" localSheetId="12">'[5]Overlap two proportions'!$CD$53</definedName>
    <definedName name="tbzz46" localSheetId="4">'[4]Overlap two proportions'!$CD$53</definedName>
    <definedName name="tbzz46" localSheetId="3">'[4]Overlap two proportions'!$CD$53</definedName>
    <definedName name="tbzz46" localSheetId="6">'[4]Overlap two proportions'!$CD$53</definedName>
    <definedName name="tbzz46" localSheetId="8">'[4]Overlap two proportions'!$CD$53</definedName>
    <definedName name="tbzz46">'[4]Overlap two proportions'!$CD$53</definedName>
    <definedName name="tbzz47" localSheetId="11">'[4]Overlap two proportions'!$CD$54</definedName>
    <definedName name="tbzz47" localSheetId="9">'[4]Overlap two proportions'!$CD$54</definedName>
    <definedName name="tbzz47" localSheetId="10">'[4]Overlap two proportions'!$CD$54</definedName>
    <definedName name="tbzz47" localSheetId="5">'[4]Overlap two proportions'!$CD$54</definedName>
    <definedName name="tbzz47" localSheetId="7">'[4]Overlap two proportions'!$CD$54</definedName>
    <definedName name="tbzz47" localSheetId="12">'[5]Overlap two proportions'!$CD$54</definedName>
    <definedName name="tbzz47" localSheetId="4">'[4]Overlap two proportions'!$CD$54</definedName>
    <definedName name="tbzz47" localSheetId="3">'[4]Overlap two proportions'!$CD$54</definedName>
    <definedName name="tbzz47" localSheetId="6">'[4]Overlap two proportions'!$CD$54</definedName>
    <definedName name="tbzz47" localSheetId="8">'[4]Overlap two proportions'!$CD$54</definedName>
    <definedName name="tbzz47">'[4]Overlap two proportions'!$CD$54</definedName>
    <definedName name="tbzz48" localSheetId="11">'[4]Overlap two proportions'!$CD$55</definedName>
    <definedName name="tbzz48" localSheetId="9">'[4]Overlap two proportions'!$CD$55</definedName>
    <definedName name="tbzz48" localSheetId="10">'[4]Overlap two proportions'!$CD$55</definedName>
    <definedName name="tbzz48" localSheetId="5">'[4]Overlap two proportions'!$CD$55</definedName>
    <definedName name="tbzz48" localSheetId="7">'[4]Overlap two proportions'!$CD$55</definedName>
    <definedName name="tbzz48" localSheetId="12">'[5]Overlap two proportions'!$CD$55</definedName>
    <definedName name="tbzz48" localSheetId="4">'[4]Overlap two proportions'!$CD$55</definedName>
    <definedName name="tbzz48" localSheetId="3">'[4]Overlap two proportions'!$CD$55</definedName>
    <definedName name="tbzz48" localSheetId="6">'[4]Overlap two proportions'!$CD$55</definedName>
    <definedName name="tbzz48" localSheetId="8">'[4]Overlap two proportions'!$CD$55</definedName>
    <definedName name="tbzz48">'[4]Overlap two proportions'!$CD$55</definedName>
    <definedName name="tbzz49" localSheetId="11">'[4]Overlap two proportions'!$CD$56</definedName>
    <definedName name="tbzz49" localSheetId="9">'[4]Overlap two proportions'!$CD$56</definedName>
    <definedName name="tbzz49" localSheetId="10">'[4]Overlap two proportions'!$CD$56</definedName>
    <definedName name="tbzz49" localSheetId="5">'[4]Overlap two proportions'!$CD$56</definedName>
    <definedName name="tbzz49" localSheetId="7">'[4]Overlap two proportions'!$CD$56</definedName>
    <definedName name="tbzz49" localSheetId="12">'[5]Overlap two proportions'!$CD$56</definedName>
    <definedName name="tbzz49" localSheetId="4">'[4]Overlap two proportions'!$CD$56</definedName>
    <definedName name="tbzz49" localSheetId="3">'[4]Overlap two proportions'!$CD$56</definedName>
    <definedName name="tbzz49" localSheetId="6">'[4]Overlap two proportions'!$CD$56</definedName>
    <definedName name="tbzz49" localSheetId="8">'[4]Overlap two proportions'!$CD$56</definedName>
    <definedName name="tbzz49">'[4]Overlap two proportions'!$CD$56</definedName>
    <definedName name="tbzz5" localSheetId="11">'[4]Overlap two proportions'!$CD$12</definedName>
    <definedName name="tbzz5" localSheetId="9">'[4]Overlap two proportions'!$CD$12</definedName>
    <definedName name="tbzz5" localSheetId="10">'[4]Overlap two proportions'!$CD$12</definedName>
    <definedName name="tbzz5" localSheetId="5">'[4]Overlap two proportions'!$CD$12</definedName>
    <definedName name="tbzz5" localSheetId="7">'[4]Overlap two proportions'!$CD$12</definedName>
    <definedName name="tbzz5" localSheetId="12">'[5]Overlap two proportions'!$CD$12</definedName>
    <definedName name="tbzz5" localSheetId="4">'[4]Overlap two proportions'!$CD$12</definedName>
    <definedName name="tbzz5" localSheetId="3">'[4]Overlap two proportions'!$CD$12</definedName>
    <definedName name="tbzz5" localSheetId="6">'[4]Overlap two proportions'!$CD$12</definedName>
    <definedName name="tbzz5" localSheetId="8">'[4]Overlap two proportions'!$CD$12</definedName>
    <definedName name="tbzz5">'[4]Overlap two proportions'!$CD$12</definedName>
    <definedName name="tbzz50" localSheetId="11">'[4]Overlap two proportions'!$CD$57</definedName>
    <definedName name="tbzz50" localSheetId="9">'[4]Overlap two proportions'!$CD$57</definedName>
    <definedName name="tbzz50" localSheetId="10">'[4]Overlap two proportions'!$CD$57</definedName>
    <definedName name="tbzz50" localSheetId="5">'[4]Overlap two proportions'!$CD$57</definedName>
    <definedName name="tbzz50" localSheetId="7">'[4]Overlap two proportions'!$CD$57</definedName>
    <definedName name="tbzz50" localSheetId="12">'[5]Overlap two proportions'!$CD$57</definedName>
    <definedName name="tbzz50" localSheetId="4">'[4]Overlap two proportions'!$CD$57</definedName>
    <definedName name="tbzz50" localSheetId="3">'[4]Overlap two proportions'!$CD$57</definedName>
    <definedName name="tbzz50" localSheetId="6">'[4]Overlap two proportions'!$CD$57</definedName>
    <definedName name="tbzz50" localSheetId="8">'[4]Overlap two proportions'!$CD$57</definedName>
    <definedName name="tbzz50">'[4]Overlap two proportions'!$CD$57</definedName>
    <definedName name="tbzz51" localSheetId="11">'[4]Overlap two proportions'!$CD$58</definedName>
    <definedName name="tbzz51" localSheetId="9">'[4]Overlap two proportions'!$CD$58</definedName>
    <definedName name="tbzz51" localSheetId="10">'[4]Overlap two proportions'!$CD$58</definedName>
    <definedName name="tbzz51" localSheetId="5">'[4]Overlap two proportions'!$CD$58</definedName>
    <definedName name="tbzz51" localSheetId="7">'[4]Overlap two proportions'!$CD$58</definedName>
    <definedName name="tbzz51" localSheetId="12">'[5]Overlap two proportions'!$CD$58</definedName>
    <definedName name="tbzz51" localSheetId="4">'[4]Overlap two proportions'!$CD$58</definedName>
    <definedName name="tbzz51" localSheetId="3">'[4]Overlap two proportions'!$CD$58</definedName>
    <definedName name="tbzz51" localSheetId="6">'[4]Overlap two proportions'!$CD$58</definedName>
    <definedName name="tbzz51" localSheetId="8">'[4]Overlap two proportions'!$CD$58</definedName>
    <definedName name="tbzz51">'[4]Overlap two proportions'!$CD$58</definedName>
    <definedName name="tbzz52" localSheetId="11">'[4]Overlap two proportions'!$CD$59</definedName>
    <definedName name="tbzz52" localSheetId="9">'[4]Overlap two proportions'!$CD$59</definedName>
    <definedName name="tbzz52" localSheetId="10">'[4]Overlap two proportions'!$CD$59</definedName>
    <definedName name="tbzz52" localSheetId="5">'[4]Overlap two proportions'!$CD$59</definedName>
    <definedName name="tbzz52" localSheetId="7">'[4]Overlap two proportions'!$CD$59</definedName>
    <definedName name="tbzz52" localSheetId="12">'[5]Overlap two proportions'!$CD$59</definedName>
    <definedName name="tbzz52" localSheetId="4">'[4]Overlap two proportions'!$CD$59</definedName>
    <definedName name="tbzz52" localSheetId="3">'[4]Overlap two proportions'!$CD$59</definedName>
    <definedName name="tbzz52" localSheetId="6">'[4]Overlap two proportions'!$CD$59</definedName>
    <definedName name="tbzz52" localSheetId="8">'[4]Overlap two proportions'!$CD$59</definedName>
    <definedName name="tbzz52">'[4]Overlap two proportions'!$CD$59</definedName>
    <definedName name="tbzz53" localSheetId="11">'[4]Overlap two proportions'!$CD$60</definedName>
    <definedName name="tbzz53" localSheetId="9">'[4]Overlap two proportions'!$CD$60</definedName>
    <definedName name="tbzz53" localSheetId="10">'[4]Overlap two proportions'!$CD$60</definedName>
    <definedName name="tbzz53" localSheetId="5">'[4]Overlap two proportions'!$CD$60</definedName>
    <definedName name="tbzz53" localSheetId="7">'[4]Overlap two proportions'!$CD$60</definedName>
    <definedName name="tbzz53" localSheetId="12">'[5]Overlap two proportions'!$CD$60</definedName>
    <definedName name="tbzz53" localSheetId="4">'[4]Overlap two proportions'!$CD$60</definedName>
    <definedName name="tbzz53" localSheetId="3">'[4]Overlap two proportions'!$CD$60</definedName>
    <definedName name="tbzz53" localSheetId="6">'[4]Overlap two proportions'!$CD$60</definedName>
    <definedName name="tbzz53" localSheetId="8">'[4]Overlap two proportions'!$CD$60</definedName>
    <definedName name="tbzz53">'[4]Overlap two proportions'!$CD$60</definedName>
    <definedName name="tbzz54" localSheetId="11">'[4]Overlap two proportions'!$CD$61</definedName>
    <definedName name="tbzz54" localSheetId="9">'[4]Overlap two proportions'!$CD$61</definedName>
    <definedName name="tbzz54" localSheetId="10">'[4]Overlap two proportions'!$CD$61</definedName>
    <definedName name="tbzz54" localSheetId="5">'[4]Overlap two proportions'!$CD$61</definedName>
    <definedName name="tbzz54" localSheetId="7">'[4]Overlap two proportions'!$CD$61</definedName>
    <definedName name="tbzz54" localSheetId="12">'[5]Overlap two proportions'!$CD$61</definedName>
    <definedName name="tbzz54" localSheetId="4">'[4]Overlap two proportions'!$CD$61</definedName>
    <definedName name="tbzz54" localSheetId="3">'[4]Overlap two proportions'!$CD$61</definedName>
    <definedName name="tbzz54" localSheetId="6">'[4]Overlap two proportions'!$CD$61</definedName>
    <definedName name="tbzz54" localSheetId="8">'[4]Overlap two proportions'!$CD$61</definedName>
    <definedName name="tbzz54">'[4]Overlap two proportions'!$CD$61</definedName>
    <definedName name="tbzz55" localSheetId="11">'[4]Overlap two proportions'!$CD$62</definedName>
    <definedName name="tbzz55" localSheetId="9">'[4]Overlap two proportions'!$CD$62</definedName>
    <definedName name="tbzz55" localSheetId="10">'[4]Overlap two proportions'!$CD$62</definedName>
    <definedName name="tbzz55" localSheetId="5">'[4]Overlap two proportions'!$CD$62</definedName>
    <definedName name="tbzz55" localSheetId="7">'[4]Overlap two proportions'!$CD$62</definedName>
    <definedName name="tbzz55" localSheetId="12">'[5]Overlap two proportions'!$CD$62</definedName>
    <definedName name="tbzz55" localSheetId="4">'[4]Overlap two proportions'!$CD$62</definedName>
    <definedName name="tbzz55" localSheetId="3">'[4]Overlap two proportions'!$CD$62</definedName>
    <definedName name="tbzz55" localSheetId="6">'[4]Overlap two proportions'!$CD$62</definedName>
    <definedName name="tbzz55" localSheetId="8">'[4]Overlap two proportions'!$CD$62</definedName>
    <definedName name="tbzz55">'[4]Overlap two proportions'!$CD$62</definedName>
    <definedName name="tbzz56" localSheetId="11">'[4]Overlap two proportions'!$CD$63</definedName>
    <definedName name="tbzz56" localSheetId="9">'[4]Overlap two proportions'!$CD$63</definedName>
    <definedName name="tbzz56" localSheetId="10">'[4]Overlap two proportions'!$CD$63</definedName>
    <definedName name="tbzz56" localSheetId="5">'[4]Overlap two proportions'!$CD$63</definedName>
    <definedName name="tbzz56" localSheetId="7">'[4]Overlap two proportions'!$CD$63</definedName>
    <definedName name="tbzz56" localSheetId="12">'[5]Overlap two proportions'!$CD$63</definedName>
    <definedName name="tbzz56" localSheetId="4">'[4]Overlap two proportions'!$CD$63</definedName>
    <definedName name="tbzz56" localSheetId="3">'[4]Overlap two proportions'!$CD$63</definedName>
    <definedName name="tbzz56" localSheetId="6">'[4]Overlap two proportions'!$CD$63</definedName>
    <definedName name="tbzz56" localSheetId="8">'[4]Overlap two proportions'!$CD$63</definedName>
    <definedName name="tbzz56">'[4]Overlap two proportions'!$CD$63</definedName>
    <definedName name="tbzz57" localSheetId="11">'[4]Overlap two proportions'!$CD$64</definedName>
    <definedName name="tbzz57" localSheetId="9">'[4]Overlap two proportions'!$CD$64</definedName>
    <definedName name="tbzz57" localSheetId="10">'[4]Overlap two proportions'!$CD$64</definedName>
    <definedName name="tbzz57" localSheetId="5">'[4]Overlap two proportions'!$CD$64</definedName>
    <definedName name="tbzz57" localSheetId="7">'[4]Overlap two proportions'!$CD$64</definedName>
    <definedName name="tbzz57" localSheetId="12">'[5]Overlap two proportions'!$CD$64</definedName>
    <definedName name="tbzz57" localSheetId="4">'[4]Overlap two proportions'!$CD$64</definedName>
    <definedName name="tbzz57" localSheetId="3">'[4]Overlap two proportions'!$CD$64</definedName>
    <definedName name="tbzz57" localSheetId="6">'[4]Overlap two proportions'!$CD$64</definedName>
    <definedName name="tbzz57" localSheetId="8">'[4]Overlap two proportions'!$CD$64</definedName>
    <definedName name="tbzz57">'[4]Overlap two proportions'!$CD$64</definedName>
    <definedName name="tbzz58" localSheetId="11">'[4]Overlap two proportions'!$CD$65</definedName>
    <definedName name="tbzz58" localSheetId="9">'[4]Overlap two proportions'!$CD$65</definedName>
    <definedName name="tbzz58" localSheetId="10">'[4]Overlap two proportions'!$CD$65</definedName>
    <definedName name="tbzz58" localSheetId="5">'[4]Overlap two proportions'!$CD$65</definedName>
    <definedName name="tbzz58" localSheetId="7">'[4]Overlap two proportions'!$CD$65</definedName>
    <definedName name="tbzz58" localSheetId="12">'[5]Overlap two proportions'!$CD$65</definedName>
    <definedName name="tbzz58" localSheetId="4">'[4]Overlap two proportions'!$CD$65</definedName>
    <definedName name="tbzz58" localSheetId="3">'[4]Overlap two proportions'!$CD$65</definedName>
    <definedName name="tbzz58" localSheetId="6">'[4]Overlap two proportions'!$CD$65</definedName>
    <definedName name="tbzz58" localSheetId="8">'[4]Overlap two proportions'!$CD$65</definedName>
    <definedName name="tbzz58">'[4]Overlap two proportions'!$CD$65</definedName>
    <definedName name="tbzz59" localSheetId="11">'[4]Overlap two proportions'!$CD$66</definedName>
    <definedName name="tbzz59" localSheetId="9">'[4]Overlap two proportions'!$CD$66</definedName>
    <definedName name="tbzz59" localSheetId="10">'[4]Overlap two proportions'!$CD$66</definedName>
    <definedName name="tbzz59" localSheetId="5">'[4]Overlap two proportions'!$CD$66</definedName>
    <definedName name="tbzz59" localSheetId="7">'[4]Overlap two proportions'!$CD$66</definedName>
    <definedName name="tbzz59" localSheetId="12">'[5]Overlap two proportions'!$CD$66</definedName>
    <definedName name="tbzz59" localSheetId="4">'[4]Overlap two proportions'!$CD$66</definedName>
    <definedName name="tbzz59" localSheetId="3">'[4]Overlap two proportions'!$CD$66</definedName>
    <definedName name="tbzz59" localSheetId="6">'[4]Overlap two proportions'!$CD$66</definedName>
    <definedName name="tbzz59" localSheetId="8">'[4]Overlap two proportions'!$CD$66</definedName>
    <definedName name="tbzz59">'[4]Overlap two proportions'!$CD$66</definedName>
    <definedName name="tbzz6" localSheetId="11">'[4]Overlap two proportions'!$CD$13</definedName>
    <definedName name="tbzz6" localSheetId="9">'[4]Overlap two proportions'!$CD$13</definedName>
    <definedName name="tbzz6" localSheetId="10">'[4]Overlap two proportions'!$CD$13</definedName>
    <definedName name="tbzz6" localSheetId="5">'[4]Overlap two proportions'!$CD$13</definedName>
    <definedName name="tbzz6" localSheetId="7">'[4]Overlap two proportions'!$CD$13</definedName>
    <definedName name="tbzz6" localSheetId="12">'[5]Overlap two proportions'!$CD$13</definedName>
    <definedName name="tbzz6" localSheetId="4">'[4]Overlap two proportions'!$CD$13</definedName>
    <definedName name="tbzz6" localSheetId="3">'[4]Overlap two proportions'!$CD$13</definedName>
    <definedName name="tbzz6" localSheetId="6">'[4]Overlap two proportions'!$CD$13</definedName>
    <definedName name="tbzz6" localSheetId="8">'[4]Overlap two proportions'!$CD$13</definedName>
    <definedName name="tbzz6">'[4]Overlap two proportions'!$CD$13</definedName>
    <definedName name="tbzz60" localSheetId="11">'[4]Overlap two proportions'!$CD$67</definedName>
    <definedName name="tbzz60" localSheetId="9">'[4]Overlap two proportions'!$CD$67</definedName>
    <definedName name="tbzz60" localSheetId="10">'[4]Overlap two proportions'!$CD$67</definedName>
    <definedName name="tbzz60" localSheetId="5">'[4]Overlap two proportions'!$CD$67</definedName>
    <definedName name="tbzz60" localSheetId="7">'[4]Overlap two proportions'!$CD$67</definedName>
    <definedName name="tbzz60" localSheetId="12">'[5]Overlap two proportions'!$CD$67</definedName>
    <definedName name="tbzz60" localSheetId="4">'[4]Overlap two proportions'!$CD$67</definedName>
    <definedName name="tbzz60" localSheetId="3">'[4]Overlap two proportions'!$CD$67</definedName>
    <definedName name="tbzz60" localSheetId="6">'[4]Overlap two proportions'!$CD$67</definedName>
    <definedName name="tbzz60" localSheetId="8">'[4]Overlap two proportions'!$CD$67</definedName>
    <definedName name="tbzz60">'[4]Overlap two proportions'!$CD$67</definedName>
    <definedName name="tbzz7" localSheetId="11">'[4]Overlap two proportions'!$CD$14</definedName>
    <definedName name="tbzz7" localSheetId="9">'[4]Overlap two proportions'!$CD$14</definedName>
    <definedName name="tbzz7" localSheetId="10">'[4]Overlap two proportions'!$CD$14</definedName>
    <definedName name="tbzz7" localSheetId="5">'[4]Overlap two proportions'!$CD$14</definedName>
    <definedName name="tbzz7" localSheetId="7">'[4]Overlap two proportions'!$CD$14</definedName>
    <definedName name="tbzz7" localSheetId="12">'[5]Overlap two proportions'!$CD$14</definedName>
    <definedName name="tbzz7" localSheetId="4">'[4]Overlap two proportions'!$CD$14</definedName>
    <definedName name="tbzz7" localSheetId="3">'[4]Overlap two proportions'!$CD$14</definedName>
    <definedName name="tbzz7" localSheetId="6">'[4]Overlap two proportions'!$CD$14</definedName>
    <definedName name="tbzz7" localSheetId="8">'[4]Overlap two proportions'!$CD$14</definedName>
    <definedName name="tbzz7">'[4]Overlap two proportions'!$CD$14</definedName>
    <definedName name="tbzz8" localSheetId="11">'[4]Overlap two proportions'!$CD$15</definedName>
    <definedName name="tbzz8" localSheetId="9">'[4]Overlap two proportions'!$CD$15</definedName>
    <definedName name="tbzz8" localSheetId="10">'[4]Overlap two proportions'!$CD$15</definedName>
    <definedName name="tbzz8" localSheetId="5">'[4]Overlap two proportions'!$CD$15</definedName>
    <definedName name="tbzz8" localSheetId="7">'[4]Overlap two proportions'!$CD$15</definedName>
    <definedName name="tbzz8" localSheetId="12">'[5]Overlap two proportions'!$CD$15</definedName>
    <definedName name="tbzz8" localSheetId="4">'[4]Overlap two proportions'!$CD$15</definedName>
    <definedName name="tbzz8" localSheetId="3">'[4]Overlap two proportions'!$CD$15</definedName>
    <definedName name="tbzz8" localSheetId="6">'[4]Overlap two proportions'!$CD$15</definedName>
    <definedName name="tbzz8" localSheetId="8">'[4]Overlap two proportions'!$CD$15</definedName>
    <definedName name="tbzz8">'[4]Overlap two proportions'!$CD$15</definedName>
    <definedName name="tbzz9" localSheetId="11">'[4]Overlap two proportions'!$CD$16</definedName>
    <definedName name="tbzz9" localSheetId="9">'[4]Overlap two proportions'!$CD$16</definedName>
    <definedName name="tbzz9" localSheetId="10">'[4]Overlap two proportions'!$CD$16</definedName>
    <definedName name="tbzz9" localSheetId="5">'[4]Overlap two proportions'!$CD$16</definedName>
    <definedName name="tbzz9" localSheetId="7">'[4]Overlap two proportions'!$CD$16</definedName>
    <definedName name="tbzz9" localSheetId="12">'[5]Overlap two proportions'!$CD$16</definedName>
    <definedName name="tbzz9" localSheetId="4">'[4]Overlap two proportions'!$CD$16</definedName>
    <definedName name="tbzz9" localSheetId="3">'[4]Overlap two proportions'!$CD$16</definedName>
    <definedName name="tbzz9" localSheetId="6">'[4]Overlap two proportions'!$CD$16</definedName>
    <definedName name="tbzz9" localSheetId="8">'[4]Overlap two proportions'!$CD$16</definedName>
    <definedName name="tbzz9">'[4]Overlap two proportions'!$CD$16</definedName>
    <definedName name="thisisc" localSheetId="11">'[7]Precision paired'!$V$140</definedName>
    <definedName name="thisisc" localSheetId="9">'[7]Precision paired'!$V$140</definedName>
    <definedName name="thisisc" localSheetId="10">'[7]Precision paired'!$V$140</definedName>
    <definedName name="thisisc" localSheetId="5">'[7]Precision paired'!$V$140</definedName>
    <definedName name="thisisc" localSheetId="7">'[7]Precision paired'!$V$140</definedName>
    <definedName name="thisisc" localSheetId="12">'[7]Precision paired'!$V$140</definedName>
    <definedName name="thisisc" localSheetId="4">'[7]Precision paired'!$V$140</definedName>
    <definedName name="thisisc" localSheetId="3">'[7]Precision paired'!$V$140</definedName>
    <definedName name="thisisc" localSheetId="6">'[7]Precision paired'!$V$140</definedName>
    <definedName name="thisisc" localSheetId="8">'[7]Precision paired'!$V$140</definedName>
    <definedName name="thisisc">'Precision paired'!#REF!</definedName>
    <definedName name="tobez1" localSheetId="11">'[4]Overlap two proportions'!$BB$8</definedName>
    <definedName name="tobez1" localSheetId="9">'[4]Overlap two proportions'!$BB$8</definedName>
    <definedName name="tobez1" localSheetId="10">'[4]Overlap two proportions'!$BB$8</definedName>
    <definedName name="tobez1" localSheetId="5">'[4]Overlap two proportions'!$BB$8</definedName>
    <definedName name="tobez1" localSheetId="7">'[4]Overlap two proportions'!$BB$8</definedName>
    <definedName name="tobez1" localSheetId="12">'[5]Overlap two proportions'!$BB$8</definedName>
    <definedName name="tobez1" localSheetId="4">'[4]Overlap two proportions'!$BB$8</definedName>
    <definedName name="tobez1" localSheetId="3">'[4]Overlap two proportions'!$BB$8</definedName>
    <definedName name="tobez1" localSheetId="6">'[4]Overlap two proportions'!$BB$8</definedName>
    <definedName name="tobez1" localSheetId="8">'[4]Overlap two proportions'!$BB$8</definedName>
    <definedName name="tobez1">'[4]Overlap two proportions'!$BB$8</definedName>
    <definedName name="tobez10" localSheetId="11">'[4]Overlap two proportions'!$BB$17</definedName>
    <definedName name="tobez10" localSheetId="9">'[4]Overlap two proportions'!$BB$17</definedName>
    <definedName name="tobez10" localSheetId="10">'[4]Overlap two proportions'!$BB$17</definedName>
    <definedName name="tobez10" localSheetId="5">'[4]Overlap two proportions'!$BB$17</definedName>
    <definedName name="tobez10" localSheetId="7">'[4]Overlap two proportions'!$BB$17</definedName>
    <definedName name="tobez10" localSheetId="12">'[5]Overlap two proportions'!$BB$17</definedName>
    <definedName name="tobez10" localSheetId="4">'[4]Overlap two proportions'!$BB$17</definedName>
    <definedName name="tobez10" localSheetId="3">'[4]Overlap two proportions'!$BB$17</definedName>
    <definedName name="tobez10" localSheetId="6">'[4]Overlap two proportions'!$BB$17</definedName>
    <definedName name="tobez10" localSheetId="8">'[4]Overlap two proportions'!$BB$17</definedName>
    <definedName name="tobez10">'[4]Overlap two proportions'!$BB$17</definedName>
    <definedName name="tobez11" localSheetId="11">'[4]Overlap two proportions'!$BB$18</definedName>
    <definedName name="tobez11" localSheetId="9">'[4]Overlap two proportions'!$BB$18</definedName>
    <definedName name="tobez11" localSheetId="10">'[4]Overlap two proportions'!$BB$18</definedName>
    <definedName name="tobez11" localSheetId="5">'[4]Overlap two proportions'!$BB$18</definedName>
    <definedName name="tobez11" localSheetId="7">'[4]Overlap two proportions'!$BB$18</definedName>
    <definedName name="tobez11" localSheetId="12">'[5]Overlap two proportions'!$BB$18</definedName>
    <definedName name="tobez11" localSheetId="4">'[4]Overlap two proportions'!$BB$18</definedName>
    <definedName name="tobez11" localSheetId="3">'[4]Overlap two proportions'!$BB$18</definedName>
    <definedName name="tobez11" localSheetId="6">'[4]Overlap two proportions'!$BB$18</definedName>
    <definedName name="tobez11" localSheetId="8">'[4]Overlap two proportions'!$BB$18</definedName>
    <definedName name="tobez11">'[4]Overlap two proportions'!$BB$18</definedName>
    <definedName name="tobez12" localSheetId="11">'[4]Overlap two proportions'!$BB$19</definedName>
    <definedName name="tobez12" localSheetId="9">'[4]Overlap two proportions'!$BB$19</definedName>
    <definedName name="tobez12" localSheetId="10">'[4]Overlap two proportions'!$BB$19</definedName>
    <definedName name="tobez12" localSheetId="5">'[4]Overlap two proportions'!$BB$19</definedName>
    <definedName name="tobez12" localSheetId="7">'[4]Overlap two proportions'!$BB$19</definedName>
    <definedName name="tobez12" localSheetId="12">'[5]Overlap two proportions'!$BB$19</definedName>
    <definedName name="tobez12" localSheetId="4">'[4]Overlap two proportions'!$BB$19</definedName>
    <definedName name="tobez12" localSheetId="3">'[4]Overlap two proportions'!$BB$19</definedName>
    <definedName name="tobez12" localSheetId="6">'[4]Overlap two proportions'!$BB$19</definedName>
    <definedName name="tobez12" localSheetId="8">'[4]Overlap two proportions'!$BB$19</definedName>
    <definedName name="tobez12">'[4]Overlap two proportions'!$BB$19</definedName>
    <definedName name="tobez13" localSheetId="11">'[4]Overlap two proportions'!$BB$20</definedName>
    <definedName name="tobez13" localSheetId="9">'[4]Overlap two proportions'!$BB$20</definedName>
    <definedName name="tobez13" localSheetId="10">'[4]Overlap two proportions'!$BB$20</definedName>
    <definedName name="tobez13" localSheetId="5">'[4]Overlap two proportions'!$BB$20</definedName>
    <definedName name="tobez13" localSheetId="7">'[4]Overlap two proportions'!$BB$20</definedName>
    <definedName name="tobez13" localSheetId="12">'[5]Overlap two proportions'!$BB$20</definedName>
    <definedName name="tobez13" localSheetId="4">'[4]Overlap two proportions'!$BB$20</definedName>
    <definedName name="tobez13" localSheetId="3">'[4]Overlap two proportions'!$BB$20</definedName>
    <definedName name="tobez13" localSheetId="6">'[4]Overlap two proportions'!$BB$20</definedName>
    <definedName name="tobez13" localSheetId="8">'[4]Overlap two proportions'!$BB$20</definedName>
    <definedName name="tobez13">'[4]Overlap two proportions'!$BB$20</definedName>
    <definedName name="tobez14" localSheetId="11">'[4]Overlap two proportions'!$BB$21</definedName>
    <definedName name="tobez14" localSheetId="9">'[4]Overlap two proportions'!$BB$21</definedName>
    <definedName name="tobez14" localSheetId="10">'[4]Overlap two proportions'!$BB$21</definedName>
    <definedName name="tobez14" localSheetId="5">'[4]Overlap two proportions'!$BB$21</definedName>
    <definedName name="tobez14" localSheetId="7">'[4]Overlap two proportions'!$BB$21</definedName>
    <definedName name="tobez14" localSheetId="12">'[5]Overlap two proportions'!$BB$21</definedName>
    <definedName name="tobez14" localSheetId="4">'[4]Overlap two proportions'!$BB$21</definedName>
    <definedName name="tobez14" localSheetId="3">'[4]Overlap two proportions'!$BB$21</definedName>
    <definedName name="tobez14" localSheetId="6">'[4]Overlap two proportions'!$BB$21</definedName>
    <definedName name="tobez14" localSheetId="8">'[4]Overlap two proportions'!$BB$21</definedName>
    <definedName name="tobez14">'[4]Overlap two proportions'!$BB$21</definedName>
    <definedName name="tobez15" localSheetId="11">'[4]Overlap two proportions'!$BB$22</definedName>
    <definedName name="tobez15" localSheetId="9">'[4]Overlap two proportions'!$BB$22</definedName>
    <definedName name="tobez15" localSheetId="10">'[4]Overlap two proportions'!$BB$22</definedName>
    <definedName name="tobez15" localSheetId="5">'[4]Overlap two proportions'!$BB$22</definedName>
    <definedName name="tobez15" localSheetId="7">'[4]Overlap two proportions'!$BB$22</definedName>
    <definedName name="tobez15" localSheetId="12">'[5]Overlap two proportions'!$BB$22</definedName>
    <definedName name="tobez15" localSheetId="4">'[4]Overlap two proportions'!$BB$22</definedName>
    <definedName name="tobez15" localSheetId="3">'[4]Overlap two proportions'!$BB$22</definedName>
    <definedName name="tobez15" localSheetId="6">'[4]Overlap two proportions'!$BB$22</definedName>
    <definedName name="tobez15" localSheetId="8">'[4]Overlap two proportions'!$BB$22</definedName>
    <definedName name="tobez15">'[4]Overlap two proportions'!$BB$22</definedName>
    <definedName name="tobez16" localSheetId="11">'[4]Overlap two proportions'!$BB$23</definedName>
    <definedName name="tobez16" localSheetId="9">'[4]Overlap two proportions'!$BB$23</definedName>
    <definedName name="tobez16" localSheetId="10">'[4]Overlap two proportions'!$BB$23</definedName>
    <definedName name="tobez16" localSheetId="5">'[4]Overlap two proportions'!$BB$23</definedName>
    <definedName name="tobez16" localSheetId="7">'[4]Overlap two proportions'!$BB$23</definedName>
    <definedName name="tobez16" localSheetId="12">'[5]Overlap two proportions'!$BB$23</definedName>
    <definedName name="tobez16" localSheetId="4">'[4]Overlap two proportions'!$BB$23</definedName>
    <definedName name="tobez16" localSheetId="3">'[4]Overlap two proportions'!$BB$23</definedName>
    <definedName name="tobez16" localSheetId="6">'[4]Overlap two proportions'!$BB$23</definedName>
    <definedName name="tobez16" localSheetId="8">'[4]Overlap two proportions'!$BB$23</definedName>
    <definedName name="tobez16">'[4]Overlap two proportions'!$BB$23</definedName>
    <definedName name="tobez17" localSheetId="11">'[4]Overlap two proportions'!$BB$24</definedName>
    <definedName name="tobez17" localSheetId="9">'[4]Overlap two proportions'!$BB$24</definedName>
    <definedName name="tobez17" localSheetId="10">'[4]Overlap two proportions'!$BB$24</definedName>
    <definedName name="tobez17" localSheetId="5">'[4]Overlap two proportions'!$BB$24</definedName>
    <definedName name="tobez17" localSheetId="7">'[4]Overlap two proportions'!$BB$24</definedName>
    <definedName name="tobez17" localSheetId="12">'[5]Overlap two proportions'!$BB$24</definedName>
    <definedName name="tobez17" localSheetId="4">'[4]Overlap two proportions'!$BB$24</definedName>
    <definedName name="tobez17" localSheetId="3">'[4]Overlap two proportions'!$BB$24</definedName>
    <definedName name="tobez17" localSheetId="6">'[4]Overlap two proportions'!$BB$24</definedName>
    <definedName name="tobez17" localSheetId="8">'[4]Overlap two proportions'!$BB$24</definedName>
    <definedName name="tobez17">'[4]Overlap two proportions'!$BB$24</definedName>
    <definedName name="tobez18" localSheetId="11">'[4]Overlap two proportions'!$BB$25</definedName>
    <definedName name="tobez18" localSheetId="9">'[4]Overlap two proportions'!$BB$25</definedName>
    <definedName name="tobez18" localSheetId="10">'[4]Overlap two proportions'!$BB$25</definedName>
    <definedName name="tobez18" localSheetId="5">'[4]Overlap two proportions'!$BB$25</definedName>
    <definedName name="tobez18" localSheetId="7">'[4]Overlap two proportions'!$BB$25</definedName>
    <definedName name="tobez18" localSheetId="12">'[5]Overlap two proportions'!$BB$25</definedName>
    <definedName name="tobez18" localSheetId="4">'[4]Overlap two proportions'!$BB$25</definedName>
    <definedName name="tobez18" localSheetId="3">'[4]Overlap two proportions'!$BB$25</definedName>
    <definedName name="tobez18" localSheetId="6">'[4]Overlap two proportions'!$BB$25</definedName>
    <definedName name="tobez18" localSheetId="8">'[4]Overlap two proportions'!$BB$25</definedName>
    <definedName name="tobez18">'[4]Overlap two proportions'!$BB$25</definedName>
    <definedName name="tobez19" localSheetId="11">'[4]Overlap two proportions'!$BB$26</definedName>
    <definedName name="tobez19" localSheetId="9">'[4]Overlap two proportions'!$BB$26</definedName>
    <definedName name="tobez19" localSheetId="10">'[4]Overlap two proportions'!$BB$26</definedName>
    <definedName name="tobez19" localSheetId="5">'[4]Overlap two proportions'!$BB$26</definedName>
    <definedName name="tobez19" localSheetId="7">'[4]Overlap two proportions'!$BB$26</definedName>
    <definedName name="tobez19" localSheetId="12">'[5]Overlap two proportions'!$BB$26</definedName>
    <definedName name="tobez19" localSheetId="4">'[4]Overlap two proportions'!$BB$26</definedName>
    <definedName name="tobez19" localSheetId="3">'[4]Overlap two proportions'!$BB$26</definedName>
    <definedName name="tobez19" localSheetId="6">'[4]Overlap two proportions'!$BB$26</definedName>
    <definedName name="tobez19" localSheetId="8">'[4]Overlap two proportions'!$BB$26</definedName>
    <definedName name="tobez19">'[4]Overlap two proportions'!$BB$26</definedName>
    <definedName name="tobez2" localSheetId="11">'[4]Overlap two proportions'!$BB$9</definedName>
    <definedName name="tobez2" localSheetId="9">'[4]Overlap two proportions'!$BB$9</definedName>
    <definedName name="tobez2" localSheetId="10">'[4]Overlap two proportions'!$BB$9</definedName>
    <definedName name="tobez2" localSheetId="5">'[4]Overlap two proportions'!$BB$9</definedName>
    <definedName name="tobez2" localSheetId="7">'[4]Overlap two proportions'!$BB$9</definedName>
    <definedName name="tobez2" localSheetId="12">'[5]Overlap two proportions'!$BB$9</definedName>
    <definedName name="tobez2" localSheetId="4">'[4]Overlap two proportions'!$BB$9</definedName>
    <definedName name="tobez2" localSheetId="3">'[4]Overlap two proportions'!$BB$9</definedName>
    <definedName name="tobez2" localSheetId="6">'[4]Overlap two proportions'!$BB$9</definedName>
    <definedName name="tobez2" localSheetId="8">'[4]Overlap two proportions'!$BB$9</definedName>
    <definedName name="tobez2">'[4]Overlap two proportions'!$BB$9</definedName>
    <definedName name="tobez20" localSheetId="11">'[4]Overlap two proportions'!$BB$27</definedName>
    <definedName name="tobez20" localSheetId="9">'[4]Overlap two proportions'!$BB$27</definedName>
    <definedName name="tobez20" localSheetId="10">'[4]Overlap two proportions'!$BB$27</definedName>
    <definedName name="tobez20" localSheetId="5">'[4]Overlap two proportions'!$BB$27</definedName>
    <definedName name="tobez20" localSheetId="7">'[4]Overlap two proportions'!$BB$27</definedName>
    <definedName name="tobez20" localSheetId="12">'[5]Overlap two proportions'!$BB$27</definedName>
    <definedName name="tobez20" localSheetId="4">'[4]Overlap two proportions'!$BB$27</definedName>
    <definedName name="tobez20" localSheetId="3">'[4]Overlap two proportions'!$BB$27</definedName>
    <definedName name="tobez20" localSheetId="6">'[4]Overlap two proportions'!$BB$27</definedName>
    <definedName name="tobez20" localSheetId="8">'[4]Overlap two proportions'!$BB$27</definedName>
    <definedName name="tobez20">'[4]Overlap two proportions'!$BB$27</definedName>
    <definedName name="tobez21" localSheetId="11">'[4]Overlap two proportions'!$BB$28</definedName>
    <definedName name="tobez21" localSheetId="9">'[4]Overlap two proportions'!$BB$28</definedName>
    <definedName name="tobez21" localSheetId="10">'[4]Overlap two proportions'!$BB$28</definedName>
    <definedName name="tobez21" localSheetId="5">'[4]Overlap two proportions'!$BB$28</definedName>
    <definedName name="tobez21" localSheetId="7">'[4]Overlap two proportions'!$BB$28</definedName>
    <definedName name="tobez21" localSheetId="12">'[5]Overlap two proportions'!$BB$28</definedName>
    <definedName name="tobez21" localSheetId="4">'[4]Overlap two proportions'!$BB$28</definedName>
    <definedName name="tobez21" localSheetId="3">'[4]Overlap two proportions'!$BB$28</definedName>
    <definedName name="tobez21" localSheetId="6">'[4]Overlap two proportions'!$BB$28</definedName>
    <definedName name="tobez21" localSheetId="8">'[4]Overlap two proportions'!$BB$28</definedName>
    <definedName name="tobez21">'[4]Overlap two proportions'!$BB$28</definedName>
    <definedName name="tobez22" localSheetId="11">'[4]Overlap two proportions'!$BB$29</definedName>
    <definedName name="tobez22" localSheetId="9">'[4]Overlap two proportions'!$BB$29</definedName>
    <definedName name="tobez22" localSheetId="10">'[4]Overlap two proportions'!$BB$29</definedName>
    <definedName name="tobez22" localSheetId="5">'[4]Overlap two proportions'!$BB$29</definedName>
    <definedName name="tobez22" localSheetId="7">'[4]Overlap two proportions'!$BB$29</definedName>
    <definedName name="tobez22" localSheetId="12">'[5]Overlap two proportions'!$BB$29</definedName>
    <definedName name="tobez22" localSheetId="4">'[4]Overlap two proportions'!$BB$29</definedName>
    <definedName name="tobez22" localSheetId="3">'[4]Overlap two proportions'!$BB$29</definedName>
    <definedName name="tobez22" localSheetId="6">'[4]Overlap two proportions'!$BB$29</definedName>
    <definedName name="tobez22" localSheetId="8">'[4]Overlap two proportions'!$BB$29</definedName>
    <definedName name="tobez22">'[4]Overlap two proportions'!$BB$29</definedName>
    <definedName name="tobez23" localSheetId="11">'[4]Overlap two proportions'!$BB$30</definedName>
    <definedName name="tobez23" localSheetId="9">'[4]Overlap two proportions'!$BB$30</definedName>
    <definedName name="tobez23" localSheetId="10">'[4]Overlap two proportions'!$BB$30</definedName>
    <definedName name="tobez23" localSheetId="5">'[4]Overlap two proportions'!$BB$30</definedName>
    <definedName name="tobez23" localSheetId="7">'[4]Overlap two proportions'!$BB$30</definedName>
    <definedName name="tobez23" localSheetId="12">'[5]Overlap two proportions'!$BB$30</definedName>
    <definedName name="tobez23" localSheetId="4">'[4]Overlap two proportions'!$BB$30</definedName>
    <definedName name="tobez23" localSheetId="3">'[4]Overlap two proportions'!$BB$30</definedName>
    <definedName name="tobez23" localSheetId="6">'[4]Overlap two proportions'!$BB$30</definedName>
    <definedName name="tobez23" localSheetId="8">'[4]Overlap two proportions'!$BB$30</definedName>
    <definedName name="tobez23">'[4]Overlap two proportions'!$BB$30</definedName>
    <definedName name="tobez24" localSheetId="11">'[4]Overlap two proportions'!$BB$31</definedName>
    <definedName name="tobez24" localSheetId="9">'[4]Overlap two proportions'!$BB$31</definedName>
    <definedName name="tobez24" localSheetId="10">'[4]Overlap two proportions'!$BB$31</definedName>
    <definedName name="tobez24" localSheetId="5">'[4]Overlap two proportions'!$BB$31</definedName>
    <definedName name="tobez24" localSheetId="7">'[4]Overlap two proportions'!$BB$31</definedName>
    <definedName name="tobez24" localSheetId="12">'[5]Overlap two proportions'!$BB$31</definedName>
    <definedName name="tobez24" localSheetId="4">'[4]Overlap two proportions'!$BB$31</definedName>
    <definedName name="tobez24" localSheetId="3">'[4]Overlap two proportions'!$BB$31</definedName>
    <definedName name="tobez24" localSheetId="6">'[4]Overlap two proportions'!$BB$31</definedName>
    <definedName name="tobez24" localSheetId="8">'[4]Overlap two proportions'!$BB$31</definedName>
    <definedName name="tobez24">'[4]Overlap two proportions'!$BB$31</definedName>
    <definedName name="tobez25" localSheetId="11">'[4]Overlap two proportions'!$BB$32</definedName>
    <definedName name="tobez25" localSheetId="9">'[4]Overlap two proportions'!$BB$32</definedName>
    <definedName name="tobez25" localSheetId="10">'[4]Overlap two proportions'!$BB$32</definedName>
    <definedName name="tobez25" localSheetId="5">'[4]Overlap two proportions'!$BB$32</definedName>
    <definedName name="tobez25" localSheetId="7">'[4]Overlap two proportions'!$BB$32</definedName>
    <definedName name="tobez25" localSheetId="12">'[5]Overlap two proportions'!$BB$32</definedName>
    <definedName name="tobez25" localSheetId="4">'[4]Overlap two proportions'!$BB$32</definedName>
    <definedName name="tobez25" localSheetId="3">'[4]Overlap two proportions'!$BB$32</definedName>
    <definedName name="tobez25" localSheetId="6">'[4]Overlap two proportions'!$BB$32</definedName>
    <definedName name="tobez25" localSheetId="8">'[4]Overlap two proportions'!$BB$32</definedName>
    <definedName name="tobez25">'[4]Overlap two proportions'!$BB$32</definedName>
    <definedName name="tobez26" localSheetId="11">'[4]Overlap two proportions'!$BB$33</definedName>
    <definedName name="tobez26" localSheetId="9">'[4]Overlap two proportions'!$BB$33</definedName>
    <definedName name="tobez26" localSheetId="10">'[4]Overlap two proportions'!$BB$33</definedName>
    <definedName name="tobez26" localSheetId="5">'[4]Overlap two proportions'!$BB$33</definedName>
    <definedName name="tobez26" localSheetId="7">'[4]Overlap two proportions'!$BB$33</definedName>
    <definedName name="tobez26" localSheetId="12">'[5]Overlap two proportions'!$BB$33</definedName>
    <definedName name="tobez26" localSheetId="4">'[4]Overlap two proportions'!$BB$33</definedName>
    <definedName name="tobez26" localSheetId="3">'[4]Overlap two proportions'!$BB$33</definedName>
    <definedName name="tobez26" localSheetId="6">'[4]Overlap two proportions'!$BB$33</definedName>
    <definedName name="tobez26" localSheetId="8">'[4]Overlap two proportions'!$BB$33</definedName>
    <definedName name="tobez26">'[4]Overlap two proportions'!$BB$33</definedName>
    <definedName name="tobez27" localSheetId="11">'[4]Overlap two proportions'!$BB$34</definedName>
    <definedName name="tobez27" localSheetId="9">'[4]Overlap two proportions'!$BB$34</definedName>
    <definedName name="tobez27" localSheetId="10">'[4]Overlap two proportions'!$BB$34</definedName>
    <definedName name="tobez27" localSheetId="5">'[4]Overlap two proportions'!$BB$34</definedName>
    <definedName name="tobez27" localSheetId="7">'[4]Overlap two proportions'!$BB$34</definedName>
    <definedName name="tobez27" localSheetId="12">'[5]Overlap two proportions'!$BB$34</definedName>
    <definedName name="tobez27" localSheetId="4">'[4]Overlap two proportions'!$BB$34</definedName>
    <definedName name="tobez27" localSheetId="3">'[4]Overlap two proportions'!$BB$34</definedName>
    <definedName name="tobez27" localSheetId="6">'[4]Overlap two proportions'!$BB$34</definedName>
    <definedName name="tobez27" localSheetId="8">'[4]Overlap two proportions'!$BB$34</definedName>
    <definedName name="tobez27">'[4]Overlap two proportions'!$BB$34</definedName>
    <definedName name="tobez28" localSheetId="11">'[4]Overlap two proportions'!$BB$35</definedName>
    <definedName name="tobez28" localSheetId="9">'[4]Overlap two proportions'!$BB$35</definedName>
    <definedName name="tobez28" localSheetId="10">'[4]Overlap two proportions'!$BB$35</definedName>
    <definedName name="tobez28" localSheetId="5">'[4]Overlap two proportions'!$BB$35</definedName>
    <definedName name="tobez28" localSheetId="7">'[4]Overlap two proportions'!$BB$35</definedName>
    <definedName name="tobez28" localSheetId="12">'[5]Overlap two proportions'!$BB$35</definedName>
    <definedName name="tobez28" localSheetId="4">'[4]Overlap two proportions'!$BB$35</definedName>
    <definedName name="tobez28" localSheetId="3">'[4]Overlap two proportions'!$BB$35</definedName>
    <definedName name="tobez28" localSheetId="6">'[4]Overlap two proportions'!$BB$35</definedName>
    <definedName name="tobez28" localSheetId="8">'[4]Overlap two proportions'!$BB$35</definedName>
    <definedName name="tobez28">'[4]Overlap two proportions'!$BB$35</definedName>
    <definedName name="tobez29" localSheetId="11">'[4]Overlap two proportions'!$BB$36</definedName>
    <definedName name="tobez29" localSheetId="9">'[4]Overlap two proportions'!$BB$36</definedName>
    <definedName name="tobez29" localSheetId="10">'[4]Overlap two proportions'!$BB$36</definedName>
    <definedName name="tobez29" localSheetId="5">'[4]Overlap two proportions'!$BB$36</definedName>
    <definedName name="tobez29" localSheetId="7">'[4]Overlap two proportions'!$BB$36</definedName>
    <definedName name="tobez29" localSheetId="12">'[5]Overlap two proportions'!$BB$36</definedName>
    <definedName name="tobez29" localSheetId="4">'[4]Overlap two proportions'!$BB$36</definedName>
    <definedName name="tobez29" localSheetId="3">'[4]Overlap two proportions'!$BB$36</definedName>
    <definedName name="tobez29" localSheetId="6">'[4]Overlap two proportions'!$BB$36</definedName>
    <definedName name="tobez29" localSheetId="8">'[4]Overlap two proportions'!$BB$36</definedName>
    <definedName name="tobez29">'[4]Overlap two proportions'!$BB$36</definedName>
    <definedName name="tobez3" localSheetId="11">'[4]Overlap two proportions'!$BB$10</definedName>
    <definedName name="tobez3" localSheetId="9">'[4]Overlap two proportions'!$BB$10</definedName>
    <definedName name="tobez3" localSheetId="10">'[4]Overlap two proportions'!$BB$10</definedName>
    <definedName name="tobez3" localSheetId="5">'[4]Overlap two proportions'!$BB$10</definedName>
    <definedName name="tobez3" localSheetId="7">'[4]Overlap two proportions'!$BB$10</definedName>
    <definedName name="tobez3" localSheetId="12">'[5]Overlap two proportions'!$BB$10</definedName>
    <definedName name="tobez3" localSheetId="4">'[4]Overlap two proportions'!$BB$10</definedName>
    <definedName name="tobez3" localSheetId="3">'[4]Overlap two proportions'!$BB$10</definedName>
    <definedName name="tobez3" localSheetId="6">'[4]Overlap two proportions'!$BB$10</definedName>
    <definedName name="tobez3" localSheetId="8">'[4]Overlap two proportions'!$BB$10</definedName>
    <definedName name="tobez3">'[4]Overlap two proportions'!$BB$10</definedName>
    <definedName name="tobez30" localSheetId="11">'[4]Overlap two proportions'!$BB$37</definedName>
    <definedName name="tobez30" localSheetId="9">'[4]Overlap two proportions'!$BB$37</definedName>
    <definedName name="tobez30" localSheetId="10">'[4]Overlap two proportions'!$BB$37</definedName>
    <definedName name="tobez30" localSheetId="5">'[4]Overlap two proportions'!$BB$37</definedName>
    <definedName name="tobez30" localSheetId="7">'[4]Overlap two proportions'!$BB$37</definedName>
    <definedName name="tobez30" localSheetId="12">'[5]Overlap two proportions'!$BB$37</definedName>
    <definedName name="tobez30" localSheetId="4">'[4]Overlap two proportions'!$BB$37</definedName>
    <definedName name="tobez30" localSheetId="3">'[4]Overlap two proportions'!$BB$37</definedName>
    <definedName name="tobez30" localSheetId="6">'[4]Overlap two proportions'!$BB$37</definedName>
    <definedName name="tobez30" localSheetId="8">'[4]Overlap two proportions'!$BB$37</definedName>
    <definedName name="tobez30">'[4]Overlap two proportions'!$BB$37</definedName>
    <definedName name="tobez31" localSheetId="11">'[4]Overlap two proportions'!$BB$38</definedName>
    <definedName name="tobez31" localSheetId="9">'[4]Overlap two proportions'!$BB$38</definedName>
    <definedName name="tobez31" localSheetId="10">'[4]Overlap two proportions'!$BB$38</definedName>
    <definedName name="tobez31" localSheetId="5">'[4]Overlap two proportions'!$BB$38</definedName>
    <definedName name="tobez31" localSheetId="7">'[4]Overlap two proportions'!$BB$38</definedName>
    <definedName name="tobez31" localSheetId="12">'[5]Overlap two proportions'!$BB$38</definedName>
    <definedName name="tobez31" localSheetId="4">'[4]Overlap two proportions'!$BB$38</definedName>
    <definedName name="tobez31" localSheetId="3">'[4]Overlap two proportions'!$BB$38</definedName>
    <definedName name="tobez31" localSheetId="6">'[4]Overlap two proportions'!$BB$38</definedName>
    <definedName name="tobez31" localSheetId="8">'[4]Overlap two proportions'!$BB$38</definedName>
    <definedName name="tobez31">'[4]Overlap two proportions'!$BB$38</definedName>
    <definedName name="tobez32" localSheetId="11">'[4]Overlap two proportions'!$BB$39</definedName>
    <definedName name="tobez32" localSheetId="9">'[4]Overlap two proportions'!$BB$39</definedName>
    <definedName name="tobez32" localSheetId="10">'[4]Overlap two proportions'!$BB$39</definedName>
    <definedName name="tobez32" localSheetId="5">'[4]Overlap two proportions'!$BB$39</definedName>
    <definedName name="tobez32" localSheetId="7">'[4]Overlap two proportions'!$BB$39</definedName>
    <definedName name="tobez32" localSheetId="12">'[5]Overlap two proportions'!$BB$39</definedName>
    <definedName name="tobez32" localSheetId="4">'[4]Overlap two proportions'!$BB$39</definedName>
    <definedName name="tobez32" localSheetId="3">'[4]Overlap two proportions'!$BB$39</definedName>
    <definedName name="tobez32" localSheetId="6">'[4]Overlap two proportions'!$BB$39</definedName>
    <definedName name="tobez32" localSheetId="8">'[4]Overlap two proportions'!$BB$39</definedName>
    <definedName name="tobez32">'[4]Overlap two proportions'!$BB$39</definedName>
    <definedName name="tobez33" localSheetId="11">'[4]Overlap two proportions'!$BB$40</definedName>
    <definedName name="tobez33" localSheetId="9">'[4]Overlap two proportions'!$BB$40</definedName>
    <definedName name="tobez33" localSheetId="10">'[4]Overlap two proportions'!$BB$40</definedName>
    <definedName name="tobez33" localSheetId="5">'[4]Overlap two proportions'!$BB$40</definedName>
    <definedName name="tobez33" localSheetId="7">'[4]Overlap two proportions'!$BB$40</definedName>
    <definedName name="tobez33" localSheetId="12">'[5]Overlap two proportions'!$BB$40</definedName>
    <definedName name="tobez33" localSheetId="4">'[4]Overlap two proportions'!$BB$40</definedName>
    <definedName name="tobez33" localSheetId="3">'[4]Overlap two proportions'!$BB$40</definedName>
    <definedName name="tobez33" localSheetId="6">'[4]Overlap two proportions'!$BB$40</definedName>
    <definedName name="tobez33" localSheetId="8">'[4]Overlap two proportions'!$BB$40</definedName>
    <definedName name="tobez33">'[4]Overlap two proportions'!$BB$40</definedName>
    <definedName name="tobez34" localSheetId="11">'[4]Overlap two proportions'!$BB$41</definedName>
    <definedName name="tobez34" localSheetId="9">'[4]Overlap two proportions'!$BB$41</definedName>
    <definedName name="tobez34" localSheetId="10">'[4]Overlap two proportions'!$BB$41</definedName>
    <definedName name="tobez34" localSheetId="5">'[4]Overlap two proportions'!$BB$41</definedName>
    <definedName name="tobez34" localSheetId="7">'[4]Overlap two proportions'!$BB$41</definedName>
    <definedName name="tobez34" localSheetId="12">'[5]Overlap two proportions'!$BB$41</definedName>
    <definedName name="tobez34" localSheetId="4">'[4]Overlap two proportions'!$BB$41</definedName>
    <definedName name="tobez34" localSheetId="3">'[4]Overlap two proportions'!$BB$41</definedName>
    <definedName name="tobez34" localSheetId="6">'[4]Overlap two proportions'!$BB$41</definedName>
    <definedName name="tobez34" localSheetId="8">'[4]Overlap two proportions'!$BB$41</definedName>
    <definedName name="tobez34">'[4]Overlap two proportions'!$BB$41</definedName>
    <definedName name="tobez35" localSheetId="11">'[4]Overlap two proportions'!$BB$42</definedName>
    <definedName name="tobez35" localSheetId="9">'[4]Overlap two proportions'!$BB$42</definedName>
    <definedName name="tobez35" localSheetId="10">'[4]Overlap two proportions'!$BB$42</definedName>
    <definedName name="tobez35" localSheetId="5">'[4]Overlap two proportions'!$BB$42</definedName>
    <definedName name="tobez35" localSheetId="7">'[4]Overlap two proportions'!$BB$42</definedName>
    <definedName name="tobez35" localSheetId="12">'[5]Overlap two proportions'!$BB$42</definedName>
    <definedName name="tobez35" localSheetId="4">'[4]Overlap two proportions'!$BB$42</definedName>
    <definedName name="tobez35" localSheetId="3">'[4]Overlap two proportions'!$BB$42</definedName>
    <definedName name="tobez35" localSheetId="6">'[4]Overlap two proportions'!$BB$42</definedName>
    <definedName name="tobez35" localSheetId="8">'[4]Overlap two proportions'!$BB$42</definedName>
    <definedName name="tobez35">'[4]Overlap two proportions'!$BB$42</definedName>
    <definedName name="tobez36" localSheetId="11">'[4]Overlap two proportions'!$BB$43</definedName>
    <definedName name="tobez36" localSheetId="9">'[4]Overlap two proportions'!$BB$43</definedName>
    <definedName name="tobez36" localSheetId="10">'[4]Overlap two proportions'!$BB$43</definedName>
    <definedName name="tobez36" localSheetId="5">'[4]Overlap two proportions'!$BB$43</definedName>
    <definedName name="tobez36" localSheetId="7">'[4]Overlap two proportions'!$BB$43</definedName>
    <definedName name="tobez36" localSheetId="12">'[5]Overlap two proportions'!$BB$43</definedName>
    <definedName name="tobez36" localSheetId="4">'[4]Overlap two proportions'!$BB$43</definedName>
    <definedName name="tobez36" localSheetId="3">'[4]Overlap two proportions'!$BB$43</definedName>
    <definedName name="tobez36" localSheetId="6">'[4]Overlap two proportions'!$BB$43</definedName>
    <definedName name="tobez36" localSheetId="8">'[4]Overlap two proportions'!$BB$43</definedName>
    <definedName name="tobez36">'[4]Overlap two proportions'!$BB$43</definedName>
    <definedName name="tobez37" localSheetId="11">'[4]Overlap two proportions'!$BB$44</definedName>
    <definedName name="tobez37" localSheetId="9">'[4]Overlap two proportions'!$BB$44</definedName>
    <definedName name="tobez37" localSheetId="10">'[4]Overlap two proportions'!$BB$44</definedName>
    <definedName name="tobez37" localSheetId="5">'[4]Overlap two proportions'!$BB$44</definedName>
    <definedName name="tobez37" localSheetId="7">'[4]Overlap two proportions'!$BB$44</definedName>
    <definedName name="tobez37" localSheetId="12">'[5]Overlap two proportions'!$BB$44</definedName>
    <definedName name="tobez37" localSheetId="4">'[4]Overlap two proportions'!$BB$44</definedName>
    <definedName name="tobez37" localSheetId="3">'[4]Overlap two proportions'!$BB$44</definedName>
    <definedName name="tobez37" localSheetId="6">'[4]Overlap two proportions'!$BB$44</definedName>
    <definedName name="tobez37" localSheetId="8">'[4]Overlap two proportions'!$BB$44</definedName>
    <definedName name="tobez37">'[4]Overlap two proportions'!$BB$44</definedName>
    <definedName name="tobez38" localSheetId="11">'[4]Overlap two proportions'!$BB$45</definedName>
    <definedName name="tobez38" localSheetId="9">'[4]Overlap two proportions'!$BB$45</definedName>
    <definedName name="tobez38" localSheetId="10">'[4]Overlap two proportions'!$BB$45</definedName>
    <definedName name="tobez38" localSheetId="5">'[4]Overlap two proportions'!$BB$45</definedName>
    <definedName name="tobez38" localSheetId="7">'[4]Overlap two proportions'!$BB$45</definedName>
    <definedName name="tobez38" localSheetId="12">'[5]Overlap two proportions'!$BB$45</definedName>
    <definedName name="tobez38" localSheetId="4">'[4]Overlap two proportions'!$BB$45</definedName>
    <definedName name="tobez38" localSheetId="3">'[4]Overlap two proportions'!$BB$45</definedName>
    <definedName name="tobez38" localSheetId="6">'[4]Overlap two proportions'!$BB$45</definedName>
    <definedName name="tobez38" localSheetId="8">'[4]Overlap two proportions'!$BB$45</definedName>
    <definedName name="tobez38">'[4]Overlap two proportions'!$BB$45</definedName>
    <definedName name="tobez39" localSheetId="11">'[4]Overlap two proportions'!$BB$46</definedName>
    <definedName name="tobez39" localSheetId="9">'[4]Overlap two proportions'!$BB$46</definedName>
    <definedName name="tobez39" localSheetId="10">'[4]Overlap two proportions'!$BB$46</definedName>
    <definedName name="tobez39" localSheetId="5">'[4]Overlap two proportions'!$BB$46</definedName>
    <definedName name="tobez39" localSheetId="7">'[4]Overlap two proportions'!$BB$46</definedName>
    <definedName name="tobez39" localSheetId="12">'[5]Overlap two proportions'!$BB$46</definedName>
    <definedName name="tobez39" localSheetId="4">'[4]Overlap two proportions'!$BB$46</definedName>
    <definedName name="tobez39" localSheetId="3">'[4]Overlap two proportions'!$BB$46</definedName>
    <definedName name="tobez39" localSheetId="6">'[4]Overlap two proportions'!$BB$46</definedName>
    <definedName name="tobez39" localSheetId="8">'[4]Overlap two proportions'!$BB$46</definedName>
    <definedName name="tobez39">'[4]Overlap two proportions'!$BB$46</definedName>
    <definedName name="tobez4" localSheetId="11">'[4]Overlap two proportions'!$BB$11</definedName>
    <definedName name="tobez4" localSheetId="9">'[4]Overlap two proportions'!$BB$11</definedName>
    <definedName name="tobez4" localSheetId="10">'[4]Overlap two proportions'!$BB$11</definedName>
    <definedName name="tobez4" localSheetId="5">'[4]Overlap two proportions'!$BB$11</definedName>
    <definedName name="tobez4" localSheetId="7">'[4]Overlap two proportions'!$BB$11</definedName>
    <definedName name="tobez4" localSheetId="12">'[5]Overlap two proportions'!$BB$11</definedName>
    <definedName name="tobez4" localSheetId="4">'[4]Overlap two proportions'!$BB$11</definedName>
    <definedName name="tobez4" localSheetId="3">'[4]Overlap two proportions'!$BB$11</definedName>
    <definedName name="tobez4" localSheetId="6">'[4]Overlap two proportions'!$BB$11</definedName>
    <definedName name="tobez4" localSheetId="8">'[4]Overlap two proportions'!$BB$11</definedName>
    <definedName name="tobez4">'[4]Overlap two proportions'!$BB$11</definedName>
    <definedName name="tobez40" localSheetId="11">'[4]Overlap two proportions'!$BB$47</definedName>
    <definedName name="tobez40" localSheetId="9">'[4]Overlap two proportions'!$BB$47</definedName>
    <definedName name="tobez40" localSheetId="10">'[4]Overlap two proportions'!$BB$47</definedName>
    <definedName name="tobez40" localSheetId="5">'[4]Overlap two proportions'!$BB$47</definedName>
    <definedName name="tobez40" localSheetId="7">'[4]Overlap two proportions'!$BB$47</definedName>
    <definedName name="tobez40" localSheetId="12">'[5]Overlap two proportions'!$BB$47</definedName>
    <definedName name="tobez40" localSheetId="4">'[4]Overlap two proportions'!$BB$47</definedName>
    <definedName name="tobez40" localSheetId="3">'[4]Overlap two proportions'!$BB$47</definedName>
    <definedName name="tobez40" localSheetId="6">'[4]Overlap two proportions'!$BB$47</definedName>
    <definedName name="tobez40" localSheetId="8">'[4]Overlap two proportions'!$BB$47</definedName>
    <definedName name="tobez40">'[4]Overlap two proportions'!$BB$47</definedName>
    <definedName name="tobez41" localSheetId="11">'[4]Overlap two proportions'!$BB$48</definedName>
    <definedName name="tobez41" localSheetId="9">'[4]Overlap two proportions'!$BB$48</definedName>
    <definedName name="tobez41" localSheetId="10">'[4]Overlap two proportions'!$BB$48</definedName>
    <definedName name="tobez41" localSheetId="5">'[4]Overlap two proportions'!$BB$48</definedName>
    <definedName name="tobez41" localSheetId="7">'[4]Overlap two proportions'!$BB$48</definedName>
    <definedName name="tobez41" localSheetId="12">'[5]Overlap two proportions'!$BB$48</definedName>
    <definedName name="tobez41" localSheetId="4">'[4]Overlap two proportions'!$BB$48</definedName>
    <definedName name="tobez41" localSheetId="3">'[4]Overlap two proportions'!$BB$48</definedName>
    <definedName name="tobez41" localSheetId="6">'[4]Overlap two proportions'!$BB$48</definedName>
    <definedName name="tobez41" localSheetId="8">'[4]Overlap two proportions'!$BB$48</definedName>
    <definedName name="tobez41">'[4]Overlap two proportions'!$BB$48</definedName>
    <definedName name="tobez42" localSheetId="11">'[4]Overlap two proportions'!$BB$49</definedName>
    <definedName name="tobez42" localSheetId="9">'[4]Overlap two proportions'!$BB$49</definedName>
    <definedName name="tobez42" localSheetId="10">'[4]Overlap two proportions'!$BB$49</definedName>
    <definedName name="tobez42" localSheetId="5">'[4]Overlap two proportions'!$BB$49</definedName>
    <definedName name="tobez42" localSheetId="7">'[4]Overlap two proportions'!$BB$49</definedName>
    <definedName name="tobez42" localSheetId="12">'[5]Overlap two proportions'!$BB$49</definedName>
    <definedName name="tobez42" localSheetId="4">'[4]Overlap two proportions'!$BB$49</definedName>
    <definedName name="tobez42" localSheetId="3">'[4]Overlap two proportions'!$BB$49</definedName>
    <definedName name="tobez42" localSheetId="6">'[4]Overlap two proportions'!$BB$49</definedName>
    <definedName name="tobez42" localSheetId="8">'[4]Overlap two proportions'!$BB$49</definedName>
    <definedName name="tobez42">'[4]Overlap two proportions'!$BB$49</definedName>
    <definedName name="tobez43" localSheetId="11">'[4]Overlap two proportions'!$BB$50</definedName>
    <definedName name="tobez43" localSheetId="9">'[4]Overlap two proportions'!$BB$50</definedName>
    <definedName name="tobez43" localSheetId="10">'[4]Overlap two proportions'!$BB$50</definedName>
    <definedName name="tobez43" localSheetId="5">'[4]Overlap two proportions'!$BB$50</definedName>
    <definedName name="tobez43" localSheetId="7">'[4]Overlap two proportions'!$BB$50</definedName>
    <definedName name="tobez43" localSheetId="12">'[5]Overlap two proportions'!$BB$50</definedName>
    <definedName name="tobez43" localSheetId="4">'[4]Overlap two proportions'!$BB$50</definedName>
    <definedName name="tobez43" localSheetId="3">'[4]Overlap two proportions'!$BB$50</definedName>
    <definedName name="tobez43" localSheetId="6">'[4]Overlap two proportions'!$BB$50</definedName>
    <definedName name="tobez43" localSheetId="8">'[4]Overlap two proportions'!$BB$50</definedName>
    <definedName name="tobez43">'[4]Overlap two proportions'!$BB$50</definedName>
    <definedName name="tobez44" localSheetId="11">'[4]Overlap two proportions'!$BB$51</definedName>
    <definedName name="tobez44" localSheetId="9">'[4]Overlap two proportions'!$BB$51</definedName>
    <definedName name="tobez44" localSheetId="10">'[4]Overlap two proportions'!$BB$51</definedName>
    <definedName name="tobez44" localSheetId="5">'[4]Overlap two proportions'!$BB$51</definedName>
    <definedName name="tobez44" localSheetId="7">'[4]Overlap two proportions'!$BB$51</definedName>
    <definedName name="tobez44" localSheetId="12">'[5]Overlap two proportions'!$BB$51</definedName>
    <definedName name="tobez44" localSheetId="4">'[4]Overlap two proportions'!$BB$51</definedName>
    <definedName name="tobez44" localSheetId="3">'[4]Overlap two proportions'!$BB$51</definedName>
    <definedName name="tobez44" localSheetId="6">'[4]Overlap two proportions'!$BB$51</definedName>
    <definedName name="tobez44" localSheetId="8">'[4]Overlap two proportions'!$BB$51</definedName>
    <definedName name="tobez44">'[4]Overlap two proportions'!$BB$51</definedName>
    <definedName name="tobez45" localSheetId="11">'[4]Overlap two proportions'!$BB$52</definedName>
    <definedName name="tobez45" localSheetId="9">'[4]Overlap two proportions'!$BB$52</definedName>
    <definedName name="tobez45" localSheetId="10">'[4]Overlap two proportions'!$BB$52</definedName>
    <definedName name="tobez45" localSheetId="5">'[4]Overlap two proportions'!$BB$52</definedName>
    <definedName name="tobez45" localSheetId="7">'[4]Overlap two proportions'!$BB$52</definedName>
    <definedName name="tobez45" localSheetId="12">'[5]Overlap two proportions'!$BB$52</definedName>
    <definedName name="tobez45" localSheetId="4">'[4]Overlap two proportions'!$BB$52</definedName>
    <definedName name="tobez45" localSheetId="3">'[4]Overlap two proportions'!$BB$52</definedName>
    <definedName name="tobez45" localSheetId="6">'[4]Overlap two proportions'!$BB$52</definedName>
    <definedName name="tobez45" localSheetId="8">'[4]Overlap two proportions'!$BB$52</definedName>
    <definedName name="tobez45">'[4]Overlap two proportions'!$BB$52</definedName>
    <definedName name="tobez46" localSheetId="11">'[4]Overlap two proportions'!$BB$53</definedName>
    <definedName name="tobez46" localSheetId="9">'[4]Overlap two proportions'!$BB$53</definedName>
    <definedName name="tobez46" localSheetId="10">'[4]Overlap two proportions'!$BB$53</definedName>
    <definedName name="tobez46" localSheetId="5">'[4]Overlap two proportions'!$BB$53</definedName>
    <definedName name="tobez46" localSheetId="7">'[4]Overlap two proportions'!$BB$53</definedName>
    <definedName name="tobez46" localSheetId="12">'[5]Overlap two proportions'!$BB$53</definedName>
    <definedName name="tobez46" localSheetId="4">'[4]Overlap two proportions'!$BB$53</definedName>
    <definedName name="tobez46" localSheetId="3">'[4]Overlap two proportions'!$BB$53</definedName>
    <definedName name="tobez46" localSheetId="6">'[4]Overlap two proportions'!$BB$53</definedName>
    <definedName name="tobez46" localSheetId="8">'[4]Overlap two proportions'!$BB$53</definedName>
    <definedName name="tobez46">'[4]Overlap two proportions'!$BB$53</definedName>
    <definedName name="tobez47" localSheetId="11">'[4]Overlap two proportions'!$BB$54</definedName>
    <definedName name="tobez47" localSheetId="9">'[4]Overlap two proportions'!$BB$54</definedName>
    <definedName name="tobez47" localSheetId="10">'[4]Overlap two proportions'!$BB$54</definedName>
    <definedName name="tobez47" localSheetId="5">'[4]Overlap two proportions'!$BB$54</definedName>
    <definedName name="tobez47" localSheetId="7">'[4]Overlap two proportions'!$BB$54</definedName>
    <definedName name="tobez47" localSheetId="12">'[5]Overlap two proportions'!$BB$54</definedName>
    <definedName name="tobez47" localSheetId="4">'[4]Overlap two proportions'!$BB$54</definedName>
    <definedName name="tobez47" localSheetId="3">'[4]Overlap two proportions'!$BB$54</definedName>
    <definedName name="tobez47" localSheetId="6">'[4]Overlap two proportions'!$BB$54</definedName>
    <definedName name="tobez47" localSheetId="8">'[4]Overlap two proportions'!$BB$54</definedName>
    <definedName name="tobez47">'[4]Overlap two proportions'!$BB$54</definedName>
    <definedName name="tobez48" localSheetId="11">'[4]Overlap two proportions'!$BB$55</definedName>
    <definedName name="tobez48" localSheetId="9">'[4]Overlap two proportions'!$BB$55</definedName>
    <definedName name="tobez48" localSheetId="10">'[4]Overlap two proportions'!$BB$55</definedName>
    <definedName name="tobez48" localSheetId="5">'[4]Overlap two proportions'!$BB$55</definedName>
    <definedName name="tobez48" localSheetId="7">'[4]Overlap two proportions'!$BB$55</definedName>
    <definedName name="tobez48" localSheetId="12">'[5]Overlap two proportions'!$BB$55</definedName>
    <definedName name="tobez48" localSheetId="4">'[4]Overlap two proportions'!$BB$55</definedName>
    <definedName name="tobez48" localSheetId="3">'[4]Overlap two proportions'!$BB$55</definedName>
    <definedName name="tobez48" localSheetId="6">'[4]Overlap two proportions'!$BB$55</definedName>
    <definedName name="tobez48" localSheetId="8">'[4]Overlap two proportions'!$BB$55</definedName>
    <definedName name="tobez48">'[4]Overlap two proportions'!$BB$55</definedName>
    <definedName name="tobez49" localSheetId="11">'[4]Overlap two proportions'!$BB$56</definedName>
    <definedName name="tobez49" localSheetId="9">'[4]Overlap two proportions'!$BB$56</definedName>
    <definedName name="tobez49" localSheetId="10">'[4]Overlap two proportions'!$BB$56</definedName>
    <definedName name="tobez49" localSheetId="5">'[4]Overlap two proportions'!$BB$56</definedName>
    <definedName name="tobez49" localSheetId="7">'[4]Overlap two proportions'!$BB$56</definedName>
    <definedName name="tobez49" localSheetId="12">'[5]Overlap two proportions'!$BB$56</definedName>
    <definedName name="tobez49" localSheetId="4">'[4]Overlap two proportions'!$BB$56</definedName>
    <definedName name="tobez49" localSheetId="3">'[4]Overlap two proportions'!$BB$56</definedName>
    <definedName name="tobez49" localSheetId="6">'[4]Overlap two proportions'!$BB$56</definedName>
    <definedName name="tobez49" localSheetId="8">'[4]Overlap two proportions'!$BB$56</definedName>
    <definedName name="tobez49">'[4]Overlap two proportions'!$BB$56</definedName>
    <definedName name="tobez5" localSheetId="11">'[4]Overlap two proportions'!$BB$12</definedName>
    <definedName name="tobez5" localSheetId="9">'[4]Overlap two proportions'!$BB$12</definedName>
    <definedName name="tobez5" localSheetId="10">'[4]Overlap two proportions'!$BB$12</definedName>
    <definedName name="tobez5" localSheetId="5">'[4]Overlap two proportions'!$BB$12</definedName>
    <definedName name="tobez5" localSheetId="7">'[4]Overlap two proportions'!$BB$12</definedName>
    <definedName name="tobez5" localSheetId="12">'[5]Overlap two proportions'!$BB$12</definedName>
    <definedName name="tobez5" localSheetId="4">'[4]Overlap two proportions'!$BB$12</definedName>
    <definedName name="tobez5" localSheetId="3">'[4]Overlap two proportions'!$BB$12</definedName>
    <definedName name="tobez5" localSheetId="6">'[4]Overlap two proportions'!$BB$12</definedName>
    <definedName name="tobez5" localSheetId="8">'[4]Overlap two proportions'!$BB$12</definedName>
    <definedName name="tobez5">'[4]Overlap two proportions'!$BB$12</definedName>
    <definedName name="tobez50" localSheetId="11">'[4]Overlap two proportions'!$BB$57</definedName>
    <definedName name="tobez50" localSheetId="9">'[4]Overlap two proportions'!$BB$57</definedName>
    <definedName name="tobez50" localSheetId="10">'[4]Overlap two proportions'!$BB$57</definedName>
    <definedName name="tobez50" localSheetId="5">'[4]Overlap two proportions'!$BB$57</definedName>
    <definedName name="tobez50" localSheetId="7">'[4]Overlap two proportions'!$BB$57</definedName>
    <definedName name="tobez50" localSheetId="12">'[5]Overlap two proportions'!$BB$57</definedName>
    <definedName name="tobez50" localSheetId="4">'[4]Overlap two proportions'!$BB$57</definedName>
    <definedName name="tobez50" localSheetId="3">'[4]Overlap two proportions'!$BB$57</definedName>
    <definedName name="tobez50" localSheetId="6">'[4]Overlap two proportions'!$BB$57</definedName>
    <definedName name="tobez50" localSheetId="8">'[4]Overlap two proportions'!$BB$57</definedName>
    <definedName name="tobez50">'[4]Overlap two proportions'!$BB$57</definedName>
    <definedName name="tobez51" localSheetId="11">'[4]Overlap two proportions'!$BB$58</definedName>
    <definedName name="tobez51" localSheetId="9">'[4]Overlap two proportions'!$BB$58</definedName>
    <definedName name="tobez51" localSheetId="10">'[4]Overlap two proportions'!$BB$58</definedName>
    <definedName name="tobez51" localSheetId="5">'[4]Overlap two proportions'!$BB$58</definedName>
    <definedName name="tobez51" localSheetId="7">'[4]Overlap two proportions'!$BB$58</definedName>
    <definedName name="tobez51" localSheetId="12">'[5]Overlap two proportions'!$BB$58</definedName>
    <definedName name="tobez51" localSheetId="4">'[4]Overlap two proportions'!$BB$58</definedName>
    <definedName name="tobez51" localSheetId="3">'[4]Overlap two proportions'!$BB$58</definedName>
    <definedName name="tobez51" localSheetId="6">'[4]Overlap two proportions'!$BB$58</definedName>
    <definedName name="tobez51" localSheetId="8">'[4]Overlap two proportions'!$BB$58</definedName>
    <definedName name="tobez51">'[4]Overlap two proportions'!$BB$58</definedName>
    <definedName name="tobez52" localSheetId="11">'[4]Overlap two proportions'!$BB$59</definedName>
    <definedName name="tobez52" localSheetId="9">'[4]Overlap two proportions'!$BB$59</definedName>
    <definedName name="tobez52" localSheetId="10">'[4]Overlap two proportions'!$BB$59</definedName>
    <definedName name="tobez52" localSheetId="5">'[4]Overlap two proportions'!$BB$59</definedName>
    <definedName name="tobez52" localSheetId="7">'[4]Overlap two proportions'!$BB$59</definedName>
    <definedName name="tobez52" localSheetId="12">'[5]Overlap two proportions'!$BB$59</definedName>
    <definedName name="tobez52" localSheetId="4">'[4]Overlap two proportions'!$BB$59</definedName>
    <definedName name="tobez52" localSheetId="3">'[4]Overlap two proportions'!$BB$59</definedName>
    <definedName name="tobez52" localSheetId="6">'[4]Overlap two proportions'!$BB$59</definedName>
    <definedName name="tobez52" localSheetId="8">'[4]Overlap two proportions'!$BB$59</definedName>
    <definedName name="tobez52">'[4]Overlap two proportions'!$BB$59</definedName>
    <definedName name="tobez53" localSheetId="11">'[4]Overlap two proportions'!$BB$60</definedName>
    <definedName name="tobez53" localSheetId="9">'[4]Overlap two proportions'!$BB$60</definedName>
    <definedName name="tobez53" localSheetId="10">'[4]Overlap two proportions'!$BB$60</definedName>
    <definedName name="tobez53" localSheetId="5">'[4]Overlap two proportions'!$BB$60</definedName>
    <definedName name="tobez53" localSheetId="7">'[4]Overlap two proportions'!$BB$60</definedName>
    <definedName name="tobez53" localSheetId="12">'[5]Overlap two proportions'!$BB$60</definedName>
    <definedName name="tobez53" localSheetId="4">'[4]Overlap two proportions'!$BB$60</definedName>
    <definedName name="tobez53" localSheetId="3">'[4]Overlap two proportions'!$BB$60</definedName>
    <definedName name="tobez53" localSheetId="6">'[4]Overlap two proportions'!$BB$60</definedName>
    <definedName name="tobez53" localSheetId="8">'[4]Overlap two proportions'!$BB$60</definedName>
    <definedName name="tobez53">'[4]Overlap two proportions'!$BB$60</definedName>
    <definedName name="tobez54" localSheetId="11">'[4]Overlap two proportions'!$BB$61</definedName>
    <definedName name="tobez54" localSheetId="9">'[4]Overlap two proportions'!$BB$61</definedName>
    <definedName name="tobez54" localSheetId="10">'[4]Overlap two proportions'!$BB$61</definedName>
    <definedName name="tobez54" localSheetId="5">'[4]Overlap two proportions'!$BB$61</definedName>
    <definedName name="tobez54" localSheetId="7">'[4]Overlap two proportions'!$BB$61</definedName>
    <definedName name="tobez54" localSheetId="12">'[5]Overlap two proportions'!$BB$61</definedName>
    <definedName name="tobez54" localSheetId="4">'[4]Overlap two proportions'!$BB$61</definedName>
    <definedName name="tobez54" localSheetId="3">'[4]Overlap two proportions'!$BB$61</definedName>
    <definedName name="tobez54" localSheetId="6">'[4]Overlap two proportions'!$BB$61</definedName>
    <definedName name="tobez54" localSheetId="8">'[4]Overlap two proportions'!$BB$61</definedName>
    <definedName name="tobez54">'[4]Overlap two proportions'!$BB$61</definedName>
    <definedName name="tobez55" localSheetId="11">'[4]Overlap two proportions'!$BB$62</definedName>
    <definedName name="tobez55" localSheetId="9">'[4]Overlap two proportions'!$BB$62</definedName>
    <definedName name="tobez55" localSheetId="10">'[4]Overlap two proportions'!$BB$62</definedName>
    <definedName name="tobez55" localSheetId="5">'[4]Overlap two proportions'!$BB$62</definedName>
    <definedName name="tobez55" localSheetId="7">'[4]Overlap two proportions'!$BB$62</definedName>
    <definedName name="tobez55" localSheetId="12">'[5]Overlap two proportions'!$BB$62</definedName>
    <definedName name="tobez55" localSheetId="4">'[4]Overlap two proportions'!$BB$62</definedName>
    <definedName name="tobez55" localSheetId="3">'[4]Overlap two proportions'!$BB$62</definedName>
    <definedName name="tobez55" localSheetId="6">'[4]Overlap two proportions'!$BB$62</definedName>
    <definedName name="tobez55" localSheetId="8">'[4]Overlap two proportions'!$BB$62</definedName>
    <definedName name="tobez55">'[4]Overlap two proportions'!$BB$62</definedName>
    <definedName name="tobez56" localSheetId="11">'[4]Overlap two proportions'!$BB$63</definedName>
    <definedName name="tobez56" localSheetId="9">'[4]Overlap two proportions'!$BB$63</definedName>
    <definedName name="tobez56" localSheetId="10">'[4]Overlap two proportions'!$BB$63</definedName>
    <definedName name="tobez56" localSheetId="5">'[4]Overlap two proportions'!$BB$63</definedName>
    <definedName name="tobez56" localSheetId="7">'[4]Overlap two proportions'!$BB$63</definedName>
    <definedName name="tobez56" localSheetId="12">'[5]Overlap two proportions'!$BB$63</definedName>
    <definedName name="tobez56" localSheetId="4">'[4]Overlap two proportions'!$BB$63</definedName>
    <definedName name="tobez56" localSheetId="3">'[4]Overlap two proportions'!$BB$63</definedName>
    <definedName name="tobez56" localSheetId="6">'[4]Overlap two proportions'!$BB$63</definedName>
    <definedName name="tobez56" localSheetId="8">'[4]Overlap two proportions'!$BB$63</definedName>
    <definedName name="tobez56">'[4]Overlap two proportions'!$BB$63</definedName>
    <definedName name="tobez57" localSheetId="11">'[4]Overlap two proportions'!$BB$64</definedName>
    <definedName name="tobez57" localSheetId="9">'[4]Overlap two proportions'!$BB$64</definedName>
    <definedName name="tobez57" localSheetId="10">'[4]Overlap two proportions'!$BB$64</definedName>
    <definedName name="tobez57" localSheetId="5">'[4]Overlap two proportions'!$BB$64</definedName>
    <definedName name="tobez57" localSheetId="7">'[4]Overlap two proportions'!$BB$64</definedName>
    <definedName name="tobez57" localSheetId="12">'[5]Overlap two proportions'!$BB$64</definedName>
    <definedName name="tobez57" localSheetId="4">'[4]Overlap two proportions'!$BB$64</definedName>
    <definedName name="tobez57" localSheetId="3">'[4]Overlap two proportions'!$BB$64</definedName>
    <definedName name="tobez57" localSheetId="6">'[4]Overlap two proportions'!$BB$64</definedName>
    <definedName name="tobez57" localSheetId="8">'[4]Overlap two proportions'!$BB$64</definedName>
    <definedName name="tobez57">'[4]Overlap two proportions'!$BB$64</definedName>
    <definedName name="tobez58" localSheetId="11">'[4]Overlap two proportions'!$BB$65</definedName>
    <definedName name="tobez58" localSheetId="9">'[4]Overlap two proportions'!$BB$65</definedName>
    <definedName name="tobez58" localSheetId="10">'[4]Overlap two proportions'!$BB$65</definedName>
    <definedName name="tobez58" localSheetId="5">'[4]Overlap two proportions'!$BB$65</definedName>
    <definedName name="tobez58" localSheetId="7">'[4]Overlap two proportions'!$BB$65</definedName>
    <definedName name="tobez58" localSheetId="12">'[5]Overlap two proportions'!$BB$65</definedName>
    <definedName name="tobez58" localSheetId="4">'[4]Overlap two proportions'!$BB$65</definedName>
    <definedName name="tobez58" localSheetId="3">'[4]Overlap two proportions'!$BB$65</definedName>
    <definedName name="tobez58" localSheetId="6">'[4]Overlap two proportions'!$BB$65</definedName>
    <definedName name="tobez58" localSheetId="8">'[4]Overlap two proportions'!$BB$65</definedName>
    <definedName name="tobez58">'[4]Overlap two proportions'!$BB$65</definedName>
    <definedName name="tobez59" localSheetId="11">'[4]Overlap two proportions'!$BB$66</definedName>
    <definedName name="tobez59" localSheetId="9">'[4]Overlap two proportions'!$BB$66</definedName>
    <definedName name="tobez59" localSheetId="10">'[4]Overlap two proportions'!$BB$66</definedName>
    <definedName name="tobez59" localSheetId="5">'[4]Overlap two proportions'!$BB$66</definedName>
    <definedName name="tobez59" localSheetId="7">'[4]Overlap two proportions'!$BB$66</definedName>
    <definedName name="tobez59" localSheetId="12">'[5]Overlap two proportions'!$BB$66</definedName>
    <definedName name="tobez59" localSheetId="4">'[4]Overlap two proportions'!$BB$66</definedName>
    <definedName name="tobez59" localSheetId="3">'[4]Overlap two proportions'!$BB$66</definedName>
    <definedName name="tobez59" localSheetId="6">'[4]Overlap two proportions'!$BB$66</definedName>
    <definedName name="tobez59" localSheetId="8">'[4]Overlap two proportions'!$BB$66</definedName>
    <definedName name="tobez59">'[4]Overlap two proportions'!$BB$66</definedName>
    <definedName name="tobez6" localSheetId="11">'[4]Overlap two proportions'!$BB$13</definedName>
    <definedName name="tobez6" localSheetId="9">'[4]Overlap two proportions'!$BB$13</definedName>
    <definedName name="tobez6" localSheetId="10">'[4]Overlap two proportions'!$BB$13</definedName>
    <definedName name="tobez6" localSheetId="5">'[4]Overlap two proportions'!$BB$13</definedName>
    <definedName name="tobez6" localSheetId="7">'[4]Overlap two proportions'!$BB$13</definedName>
    <definedName name="tobez6" localSheetId="12">'[5]Overlap two proportions'!$BB$13</definedName>
    <definedName name="tobez6" localSheetId="4">'[4]Overlap two proportions'!$BB$13</definedName>
    <definedName name="tobez6" localSheetId="3">'[4]Overlap two proportions'!$BB$13</definedName>
    <definedName name="tobez6" localSheetId="6">'[4]Overlap two proportions'!$BB$13</definedName>
    <definedName name="tobez6" localSheetId="8">'[4]Overlap two proportions'!$BB$13</definedName>
    <definedName name="tobez6">'[4]Overlap two proportions'!$BB$13</definedName>
    <definedName name="tobez60" localSheetId="11">'[4]Overlap two proportions'!$BB$67</definedName>
    <definedName name="tobez60" localSheetId="9">'[4]Overlap two proportions'!$BB$67</definedName>
    <definedName name="tobez60" localSheetId="10">'[4]Overlap two proportions'!$BB$67</definedName>
    <definedName name="tobez60" localSheetId="5">'[4]Overlap two proportions'!$BB$67</definedName>
    <definedName name="tobez60" localSheetId="7">'[4]Overlap two proportions'!$BB$67</definedName>
    <definedName name="tobez60" localSheetId="12">'[5]Overlap two proportions'!$BB$67</definedName>
    <definedName name="tobez60" localSheetId="4">'[4]Overlap two proportions'!$BB$67</definedName>
    <definedName name="tobez60" localSheetId="3">'[4]Overlap two proportions'!$BB$67</definedName>
    <definedName name="tobez60" localSheetId="6">'[4]Overlap two proportions'!$BB$67</definedName>
    <definedName name="tobez60" localSheetId="8">'[4]Overlap two proportions'!$BB$67</definedName>
    <definedName name="tobez60">'[4]Overlap two proportions'!$BB$67</definedName>
    <definedName name="tobez7" localSheetId="11">'[4]Overlap two proportions'!$BB$14</definedName>
    <definedName name="tobez7" localSheetId="9">'[4]Overlap two proportions'!$BB$14</definedName>
    <definedName name="tobez7" localSheetId="10">'[4]Overlap two proportions'!$BB$14</definedName>
    <definedName name="tobez7" localSheetId="5">'[4]Overlap two proportions'!$BB$14</definedName>
    <definedName name="tobez7" localSheetId="7">'[4]Overlap two proportions'!$BB$14</definedName>
    <definedName name="tobez7" localSheetId="12">'[5]Overlap two proportions'!$BB$14</definedName>
    <definedName name="tobez7" localSheetId="4">'[4]Overlap two proportions'!$BB$14</definedName>
    <definedName name="tobez7" localSheetId="3">'[4]Overlap two proportions'!$BB$14</definedName>
    <definedName name="tobez7" localSheetId="6">'[4]Overlap two proportions'!$BB$14</definedName>
    <definedName name="tobez7" localSheetId="8">'[4]Overlap two proportions'!$BB$14</definedName>
    <definedName name="tobez7">'[4]Overlap two proportions'!$BB$14</definedName>
    <definedName name="tobez8" localSheetId="11">'[4]Overlap two proportions'!$BB$15</definedName>
    <definedName name="tobez8" localSheetId="9">'[4]Overlap two proportions'!$BB$15</definedName>
    <definedName name="tobez8" localSheetId="10">'[4]Overlap two proportions'!$BB$15</definedName>
    <definedName name="tobez8" localSheetId="5">'[4]Overlap two proportions'!$BB$15</definedName>
    <definedName name="tobez8" localSheetId="7">'[4]Overlap two proportions'!$BB$15</definedName>
    <definedName name="tobez8" localSheetId="12">'[5]Overlap two proportions'!$BB$15</definedName>
    <definedName name="tobez8" localSheetId="4">'[4]Overlap two proportions'!$BB$15</definedName>
    <definedName name="tobez8" localSheetId="3">'[4]Overlap two proportions'!$BB$15</definedName>
    <definedName name="tobez8" localSheetId="6">'[4]Overlap two proportions'!$BB$15</definedName>
    <definedName name="tobez8" localSheetId="8">'[4]Overlap two proportions'!$BB$15</definedName>
    <definedName name="tobez8">'[4]Overlap two proportions'!$BB$15</definedName>
    <definedName name="tobez9" localSheetId="11">'[4]Overlap two proportions'!$BB$16</definedName>
    <definedName name="tobez9" localSheetId="9">'[4]Overlap two proportions'!$BB$16</definedName>
    <definedName name="tobez9" localSheetId="10">'[4]Overlap two proportions'!$BB$16</definedName>
    <definedName name="tobez9" localSheetId="5">'[4]Overlap two proportions'!$BB$16</definedName>
    <definedName name="tobez9" localSheetId="7">'[4]Overlap two proportions'!$BB$16</definedName>
    <definedName name="tobez9" localSheetId="12">'[5]Overlap two proportions'!$BB$16</definedName>
    <definedName name="tobez9" localSheetId="4">'[4]Overlap two proportions'!$BB$16</definedName>
    <definedName name="tobez9" localSheetId="3">'[4]Overlap two proportions'!$BB$16</definedName>
    <definedName name="tobez9" localSheetId="6">'[4]Overlap two proportions'!$BB$16</definedName>
    <definedName name="tobez9" localSheetId="8">'[4]Overlap two proportions'!$BB$16</definedName>
    <definedName name="tobez9">'[4]Overlap two proportions'!$BB$16</definedName>
    <definedName name="tochange" localSheetId="4">Scatterplots!#REF!</definedName>
    <definedName name="tochange" localSheetId="3">'See r'!$A$7:$A$8</definedName>
    <definedName name="tochange">'[23]See r'!$A$7:$A$8</definedName>
    <definedName name="topleft" localSheetId="11">#REF!</definedName>
    <definedName name="topleft" localSheetId="9">#REF!</definedName>
    <definedName name="topleft" localSheetId="10">#REF!</definedName>
    <definedName name="topleft" localSheetId="5">#REF!</definedName>
    <definedName name="topleft" localSheetId="7">#REF!</definedName>
    <definedName name="topleft" localSheetId="2">'Precision paired'!#REF!</definedName>
    <definedName name="topleft" localSheetId="1">'Precision two'!#REF!</definedName>
    <definedName name="topleft" localSheetId="12">#REF!</definedName>
    <definedName name="topleft" localSheetId="4">#REF!</definedName>
    <definedName name="topleft" localSheetId="3">#REF!</definedName>
    <definedName name="topleft" localSheetId="6">#REF!</definedName>
    <definedName name="topleft" localSheetId="8">#REF!</definedName>
    <definedName name="topleft">#REF!</definedName>
    <definedName name="topleftg" localSheetId="11">'[7]Precision one'!$U$7</definedName>
    <definedName name="topleftg" localSheetId="9">'[7]Precision one'!$U$7</definedName>
    <definedName name="topleftg" localSheetId="10">'[7]Precision one'!$U$7</definedName>
    <definedName name="topleftg" localSheetId="5">'[7]Precision one'!$U$7</definedName>
    <definedName name="topleftg" localSheetId="7">'[7]Precision one'!$U$7</definedName>
    <definedName name="topleftg" localSheetId="2">'Precision paired'!#REF!</definedName>
    <definedName name="topleftg" localSheetId="1">'Precision two'!#REF!</definedName>
    <definedName name="topleftg" localSheetId="12">'[7]Precision one'!$U$7</definedName>
    <definedName name="topleftg" localSheetId="4">'[7]Precision one'!$U$7</definedName>
    <definedName name="topleftg" localSheetId="3">'[7]Precision one'!$U$7</definedName>
    <definedName name="topleftg" localSheetId="6">'[7]Precision one'!$U$7</definedName>
    <definedName name="topleftg" localSheetId="8">'[7]Precision one'!$U$7</definedName>
    <definedName name="topleftg">#REF!</definedName>
    <definedName name="topy">[6]Describe!$AR$35</definedName>
    <definedName name="Total1" localSheetId="11">'[4]Two proportions'!$G$13</definedName>
    <definedName name="Total1" localSheetId="9">'[4]Two proportions'!$G$13</definedName>
    <definedName name="Total1" localSheetId="10">'[4]Two proportions'!$G$13</definedName>
    <definedName name="Total1" localSheetId="5">'[4]Two proportions'!$G$13</definedName>
    <definedName name="Total1" localSheetId="7">'[4]Two proportions'!$G$13</definedName>
    <definedName name="Total1" localSheetId="12">'[5]Two proportions'!$G$13</definedName>
    <definedName name="Total1" localSheetId="4">'[4]Two proportions'!$G$13</definedName>
    <definedName name="Total1" localSheetId="3">'[4]Two proportions'!$G$13</definedName>
    <definedName name="Total1" localSheetId="6">'[4]Two proportions'!$G$13</definedName>
    <definedName name="Total1" localSheetId="8">'[4]Two proportions'!$G$13</definedName>
    <definedName name="Total1">'[4]Two proportions'!$G$13</definedName>
    <definedName name="Total2" localSheetId="11">'[4]Two proportions'!$I$13</definedName>
    <definedName name="Total2" localSheetId="9">'[4]Two proportions'!$I$13</definedName>
    <definedName name="Total2" localSheetId="10">'[4]Two proportions'!$I$13</definedName>
    <definedName name="Total2" localSheetId="5">'[4]Two proportions'!$I$13</definedName>
    <definedName name="Total2" localSheetId="7">'[4]Two proportions'!$I$13</definedName>
    <definedName name="Total2" localSheetId="12">'[5]Two proportions'!$I$13</definedName>
    <definedName name="Total2" localSheetId="4">'[4]Two proportions'!$I$13</definedName>
    <definedName name="Total2" localSheetId="3">'[4]Two proportions'!$I$13</definedName>
    <definedName name="Total2" localSheetId="6">'[4]Two proportions'!$I$13</definedName>
    <definedName name="Total2" localSheetId="8">'[4]Two proportions'!$I$13</definedName>
    <definedName name="Total2">'[4]Two proportions'!$I$13</definedName>
    <definedName name="ttbz1" localSheetId="11">'[4]Overlap two correlations (n1)'!$T$5</definedName>
    <definedName name="ttbz1" localSheetId="9">'[4]Overlap two correlations (n1)'!$T$5</definedName>
    <definedName name="ttbz1" localSheetId="10">'[4]Overlap two correlations (n1)'!$T$5</definedName>
    <definedName name="ttbz1" localSheetId="5">'[4]Overlap two correlations (n1)'!$T$5</definedName>
    <definedName name="ttbz1" localSheetId="7">'[4]Overlap two correlations (n1)'!$T$5</definedName>
    <definedName name="ttbz1" localSheetId="12">'[5]Overlap two correlations (n1)'!$T$5</definedName>
    <definedName name="ttbz1" localSheetId="4">'[4]Overlap two correlations (n1)'!$T$5</definedName>
    <definedName name="ttbz1" localSheetId="3">'[4]Overlap two correlations (n1)'!$T$5</definedName>
    <definedName name="ttbz1" localSheetId="6">'[4]Overlap two correlations (n1)'!$T$5</definedName>
    <definedName name="ttbz1" localSheetId="8">'[4]Overlap two correlations (n1)'!$T$5</definedName>
    <definedName name="ttbz1">'[4]Overlap two correlations (n1)'!$T$5</definedName>
    <definedName name="ttbz10" localSheetId="11">'[4]Overlap two correlations (n1)'!$T$14</definedName>
    <definedName name="ttbz10" localSheetId="9">'[4]Overlap two correlations (n1)'!$T$14</definedName>
    <definedName name="ttbz10" localSheetId="10">'[4]Overlap two correlations (n1)'!$T$14</definedName>
    <definedName name="ttbz10" localSheetId="5">'[4]Overlap two correlations (n1)'!$T$14</definedName>
    <definedName name="ttbz10" localSheetId="7">'[4]Overlap two correlations (n1)'!$T$14</definedName>
    <definedName name="ttbz10" localSheetId="12">'[5]Overlap two correlations (n1)'!$T$14</definedName>
    <definedName name="ttbz10" localSheetId="4">'[4]Overlap two correlations (n1)'!$T$14</definedName>
    <definedName name="ttbz10" localSheetId="3">'[4]Overlap two correlations (n1)'!$T$14</definedName>
    <definedName name="ttbz10" localSheetId="6">'[4]Overlap two correlations (n1)'!$T$14</definedName>
    <definedName name="ttbz10" localSheetId="8">'[4]Overlap two correlations (n1)'!$T$14</definedName>
    <definedName name="ttbz10">'[4]Overlap two correlations (n1)'!$T$14</definedName>
    <definedName name="ttbz11" localSheetId="11">'[4]Overlap two correlations (n1)'!$T$15</definedName>
    <definedName name="ttbz11" localSheetId="9">'[4]Overlap two correlations (n1)'!$T$15</definedName>
    <definedName name="ttbz11" localSheetId="10">'[4]Overlap two correlations (n1)'!$T$15</definedName>
    <definedName name="ttbz11" localSheetId="5">'[4]Overlap two correlations (n1)'!$T$15</definedName>
    <definedName name="ttbz11" localSheetId="7">'[4]Overlap two correlations (n1)'!$T$15</definedName>
    <definedName name="ttbz11" localSheetId="12">'[5]Overlap two correlations (n1)'!$T$15</definedName>
    <definedName name="ttbz11" localSheetId="4">'[4]Overlap two correlations (n1)'!$T$15</definedName>
    <definedName name="ttbz11" localSheetId="3">'[4]Overlap two correlations (n1)'!$T$15</definedName>
    <definedName name="ttbz11" localSheetId="6">'[4]Overlap two correlations (n1)'!$T$15</definedName>
    <definedName name="ttbz11" localSheetId="8">'[4]Overlap two correlations (n1)'!$T$15</definedName>
    <definedName name="ttbz11">'[4]Overlap two correlations (n1)'!$T$15</definedName>
    <definedName name="ttbz12" localSheetId="11">'[4]Overlap two correlations (n1)'!$T$16</definedName>
    <definedName name="ttbz12" localSheetId="9">'[4]Overlap two correlations (n1)'!$T$16</definedName>
    <definedName name="ttbz12" localSheetId="10">'[4]Overlap two correlations (n1)'!$T$16</definedName>
    <definedName name="ttbz12" localSheetId="5">'[4]Overlap two correlations (n1)'!$T$16</definedName>
    <definedName name="ttbz12" localSheetId="7">'[4]Overlap two correlations (n1)'!$T$16</definedName>
    <definedName name="ttbz12" localSheetId="12">'[5]Overlap two correlations (n1)'!$T$16</definedName>
    <definedName name="ttbz12" localSheetId="4">'[4]Overlap two correlations (n1)'!$T$16</definedName>
    <definedName name="ttbz12" localSheetId="3">'[4]Overlap two correlations (n1)'!$T$16</definedName>
    <definedName name="ttbz12" localSheetId="6">'[4]Overlap two correlations (n1)'!$T$16</definedName>
    <definedName name="ttbz12" localSheetId="8">'[4]Overlap two correlations (n1)'!$T$16</definedName>
    <definedName name="ttbz12">'[4]Overlap two correlations (n1)'!$T$16</definedName>
    <definedName name="ttbz13" localSheetId="11">'[4]Overlap two correlations (n1)'!$T$17</definedName>
    <definedName name="ttbz13" localSheetId="9">'[4]Overlap two correlations (n1)'!$T$17</definedName>
    <definedName name="ttbz13" localSheetId="10">'[4]Overlap two correlations (n1)'!$T$17</definedName>
    <definedName name="ttbz13" localSheetId="5">'[4]Overlap two correlations (n1)'!$T$17</definedName>
    <definedName name="ttbz13" localSheetId="7">'[4]Overlap two correlations (n1)'!$T$17</definedName>
    <definedName name="ttbz13" localSheetId="12">'[5]Overlap two correlations (n1)'!$T$17</definedName>
    <definedName name="ttbz13" localSheetId="4">'[4]Overlap two correlations (n1)'!$T$17</definedName>
    <definedName name="ttbz13" localSheetId="3">'[4]Overlap two correlations (n1)'!$T$17</definedName>
    <definedName name="ttbz13" localSheetId="6">'[4]Overlap two correlations (n1)'!$T$17</definedName>
    <definedName name="ttbz13" localSheetId="8">'[4]Overlap two correlations (n1)'!$T$17</definedName>
    <definedName name="ttbz13">'[4]Overlap two correlations (n1)'!$T$17</definedName>
    <definedName name="ttbz14" localSheetId="11">'[4]Overlap two correlations (n1)'!$T$18</definedName>
    <definedName name="ttbz14" localSheetId="9">'[4]Overlap two correlations (n1)'!$T$18</definedName>
    <definedName name="ttbz14" localSheetId="10">'[4]Overlap two correlations (n1)'!$T$18</definedName>
    <definedName name="ttbz14" localSheetId="5">'[4]Overlap two correlations (n1)'!$T$18</definedName>
    <definedName name="ttbz14" localSheetId="7">'[4]Overlap two correlations (n1)'!$T$18</definedName>
    <definedName name="ttbz14" localSheetId="12">'[5]Overlap two correlations (n1)'!$T$18</definedName>
    <definedName name="ttbz14" localSheetId="4">'[4]Overlap two correlations (n1)'!$T$18</definedName>
    <definedName name="ttbz14" localSheetId="3">'[4]Overlap two correlations (n1)'!$T$18</definedName>
    <definedName name="ttbz14" localSheetId="6">'[4]Overlap two correlations (n1)'!$T$18</definedName>
    <definedName name="ttbz14" localSheetId="8">'[4]Overlap two correlations (n1)'!$T$18</definedName>
    <definedName name="ttbz14">'[4]Overlap two correlations (n1)'!$T$18</definedName>
    <definedName name="ttbz15" localSheetId="11">'[4]Overlap two correlations (n1)'!$T$19</definedName>
    <definedName name="ttbz15" localSheetId="9">'[4]Overlap two correlations (n1)'!$T$19</definedName>
    <definedName name="ttbz15" localSheetId="10">'[4]Overlap two correlations (n1)'!$T$19</definedName>
    <definedName name="ttbz15" localSheetId="5">'[4]Overlap two correlations (n1)'!$T$19</definedName>
    <definedName name="ttbz15" localSheetId="7">'[4]Overlap two correlations (n1)'!$T$19</definedName>
    <definedName name="ttbz15" localSheetId="12">'[5]Overlap two correlations (n1)'!$T$19</definedName>
    <definedName name="ttbz15" localSheetId="4">'[4]Overlap two correlations (n1)'!$T$19</definedName>
    <definedName name="ttbz15" localSheetId="3">'[4]Overlap two correlations (n1)'!$T$19</definedName>
    <definedName name="ttbz15" localSheetId="6">'[4]Overlap two correlations (n1)'!$T$19</definedName>
    <definedName name="ttbz15" localSheetId="8">'[4]Overlap two correlations (n1)'!$T$19</definedName>
    <definedName name="ttbz15">'[4]Overlap two correlations (n1)'!$T$19</definedName>
    <definedName name="ttbz16" localSheetId="11">'[4]Overlap two correlations (n1)'!$T$20</definedName>
    <definedName name="ttbz16" localSheetId="9">'[4]Overlap two correlations (n1)'!$T$20</definedName>
    <definedName name="ttbz16" localSheetId="10">'[4]Overlap two correlations (n1)'!$T$20</definedName>
    <definedName name="ttbz16" localSheetId="5">'[4]Overlap two correlations (n1)'!$T$20</definedName>
    <definedName name="ttbz16" localSheetId="7">'[4]Overlap two correlations (n1)'!$T$20</definedName>
    <definedName name="ttbz16" localSheetId="12">'[5]Overlap two correlations (n1)'!$T$20</definedName>
    <definedName name="ttbz16" localSheetId="4">'[4]Overlap two correlations (n1)'!$T$20</definedName>
    <definedName name="ttbz16" localSheetId="3">'[4]Overlap two correlations (n1)'!$T$20</definedName>
    <definedName name="ttbz16" localSheetId="6">'[4]Overlap two correlations (n1)'!$T$20</definedName>
    <definedName name="ttbz16" localSheetId="8">'[4]Overlap two correlations (n1)'!$T$20</definedName>
    <definedName name="ttbz16">'[4]Overlap two correlations (n1)'!$T$20</definedName>
    <definedName name="ttbz17" localSheetId="11">'[4]Overlap two correlations (n1)'!$T$21</definedName>
    <definedName name="ttbz17" localSheetId="9">'[4]Overlap two correlations (n1)'!$T$21</definedName>
    <definedName name="ttbz17" localSheetId="10">'[4]Overlap two correlations (n1)'!$T$21</definedName>
    <definedName name="ttbz17" localSheetId="5">'[4]Overlap two correlations (n1)'!$T$21</definedName>
    <definedName name="ttbz17" localSheetId="7">'[4]Overlap two correlations (n1)'!$T$21</definedName>
    <definedName name="ttbz17" localSheetId="12">'[5]Overlap two correlations (n1)'!$T$21</definedName>
    <definedName name="ttbz17" localSheetId="4">'[4]Overlap two correlations (n1)'!$T$21</definedName>
    <definedName name="ttbz17" localSheetId="3">'[4]Overlap two correlations (n1)'!$T$21</definedName>
    <definedName name="ttbz17" localSheetId="6">'[4]Overlap two correlations (n1)'!$T$21</definedName>
    <definedName name="ttbz17" localSheetId="8">'[4]Overlap two correlations (n1)'!$T$21</definedName>
    <definedName name="ttbz17">'[4]Overlap two correlations (n1)'!$T$21</definedName>
    <definedName name="ttbz18" localSheetId="11">'[4]Overlap two correlations (n1)'!$T$22</definedName>
    <definedName name="ttbz18" localSheetId="9">'[4]Overlap two correlations (n1)'!$T$22</definedName>
    <definedName name="ttbz18" localSheetId="10">'[4]Overlap two correlations (n1)'!$T$22</definedName>
    <definedName name="ttbz18" localSheetId="5">'[4]Overlap two correlations (n1)'!$T$22</definedName>
    <definedName name="ttbz18" localSheetId="7">'[4]Overlap two correlations (n1)'!$T$22</definedName>
    <definedName name="ttbz18" localSheetId="12">'[5]Overlap two correlations (n1)'!$T$22</definedName>
    <definedName name="ttbz18" localSheetId="4">'[4]Overlap two correlations (n1)'!$T$22</definedName>
    <definedName name="ttbz18" localSheetId="3">'[4]Overlap two correlations (n1)'!$T$22</definedName>
    <definedName name="ttbz18" localSheetId="6">'[4]Overlap two correlations (n1)'!$T$22</definedName>
    <definedName name="ttbz18" localSheetId="8">'[4]Overlap two correlations (n1)'!$T$22</definedName>
    <definedName name="ttbz18">'[4]Overlap two correlations (n1)'!$T$22</definedName>
    <definedName name="ttbz19" localSheetId="11">'[4]Overlap two correlations (n1)'!$T$23</definedName>
    <definedName name="ttbz19" localSheetId="9">'[4]Overlap two correlations (n1)'!$T$23</definedName>
    <definedName name="ttbz19" localSheetId="10">'[4]Overlap two correlations (n1)'!$T$23</definedName>
    <definedName name="ttbz19" localSheetId="5">'[4]Overlap two correlations (n1)'!$T$23</definedName>
    <definedName name="ttbz19" localSheetId="7">'[4]Overlap two correlations (n1)'!$T$23</definedName>
    <definedName name="ttbz19" localSheetId="12">'[5]Overlap two correlations (n1)'!$T$23</definedName>
    <definedName name="ttbz19" localSheetId="4">'[4]Overlap two correlations (n1)'!$T$23</definedName>
    <definedName name="ttbz19" localSheetId="3">'[4]Overlap two correlations (n1)'!$T$23</definedName>
    <definedName name="ttbz19" localSheetId="6">'[4]Overlap two correlations (n1)'!$T$23</definedName>
    <definedName name="ttbz19" localSheetId="8">'[4]Overlap two correlations (n1)'!$T$23</definedName>
    <definedName name="ttbz19">'[4]Overlap two correlations (n1)'!$T$23</definedName>
    <definedName name="ttbz2" localSheetId="11">'[4]Overlap two correlations (n1)'!$T$6</definedName>
    <definedName name="ttbz2" localSheetId="9">'[4]Overlap two correlations (n1)'!$T$6</definedName>
    <definedName name="ttbz2" localSheetId="10">'[4]Overlap two correlations (n1)'!$T$6</definedName>
    <definedName name="ttbz2" localSheetId="5">'[4]Overlap two correlations (n1)'!$T$6</definedName>
    <definedName name="ttbz2" localSheetId="7">'[4]Overlap two correlations (n1)'!$T$6</definedName>
    <definedName name="ttbz2" localSheetId="12">'[5]Overlap two correlations (n1)'!$T$6</definedName>
    <definedName name="ttbz2" localSheetId="4">'[4]Overlap two correlations (n1)'!$T$6</definedName>
    <definedName name="ttbz2" localSheetId="3">'[4]Overlap two correlations (n1)'!$T$6</definedName>
    <definedName name="ttbz2" localSheetId="6">'[4]Overlap two correlations (n1)'!$T$6</definedName>
    <definedName name="ttbz2" localSheetId="8">'[4]Overlap two correlations (n1)'!$T$6</definedName>
    <definedName name="ttbz2">'[4]Overlap two correlations (n1)'!$T$6</definedName>
    <definedName name="ttbz20" localSheetId="11">'[4]Overlap two correlations (n1)'!$T$24</definedName>
    <definedName name="ttbz20" localSheetId="9">'[4]Overlap two correlations (n1)'!$T$24</definedName>
    <definedName name="ttbz20" localSheetId="10">'[4]Overlap two correlations (n1)'!$T$24</definedName>
    <definedName name="ttbz20" localSheetId="5">'[4]Overlap two correlations (n1)'!$T$24</definedName>
    <definedName name="ttbz20" localSheetId="7">'[4]Overlap two correlations (n1)'!$T$24</definedName>
    <definedName name="ttbz20" localSheetId="12">'[5]Overlap two correlations (n1)'!$T$24</definedName>
    <definedName name="ttbz20" localSheetId="4">'[4]Overlap two correlations (n1)'!$T$24</definedName>
    <definedName name="ttbz20" localSheetId="3">'[4]Overlap two correlations (n1)'!$T$24</definedName>
    <definedName name="ttbz20" localSheetId="6">'[4]Overlap two correlations (n1)'!$T$24</definedName>
    <definedName name="ttbz20" localSheetId="8">'[4]Overlap two correlations (n1)'!$T$24</definedName>
    <definedName name="ttbz20">'[4]Overlap two correlations (n1)'!$T$24</definedName>
    <definedName name="ttbz21" localSheetId="11">'[4]Overlap two correlations (n1)'!$T$25</definedName>
    <definedName name="ttbz21" localSheetId="9">'[4]Overlap two correlations (n1)'!$T$25</definedName>
    <definedName name="ttbz21" localSheetId="10">'[4]Overlap two correlations (n1)'!$T$25</definedName>
    <definedName name="ttbz21" localSheetId="5">'[4]Overlap two correlations (n1)'!$T$25</definedName>
    <definedName name="ttbz21" localSheetId="7">'[4]Overlap two correlations (n1)'!$T$25</definedName>
    <definedName name="ttbz21" localSheetId="12">'[5]Overlap two correlations (n1)'!$T$25</definedName>
    <definedName name="ttbz21" localSheetId="4">'[4]Overlap two correlations (n1)'!$T$25</definedName>
    <definedName name="ttbz21" localSheetId="3">'[4]Overlap two correlations (n1)'!$T$25</definedName>
    <definedName name="ttbz21" localSheetId="6">'[4]Overlap two correlations (n1)'!$T$25</definedName>
    <definedName name="ttbz21" localSheetId="8">'[4]Overlap two correlations (n1)'!$T$25</definedName>
    <definedName name="ttbz21">'[4]Overlap two correlations (n1)'!$T$25</definedName>
    <definedName name="ttbz22" localSheetId="11">'[4]Overlap two correlations (n1)'!$T$26</definedName>
    <definedName name="ttbz22" localSheetId="9">'[4]Overlap two correlations (n1)'!$T$26</definedName>
    <definedName name="ttbz22" localSheetId="10">'[4]Overlap two correlations (n1)'!$T$26</definedName>
    <definedName name="ttbz22" localSheetId="5">'[4]Overlap two correlations (n1)'!$T$26</definedName>
    <definedName name="ttbz22" localSheetId="7">'[4]Overlap two correlations (n1)'!$T$26</definedName>
    <definedName name="ttbz22" localSheetId="12">'[5]Overlap two correlations (n1)'!$T$26</definedName>
    <definedName name="ttbz22" localSheetId="4">'[4]Overlap two correlations (n1)'!$T$26</definedName>
    <definedName name="ttbz22" localSheetId="3">'[4]Overlap two correlations (n1)'!$T$26</definedName>
    <definedName name="ttbz22" localSheetId="6">'[4]Overlap two correlations (n1)'!$T$26</definedName>
    <definedName name="ttbz22" localSheetId="8">'[4]Overlap two correlations (n1)'!$T$26</definedName>
    <definedName name="ttbz22">'[4]Overlap two correlations (n1)'!$T$26</definedName>
    <definedName name="ttbz23" localSheetId="11">'[4]Overlap two correlations (n1)'!$T$27</definedName>
    <definedName name="ttbz23" localSheetId="9">'[4]Overlap two correlations (n1)'!$T$27</definedName>
    <definedName name="ttbz23" localSheetId="10">'[4]Overlap two correlations (n1)'!$T$27</definedName>
    <definedName name="ttbz23" localSheetId="5">'[4]Overlap two correlations (n1)'!$T$27</definedName>
    <definedName name="ttbz23" localSheetId="7">'[4]Overlap two correlations (n1)'!$T$27</definedName>
    <definedName name="ttbz23" localSheetId="12">'[5]Overlap two correlations (n1)'!$T$27</definedName>
    <definedName name="ttbz23" localSheetId="4">'[4]Overlap two correlations (n1)'!$T$27</definedName>
    <definedName name="ttbz23" localSheetId="3">'[4]Overlap two correlations (n1)'!$T$27</definedName>
    <definedName name="ttbz23" localSheetId="6">'[4]Overlap two correlations (n1)'!$T$27</definedName>
    <definedName name="ttbz23" localSheetId="8">'[4]Overlap two correlations (n1)'!$T$27</definedName>
    <definedName name="ttbz23">'[4]Overlap two correlations (n1)'!$T$27</definedName>
    <definedName name="ttbz24" localSheetId="11">'[4]Overlap two correlations (n1)'!$T$28</definedName>
    <definedName name="ttbz24" localSheetId="9">'[4]Overlap two correlations (n1)'!$T$28</definedName>
    <definedName name="ttbz24" localSheetId="10">'[4]Overlap two correlations (n1)'!$T$28</definedName>
    <definedName name="ttbz24" localSheetId="5">'[4]Overlap two correlations (n1)'!$T$28</definedName>
    <definedName name="ttbz24" localSheetId="7">'[4]Overlap two correlations (n1)'!$T$28</definedName>
    <definedName name="ttbz24" localSheetId="12">'[5]Overlap two correlations (n1)'!$T$28</definedName>
    <definedName name="ttbz24" localSheetId="4">'[4]Overlap two correlations (n1)'!$T$28</definedName>
    <definedName name="ttbz24" localSheetId="3">'[4]Overlap two correlations (n1)'!$T$28</definedName>
    <definedName name="ttbz24" localSheetId="6">'[4]Overlap two correlations (n1)'!$T$28</definedName>
    <definedName name="ttbz24" localSheetId="8">'[4]Overlap two correlations (n1)'!$T$28</definedName>
    <definedName name="ttbz24">'[4]Overlap two correlations (n1)'!$T$28</definedName>
    <definedName name="ttbz25" localSheetId="11">'[4]Overlap two correlations (n1)'!$T$29</definedName>
    <definedName name="ttbz25" localSheetId="9">'[4]Overlap two correlations (n1)'!$T$29</definedName>
    <definedName name="ttbz25" localSheetId="10">'[4]Overlap two correlations (n1)'!$T$29</definedName>
    <definedName name="ttbz25" localSheetId="5">'[4]Overlap two correlations (n1)'!$T$29</definedName>
    <definedName name="ttbz25" localSheetId="7">'[4]Overlap two correlations (n1)'!$T$29</definedName>
    <definedName name="ttbz25" localSheetId="12">'[5]Overlap two correlations (n1)'!$T$29</definedName>
    <definedName name="ttbz25" localSheetId="4">'[4]Overlap two correlations (n1)'!$T$29</definedName>
    <definedName name="ttbz25" localSheetId="3">'[4]Overlap two correlations (n1)'!$T$29</definedName>
    <definedName name="ttbz25" localSheetId="6">'[4]Overlap two correlations (n1)'!$T$29</definedName>
    <definedName name="ttbz25" localSheetId="8">'[4]Overlap two correlations (n1)'!$T$29</definedName>
    <definedName name="ttbz25">'[4]Overlap two correlations (n1)'!$T$29</definedName>
    <definedName name="ttbz26" localSheetId="11">'[4]Overlap two correlations (n1)'!$T$30</definedName>
    <definedName name="ttbz26" localSheetId="9">'[4]Overlap two correlations (n1)'!$T$30</definedName>
    <definedName name="ttbz26" localSheetId="10">'[4]Overlap two correlations (n1)'!$T$30</definedName>
    <definedName name="ttbz26" localSheetId="5">'[4]Overlap two correlations (n1)'!$T$30</definedName>
    <definedName name="ttbz26" localSheetId="7">'[4]Overlap two correlations (n1)'!$T$30</definedName>
    <definedName name="ttbz26" localSheetId="12">'[5]Overlap two correlations (n1)'!$T$30</definedName>
    <definedName name="ttbz26" localSheetId="4">'[4]Overlap two correlations (n1)'!$T$30</definedName>
    <definedName name="ttbz26" localSheetId="3">'[4]Overlap two correlations (n1)'!$T$30</definedName>
    <definedName name="ttbz26" localSheetId="6">'[4]Overlap two correlations (n1)'!$T$30</definedName>
    <definedName name="ttbz26" localSheetId="8">'[4]Overlap two correlations (n1)'!$T$30</definedName>
    <definedName name="ttbz26">'[4]Overlap two correlations (n1)'!$T$30</definedName>
    <definedName name="ttbz27" localSheetId="11">'[4]Overlap two correlations (n1)'!$T$31</definedName>
    <definedName name="ttbz27" localSheetId="9">'[4]Overlap two correlations (n1)'!$T$31</definedName>
    <definedName name="ttbz27" localSheetId="10">'[4]Overlap two correlations (n1)'!$T$31</definedName>
    <definedName name="ttbz27" localSheetId="5">'[4]Overlap two correlations (n1)'!$T$31</definedName>
    <definedName name="ttbz27" localSheetId="7">'[4]Overlap two correlations (n1)'!$T$31</definedName>
    <definedName name="ttbz27" localSheetId="12">'[5]Overlap two correlations (n1)'!$T$31</definedName>
    <definedName name="ttbz27" localSheetId="4">'[4]Overlap two correlations (n1)'!$T$31</definedName>
    <definedName name="ttbz27" localSheetId="3">'[4]Overlap two correlations (n1)'!$T$31</definedName>
    <definedName name="ttbz27" localSheetId="6">'[4]Overlap two correlations (n1)'!$T$31</definedName>
    <definedName name="ttbz27" localSheetId="8">'[4]Overlap two correlations (n1)'!$T$31</definedName>
    <definedName name="ttbz27">'[4]Overlap two correlations (n1)'!$T$31</definedName>
    <definedName name="ttbz28" localSheetId="11">'[4]Overlap two correlations (n1)'!$T$32</definedName>
    <definedName name="ttbz28" localSheetId="9">'[4]Overlap two correlations (n1)'!$T$32</definedName>
    <definedName name="ttbz28" localSheetId="10">'[4]Overlap two correlations (n1)'!$T$32</definedName>
    <definedName name="ttbz28" localSheetId="5">'[4]Overlap two correlations (n1)'!$T$32</definedName>
    <definedName name="ttbz28" localSheetId="7">'[4]Overlap two correlations (n1)'!$T$32</definedName>
    <definedName name="ttbz28" localSheetId="12">'[5]Overlap two correlations (n1)'!$T$32</definedName>
    <definedName name="ttbz28" localSheetId="4">'[4]Overlap two correlations (n1)'!$T$32</definedName>
    <definedName name="ttbz28" localSheetId="3">'[4]Overlap two correlations (n1)'!$T$32</definedName>
    <definedName name="ttbz28" localSheetId="6">'[4]Overlap two correlations (n1)'!$T$32</definedName>
    <definedName name="ttbz28" localSheetId="8">'[4]Overlap two correlations (n1)'!$T$32</definedName>
    <definedName name="ttbz28">'[4]Overlap two correlations (n1)'!$T$32</definedName>
    <definedName name="ttbz29" localSheetId="11">'[4]Overlap two correlations (n1)'!$T$33</definedName>
    <definedName name="ttbz29" localSheetId="9">'[4]Overlap two correlations (n1)'!$T$33</definedName>
    <definedName name="ttbz29" localSheetId="10">'[4]Overlap two correlations (n1)'!$T$33</definedName>
    <definedName name="ttbz29" localSheetId="5">'[4]Overlap two correlations (n1)'!$T$33</definedName>
    <definedName name="ttbz29" localSheetId="7">'[4]Overlap two correlations (n1)'!$T$33</definedName>
    <definedName name="ttbz29" localSheetId="12">'[5]Overlap two correlations (n1)'!$T$33</definedName>
    <definedName name="ttbz29" localSheetId="4">'[4]Overlap two correlations (n1)'!$T$33</definedName>
    <definedName name="ttbz29" localSheetId="3">'[4]Overlap two correlations (n1)'!$T$33</definedName>
    <definedName name="ttbz29" localSheetId="6">'[4]Overlap two correlations (n1)'!$T$33</definedName>
    <definedName name="ttbz29" localSheetId="8">'[4]Overlap two correlations (n1)'!$T$33</definedName>
    <definedName name="ttbz29">'[4]Overlap two correlations (n1)'!$T$33</definedName>
    <definedName name="ttbz3" localSheetId="11">'[4]Overlap two correlations (n1)'!$T$7</definedName>
    <definedName name="ttbz3" localSheetId="9">'[4]Overlap two correlations (n1)'!$T$7</definedName>
    <definedName name="ttbz3" localSheetId="10">'[4]Overlap two correlations (n1)'!$T$7</definedName>
    <definedName name="ttbz3" localSheetId="5">'[4]Overlap two correlations (n1)'!$T$7</definedName>
    <definedName name="ttbz3" localSheetId="7">'[4]Overlap two correlations (n1)'!$T$7</definedName>
    <definedName name="ttbz3" localSheetId="12">'[5]Overlap two correlations (n1)'!$T$7</definedName>
    <definedName name="ttbz3" localSheetId="4">'[4]Overlap two correlations (n1)'!$T$7</definedName>
    <definedName name="ttbz3" localSheetId="3">'[4]Overlap two correlations (n1)'!$T$7</definedName>
    <definedName name="ttbz3" localSheetId="6">'[4]Overlap two correlations (n1)'!$T$7</definedName>
    <definedName name="ttbz3" localSheetId="8">'[4]Overlap two correlations (n1)'!$T$7</definedName>
    <definedName name="ttbz3">'[4]Overlap two correlations (n1)'!$T$7</definedName>
    <definedName name="ttbz30" localSheetId="11">'[4]Overlap two correlations (n1)'!$T$34</definedName>
    <definedName name="ttbz30" localSheetId="9">'[4]Overlap two correlations (n1)'!$T$34</definedName>
    <definedName name="ttbz30" localSheetId="10">'[4]Overlap two correlations (n1)'!$T$34</definedName>
    <definedName name="ttbz30" localSheetId="5">'[4]Overlap two correlations (n1)'!$T$34</definedName>
    <definedName name="ttbz30" localSheetId="7">'[4]Overlap two correlations (n1)'!$T$34</definedName>
    <definedName name="ttbz30" localSheetId="12">'[5]Overlap two correlations (n1)'!$T$34</definedName>
    <definedName name="ttbz30" localSheetId="4">'[4]Overlap two correlations (n1)'!$T$34</definedName>
    <definedName name="ttbz30" localSheetId="3">'[4]Overlap two correlations (n1)'!$T$34</definedName>
    <definedName name="ttbz30" localSheetId="6">'[4]Overlap two correlations (n1)'!$T$34</definedName>
    <definedName name="ttbz30" localSheetId="8">'[4]Overlap two correlations (n1)'!$T$34</definedName>
    <definedName name="ttbz30">'[4]Overlap two correlations (n1)'!$T$34</definedName>
    <definedName name="ttbz31" localSheetId="11">'[4]Overlap two correlations (n1)'!$T$35</definedName>
    <definedName name="ttbz31" localSheetId="9">'[4]Overlap two correlations (n1)'!$T$35</definedName>
    <definedName name="ttbz31" localSheetId="10">'[4]Overlap two correlations (n1)'!$T$35</definedName>
    <definedName name="ttbz31" localSheetId="5">'[4]Overlap two correlations (n1)'!$T$35</definedName>
    <definedName name="ttbz31" localSheetId="7">'[4]Overlap two correlations (n1)'!$T$35</definedName>
    <definedName name="ttbz31" localSheetId="12">'[5]Overlap two correlations (n1)'!$T$35</definedName>
    <definedName name="ttbz31" localSheetId="4">'[4]Overlap two correlations (n1)'!$T$35</definedName>
    <definedName name="ttbz31" localSheetId="3">'[4]Overlap two correlations (n1)'!$T$35</definedName>
    <definedName name="ttbz31" localSheetId="6">'[4]Overlap two correlations (n1)'!$T$35</definedName>
    <definedName name="ttbz31" localSheetId="8">'[4]Overlap two correlations (n1)'!$T$35</definedName>
    <definedName name="ttbz31">'[4]Overlap two correlations (n1)'!$T$35</definedName>
    <definedName name="ttbz32" localSheetId="11">'[4]Overlap two correlations (n1)'!$T$36</definedName>
    <definedName name="ttbz32" localSheetId="9">'[4]Overlap two correlations (n1)'!$T$36</definedName>
    <definedName name="ttbz32" localSheetId="10">'[4]Overlap two correlations (n1)'!$T$36</definedName>
    <definedName name="ttbz32" localSheetId="5">'[4]Overlap two correlations (n1)'!$T$36</definedName>
    <definedName name="ttbz32" localSheetId="7">'[4]Overlap two correlations (n1)'!$T$36</definedName>
    <definedName name="ttbz32" localSheetId="12">'[5]Overlap two correlations (n1)'!$T$36</definedName>
    <definedName name="ttbz32" localSheetId="4">'[4]Overlap two correlations (n1)'!$T$36</definedName>
    <definedName name="ttbz32" localSheetId="3">'[4]Overlap two correlations (n1)'!$T$36</definedName>
    <definedName name="ttbz32" localSheetId="6">'[4]Overlap two correlations (n1)'!$T$36</definedName>
    <definedName name="ttbz32" localSheetId="8">'[4]Overlap two correlations (n1)'!$T$36</definedName>
    <definedName name="ttbz32">'[4]Overlap two correlations (n1)'!$T$36</definedName>
    <definedName name="ttbz33" localSheetId="11">'[4]Overlap two correlations (n1)'!$T$37</definedName>
    <definedName name="ttbz33" localSheetId="9">'[4]Overlap two correlations (n1)'!$T$37</definedName>
    <definedName name="ttbz33" localSheetId="10">'[4]Overlap two correlations (n1)'!$T$37</definedName>
    <definedName name="ttbz33" localSheetId="5">'[4]Overlap two correlations (n1)'!$T$37</definedName>
    <definedName name="ttbz33" localSheetId="7">'[4]Overlap two correlations (n1)'!$T$37</definedName>
    <definedName name="ttbz33" localSheetId="12">'[5]Overlap two correlations (n1)'!$T$37</definedName>
    <definedName name="ttbz33" localSheetId="4">'[4]Overlap two correlations (n1)'!$T$37</definedName>
    <definedName name="ttbz33" localSheetId="3">'[4]Overlap two correlations (n1)'!$T$37</definedName>
    <definedName name="ttbz33" localSheetId="6">'[4]Overlap two correlations (n1)'!$T$37</definedName>
    <definedName name="ttbz33" localSheetId="8">'[4]Overlap two correlations (n1)'!$T$37</definedName>
    <definedName name="ttbz33">'[4]Overlap two correlations (n1)'!$T$37</definedName>
    <definedName name="ttbz34" localSheetId="11">'[4]Overlap two correlations (n1)'!$T$38</definedName>
    <definedName name="ttbz34" localSheetId="9">'[4]Overlap two correlations (n1)'!$T$38</definedName>
    <definedName name="ttbz34" localSheetId="10">'[4]Overlap two correlations (n1)'!$T$38</definedName>
    <definedName name="ttbz34" localSheetId="5">'[4]Overlap two correlations (n1)'!$T$38</definedName>
    <definedName name="ttbz34" localSheetId="7">'[4]Overlap two correlations (n1)'!$T$38</definedName>
    <definedName name="ttbz34" localSheetId="12">'[5]Overlap two correlations (n1)'!$T$38</definedName>
    <definedName name="ttbz34" localSheetId="4">'[4]Overlap two correlations (n1)'!$T$38</definedName>
    <definedName name="ttbz34" localSheetId="3">'[4]Overlap two correlations (n1)'!$T$38</definedName>
    <definedName name="ttbz34" localSheetId="6">'[4]Overlap two correlations (n1)'!$T$38</definedName>
    <definedName name="ttbz34" localSheetId="8">'[4]Overlap two correlations (n1)'!$T$38</definedName>
    <definedName name="ttbz34">'[4]Overlap two correlations (n1)'!$T$38</definedName>
    <definedName name="ttbz35" localSheetId="11">'[4]Overlap two correlations (n1)'!$T$39</definedName>
    <definedName name="ttbz35" localSheetId="9">'[4]Overlap two correlations (n1)'!$T$39</definedName>
    <definedName name="ttbz35" localSheetId="10">'[4]Overlap two correlations (n1)'!$T$39</definedName>
    <definedName name="ttbz35" localSheetId="5">'[4]Overlap two correlations (n1)'!$T$39</definedName>
    <definedName name="ttbz35" localSheetId="7">'[4]Overlap two correlations (n1)'!$T$39</definedName>
    <definedName name="ttbz35" localSheetId="12">'[5]Overlap two correlations (n1)'!$T$39</definedName>
    <definedName name="ttbz35" localSheetId="4">'[4]Overlap two correlations (n1)'!$T$39</definedName>
    <definedName name="ttbz35" localSheetId="3">'[4]Overlap two correlations (n1)'!$T$39</definedName>
    <definedName name="ttbz35" localSheetId="6">'[4]Overlap two correlations (n1)'!$T$39</definedName>
    <definedName name="ttbz35" localSheetId="8">'[4]Overlap two correlations (n1)'!$T$39</definedName>
    <definedName name="ttbz35">'[4]Overlap two correlations (n1)'!$T$39</definedName>
    <definedName name="ttbz36" localSheetId="11">'[4]Overlap two correlations (n1)'!$T$40</definedName>
    <definedName name="ttbz36" localSheetId="9">'[4]Overlap two correlations (n1)'!$T$40</definedName>
    <definedName name="ttbz36" localSheetId="10">'[4]Overlap two correlations (n1)'!$T$40</definedName>
    <definedName name="ttbz36" localSheetId="5">'[4]Overlap two correlations (n1)'!$T$40</definedName>
    <definedName name="ttbz36" localSheetId="7">'[4]Overlap two correlations (n1)'!$T$40</definedName>
    <definedName name="ttbz36" localSheetId="12">'[5]Overlap two correlations (n1)'!$T$40</definedName>
    <definedName name="ttbz36" localSheetId="4">'[4]Overlap two correlations (n1)'!$T$40</definedName>
    <definedName name="ttbz36" localSheetId="3">'[4]Overlap two correlations (n1)'!$T$40</definedName>
    <definedName name="ttbz36" localSheetId="6">'[4]Overlap two correlations (n1)'!$T$40</definedName>
    <definedName name="ttbz36" localSheetId="8">'[4]Overlap two correlations (n1)'!$T$40</definedName>
    <definedName name="ttbz36">'[4]Overlap two correlations (n1)'!$T$40</definedName>
    <definedName name="ttbz37" localSheetId="11">'[4]Overlap two correlations (n1)'!$T$41</definedName>
    <definedName name="ttbz37" localSheetId="9">'[4]Overlap two correlations (n1)'!$T$41</definedName>
    <definedName name="ttbz37" localSheetId="10">'[4]Overlap two correlations (n1)'!$T$41</definedName>
    <definedName name="ttbz37" localSheetId="5">'[4]Overlap two correlations (n1)'!$T$41</definedName>
    <definedName name="ttbz37" localSheetId="7">'[4]Overlap two correlations (n1)'!$T$41</definedName>
    <definedName name="ttbz37" localSheetId="12">'[5]Overlap two correlations (n1)'!$T$41</definedName>
    <definedName name="ttbz37" localSheetId="4">'[4]Overlap two correlations (n1)'!$T$41</definedName>
    <definedName name="ttbz37" localSheetId="3">'[4]Overlap two correlations (n1)'!$T$41</definedName>
    <definedName name="ttbz37" localSheetId="6">'[4]Overlap two correlations (n1)'!$T$41</definedName>
    <definedName name="ttbz37" localSheetId="8">'[4]Overlap two correlations (n1)'!$T$41</definedName>
    <definedName name="ttbz37">'[4]Overlap two correlations (n1)'!$T$41</definedName>
    <definedName name="ttbz38" localSheetId="11">'[4]Overlap two correlations (n1)'!$T$42</definedName>
    <definedName name="ttbz38" localSheetId="9">'[4]Overlap two correlations (n1)'!$T$42</definedName>
    <definedName name="ttbz38" localSheetId="10">'[4]Overlap two correlations (n1)'!$T$42</definedName>
    <definedName name="ttbz38" localSheetId="5">'[4]Overlap two correlations (n1)'!$T$42</definedName>
    <definedName name="ttbz38" localSheetId="7">'[4]Overlap two correlations (n1)'!$T$42</definedName>
    <definedName name="ttbz38" localSheetId="12">'[5]Overlap two correlations (n1)'!$T$42</definedName>
    <definedName name="ttbz38" localSheetId="4">'[4]Overlap two correlations (n1)'!$T$42</definedName>
    <definedName name="ttbz38" localSheetId="3">'[4]Overlap two correlations (n1)'!$T$42</definedName>
    <definedName name="ttbz38" localSheetId="6">'[4]Overlap two correlations (n1)'!$T$42</definedName>
    <definedName name="ttbz38" localSheetId="8">'[4]Overlap two correlations (n1)'!$T$42</definedName>
    <definedName name="ttbz38">'[4]Overlap two correlations (n1)'!$T$42</definedName>
    <definedName name="ttbz39" localSheetId="11">'[4]Overlap two correlations (n1)'!$T$43</definedName>
    <definedName name="ttbz39" localSheetId="9">'[4]Overlap two correlations (n1)'!$T$43</definedName>
    <definedName name="ttbz39" localSheetId="10">'[4]Overlap two correlations (n1)'!$T$43</definedName>
    <definedName name="ttbz39" localSheetId="5">'[4]Overlap two correlations (n1)'!$T$43</definedName>
    <definedName name="ttbz39" localSheetId="7">'[4]Overlap two correlations (n1)'!$T$43</definedName>
    <definedName name="ttbz39" localSheetId="12">'[5]Overlap two correlations (n1)'!$T$43</definedName>
    <definedName name="ttbz39" localSheetId="4">'[4]Overlap two correlations (n1)'!$T$43</definedName>
    <definedName name="ttbz39" localSheetId="3">'[4]Overlap two correlations (n1)'!$T$43</definedName>
    <definedName name="ttbz39" localSheetId="6">'[4]Overlap two correlations (n1)'!$T$43</definedName>
    <definedName name="ttbz39" localSheetId="8">'[4]Overlap two correlations (n1)'!$T$43</definedName>
    <definedName name="ttbz39">'[4]Overlap two correlations (n1)'!$T$43</definedName>
    <definedName name="ttbz4" localSheetId="11">'[4]Overlap two correlations (n1)'!$T$8</definedName>
    <definedName name="ttbz4" localSheetId="9">'[4]Overlap two correlations (n1)'!$T$8</definedName>
    <definedName name="ttbz4" localSheetId="10">'[4]Overlap two correlations (n1)'!$T$8</definedName>
    <definedName name="ttbz4" localSheetId="5">'[4]Overlap two correlations (n1)'!$T$8</definedName>
    <definedName name="ttbz4" localSheetId="7">'[4]Overlap two correlations (n1)'!$T$8</definedName>
    <definedName name="ttbz4" localSheetId="12">'[5]Overlap two correlations (n1)'!$T$8</definedName>
    <definedName name="ttbz4" localSheetId="4">'[4]Overlap two correlations (n1)'!$T$8</definedName>
    <definedName name="ttbz4" localSheetId="3">'[4]Overlap two correlations (n1)'!$T$8</definedName>
    <definedName name="ttbz4" localSheetId="6">'[4]Overlap two correlations (n1)'!$T$8</definedName>
    <definedName name="ttbz4" localSheetId="8">'[4]Overlap two correlations (n1)'!$T$8</definedName>
    <definedName name="ttbz4">'[4]Overlap two correlations (n1)'!$T$8</definedName>
    <definedName name="ttbz40" localSheetId="11">'[4]Overlap two correlations (n1)'!$T$44</definedName>
    <definedName name="ttbz40" localSheetId="9">'[4]Overlap two correlations (n1)'!$T$44</definedName>
    <definedName name="ttbz40" localSheetId="10">'[4]Overlap two correlations (n1)'!$T$44</definedName>
    <definedName name="ttbz40" localSheetId="5">'[4]Overlap two correlations (n1)'!$T$44</definedName>
    <definedName name="ttbz40" localSheetId="7">'[4]Overlap two correlations (n1)'!$T$44</definedName>
    <definedName name="ttbz40" localSheetId="12">'[5]Overlap two correlations (n1)'!$T$44</definedName>
    <definedName name="ttbz40" localSheetId="4">'[4]Overlap two correlations (n1)'!$T$44</definedName>
    <definedName name="ttbz40" localSheetId="3">'[4]Overlap two correlations (n1)'!$T$44</definedName>
    <definedName name="ttbz40" localSheetId="6">'[4]Overlap two correlations (n1)'!$T$44</definedName>
    <definedName name="ttbz40" localSheetId="8">'[4]Overlap two correlations (n1)'!$T$44</definedName>
    <definedName name="ttbz40">'[4]Overlap two correlations (n1)'!$T$44</definedName>
    <definedName name="ttbz41" localSheetId="11">'[4]Overlap two correlations (n1)'!$T$45</definedName>
    <definedName name="ttbz41" localSheetId="9">'[4]Overlap two correlations (n1)'!$T$45</definedName>
    <definedName name="ttbz41" localSheetId="10">'[4]Overlap two correlations (n1)'!$T$45</definedName>
    <definedName name="ttbz41" localSheetId="5">'[4]Overlap two correlations (n1)'!$T$45</definedName>
    <definedName name="ttbz41" localSheetId="7">'[4]Overlap two correlations (n1)'!$T$45</definedName>
    <definedName name="ttbz41" localSheetId="12">'[5]Overlap two correlations (n1)'!$T$45</definedName>
    <definedName name="ttbz41" localSheetId="4">'[4]Overlap two correlations (n1)'!$T$45</definedName>
    <definedName name="ttbz41" localSheetId="3">'[4]Overlap two correlations (n1)'!$T$45</definedName>
    <definedName name="ttbz41" localSheetId="6">'[4]Overlap two correlations (n1)'!$T$45</definedName>
    <definedName name="ttbz41" localSheetId="8">'[4]Overlap two correlations (n1)'!$T$45</definedName>
    <definedName name="ttbz41">'[4]Overlap two correlations (n1)'!$T$45</definedName>
    <definedName name="ttbz42" localSheetId="11">'[4]Overlap two correlations (n1)'!$T$46</definedName>
    <definedName name="ttbz42" localSheetId="9">'[4]Overlap two correlations (n1)'!$T$46</definedName>
    <definedName name="ttbz42" localSheetId="10">'[4]Overlap two correlations (n1)'!$T$46</definedName>
    <definedName name="ttbz42" localSheetId="5">'[4]Overlap two correlations (n1)'!$T$46</definedName>
    <definedName name="ttbz42" localSheetId="7">'[4]Overlap two correlations (n1)'!$T$46</definedName>
    <definedName name="ttbz42" localSheetId="12">'[5]Overlap two correlations (n1)'!$T$46</definedName>
    <definedName name="ttbz42" localSheetId="4">'[4]Overlap two correlations (n1)'!$T$46</definedName>
    <definedName name="ttbz42" localSheetId="3">'[4]Overlap two correlations (n1)'!$T$46</definedName>
    <definedName name="ttbz42" localSheetId="6">'[4]Overlap two correlations (n1)'!$T$46</definedName>
    <definedName name="ttbz42" localSheetId="8">'[4]Overlap two correlations (n1)'!$T$46</definedName>
    <definedName name="ttbz42">'[4]Overlap two correlations (n1)'!$T$46</definedName>
    <definedName name="ttbz43" localSheetId="11">'[4]Overlap two correlations (n1)'!$T$47</definedName>
    <definedName name="ttbz43" localSheetId="9">'[4]Overlap two correlations (n1)'!$T$47</definedName>
    <definedName name="ttbz43" localSheetId="10">'[4]Overlap two correlations (n1)'!$T$47</definedName>
    <definedName name="ttbz43" localSheetId="5">'[4]Overlap two correlations (n1)'!$T$47</definedName>
    <definedName name="ttbz43" localSheetId="7">'[4]Overlap two correlations (n1)'!$T$47</definedName>
    <definedName name="ttbz43" localSheetId="12">'[5]Overlap two correlations (n1)'!$T$47</definedName>
    <definedName name="ttbz43" localSheetId="4">'[4]Overlap two correlations (n1)'!$T$47</definedName>
    <definedName name="ttbz43" localSheetId="3">'[4]Overlap two correlations (n1)'!$T$47</definedName>
    <definedName name="ttbz43" localSheetId="6">'[4]Overlap two correlations (n1)'!$T$47</definedName>
    <definedName name="ttbz43" localSheetId="8">'[4]Overlap two correlations (n1)'!$T$47</definedName>
    <definedName name="ttbz43">'[4]Overlap two correlations (n1)'!$T$47</definedName>
    <definedName name="ttbz44" localSheetId="11">'[4]Overlap two correlations (n1)'!$T$48</definedName>
    <definedName name="ttbz44" localSheetId="9">'[4]Overlap two correlations (n1)'!$T$48</definedName>
    <definedName name="ttbz44" localSheetId="10">'[4]Overlap two correlations (n1)'!$T$48</definedName>
    <definedName name="ttbz44" localSheetId="5">'[4]Overlap two correlations (n1)'!$T$48</definedName>
    <definedName name="ttbz44" localSheetId="7">'[4]Overlap two correlations (n1)'!$T$48</definedName>
    <definedName name="ttbz44" localSheetId="12">'[5]Overlap two correlations (n1)'!$T$48</definedName>
    <definedName name="ttbz44" localSheetId="4">'[4]Overlap two correlations (n1)'!$T$48</definedName>
    <definedName name="ttbz44" localSheetId="3">'[4]Overlap two correlations (n1)'!$T$48</definedName>
    <definedName name="ttbz44" localSheetId="6">'[4]Overlap two correlations (n1)'!$T$48</definedName>
    <definedName name="ttbz44" localSheetId="8">'[4]Overlap two correlations (n1)'!$T$48</definedName>
    <definedName name="ttbz44">'[4]Overlap two correlations (n1)'!$T$48</definedName>
    <definedName name="ttbz45" localSheetId="11">'[4]Overlap two correlations (n1)'!$T$49</definedName>
    <definedName name="ttbz45" localSheetId="9">'[4]Overlap two correlations (n1)'!$T$49</definedName>
    <definedName name="ttbz45" localSheetId="10">'[4]Overlap two correlations (n1)'!$T$49</definedName>
    <definedName name="ttbz45" localSheetId="5">'[4]Overlap two correlations (n1)'!$T$49</definedName>
    <definedName name="ttbz45" localSheetId="7">'[4]Overlap two correlations (n1)'!$T$49</definedName>
    <definedName name="ttbz45" localSheetId="12">'[5]Overlap two correlations (n1)'!$T$49</definedName>
    <definedName name="ttbz45" localSheetId="4">'[4]Overlap two correlations (n1)'!$T$49</definedName>
    <definedName name="ttbz45" localSheetId="3">'[4]Overlap two correlations (n1)'!$T$49</definedName>
    <definedName name="ttbz45" localSheetId="6">'[4]Overlap two correlations (n1)'!$T$49</definedName>
    <definedName name="ttbz45" localSheetId="8">'[4]Overlap two correlations (n1)'!$T$49</definedName>
    <definedName name="ttbz45">'[4]Overlap two correlations (n1)'!$T$49</definedName>
    <definedName name="ttbz46" localSheetId="11">'[4]Overlap two correlations (n1)'!$T$50</definedName>
    <definedName name="ttbz46" localSheetId="9">'[4]Overlap two correlations (n1)'!$T$50</definedName>
    <definedName name="ttbz46" localSheetId="10">'[4]Overlap two correlations (n1)'!$T$50</definedName>
    <definedName name="ttbz46" localSheetId="5">'[4]Overlap two correlations (n1)'!$T$50</definedName>
    <definedName name="ttbz46" localSheetId="7">'[4]Overlap two correlations (n1)'!$T$50</definedName>
    <definedName name="ttbz46" localSheetId="12">'[5]Overlap two correlations (n1)'!$T$50</definedName>
    <definedName name="ttbz46" localSheetId="4">'[4]Overlap two correlations (n1)'!$T$50</definedName>
    <definedName name="ttbz46" localSheetId="3">'[4]Overlap two correlations (n1)'!$T$50</definedName>
    <definedName name="ttbz46" localSheetId="6">'[4]Overlap two correlations (n1)'!$T$50</definedName>
    <definedName name="ttbz46" localSheetId="8">'[4]Overlap two correlations (n1)'!$T$50</definedName>
    <definedName name="ttbz46">'[4]Overlap two correlations (n1)'!$T$50</definedName>
    <definedName name="ttbz47" localSheetId="11">'[4]Overlap two correlations (n1)'!$T$51</definedName>
    <definedName name="ttbz47" localSheetId="9">'[4]Overlap two correlations (n1)'!$T$51</definedName>
    <definedName name="ttbz47" localSheetId="10">'[4]Overlap two correlations (n1)'!$T$51</definedName>
    <definedName name="ttbz47" localSheetId="5">'[4]Overlap two correlations (n1)'!$T$51</definedName>
    <definedName name="ttbz47" localSheetId="7">'[4]Overlap two correlations (n1)'!$T$51</definedName>
    <definedName name="ttbz47" localSheetId="12">'[5]Overlap two correlations (n1)'!$T$51</definedName>
    <definedName name="ttbz47" localSheetId="4">'[4]Overlap two correlations (n1)'!$T$51</definedName>
    <definedName name="ttbz47" localSheetId="3">'[4]Overlap two correlations (n1)'!$T$51</definedName>
    <definedName name="ttbz47" localSheetId="6">'[4]Overlap two correlations (n1)'!$T$51</definedName>
    <definedName name="ttbz47" localSheetId="8">'[4]Overlap two correlations (n1)'!$T$51</definedName>
    <definedName name="ttbz47">'[4]Overlap two correlations (n1)'!$T$51</definedName>
    <definedName name="ttbz48" localSheetId="11">'[4]Overlap two correlations (n1)'!$T$52</definedName>
    <definedName name="ttbz48" localSheetId="9">'[4]Overlap two correlations (n1)'!$T$52</definedName>
    <definedName name="ttbz48" localSheetId="10">'[4]Overlap two correlations (n1)'!$T$52</definedName>
    <definedName name="ttbz48" localSheetId="5">'[4]Overlap two correlations (n1)'!$T$52</definedName>
    <definedName name="ttbz48" localSheetId="7">'[4]Overlap two correlations (n1)'!$T$52</definedName>
    <definedName name="ttbz48" localSheetId="12">'[5]Overlap two correlations (n1)'!$T$52</definedName>
    <definedName name="ttbz48" localSheetId="4">'[4]Overlap two correlations (n1)'!$T$52</definedName>
    <definedName name="ttbz48" localSheetId="3">'[4]Overlap two correlations (n1)'!$T$52</definedName>
    <definedName name="ttbz48" localSheetId="6">'[4]Overlap two correlations (n1)'!$T$52</definedName>
    <definedName name="ttbz48" localSheetId="8">'[4]Overlap two correlations (n1)'!$T$52</definedName>
    <definedName name="ttbz48">'[4]Overlap two correlations (n1)'!$T$52</definedName>
    <definedName name="ttbz49" localSheetId="11">'[4]Overlap two correlations (n1)'!$T$53</definedName>
    <definedName name="ttbz49" localSheetId="9">'[4]Overlap two correlations (n1)'!$T$53</definedName>
    <definedName name="ttbz49" localSheetId="10">'[4]Overlap two correlations (n1)'!$T$53</definedName>
    <definedName name="ttbz49" localSheetId="5">'[4]Overlap two correlations (n1)'!$T$53</definedName>
    <definedName name="ttbz49" localSheetId="7">'[4]Overlap two correlations (n1)'!$T$53</definedName>
    <definedName name="ttbz49" localSheetId="12">'[5]Overlap two correlations (n1)'!$T$53</definedName>
    <definedName name="ttbz49" localSheetId="4">'[4]Overlap two correlations (n1)'!$T$53</definedName>
    <definedName name="ttbz49" localSheetId="3">'[4]Overlap two correlations (n1)'!$T$53</definedName>
    <definedName name="ttbz49" localSheetId="6">'[4]Overlap two correlations (n1)'!$T$53</definedName>
    <definedName name="ttbz49" localSheetId="8">'[4]Overlap two correlations (n1)'!$T$53</definedName>
    <definedName name="ttbz49">'[4]Overlap two correlations (n1)'!$T$53</definedName>
    <definedName name="ttbz5" localSheetId="11">'[4]Overlap two correlations (n1)'!$T$9</definedName>
    <definedName name="ttbz5" localSheetId="9">'[4]Overlap two correlations (n1)'!$T$9</definedName>
    <definedName name="ttbz5" localSheetId="10">'[4]Overlap two correlations (n1)'!$T$9</definedName>
    <definedName name="ttbz5" localSheetId="5">'[4]Overlap two correlations (n1)'!$T$9</definedName>
    <definedName name="ttbz5" localSheetId="7">'[4]Overlap two correlations (n1)'!$T$9</definedName>
    <definedName name="ttbz5" localSheetId="12">'[5]Overlap two correlations (n1)'!$T$9</definedName>
    <definedName name="ttbz5" localSheetId="4">'[4]Overlap two correlations (n1)'!$T$9</definedName>
    <definedName name="ttbz5" localSheetId="3">'[4]Overlap two correlations (n1)'!$T$9</definedName>
    <definedName name="ttbz5" localSheetId="6">'[4]Overlap two correlations (n1)'!$T$9</definedName>
    <definedName name="ttbz5" localSheetId="8">'[4]Overlap two correlations (n1)'!$T$9</definedName>
    <definedName name="ttbz5">'[4]Overlap two correlations (n1)'!$T$9</definedName>
    <definedName name="ttbz50" localSheetId="11">'[4]Overlap two correlations (n1)'!$T$54</definedName>
    <definedName name="ttbz50" localSheetId="9">'[4]Overlap two correlations (n1)'!$T$54</definedName>
    <definedName name="ttbz50" localSheetId="10">'[4]Overlap two correlations (n1)'!$T$54</definedName>
    <definedName name="ttbz50" localSheetId="5">'[4]Overlap two correlations (n1)'!$T$54</definedName>
    <definedName name="ttbz50" localSheetId="7">'[4]Overlap two correlations (n1)'!$T$54</definedName>
    <definedName name="ttbz50" localSheetId="12">'[5]Overlap two correlations (n1)'!$T$54</definedName>
    <definedName name="ttbz50" localSheetId="4">'[4]Overlap two correlations (n1)'!$T$54</definedName>
    <definedName name="ttbz50" localSheetId="3">'[4]Overlap two correlations (n1)'!$T$54</definedName>
    <definedName name="ttbz50" localSheetId="6">'[4]Overlap two correlations (n1)'!$T$54</definedName>
    <definedName name="ttbz50" localSheetId="8">'[4]Overlap two correlations (n1)'!$T$54</definedName>
    <definedName name="ttbz50">'[4]Overlap two correlations (n1)'!$T$54</definedName>
    <definedName name="ttbz51" localSheetId="11">'[4]Overlap two correlations (n1)'!$T$55</definedName>
    <definedName name="ttbz51" localSheetId="9">'[4]Overlap two correlations (n1)'!$T$55</definedName>
    <definedName name="ttbz51" localSheetId="10">'[4]Overlap two correlations (n1)'!$T$55</definedName>
    <definedName name="ttbz51" localSheetId="5">'[4]Overlap two correlations (n1)'!$T$55</definedName>
    <definedName name="ttbz51" localSheetId="7">'[4]Overlap two correlations (n1)'!$T$55</definedName>
    <definedName name="ttbz51" localSheetId="12">'[5]Overlap two correlations (n1)'!$T$55</definedName>
    <definedName name="ttbz51" localSheetId="4">'[4]Overlap two correlations (n1)'!$T$55</definedName>
    <definedName name="ttbz51" localSheetId="3">'[4]Overlap two correlations (n1)'!$T$55</definedName>
    <definedName name="ttbz51" localSheetId="6">'[4]Overlap two correlations (n1)'!$T$55</definedName>
    <definedName name="ttbz51" localSheetId="8">'[4]Overlap two correlations (n1)'!$T$55</definedName>
    <definedName name="ttbz51">'[4]Overlap two correlations (n1)'!$T$55</definedName>
    <definedName name="ttbz52" localSheetId="11">'[4]Overlap two correlations (n1)'!$T$56</definedName>
    <definedName name="ttbz52" localSheetId="9">'[4]Overlap two correlations (n1)'!$T$56</definedName>
    <definedName name="ttbz52" localSheetId="10">'[4]Overlap two correlations (n1)'!$T$56</definedName>
    <definedName name="ttbz52" localSheetId="5">'[4]Overlap two correlations (n1)'!$T$56</definedName>
    <definedName name="ttbz52" localSheetId="7">'[4]Overlap two correlations (n1)'!$T$56</definedName>
    <definedName name="ttbz52" localSheetId="12">'[5]Overlap two correlations (n1)'!$T$56</definedName>
    <definedName name="ttbz52" localSheetId="4">'[4]Overlap two correlations (n1)'!$T$56</definedName>
    <definedName name="ttbz52" localSheetId="3">'[4]Overlap two correlations (n1)'!$T$56</definedName>
    <definedName name="ttbz52" localSheetId="6">'[4]Overlap two correlations (n1)'!$T$56</definedName>
    <definedName name="ttbz52" localSheetId="8">'[4]Overlap two correlations (n1)'!$T$56</definedName>
    <definedName name="ttbz52">'[4]Overlap two correlations (n1)'!$T$56</definedName>
    <definedName name="ttbz53" localSheetId="11">'[4]Overlap two correlations (n1)'!$T$57</definedName>
    <definedName name="ttbz53" localSheetId="9">'[4]Overlap two correlations (n1)'!$T$57</definedName>
    <definedName name="ttbz53" localSheetId="10">'[4]Overlap two correlations (n1)'!$T$57</definedName>
    <definedName name="ttbz53" localSheetId="5">'[4]Overlap two correlations (n1)'!$T$57</definedName>
    <definedName name="ttbz53" localSheetId="7">'[4]Overlap two correlations (n1)'!$T$57</definedName>
    <definedName name="ttbz53" localSheetId="12">'[5]Overlap two correlations (n1)'!$T$57</definedName>
    <definedName name="ttbz53" localSheetId="4">'[4]Overlap two correlations (n1)'!$T$57</definedName>
    <definedName name="ttbz53" localSheetId="3">'[4]Overlap two correlations (n1)'!$T$57</definedName>
    <definedName name="ttbz53" localSheetId="6">'[4]Overlap two correlations (n1)'!$T$57</definedName>
    <definedName name="ttbz53" localSheetId="8">'[4]Overlap two correlations (n1)'!$T$57</definedName>
    <definedName name="ttbz53">'[4]Overlap two correlations (n1)'!$T$57</definedName>
    <definedName name="ttbz54" localSheetId="11">'[4]Overlap two correlations (n1)'!$T$58</definedName>
    <definedName name="ttbz54" localSheetId="9">'[4]Overlap two correlations (n1)'!$T$58</definedName>
    <definedName name="ttbz54" localSheetId="10">'[4]Overlap two correlations (n1)'!$T$58</definedName>
    <definedName name="ttbz54" localSheetId="5">'[4]Overlap two correlations (n1)'!$T$58</definedName>
    <definedName name="ttbz54" localSheetId="7">'[4]Overlap two correlations (n1)'!$T$58</definedName>
    <definedName name="ttbz54" localSheetId="12">'[5]Overlap two correlations (n1)'!$T$58</definedName>
    <definedName name="ttbz54" localSheetId="4">'[4]Overlap two correlations (n1)'!$T$58</definedName>
    <definedName name="ttbz54" localSheetId="3">'[4]Overlap two correlations (n1)'!$T$58</definedName>
    <definedName name="ttbz54" localSheetId="6">'[4]Overlap two correlations (n1)'!$T$58</definedName>
    <definedName name="ttbz54" localSheetId="8">'[4]Overlap two correlations (n1)'!$T$58</definedName>
    <definedName name="ttbz54">'[4]Overlap two correlations (n1)'!$T$58</definedName>
    <definedName name="ttbz55" localSheetId="11">'[4]Overlap two correlations (n1)'!$T$59</definedName>
    <definedName name="ttbz55" localSheetId="9">'[4]Overlap two correlations (n1)'!$T$59</definedName>
    <definedName name="ttbz55" localSheetId="10">'[4]Overlap two correlations (n1)'!$T$59</definedName>
    <definedName name="ttbz55" localSheetId="5">'[4]Overlap two correlations (n1)'!$T$59</definedName>
    <definedName name="ttbz55" localSheetId="7">'[4]Overlap two correlations (n1)'!$T$59</definedName>
    <definedName name="ttbz55" localSheetId="12">'[5]Overlap two correlations (n1)'!$T$59</definedName>
    <definedName name="ttbz55" localSheetId="4">'[4]Overlap two correlations (n1)'!$T$59</definedName>
    <definedName name="ttbz55" localSheetId="3">'[4]Overlap two correlations (n1)'!$T$59</definedName>
    <definedName name="ttbz55" localSheetId="6">'[4]Overlap two correlations (n1)'!$T$59</definedName>
    <definedName name="ttbz55" localSheetId="8">'[4]Overlap two correlations (n1)'!$T$59</definedName>
    <definedName name="ttbz55">'[4]Overlap two correlations (n1)'!$T$59</definedName>
    <definedName name="ttbz56" localSheetId="11">'[4]Overlap two correlations (n1)'!$T$60</definedName>
    <definedName name="ttbz56" localSheetId="9">'[4]Overlap two correlations (n1)'!$T$60</definedName>
    <definedName name="ttbz56" localSheetId="10">'[4]Overlap two correlations (n1)'!$T$60</definedName>
    <definedName name="ttbz56" localSheetId="5">'[4]Overlap two correlations (n1)'!$T$60</definedName>
    <definedName name="ttbz56" localSheetId="7">'[4]Overlap two correlations (n1)'!$T$60</definedName>
    <definedName name="ttbz56" localSheetId="12">'[5]Overlap two correlations (n1)'!$T$60</definedName>
    <definedName name="ttbz56" localSheetId="4">'[4]Overlap two correlations (n1)'!$T$60</definedName>
    <definedName name="ttbz56" localSheetId="3">'[4]Overlap two correlations (n1)'!$T$60</definedName>
    <definedName name="ttbz56" localSheetId="6">'[4]Overlap two correlations (n1)'!$T$60</definedName>
    <definedName name="ttbz56" localSheetId="8">'[4]Overlap two correlations (n1)'!$T$60</definedName>
    <definedName name="ttbz56">'[4]Overlap two correlations (n1)'!$T$60</definedName>
    <definedName name="ttbz57" localSheetId="11">'[4]Overlap two correlations (n1)'!$T$61</definedName>
    <definedName name="ttbz57" localSheetId="9">'[4]Overlap two correlations (n1)'!$T$61</definedName>
    <definedName name="ttbz57" localSheetId="10">'[4]Overlap two correlations (n1)'!$T$61</definedName>
    <definedName name="ttbz57" localSheetId="5">'[4]Overlap two correlations (n1)'!$T$61</definedName>
    <definedName name="ttbz57" localSheetId="7">'[4]Overlap two correlations (n1)'!$T$61</definedName>
    <definedName name="ttbz57" localSheetId="12">'[5]Overlap two correlations (n1)'!$T$61</definedName>
    <definedName name="ttbz57" localSheetId="4">'[4]Overlap two correlations (n1)'!$T$61</definedName>
    <definedName name="ttbz57" localSheetId="3">'[4]Overlap two correlations (n1)'!$T$61</definedName>
    <definedName name="ttbz57" localSheetId="6">'[4]Overlap two correlations (n1)'!$T$61</definedName>
    <definedName name="ttbz57" localSheetId="8">'[4]Overlap two correlations (n1)'!$T$61</definedName>
    <definedName name="ttbz57">'[4]Overlap two correlations (n1)'!$T$61</definedName>
    <definedName name="ttbz58" localSheetId="11">'[4]Overlap two correlations (n1)'!$T$62</definedName>
    <definedName name="ttbz58" localSheetId="9">'[4]Overlap two correlations (n1)'!$T$62</definedName>
    <definedName name="ttbz58" localSheetId="10">'[4]Overlap two correlations (n1)'!$T$62</definedName>
    <definedName name="ttbz58" localSheetId="5">'[4]Overlap two correlations (n1)'!$T$62</definedName>
    <definedName name="ttbz58" localSheetId="7">'[4]Overlap two correlations (n1)'!$T$62</definedName>
    <definedName name="ttbz58" localSheetId="12">'[5]Overlap two correlations (n1)'!$T$62</definedName>
    <definedName name="ttbz58" localSheetId="4">'[4]Overlap two correlations (n1)'!$T$62</definedName>
    <definedName name="ttbz58" localSheetId="3">'[4]Overlap two correlations (n1)'!$T$62</definedName>
    <definedName name="ttbz58" localSheetId="6">'[4]Overlap two correlations (n1)'!$T$62</definedName>
    <definedName name="ttbz58" localSheetId="8">'[4]Overlap two correlations (n1)'!$T$62</definedName>
    <definedName name="ttbz58">'[4]Overlap two correlations (n1)'!$T$62</definedName>
    <definedName name="ttbz59" localSheetId="11">'[4]Overlap two correlations (n1)'!$T$63</definedName>
    <definedName name="ttbz59" localSheetId="9">'[4]Overlap two correlations (n1)'!$T$63</definedName>
    <definedName name="ttbz59" localSheetId="10">'[4]Overlap two correlations (n1)'!$T$63</definedName>
    <definedName name="ttbz59" localSheetId="5">'[4]Overlap two correlations (n1)'!$T$63</definedName>
    <definedName name="ttbz59" localSheetId="7">'[4]Overlap two correlations (n1)'!$T$63</definedName>
    <definedName name="ttbz59" localSheetId="12">'[5]Overlap two correlations (n1)'!$T$63</definedName>
    <definedName name="ttbz59" localSheetId="4">'[4]Overlap two correlations (n1)'!$T$63</definedName>
    <definedName name="ttbz59" localSheetId="3">'[4]Overlap two correlations (n1)'!$T$63</definedName>
    <definedName name="ttbz59" localSheetId="6">'[4]Overlap two correlations (n1)'!$T$63</definedName>
    <definedName name="ttbz59" localSheetId="8">'[4]Overlap two correlations (n1)'!$T$63</definedName>
    <definedName name="ttbz59">'[4]Overlap two correlations (n1)'!$T$63</definedName>
    <definedName name="ttbz6" localSheetId="11">'[4]Overlap two correlations (n1)'!$T$10</definedName>
    <definedName name="ttbz6" localSheetId="9">'[4]Overlap two correlations (n1)'!$T$10</definedName>
    <definedName name="ttbz6" localSheetId="10">'[4]Overlap two correlations (n1)'!$T$10</definedName>
    <definedName name="ttbz6" localSheetId="5">'[4]Overlap two correlations (n1)'!$T$10</definedName>
    <definedName name="ttbz6" localSheetId="7">'[4]Overlap two correlations (n1)'!$T$10</definedName>
    <definedName name="ttbz6" localSheetId="12">'[5]Overlap two correlations (n1)'!$T$10</definedName>
    <definedName name="ttbz6" localSheetId="4">'[4]Overlap two correlations (n1)'!$T$10</definedName>
    <definedName name="ttbz6" localSheetId="3">'[4]Overlap two correlations (n1)'!$T$10</definedName>
    <definedName name="ttbz6" localSheetId="6">'[4]Overlap two correlations (n1)'!$T$10</definedName>
    <definedName name="ttbz6" localSheetId="8">'[4]Overlap two correlations (n1)'!$T$10</definedName>
    <definedName name="ttbz6">'[4]Overlap two correlations (n1)'!$T$10</definedName>
    <definedName name="ttbz60" localSheetId="11">'[4]Overlap two correlations (n1)'!$T$64</definedName>
    <definedName name="ttbz60" localSheetId="9">'[4]Overlap two correlations (n1)'!$T$64</definedName>
    <definedName name="ttbz60" localSheetId="10">'[4]Overlap two correlations (n1)'!$T$64</definedName>
    <definedName name="ttbz60" localSheetId="5">'[4]Overlap two correlations (n1)'!$T$64</definedName>
    <definedName name="ttbz60" localSheetId="7">'[4]Overlap two correlations (n1)'!$T$64</definedName>
    <definedName name="ttbz60" localSheetId="12">'[5]Overlap two correlations (n1)'!$T$64</definedName>
    <definedName name="ttbz60" localSheetId="4">'[4]Overlap two correlations (n1)'!$T$64</definedName>
    <definedName name="ttbz60" localSheetId="3">'[4]Overlap two correlations (n1)'!$T$64</definedName>
    <definedName name="ttbz60" localSheetId="6">'[4]Overlap two correlations (n1)'!$T$64</definedName>
    <definedName name="ttbz60" localSheetId="8">'[4]Overlap two correlations (n1)'!$T$64</definedName>
    <definedName name="ttbz60">'[4]Overlap two correlations (n1)'!$T$64</definedName>
    <definedName name="ttbz7" localSheetId="11">'[4]Overlap two correlations (n1)'!$T$11</definedName>
    <definedName name="ttbz7" localSheetId="9">'[4]Overlap two correlations (n1)'!$T$11</definedName>
    <definedName name="ttbz7" localSheetId="10">'[4]Overlap two correlations (n1)'!$T$11</definedName>
    <definedName name="ttbz7" localSheetId="5">'[4]Overlap two correlations (n1)'!$T$11</definedName>
    <definedName name="ttbz7" localSheetId="7">'[4]Overlap two correlations (n1)'!$T$11</definedName>
    <definedName name="ttbz7" localSheetId="12">'[5]Overlap two correlations (n1)'!$T$11</definedName>
    <definedName name="ttbz7" localSheetId="4">'[4]Overlap two correlations (n1)'!$T$11</definedName>
    <definedName name="ttbz7" localSheetId="3">'[4]Overlap two correlations (n1)'!$T$11</definedName>
    <definedName name="ttbz7" localSheetId="6">'[4]Overlap two correlations (n1)'!$T$11</definedName>
    <definedName name="ttbz7" localSheetId="8">'[4]Overlap two correlations (n1)'!$T$11</definedName>
    <definedName name="ttbz7">'[4]Overlap two correlations (n1)'!$T$11</definedName>
    <definedName name="ttbz8" localSheetId="11">'[4]Overlap two correlations (n1)'!$T$12</definedName>
    <definedName name="ttbz8" localSheetId="9">'[4]Overlap two correlations (n1)'!$T$12</definedName>
    <definedName name="ttbz8" localSheetId="10">'[4]Overlap two correlations (n1)'!$T$12</definedName>
    <definedName name="ttbz8" localSheetId="5">'[4]Overlap two correlations (n1)'!$T$12</definedName>
    <definedName name="ttbz8" localSheetId="7">'[4]Overlap two correlations (n1)'!$T$12</definedName>
    <definedName name="ttbz8" localSheetId="12">'[5]Overlap two correlations (n1)'!$T$12</definedName>
    <definedName name="ttbz8" localSheetId="4">'[4]Overlap two correlations (n1)'!$T$12</definedName>
    <definedName name="ttbz8" localSheetId="3">'[4]Overlap two correlations (n1)'!$T$12</definedName>
    <definedName name="ttbz8" localSheetId="6">'[4]Overlap two correlations (n1)'!$T$12</definedName>
    <definedName name="ttbz8" localSheetId="8">'[4]Overlap two correlations (n1)'!$T$12</definedName>
    <definedName name="ttbz8">'[4]Overlap two correlations (n1)'!$T$12</definedName>
    <definedName name="ttbz9" localSheetId="11">'[4]Overlap two correlations (n1)'!$T$13</definedName>
    <definedName name="ttbz9" localSheetId="9">'[4]Overlap two correlations (n1)'!$T$13</definedName>
    <definedName name="ttbz9" localSheetId="10">'[4]Overlap two correlations (n1)'!$T$13</definedName>
    <definedName name="ttbz9" localSheetId="5">'[4]Overlap two correlations (n1)'!$T$13</definedName>
    <definedName name="ttbz9" localSheetId="7">'[4]Overlap two correlations (n1)'!$T$13</definedName>
    <definedName name="ttbz9" localSheetId="12">'[5]Overlap two correlations (n1)'!$T$13</definedName>
    <definedName name="ttbz9" localSheetId="4">'[4]Overlap two correlations (n1)'!$T$13</definedName>
    <definedName name="ttbz9" localSheetId="3">'[4]Overlap two correlations (n1)'!$T$13</definedName>
    <definedName name="ttbz9" localSheetId="6">'[4]Overlap two correlations (n1)'!$T$13</definedName>
    <definedName name="ttbz9" localSheetId="8">'[4]Overlap two correlations (n1)'!$T$13</definedName>
    <definedName name="ttbz9">'[4]Overlap two correlations (n1)'!$T$13</definedName>
    <definedName name="tweak" localSheetId="11">'[15]See r'!$AB$4</definedName>
    <definedName name="tweak" localSheetId="9">'[15]See r'!$AB$4</definedName>
    <definedName name="tweak" localSheetId="10">'[15]See r'!$AB$4</definedName>
    <definedName name="tweak" localSheetId="5">'[16]See r'!$AB$4</definedName>
    <definedName name="tweak" localSheetId="7">'[16]See r'!$AB$4</definedName>
    <definedName name="tweak" localSheetId="12">'[16]See r'!$AB$4</definedName>
    <definedName name="tweak" localSheetId="4">Scatterplots!$DR$7</definedName>
    <definedName name="tweak" localSheetId="3">'See r'!$BD$4</definedName>
    <definedName name="tweak" localSheetId="6">'[16]See r'!$AB$4</definedName>
    <definedName name="tweak" localSheetId="8">'[16]See r'!$AB$4</definedName>
    <definedName name="tweak">'[15]See r'!$AB$4</definedName>
    <definedName name="TwoPropDispCI" localSheetId="11">'[4]Two proportions'!$P$21</definedName>
    <definedName name="TwoPropDispCI" localSheetId="9">'[4]Two proportions'!$P$21</definedName>
    <definedName name="TwoPropDispCI" localSheetId="10">'[4]Two proportions'!$P$21</definedName>
    <definedName name="TwoPropDispCI" localSheetId="5">'[4]Two proportions'!$P$21</definedName>
    <definedName name="TwoPropDispCI" localSheetId="7">'[4]Two proportions'!$P$21</definedName>
    <definedName name="TwoPropDispCI" localSheetId="12">'[5]Two proportions'!$P$21</definedName>
    <definedName name="TwoPropDispCI" localSheetId="4">'[4]Two proportions'!$P$21</definedName>
    <definedName name="TwoPropDispCI" localSheetId="3">'[4]Two proportions'!$P$21</definedName>
    <definedName name="TwoPropDispCI" localSheetId="6">'[4]Two proportions'!$P$21</definedName>
    <definedName name="TwoPropDispCI" localSheetId="8">'[4]Two proportions'!$P$21</definedName>
    <definedName name="TwoPropDispCI">'[4]Two proportions'!$P$21</definedName>
    <definedName name="TwoPropGT" localSheetId="11">'[4]Two proportions'!$R$21</definedName>
    <definedName name="TwoPropGT" localSheetId="9">'[4]Two proportions'!$R$21</definedName>
    <definedName name="TwoPropGT" localSheetId="10">'[4]Two proportions'!$R$21</definedName>
    <definedName name="TwoPropGT" localSheetId="5">'[4]Two proportions'!$R$21</definedName>
    <definedName name="TwoPropGT" localSheetId="7">'[4]Two proportions'!$R$21</definedName>
    <definedName name="TwoPropGT" localSheetId="12">'[5]Two proportions'!$R$21</definedName>
    <definedName name="TwoPropGT" localSheetId="4">'[4]Two proportions'!$R$21</definedName>
    <definedName name="TwoPropGT" localSheetId="3">'[4]Two proportions'!$R$21</definedName>
    <definedName name="TwoPropGT" localSheetId="6">'[4]Two proportions'!$R$21</definedName>
    <definedName name="TwoPropGT" localSheetId="8">'[4]Two proportions'!$R$21</definedName>
    <definedName name="TwoPropGT">'[4]Two proportions'!$R$21</definedName>
    <definedName name="TwoPropLT" localSheetId="11">'[4]Two proportions'!$R$22</definedName>
    <definedName name="TwoPropLT" localSheetId="9">'[4]Two proportions'!$R$22</definedName>
    <definedName name="TwoPropLT" localSheetId="10">'[4]Two proportions'!$R$22</definedName>
    <definedName name="TwoPropLT" localSheetId="5">'[4]Two proportions'!$R$22</definedName>
    <definedName name="TwoPropLT" localSheetId="7">'[4]Two proportions'!$R$22</definedName>
    <definedName name="TwoPropLT" localSheetId="12">'[5]Two proportions'!$R$22</definedName>
    <definedName name="TwoPropLT" localSheetId="4">'[4]Two proportions'!$R$22</definedName>
    <definedName name="TwoPropLT" localSheetId="3">'[4]Two proportions'!$R$22</definedName>
    <definedName name="TwoPropLT" localSheetId="6">'[4]Two proportions'!$R$22</definedName>
    <definedName name="TwoPropLT" localSheetId="8">'[4]Two proportions'!$R$22</definedName>
    <definedName name="TwoPropLT">'[4]Two proportions'!$R$22</definedName>
    <definedName name="TwoPropSpeed" localSheetId="11">'[4]Two proportions'!$L$29</definedName>
    <definedName name="TwoPropSpeed" localSheetId="9">'[4]Two proportions'!$L$29</definedName>
    <definedName name="TwoPropSpeed" localSheetId="10">'[4]Two proportions'!$L$29</definedName>
    <definedName name="TwoPropSpeed" localSheetId="5">'[4]Two proportions'!$L$29</definedName>
    <definedName name="TwoPropSpeed" localSheetId="7">'[4]Two proportions'!$L$29</definedName>
    <definedName name="TwoPropSpeed" localSheetId="12">'[5]Two proportions'!$L$29</definedName>
    <definedName name="TwoPropSpeed" localSheetId="4">'[4]Two proportions'!$L$29</definedName>
    <definedName name="TwoPropSpeed" localSheetId="3">'[4]Two proportions'!$L$29</definedName>
    <definedName name="TwoPropSpeed" localSheetId="6">'[4]Two proportions'!$L$29</definedName>
    <definedName name="TwoPropSpeed" localSheetId="8">'[4]Two proportions'!$L$29</definedName>
    <definedName name="TwoPropSpeed">'[4]Two proportions'!$L$29</definedName>
    <definedName name="TwoPropsSaveFreq" localSheetId="11">'[4]Two proportions'!$AD$5:$AE$6</definedName>
    <definedName name="TwoPropsSaveFreq" localSheetId="9">'[4]Two proportions'!$AD$5:$AE$6</definedName>
    <definedName name="TwoPropsSaveFreq" localSheetId="10">'[4]Two proportions'!$AD$5:$AE$6</definedName>
    <definedName name="TwoPropsSaveFreq" localSheetId="5">'[4]Two proportions'!$AD$5:$AE$6</definedName>
    <definedName name="TwoPropsSaveFreq" localSheetId="7">'[4]Two proportions'!$AD$5:$AE$6</definedName>
    <definedName name="TwoPropsSaveFreq" localSheetId="12">'[5]Two proportions'!$AD$5:$AE$6</definedName>
    <definedName name="TwoPropsSaveFreq" localSheetId="4">'[4]Two proportions'!$AD$5:$AE$6</definedName>
    <definedName name="TwoPropsSaveFreq" localSheetId="3">'[4]Two proportions'!$AD$5:$AE$6</definedName>
    <definedName name="TwoPropsSaveFreq" localSheetId="6">'[4]Two proportions'!$AD$5:$AE$6</definedName>
    <definedName name="TwoPropsSaveFreq" localSheetId="8">'[4]Two proportions'!$AD$5:$AE$6</definedName>
    <definedName name="TwoPropsSaveFreq">'[4]Two proportions'!$AD$5:$AE$6</definedName>
    <definedName name="TwoSpeed" localSheetId="11">#REF!</definedName>
    <definedName name="TwoSpeed" localSheetId="9">#REF!</definedName>
    <definedName name="TwoSpeed" localSheetId="10">#REF!</definedName>
    <definedName name="TwoSpeed" localSheetId="5">#REF!</definedName>
    <definedName name="TwoSpeed" localSheetId="7">#REF!</definedName>
    <definedName name="TwoSpeed" localSheetId="4">#REF!</definedName>
    <definedName name="TwoSpeed" localSheetId="3">#REF!</definedName>
    <definedName name="TwoSpeed" localSheetId="6">#REF!</definedName>
    <definedName name="TwoSpeed" localSheetId="8">#REF!</definedName>
    <definedName name="TwoSpeed">#REF!</definedName>
    <definedName name="ucapt" localSheetId="11">'[15]Sample r'!$N$21</definedName>
    <definedName name="ucapt" localSheetId="9">'[15]Sample r'!$N$21</definedName>
    <definedName name="ucapt" localSheetId="10">'[15]Sample r'!$N$21</definedName>
    <definedName name="ucapt" localSheetId="5">'[16]Sample r'!$N$21</definedName>
    <definedName name="ucapt" localSheetId="7">'[16]Sample r'!$N$21</definedName>
    <definedName name="ucapt" localSheetId="12">'[16]Sample r'!$N$21</definedName>
    <definedName name="ucapt" localSheetId="4">'[16]Sample r'!$N$21</definedName>
    <definedName name="ucapt" localSheetId="3">'[16]Sample r'!$N$21</definedName>
    <definedName name="ucapt" localSheetId="6">'[16]Sample r'!$N$21</definedName>
    <definedName name="ucapt" localSheetId="8">'[16]Sample r'!$N$21</definedName>
    <definedName name="ucapt">'[15]Sample r'!$N$21</definedName>
    <definedName name="un1two" localSheetId="12">'Robust two'!$BL$6</definedName>
    <definedName name="un1two">'[23]Data two'!$BK$6</definedName>
    <definedName name="un2two" localSheetId="12">'Robust two'!$BT$6</definedName>
    <definedName name="un2two">'[23]Data two'!$BS$6</definedName>
    <definedName name="un3two" localSheetId="12">'Robust two'!$CB$6</definedName>
    <definedName name="un3two">'[23]Data two'!$CA$6</definedName>
    <definedName name="uncp">#REF!</definedName>
    <definedName name="units">#REF!</definedName>
    <definedName name="untwo" localSheetId="12">'Robust two'!$C$6</definedName>
    <definedName name="untwo">'[23]Data two'!$G$6</definedName>
    <definedName name="vareq" localSheetId="7">'[11]Data two'!$C$21</definedName>
    <definedName name="vareq" localSheetId="12">'Robust two'!#REF!</definedName>
    <definedName name="vareq" localSheetId="8">'[11]Data two'!$C$21</definedName>
    <definedName name="vareq">'[11]Data two'!$C$21</definedName>
    <definedName name="xandn" localSheetId="7">'One proportion'!$B$4</definedName>
    <definedName name="xandn">#REF!</definedName>
    <definedName name="XaxisInt">[6]Describe!$R$13</definedName>
    <definedName name="XaxisL">[6]Describe!$R$6</definedName>
    <definedName name="XaxisU">[6]Describe!$S$6</definedName>
    <definedName name="Xcounter">[6]Describe!$T$33</definedName>
    <definedName name="xinc">[6]Describe!$V$5</definedName>
    <definedName name="Xl">[6]Describe!$BG$37</definedName>
    <definedName name="Xmajoru" localSheetId="11">'[15]Calculate r'!$AB$28</definedName>
    <definedName name="Xmajoru" localSheetId="9">'[15]Calculate r'!$AB$28</definedName>
    <definedName name="Xmajoru" localSheetId="10">'[15]Calculate r'!$AB$28</definedName>
    <definedName name="Xmajoru" localSheetId="5">#REF!</definedName>
    <definedName name="Xmajoru" localSheetId="7">#REF!</definedName>
    <definedName name="Xmajoru" localSheetId="12">'[16]Calculate r'!$AB$28</definedName>
    <definedName name="Xmajoru" localSheetId="4">#REF!</definedName>
    <definedName name="Xmajoru" localSheetId="3">#REF!</definedName>
    <definedName name="Xmajoru" localSheetId="6">#REF!</definedName>
    <definedName name="Xmajoru" localSheetId="8">#REF!</definedName>
    <definedName name="Xmajoru">'[15]Calculate r'!$AB$28</definedName>
    <definedName name="Xmax" localSheetId="11">'[15]Calculate r'!$AB$27</definedName>
    <definedName name="Xmax" localSheetId="9">'[15]Calculate r'!$AB$27</definedName>
    <definedName name="Xmax" localSheetId="10">'[15]Calculate r'!$AB$27</definedName>
    <definedName name="Xmax" localSheetId="5">#REF!</definedName>
    <definedName name="Xmax" localSheetId="7">#REF!</definedName>
    <definedName name="Xmax" localSheetId="12">'[16]Calculate r'!$AB$27</definedName>
    <definedName name="Xmax" localSheetId="4">#REF!</definedName>
    <definedName name="Xmax" localSheetId="3">#REF!</definedName>
    <definedName name="Xmax" localSheetId="6">#REF!</definedName>
    <definedName name="Xmax" localSheetId="8">#REF!</definedName>
    <definedName name="Xmax">'[15]Calculate r'!$AB$27</definedName>
    <definedName name="Xmin" localSheetId="11">'[15]Calculate r'!$AB$26</definedName>
    <definedName name="Xmin" localSheetId="9">'[15]Calculate r'!$AB$26</definedName>
    <definedName name="Xmin" localSheetId="10">'[15]Calculate r'!$AB$26</definedName>
    <definedName name="Xmin" localSheetId="5">#REF!</definedName>
    <definedName name="Xmin" localSheetId="7">#REF!</definedName>
    <definedName name="Xmin" localSheetId="12">'[16]Calculate r'!$AB$26</definedName>
    <definedName name="Xmin" localSheetId="4">#REF!</definedName>
    <definedName name="Xmin" localSheetId="3">#REF!</definedName>
    <definedName name="Xmin" localSheetId="6">#REF!</definedName>
    <definedName name="Xmin" localSheetId="8">#REF!</definedName>
    <definedName name="Xmin">'[15]Calculate r'!$AB$26</definedName>
    <definedName name="xpeek">[6]Describe!$AS$30</definedName>
    <definedName name="XRend" localSheetId="11">'Ind groups 2 x 2'!$DX$1</definedName>
    <definedName name="XRend" localSheetId="9">'Ind groups comparisons'!$DR$1</definedName>
    <definedName name="XRend" localSheetId="10">'Ind groups contrasts'!$DX$1</definedName>
    <definedName name="XRend" localSheetId="5">#REF!</definedName>
    <definedName name="XRend" localSheetId="7">#REF!</definedName>
    <definedName name="XRend" localSheetId="12">#REF!</definedName>
    <definedName name="XRend" localSheetId="4">#REF!</definedName>
    <definedName name="XRend" localSheetId="3">#REF!</definedName>
    <definedName name="XRend" localSheetId="6">#REF!</definedName>
    <definedName name="XRend" localSheetId="8">#REF!</definedName>
    <definedName name="XRend">#REF!</definedName>
    <definedName name="Xscaleunit" localSheetId="11">'Ind groups 2 x 2'!$DX$2</definedName>
    <definedName name="Xscaleunit" localSheetId="9">'Ind groups comparisons'!$DR$2</definedName>
    <definedName name="Xscaleunit" localSheetId="10">'Ind groups contrasts'!$DX$2</definedName>
    <definedName name="Xscaleunit" localSheetId="5">#REF!</definedName>
    <definedName name="Xscaleunit" localSheetId="7">#REF!</definedName>
    <definedName name="Xscaleunit" localSheetId="12">#REF!</definedName>
    <definedName name="Xscaleunit" localSheetId="4">#REF!</definedName>
    <definedName name="Xscaleunit" localSheetId="3">#REF!</definedName>
    <definedName name="Xscaleunit" localSheetId="6">#REF!</definedName>
    <definedName name="Xscaleunit" localSheetId="8">#REF!</definedName>
    <definedName name="Xscaleunit">#REF!</definedName>
    <definedName name="Xscrollcount">[6]Describe!$AC$2</definedName>
    <definedName name="Xscrollput">[6]Describe!$F$2</definedName>
    <definedName name="Xscrollstart">[6]Describe!$AC$3</definedName>
    <definedName name="Xu">[6]Describe!$BH$37</definedName>
    <definedName name="Xunits" localSheetId="11">'[15]Calculate r'!$B$6</definedName>
    <definedName name="Xunits" localSheetId="9">'[15]Calculate r'!$B$6</definedName>
    <definedName name="Xunits" localSheetId="10">'[15]Calculate r'!$B$6</definedName>
    <definedName name="Xunits" localSheetId="5">#REF!</definedName>
    <definedName name="Xunits" localSheetId="7">#REF!</definedName>
    <definedName name="Xunits" localSheetId="12">'[16]Calculate r'!$B$6</definedName>
    <definedName name="Xunits" localSheetId="4">#REF!</definedName>
    <definedName name="Xunits" localSheetId="3">#REF!</definedName>
    <definedName name="Xunits" localSheetId="6">#REF!</definedName>
    <definedName name="Xunits" localSheetId="8">#REF!</definedName>
    <definedName name="Xunits">'[15]Calculate r'!$B$6</definedName>
    <definedName name="Xwide">[6]Describe!$W$30</definedName>
    <definedName name="xxandnn" localSheetId="5">'[8]Two proportions'!$C$7</definedName>
    <definedName name="xxandnn" localSheetId="7">'[8]Two proportions'!$C$7</definedName>
    <definedName name="xxandnn" localSheetId="12">'[8]Two proportions'!$C$7</definedName>
    <definedName name="xxandnn" localSheetId="4">'[8]Two proportions'!$C$7</definedName>
    <definedName name="xxandnn" localSheetId="3">'[8]Two proportions'!$C$7</definedName>
    <definedName name="xxandnn" localSheetId="6">'[8]Two proportions'!$C$7</definedName>
    <definedName name="xxandnn" localSheetId="8">'Two proportions'!$C$7</definedName>
    <definedName name="xxandnn">#REF!</definedName>
    <definedName name="xxx" localSheetId="11">#REF!</definedName>
    <definedName name="xxx" localSheetId="9">#REF!</definedName>
    <definedName name="xxx" localSheetId="10">#REF!</definedName>
    <definedName name="xxx" localSheetId="5">#REF!</definedName>
    <definedName name="xxx" localSheetId="7">#REF!</definedName>
    <definedName name="xxx" localSheetId="4">#REF!</definedName>
    <definedName name="xxx" localSheetId="3">#REF!</definedName>
    <definedName name="xxx" localSheetId="6">#REF!</definedName>
    <definedName name="xxx" localSheetId="8">#REF!</definedName>
    <definedName name="xxx">#REF!</definedName>
    <definedName name="xydata" localSheetId="11">'[15]Calculate r'!$B$8:$C$307</definedName>
    <definedName name="xydata" localSheetId="9">'[15]Calculate r'!$B$8:$C$307</definedName>
    <definedName name="xydata" localSheetId="10">'[15]Calculate r'!$B$8:$C$307</definedName>
    <definedName name="xydata" localSheetId="5">#REF!</definedName>
    <definedName name="xydata" localSheetId="7">#REF!</definedName>
    <definedName name="xydata" localSheetId="12">'[16]Calculate r'!$B$8:$C$307</definedName>
    <definedName name="xydata" localSheetId="4">Scatterplots!$B$13:$C$312</definedName>
    <definedName name="xydata" localSheetId="3">#REF!</definedName>
    <definedName name="xydata" localSheetId="6">#REF!</definedName>
    <definedName name="xydata" localSheetId="8">#REF!</definedName>
    <definedName name="xydata">'[15]Calculate r'!$B$8:$C$307</definedName>
    <definedName name="xygaps">#REF!</definedName>
    <definedName name="xytr">[6]Describe!$AU$4</definedName>
    <definedName name="yaxismax">[6]Describe!$U$19</definedName>
    <definedName name="Yaxmax" localSheetId="11">'Ind groups 2 x 2'!$DX$3</definedName>
    <definedName name="Yaxmax" localSheetId="9">'Ind groups comparisons'!$DR$3</definedName>
    <definedName name="Yaxmax" localSheetId="10">'Ind groups contrasts'!$DX$3</definedName>
    <definedName name="Yaxmax" localSheetId="5">#REF!</definedName>
    <definedName name="Yaxmax" localSheetId="7">#REF!</definedName>
    <definedName name="Yaxmax" localSheetId="12">#REF!</definedName>
    <definedName name="Yaxmax" localSheetId="4">#REF!</definedName>
    <definedName name="Yaxmax" localSheetId="3">#REF!</definedName>
    <definedName name="Yaxmax" localSheetId="6">#REF!</definedName>
    <definedName name="Yaxmax" localSheetId="8">#REF!</definedName>
    <definedName name="Yaxmax">#REF!</definedName>
    <definedName name="yinc">[6]Describe!$V$6</definedName>
    <definedName name="Yl">[6]Describe!$BG$38</definedName>
    <definedName name="Ymajoru" localSheetId="11">'[15]Calculate r'!$AB$25</definedName>
    <definedName name="Ymajoru" localSheetId="9">'[15]Calculate r'!$AB$25</definedName>
    <definedName name="Ymajoru" localSheetId="10">'[15]Calculate r'!$AB$25</definedName>
    <definedName name="Ymajoru" localSheetId="5">#REF!</definedName>
    <definedName name="Ymajoru" localSheetId="7">#REF!</definedName>
    <definedName name="Ymajoru" localSheetId="12">'[16]Calculate r'!$AB$25</definedName>
    <definedName name="Ymajoru" localSheetId="4">#REF!</definedName>
    <definedName name="Ymajoru" localSheetId="3">#REF!</definedName>
    <definedName name="Ymajoru" localSheetId="6">#REF!</definedName>
    <definedName name="Ymajoru" localSheetId="8">#REF!</definedName>
    <definedName name="Ymajoru">'[15]Calculate r'!$AB$25</definedName>
    <definedName name="ymajunit">[6]Describe!$U$17</definedName>
    <definedName name="Ymax" localSheetId="11">'[15]Calculate r'!$AB$24</definedName>
    <definedName name="Ymax" localSheetId="9">'[15]Calculate r'!$AB$24</definedName>
    <definedName name="Ymax" localSheetId="10">'[15]Calculate r'!$AB$24</definedName>
    <definedName name="Ymax" localSheetId="5">#REF!</definedName>
    <definedName name="Ymax" localSheetId="7">#REF!</definedName>
    <definedName name="Ymax" localSheetId="12">'[16]Calculate r'!$AB$24</definedName>
    <definedName name="Ymax" localSheetId="4">#REF!</definedName>
    <definedName name="Ymax" localSheetId="3">#REF!</definedName>
    <definedName name="Ymax" localSheetId="6">#REF!</definedName>
    <definedName name="Ymax" localSheetId="8">#REF!</definedName>
    <definedName name="Ymax">'[15]Calculate r'!$AB$24</definedName>
    <definedName name="Ymin" localSheetId="11">'[15]Calculate r'!$AB$23</definedName>
    <definedName name="Ymin" localSheetId="9">'[15]Calculate r'!$AB$23</definedName>
    <definedName name="Ymin" localSheetId="10">'[15]Calculate r'!$AB$23</definedName>
    <definedName name="Ymin" localSheetId="5">#REF!</definedName>
    <definedName name="Ymin" localSheetId="7">#REF!</definedName>
    <definedName name="Ymin" localSheetId="12">'[16]Calculate r'!$AB$23</definedName>
    <definedName name="Ymin" localSheetId="4">#REF!</definedName>
    <definedName name="Ymin" localSheetId="3">#REF!</definedName>
    <definedName name="Ymin" localSheetId="6">#REF!</definedName>
    <definedName name="Ymin" localSheetId="8">#REF!</definedName>
    <definedName name="Ymin">'[15]Calculate r'!$AB$23</definedName>
    <definedName name="yminunit">[6]Describe!$U$18</definedName>
    <definedName name="ypeek">[6]Describe!$AS$31</definedName>
    <definedName name="Yu">[6]Describe!$BH$38</definedName>
    <definedName name="zbigl" localSheetId="11">'[1]MA  Standardised units'!$AE$2</definedName>
    <definedName name="zbigl" localSheetId="9">'[1]MA  Standardised units'!$AE$2</definedName>
    <definedName name="zbigl" localSheetId="10">'[1]MA  Standardised units'!$AE$2</definedName>
    <definedName name="zbigl" localSheetId="5">'[1]MA  Standardised units'!$AE$2</definedName>
    <definedName name="zbigl" localSheetId="7">'[1]MA  Standardised units'!$AE$2</definedName>
    <definedName name="zbigl" localSheetId="12">'[2]MA  Standardised units'!$AE$2</definedName>
    <definedName name="zbigl" localSheetId="4">'[1]MA  Standardised units'!$AE$2</definedName>
    <definedName name="zbigl" localSheetId="3">'[1]MA  Standardised units'!$AE$2</definedName>
    <definedName name="zbigl" localSheetId="6">'[1]MA  Standardised units'!$AE$2</definedName>
    <definedName name="zbigl" localSheetId="8">'[1]MA  Standardised units'!$AE$2</definedName>
    <definedName name="zbigl">'[3]MA  Standardised units'!$AE$2</definedName>
    <definedName name="zbigu" localSheetId="11">'[1]MA  Standardised units'!$AE$3</definedName>
    <definedName name="zbigu" localSheetId="9">'[1]MA  Standardised units'!$AE$3</definedName>
    <definedName name="zbigu" localSheetId="10">'[1]MA  Standardised units'!$AE$3</definedName>
    <definedName name="zbigu" localSheetId="5">'[1]MA  Standardised units'!$AE$3</definedName>
    <definedName name="zbigu" localSheetId="7">'[1]MA  Standardised units'!$AE$3</definedName>
    <definedName name="zbigu" localSheetId="12">'[2]MA  Standardised units'!$AE$3</definedName>
    <definedName name="zbigu" localSheetId="4">'[1]MA  Standardised units'!$AE$3</definedName>
    <definedName name="zbigu" localSheetId="3">'[1]MA  Standardised units'!$AE$3</definedName>
    <definedName name="zbigu" localSheetId="6">'[1]MA  Standardised units'!$AE$3</definedName>
    <definedName name="zbigu" localSheetId="8">'[1]MA  Standardised units'!$AE$3</definedName>
    <definedName name="zbigu">'[3]MA  Standardised units'!$AE$3</definedName>
    <definedName name="zcursortf">[6]Describe!$U$25</definedName>
    <definedName name="zoneprop" localSheetId="7">'One proportion'!$B$13</definedName>
    <definedName name="zoneprop">#REF!</definedName>
    <definedName name="ztwoprop" localSheetId="5">'[8]Two proportions'!$C$14</definedName>
    <definedName name="ztwoprop" localSheetId="7">'[8]Two proportions'!$C$14</definedName>
    <definedName name="ztwoprop" localSheetId="12">'[8]Two proportions'!$C$14</definedName>
    <definedName name="ztwoprop" localSheetId="4">'[8]Two proportions'!$C$14</definedName>
    <definedName name="ztwoprop" localSheetId="3">'[8]Two proportions'!$C$14</definedName>
    <definedName name="ztwoprop" localSheetId="6">'[8]Two proportions'!$C$14</definedName>
    <definedName name="ztwoprop" localSheetId="8">'Two proportions'!$C$14</definedName>
    <definedName name="ztwoprop">#REF!</definedName>
  </definedNames>
  <calcPr calcId="125725"/>
</workbook>
</file>

<file path=xl/calcChain.xml><?xml version="1.0" encoding="utf-8"?>
<calcChain xmlns="http://schemas.openxmlformats.org/spreadsheetml/2006/main">
  <c r="D77" i="41"/>
  <c r="E8"/>
  <c r="D65" s="1"/>
  <c r="D68"/>
  <c r="D88" i="40"/>
  <c r="D79"/>
  <c r="J1105"/>
  <c r="J1106"/>
  <c r="J1107"/>
  <c r="DF11" i="53"/>
  <c r="DG11" s="1"/>
  <c r="DF12"/>
  <c r="DG12"/>
  <c r="DF13"/>
  <c r="DG13" s="1"/>
  <c r="DF14"/>
  <c r="DG14"/>
  <c r="DF15"/>
  <c r="DG15" s="1"/>
  <c r="DF16"/>
  <c r="DG16"/>
  <c r="DF17"/>
  <c r="DG17" s="1"/>
  <c r="DF18"/>
  <c r="DG18"/>
  <c r="DF19"/>
  <c r="DG19" s="1"/>
  <c r="DF20"/>
  <c r="DG20"/>
  <c r="DF21"/>
  <c r="DG21" s="1"/>
  <c r="DF22"/>
  <c r="DG22"/>
  <c r="DF23"/>
  <c r="DG23" s="1"/>
  <c r="DF24"/>
  <c r="DG24"/>
  <c r="DF25"/>
  <c r="DG25" s="1"/>
  <c r="DF26"/>
  <c r="DG26"/>
  <c r="DF27"/>
  <c r="DG27" s="1"/>
  <c r="DF28"/>
  <c r="DG28"/>
  <c r="DF29"/>
  <c r="DG29" s="1"/>
  <c r="DF30"/>
  <c r="DG30"/>
  <c r="DF31"/>
  <c r="DG31" s="1"/>
  <c r="DF32"/>
  <c r="DG32"/>
  <c r="DF33"/>
  <c r="DG33" s="1"/>
  <c r="DF34"/>
  <c r="DG34"/>
  <c r="DF35"/>
  <c r="DG35" s="1"/>
  <c r="DF36"/>
  <c r="DG36"/>
  <c r="DF37"/>
  <c r="DG37" s="1"/>
  <c r="DF38"/>
  <c r="DG38"/>
  <c r="DF39"/>
  <c r="DG39" s="1"/>
  <c r="DF40"/>
  <c r="DG40"/>
  <c r="DF41"/>
  <c r="DG41" s="1"/>
  <c r="DF42"/>
  <c r="DG42"/>
  <c r="DF43"/>
  <c r="DG43" s="1"/>
  <c r="DF44"/>
  <c r="DG44"/>
  <c r="DF45"/>
  <c r="DG45" s="1"/>
  <c r="DF46"/>
  <c r="DG46"/>
  <c r="DF47"/>
  <c r="DG47" s="1"/>
  <c r="DF48"/>
  <c r="DG48"/>
  <c r="DF49"/>
  <c r="DG49" s="1"/>
  <c r="DF50"/>
  <c r="DG50"/>
  <c r="DF51"/>
  <c r="DG51" s="1"/>
  <c r="DF52"/>
  <c r="DG52"/>
  <c r="DF53"/>
  <c r="DG53" s="1"/>
  <c r="DF54"/>
  <c r="DG54"/>
  <c r="DF55"/>
  <c r="DG55" s="1"/>
  <c r="DF56"/>
  <c r="DG56"/>
  <c r="DF57"/>
  <c r="DG57" s="1"/>
  <c r="DF58"/>
  <c r="DG58"/>
  <c r="DF59"/>
  <c r="DG59" s="1"/>
  <c r="DF60"/>
  <c r="DG60"/>
  <c r="DF61"/>
  <c r="DG61" s="1"/>
  <c r="DF62"/>
  <c r="DG62"/>
  <c r="DF63"/>
  <c r="DG63" s="1"/>
  <c r="DF64"/>
  <c r="DG64"/>
  <c r="DF65"/>
  <c r="DG65" s="1"/>
  <c r="DF66"/>
  <c r="DG66"/>
  <c r="DF67"/>
  <c r="DG67" s="1"/>
  <c r="DF68"/>
  <c r="DG68"/>
  <c r="DF69"/>
  <c r="DG69" s="1"/>
  <c r="DF70"/>
  <c r="DG70"/>
  <c r="DF71"/>
  <c r="DG71" s="1"/>
  <c r="DF72"/>
  <c r="DG72"/>
  <c r="DF73"/>
  <c r="DG73" s="1"/>
  <c r="DF74"/>
  <c r="DG74"/>
  <c r="DF75"/>
  <c r="DG75" s="1"/>
  <c r="DF76"/>
  <c r="DG76"/>
  <c r="DF77"/>
  <c r="DG77" s="1"/>
  <c r="DF78"/>
  <c r="DG78"/>
  <c r="DF79"/>
  <c r="DG79" s="1"/>
  <c r="DF80"/>
  <c r="DG80"/>
  <c r="DF81"/>
  <c r="DG81" s="1"/>
  <c r="DF82"/>
  <c r="DG82"/>
  <c r="DF83"/>
  <c r="DG83" s="1"/>
  <c r="DF84"/>
  <c r="DG84"/>
  <c r="DF85"/>
  <c r="DG85" s="1"/>
  <c r="DF86"/>
  <c r="DG86"/>
  <c r="DF87"/>
  <c r="DG87" s="1"/>
  <c r="DF88"/>
  <c r="DG88"/>
  <c r="DF89"/>
  <c r="DG89" s="1"/>
  <c r="DF90"/>
  <c r="DG90"/>
  <c r="DF91"/>
  <c r="DG91" s="1"/>
  <c r="DF92"/>
  <c r="DG92"/>
  <c r="DF93"/>
  <c r="DG93" s="1"/>
  <c r="DF94"/>
  <c r="DG94"/>
  <c r="DF95"/>
  <c r="DG95" s="1"/>
  <c r="DF96"/>
  <c r="DG96"/>
  <c r="DF97"/>
  <c r="DG97" s="1"/>
  <c r="DF98"/>
  <c r="DG98"/>
  <c r="DF99"/>
  <c r="DG99" s="1"/>
  <c r="DF100"/>
  <c r="DG100"/>
  <c r="DF101"/>
  <c r="DG101" s="1"/>
  <c r="DF102"/>
  <c r="DG102"/>
  <c r="DF103"/>
  <c r="DG103" s="1"/>
  <c r="DF104"/>
  <c r="DG104"/>
  <c r="DF105"/>
  <c r="DG105" s="1"/>
  <c r="DF106"/>
  <c r="DG106"/>
  <c r="DF107"/>
  <c r="DG107" s="1"/>
  <c r="DF108"/>
  <c r="DG108"/>
  <c r="DF109"/>
  <c r="DG109" s="1"/>
  <c r="DF110"/>
  <c r="DG110"/>
  <c r="DF111"/>
  <c r="DG111" s="1"/>
  <c r="DF112"/>
  <c r="DG112"/>
  <c r="DF113"/>
  <c r="DG113" s="1"/>
  <c r="DF114"/>
  <c r="DG114"/>
  <c r="DF115"/>
  <c r="DG115" s="1"/>
  <c r="DF116"/>
  <c r="DG116"/>
  <c r="DF117"/>
  <c r="DG117" s="1"/>
  <c r="DF118"/>
  <c r="DG118"/>
  <c r="DF119"/>
  <c r="DG119" s="1"/>
  <c r="DF120"/>
  <c r="DG120"/>
  <c r="DF121"/>
  <c r="DG121" s="1"/>
  <c r="DF122"/>
  <c r="DG122"/>
  <c r="DF123"/>
  <c r="DG123" s="1"/>
  <c r="DF124"/>
  <c r="DG124"/>
  <c r="DF125"/>
  <c r="DG125" s="1"/>
  <c r="DF126"/>
  <c r="DG126"/>
  <c r="DF127"/>
  <c r="DG127" s="1"/>
  <c r="DF128"/>
  <c r="DG128"/>
  <c r="DF129"/>
  <c r="DG129" s="1"/>
  <c r="DF130"/>
  <c r="DG130"/>
  <c r="DF131"/>
  <c r="DG131" s="1"/>
  <c r="DF132"/>
  <c r="DG132"/>
  <c r="DF133"/>
  <c r="DG133" s="1"/>
  <c r="DF134"/>
  <c r="DG134"/>
  <c r="DF135"/>
  <c r="DG135" s="1"/>
  <c r="DF136"/>
  <c r="DG136"/>
  <c r="DF137"/>
  <c r="DG137" s="1"/>
  <c r="DF138"/>
  <c r="DG138"/>
  <c r="DF139"/>
  <c r="DG139" s="1"/>
  <c r="DF140"/>
  <c r="DG140"/>
  <c r="DF141"/>
  <c r="DG141" s="1"/>
  <c r="DF142"/>
  <c r="DG142"/>
  <c r="DF143"/>
  <c r="DG143" s="1"/>
  <c r="DF144"/>
  <c r="DG144"/>
  <c r="DF145"/>
  <c r="DG145" s="1"/>
  <c r="DF146"/>
  <c r="DG146"/>
  <c r="DF147"/>
  <c r="DG147" s="1"/>
  <c r="DF148"/>
  <c r="DG148"/>
  <c r="DF149"/>
  <c r="DG149" s="1"/>
  <c r="DF150"/>
  <c r="DG150"/>
  <c r="DF151"/>
  <c r="DG151" s="1"/>
  <c r="DF152"/>
  <c r="DG152"/>
  <c r="DF153"/>
  <c r="DG153" s="1"/>
  <c r="DF154"/>
  <c r="DG154"/>
  <c r="DF155"/>
  <c r="DG155" s="1"/>
  <c r="DF156"/>
  <c r="DG156"/>
  <c r="DF157"/>
  <c r="DG157" s="1"/>
  <c r="DF158"/>
  <c r="DG158"/>
  <c r="DF159"/>
  <c r="DG159" s="1"/>
  <c r="DF160"/>
  <c r="DG160"/>
  <c r="DF161"/>
  <c r="DG161" s="1"/>
  <c r="DF162"/>
  <c r="DG162"/>
  <c r="DF163"/>
  <c r="DG163" s="1"/>
  <c r="DF164"/>
  <c r="DG164"/>
  <c r="DF165"/>
  <c r="DG165" s="1"/>
  <c r="DF166"/>
  <c r="DG166"/>
  <c r="DF167"/>
  <c r="DG167" s="1"/>
  <c r="DF168"/>
  <c r="DG168"/>
  <c r="DF169"/>
  <c r="DG169" s="1"/>
  <c r="DF170"/>
  <c r="DG170"/>
  <c r="DF171"/>
  <c r="DG171" s="1"/>
  <c r="DF172"/>
  <c r="DG172"/>
  <c r="DF173"/>
  <c r="DG173" s="1"/>
  <c r="DF174"/>
  <c r="DG174"/>
  <c r="DF175"/>
  <c r="DG175" s="1"/>
  <c r="DF176"/>
  <c r="DG176"/>
  <c r="DF177"/>
  <c r="DG177" s="1"/>
  <c r="DF178"/>
  <c r="DG178"/>
  <c r="DF179"/>
  <c r="DG179" s="1"/>
  <c r="DF180"/>
  <c r="DG180"/>
  <c r="DF181"/>
  <c r="DG181" s="1"/>
  <c r="DF182"/>
  <c r="DG182"/>
  <c r="DF183"/>
  <c r="DG183" s="1"/>
  <c r="DF184"/>
  <c r="DG184"/>
  <c r="DF185"/>
  <c r="DG185" s="1"/>
  <c r="DF186"/>
  <c r="DG186"/>
  <c r="DF187"/>
  <c r="DG187" s="1"/>
  <c r="DF188"/>
  <c r="DG188"/>
  <c r="DF189"/>
  <c r="DG189" s="1"/>
  <c r="DF190"/>
  <c r="DG190"/>
  <c r="DF191"/>
  <c r="DG191" s="1"/>
  <c r="DF192"/>
  <c r="DG192"/>
  <c r="DF193"/>
  <c r="DG193" s="1"/>
  <c r="DF194"/>
  <c r="DG194"/>
  <c r="DF195"/>
  <c r="DG195" s="1"/>
  <c r="DF196"/>
  <c r="DG196"/>
  <c r="DF197"/>
  <c r="DG197" s="1"/>
  <c r="DF198"/>
  <c r="DG198"/>
  <c r="DF199"/>
  <c r="DG199" s="1"/>
  <c r="DF200"/>
  <c r="DG200"/>
  <c r="DF201"/>
  <c r="DG201" s="1"/>
  <c r="DF202"/>
  <c r="DG202"/>
  <c r="DF203"/>
  <c r="DG203" s="1"/>
  <c r="DF204"/>
  <c r="DG204"/>
  <c r="DF205"/>
  <c r="DG205" s="1"/>
  <c r="DF206"/>
  <c r="DG206"/>
  <c r="DF207"/>
  <c r="DG207" s="1"/>
  <c r="DF208"/>
  <c r="DG208"/>
  <c r="DF209"/>
  <c r="DG209" s="1"/>
  <c r="DF210"/>
  <c r="DG210"/>
  <c r="DF211"/>
  <c r="DG211" s="1"/>
  <c r="DF212"/>
  <c r="DG212"/>
  <c r="DF213"/>
  <c r="DG213" s="1"/>
  <c r="DF214"/>
  <c r="DG214"/>
  <c r="DF215"/>
  <c r="DG215" s="1"/>
  <c r="DF216"/>
  <c r="DG216"/>
  <c r="DF217"/>
  <c r="DG217" s="1"/>
  <c r="DF218"/>
  <c r="DG218"/>
  <c r="DF219"/>
  <c r="DG219" s="1"/>
  <c r="DF220"/>
  <c r="DG220"/>
  <c r="DF221"/>
  <c r="DG221" s="1"/>
  <c r="DF222"/>
  <c r="DG222"/>
  <c r="DF223"/>
  <c r="DG223" s="1"/>
  <c r="DF224"/>
  <c r="DG224"/>
  <c r="DF225"/>
  <c r="DG225" s="1"/>
  <c r="DF226"/>
  <c r="DG226"/>
  <c r="DF227"/>
  <c r="DG227" s="1"/>
  <c r="DF228"/>
  <c r="DG228"/>
  <c r="DF229"/>
  <c r="DG229" s="1"/>
  <c r="DF230"/>
  <c r="DG230"/>
  <c r="DF231"/>
  <c r="DG231" s="1"/>
  <c r="DF232"/>
  <c r="DG232"/>
  <c r="DF233"/>
  <c r="DG233" s="1"/>
  <c r="DF234"/>
  <c r="DG234"/>
  <c r="DF235"/>
  <c r="DG235" s="1"/>
  <c r="DF236"/>
  <c r="DG236"/>
  <c r="DF237"/>
  <c r="DG237" s="1"/>
  <c r="DF238"/>
  <c r="DG238"/>
  <c r="DF239"/>
  <c r="DG239" s="1"/>
  <c r="DF240"/>
  <c r="DG240"/>
  <c r="DF241"/>
  <c r="DG241" s="1"/>
  <c r="DF242"/>
  <c r="DG242"/>
  <c r="DF243"/>
  <c r="DG243" s="1"/>
  <c r="DF244"/>
  <c r="DG244"/>
  <c r="DF245"/>
  <c r="DG245" s="1"/>
  <c r="DF246"/>
  <c r="DG246"/>
  <c r="DF247"/>
  <c r="DG247" s="1"/>
  <c r="DF248"/>
  <c r="DG248"/>
  <c r="DF249"/>
  <c r="DG249" s="1"/>
  <c r="DF250"/>
  <c r="DG250"/>
  <c r="DF251"/>
  <c r="DG251" s="1"/>
  <c r="DF252"/>
  <c r="DG252"/>
  <c r="DF253"/>
  <c r="DG253" s="1"/>
  <c r="DF254"/>
  <c r="DG254"/>
  <c r="DF255"/>
  <c r="DG255" s="1"/>
  <c r="DF256"/>
  <c r="DG256"/>
  <c r="DF257"/>
  <c r="DG257" s="1"/>
  <c r="DF258"/>
  <c r="DG258"/>
  <c r="DF259"/>
  <c r="DG259" s="1"/>
  <c r="DF260"/>
  <c r="DG260"/>
  <c r="DF261"/>
  <c r="DG261" s="1"/>
  <c r="DF262"/>
  <c r="DG262"/>
  <c r="DF263"/>
  <c r="DG263" s="1"/>
  <c r="DF264"/>
  <c r="DG264"/>
  <c r="DF265"/>
  <c r="DG265" s="1"/>
  <c r="DF266"/>
  <c r="DG266"/>
  <c r="DF267"/>
  <c r="DG267" s="1"/>
  <c r="DF268"/>
  <c r="DG268"/>
  <c r="DF269"/>
  <c r="DG269" s="1"/>
  <c r="DF270"/>
  <c r="DG270"/>
  <c r="DF271"/>
  <c r="DG271" s="1"/>
  <c r="DF272"/>
  <c r="DG272"/>
  <c r="DF273"/>
  <c r="DG273" s="1"/>
  <c r="DF274"/>
  <c r="DG274"/>
  <c r="DF275"/>
  <c r="DG275" s="1"/>
  <c r="DF276"/>
  <c r="DG276"/>
  <c r="DF277"/>
  <c r="DG277" s="1"/>
  <c r="DF278"/>
  <c r="DG278"/>
  <c r="DF279"/>
  <c r="DG279" s="1"/>
  <c r="DF280"/>
  <c r="DG280"/>
  <c r="DF281"/>
  <c r="DG281" s="1"/>
  <c r="DF282"/>
  <c r="DG282"/>
  <c r="DF283"/>
  <c r="DG283" s="1"/>
  <c r="DF284"/>
  <c r="DG284"/>
  <c r="DF285"/>
  <c r="DG285" s="1"/>
  <c r="DF286"/>
  <c r="DG286"/>
  <c r="DF287"/>
  <c r="DG287" s="1"/>
  <c r="DF288"/>
  <c r="DG288"/>
  <c r="DF289"/>
  <c r="DG289" s="1"/>
  <c r="DF290"/>
  <c r="DG290"/>
  <c r="DF291"/>
  <c r="DG291" s="1"/>
  <c r="DF292"/>
  <c r="DG292"/>
  <c r="DF293"/>
  <c r="DG293" s="1"/>
  <c r="DF294"/>
  <c r="DG294"/>
  <c r="DF295"/>
  <c r="DG295" s="1"/>
  <c r="DF296"/>
  <c r="DG296"/>
  <c r="DF297"/>
  <c r="DG297" s="1"/>
  <c r="DF298"/>
  <c r="DG298"/>
  <c r="DF299"/>
  <c r="DG299" s="1"/>
  <c r="DF300"/>
  <c r="DG300"/>
  <c r="DF301"/>
  <c r="DG301" s="1"/>
  <c r="DF302"/>
  <c r="DG302"/>
  <c r="DF303"/>
  <c r="DG303" s="1"/>
  <c r="DF304"/>
  <c r="DG304"/>
  <c r="DF305"/>
  <c r="DG305" s="1"/>
  <c r="DF306"/>
  <c r="DG306"/>
  <c r="DF307"/>
  <c r="DG307" s="1"/>
  <c r="DF308"/>
  <c r="DG308"/>
  <c r="DF309"/>
  <c r="DG309" s="1"/>
  <c r="DF310"/>
  <c r="DG310"/>
  <c r="DH11"/>
  <c r="DH12"/>
  <c r="DH13"/>
  <c r="DH14"/>
  <c r="DH15"/>
  <c r="DH16"/>
  <c r="DH17"/>
  <c r="DH18"/>
  <c r="DH19"/>
  <c r="DH20"/>
  <c r="DH21"/>
  <c r="DH22"/>
  <c r="DH23"/>
  <c r="DH24"/>
  <c r="DH25"/>
  <c r="DH26"/>
  <c r="DH27"/>
  <c r="DH28"/>
  <c r="DH29"/>
  <c r="DH30"/>
  <c r="DH31"/>
  <c r="DH32"/>
  <c r="DH33"/>
  <c r="DH34"/>
  <c r="DH35"/>
  <c r="DH36"/>
  <c r="DH37"/>
  <c r="DH38"/>
  <c r="DH39"/>
  <c r="DH40"/>
  <c r="DH41"/>
  <c r="DH42"/>
  <c r="DH43"/>
  <c r="DH44"/>
  <c r="DH45"/>
  <c r="DH46"/>
  <c r="DH47"/>
  <c r="DH48"/>
  <c r="DH49"/>
  <c r="DH50"/>
  <c r="DH51"/>
  <c r="DH52"/>
  <c r="DH53"/>
  <c r="DH54"/>
  <c r="DH55"/>
  <c r="DH56"/>
  <c r="DH57"/>
  <c r="DH58"/>
  <c r="DH59"/>
  <c r="DH60"/>
  <c r="DH61"/>
  <c r="DH62"/>
  <c r="DH63"/>
  <c r="DH64"/>
  <c r="DH65"/>
  <c r="DH66"/>
  <c r="DH67"/>
  <c r="DH68"/>
  <c r="DH69"/>
  <c r="DH70"/>
  <c r="DH71"/>
  <c r="DH72"/>
  <c r="DH73"/>
  <c r="DH74"/>
  <c r="DH75"/>
  <c r="DH76"/>
  <c r="DH77"/>
  <c r="DH78"/>
  <c r="DH79"/>
  <c r="DH80"/>
  <c r="DH81"/>
  <c r="DH82"/>
  <c r="DH83"/>
  <c r="DH84"/>
  <c r="DH85"/>
  <c r="DH86"/>
  <c r="DH87"/>
  <c r="DH88"/>
  <c r="DH89"/>
  <c r="DH90"/>
  <c r="DH91"/>
  <c r="DH92"/>
  <c r="DH93"/>
  <c r="DH94"/>
  <c r="DH95"/>
  <c r="DH96"/>
  <c r="DH97"/>
  <c r="DH98"/>
  <c r="DH99"/>
  <c r="DH100"/>
  <c r="DH101"/>
  <c r="DH102"/>
  <c r="DH103"/>
  <c r="DH104"/>
  <c r="DH105"/>
  <c r="DH106"/>
  <c r="DH107"/>
  <c r="DH108"/>
  <c r="DH109"/>
  <c r="DH110"/>
  <c r="DH111"/>
  <c r="DH112"/>
  <c r="DH113"/>
  <c r="DH114"/>
  <c r="DH115"/>
  <c r="DH116"/>
  <c r="DH117"/>
  <c r="DH118"/>
  <c r="DH119"/>
  <c r="DH120"/>
  <c r="DH121"/>
  <c r="DH122"/>
  <c r="DH123"/>
  <c r="DH124"/>
  <c r="DH125"/>
  <c r="DH126"/>
  <c r="DH127"/>
  <c r="DH128"/>
  <c r="DH129"/>
  <c r="DH130"/>
  <c r="DH131"/>
  <c r="DH132"/>
  <c r="DH133"/>
  <c r="DH134"/>
  <c r="DH135"/>
  <c r="DH136"/>
  <c r="DH137"/>
  <c r="DH138"/>
  <c r="DH139"/>
  <c r="DH140"/>
  <c r="DH141"/>
  <c r="DH142"/>
  <c r="DH143"/>
  <c r="DH144"/>
  <c r="DH145"/>
  <c r="DH146"/>
  <c r="DH147"/>
  <c r="DH148"/>
  <c r="DH149"/>
  <c r="DH150"/>
  <c r="DH151"/>
  <c r="DH152"/>
  <c r="DH153"/>
  <c r="DH154"/>
  <c r="DH155"/>
  <c r="DH156"/>
  <c r="DH157"/>
  <c r="DH158"/>
  <c r="DH159"/>
  <c r="DH160"/>
  <c r="DH161"/>
  <c r="DH162"/>
  <c r="DH163"/>
  <c r="DH164"/>
  <c r="DH165"/>
  <c r="DH166"/>
  <c r="DH167"/>
  <c r="DH168"/>
  <c r="DH169"/>
  <c r="DH170"/>
  <c r="DH171"/>
  <c r="DH172"/>
  <c r="DH173"/>
  <c r="DH174"/>
  <c r="DH175"/>
  <c r="DH176"/>
  <c r="DH177"/>
  <c r="DH178"/>
  <c r="DH179"/>
  <c r="DH180"/>
  <c r="DH181"/>
  <c r="DH182"/>
  <c r="DH183"/>
  <c r="DH184"/>
  <c r="DH185"/>
  <c r="DH186"/>
  <c r="DH187"/>
  <c r="DH188"/>
  <c r="DH189"/>
  <c r="DH190"/>
  <c r="DH191"/>
  <c r="DH192"/>
  <c r="DH193"/>
  <c r="DH194"/>
  <c r="DH195"/>
  <c r="DH196"/>
  <c r="DH197"/>
  <c r="DH198"/>
  <c r="DH199"/>
  <c r="DH200"/>
  <c r="DH201"/>
  <c r="DH202"/>
  <c r="DH203"/>
  <c r="DH204"/>
  <c r="DH205"/>
  <c r="DH206"/>
  <c r="DH207"/>
  <c r="DH208"/>
  <c r="DH209"/>
  <c r="DH210"/>
  <c r="DH211"/>
  <c r="DH212"/>
  <c r="DH213"/>
  <c r="DH214"/>
  <c r="DH215"/>
  <c r="DH216"/>
  <c r="DH217"/>
  <c r="DH218"/>
  <c r="DH219"/>
  <c r="DH220"/>
  <c r="DH221"/>
  <c r="DH222"/>
  <c r="DH223"/>
  <c r="DH224"/>
  <c r="DH225"/>
  <c r="DH226"/>
  <c r="DH227"/>
  <c r="DH228"/>
  <c r="DH229"/>
  <c r="DH230"/>
  <c r="DH231"/>
  <c r="DH232"/>
  <c r="DH233"/>
  <c r="DH234"/>
  <c r="DH235"/>
  <c r="DH236"/>
  <c r="DH237"/>
  <c r="C10" s="1"/>
  <c r="DH238"/>
  <c r="DH239"/>
  <c r="DH240"/>
  <c r="DH241"/>
  <c r="DH242"/>
  <c r="DH243"/>
  <c r="DH244"/>
  <c r="DH245"/>
  <c r="DH246"/>
  <c r="DH247"/>
  <c r="DH248"/>
  <c r="DH249"/>
  <c r="DH250"/>
  <c r="DH251"/>
  <c r="DH252"/>
  <c r="DH253"/>
  <c r="DH254"/>
  <c r="DH255"/>
  <c r="DH256"/>
  <c r="DH257"/>
  <c r="DH258"/>
  <c r="DH259"/>
  <c r="DH260"/>
  <c r="DH261"/>
  <c r="DH262"/>
  <c r="DH263"/>
  <c r="DH264"/>
  <c r="DH265"/>
  <c r="DH266"/>
  <c r="DH267"/>
  <c r="DH268"/>
  <c r="DH269"/>
  <c r="DH270"/>
  <c r="DH271"/>
  <c r="DH272"/>
  <c r="DH273"/>
  <c r="DH274"/>
  <c r="DH275"/>
  <c r="DH276"/>
  <c r="DH277"/>
  <c r="DH278"/>
  <c r="DH279"/>
  <c r="DH280"/>
  <c r="DH281"/>
  <c r="DH282"/>
  <c r="DH283"/>
  <c r="DH284"/>
  <c r="DH285"/>
  <c r="DH286"/>
  <c r="DH287"/>
  <c r="DH288"/>
  <c r="DH289"/>
  <c r="DH290"/>
  <c r="DH291"/>
  <c r="DH292"/>
  <c r="DH293"/>
  <c r="DH294"/>
  <c r="DH295"/>
  <c r="DH296"/>
  <c r="DH297"/>
  <c r="DH298"/>
  <c r="DH299"/>
  <c r="DH300"/>
  <c r="DH301"/>
  <c r="DH302"/>
  <c r="DH303"/>
  <c r="DH304"/>
  <c r="DH305"/>
  <c r="DH306"/>
  <c r="DH307"/>
  <c r="DH308"/>
  <c r="DH309"/>
  <c r="DH310"/>
  <c r="DO5"/>
  <c r="B9"/>
  <c r="DD2" s="1"/>
  <c r="DE5" s="1"/>
  <c r="C9"/>
  <c r="DE2" s="1"/>
  <c r="DJ2"/>
  <c r="G14"/>
  <c r="G18"/>
  <c r="G19"/>
  <c r="G23"/>
  <c r="DJ21" s="1"/>
  <c r="G24"/>
  <c r="G28"/>
  <c r="G30"/>
  <c r="G34"/>
  <c r="G35"/>
  <c r="G39"/>
  <c r="G40"/>
  <c r="G44"/>
  <c r="G46"/>
  <c r="G50"/>
  <c r="G51"/>
  <c r="G55"/>
  <c r="G56"/>
  <c r="G60"/>
  <c r="G62"/>
  <c r="G66"/>
  <c r="G67"/>
  <c r="G71"/>
  <c r="G72"/>
  <c r="G76"/>
  <c r="G78"/>
  <c r="G82"/>
  <c r="G83"/>
  <c r="G87"/>
  <c r="G88"/>
  <c r="G92"/>
  <c r="G94"/>
  <c r="G98"/>
  <c r="G99"/>
  <c r="G103"/>
  <c r="G104"/>
  <c r="G108"/>
  <c r="G110"/>
  <c r="G113"/>
  <c r="G114"/>
  <c r="G117"/>
  <c r="G118"/>
  <c r="G121"/>
  <c r="G122"/>
  <c r="G125"/>
  <c r="G126"/>
  <c r="G129"/>
  <c r="G130"/>
  <c r="G133"/>
  <c r="G134"/>
  <c r="G137"/>
  <c r="G138"/>
  <c r="G141"/>
  <c r="G142"/>
  <c r="G145"/>
  <c r="G146"/>
  <c r="G149"/>
  <c r="G150"/>
  <c r="G153"/>
  <c r="G154"/>
  <c r="G157"/>
  <c r="G158"/>
  <c r="G161"/>
  <c r="G162"/>
  <c r="G165"/>
  <c r="G166"/>
  <c r="G169"/>
  <c r="G170"/>
  <c r="G173"/>
  <c r="G174"/>
  <c r="G177"/>
  <c r="G178"/>
  <c r="G181"/>
  <c r="G182"/>
  <c r="G185"/>
  <c r="G186"/>
  <c r="G189"/>
  <c r="G190"/>
  <c r="G193"/>
  <c r="G194"/>
  <c r="G197"/>
  <c r="G198"/>
  <c r="G201"/>
  <c r="G202"/>
  <c r="G205"/>
  <c r="G206"/>
  <c r="G209"/>
  <c r="G210"/>
  <c r="G213"/>
  <c r="G214"/>
  <c r="G217"/>
  <c r="G218"/>
  <c r="G221"/>
  <c r="G222"/>
  <c r="G225"/>
  <c r="G226"/>
  <c r="G229"/>
  <c r="G230"/>
  <c r="G233"/>
  <c r="G234"/>
  <c r="G237"/>
  <c r="G238"/>
  <c r="G241"/>
  <c r="G242"/>
  <c r="G245"/>
  <c r="G246"/>
  <c r="G249"/>
  <c r="G250"/>
  <c r="G253"/>
  <c r="G254"/>
  <c r="G257"/>
  <c r="G258"/>
  <c r="G261"/>
  <c r="G262"/>
  <c r="G265"/>
  <c r="G266"/>
  <c r="G269"/>
  <c r="G270"/>
  <c r="G273"/>
  <c r="G274"/>
  <c r="G277"/>
  <c r="G278"/>
  <c r="G281"/>
  <c r="G282"/>
  <c r="G285"/>
  <c r="G286"/>
  <c r="G289"/>
  <c r="G290"/>
  <c r="G293"/>
  <c r="G294"/>
  <c r="G297"/>
  <c r="G298"/>
  <c r="G301"/>
  <c r="G302"/>
  <c r="G305"/>
  <c r="G306"/>
  <c r="G309"/>
  <c r="G310"/>
  <c r="DD3"/>
  <c r="DE3"/>
  <c r="DD4"/>
  <c r="DE4"/>
  <c r="K5"/>
  <c r="L5"/>
  <c r="M5"/>
  <c r="N5"/>
  <c r="O5"/>
  <c r="Q5"/>
  <c r="R5"/>
  <c r="S5"/>
  <c r="T5"/>
  <c r="U5"/>
  <c r="V5"/>
  <c r="W5"/>
  <c r="Y5"/>
  <c r="Z5"/>
  <c r="AA5"/>
  <c r="AB5"/>
  <c r="AC5"/>
  <c r="AD5"/>
  <c r="AE5"/>
  <c r="AF5"/>
  <c r="AG5"/>
  <c r="AH5"/>
  <c r="AI5"/>
  <c r="AJ5"/>
  <c r="AK5"/>
  <c r="AL5"/>
  <c r="AM5"/>
  <c r="DD5"/>
  <c r="DU5"/>
  <c r="DU12" s="1"/>
  <c r="DU13" s="1"/>
  <c r="DU14" s="1"/>
  <c r="DR11"/>
  <c r="DS11" s="1"/>
  <c r="DR12"/>
  <c r="DS12" s="1"/>
  <c r="DR13"/>
  <c r="DS13" s="1"/>
  <c r="DR14"/>
  <c r="DS14" s="1"/>
  <c r="DR15"/>
  <c r="DS15" s="1"/>
  <c r="DR16"/>
  <c r="DS16" s="1"/>
  <c r="DR17"/>
  <c r="DS17" s="1"/>
  <c r="DR18"/>
  <c r="DS18" s="1"/>
  <c r="DR19"/>
  <c r="DS19" s="1"/>
  <c r="DR20"/>
  <c r="DS20" s="1"/>
  <c r="DR21"/>
  <c r="DS21" s="1"/>
  <c r="DR22"/>
  <c r="DS22" s="1"/>
  <c r="DR23"/>
  <c r="DS23" s="1"/>
  <c r="DR24"/>
  <c r="DS24" s="1"/>
  <c r="DR25"/>
  <c r="DS25" s="1"/>
  <c r="DR26"/>
  <c r="DS26" s="1"/>
  <c r="DR27"/>
  <c r="DS27" s="1"/>
  <c r="DR28"/>
  <c r="DS28" s="1"/>
  <c r="DR29"/>
  <c r="DS29" s="1"/>
  <c r="DR30"/>
  <c r="DS30" s="1"/>
  <c r="DR31"/>
  <c r="DS31" s="1"/>
  <c r="DR32"/>
  <c r="DS32" s="1"/>
  <c r="DR33"/>
  <c r="DS33" s="1"/>
  <c r="DR34"/>
  <c r="DS34" s="1"/>
  <c r="DR35"/>
  <c r="DS35" s="1"/>
  <c r="DR36"/>
  <c r="DS36" s="1"/>
  <c r="DR37"/>
  <c r="DS37" s="1"/>
  <c r="DR38"/>
  <c r="DS38" s="1"/>
  <c r="DR39"/>
  <c r="DS39" s="1"/>
  <c r="DR40"/>
  <c r="DS40" s="1"/>
  <c r="DR41"/>
  <c r="DS41" s="1"/>
  <c r="DR42"/>
  <c r="DS42" s="1"/>
  <c r="DR43"/>
  <c r="DS43" s="1"/>
  <c r="DR44"/>
  <c r="DS44" s="1"/>
  <c r="DR45"/>
  <c r="DS45" s="1"/>
  <c r="DR46"/>
  <c r="DS46" s="1"/>
  <c r="DR47"/>
  <c r="DS47" s="1"/>
  <c r="DR48"/>
  <c r="DS48" s="1"/>
  <c r="DR49"/>
  <c r="DS49" s="1"/>
  <c r="DR50"/>
  <c r="DS50" s="1"/>
  <c r="DR51"/>
  <c r="DS51" s="1"/>
  <c r="DR52"/>
  <c r="DS52" s="1"/>
  <c r="DR53"/>
  <c r="DS53" s="1"/>
  <c r="DR54"/>
  <c r="DS54" s="1"/>
  <c r="DR55"/>
  <c r="DS55" s="1"/>
  <c r="DR56"/>
  <c r="DS56" s="1"/>
  <c r="DR57"/>
  <c r="DS57" s="1"/>
  <c r="DR58"/>
  <c r="DS58" s="1"/>
  <c r="DR59"/>
  <c r="DS59" s="1"/>
  <c r="DR60"/>
  <c r="DS60" s="1"/>
  <c r="DR61"/>
  <c r="DS61" s="1"/>
  <c r="DR62"/>
  <c r="DS62" s="1"/>
  <c r="DR63"/>
  <c r="DS63" s="1"/>
  <c r="DR64"/>
  <c r="DS64" s="1"/>
  <c r="DR65"/>
  <c r="DS65" s="1"/>
  <c r="DR66"/>
  <c r="DS66" s="1"/>
  <c r="DR67"/>
  <c r="DS67" s="1"/>
  <c r="DR68"/>
  <c r="DS68" s="1"/>
  <c r="DR69"/>
  <c r="DS69" s="1"/>
  <c r="DR70"/>
  <c r="DS70" s="1"/>
  <c r="DR71"/>
  <c r="DS71" s="1"/>
  <c r="DR72"/>
  <c r="DS72" s="1"/>
  <c r="DR73"/>
  <c r="DS73" s="1"/>
  <c r="DR74"/>
  <c r="DS74" s="1"/>
  <c r="DR75"/>
  <c r="DS75" s="1"/>
  <c r="DR76"/>
  <c r="DS76" s="1"/>
  <c r="DR77"/>
  <c r="DS77" s="1"/>
  <c r="DR78"/>
  <c r="DS78" s="1"/>
  <c r="DR79"/>
  <c r="DS79" s="1"/>
  <c r="DR80"/>
  <c r="DS80" s="1"/>
  <c r="DR81"/>
  <c r="DS81" s="1"/>
  <c r="DR82"/>
  <c r="DS82" s="1"/>
  <c r="DR83"/>
  <c r="DS83" s="1"/>
  <c r="DR84"/>
  <c r="DS84" s="1"/>
  <c r="DR85"/>
  <c r="DS85" s="1"/>
  <c r="DR86"/>
  <c r="DS86" s="1"/>
  <c r="DR87"/>
  <c r="DS87" s="1"/>
  <c r="DR88"/>
  <c r="DS88" s="1"/>
  <c r="DR89"/>
  <c r="DS89" s="1"/>
  <c r="DR90"/>
  <c r="DS90" s="1"/>
  <c r="DR91"/>
  <c r="DS91" s="1"/>
  <c r="DR92"/>
  <c r="DS92" s="1"/>
  <c r="DR93"/>
  <c r="DS93" s="1"/>
  <c r="DR94"/>
  <c r="DS94" s="1"/>
  <c r="DR95"/>
  <c r="DS95" s="1"/>
  <c r="DR96"/>
  <c r="DS96" s="1"/>
  <c r="DR97"/>
  <c r="DS97" s="1"/>
  <c r="DR98"/>
  <c r="DS98" s="1"/>
  <c r="DR99"/>
  <c r="DS99" s="1"/>
  <c r="DR100"/>
  <c r="DS100" s="1"/>
  <c r="DR101"/>
  <c r="DS101" s="1"/>
  <c r="DR102"/>
  <c r="DS102" s="1"/>
  <c r="DR103"/>
  <c r="DS103" s="1"/>
  <c r="DR104"/>
  <c r="DS104" s="1"/>
  <c r="DR105"/>
  <c r="DS105" s="1"/>
  <c r="DR106"/>
  <c r="DS106" s="1"/>
  <c r="DR107"/>
  <c r="DS107" s="1"/>
  <c r="DR108"/>
  <c r="DS108" s="1"/>
  <c r="DR109"/>
  <c r="DS109" s="1"/>
  <c r="DR110"/>
  <c r="DS110" s="1"/>
  <c r="DR111"/>
  <c r="DS111" s="1"/>
  <c r="DR112"/>
  <c r="DS112" s="1"/>
  <c r="DR113"/>
  <c r="DS113" s="1"/>
  <c r="DR114"/>
  <c r="DS114" s="1"/>
  <c r="DR115"/>
  <c r="DS115" s="1"/>
  <c r="DR116"/>
  <c r="DS116" s="1"/>
  <c r="DR117"/>
  <c r="DS117" s="1"/>
  <c r="DR118"/>
  <c r="DS118" s="1"/>
  <c r="DR119"/>
  <c r="DS119" s="1"/>
  <c r="DR120"/>
  <c r="DS120" s="1"/>
  <c r="DR121"/>
  <c r="DS121" s="1"/>
  <c r="DR122"/>
  <c r="DS122" s="1"/>
  <c r="DR123"/>
  <c r="DS123" s="1"/>
  <c r="DR124"/>
  <c r="DS124" s="1"/>
  <c r="DR125"/>
  <c r="DS125" s="1"/>
  <c r="DR126"/>
  <c r="DS126" s="1"/>
  <c r="DR127"/>
  <c r="DS127" s="1"/>
  <c r="DR128"/>
  <c r="DS128" s="1"/>
  <c r="DR129"/>
  <c r="DS129" s="1"/>
  <c r="DR130"/>
  <c r="DS130" s="1"/>
  <c r="DR131"/>
  <c r="DS131" s="1"/>
  <c r="DR132"/>
  <c r="DS132" s="1"/>
  <c r="DR133"/>
  <c r="DS133" s="1"/>
  <c r="DR134"/>
  <c r="DS134" s="1"/>
  <c r="DR135"/>
  <c r="DS135" s="1"/>
  <c r="DR136"/>
  <c r="DS136" s="1"/>
  <c r="DR137"/>
  <c r="DS137" s="1"/>
  <c r="DR138"/>
  <c r="DS138" s="1"/>
  <c r="DR139"/>
  <c r="DS139" s="1"/>
  <c r="DR140"/>
  <c r="DS140" s="1"/>
  <c r="DR141"/>
  <c r="DS141" s="1"/>
  <c r="DR142"/>
  <c r="DS142" s="1"/>
  <c r="DR143"/>
  <c r="DS143" s="1"/>
  <c r="DR144"/>
  <c r="DS144" s="1"/>
  <c r="DR145"/>
  <c r="DS145" s="1"/>
  <c r="DR146"/>
  <c r="DS146" s="1"/>
  <c r="DR147"/>
  <c r="DS147" s="1"/>
  <c r="DR148"/>
  <c r="DS148" s="1"/>
  <c r="DR149"/>
  <c r="DS149" s="1"/>
  <c r="DR150"/>
  <c r="DS150" s="1"/>
  <c r="DR151"/>
  <c r="DS151" s="1"/>
  <c r="DR152"/>
  <c r="DS152" s="1"/>
  <c r="DR153"/>
  <c r="DS153" s="1"/>
  <c r="DR154"/>
  <c r="DS154" s="1"/>
  <c r="DR155"/>
  <c r="DS155" s="1"/>
  <c r="DR156"/>
  <c r="DS156" s="1"/>
  <c r="DR157"/>
  <c r="DS157" s="1"/>
  <c r="DR158"/>
  <c r="DS158" s="1"/>
  <c r="DR159"/>
  <c r="DS159" s="1"/>
  <c r="DR160"/>
  <c r="DS160" s="1"/>
  <c r="DR161"/>
  <c r="DS161" s="1"/>
  <c r="DR162"/>
  <c r="DS162" s="1"/>
  <c r="DR163"/>
  <c r="DS163" s="1"/>
  <c r="DR164"/>
  <c r="DS164" s="1"/>
  <c r="DR165"/>
  <c r="DS165" s="1"/>
  <c r="DR166"/>
  <c r="DS166" s="1"/>
  <c r="DR167"/>
  <c r="DS167" s="1"/>
  <c r="DR168"/>
  <c r="DS168" s="1"/>
  <c r="DR169"/>
  <c r="DS169" s="1"/>
  <c r="DR170"/>
  <c r="DS170" s="1"/>
  <c r="DR171"/>
  <c r="DS171" s="1"/>
  <c r="DR172"/>
  <c r="DS172" s="1"/>
  <c r="DR173"/>
  <c r="DS173" s="1"/>
  <c r="DR174"/>
  <c r="DS174" s="1"/>
  <c r="DR175"/>
  <c r="DS175" s="1"/>
  <c r="DR176"/>
  <c r="DS176" s="1"/>
  <c r="DR177"/>
  <c r="DS177" s="1"/>
  <c r="DR178"/>
  <c r="DS178" s="1"/>
  <c r="DR179"/>
  <c r="DS179" s="1"/>
  <c r="DR180"/>
  <c r="DS180" s="1"/>
  <c r="DR181"/>
  <c r="DS181" s="1"/>
  <c r="DR182"/>
  <c r="DS182" s="1"/>
  <c r="DR183"/>
  <c r="DS183" s="1"/>
  <c r="DR184"/>
  <c r="DS184" s="1"/>
  <c r="DR185"/>
  <c r="DS185" s="1"/>
  <c r="DR186"/>
  <c r="DS186" s="1"/>
  <c r="DR187"/>
  <c r="DS187" s="1"/>
  <c r="DR188"/>
  <c r="DS188" s="1"/>
  <c r="DR189"/>
  <c r="DS189" s="1"/>
  <c r="DR190"/>
  <c r="DS190" s="1"/>
  <c r="DR191"/>
  <c r="DS191" s="1"/>
  <c r="DR192"/>
  <c r="DS192" s="1"/>
  <c r="DR193"/>
  <c r="DS193" s="1"/>
  <c r="DR194"/>
  <c r="DS194" s="1"/>
  <c r="DR195"/>
  <c r="DS195" s="1"/>
  <c r="DR196"/>
  <c r="DS196" s="1"/>
  <c r="DR197"/>
  <c r="DS197" s="1"/>
  <c r="DR198"/>
  <c r="DS198" s="1"/>
  <c r="DR199"/>
  <c r="DS199" s="1"/>
  <c r="DR200"/>
  <c r="DS200" s="1"/>
  <c r="DR201"/>
  <c r="DS201" s="1"/>
  <c r="DR202"/>
  <c r="DS202" s="1"/>
  <c r="DR203"/>
  <c r="DS203" s="1"/>
  <c r="DR204"/>
  <c r="DS204" s="1"/>
  <c r="DR205"/>
  <c r="DS205" s="1"/>
  <c r="DR206"/>
  <c r="DS206" s="1"/>
  <c r="DR207"/>
  <c r="DS207" s="1"/>
  <c r="DR208"/>
  <c r="DS208" s="1"/>
  <c r="DR209"/>
  <c r="DS209" s="1"/>
  <c r="DR210"/>
  <c r="DS210" s="1"/>
  <c r="DR211"/>
  <c r="DS211" s="1"/>
  <c r="DR212"/>
  <c r="DS212" s="1"/>
  <c r="DR213"/>
  <c r="DS213" s="1"/>
  <c r="DR214"/>
  <c r="DS214" s="1"/>
  <c r="DR215"/>
  <c r="DS215" s="1"/>
  <c r="DR216"/>
  <c r="DS216" s="1"/>
  <c r="DR217"/>
  <c r="DS217" s="1"/>
  <c r="DR218"/>
  <c r="DS218" s="1"/>
  <c r="DR219"/>
  <c r="DS219" s="1"/>
  <c r="DR220"/>
  <c r="DS220" s="1"/>
  <c r="DR221"/>
  <c r="DS221" s="1"/>
  <c r="DR222"/>
  <c r="DS222" s="1"/>
  <c r="DR223"/>
  <c r="DS223" s="1"/>
  <c r="DR224"/>
  <c r="DS224" s="1"/>
  <c r="DR225"/>
  <c r="DS225" s="1"/>
  <c r="DR226"/>
  <c r="DS226" s="1"/>
  <c r="DR227"/>
  <c r="DS227" s="1"/>
  <c r="DR228"/>
  <c r="DS228" s="1"/>
  <c r="DR229"/>
  <c r="DS229" s="1"/>
  <c r="DR230"/>
  <c r="DS230" s="1"/>
  <c r="DR231"/>
  <c r="DS231" s="1"/>
  <c r="DR232"/>
  <c r="DS232" s="1"/>
  <c r="DR233"/>
  <c r="DS233" s="1"/>
  <c r="DR234"/>
  <c r="DS234" s="1"/>
  <c r="DR235"/>
  <c r="DS235" s="1"/>
  <c r="DR236"/>
  <c r="DS236" s="1"/>
  <c r="DR237"/>
  <c r="DS237" s="1"/>
  <c r="DR238"/>
  <c r="DS238" s="1"/>
  <c r="DR239"/>
  <c r="DS239" s="1"/>
  <c r="DR240"/>
  <c r="DS240" s="1"/>
  <c r="DR241"/>
  <c r="DS241" s="1"/>
  <c r="DR242"/>
  <c r="DS242" s="1"/>
  <c r="DR243"/>
  <c r="DS243" s="1"/>
  <c r="DR244"/>
  <c r="DS244" s="1"/>
  <c r="DR245"/>
  <c r="DS245" s="1"/>
  <c r="DR246"/>
  <c r="DS246" s="1"/>
  <c r="DR247"/>
  <c r="DS247" s="1"/>
  <c r="DR248"/>
  <c r="DS248" s="1"/>
  <c r="DR249"/>
  <c r="DS249" s="1"/>
  <c r="DR250"/>
  <c r="DS250" s="1"/>
  <c r="DR251"/>
  <c r="DS251" s="1"/>
  <c r="DR252"/>
  <c r="DS252" s="1"/>
  <c r="DR253"/>
  <c r="DS253" s="1"/>
  <c r="DR254"/>
  <c r="DS254" s="1"/>
  <c r="DR255"/>
  <c r="DS255" s="1"/>
  <c r="DR256"/>
  <c r="DS256" s="1"/>
  <c r="DR257"/>
  <c r="DS257" s="1"/>
  <c r="DR258"/>
  <c r="DS258" s="1"/>
  <c r="DR259"/>
  <c r="DS259" s="1"/>
  <c r="DR260"/>
  <c r="DS260" s="1"/>
  <c r="DR261"/>
  <c r="DS261" s="1"/>
  <c r="DR262"/>
  <c r="DS262" s="1"/>
  <c r="DR263"/>
  <c r="DS263" s="1"/>
  <c r="DR264"/>
  <c r="DS264" s="1"/>
  <c r="DR265"/>
  <c r="DS265" s="1"/>
  <c r="DR266"/>
  <c r="DS266" s="1"/>
  <c r="DR267"/>
  <c r="DS267" s="1"/>
  <c r="DR268"/>
  <c r="DS268" s="1"/>
  <c r="DR269"/>
  <c r="DS269" s="1"/>
  <c r="DR270"/>
  <c r="DS270" s="1"/>
  <c r="DR271"/>
  <c r="DS271" s="1"/>
  <c r="DR272"/>
  <c r="DS272" s="1"/>
  <c r="DR273"/>
  <c r="DS273" s="1"/>
  <c r="DR274"/>
  <c r="DS274" s="1"/>
  <c r="DR275"/>
  <c r="DS275" s="1"/>
  <c r="DR276"/>
  <c r="DS276" s="1"/>
  <c r="DR277"/>
  <c r="DS277" s="1"/>
  <c r="DR278"/>
  <c r="DS278" s="1"/>
  <c r="DR279"/>
  <c r="DS279" s="1"/>
  <c r="DR280"/>
  <c r="DS280" s="1"/>
  <c r="DR281"/>
  <c r="DS281" s="1"/>
  <c r="DR282"/>
  <c r="DS282" s="1"/>
  <c r="DR283"/>
  <c r="DS283" s="1"/>
  <c r="DR284"/>
  <c r="DS284" s="1"/>
  <c r="DR285"/>
  <c r="DS285" s="1"/>
  <c r="DR286"/>
  <c r="DS286" s="1"/>
  <c r="DR287"/>
  <c r="DS287" s="1"/>
  <c r="DR288"/>
  <c r="DS288" s="1"/>
  <c r="DR289"/>
  <c r="DS289" s="1"/>
  <c r="DR290"/>
  <c r="DS290" s="1"/>
  <c r="DR291"/>
  <c r="DS291" s="1"/>
  <c r="DR292"/>
  <c r="DS292" s="1"/>
  <c r="DR293"/>
  <c r="DS293" s="1"/>
  <c r="DR294"/>
  <c r="DS294" s="1"/>
  <c r="DR295"/>
  <c r="DS295" s="1"/>
  <c r="DR296"/>
  <c r="DS296" s="1"/>
  <c r="DR297"/>
  <c r="DS297" s="1"/>
  <c r="DR298"/>
  <c r="DS298" s="1"/>
  <c r="DR299"/>
  <c r="DS299" s="1"/>
  <c r="DR300"/>
  <c r="DS300" s="1"/>
  <c r="DR301"/>
  <c r="DS301" s="1"/>
  <c r="DR302"/>
  <c r="DS302" s="1"/>
  <c r="DR303"/>
  <c r="DS303" s="1"/>
  <c r="DR304"/>
  <c r="DS304" s="1"/>
  <c r="DR305"/>
  <c r="DS305" s="1"/>
  <c r="DR306"/>
  <c r="DS306" s="1"/>
  <c r="DR307"/>
  <c r="DS307" s="1"/>
  <c r="DR308"/>
  <c r="DS308" s="1"/>
  <c r="DR309"/>
  <c r="DS309" s="1"/>
  <c r="DR310"/>
  <c r="DS310" s="1"/>
  <c r="K6"/>
  <c r="Z6"/>
  <c r="AA6"/>
  <c r="AB6"/>
  <c r="AM6"/>
  <c r="DD6"/>
  <c r="DE6"/>
  <c r="DH6"/>
  <c r="K7"/>
  <c r="Z7"/>
  <c r="AA7"/>
  <c r="AB7"/>
  <c r="AM7"/>
  <c r="DH7"/>
  <c r="K8"/>
  <c r="Z8"/>
  <c r="AA8"/>
  <c r="AB8"/>
  <c r="AM8"/>
  <c r="DI23"/>
  <c r="DK23" s="1"/>
  <c r="DI24"/>
  <c r="DI25"/>
  <c r="DI26"/>
  <c r="DI27"/>
  <c r="DK27" s="1"/>
  <c r="DM27" s="1"/>
  <c r="DI28"/>
  <c r="DK28" s="1"/>
  <c r="DM28" s="1"/>
  <c r="DN28" s="1"/>
  <c r="DI29"/>
  <c r="DI30"/>
  <c r="DI31"/>
  <c r="DK31" s="1"/>
  <c r="DI32"/>
  <c r="DK32" s="1"/>
  <c r="DI33"/>
  <c r="DI34"/>
  <c r="DK34" s="1"/>
  <c r="DI35"/>
  <c r="DI36"/>
  <c r="DI37"/>
  <c r="DI38"/>
  <c r="DK38" s="1"/>
  <c r="DI39"/>
  <c r="DK39" s="1"/>
  <c r="DI40"/>
  <c r="DI41"/>
  <c r="DI42"/>
  <c r="DI43"/>
  <c r="DK43" s="1"/>
  <c r="DI44"/>
  <c r="DI45"/>
  <c r="DI46"/>
  <c r="DK46" s="1"/>
  <c r="DI47"/>
  <c r="DK47" s="1"/>
  <c r="DI48"/>
  <c r="DI49"/>
  <c r="DI50"/>
  <c r="DK50" s="1"/>
  <c r="DI51"/>
  <c r="DK51" s="1"/>
  <c r="DM51" s="1"/>
  <c r="DI52"/>
  <c r="DI53"/>
  <c r="DI54"/>
  <c r="DK54" s="1"/>
  <c r="DI55"/>
  <c r="DK55" s="1"/>
  <c r="DI56"/>
  <c r="DI57"/>
  <c r="DI58"/>
  <c r="DK58" s="1"/>
  <c r="DI59"/>
  <c r="DK59" s="1"/>
  <c r="DI60"/>
  <c r="DI61"/>
  <c r="DI62"/>
  <c r="DI63"/>
  <c r="DI64"/>
  <c r="DI65"/>
  <c r="DI66"/>
  <c r="DK66" s="1"/>
  <c r="DI67"/>
  <c r="DK67" s="1"/>
  <c r="DI68"/>
  <c r="DI69"/>
  <c r="DI70"/>
  <c r="DK70" s="1"/>
  <c r="DI71"/>
  <c r="DI72"/>
  <c r="DI73"/>
  <c r="DI74"/>
  <c r="DK74" s="1"/>
  <c r="DI75"/>
  <c r="DK75" s="1"/>
  <c r="DI76"/>
  <c r="DI77"/>
  <c r="DI78"/>
  <c r="DK78" s="1"/>
  <c r="DI79"/>
  <c r="DI80"/>
  <c r="DI81"/>
  <c r="DI82"/>
  <c r="DK82" s="1"/>
  <c r="DI83"/>
  <c r="DK83" s="1"/>
  <c r="DI84"/>
  <c r="DI85"/>
  <c r="DI86"/>
  <c r="DK86" s="1"/>
  <c r="DI87"/>
  <c r="DI88"/>
  <c r="DI89"/>
  <c r="DI90"/>
  <c r="DK90" s="1"/>
  <c r="DI91"/>
  <c r="DK91" s="1"/>
  <c r="DI92"/>
  <c r="DI93"/>
  <c r="DI94"/>
  <c r="DK94" s="1"/>
  <c r="DI95"/>
  <c r="DI96"/>
  <c r="DI97"/>
  <c r="DI98"/>
  <c r="DK98" s="1"/>
  <c r="DI99"/>
  <c r="DK99" s="1"/>
  <c r="DI100"/>
  <c r="DI101"/>
  <c r="DI102"/>
  <c r="DK102" s="1"/>
  <c r="DI103"/>
  <c r="DI104"/>
  <c r="DI105"/>
  <c r="DI106"/>
  <c r="DK106" s="1"/>
  <c r="DI107"/>
  <c r="DK107" s="1"/>
  <c r="DI108"/>
  <c r="DI109"/>
  <c r="DI110"/>
  <c r="DK110" s="1"/>
  <c r="DI111"/>
  <c r="DI112"/>
  <c r="DI113"/>
  <c r="DI114"/>
  <c r="DK114" s="1"/>
  <c r="DI115"/>
  <c r="DK115" s="1"/>
  <c r="DI116"/>
  <c r="DI117"/>
  <c r="DI118"/>
  <c r="DK118" s="1"/>
  <c r="DI119"/>
  <c r="DI120"/>
  <c r="DI121"/>
  <c r="DI122"/>
  <c r="DK122" s="1"/>
  <c r="DI123"/>
  <c r="DK123" s="1"/>
  <c r="DI124"/>
  <c r="DI125"/>
  <c r="DI126"/>
  <c r="DK126" s="1"/>
  <c r="DI127"/>
  <c r="DI128"/>
  <c r="DI129"/>
  <c r="DI130"/>
  <c r="DK130" s="1"/>
  <c r="DI131"/>
  <c r="DK131" s="1"/>
  <c r="DI132"/>
  <c r="DI133"/>
  <c r="DI134"/>
  <c r="DK134" s="1"/>
  <c r="DI135"/>
  <c r="DI136"/>
  <c r="DI137"/>
  <c r="DI138"/>
  <c r="DK138" s="1"/>
  <c r="DI139"/>
  <c r="DK139" s="1"/>
  <c r="DI140"/>
  <c r="DI141"/>
  <c r="DI142"/>
  <c r="DK142" s="1"/>
  <c r="DI143"/>
  <c r="DI144"/>
  <c r="DI145"/>
  <c r="DI146"/>
  <c r="DK146" s="1"/>
  <c r="DI147"/>
  <c r="DK147" s="1"/>
  <c r="DI148"/>
  <c r="DI149"/>
  <c r="DI150"/>
  <c r="DK150" s="1"/>
  <c r="DI151"/>
  <c r="DI152"/>
  <c r="DI153"/>
  <c r="DI154"/>
  <c r="DK154" s="1"/>
  <c r="DI155"/>
  <c r="DK155" s="1"/>
  <c r="DI156"/>
  <c r="DI157"/>
  <c r="DI158"/>
  <c r="DK158" s="1"/>
  <c r="DI159"/>
  <c r="DI160"/>
  <c r="DI161"/>
  <c r="DI162"/>
  <c r="DK162" s="1"/>
  <c r="DI163"/>
  <c r="DK163" s="1"/>
  <c r="DI164"/>
  <c r="DI165"/>
  <c r="DI166"/>
  <c r="DI167"/>
  <c r="DK167" s="1"/>
  <c r="DI168"/>
  <c r="DI169"/>
  <c r="DI170"/>
  <c r="DI171"/>
  <c r="DK171" s="1"/>
  <c r="DI172"/>
  <c r="DI173"/>
  <c r="DI174"/>
  <c r="DI175"/>
  <c r="DK175" s="1"/>
  <c r="DI176"/>
  <c r="DI177"/>
  <c r="DI178"/>
  <c r="DI179"/>
  <c r="DK179" s="1"/>
  <c r="DI180"/>
  <c r="DI181"/>
  <c r="DI182"/>
  <c r="DI183"/>
  <c r="DK183" s="1"/>
  <c r="DI184"/>
  <c r="DI185"/>
  <c r="DI186"/>
  <c r="DI187"/>
  <c r="DK187" s="1"/>
  <c r="DI188"/>
  <c r="DI189"/>
  <c r="DI190"/>
  <c r="DI191"/>
  <c r="DK191" s="1"/>
  <c r="DI192"/>
  <c r="DI193"/>
  <c r="DI194"/>
  <c r="DI195"/>
  <c r="DK195" s="1"/>
  <c r="DI196"/>
  <c r="DI197"/>
  <c r="DI198"/>
  <c r="DI199"/>
  <c r="DK199" s="1"/>
  <c r="DI200"/>
  <c r="DI201"/>
  <c r="DI202"/>
  <c r="DI203"/>
  <c r="DK203" s="1"/>
  <c r="DI204"/>
  <c r="DI205"/>
  <c r="DI206"/>
  <c r="DI207"/>
  <c r="DK207" s="1"/>
  <c r="DI208"/>
  <c r="DI209"/>
  <c r="DI210"/>
  <c r="DI211"/>
  <c r="DK211" s="1"/>
  <c r="DI212"/>
  <c r="DI213"/>
  <c r="DI214"/>
  <c r="DI215"/>
  <c r="DI216"/>
  <c r="DI217"/>
  <c r="DI218"/>
  <c r="DI219"/>
  <c r="DI220"/>
  <c r="DI221"/>
  <c r="DI222"/>
  <c r="DI223"/>
  <c r="DI224"/>
  <c r="DI225"/>
  <c r="DI226"/>
  <c r="DI227"/>
  <c r="DI228"/>
  <c r="DI229"/>
  <c r="DI230"/>
  <c r="DI231"/>
  <c r="DI232"/>
  <c r="DI233"/>
  <c r="DI234"/>
  <c r="DI235"/>
  <c r="DI236"/>
  <c r="DI237"/>
  <c r="DI238"/>
  <c r="DI239"/>
  <c r="DI240"/>
  <c r="DI241"/>
  <c r="DI242"/>
  <c r="DI243"/>
  <c r="DI244"/>
  <c r="DI245"/>
  <c r="DI246"/>
  <c r="DI247"/>
  <c r="DI248"/>
  <c r="DI249"/>
  <c r="DI250"/>
  <c r="DI251"/>
  <c r="DI252"/>
  <c r="DI253"/>
  <c r="DI254"/>
  <c r="DI255"/>
  <c r="DI256"/>
  <c r="DI257"/>
  <c r="DI258"/>
  <c r="DI259"/>
  <c r="DI260"/>
  <c r="DI261"/>
  <c r="DI262"/>
  <c r="DI263"/>
  <c r="DI264"/>
  <c r="DI265"/>
  <c r="DI266"/>
  <c r="DI267"/>
  <c r="DI268"/>
  <c r="DI269"/>
  <c r="DI270"/>
  <c r="DI271"/>
  <c r="DI272"/>
  <c r="DI273"/>
  <c r="DI274"/>
  <c r="DI275"/>
  <c r="DI276"/>
  <c r="DI277"/>
  <c r="DI278"/>
  <c r="DI279"/>
  <c r="DI280"/>
  <c r="DI281"/>
  <c r="DI282"/>
  <c r="DI283"/>
  <c r="DI284"/>
  <c r="DI285"/>
  <c r="DI286"/>
  <c r="DI287"/>
  <c r="DI288"/>
  <c r="DI289"/>
  <c r="DI290"/>
  <c r="DI291"/>
  <c r="DI292"/>
  <c r="DI293"/>
  <c r="DI294"/>
  <c r="DI295"/>
  <c r="DI296"/>
  <c r="DI297"/>
  <c r="DI298"/>
  <c r="DI299"/>
  <c r="DI300"/>
  <c r="DI301"/>
  <c r="DI302"/>
  <c r="DI303"/>
  <c r="DI304"/>
  <c r="DI305"/>
  <c r="DI306"/>
  <c r="DI307"/>
  <c r="DI308"/>
  <c r="DI309"/>
  <c r="DI310"/>
  <c r="K9"/>
  <c r="Z9"/>
  <c r="AA9"/>
  <c r="AB9"/>
  <c r="AM9"/>
  <c r="K10"/>
  <c r="Z10"/>
  <c r="AA10"/>
  <c r="AB10"/>
  <c r="AM10"/>
  <c r="K11"/>
  <c r="Z11"/>
  <c r="AA11"/>
  <c r="AB11"/>
  <c r="AM11"/>
  <c r="DU11"/>
  <c r="K12"/>
  <c r="Z12"/>
  <c r="AA12"/>
  <c r="AB12"/>
  <c r="AM12"/>
  <c r="DC12"/>
  <c r="DD12"/>
  <c r="DJ12"/>
  <c r="DL12" s="1"/>
  <c r="DO12" s="1"/>
  <c r="K13"/>
  <c r="Z13"/>
  <c r="AA13"/>
  <c r="AB13"/>
  <c r="AM13"/>
  <c r="DC13"/>
  <c r="DD13"/>
  <c r="K14"/>
  <c r="Z14"/>
  <c r="AA14"/>
  <c r="AB14"/>
  <c r="AM14"/>
  <c r="K15"/>
  <c r="Z15"/>
  <c r="AA15"/>
  <c r="AB15"/>
  <c r="AM15"/>
  <c r="DU15"/>
  <c r="DU16" s="1"/>
  <c r="DU17" s="1"/>
  <c r="DU18" s="1"/>
  <c r="DU19" s="1"/>
  <c r="DU20" s="1"/>
  <c r="DU21" s="1"/>
  <c r="DU22" s="1"/>
  <c r="DU23" s="1"/>
  <c r="DU24" s="1"/>
  <c r="DU25" s="1"/>
  <c r="DU26" s="1"/>
  <c r="DU27" s="1"/>
  <c r="DU28" s="1"/>
  <c r="DU29" s="1"/>
  <c r="DU30" s="1"/>
  <c r="DU31" s="1"/>
  <c r="DU32" s="1"/>
  <c r="DU33" s="1"/>
  <c r="DU34" s="1"/>
  <c r="DU35" s="1"/>
  <c r="DU36" s="1"/>
  <c r="DU37" s="1"/>
  <c r="DU38" s="1"/>
  <c r="DU39" s="1"/>
  <c r="DU40" s="1"/>
  <c r="DU41" s="1"/>
  <c r="DU42" s="1"/>
  <c r="DU43" s="1"/>
  <c r="K16"/>
  <c r="Z16"/>
  <c r="AA16"/>
  <c r="AB16"/>
  <c r="AM16"/>
  <c r="DJ16"/>
  <c r="DL16" s="1"/>
  <c r="DO16" s="1"/>
  <c r="K17"/>
  <c r="Z17"/>
  <c r="AA17"/>
  <c r="AB17"/>
  <c r="AM17"/>
  <c r="DJ17"/>
  <c r="DL17"/>
  <c r="DO17" s="1"/>
  <c r="K18"/>
  <c r="Z18"/>
  <c r="AA18"/>
  <c r="AB18"/>
  <c r="AM18"/>
  <c r="K19"/>
  <c r="Z19"/>
  <c r="AA19"/>
  <c r="AB19"/>
  <c r="AM19"/>
  <c r="K20"/>
  <c r="Z20"/>
  <c r="AA20"/>
  <c r="AB20"/>
  <c r="AM20"/>
  <c r="K21"/>
  <c r="Z21"/>
  <c r="AA21"/>
  <c r="AB21"/>
  <c r="AM21"/>
  <c r="DD21"/>
  <c r="DL21"/>
  <c r="DO21" s="1"/>
  <c r="K22"/>
  <c r="Z22"/>
  <c r="AA22"/>
  <c r="AB22"/>
  <c r="AM22"/>
  <c r="DJ22"/>
  <c r="DL22" s="1"/>
  <c r="DO22" s="1"/>
  <c r="K23"/>
  <c r="Z23"/>
  <c r="AA23"/>
  <c r="AB23"/>
  <c r="AM23"/>
  <c r="DJ23"/>
  <c r="DL23" s="1"/>
  <c r="K24"/>
  <c r="Z24"/>
  <c r="AA24"/>
  <c r="AB24"/>
  <c r="AM24"/>
  <c r="DJ24"/>
  <c r="DK24"/>
  <c r="DL24"/>
  <c r="DO24"/>
  <c r="K25"/>
  <c r="Z25"/>
  <c r="AA25"/>
  <c r="AB25"/>
  <c r="AM25"/>
  <c r="DJ25"/>
  <c r="DK25"/>
  <c r="DL25"/>
  <c r="DO25" s="1"/>
  <c r="K26"/>
  <c r="Z26"/>
  <c r="AA26"/>
  <c r="AB26"/>
  <c r="AM26"/>
  <c r="DJ26"/>
  <c r="DL26" s="1"/>
  <c r="DO26" s="1"/>
  <c r="DK26"/>
  <c r="K27"/>
  <c r="Z27"/>
  <c r="AA27"/>
  <c r="AB27"/>
  <c r="AM27"/>
  <c r="DJ27"/>
  <c r="DL27" s="1"/>
  <c r="DN27"/>
  <c r="DO27"/>
  <c r="K28"/>
  <c r="Z28"/>
  <c r="AA28"/>
  <c r="AB28"/>
  <c r="AM28"/>
  <c r="DJ28"/>
  <c r="DL28"/>
  <c r="DO28" s="1"/>
  <c r="K29"/>
  <c r="Z29"/>
  <c r="AA29"/>
  <c r="AB29"/>
  <c r="AM29"/>
  <c r="DJ29"/>
  <c r="DL29" s="1"/>
  <c r="DK29"/>
  <c r="DM29" s="1"/>
  <c r="DN29" s="1"/>
  <c r="DO29"/>
  <c r="K30"/>
  <c r="Z30"/>
  <c r="AA30"/>
  <c r="AB30"/>
  <c r="AM30"/>
  <c r="DJ30"/>
  <c r="DL30" s="1"/>
  <c r="DO30" s="1"/>
  <c r="DK30"/>
  <c r="DM30" s="1"/>
  <c r="DN30" s="1"/>
  <c r="K31"/>
  <c r="Z31"/>
  <c r="AA31"/>
  <c r="AB31"/>
  <c r="AM31"/>
  <c r="DD31"/>
  <c r="DJ31"/>
  <c r="DL31"/>
  <c r="DO31" s="1"/>
  <c r="DM31"/>
  <c r="DN31" s="1"/>
  <c r="K32"/>
  <c r="Z32"/>
  <c r="AA32"/>
  <c r="AB32"/>
  <c r="AM32"/>
  <c r="DJ32"/>
  <c r="DL32"/>
  <c r="DO32" s="1"/>
  <c r="DM32"/>
  <c r="DN32" s="1"/>
  <c r="K33"/>
  <c r="Z33"/>
  <c r="AA33"/>
  <c r="AB33"/>
  <c r="AM33"/>
  <c r="DJ33"/>
  <c r="DK33"/>
  <c r="DL33"/>
  <c r="DO33" s="1"/>
  <c r="DM33"/>
  <c r="DN33" s="1"/>
  <c r="K34"/>
  <c r="Z34"/>
  <c r="AA34"/>
  <c r="AB34"/>
  <c r="AM34"/>
  <c r="DJ34"/>
  <c r="DL34"/>
  <c r="DO34" s="1"/>
  <c r="DM34"/>
  <c r="DN34" s="1"/>
  <c r="K35"/>
  <c r="Z35"/>
  <c r="AA35"/>
  <c r="AB35"/>
  <c r="AM35"/>
  <c r="DD35"/>
  <c r="DJ35"/>
  <c r="DK35"/>
  <c r="DM35" s="1"/>
  <c r="DN35" s="1"/>
  <c r="DL35"/>
  <c r="DO35"/>
  <c r="K36"/>
  <c r="Z36"/>
  <c r="AA36"/>
  <c r="AB36"/>
  <c r="AM36"/>
  <c r="DJ36"/>
  <c r="DK36"/>
  <c r="DL36"/>
  <c r="DO36" s="1"/>
  <c r="K37"/>
  <c r="Z37"/>
  <c r="AA37"/>
  <c r="AB37"/>
  <c r="AM37"/>
  <c r="Q42"/>
  <c r="DE37"/>
  <c r="DJ37"/>
  <c r="DL37" s="1"/>
  <c r="DO37" s="1"/>
  <c r="DK37"/>
  <c r="DM37"/>
  <c r="DN37" s="1"/>
  <c r="DE38"/>
  <c r="DJ38"/>
  <c r="DL38" s="1"/>
  <c r="DO38" s="1"/>
  <c r="DM38"/>
  <c r="DN38" s="1"/>
  <c r="DJ39"/>
  <c r="DL39" s="1"/>
  <c r="DO39" s="1"/>
  <c r="DM39"/>
  <c r="DN39" s="1"/>
  <c r="DC40"/>
  <c r="DD40"/>
  <c r="DE40"/>
  <c r="DJ40"/>
  <c r="DK40"/>
  <c r="DL40"/>
  <c r="DO40"/>
  <c r="DC41"/>
  <c r="DD41"/>
  <c r="DE41"/>
  <c r="DJ41"/>
  <c r="DK41"/>
  <c r="DL41"/>
  <c r="DO41"/>
  <c r="DJ42"/>
  <c r="DK42"/>
  <c r="DL42"/>
  <c r="DO42"/>
  <c r="Q43"/>
  <c r="DD43"/>
  <c r="DE43"/>
  <c r="DJ43"/>
  <c r="DL43"/>
  <c r="DO43" s="1"/>
  <c r="DM43"/>
  <c r="DN43" s="1"/>
  <c r="Y45"/>
  <c r="DE44"/>
  <c r="DJ44"/>
  <c r="DL44" s="1"/>
  <c r="DO44" s="1"/>
  <c r="DK44"/>
  <c r="DM44" s="1"/>
  <c r="DN44" s="1"/>
  <c r="DU44"/>
  <c r="DU45" s="1"/>
  <c r="DU46" s="1"/>
  <c r="DU47" s="1"/>
  <c r="DU48" s="1"/>
  <c r="DU49" s="1"/>
  <c r="DU50" s="1"/>
  <c r="DU51" s="1"/>
  <c r="DU52" s="1"/>
  <c r="DU53" s="1"/>
  <c r="DU54" s="1"/>
  <c r="DU55" s="1"/>
  <c r="DU56" s="1"/>
  <c r="DU57" s="1"/>
  <c r="DU58" s="1"/>
  <c r="DU59" s="1"/>
  <c r="DU60" s="1"/>
  <c r="DU61" s="1"/>
  <c r="DU62" s="1"/>
  <c r="DU63" s="1"/>
  <c r="DU64" s="1"/>
  <c r="DU65" s="1"/>
  <c r="DU66" s="1"/>
  <c r="DU67" s="1"/>
  <c r="DU68" s="1"/>
  <c r="DU69" s="1"/>
  <c r="DU70" s="1"/>
  <c r="DU71" s="1"/>
  <c r="DU72" s="1"/>
  <c r="DU73" s="1"/>
  <c r="DU74" s="1"/>
  <c r="DU75" s="1"/>
  <c r="DU76" s="1"/>
  <c r="DU77" s="1"/>
  <c r="DU78" s="1"/>
  <c r="DU79" s="1"/>
  <c r="DU80" s="1"/>
  <c r="DU81" s="1"/>
  <c r="DU82" s="1"/>
  <c r="DU83" s="1"/>
  <c r="DU84" s="1"/>
  <c r="DU85" s="1"/>
  <c r="DU86" s="1"/>
  <c r="DU87" s="1"/>
  <c r="DU88" s="1"/>
  <c r="DU89" s="1"/>
  <c r="DU90" s="1"/>
  <c r="DU91" s="1"/>
  <c r="DU92" s="1"/>
  <c r="DU93" s="1"/>
  <c r="DU94" s="1"/>
  <c r="DU95" s="1"/>
  <c r="DU96" s="1"/>
  <c r="DU97" s="1"/>
  <c r="DU98" s="1"/>
  <c r="DU99" s="1"/>
  <c r="DU100" s="1"/>
  <c r="DU101" s="1"/>
  <c r="DU102" s="1"/>
  <c r="DU103" s="1"/>
  <c r="DU104" s="1"/>
  <c r="DU105" s="1"/>
  <c r="DU106" s="1"/>
  <c r="DU107" s="1"/>
  <c r="DU108" s="1"/>
  <c r="DU109" s="1"/>
  <c r="DU110" s="1"/>
  <c r="DU111" s="1"/>
  <c r="DU112" s="1"/>
  <c r="DU113" s="1"/>
  <c r="DU114" s="1"/>
  <c r="DU115" s="1"/>
  <c r="DU116" s="1"/>
  <c r="DU117" s="1"/>
  <c r="DU118" s="1"/>
  <c r="DU119" s="1"/>
  <c r="DU120" s="1"/>
  <c r="DU121" s="1"/>
  <c r="DU122" s="1"/>
  <c r="DU123" s="1"/>
  <c r="DU124" s="1"/>
  <c r="DU125" s="1"/>
  <c r="DU126" s="1"/>
  <c r="DU127" s="1"/>
  <c r="DU128" s="1"/>
  <c r="DU129" s="1"/>
  <c r="DU130" s="1"/>
  <c r="DU131" s="1"/>
  <c r="DU132" s="1"/>
  <c r="DU133" s="1"/>
  <c r="DU134" s="1"/>
  <c r="DU135" s="1"/>
  <c r="DU136" s="1"/>
  <c r="DU137" s="1"/>
  <c r="DU138" s="1"/>
  <c r="DU139" s="1"/>
  <c r="DU140" s="1"/>
  <c r="DU141" s="1"/>
  <c r="DU142" s="1"/>
  <c r="DU143" s="1"/>
  <c r="DU144" s="1"/>
  <c r="DU145" s="1"/>
  <c r="DU146" s="1"/>
  <c r="DU147" s="1"/>
  <c r="DU148" s="1"/>
  <c r="DU149" s="1"/>
  <c r="DU150" s="1"/>
  <c r="DU151" s="1"/>
  <c r="DU152" s="1"/>
  <c r="DU153" s="1"/>
  <c r="DU154" s="1"/>
  <c r="DU155" s="1"/>
  <c r="DU156" s="1"/>
  <c r="DU157" s="1"/>
  <c r="DU158" s="1"/>
  <c r="DU159" s="1"/>
  <c r="DU160" s="1"/>
  <c r="DU161" s="1"/>
  <c r="DU162" s="1"/>
  <c r="DU163" s="1"/>
  <c r="DU164" s="1"/>
  <c r="DU165" s="1"/>
  <c r="DU166" s="1"/>
  <c r="DU167" s="1"/>
  <c r="DU168" s="1"/>
  <c r="DU169" s="1"/>
  <c r="DU170" s="1"/>
  <c r="DU171" s="1"/>
  <c r="DU172" s="1"/>
  <c r="DU173" s="1"/>
  <c r="DU174" s="1"/>
  <c r="DU175" s="1"/>
  <c r="DU176" s="1"/>
  <c r="DU177" s="1"/>
  <c r="DU178" s="1"/>
  <c r="DU179" s="1"/>
  <c r="DU180" s="1"/>
  <c r="DU181" s="1"/>
  <c r="DU182" s="1"/>
  <c r="DU183" s="1"/>
  <c r="DU184" s="1"/>
  <c r="DU185" s="1"/>
  <c r="DU186" s="1"/>
  <c r="DU187" s="1"/>
  <c r="DU188" s="1"/>
  <c r="DU189" s="1"/>
  <c r="DU190" s="1"/>
  <c r="DU191" s="1"/>
  <c r="DU192" s="1"/>
  <c r="DU193" s="1"/>
  <c r="DU194" s="1"/>
  <c r="DU195" s="1"/>
  <c r="DU196" s="1"/>
  <c r="DU197" s="1"/>
  <c r="DU198" s="1"/>
  <c r="DU199" s="1"/>
  <c r="DU200" s="1"/>
  <c r="DU201" s="1"/>
  <c r="DU202" s="1"/>
  <c r="DU203" s="1"/>
  <c r="DU204" s="1"/>
  <c r="DU205" s="1"/>
  <c r="DU206" s="1"/>
  <c r="DU207" s="1"/>
  <c r="DU208" s="1"/>
  <c r="DU209" s="1"/>
  <c r="DU210" s="1"/>
  <c r="DU211" s="1"/>
  <c r="DD45"/>
  <c r="DE45"/>
  <c r="DJ45"/>
  <c r="DL45" s="1"/>
  <c r="DO45" s="1"/>
  <c r="DK45"/>
  <c r="DM45"/>
  <c r="DN45" s="1"/>
  <c r="DA54"/>
  <c r="DB54" s="1"/>
  <c r="O46"/>
  <c r="Q46"/>
  <c r="DE46"/>
  <c r="DJ46"/>
  <c r="DL46" s="1"/>
  <c r="Y48"/>
  <c r="DC47"/>
  <c r="DE47"/>
  <c r="DJ47"/>
  <c r="DL47"/>
  <c r="DO47" s="1"/>
  <c r="DD48"/>
  <c r="DE48"/>
  <c r="DJ48"/>
  <c r="DK48"/>
  <c r="DL48"/>
  <c r="DO48" s="1"/>
  <c r="DM48"/>
  <c r="DN48" s="1"/>
  <c r="DA57"/>
  <c r="DD62" s="1"/>
  <c r="O49"/>
  <c r="Q49"/>
  <c r="DE49"/>
  <c r="DJ49"/>
  <c r="DK49"/>
  <c r="DL49"/>
  <c r="DO49" s="1"/>
  <c r="DM49"/>
  <c r="DN49" s="1"/>
  <c r="DJ50"/>
  <c r="DL50"/>
  <c r="DO50" s="1"/>
  <c r="DM50"/>
  <c r="DN50" s="1"/>
  <c r="DJ51"/>
  <c r="DL51" s="1"/>
  <c r="DO51" s="1"/>
  <c r="DN51"/>
  <c r="DJ52"/>
  <c r="DL52" s="1"/>
  <c r="DO52" s="1"/>
  <c r="DK52"/>
  <c r="DJ53"/>
  <c r="DK53"/>
  <c r="DL53"/>
  <c r="DO53"/>
  <c r="DJ54"/>
  <c r="DL54"/>
  <c r="DO54" s="1"/>
  <c r="DM54"/>
  <c r="DN54" s="1"/>
  <c r="DJ55"/>
  <c r="DL55" s="1"/>
  <c r="DO55"/>
  <c r="DJ56"/>
  <c r="DL56" s="1"/>
  <c r="DO56" s="1"/>
  <c r="DK56"/>
  <c r="DM56" s="1"/>
  <c r="DN56" s="1"/>
  <c r="DJ57"/>
  <c r="DK57"/>
  <c r="DM57" s="1"/>
  <c r="DN57" s="1"/>
  <c r="DL57"/>
  <c r="DO57"/>
  <c r="DJ58"/>
  <c r="DL58" s="1"/>
  <c r="DJ59"/>
  <c r="DL59"/>
  <c r="DM59"/>
  <c r="DN59" s="1"/>
  <c r="DO59"/>
  <c r="DJ60"/>
  <c r="DK60"/>
  <c r="DL60"/>
  <c r="DO60" s="1"/>
  <c r="DJ61"/>
  <c r="DK61"/>
  <c r="DL61"/>
  <c r="DO61" s="1"/>
  <c r="DM61"/>
  <c r="DN61" s="1"/>
  <c r="DJ62"/>
  <c r="DK62"/>
  <c r="DL62"/>
  <c r="DO62" s="1"/>
  <c r="DJ63"/>
  <c r="DL63" s="1"/>
  <c r="DO63" s="1"/>
  <c r="DK63"/>
  <c r="DJ64"/>
  <c r="DK64"/>
  <c r="DL64"/>
  <c r="DO64" s="1"/>
  <c r="DJ65"/>
  <c r="DK65"/>
  <c r="DL65"/>
  <c r="DO65" s="1"/>
  <c r="DJ66"/>
  <c r="DL66"/>
  <c r="DO66" s="1"/>
  <c r="DJ67"/>
  <c r="DL67" s="1"/>
  <c r="DM67"/>
  <c r="DN67" s="1"/>
  <c r="DO67"/>
  <c r="DJ68"/>
  <c r="DL68" s="1"/>
  <c r="DK68"/>
  <c r="DO68"/>
  <c r="DJ69"/>
  <c r="DK69"/>
  <c r="DL69"/>
  <c r="DM69"/>
  <c r="DN69" s="1"/>
  <c r="DO69"/>
  <c r="DJ70"/>
  <c r="DL70" s="1"/>
  <c r="DJ71"/>
  <c r="DL71" s="1"/>
  <c r="DK71"/>
  <c r="DM71" s="1"/>
  <c r="DN71" s="1"/>
  <c r="DO71"/>
  <c r="DJ72"/>
  <c r="DK72"/>
  <c r="DM72" s="1"/>
  <c r="DN72" s="1"/>
  <c r="DL72"/>
  <c r="DO72" s="1"/>
  <c r="DJ73"/>
  <c r="DK73"/>
  <c r="DM73" s="1"/>
  <c r="DN73" s="1"/>
  <c r="DL73"/>
  <c r="DO73" s="1"/>
  <c r="DJ74"/>
  <c r="DL74"/>
  <c r="DO74" s="1"/>
  <c r="DM74"/>
  <c r="DN74" s="1"/>
  <c r="DJ75"/>
  <c r="DL75" s="1"/>
  <c r="DM75"/>
  <c r="DN75" s="1"/>
  <c r="DO75"/>
  <c r="DJ76"/>
  <c r="DL76" s="1"/>
  <c r="DO76" s="1"/>
  <c r="DK76"/>
  <c r="DJ77"/>
  <c r="DK77"/>
  <c r="DL77"/>
  <c r="DM77"/>
  <c r="DN77" s="1"/>
  <c r="DO77"/>
  <c r="DJ78"/>
  <c r="DL78" s="1"/>
  <c r="DJ79"/>
  <c r="DL79" s="1"/>
  <c r="DO79" s="1"/>
  <c r="DK79"/>
  <c r="DJ80"/>
  <c r="DK80"/>
  <c r="DL80"/>
  <c r="DO80" s="1"/>
  <c r="DJ81"/>
  <c r="DK81"/>
  <c r="DL81"/>
  <c r="DO81" s="1"/>
  <c r="DJ82"/>
  <c r="DL82"/>
  <c r="DO82" s="1"/>
  <c r="DJ83"/>
  <c r="DL83" s="1"/>
  <c r="DM83"/>
  <c r="DN83" s="1"/>
  <c r="DO83"/>
  <c r="DJ84"/>
  <c r="DL84" s="1"/>
  <c r="DK84"/>
  <c r="DO84"/>
  <c r="DJ85"/>
  <c r="DK85"/>
  <c r="DL85"/>
  <c r="DM85"/>
  <c r="DN85" s="1"/>
  <c r="DO85"/>
  <c r="DJ86"/>
  <c r="DL86" s="1"/>
  <c r="DJ87"/>
  <c r="DL87" s="1"/>
  <c r="DK87"/>
  <c r="DM87" s="1"/>
  <c r="DN87" s="1"/>
  <c r="DO87"/>
  <c r="DJ88"/>
  <c r="DK88"/>
  <c r="DM88" s="1"/>
  <c r="DN88" s="1"/>
  <c r="DL88"/>
  <c r="DO88" s="1"/>
  <c r="DJ89"/>
  <c r="DK89"/>
  <c r="DM89" s="1"/>
  <c r="DN89" s="1"/>
  <c r="DL89"/>
  <c r="DO89" s="1"/>
  <c r="DJ90"/>
  <c r="DL90"/>
  <c r="DO90" s="1"/>
  <c r="DM90"/>
  <c r="DN90" s="1"/>
  <c r="DJ91"/>
  <c r="DL91" s="1"/>
  <c r="DM91"/>
  <c r="DN91" s="1"/>
  <c r="DO91"/>
  <c r="DJ92"/>
  <c r="DL92" s="1"/>
  <c r="DO92" s="1"/>
  <c r="DK92"/>
  <c r="DJ93"/>
  <c r="DK93"/>
  <c r="DL93"/>
  <c r="DM93"/>
  <c r="DN93" s="1"/>
  <c r="DO93"/>
  <c r="DJ94"/>
  <c r="DL94" s="1"/>
  <c r="DJ95"/>
  <c r="DL95" s="1"/>
  <c r="DO95" s="1"/>
  <c r="DK95"/>
  <c r="DJ96"/>
  <c r="DK96"/>
  <c r="DL96"/>
  <c r="DO96" s="1"/>
  <c r="DJ97"/>
  <c r="DK97"/>
  <c r="DL97"/>
  <c r="DO97" s="1"/>
  <c r="DJ98"/>
  <c r="DL98"/>
  <c r="DO98" s="1"/>
  <c r="DJ99"/>
  <c r="DL99" s="1"/>
  <c r="DM99"/>
  <c r="DN99" s="1"/>
  <c r="DO99"/>
  <c r="DJ100"/>
  <c r="DL100" s="1"/>
  <c r="DK100"/>
  <c r="DO100"/>
  <c r="DJ101"/>
  <c r="DK101"/>
  <c r="DL101"/>
  <c r="DM101"/>
  <c r="DN101" s="1"/>
  <c r="DO101"/>
  <c r="DJ102"/>
  <c r="DL102" s="1"/>
  <c r="DJ103"/>
  <c r="DL103" s="1"/>
  <c r="DK103"/>
  <c r="DM103" s="1"/>
  <c r="DN103" s="1"/>
  <c r="DO103"/>
  <c r="DJ104"/>
  <c r="DK104"/>
  <c r="DM104" s="1"/>
  <c r="DN104" s="1"/>
  <c r="DL104"/>
  <c r="DO104" s="1"/>
  <c r="DJ105"/>
  <c r="DK105"/>
  <c r="DM105" s="1"/>
  <c r="DN105" s="1"/>
  <c r="DL105"/>
  <c r="DO105" s="1"/>
  <c r="DJ106"/>
  <c r="DL106"/>
  <c r="DO106" s="1"/>
  <c r="DM106"/>
  <c r="DN106" s="1"/>
  <c r="DJ107"/>
  <c r="DL107" s="1"/>
  <c r="DM107"/>
  <c r="DN107" s="1"/>
  <c r="DO107"/>
  <c r="DJ108"/>
  <c r="DL108" s="1"/>
  <c r="DO108" s="1"/>
  <c r="DK108"/>
  <c r="DJ109"/>
  <c r="DK109"/>
  <c r="DL109"/>
  <c r="DM109"/>
  <c r="DN109" s="1"/>
  <c r="DO109"/>
  <c r="DJ110"/>
  <c r="DL110" s="1"/>
  <c r="DJ111"/>
  <c r="DL111" s="1"/>
  <c r="DO111" s="1"/>
  <c r="DK111"/>
  <c r="DJ112"/>
  <c r="DK112"/>
  <c r="DL112"/>
  <c r="DO112" s="1"/>
  <c r="DJ113"/>
  <c r="DK113"/>
  <c r="DL113"/>
  <c r="DO113" s="1"/>
  <c r="DJ114"/>
  <c r="DL114"/>
  <c r="DO114" s="1"/>
  <c r="DJ115"/>
  <c r="DL115" s="1"/>
  <c r="DM115"/>
  <c r="DN115" s="1"/>
  <c r="DO115"/>
  <c r="DJ116"/>
  <c r="DL116" s="1"/>
  <c r="DK116"/>
  <c r="DO116"/>
  <c r="DJ117"/>
  <c r="DK117"/>
  <c r="DL117"/>
  <c r="DM117"/>
  <c r="DN117" s="1"/>
  <c r="DO117"/>
  <c r="DJ118"/>
  <c r="DL118" s="1"/>
  <c r="DJ119"/>
  <c r="DL119" s="1"/>
  <c r="DK119"/>
  <c r="DM119" s="1"/>
  <c r="DN119" s="1"/>
  <c r="DO119"/>
  <c r="DJ120"/>
  <c r="DK120"/>
  <c r="DM120" s="1"/>
  <c r="DN120" s="1"/>
  <c r="DL120"/>
  <c r="DO120" s="1"/>
  <c r="DJ121"/>
  <c r="DK121"/>
  <c r="DM121" s="1"/>
  <c r="DN121" s="1"/>
  <c r="DL121"/>
  <c r="DO121" s="1"/>
  <c r="DJ122"/>
  <c r="DL122"/>
  <c r="DO122" s="1"/>
  <c r="DM122"/>
  <c r="DN122" s="1"/>
  <c r="DJ123"/>
  <c r="DL123" s="1"/>
  <c r="DM123"/>
  <c r="DN123" s="1"/>
  <c r="DO123"/>
  <c r="DJ124"/>
  <c r="DL124" s="1"/>
  <c r="DO124" s="1"/>
  <c r="DK124"/>
  <c r="DJ125"/>
  <c r="DK125"/>
  <c r="DL125"/>
  <c r="DM125"/>
  <c r="DN125" s="1"/>
  <c r="DO125"/>
  <c r="DJ126"/>
  <c r="DL126" s="1"/>
  <c r="DJ127"/>
  <c r="DL127" s="1"/>
  <c r="DO127" s="1"/>
  <c r="DK127"/>
  <c r="DJ128"/>
  <c r="DK128"/>
  <c r="DL128"/>
  <c r="DO128" s="1"/>
  <c r="DJ129"/>
  <c r="DK129"/>
  <c r="DL129"/>
  <c r="DO129" s="1"/>
  <c r="DJ130"/>
  <c r="DL130"/>
  <c r="DO130" s="1"/>
  <c r="DJ131"/>
  <c r="DL131" s="1"/>
  <c r="DM131"/>
  <c r="DN131" s="1"/>
  <c r="DO131"/>
  <c r="DJ132"/>
  <c r="DL132" s="1"/>
  <c r="DK132"/>
  <c r="DO132"/>
  <c r="DJ133"/>
  <c r="DK133"/>
  <c r="DL133"/>
  <c r="DM133"/>
  <c r="DN133" s="1"/>
  <c r="DO133"/>
  <c r="DJ134"/>
  <c r="DL134" s="1"/>
  <c r="DJ135"/>
  <c r="DL135" s="1"/>
  <c r="DK135"/>
  <c r="DM135" s="1"/>
  <c r="DN135" s="1"/>
  <c r="DO135"/>
  <c r="DJ136"/>
  <c r="DK136"/>
  <c r="DM136" s="1"/>
  <c r="DN136" s="1"/>
  <c r="DL136"/>
  <c r="DO136" s="1"/>
  <c r="DJ137"/>
  <c r="DK137"/>
  <c r="DM137" s="1"/>
  <c r="DN137" s="1"/>
  <c r="DL137"/>
  <c r="DO137" s="1"/>
  <c r="DJ138"/>
  <c r="DL138"/>
  <c r="DO138" s="1"/>
  <c r="DM138"/>
  <c r="DN138" s="1"/>
  <c r="DJ139"/>
  <c r="DL139" s="1"/>
  <c r="DM139"/>
  <c r="DN139" s="1"/>
  <c r="DO139"/>
  <c r="DJ140"/>
  <c r="DL140" s="1"/>
  <c r="DO140" s="1"/>
  <c r="DK140"/>
  <c r="DJ141"/>
  <c r="DK141"/>
  <c r="DL141"/>
  <c r="DM141"/>
  <c r="DN141" s="1"/>
  <c r="DO141"/>
  <c r="DJ142"/>
  <c r="DL142" s="1"/>
  <c r="DJ143"/>
  <c r="DL143" s="1"/>
  <c r="DO143" s="1"/>
  <c r="DK143"/>
  <c r="DJ144"/>
  <c r="DK144"/>
  <c r="DL144"/>
  <c r="DO144" s="1"/>
  <c r="DJ145"/>
  <c r="DK145"/>
  <c r="DL145"/>
  <c r="DO145" s="1"/>
  <c r="DJ146"/>
  <c r="DL146"/>
  <c r="DO146" s="1"/>
  <c r="DJ147"/>
  <c r="DL147" s="1"/>
  <c r="DM147"/>
  <c r="DN147" s="1"/>
  <c r="DO147"/>
  <c r="DJ148"/>
  <c r="DL148" s="1"/>
  <c r="DK148"/>
  <c r="DO148"/>
  <c r="DJ149"/>
  <c r="DK149"/>
  <c r="DL149"/>
  <c r="DM149"/>
  <c r="DN149" s="1"/>
  <c r="DO149"/>
  <c r="DJ150"/>
  <c r="DL150" s="1"/>
  <c r="DJ151"/>
  <c r="DL151" s="1"/>
  <c r="DK151"/>
  <c r="DM151" s="1"/>
  <c r="DN151" s="1"/>
  <c r="DO151"/>
  <c r="DJ152"/>
  <c r="DK152"/>
  <c r="DM152" s="1"/>
  <c r="DN152" s="1"/>
  <c r="DL152"/>
  <c r="DO152" s="1"/>
  <c r="DJ153"/>
  <c r="DK153"/>
  <c r="DM153" s="1"/>
  <c r="DN153" s="1"/>
  <c r="DL153"/>
  <c r="DO153" s="1"/>
  <c r="DJ154"/>
  <c r="DL154"/>
  <c r="DO154" s="1"/>
  <c r="DM154"/>
  <c r="DN154" s="1"/>
  <c r="DJ155"/>
  <c r="DL155" s="1"/>
  <c r="DM155"/>
  <c r="DN155" s="1"/>
  <c r="DO155"/>
  <c r="DJ156"/>
  <c r="DL156" s="1"/>
  <c r="DO156" s="1"/>
  <c r="DK156"/>
  <c r="DJ157"/>
  <c r="DK157"/>
  <c r="DL157"/>
  <c r="DM157"/>
  <c r="DN157" s="1"/>
  <c r="DO157"/>
  <c r="DJ158"/>
  <c r="DL158" s="1"/>
  <c r="DJ159"/>
  <c r="DL159" s="1"/>
  <c r="DO159" s="1"/>
  <c r="DK159"/>
  <c r="DJ160"/>
  <c r="DK160"/>
  <c r="DL160"/>
  <c r="DO160" s="1"/>
  <c r="DJ161"/>
  <c r="DK161"/>
  <c r="DL161"/>
  <c r="DO161" s="1"/>
  <c r="DJ162"/>
  <c r="DL162"/>
  <c r="DO162" s="1"/>
  <c r="DJ163"/>
  <c r="DL163" s="1"/>
  <c r="DM163"/>
  <c r="DN163" s="1"/>
  <c r="DO163"/>
  <c r="DJ164"/>
  <c r="DL164" s="1"/>
  <c r="DK164"/>
  <c r="DO164"/>
  <c r="DJ165"/>
  <c r="DK165"/>
  <c r="DL165"/>
  <c r="DO165" s="1"/>
  <c r="DJ166"/>
  <c r="DK166"/>
  <c r="DL166"/>
  <c r="DO166" s="1"/>
  <c r="DJ167"/>
  <c r="DL167" s="1"/>
  <c r="DJ168"/>
  <c r="DL168" s="1"/>
  <c r="DO168" s="1"/>
  <c r="DK168"/>
  <c r="DM168" s="1"/>
  <c r="DN168" s="1"/>
  <c r="DJ169"/>
  <c r="DK169"/>
  <c r="DM169" s="1"/>
  <c r="DN169" s="1"/>
  <c r="DL169"/>
  <c r="DO169" s="1"/>
  <c r="DJ170"/>
  <c r="DK170"/>
  <c r="DL170"/>
  <c r="DO170" s="1"/>
  <c r="DM170"/>
  <c r="DN170" s="1"/>
  <c r="DJ171"/>
  <c r="DL171" s="1"/>
  <c r="DO171" s="1"/>
  <c r="DJ172"/>
  <c r="DL172" s="1"/>
  <c r="DO172" s="1"/>
  <c r="DK172"/>
  <c r="DJ173"/>
  <c r="DK173"/>
  <c r="DM173" s="1"/>
  <c r="DN173" s="1"/>
  <c r="DL173"/>
  <c r="DO173"/>
  <c r="DJ174"/>
  <c r="DK174"/>
  <c r="DL174"/>
  <c r="DO174" s="1"/>
  <c r="DM174"/>
  <c r="DN174" s="1"/>
  <c r="DJ175"/>
  <c r="DL175" s="1"/>
  <c r="DO175" s="1"/>
  <c r="DM175"/>
  <c r="DN175" s="1"/>
  <c r="DJ176"/>
  <c r="DL176" s="1"/>
  <c r="DK176"/>
  <c r="DO176"/>
  <c r="DJ177"/>
  <c r="DK177"/>
  <c r="DL177"/>
  <c r="DO177"/>
  <c r="DJ178"/>
  <c r="DK178"/>
  <c r="DL178"/>
  <c r="DJ179"/>
  <c r="DL179" s="1"/>
  <c r="DO179" s="1"/>
  <c r="DM179"/>
  <c r="DN179" s="1"/>
  <c r="DJ180"/>
  <c r="DL180" s="1"/>
  <c r="DK180"/>
  <c r="DM180" s="1"/>
  <c r="DN180" s="1"/>
  <c r="DO180"/>
  <c r="DJ181"/>
  <c r="DK181"/>
  <c r="DL181"/>
  <c r="DO181" s="1"/>
  <c r="DJ182"/>
  <c r="DK182"/>
  <c r="DL182"/>
  <c r="DO182" s="1"/>
  <c r="DJ183"/>
  <c r="DL183" s="1"/>
  <c r="DJ184"/>
  <c r="DL184" s="1"/>
  <c r="DO184" s="1"/>
  <c r="DK184"/>
  <c r="DM184" s="1"/>
  <c r="DN184" s="1"/>
  <c r="DJ185"/>
  <c r="DK185"/>
  <c r="DM185" s="1"/>
  <c r="DN185" s="1"/>
  <c r="DL185"/>
  <c r="DO185" s="1"/>
  <c r="DJ186"/>
  <c r="DK186"/>
  <c r="DL186"/>
  <c r="DO186" s="1"/>
  <c r="DM186"/>
  <c r="DN186" s="1"/>
  <c r="DJ187"/>
  <c r="DL187" s="1"/>
  <c r="DO187" s="1"/>
  <c r="DJ188"/>
  <c r="DL188" s="1"/>
  <c r="DO188" s="1"/>
  <c r="DK188"/>
  <c r="DJ189"/>
  <c r="DK189"/>
  <c r="DM189" s="1"/>
  <c r="DN189" s="1"/>
  <c r="DL189"/>
  <c r="DO189"/>
  <c r="DJ190"/>
  <c r="DK190"/>
  <c r="DL190"/>
  <c r="DO190" s="1"/>
  <c r="DM190"/>
  <c r="DN190" s="1"/>
  <c r="DJ191"/>
  <c r="DL191" s="1"/>
  <c r="DO191" s="1"/>
  <c r="DM191"/>
  <c r="DN191" s="1"/>
  <c r="DJ192"/>
  <c r="DL192" s="1"/>
  <c r="DK192"/>
  <c r="DO192"/>
  <c r="DJ193"/>
  <c r="DK193"/>
  <c r="DL193"/>
  <c r="DO193"/>
  <c r="DJ194"/>
  <c r="DK194"/>
  <c r="DL194"/>
  <c r="DJ195"/>
  <c r="DL195" s="1"/>
  <c r="DO195" s="1"/>
  <c r="DM195"/>
  <c r="DN195" s="1"/>
  <c r="DJ196"/>
  <c r="DL196" s="1"/>
  <c r="DK196"/>
  <c r="DM196" s="1"/>
  <c r="DN196" s="1"/>
  <c r="DO196"/>
  <c r="DJ197"/>
  <c r="DK197"/>
  <c r="DL197"/>
  <c r="DO197" s="1"/>
  <c r="DJ198"/>
  <c r="DK198"/>
  <c r="DL198"/>
  <c r="DO198" s="1"/>
  <c r="DJ199"/>
  <c r="DL199" s="1"/>
  <c r="DJ200"/>
  <c r="DL200" s="1"/>
  <c r="DO200" s="1"/>
  <c r="DK200"/>
  <c r="DM200" s="1"/>
  <c r="DN200" s="1"/>
  <c r="DJ201"/>
  <c r="DK201"/>
  <c r="DM201" s="1"/>
  <c r="DN201" s="1"/>
  <c r="DL201"/>
  <c r="DO201" s="1"/>
  <c r="DJ202"/>
  <c r="DK202"/>
  <c r="DL202"/>
  <c r="DO202" s="1"/>
  <c r="DM202"/>
  <c r="DN202" s="1"/>
  <c r="DJ203"/>
  <c r="DL203" s="1"/>
  <c r="DO203" s="1"/>
  <c r="DJ204"/>
  <c r="DL204" s="1"/>
  <c r="DO204" s="1"/>
  <c r="DK204"/>
  <c r="DJ205"/>
  <c r="DK205"/>
  <c r="DM205" s="1"/>
  <c r="DN205" s="1"/>
  <c r="DL205"/>
  <c r="DO205"/>
  <c r="DJ206"/>
  <c r="DK206"/>
  <c r="DL206"/>
  <c r="DO206" s="1"/>
  <c r="DM206"/>
  <c r="DN206" s="1"/>
  <c r="DJ207"/>
  <c r="DL207" s="1"/>
  <c r="DO207" s="1"/>
  <c r="DM207"/>
  <c r="DN207" s="1"/>
  <c r="DJ208"/>
  <c r="DL208" s="1"/>
  <c r="DK208"/>
  <c r="DO208"/>
  <c r="DJ209"/>
  <c r="DK209"/>
  <c r="DL209"/>
  <c r="DO209"/>
  <c r="DJ210"/>
  <c r="DK210"/>
  <c r="DL210"/>
  <c r="DJ211"/>
  <c r="DL211" s="1"/>
  <c r="DO211" s="1"/>
  <c r="DM211"/>
  <c r="DN211" s="1"/>
  <c r="DJ212"/>
  <c r="DL212" s="1"/>
  <c r="DK212"/>
  <c r="DM212" s="1"/>
  <c r="DN212" s="1"/>
  <c r="DO212"/>
  <c r="DJ213"/>
  <c r="DL213" s="1"/>
  <c r="DO213" s="1"/>
  <c r="DK213"/>
  <c r="DJ214"/>
  <c r="DK214"/>
  <c r="DL214"/>
  <c r="DO214" s="1"/>
  <c r="DM214"/>
  <c r="DN214" s="1"/>
  <c r="DJ215"/>
  <c r="DK215"/>
  <c r="DM215" s="1"/>
  <c r="DN215" s="1"/>
  <c r="DL215"/>
  <c r="DO215" s="1"/>
  <c r="DJ216"/>
  <c r="DL216" s="1"/>
  <c r="DO216" s="1"/>
  <c r="DK216"/>
  <c r="DJ217"/>
  <c r="DL217" s="1"/>
  <c r="DO217" s="1"/>
  <c r="DK217"/>
  <c r="DM217"/>
  <c r="DN217" s="1"/>
  <c r="DJ218"/>
  <c r="DK218"/>
  <c r="DL218"/>
  <c r="DO218" s="1"/>
  <c r="DJ219"/>
  <c r="DK219"/>
  <c r="DL219"/>
  <c r="DO219"/>
  <c r="DJ220"/>
  <c r="DL220" s="1"/>
  <c r="DK220"/>
  <c r="DM220" s="1"/>
  <c r="DN220"/>
  <c r="DO220"/>
  <c r="DJ221"/>
  <c r="DL221" s="1"/>
  <c r="DO221" s="1"/>
  <c r="DK221"/>
  <c r="DJ222"/>
  <c r="DK222"/>
  <c r="DL222"/>
  <c r="DO222" s="1"/>
  <c r="DM222"/>
  <c r="DN222" s="1"/>
  <c r="DJ223"/>
  <c r="DK223"/>
  <c r="DM223" s="1"/>
  <c r="DN223" s="1"/>
  <c r="DL223"/>
  <c r="DO223" s="1"/>
  <c r="DJ224"/>
  <c r="DL224" s="1"/>
  <c r="DO224" s="1"/>
  <c r="DK224"/>
  <c r="DJ225"/>
  <c r="DL225" s="1"/>
  <c r="DO225" s="1"/>
  <c r="DK225"/>
  <c r="DM225"/>
  <c r="DN225" s="1"/>
  <c r="DJ226"/>
  <c r="DK226"/>
  <c r="DL226"/>
  <c r="DO226" s="1"/>
  <c r="DJ227"/>
  <c r="DK227"/>
  <c r="DL227"/>
  <c r="DO227"/>
  <c r="DJ228"/>
  <c r="DL228" s="1"/>
  <c r="DK228"/>
  <c r="DM228" s="1"/>
  <c r="DN228" s="1"/>
  <c r="DO228"/>
  <c r="DJ229"/>
  <c r="DL229" s="1"/>
  <c r="DO229" s="1"/>
  <c r="DK229"/>
  <c r="DJ230"/>
  <c r="DK230"/>
  <c r="DL230"/>
  <c r="DO230" s="1"/>
  <c r="DM230"/>
  <c r="DN230" s="1"/>
  <c r="DJ231"/>
  <c r="DK231"/>
  <c r="DM231" s="1"/>
  <c r="DN231" s="1"/>
  <c r="DL231"/>
  <c r="DO231" s="1"/>
  <c r="DJ232"/>
  <c r="DL232" s="1"/>
  <c r="DO232" s="1"/>
  <c r="DK232"/>
  <c r="DJ233"/>
  <c r="DL233" s="1"/>
  <c r="DO233" s="1"/>
  <c r="DK233"/>
  <c r="DM233"/>
  <c r="DN233" s="1"/>
  <c r="DJ234"/>
  <c r="DK234"/>
  <c r="DL234"/>
  <c r="DO234" s="1"/>
  <c r="DJ235"/>
  <c r="DK235"/>
  <c r="DL235"/>
  <c r="DO235"/>
  <c r="DJ236"/>
  <c r="DL236" s="1"/>
  <c r="DK236"/>
  <c r="DM236" s="1"/>
  <c r="DN236"/>
  <c r="DO236"/>
  <c r="DJ237"/>
  <c r="DL237" s="1"/>
  <c r="DO237" s="1"/>
  <c r="DK237"/>
  <c r="DJ238"/>
  <c r="DK238"/>
  <c r="DL238"/>
  <c r="DO238" s="1"/>
  <c r="DM238"/>
  <c r="DN238" s="1"/>
  <c r="DJ239"/>
  <c r="DK239"/>
  <c r="DM239" s="1"/>
  <c r="DN239" s="1"/>
  <c r="DL239"/>
  <c r="DO239" s="1"/>
  <c r="DJ240"/>
  <c r="DL240" s="1"/>
  <c r="DO240" s="1"/>
  <c r="DK240"/>
  <c r="DJ241"/>
  <c r="DL241" s="1"/>
  <c r="DO241" s="1"/>
  <c r="DK241"/>
  <c r="DM241"/>
  <c r="DN241" s="1"/>
  <c r="DJ242"/>
  <c r="DK242"/>
  <c r="DL242"/>
  <c r="DO242" s="1"/>
  <c r="DJ243"/>
  <c r="DK243"/>
  <c r="DL243"/>
  <c r="DO243"/>
  <c r="DJ244"/>
  <c r="DL244" s="1"/>
  <c r="DK244"/>
  <c r="DM244" s="1"/>
  <c r="DN244" s="1"/>
  <c r="DO244"/>
  <c r="DJ245"/>
  <c r="DL245" s="1"/>
  <c r="DO245" s="1"/>
  <c r="DK245"/>
  <c r="DJ246"/>
  <c r="DK246"/>
  <c r="DL246"/>
  <c r="DO246" s="1"/>
  <c r="DM246"/>
  <c r="DN246" s="1"/>
  <c r="DJ247"/>
  <c r="DK247"/>
  <c r="DM247" s="1"/>
  <c r="DN247" s="1"/>
  <c r="DL247"/>
  <c r="DO247" s="1"/>
  <c r="DJ248"/>
  <c r="DL248" s="1"/>
  <c r="DO248" s="1"/>
  <c r="DK248"/>
  <c r="DJ249"/>
  <c r="DL249" s="1"/>
  <c r="DO249" s="1"/>
  <c r="DK249"/>
  <c r="DM249"/>
  <c r="DN249" s="1"/>
  <c r="DJ250"/>
  <c r="DK250"/>
  <c r="DL250"/>
  <c r="DO250" s="1"/>
  <c r="DJ251"/>
  <c r="DK251"/>
  <c r="DL251"/>
  <c r="DO251"/>
  <c r="DJ252"/>
  <c r="DL252" s="1"/>
  <c r="DK252"/>
  <c r="DM252" s="1"/>
  <c r="DN252" s="1"/>
  <c r="DO252"/>
  <c r="DJ253"/>
  <c r="DL253" s="1"/>
  <c r="DO253" s="1"/>
  <c r="DK253"/>
  <c r="DJ254"/>
  <c r="DK254"/>
  <c r="DL254"/>
  <c r="DO254" s="1"/>
  <c r="DM254"/>
  <c r="DN254" s="1"/>
  <c r="DJ255"/>
  <c r="DK255"/>
  <c r="DM255" s="1"/>
  <c r="DN255" s="1"/>
  <c r="DL255"/>
  <c r="DO255" s="1"/>
  <c r="DJ256"/>
  <c r="DL256" s="1"/>
  <c r="DO256" s="1"/>
  <c r="DK256"/>
  <c r="DJ257"/>
  <c r="DL257" s="1"/>
  <c r="DO257" s="1"/>
  <c r="DK257"/>
  <c r="DM257"/>
  <c r="DN257" s="1"/>
  <c r="DJ258"/>
  <c r="DK258"/>
  <c r="DL258"/>
  <c r="DO258" s="1"/>
  <c r="DJ259"/>
  <c r="DK259"/>
  <c r="DL259"/>
  <c r="DO259"/>
  <c r="DJ260"/>
  <c r="DL260" s="1"/>
  <c r="DK260"/>
  <c r="DM260" s="1"/>
  <c r="DN260" s="1"/>
  <c r="DO260"/>
  <c r="DJ261"/>
  <c r="DL261" s="1"/>
  <c r="DO261" s="1"/>
  <c r="DK261"/>
  <c r="DJ262"/>
  <c r="DK262"/>
  <c r="DL262"/>
  <c r="DO262" s="1"/>
  <c r="DM262"/>
  <c r="DN262" s="1"/>
  <c r="DJ263"/>
  <c r="DK263"/>
  <c r="DM263" s="1"/>
  <c r="DN263" s="1"/>
  <c r="DL263"/>
  <c r="DO263" s="1"/>
  <c r="DJ264"/>
  <c r="DL264" s="1"/>
  <c r="DO264" s="1"/>
  <c r="DK264"/>
  <c r="DJ265"/>
  <c r="DL265" s="1"/>
  <c r="DO265" s="1"/>
  <c r="DK265"/>
  <c r="DM265"/>
  <c r="DN265" s="1"/>
  <c r="DJ266"/>
  <c r="DK266"/>
  <c r="DL266"/>
  <c r="DO266" s="1"/>
  <c r="DJ267"/>
  <c r="DK267"/>
  <c r="DL267"/>
  <c r="DO267"/>
  <c r="DJ268"/>
  <c r="DL268" s="1"/>
  <c r="DK268"/>
  <c r="DM268" s="1"/>
  <c r="DN268"/>
  <c r="DO268"/>
  <c r="DJ269"/>
  <c r="DL269" s="1"/>
  <c r="DO269" s="1"/>
  <c r="DK269"/>
  <c r="DJ270"/>
  <c r="DK270"/>
  <c r="DL270"/>
  <c r="DO270" s="1"/>
  <c r="DM270"/>
  <c r="DN270" s="1"/>
  <c r="DJ271"/>
  <c r="DK271"/>
  <c r="DM271" s="1"/>
  <c r="DN271" s="1"/>
  <c r="DL271"/>
  <c r="DO271" s="1"/>
  <c r="DJ272"/>
  <c r="DL272" s="1"/>
  <c r="DO272" s="1"/>
  <c r="DK272"/>
  <c r="DJ273"/>
  <c r="DL273" s="1"/>
  <c r="DO273" s="1"/>
  <c r="DK273"/>
  <c r="DM273"/>
  <c r="DN273" s="1"/>
  <c r="DJ274"/>
  <c r="DK274"/>
  <c r="DL274"/>
  <c r="DO274" s="1"/>
  <c r="DJ275"/>
  <c r="DK275"/>
  <c r="DL275"/>
  <c r="DO275"/>
  <c r="DJ276"/>
  <c r="DL276" s="1"/>
  <c r="DK276"/>
  <c r="DM276" s="1"/>
  <c r="DN276" s="1"/>
  <c r="DO276"/>
  <c r="DJ277"/>
  <c r="DL277" s="1"/>
  <c r="DO277" s="1"/>
  <c r="DK277"/>
  <c r="DJ278"/>
  <c r="DK278"/>
  <c r="DL278"/>
  <c r="DO278" s="1"/>
  <c r="DM278"/>
  <c r="DN278" s="1"/>
  <c r="DJ279"/>
  <c r="DK279"/>
  <c r="DM279" s="1"/>
  <c r="DN279" s="1"/>
  <c r="DL279"/>
  <c r="DO279" s="1"/>
  <c r="DJ280"/>
  <c r="DL280" s="1"/>
  <c r="DO280" s="1"/>
  <c r="DK280"/>
  <c r="DJ281"/>
  <c r="DL281" s="1"/>
  <c r="DO281" s="1"/>
  <c r="DK281"/>
  <c r="DM281"/>
  <c r="DN281" s="1"/>
  <c r="DJ282"/>
  <c r="DK282"/>
  <c r="DL282"/>
  <c r="DO282" s="1"/>
  <c r="DJ283"/>
  <c r="DK283"/>
  <c r="DL283"/>
  <c r="DO283"/>
  <c r="DJ284"/>
  <c r="DL284" s="1"/>
  <c r="DK284"/>
  <c r="DM284" s="1"/>
  <c r="DN284" s="1"/>
  <c r="DO284"/>
  <c r="DJ285"/>
  <c r="DL285" s="1"/>
  <c r="DO285" s="1"/>
  <c r="DK285"/>
  <c r="DJ286"/>
  <c r="DK286"/>
  <c r="DL286"/>
  <c r="DO286" s="1"/>
  <c r="DM286"/>
  <c r="DN286" s="1"/>
  <c r="DJ287"/>
  <c r="DK287"/>
  <c r="DM287" s="1"/>
  <c r="DN287" s="1"/>
  <c r="DL287"/>
  <c r="DO287" s="1"/>
  <c r="DJ288"/>
  <c r="DL288" s="1"/>
  <c r="DO288" s="1"/>
  <c r="DK288"/>
  <c r="DJ289"/>
  <c r="DL289" s="1"/>
  <c r="DO289" s="1"/>
  <c r="DK289"/>
  <c r="DM289"/>
  <c r="DN289" s="1"/>
  <c r="DJ290"/>
  <c r="DK290"/>
  <c r="DL290"/>
  <c r="DO290" s="1"/>
  <c r="DJ291"/>
  <c r="DK291"/>
  <c r="DL291"/>
  <c r="DO291"/>
  <c r="DJ292"/>
  <c r="DL292" s="1"/>
  <c r="DK292"/>
  <c r="DM292" s="1"/>
  <c r="DN292" s="1"/>
  <c r="DO292"/>
  <c r="DJ293"/>
  <c r="DL293" s="1"/>
  <c r="DO293" s="1"/>
  <c r="DK293"/>
  <c r="DJ294"/>
  <c r="DK294"/>
  <c r="DL294"/>
  <c r="DO294" s="1"/>
  <c r="DM294"/>
  <c r="DN294" s="1"/>
  <c r="DJ295"/>
  <c r="DK295"/>
  <c r="DM295" s="1"/>
  <c r="DN295" s="1"/>
  <c r="DL295"/>
  <c r="DO295" s="1"/>
  <c r="DJ296"/>
  <c r="DL296" s="1"/>
  <c r="DO296" s="1"/>
  <c r="DK296"/>
  <c r="DJ297"/>
  <c r="DL297" s="1"/>
  <c r="DO297" s="1"/>
  <c r="DK297"/>
  <c r="DM297"/>
  <c r="DN297" s="1"/>
  <c r="DJ298"/>
  <c r="DK298"/>
  <c r="DL298"/>
  <c r="DO298" s="1"/>
  <c r="DJ299"/>
  <c r="DK299"/>
  <c r="DL299"/>
  <c r="DO299"/>
  <c r="DJ300"/>
  <c r="DL300" s="1"/>
  <c r="DK300"/>
  <c r="DM300" s="1"/>
  <c r="DN300"/>
  <c r="DO300"/>
  <c r="DJ301"/>
  <c r="DL301" s="1"/>
  <c r="DO301" s="1"/>
  <c r="DK301"/>
  <c r="DJ302"/>
  <c r="DK302"/>
  <c r="DL302"/>
  <c r="DO302" s="1"/>
  <c r="DM302"/>
  <c r="DN302" s="1"/>
  <c r="DJ303"/>
  <c r="DK303"/>
  <c r="DM303" s="1"/>
  <c r="DN303" s="1"/>
  <c r="DL303"/>
  <c r="DO303" s="1"/>
  <c r="DJ304"/>
  <c r="DL304" s="1"/>
  <c r="DO304" s="1"/>
  <c r="DK304"/>
  <c r="DJ305"/>
  <c r="DL305" s="1"/>
  <c r="DO305" s="1"/>
  <c r="DK305"/>
  <c r="DM305"/>
  <c r="DN305" s="1"/>
  <c r="DJ306"/>
  <c r="DK306"/>
  <c r="DL306"/>
  <c r="DO306" s="1"/>
  <c r="DJ307"/>
  <c r="DK307"/>
  <c r="DL307"/>
  <c r="DO307"/>
  <c r="DJ308"/>
  <c r="DL308" s="1"/>
  <c r="DK308"/>
  <c r="DM308" s="1"/>
  <c r="DN308" s="1"/>
  <c r="DO308"/>
  <c r="DJ309"/>
  <c r="DL309" s="1"/>
  <c r="DO309" s="1"/>
  <c r="DK309"/>
  <c r="DJ310"/>
  <c r="DK310"/>
  <c r="DL310"/>
  <c r="DO310" s="1"/>
  <c r="DM310"/>
  <c r="DN310" s="1"/>
  <c r="C7" i="52"/>
  <c r="R9"/>
  <c r="BS5" s="1"/>
  <c r="BI2"/>
  <c r="BN2"/>
  <c r="BK27"/>
  <c r="BM27"/>
  <c r="BK28"/>
  <c r="BM28"/>
  <c r="BQ3"/>
  <c r="BQ4"/>
  <c r="BQ5"/>
  <c r="BQ6" s="1"/>
  <c r="BQ7" s="1"/>
  <c r="BQ8" s="1"/>
  <c r="BH6"/>
  <c r="BH7"/>
  <c r="BH8"/>
  <c r="BH9"/>
  <c r="BQ9"/>
  <c r="BQ10" s="1"/>
  <c r="BQ11" s="1"/>
  <c r="BQ12" s="1"/>
  <c r="BH10"/>
  <c r="BH11"/>
  <c r="C13"/>
  <c r="BQ13"/>
  <c r="BQ14" s="1"/>
  <c r="BQ15" s="1"/>
  <c r="BQ16" s="1"/>
  <c r="BQ17" s="1"/>
  <c r="BQ18" s="1"/>
  <c r="BQ19" s="1"/>
  <c r="BQ20" s="1"/>
  <c r="BQ21" s="1"/>
  <c r="BQ22" s="1"/>
  <c r="BQ23" s="1"/>
  <c r="BQ24" s="1"/>
  <c r="BQ25" s="1"/>
  <c r="BQ26" s="1"/>
  <c r="BQ27" s="1"/>
  <c r="BQ28" s="1"/>
  <c r="BQ29" s="1"/>
  <c r="BQ30" s="1"/>
  <c r="BQ31" s="1"/>
  <c r="BQ32" s="1"/>
  <c r="BQ33" s="1"/>
  <c r="BQ34" s="1"/>
  <c r="BQ35" s="1"/>
  <c r="BQ36" s="1"/>
  <c r="BQ37" s="1"/>
  <c r="BQ38" s="1"/>
  <c r="BQ39" s="1"/>
  <c r="BQ40" s="1"/>
  <c r="BS13"/>
  <c r="BK30"/>
  <c r="BM30"/>
  <c r="BK29"/>
  <c r="BM29"/>
  <c r="C18"/>
  <c r="C19"/>
  <c r="C20"/>
  <c r="C21"/>
  <c r="BL21"/>
  <c r="BI22"/>
  <c r="BJ22"/>
  <c r="BS22"/>
  <c r="J35"/>
  <c r="O35"/>
  <c r="BS38"/>
  <c r="O1" i="51"/>
  <c r="P1"/>
  <c r="Q1"/>
  <c r="R1"/>
  <c r="S1"/>
  <c r="T1"/>
  <c r="U1"/>
  <c r="B4"/>
  <c r="AY47" s="1"/>
  <c r="O2"/>
  <c r="U2"/>
  <c r="AX2"/>
  <c r="AX4"/>
  <c r="O3"/>
  <c r="U3"/>
  <c r="AX6"/>
  <c r="AX7" s="1"/>
  <c r="O4"/>
  <c r="U4"/>
  <c r="O5"/>
  <c r="U5"/>
  <c r="O6"/>
  <c r="U6"/>
  <c r="O7"/>
  <c r="U7"/>
  <c r="AZ7"/>
  <c r="O8"/>
  <c r="U8"/>
  <c r="O9"/>
  <c r="U9"/>
  <c r="L30"/>
  <c r="AY16"/>
  <c r="BA16"/>
  <c r="O10"/>
  <c r="U10"/>
  <c r="AW10"/>
  <c r="AX10"/>
  <c r="O11"/>
  <c r="U11"/>
  <c r="B12"/>
  <c r="O12"/>
  <c r="U12"/>
  <c r="O13"/>
  <c r="U13"/>
  <c r="AY17"/>
  <c r="BA17"/>
  <c r="O14"/>
  <c r="U14"/>
  <c r="O15"/>
  <c r="U15"/>
  <c r="O16"/>
  <c r="U16"/>
  <c r="O17"/>
  <c r="U17"/>
  <c r="O18"/>
  <c r="U18"/>
  <c r="O19"/>
  <c r="U19"/>
  <c r="B20"/>
  <c r="B22" s="1"/>
  <c r="O20"/>
  <c r="U20"/>
  <c r="B21"/>
  <c r="O21"/>
  <c r="U21"/>
  <c r="O22"/>
  <c r="U22"/>
  <c r="O23"/>
  <c r="U23"/>
  <c r="O24"/>
  <c r="U24"/>
  <c r="O25"/>
  <c r="U25"/>
  <c r="O26"/>
  <c r="U26"/>
  <c r="O27"/>
  <c r="U27"/>
  <c r="O28"/>
  <c r="U28"/>
  <c r="O29"/>
  <c r="U29"/>
  <c r="O30"/>
  <c r="U30"/>
  <c r="O31"/>
  <c r="U31"/>
  <c r="O32"/>
  <c r="U32"/>
  <c r="O33"/>
  <c r="U33"/>
  <c r="O34"/>
  <c r="U34"/>
  <c r="O35"/>
  <c r="U35"/>
  <c r="O36"/>
  <c r="O37"/>
  <c r="O38"/>
  <c r="AY71"/>
  <c r="AY115"/>
  <c r="AY151"/>
  <c r="AY183"/>
  <c r="AY215"/>
  <c r="M10" i="50"/>
  <c r="BM1" s="1"/>
  <c r="W10"/>
  <c r="AB1"/>
  <c r="AJ26" s="1"/>
  <c r="BK2"/>
  <c r="BK11" s="1"/>
  <c r="BR2"/>
  <c r="BK13"/>
  <c r="BL8"/>
  <c r="BK7"/>
  <c r="BK8"/>
  <c r="BP3"/>
  <c r="BP4" s="1"/>
  <c r="BP5" s="1"/>
  <c r="BP6" s="1"/>
  <c r="BP7" s="1"/>
  <c r="BP8" s="1"/>
  <c r="BP9" s="1"/>
  <c r="BP10" s="1"/>
  <c r="BP11" s="1"/>
  <c r="BR3"/>
  <c r="BJ4"/>
  <c r="BL4"/>
  <c r="BJ5"/>
  <c r="BL5"/>
  <c r="BR5"/>
  <c r="BR6"/>
  <c r="BN7"/>
  <c r="BR7"/>
  <c r="BR9"/>
  <c r="AB10"/>
  <c r="BR10"/>
  <c r="BR11"/>
  <c r="BP12"/>
  <c r="BP13" s="1"/>
  <c r="BP14" s="1"/>
  <c r="BP15" s="1"/>
  <c r="BP16" s="1"/>
  <c r="BP17" s="1"/>
  <c r="BP18" s="1"/>
  <c r="BP19" s="1"/>
  <c r="BP20" s="1"/>
  <c r="BP21" s="1"/>
  <c r="BP22" s="1"/>
  <c r="BP23" s="1"/>
  <c r="BP24" s="1"/>
  <c r="BP25" s="1"/>
  <c r="BP26" s="1"/>
  <c r="BP27" s="1"/>
  <c r="BP28" s="1"/>
  <c r="BP29" s="1"/>
  <c r="BP30" s="1"/>
  <c r="BP31" s="1"/>
  <c r="BP32" s="1"/>
  <c r="BP33" s="1"/>
  <c r="BP34" s="1"/>
  <c r="BP35" s="1"/>
  <c r="BP36" s="1"/>
  <c r="BP37" s="1"/>
  <c r="BP38" s="1"/>
  <c r="BP39" s="1"/>
  <c r="BP40" s="1"/>
  <c r="BR13"/>
  <c r="BR14"/>
  <c r="BR15"/>
  <c r="BR17"/>
  <c r="BJ19"/>
  <c r="BK19"/>
  <c r="BR19"/>
  <c r="BJ20"/>
  <c r="BK20"/>
  <c r="F21"/>
  <c r="BJ21"/>
  <c r="AB22"/>
  <c r="BJ22"/>
  <c r="BR22"/>
  <c r="BJ23"/>
  <c r="BR23"/>
  <c r="BJ24"/>
  <c r="BR24"/>
  <c r="F25"/>
  <c r="BR25"/>
  <c r="BR26"/>
  <c r="AJ27"/>
  <c r="BR27"/>
  <c r="BJ28"/>
  <c r="BK28"/>
  <c r="BR28"/>
  <c r="BR29"/>
  <c r="AB30"/>
  <c r="BR30"/>
  <c r="BR31"/>
  <c r="BR32"/>
  <c r="AB33"/>
  <c r="BR33"/>
  <c r="BR34"/>
  <c r="AJ35"/>
  <c r="BR35"/>
  <c r="BR36"/>
  <c r="BR37"/>
  <c r="BR38"/>
  <c r="BR39"/>
  <c r="BR40"/>
  <c r="G7" i="49"/>
  <c r="G22"/>
  <c r="AY1"/>
  <c r="AW2"/>
  <c r="AY4" s="1"/>
  <c r="AW3"/>
  <c r="AW4"/>
  <c r="BF6"/>
  <c r="BF7"/>
  <c r="BF8"/>
  <c r="BA3" s="1"/>
  <c r="BC4"/>
  <c r="AV7"/>
  <c r="AY7"/>
  <c r="AZ7"/>
  <c r="BA7"/>
  <c r="AV8"/>
  <c r="BA8"/>
  <c r="AY8"/>
  <c r="AZ8"/>
  <c r="AV9"/>
  <c r="BA9"/>
  <c r="AW9"/>
  <c r="AY9"/>
  <c r="AZ9"/>
  <c r="AV10"/>
  <c r="BA10"/>
  <c r="AY10"/>
  <c r="AZ10"/>
  <c r="AV11"/>
  <c r="BA11"/>
  <c r="BE10"/>
  <c r="BF10"/>
  <c r="AW11"/>
  <c r="AY11"/>
  <c r="AZ11"/>
  <c r="AV12"/>
  <c r="BA12"/>
  <c r="AY12"/>
  <c r="AZ12"/>
  <c r="AV13"/>
  <c r="BA13"/>
  <c r="AW13"/>
  <c r="AY13"/>
  <c r="AZ13"/>
  <c r="AV14"/>
  <c r="BA14"/>
  <c r="AY14"/>
  <c r="AZ14"/>
  <c r="AV15"/>
  <c r="AV16" s="1"/>
  <c r="BA15"/>
  <c r="AY15"/>
  <c r="AZ15"/>
  <c r="AY16"/>
  <c r="AZ16"/>
  <c r="AY17"/>
  <c r="AZ17"/>
  <c r="AY18"/>
  <c r="AZ18"/>
  <c r="AY19"/>
  <c r="AZ19"/>
  <c r="AY20"/>
  <c r="AZ20"/>
  <c r="AY21"/>
  <c r="AZ21"/>
  <c r="AY22"/>
  <c r="AZ22"/>
  <c r="AY23"/>
  <c r="AZ23"/>
  <c r="AY24"/>
  <c r="AZ24"/>
  <c r="AY25"/>
  <c r="AZ25"/>
  <c r="AY26"/>
  <c r="AZ26"/>
  <c r="AY27"/>
  <c r="AZ27"/>
  <c r="C28"/>
  <c r="AY28"/>
  <c r="AZ28"/>
  <c r="I29"/>
  <c r="AY29"/>
  <c r="AZ29"/>
  <c r="AY30"/>
  <c r="AZ30"/>
  <c r="AY31"/>
  <c r="AZ31"/>
  <c r="AY32"/>
  <c r="AZ32"/>
  <c r="AY33"/>
  <c r="AZ33"/>
  <c r="AY34"/>
  <c r="AZ34"/>
  <c r="AY35"/>
  <c r="AZ35"/>
  <c r="AY36"/>
  <c r="AZ36"/>
  <c r="AY37"/>
  <c r="AZ37"/>
  <c r="AY38"/>
  <c r="AZ38"/>
  <c r="AY39"/>
  <c r="AZ39"/>
  <c r="AY40"/>
  <c r="AZ40"/>
  <c r="AY41"/>
  <c r="AZ41"/>
  <c r="AY42"/>
  <c r="AZ42"/>
  <c r="AY43"/>
  <c r="AZ43"/>
  <c r="AY44"/>
  <c r="AZ44"/>
  <c r="AY45"/>
  <c r="AZ45"/>
  <c r="AY46"/>
  <c r="AZ46"/>
  <c r="AY47"/>
  <c r="AZ47"/>
  <c r="AY48"/>
  <c r="AZ48"/>
  <c r="AY49"/>
  <c r="AZ49"/>
  <c r="AY50"/>
  <c r="AZ50"/>
  <c r="AY51"/>
  <c r="AZ51"/>
  <c r="AY52"/>
  <c r="AZ52"/>
  <c r="AY53"/>
  <c r="AZ53"/>
  <c r="AY54"/>
  <c r="AZ54"/>
  <c r="AY55"/>
  <c r="AZ55"/>
  <c r="AY56"/>
  <c r="AZ56"/>
  <c r="AY57"/>
  <c r="AZ57"/>
  <c r="AY58"/>
  <c r="AZ58"/>
  <c r="AY59"/>
  <c r="AZ59"/>
  <c r="AY60"/>
  <c r="AZ60"/>
  <c r="AY61"/>
  <c r="AZ61"/>
  <c r="AY62"/>
  <c r="AZ62"/>
  <c r="AY63"/>
  <c r="AZ63"/>
  <c r="AY64"/>
  <c r="AZ64"/>
  <c r="AY65"/>
  <c r="AZ65"/>
  <c r="AY66"/>
  <c r="AZ66"/>
  <c r="AY67"/>
  <c r="AZ67"/>
  <c r="AY68"/>
  <c r="AZ68"/>
  <c r="AY69"/>
  <c r="AZ69"/>
  <c r="AY70"/>
  <c r="AZ70"/>
  <c r="AY71"/>
  <c r="AZ71"/>
  <c r="AY72"/>
  <c r="AZ72"/>
  <c r="AY73"/>
  <c r="AZ73"/>
  <c r="AY74"/>
  <c r="AZ74"/>
  <c r="AY75"/>
  <c r="AZ75"/>
  <c r="AY76"/>
  <c r="AZ76"/>
  <c r="AY77"/>
  <c r="AZ77"/>
  <c r="AY78"/>
  <c r="AZ78"/>
  <c r="AY79"/>
  <c r="AZ79"/>
  <c r="AY80"/>
  <c r="AZ80"/>
  <c r="AY81"/>
  <c r="AZ81"/>
  <c r="AY82"/>
  <c r="AZ82"/>
  <c r="AY83"/>
  <c r="AZ83"/>
  <c r="AY84"/>
  <c r="AZ84"/>
  <c r="AY85"/>
  <c r="AZ85"/>
  <c r="AY86"/>
  <c r="AZ86"/>
  <c r="AY87"/>
  <c r="AZ87"/>
  <c r="AY88"/>
  <c r="AZ88"/>
  <c r="AY89"/>
  <c r="AZ89"/>
  <c r="AY90"/>
  <c r="AZ90"/>
  <c r="AY91"/>
  <c r="AZ91"/>
  <c r="AY92"/>
  <c r="AZ92"/>
  <c r="AY93"/>
  <c r="AZ93"/>
  <c r="AY94"/>
  <c r="AZ94"/>
  <c r="AY95"/>
  <c r="AZ95"/>
  <c r="AY96"/>
  <c r="AZ96"/>
  <c r="AY97"/>
  <c r="AZ97"/>
  <c r="AY98"/>
  <c r="AZ98"/>
  <c r="AY99"/>
  <c r="AZ99"/>
  <c r="AY100"/>
  <c r="AZ100"/>
  <c r="AY101"/>
  <c r="AZ101"/>
  <c r="AY102"/>
  <c r="AZ102"/>
  <c r="AY103"/>
  <c r="AZ103"/>
  <c r="AY104"/>
  <c r="AZ104"/>
  <c r="AY105"/>
  <c r="AZ105"/>
  <c r="AY106"/>
  <c r="AZ106"/>
  <c r="AY107"/>
  <c r="AZ107"/>
  <c r="AY108"/>
  <c r="AZ108"/>
  <c r="AY109"/>
  <c r="AZ109"/>
  <c r="AY110"/>
  <c r="AZ110"/>
  <c r="AY111"/>
  <c r="AZ111"/>
  <c r="AY112"/>
  <c r="AZ112"/>
  <c r="AY113"/>
  <c r="AZ113"/>
  <c r="AY114"/>
  <c r="AZ114"/>
  <c r="AY115"/>
  <c r="AZ115"/>
  <c r="AY116"/>
  <c r="AZ116"/>
  <c r="AY117"/>
  <c r="AZ117"/>
  <c r="AY118"/>
  <c r="AZ118"/>
  <c r="AY119"/>
  <c r="AZ119"/>
  <c r="AY120"/>
  <c r="AZ120"/>
  <c r="AY121"/>
  <c r="AZ121"/>
  <c r="AY122"/>
  <c r="AZ122"/>
  <c r="AY123"/>
  <c r="AZ123"/>
  <c r="AY124"/>
  <c r="AZ124"/>
  <c r="AY125"/>
  <c r="AZ125"/>
  <c r="AY126"/>
  <c r="AZ126"/>
  <c r="AY127"/>
  <c r="AZ127"/>
  <c r="AY128"/>
  <c r="AZ128"/>
  <c r="AY129"/>
  <c r="AZ129"/>
  <c r="AY130"/>
  <c r="AZ130"/>
  <c r="AY131"/>
  <c r="AZ131"/>
  <c r="AY132"/>
  <c r="AZ132"/>
  <c r="AY133"/>
  <c r="AZ133"/>
  <c r="AY134"/>
  <c r="AZ134"/>
  <c r="AY135"/>
  <c r="AZ135"/>
  <c r="AY136"/>
  <c r="AZ136"/>
  <c r="AY137"/>
  <c r="AZ137"/>
  <c r="AY138"/>
  <c r="AZ138"/>
  <c r="AY139"/>
  <c r="AZ139"/>
  <c r="AY140"/>
  <c r="AZ140"/>
  <c r="AY141"/>
  <c r="AZ141"/>
  <c r="AY142"/>
  <c r="AZ142"/>
  <c r="AY143"/>
  <c r="AZ143"/>
  <c r="AY144"/>
  <c r="AZ144"/>
  <c r="AY145"/>
  <c r="AZ145"/>
  <c r="AY146"/>
  <c r="AZ146"/>
  <c r="AY147"/>
  <c r="AZ147"/>
  <c r="AY148"/>
  <c r="AZ148"/>
  <c r="AY149"/>
  <c r="AZ149"/>
  <c r="AY150"/>
  <c r="AZ150"/>
  <c r="AY151"/>
  <c r="AZ151"/>
  <c r="AY152"/>
  <c r="AZ152"/>
  <c r="AY153"/>
  <c r="AZ153"/>
  <c r="AY154"/>
  <c r="AZ154"/>
  <c r="AY155"/>
  <c r="AZ155"/>
  <c r="AY156"/>
  <c r="AZ156"/>
  <c r="AY157"/>
  <c r="AZ157"/>
  <c r="AY158"/>
  <c r="AZ158"/>
  <c r="AY159"/>
  <c r="AZ159"/>
  <c r="AY160"/>
  <c r="AZ160"/>
  <c r="AY161"/>
  <c r="AZ161"/>
  <c r="AY162"/>
  <c r="AZ162"/>
  <c r="AY163"/>
  <c r="AZ163"/>
  <c r="AY164"/>
  <c r="AZ164"/>
  <c r="AY165"/>
  <c r="AZ165"/>
  <c r="AY166"/>
  <c r="AZ166"/>
  <c r="AY167"/>
  <c r="AZ167"/>
  <c r="AY168"/>
  <c r="AZ168"/>
  <c r="AY169"/>
  <c r="AZ169"/>
  <c r="AY170"/>
  <c r="AZ170"/>
  <c r="AY171"/>
  <c r="AZ171"/>
  <c r="AY172"/>
  <c r="AZ172"/>
  <c r="AY173"/>
  <c r="AZ173"/>
  <c r="AY174"/>
  <c r="AZ174"/>
  <c r="AY175"/>
  <c r="AZ175"/>
  <c r="AY176"/>
  <c r="AZ176"/>
  <c r="AY177"/>
  <c r="AZ177"/>
  <c r="AY178"/>
  <c r="AZ178"/>
  <c r="AY179"/>
  <c r="AZ179"/>
  <c r="AY180"/>
  <c r="AZ180"/>
  <c r="AY181"/>
  <c r="AZ181"/>
  <c r="AY182"/>
  <c r="AZ182"/>
  <c r="AY183"/>
  <c r="AZ183"/>
  <c r="AY184"/>
  <c r="AZ184"/>
  <c r="AY185"/>
  <c r="AZ185"/>
  <c r="AY186"/>
  <c r="AZ186"/>
  <c r="AY187"/>
  <c r="AZ187"/>
  <c r="AY188"/>
  <c r="AZ188"/>
  <c r="AY189"/>
  <c r="AZ189"/>
  <c r="AY190"/>
  <c r="AZ190"/>
  <c r="AY191"/>
  <c r="AZ191"/>
  <c r="AY192"/>
  <c r="AZ192"/>
  <c r="AY193"/>
  <c r="AZ193"/>
  <c r="AY194"/>
  <c r="AZ194"/>
  <c r="AY195"/>
  <c r="AZ195"/>
  <c r="AY196"/>
  <c r="AZ196"/>
  <c r="AY197"/>
  <c r="AZ197"/>
  <c r="AY198"/>
  <c r="AZ198"/>
  <c r="AY199"/>
  <c r="AZ199"/>
  <c r="AY200"/>
  <c r="AZ200"/>
  <c r="AY201"/>
  <c r="AZ201"/>
  <c r="AY202"/>
  <c r="AZ202"/>
  <c r="AY203"/>
  <c r="AZ203"/>
  <c r="AY204"/>
  <c r="AZ204"/>
  <c r="AY205"/>
  <c r="AZ205"/>
  <c r="AY206"/>
  <c r="AZ206"/>
  <c r="AY207"/>
  <c r="AZ207"/>
  <c r="AY208"/>
  <c r="AZ208"/>
  <c r="AY209"/>
  <c r="AZ209"/>
  <c r="AY210"/>
  <c r="AZ210"/>
  <c r="AY211"/>
  <c r="AZ211"/>
  <c r="AY212"/>
  <c r="AZ212"/>
  <c r="AY213"/>
  <c r="AZ213"/>
  <c r="AY214"/>
  <c r="AZ214"/>
  <c r="AY215"/>
  <c r="AZ215"/>
  <c r="AY216"/>
  <c r="AZ216"/>
  <c r="AY217"/>
  <c r="AZ217"/>
  <c r="AY218"/>
  <c r="AZ218"/>
  <c r="AY219"/>
  <c r="AZ219"/>
  <c r="AY220"/>
  <c r="AZ220"/>
  <c r="AY221"/>
  <c r="AZ221"/>
  <c r="AY222"/>
  <c r="AZ222"/>
  <c r="AY223"/>
  <c r="AZ223"/>
  <c r="AY224"/>
  <c r="AZ224"/>
  <c r="AY225"/>
  <c r="AZ225"/>
  <c r="AY226"/>
  <c r="AZ226"/>
  <c r="AY227"/>
  <c r="AZ227"/>
  <c r="AY228"/>
  <c r="AZ228"/>
  <c r="AY229"/>
  <c r="AZ229"/>
  <c r="AY230"/>
  <c r="AZ230"/>
  <c r="AY231"/>
  <c r="AZ231"/>
  <c r="AY232"/>
  <c r="AZ232"/>
  <c r="AY233"/>
  <c r="AZ233"/>
  <c r="AY234"/>
  <c r="AZ234"/>
  <c r="AY235"/>
  <c r="AZ235"/>
  <c r="AY236"/>
  <c r="AZ236"/>
  <c r="AY237"/>
  <c r="AZ237"/>
  <c r="AY238"/>
  <c r="AZ238"/>
  <c r="AY239"/>
  <c r="AZ239"/>
  <c r="AY240"/>
  <c r="AZ240"/>
  <c r="AY241"/>
  <c r="AZ241"/>
  <c r="AY242"/>
  <c r="AZ242"/>
  <c r="AY243"/>
  <c r="AZ243"/>
  <c r="AY244"/>
  <c r="AZ244"/>
  <c r="AY245"/>
  <c r="AZ245"/>
  <c r="AY246"/>
  <c r="AZ246"/>
  <c r="AY247"/>
  <c r="AZ247"/>
  <c r="AY248"/>
  <c r="AZ248"/>
  <c r="AY249"/>
  <c r="AZ249"/>
  <c r="AY250"/>
  <c r="AZ250"/>
  <c r="AY251"/>
  <c r="AZ251"/>
  <c r="AY252"/>
  <c r="AZ252"/>
  <c r="AY253"/>
  <c r="AZ253"/>
  <c r="AY254"/>
  <c r="AZ254"/>
  <c r="AY255"/>
  <c r="AZ255"/>
  <c r="AY256"/>
  <c r="AZ256"/>
  <c r="AY257"/>
  <c r="AZ257"/>
  <c r="AY258"/>
  <c r="AZ258"/>
  <c r="AY259"/>
  <c r="AZ259"/>
  <c r="AY260"/>
  <c r="AZ260"/>
  <c r="AY261"/>
  <c r="AZ261"/>
  <c r="AY262"/>
  <c r="AZ262"/>
  <c r="AY263"/>
  <c r="AZ263"/>
  <c r="AY264"/>
  <c r="AZ264"/>
  <c r="AY265"/>
  <c r="AZ265"/>
  <c r="AY266"/>
  <c r="AZ266"/>
  <c r="AY267"/>
  <c r="AZ267"/>
  <c r="AY268"/>
  <c r="AZ268"/>
  <c r="AY269"/>
  <c r="AZ269"/>
  <c r="AY270"/>
  <c r="AZ270"/>
  <c r="AY271"/>
  <c r="AZ271"/>
  <c r="AY272"/>
  <c r="AZ272"/>
  <c r="AY273"/>
  <c r="AZ273"/>
  <c r="AY274"/>
  <c r="AZ274"/>
  <c r="AY275"/>
  <c r="AZ275"/>
  <c r="AY276"/>
  <c r="AZ276"/>
  <c r="AY277"/>
  <c r="AZ277"/>
  <c r="AY278"/>
  <c r="AZ278"/>
  <c r="AY279"/>
  <c r="AZ279"/>
  <c r="AY280"/>
  <c r="AZ280"/>
  <c r="AY281"/>
  <c r="AZ281"/>
  <c r="AY282"/>
  <c r="AZ282"/>
  <c r="AY283"/>
  <c r="AZ283"/>
  <c r="AY284"/>
  <c r="AZ284"/>
  <c r="AY285"/>
  <c r="AZ285"/>
  <c r="AY286"/>
  <c r="AZ286"/>
  <c r="AY287"/>
  <c r="AZ287"/>
  <c r="AY288"/>
  <c r="AZ288"/>
  <c r="AY289"/>
  <c r="AZ289"/>
  <c r="AY290"/>
  <c r="AZ290"/>
  <c r="AY291"/>
  <c r="AZ291"/>
  <c r="AY292"/>
  <c r="AZ292"/>
  <c r="AY293"/>
  <c r="AZ293"/>
  <c r="AY294"/>
  <c r="AZ294"/>
  <c r="AY295"/>
  <c r="AZ295"/>
  <c r="AY296"/>
  <c r="AZ296"/>
  <c r="AY297"/>
  <c r="AZ297"/>
  <c r="AY298"/>
  <c r="AZ298"/>
  <c r="AY299"/>
  <c r="AZ299"/>
  <c r="AY300"/>
  <c r="AZ300"/>
  <c r="AY301"/>
  <c r="AZ301"/>
  <c r="AY302"/>
  <c r="AZ302"/>
  <c r="AY303"/>
  <c r="AZ303"/>
  <c r="AY304"/>
  <c r="AZ304"/>
  <c r="AY305"/>
  <c r="AZ305"/>
  <c r="AY306"/>
  <c r="AZ306"/>
  <c r="AY307"/>
  <c r="AZ307"/>
  <c r="AY308"/>
  <c r="AZ308"/>
  <c r="AY309"/>
  <c r="AZ309"/>
  <c r="AY310"/>
  <c r="AZ310"/>
  <c r="AY311"/>
  <c r="AZ311"/>
  <c r="AY312"/>
  <c r="AZ312"/>
  <c r="AY313"/>
  <c r="AZ313"/>
  <c r="AY314"/>
  <c r="AZ314"/>
  <c r="AY315"/>
  <c r="AZ315"/>
  <c r="AY316"/>
  <c r="AZ316"/>
  <c r="AY317"/>
  <c r="AZ317"/>
  <c r="AY318"/>
  <c r="AZ318"/>
  <c r="AY319"/>
  <c r="AZ319"/>
  <c r="AY320"/>
  <c r="AZ320"/>
  <c r="AY321"/>
  <c r="AZ321"/>
  <c r="AY322"/>
  <c r="AZ322"/>
  <c r="AY323"/>
  <c r="AZ323"/>
  <c r="AY324"/>
  <c r="AZ324"/>
  <c r="AY325"/>
  <c r="AZ325"/>
  <c r="AY326"/>
  <c r="AZ326"/>
  <c r="AY327"/>
  <c r="AZ327"/>
  <c r="AY328"/>
  <c r="AZ328"/>
  <c r="AY329"/>
  <c r="AZ329"/>
  <c r="AY330"/>
  <c r="AZ330"/>
  <c r="AY331"/>
  <c r="AZ331"/>
  <c r="AY332"/>
  <c r="AZ332"/>
  <c r="AY333"/>
  <c r="AZ333"/>
  <c r="AY334"/>
  <c r="AZ334"/>
  <c r="AY335"/>
  <c r="AZ335"/>
  <c r="AY336"/>
  <c r="AZ336"/>
  <c r="AY337"/>
  <c r="AZ337"/>
  <c r="AY338"/>
  <c r="AZ338"/>
  <c r="AY339"/>
  <c r="AZ339"/>
  <c r="AY340"/>
  <c r="AZ340"/>
  <c r="AY341"/>
  <c r="AZ341"/>
  <c r="AY342"/>
  <c r="AZ342"/>
  <c r="AY343"/>
  <c r="AZ343"/>
  <c r="AY344"/>
  <c r="AZ344"/>
  <c r="AY345"/>
  <c r="AZ345"/>
  <c r="AY346"/>
  <c r="AZ346"/>
  <c r="AY347"/>
  <c r="AZ347"/>
  <c r="AY348"/>
  <c r="AZ348"/>
  <c r="AY349"/>
  <c r="AZ349"/>
  <c r="AY350"/>
  <c r="AZ350"/>
  <c r="AY351"/>
  <c r="AZ351"/>
  <c r="AY352"/>
  <c r="AZ352"/>
  <c r="AY353"/>
  <c r="AZ353"/>
  <c r="AY354"/>
  <c r="AZ354"/>
  <c r="AY355"/>
  <c r="AZ355"/>
  <c r="AY356"/>
  <c r="AZ356"/>
  <c r="AY357"/>
  <c r="AZ357"/>
  <c r="AY358"/>
  <c r="AZ358"/>
  <c r="AY359"/>
  <c r="AZ359"/>
  <c r="AY360"/>
  <c r="AZ360"/>
  <c r="AY361"/>
  <c r="AZ361"/>
  <c r="AY362"/>
  <c r="AZ362"/>
  <c r="AY363"/>
  <c r="AZ363"/>
  <c r="AY364"/>
  <c r="AZ364"/>
  <c r="AY365"/>
  <c r="AZ365"/>
  <c r="AY366"/>
  <c r="AZ366"/>
  <c r="AY367"/>
  <c r="AZ367"/>
  <c r="AY368"/>
  <c r="AZ368"/>
  <c r="AY369"/>
  <c r="AZ369"/>
  <c r="AY370"/>
  <c r="AZ370"/>
  <c r="AY371"/>
  <c r="AZ371"/>
  <c r="AY372"/>
  <c r="AZ372"/>
  <c r="AY373"/>
  <c r="AZ373"/>
  <c r="AY374"/>
  <c r="AZ374"/>
  <c r="AY375"/>
  <c r="AZ375"/>
  <c r="AY376"/>
  <c r="AZ376"/>
  <c r="AY377"/>
  <c r="AZ377"/>
  <c r="AY378"/>
  <c r="AZ378"/>
  <c r="AY379"/>
  <c r="AZ379"/>
  <c r="AY380"/>
  <c r="AZ380"/>
  <c r="AY381"/>
  <c r="AZ381"/>
  <c r="AY382"/>
  <c r="AZ382"/>
  <c r="AY383"/>
  <c r="AZ383"/>
  <c r="AY384"/>
  <c r="AZ384"/>
  <c r="AY385"/>
  <c r="AZ385"/>
  <c r="AY386"/>
  <c r="AZ386"/>
  <c r="AY387"/>
  <c r="AZ387"/>
  <c r="AY388"/>
  <c r="AZ388"/>
  <c r="AY389"/>
  <c r="AZ389"/>
  <c r="AY390"/>
  <c r="AZ390"/>
  <c r="AY391"/>
  <c r="AZ391"/>
  <c r="AY392"/>
  <c r="AZ392"/>
  <c r="AY393"/>
  <c r="AZ393"/>
  <c r="AY394"/>
  <c r="AZ394"/>
  <c r="AY395"/>
  <c r="AZ395"/>
  <c r="AY396"/>
  <c r="AZ396"/>
  <c r="AY397"/>
  <c r="AZ397"/>
  <c r="AY398"/>
  <c r="AZ398"/>
  <c r="AY399"/>
  <c r="AZ399"/>
  <c r="AY400"/>
  <c r="AZ400"/>
  <c r="AY401"/>
  <c r="AZ401"/>
  <c r="AY402"/>
  <c r="AZ402"/>
  <c r="AY403"/>
  <c r="AZ403"/>
  <c r="AY404"/>
  <c r="AZ404"/>
  <c r="AY405"/>
  <c r="AZ405"/>
  <c r="AY406"/>
  <c r="AZ406"/>
  <c r="AY407"/>
  <c r="AZ407"/>
  <c r="AY408"/>
  <c r="AZ408"/>
  <c r="AY409"/>
  <c r="AZ409"/>
  <c r="AY410"/>
  <c r="AZ410"/>
  <c r="AY411"/>
  <c r="AZ411"/>
  <c r="AY412"/>
  <c r="AZ412"/>
  <c r="AY413"/>
  <c r="AZ413"/>
  <c r="AY414"/>
  <c r="AZ414"/>
  <c r="AY415"/>
  <c r="AZ415"/>
  <c r="AY416"/>
  <c r="AZ416"/>
  <c r="AY417"/>
  <c r="AZ417"/>
  <c r="AY418"/>
  <c r="AZ418"/>
  <c r="AY419"/>
  <c r="AZ419"/>
  <c r="AY420"/>
  <c r="AZ420"/>
  <c r="AY421"/>
  <c r="AZ421"/>
  <c r="AY422"/>
  <c r="AZ422"/>
  <c r="AY423"/>
  <c r="AZ423"/>
  <c r="AY424"/>
  <c r="AZ424"/>
  <c r="AY425"/>
  <c r="AZ425"/>
  <c r="AY426"/>
  <c r="AZ426"/>
  <c r="AY427"/>
  <c r="AZ427"/>
  <c r="AY428"/>
  <c r="AZ428"/>
  <c r="AY429"/>
  <c r="AZ429"/>
  <c r="AY430"/>
  <c r="AZ430"/>
  <c r="AY431"/>
  <c r="AZ431"/>
  <c r="AY432"/>
  <c r="AZ432"/>
  <c r="AY433"/>
  <c r="AZ433"/>
  <c r="AY434"/>
  <c r="AZ434"/>
  <c r="AY435"/>
  <c r="AZ435"/>
  <c r="AY436"/>
  <c r="AZ436"/>
  <c r="AY437"/>
  <c r="AZ437"/>
  <c r="AY438"/>
  <c r="AZ438"/>
  <c r="AY439"/>
  <c r="AZ439"/>
  <c r="AY440"/>
  <c r="AZ440"/>
  <c r="AY441"/>
  <c r="AZ441"/>
  <c r="AY442"/>
  <c r="AZ442"/>
  <c r="AY443"/>
  <c r="AZ443"/>
  <c r="AY444"/>
  <c r="AZ444"/>
  <c r="AY445"/>
  <c r="AZ445"/>
  <c r="AY446"/>
  <c r="AZ446"/>
  <c r="AY447"/>
  <c r="AZ447"/>
  <c r="AY448"/>
  <c r="AZ448"/>
  <c r="AY449"/>
  <c r="AZ449"/>
  <c r="AY450"/>
  <c r="AZ450"/>
  <c r="AY451"/>
  <c r="AZ451"/>
  <c r="AY452"/>
  <c r="AZ452"/>
  <c r="AY453"/>
  <c r="AZ453"/>
  <c r="AY454"/>
  <c r="AZ454"/>
  <c r="AY455"/>
  <c r="AZ455"/>
  <c r="AY456"/>
  <c r="AZ456"/>
  <c r="AY457"/>
  <c r="AZ457"/>
  <c r="AY458"/>
  <c r="AZ458"/>
  <c r="AY459"/>
  <c r="AZ459"/>
  <c r="AY460"/>
  <c r="AZ460"/>
  <c r="AY461"/>
  <c r="AZ461"/>
  <c r="AY462"/>
  <c r="AZ462"/>
  <c r="AY463"/>
  <c r="AZ463"/>
  <c r="AY464"/>
  <c r="AZ464"/>
  <c r="AY465"/>
  <c r="AZ465"/>
  <c r="AY466"/>
  <c r="AZ466"/>
  <c r="AY467"/>
  <c r="AZ467"/>
  <c r="AY468"/>
  <c r="AZ468"/>
  <c r="AY469"/>
  <c r="AZ469"/>
  <c r="AY470"/>
  <c r="AZ470"/>
  <c r="AY471"/>
  <c r="AZ471"/>
  <c r="AY472"/>
  <c r="AZ472"/>
  <c r="AY473"/>
  <c r="AZ473"/>
  <c r="AY474"/>
  <c r="AZ474"/>
  <c r="AY475"/>
  <c r="AZ475"/>
  <c r="AY476"/>
  <c r="AZ476"/>
  <c r="AY477"/>
  <c r="AZ477"/>
  <c r="AY478"/>
  <c r="AZ478"/>
  <c r="AY479"/>
  <c r="AZ479"/>
  <c r="AY480"/>
  <c r="AZ480"/>
  <c r="AY481"/>
  <c r="AZ481"/>
  <c r="AY482"/>
  <c r="AZ482"/>
  <c r="AY483"/>
  <c r="AZ483"/>
  <c r="AY484"/>
  <c r="AZ484"/>
  <c r="AY485"/>
  <c r="AZ485"/>
  <c r="AY486"/>
  <c r="AZ486"/>
  <c r="AY487"/>
  <c r="AZ487"/>
  <c r="AY488"/>
  <c r="AZ488"/>
  <c r="AY489"/>
  <c r="AZ489"/>
  <c r="AY490"/>
  <c r="AZ490"/>
  <c r="AY491"/>
  <c r="AZ491"/>
  <c r="AY492"/>
  <c r="AZ492"/>
  <c r="AY493"/>
  <c r="AZ493"/>
  <c r="AY494"/>
  <c r="AZ494"/>
  <c r="AY495"/>
  <c r="AZ495"/>
  <c r="AY496"/>
  <c r="AZ496"/>
  <c r="AY497"/>
  <c r="AZ497"/>
  <c r="AY498"/>
  <c r="AZ498"/>
  <c r="AY499"/>
  <c r="AZ499"/>
  <c r="AY500"/>
  <c r="AZ500"/>
  <c r="AY501"/>
  <c r="AZ501"/>
  <c r="AY502"/>
  <c r="AZ502"/>
  <c r="AY503"/>
  <c r="AZ503"/>
  <c r="AY504"/>
  <c r="AZ504"/>
  <c r="AY505"/>
  <c r="AZ505"/>
  <c r="AY506"/>
  <c r="AZ506"/>
  <c r="AY507"/>
  <c r="AZ507"/>
  <c r="AY508"/>
  <c r="AZ508"/>
  <c r="AY509"/>
  <c r="AZ509"/>
  <c r="AY510"/>
  <c r="AZ510"/>
  <c r="AY511"/>
  <c r="AZ511"/>
  <c r="AY512"/>
  <c r="AZ512"/>
  <c r="AY513"/>
  <c r="AZ513"/>
  <c r="AY514"/>
  <c r="AZ514"/>
  <c r="AY515"/>
  <c r="AZ515"/>
  <c r="AY516"/>
  <c r="AZ516"/>
  <c r="AY517"/>
  <c r="AZ517"/>
  <c r="AY518"/>
  <c r="AZ518"/>
  <c r="AY519"/>
  <c r="AZ519"/>
  <c r="AY520"/>
  <c r="AZ520"/>
  <c r="AY521"/>
  <c r="AZ521"/>
  <c r="AY522"/>
  <c r="AZ522"/>
  <c r="AY523"/>
  <c r="AZ523"/>
  <c r="AY524"/>
  <c r="AZ524"/>
  <c r="AY525"/>
  <c r="AZ525"/>
  <c r="AY526"/>
  <c r="AZ526"/>
  <c r="AY527"/>
  <c r="AZ527"/>
  <c r="AY528"/>
  <c r="AZ528"/>
  <c r="AY529"/>
  <c r="AZ529"/>
  <c r="AY530"/>
  <c r="AZ530"/>
  <c r="AY531"/>
  <c r="AZ531"/>
  <c r="AY532"/>
  <c r="AZ532"/>
  <c r="AY533"/>
  <c r="AZ533"/>
  <c r="AY534"/>
  <c r="AZ534"/>
  <c r="AY535"/>
  <c r="AZ535"/>
  <c r="AY536"/>
  <c r="AZ536"/>
  <c r="AY537"/>
  <c r="AZ537"/>
  <c r="AY538"/>
  <c r="AZ538"/>
  <c r="AY539"/>
  <c r="AZ539"/>
  <c r="AY540"/>
  <c r="AZ540"/>
  <c r="AY541"/>
  <c r="AZ541"/>
  <c r="AY542"/>
  <c r="AZ542"/>
  <c r="AY543"/>
  <c r="AZ543"/>
  <c r="AY544"/>
  <c r="AZ544"/>
  <c r="AY545"/>
  <c r="AZ545"/>
  <c r="AY546"/>
  <c r="AZ546"/>
  <c r="AY547"/>
  <c r="AZ547"/>
  <c r="AY548"/>
  <c r="AZ548"/>
  <c r="AY549"/>
  <c r="AZ549"/>
  <c r="AY550"/>
  <c r="AZ550"/>
  <c r="AY551"/>
  <c r="AZ551"/>
  <c r="AY552"/>
  <c r="AZ552"/>
  <c r="AY553"/>
  <c r="AZ553"/>
  <c r="AY554"/>
  <c r="AZ554"/>
  <c r="AY555"/>
  <c r="AZ555"/>
  <c r="AY556"/>
  <c r="AZ556"/>
  <c r="AY557"/>
  <c r="AZ557"/>
  <c r="AY558"/>
  <c r="AZ558"/>
  <c r="AY559"/>
  <c r="AZ559"/>
  <c r="AY560"/>
  <c r="AZ560"/>
  <c r="AY561"/>
  <c r="AZ561"/>
  <c r="AY562"/>
  <c r="AZ562"/>
  <c r="AY563"/>
  <c r="AZ563"/>
  <c r="AY564"/>
  <c r="AZ564"/>
  <c r="AY565"/>
  <c r="AZ565"/>
  <c r="AY566"/>
  <c r="AZ566"/>
  <c r="AY567"/>
  <c r="AZ567"/>
  <c r="AY568"/>
  <c r="AZ568"/>
  <c r="AY569"/>
  <c r="AZ569"/>
  <c r="AY570"/>
  <c r="AZ570"/>
  <c r="AY571"/>
  <c r="AZ571"/>
  <c r="AY572"/>
  <c r="AZ572"/>
  <c r="AY573"/>
  <c r="AZ573"/>
  <c r="AY574"/>
  <c r="AZ574"/>
  <c r="AY575"/>
  <c r="AZ575"/>
  <c r="AY576"/>
  <c r="AZ576"/>
  <c r="AY577"/>
  <c r="AZ577"/>
  <c r="AY578"/>
  <c r="AZ578"/>
  <c r="AY579"/>
  <c r="AZ579"/>
  <c r="AY580"/>
  <c r="AZ580"/>
  <c r="AY581"/>
  <c r="AZ581"/>
  <c r="AY582"/>
  <c r="AZ582"/>
  <c r="AY583"/>
  <c r="AZ583"/>
  <c r="AY584"/>
  <c r="AZ584"/>
  <c r="AY585"/>
  <c r="AZ585"/>
  <c r="AY586"/>
  <c r="AZ586"/>
  <c r="AY587"/>
  <c r="AZ587"/>
  <c r="AY588"/>
  <c r="AZ588"/>
  <c r="AY589"/>
  <c r="AZ589"/>
  <c r="AY590"/>
  <c r="AZ590"/>
  <c r="AY591"/>
  <c r="AZ591"/>
  <c r="AY592"/>
  <c r="AZ592"/>
  <c r="AY593"/>
  <c r="AZ593"/>
  <c r="AY594"/>
  <c r="AZ594"/>
  <c r="AY595"/>
  <c r="AZ595"/>
  <c r="AY596"/>
  <c r="AZ596"/>
  <c r="AY597"/>
  <c r="AZ597"/>
  <c r="AY598"/>
  <c r="AZ598"/>
  <c r="AY599"/>
  <c r="AZ599"/>
  <c r="AY600"/>
  <c r="AZ600"/>
  <c r="AY601"/>
  <c r="AZ601"/>
  <c r="AY602"/>
  <c r="AZ602"/>
  <c r="AY603"/>
  <c r="AZ603"/>
  <c r="AY604"/>
  <c r="AZ604"/>
  <c r="AY605"/>
  <c r="AZ605"/>
  <c r="AY606"/>
  <c r="AZ606"/>
  <c r="AY607"/>
  <c r="AZ607"/>
  <c r="AY608"/>
  <c r="AZ608"/>
  <c r="AY609"/>
  <c r="AZ609"/>
  <c r="AY610"/>
  <c r="AZ610"/>
  <c r="AY611"/>
  <c r="AZ611"/>
  <c r="AY612"/>
  <c r="AZ612"/>
  <c r="AY613"/>
  <c r="AZ613"/>
  <c r="AY614"/>
  <c r="AZ614"/>
  <c r="AY615"/>
  <c r="AZ615"/>
  <c r="AY616"/>
  <c r="AZ616"/>
  <c r="AY617"/>
  <c r="AZ617"/>
  <c r="AY618"/>
  <c r="AZ618"/>
  <c r="AY619"/>
  <c r="AZ619"/>
  <c r="AY620"/>
  <c r="AZ620"/>
  <c r="AY621"/>
  <c r="AZ621"/>
  <c r="AY622"/>
  <c r="AZ622"/>
  <c r="AY623"/>
  <c r="AZ623"/>
  <c r="AY624"/>
  <c r="AZ624"/>
  <c r="AY625"/>
  <c r="AZ625"/>
  <c r="AY626"/>
  <c r="AZ626"/>
  <c r="AY627"/>
  <c r="AZ627"/>
  <c r="AY628"/>
  <c r="AZ628"/>
  <c r="AY629"/>
  <c r="AZ629"/>
  <c r="AY630"/>
  <c r="AZ630"/>
  <c r="AY631"/>
  <c r="AZ631"/>
  <c r="AY632"/>
  <c r="AZ632"/>
  <c r="AY633"/>
  <c r="AZ633"/>
  <c r="AY634"/>
  <c r="AZ634"/>
  <c r="AY635"/>
  <c r="AZ635"/>
  <c r="AY636"/>
  <c r="AZ636"/>
  <c r="AY637"/>
  <c r="AZ637"/>
  <c r="AY638"/>
  <c r="AZ638"/>
  <c r="AY639"/>
  <c r="AZ639"/>
  <c r="AY640"/>
  <c r="AZ640"/>
  <c r="AY641"/>
  <c r="AZ641"/>
  <c r="AY642"/>
  <c r="AZ642"/>
  <c r="AY643"/>
  <c r="AZ643"/>
  <c r="AY644"/>
  <c r="AZ644"/>
  <c r="AY645"/>
  <c r="AZ645"/>
  <c r="AY646"/>
  <c r="AZ646"/>
  <c r="AY647"/>
  <c r="AZ647"/>
  <c r="AY648"/>
  <c r="AZ648"/>
  <c r="AY649"/>
  <c r="AZ649"/>
  <c r="AY650"/>
  <c r="AZ650"/>
  <c r="AY651"/>
  <c r="AZ651"/>
  <c r="AY652"/>
  <c r="AZ652"/>
  <c r="AY653"/>
  <c r="AZ653"/>
  <c r="AY654"/>
  <c r="AZ654"/>
  <c r="AY655"/>
  <c r="AZ655"/>
  <c r="AY656"/>
  <c r="AZ656"/>
  <c r="AY657"/>
  <c r="AZ657"/>
  <c r="AY658"/>
  <c r="AZ658"/>
  <c r="AY659"/>
  <c r="AZ659"/>
  <c r="AY660"/>
  <c r="AZ660"/>
  <c r="AY661"/>
  <c r="AZ661"/>
  <c r="AY662"/>
  <c r="AZ662"/>
  <c r="AY663"/>
  <c r="AZ663"/>
  <c r="AY664"/>
  <c r="AZ664"/>
  <c r="AY665"/>
  <c r="AZ665"/>
  <c r="AY666"/>
  <c r="AZ666"/>
  <c r="AY667"/>
  <c r="AZ667"/>
  <c r="AY668"/>
  <c r="AZ668"/>
  <c r="AY669"/>
  <c r="AZ669"/>
  <c r="AY670"/>
  <c r="AZ670"/>
  <c r="AY671"/>
  <c r="AZ671"/>
  <c r="AY672"/>
  <c r="AZ672"/>
  <c r="AY673"/>
  <c r="AZ673"/>
  <c r="AY674"/>
  <c r="AZ674"/>
  <c r="AY675"/>
  <c r="AZ675"/>
  <c r="AY676"/>
  <c r="AZ676"/>
  <c r="AY677"/>
  <c r="AZ677"/>
  <c r="AY678"/>
  <c r="AZ678"/>
  <c r="AY679"/>
  <c r="AZ679"/>
  <c r="AY680"/>
  <c r="AZ680"/>
  <c r="AY681"/>
  <c r="AZ681"/>
  <c r="AY682"/>
  <c r="AZ682"/>
  <c r="AY683"/>
  <c r="AZ683"/>
  <c r="AY684"/>
  <c r="AZ684"/>
  <c r="AY685"/>
  <c r="AZ685"/>
  <c r="AY686"/>
  <c r="AZ686"/>
  <c r="AY687"/>
  <c r="AZ687"/>
  <c r="AY688"/>
  <c r="AZ688"/>
  <c r="AY689"/>
  <c r="AZ689"/>
  <c r="AY690"/>
  <c r="AZ690"/>
  <c r="AY691"/>
  <c r="AZ691"/>
  <c r="AY692"/>
  <c r="AZ692"/>
  <c r="AY693"/>
  <c r="AZ693"/>
  <c r="AY694"/>
  <c r="AZ694"/>
  <c r="AY695"/>
  <c r="AZ695"/>
  <c r="AY696"/>
  <c r="AZ696"/>
  <c r="AY697"/>
  <c r="AZ697"/>
  <c r="AY698"/>
  <c r="AZ698"/>
  <c r="AY699"/>
  <c r="AZ699"/>
  <c r="AY700"/>
  <c r="AZ700"/>
  <c r="AY701"/>
  <c r="AZ701"/>
  <c r="AY702"/>
  <c r="AZ702"/>
  <c r="AY703"/>
  <c r="AZ703"/>
  <c r="AY704"/>
  <c r="AZ704"/>
  <c r="AY705"/>
  <c r="AZ705"/>
  <c r="AY706"/>
  <c r="AZ706"/>
  <c r="AY707"/>
  <c r="AZ707"/>
  <c r="AY708"/>
  <c r="AZ708"/>
  <c r="AY709"/>
  <c r="AZ709"/>
  <c r="AY710"/>
  <c r="AZ710"/>
  <c r="AY711"/>
  <c r="AZ711"/>
  <c r="AY712"/>
  <c r="AZ712"/>
  <c r="AY713"/>
  <c r="AZ713"/>
  <c r="AY714"/>
  <c r="AZ714"/>
  <c r="AY715"/>
  <c r="AZ715"/>
  <c r="AY716"/>
  <c r="AZ716"/>
  <c r="AY717"/>
  <c r="AZ717"/>
  <c r="AY718"/>
  <c r="AZ718"/>
  <c r="AY719"/>
  <c r="AZ719"/>
  <c r="AY720"/>
  <c r="AZ720"/>
  <c r="AY721"/>
  <c r="AZ721"/>
  <c r="AY722"/>
  <c r="AZ722"/>
  <c r="AY723"/>
  <c r="AZ723"/>
  <c r="AY724"/>
  <c r="AZ724"/>
  <c r="AY725"/>
  <c r="AZ725"/>
  <c r="AY726"/>
  <c r="AZ726"/>
  <c r="AY727"/>
  <c r="AZ727"/>
  <c r="AY728"/>
  <c r="AZ728"/>
  <c r="AY729"/>
  <c r="AZ729"/>
  <c r="AY730"/>
  <c r="AZ730"/>
  <c r="AY731"/>
  <c r="AZ731"/>
  <c r="AY732"/>
  <c r="AZ732"/>
  <c r="AY733"/>
  <c r="AZ733"/>
  <c r="AY734"/>
  <c r="AZ734"/>
  <c r="AY735"/>
  <c r="AZ735"/>
  <c r="AY736"/>
  <c r="AZ736"/>
  <c r="AY737"/>
  <c r="AZ737"/>
  <c r="AY738"/>
  <c r="AZ738"/>
  <c r="AY739"/>
  <c r="AZ739"/>
  <c r="AY740"/>
  <c r="AZ740"/>
  <c r="AY741"/>
  <c r="AZ741"/>
  <c r="AY742"/>
  <c r="AZ742"/>
  <c r="AY743"/>
  <c r="AZ743"/>
  <c r="AY744"/>
  <c r="AZ744"/>
  <c r="AY745"/>
  <c r="AZ745"/>
  <c r="AY746"/>
  <c r="AZ746"/>
  <c r="AY747"/>
  <c r="AZ747"/>
  <c r="AY748"/>
  <c r="AZ748"/>
  <c r="AY749"/>
  <c r="AZ749"/>
  <c r="AY750"/>
  <c r="AZ750"/>
  <c r="AY751"/>
  <c r="AZ751"/>
  <c r="AY752"/>
  <c r="AZ752"/>
  <c r="AY753"/>
  <c r="AZ753"/>
  <c r="AY754"/>
  <c r="AZ754"/>
  <c r="AY755"/>
  <c r="AZ755"/>
  <c r="AY756"/>
  <c r="AZ756"/>
  <c r="AY757"/>
  <c r="AZ757"/>
  <c r="AY758"/>
  <c r="AZ758"/>
  <c r="AY759"/>
  <c r="AZ759"/>
  <c r="AY760"/>
  <c r="AZ760"/>
  <c r="AY761"/>
  <c r="AZ761"/>
  <c r="AY762"/>
  <c r="AZ762"/>
  <c r="AY763"/>
  <c r="AZ763"/>
  <c r="AY764"/>
  <c r="AZ764"/>
  <c r="AY765"/>
  <c r="AZ765"/>
  <c r="AY766"/>
  <c r="AZ766"/>
  <c r="AY767"/>
  <c r="AZ767"/>
  <c r="AY768"/>
  <c r="AZ768"/>
  <c r="AY769"/>
  <c r="AZ769"/>
  <c r="AY770"/>
  <c r="AZ770"/>
  <c r="AY771"/>
  <c r="AZ771"/>
  <c r="AY772"/>
  <c r="AZ772"/>
  <c r="AY773"/>
  <c r="AZ773"/>
  <c r="AY774"/>
  <c r="AZ774"/>
  <c r="AY775"/>
  <c r="AZ775"/>
  <c r="AY776"/>
  <c r="AZ776"/>
  <c r="AY777"/>
  <c r="AZ777"/>
  <c r="AY778"/>
  <c r="AZ778"/>
  <c r="AY779"/>
  <c r="AZ779"/>
  <c r="AY780"/>
  <c r="AZ780"/>
  <c r="AY781"/>
  <c r="AZ781"/>
  <c r="AY782"/>
  <c r="AZ782"/>
  <c r="AY783"/>
  <c r="AZ783"/>
  <c r="AY784"/>
  <c r="AZ784"/>
  <c r="AY785"/>
  <c r="AZ785"/>
  <c r="AY786"/>
  <c r="AZ786"/>
  <c r="AY787"/>
  <c r="AZ787"/>
  <c r="AY788"/>
  <c r="AZ788"/>
  <c r="AY789"/>
  <c r="AZ789"/>
  <c r="AY790"/>
  <c r="AZ790"/>
  <c r="AY791"/>
  <c r="AZ791"/>
  <c r="AY792"/>
  <c r="AZ792"/>
  <c r="AY793"/>
  <c r="AZ793"/>
  <c r="AY794"/>
  <c r="AZ794"/>
  <c r="AY795"/>
  <c r="AZ795"/>
  <c r="AY796"/>
  <c r="AZ796"/>
  <c r="AY797"/>
  <c r="AZ797"/>
  <c r="AY798"/>
  <c r="AZ798"/>
  <c r="AY799"/>
  <c r="AZ799"/>
  <c r="AY800"/>
  <c r="AZ800"/>
  <c r="AY801"/>
  <c r="AZ801"/>
  <c r="AY802"/>
  <c r="AZ802"/>
  <c r="AY803"/>
  <c r="AZ803"/>
  <c r="AY804"/>
  <c r="AZ804"/>
  <c r="AY805"/>
  <c r="AZ805"/>
  <c r="AY806"/>
  <c r="AZ806"/>
  <c r="AY807"/>
  <c r="AZ807"/>
  <c r="AY808"/>
  <c r="AZ808"/>
  <c r="AY809"/>
  <c r="AZ809"/>
  <c r="AY810"/>
  <c r="AZ810"/>
  <c r="AY811"/>
  <c r="AZ811"/>
  <c r="AY812"/>
  <c r="AZ812"/>
  <c r="AY813"/>
  <c r="AZ813"/>
  <c r="AY814"/>
  <c r="AZ814"/>
  <c r="AY815"/>
  <c r="AZ815"/>
  <c r="AY816"/>
  <c r="AZ816"/>
  <c r="AY817"/>
  <c r="AZ817"/>
  <c r="AY818"/>
  <c r="AZ818"/>
  <c r="AY819"/>
  <c r="AZ819"/>
  <c r="AY820"/>
  <c r="AZ820"/>
  <c r="AY821"/>
  <c r="AZ821"/>
  <c r="AY822"/>
  <c r="AZ822"/>
  <c r="AY823"/>
  <c r="AZ823"/>
  <c r="AY824"/>
  <c r="AZ824"/>
  <c r="AY825"/>
  <c r="AZ825"/>
  <c r="AY826"/>
  <c r="AZ826"/>
  <c r="AY827"/>
  <c r="AZ827"/>
  <c r="AY828"/>
  <c r="AZ828"/>
  <c r="AY829"/>
  <c r="AZ829"/>
  <c r="AY830"/>
  <c r="AZ830"/>
  <c r="AY831"/>
  <c r="AZ831"/>
  <c r="AY832"/>
  <c r="AZ832"/>
  <c r="AY833"/>
  <c r="AZ833"/>
  <c r="AY834"/>
  <c r="AZ834"/>
  <c r="AY835"/>
  <c r="AZ835"/>
  <c r="AY836"/>
  <c r="AZ836"/>
  <c r="AY837"/>
  <c r="AZ837"/>
  <c r="AY838"/>
  <c r="AZ838"/>
  <c r="AY839"/>
  <c r="AZ839"/>
  <c r="AY840"/>
  <c r="AZ840"/>
  <c r="AY841"/>
  <c r="AZ841"/>
  <c r="AY842"/>
  <c r="AZ842"/>
  <c r="AY843"/>
  <c r="AZ843"/>
  <c r="AY844"/>
  <c r="AZ844"/>
  <c r="AY845"/>
  <c r="AZ845"/>
  <c r="AY846"/>
  <c r="AZ846"/>
  <c r="AY847"/>
  <c r="AZ847"/>
  <c r="AY848"/>
  <c r="AZ848"/>
  <c r="AY849"/>
  <c r="AZ849"/>
  <c r="AY850"/>
  <c r="AZ850"/>
  <c r="AY851"/>
  <c r="AZ851"/>
  <c r="AY852"/>
  <c r="AZ852"/>
  <c r="AY853"/>
  <c r="AZ853"/>
  <c r="AY854"/>
  <c r="AZ854"/>
  <c r="AY855"/>
  <c r="AZ855"/>
  <c r="AY856"/>
  <c r="AZ856"/>
  <c r="AY857"/>
  <c r="AZ857"/>
  <c r="AY858"/>
  <c r="AZ858"/>
  <c r="AY859"/>
  <c r="AZ859"/>
  <c r="AY860"/>
  <c r="AZ860"/>
  <c r="AY861"/>
  <c r="AZ861"/>
  <c r="AY862"/>
  <c r="AZ862"/>
  <c r="AY863"/>
  <c r="AZ863"/>
  <c r="AY864"/>
  <c r="AZ864"/>
  <c r="AY865"/>
  <c r="AZ865"/>
  <c r="AY866"/>
  <c r="AZ866"/>
  <c r="AY867"/>
  <c r="AZ867"/>
  <c r="AY868"/>
  <c r="AZ868"/>
  <c r="AY869"/>
  <c r="AZ869"/>
  <c r="AY870"/>
  <c r="AZ870"/>
  <c r="AY871"/>
  <c r="AZ871"/>
  <c r="AY872"/>
  <c r="AZ872"/>
  <c r="AY873"/>
  <c r="AZ873"/>
  <c r="AY874"/>
  <c r="AZ874"/>
  <c r="AY875"/>
  <c r="AZ875"/>
  <c r="AY876"/>
  <c r="AZ876"/>
  <c r="AY877"/>
  <c r="AZ877"/>
  <c r="AY878"/>
  <c r="AZ878"/>
  <c r="AY879"/>
  <c r="AZ879"/>
  <c r="AY880"/>
  <c r="AZ880"/>
  <c r="AY881"/>
  <c r="AZ881"/>
  <c r="AY882"/>
  <c r="AZ882"/>
  <c r="AY883"/>
  <c r="AZ883"/>
  <c r="AY884"/>
  <c r="AZ884"/>
  <c r="AY885"/>
  <c r="AZ885"/>
  <c r="AY886"/>
  <c r="AZ886"/>
  <c r="AY887"/>
  <c r="AZ887"/>
  <c r="AY888"/>
  <c r="AZ888"/>
  <c r="AY889"/>
  <c r="AZ889"/>
  <c r="AY890"/>
  <c r="AZ890"/>
  <c r="AY891"/>
  <c r="AZ891"/>
  <c r="AY892"/>
  <c r="AZ892"/>
  <c r="AY893"/>
  <c r="AZ893"/>
  <c r="AY894"/>
  <c r="AZ894"/>
  <c r="AY895"/>
  <c r="AZ895"/>
  <c r="AY896"/>
  <c r="AZ896"/>
  <c r="AY897"/>
  <c r="AZ897"/>
  <c r="AY898"/>
  <c r="AZ898"/>
  <c r="AY899"/>
  <c r="AZ899"/>
  <c r="AY900"/>
  <c r="AZ900"/>
  <c r="AY901"/>
  <c r="AZ901"/>
  <c r="AY902"/>
  <c r="AZ902"/>
  <c r="AY903"/>
  <c r="AZ903"/>
  <c r="AY904"/>
  <c r="AZ904"/>
  <c r="AY905"/>
  <c r="AZ905"/>
  <c r="AY906"/>
  <c r="AZ906"/>
  <c r="AY907"/>
  <c r="AZ907"/>
  <c r="AY908"/>
  <c r="AZ908"/>
  <c r="AY909"/>
  <c r="AZ909"/>
  <c r="AY910"/>
  <c r="AZ910"/>
  <c r="AY911"/>
  <c r="AZ911"/>
  <c r="AY912"/>
  <c r="AZ912"/>
  <c r="AY913"/>
  <c r="AZ913"/>
  <c r="AY914"/>
  <c r="AZ914"/>
  <c r="AY915"/>
  <c r="AZ915"/>
  <c r="AY916"/>
  <c r="AZ916"/>
  <c r="AY917"/>
  <c r="AZ917"/>
  <c r="AY918"/>
  <c r="AZ918"/>
  <c r="AY919"/>
  <c r="AZ919"/>
  <c r="AY920"/>
  <c r="AZ920"/>
  <c r="AY921"/>
  <c r="AZ921"/>
  <c r="AY922"/>
  <c r="AZ922"/>
  <c r="AY923"/>
  <c r="AZ923"/>
  <c r="AY924"/>
  <c r="AZ924"/>
  <c r="AY925"/>
  <c r="AZ925"/>
  <c r="AY926"/>
  <c r="AZ926"/>
  <c r="AY927"/>
  <c r="AZ927"/>
  <c r="AY928"/>
  <c r="AZ928"/>
  <c r="AY929"/>
  <c r="AZ929"/>
  <c r="AY930"/>
  <c r="AZ930"/>
  <c r="AY931"/>
  <c r="AZ931"/>
  <c r="AY932"/>
  <c r="AZ932"/>
  <c r="AY933"/>
  <c r="AZ933"/>
  <c r="AY934"/>
  <c r="AZ934"/>
  <c r="AY935"/>
  <c r="AZ935"/>
  <c r="AY936"/>
  <c r="AZ936"/>
  <c r="AY937"/>
  <c r="AZ937"/>
  <c r="AY938"/>
  <c r="AZ938"/>
  <c r="AY939"/>
  <c r="AZ939"/>
  <c r="AY940"/>
  <c r="AZ940"/>
  <c r="AY941"/>
  <c r="AZ941"/>
  <c r="AY942"/>
  <c r="AZ942"/>
  <c r="AY943"/>
  <c r="AZ943"/>
  <c r="AY944"/>
  <c r="AZ944"/>
  <c r="AY945"/>
  <c r="AZ945"/>
  <c r="AY946"/>
  <c r="AZ946"/>
  <c r="AY947"/>
  <c r="AZ947"/>
  <c r="AY948"/>
  <c r="AZ948"/>
  <c r="AY949"/>
  <c r="AZ949"/>
  <c r="AY950"/>
  <c r="AZ950"/>
  <c r="AY951"/>
  <c r="AZ951"/>
  <c r="AY952"/>
  <c r="AZ952"/>
  <c r="AY953"/>
  <c r="AZ953"/>
  <c r="AY954"/>
  <c r="AZ954"/>
  <c r="AY955"/>
  <c r="AZ955"/>
  <c r="AY956"/>
  <c r="AZ956"/>
  <c r="AY957"/>
  <c r="AZ957"/>
  <c r="AY958"/>
  <c r="AZ958"/>
  <c r="AY959"/>
  <c r="AZ959"/>
  <c r="AY960"/>
  <c r="AZ960"/>
  <c r="AY961"/>
  <c r="AZ961"/>
  <c r="AY962"/>
  <c r="AZ962"/>
  <c r="AY963"/>
  <c r="AZ963"/>
  <c r="AY964"/>
  <c r="AZ964"/>
  <c r="AY965"/>
  <c r="AZ965"/>
  <c r="AY966"/>
  <c r="AZ966"/>
  <c r="AY967"/>
  <c r="AZ967"/>
  <c r="AY968"/>
  <c r="AZ968"/>
  <c r="AY969"/>
  <c r="AZ969"/>
  <c r="AY970"/>
  <c r="AZ970"/>
  <c r="AY971"/>
  <c r="AZ971"/>
  <c r="AY972"/>
  <c r="AZ972"/>
  <c r="AY973"/>
  <c r="AZ973"/>
  <c r="AY974"/>
  <c r="AZ974"/>
  <c r="AY975"/>
  <c r="AZ975"/>
  <c r="AY976"/>
  <c r="AZ976"/>
  <c r="AY977"/>
  <c r="AZ977"/>
  <c r="AY978"/>
  <c r="AZ978"/>
  <c r="AY979"/>
  <c r="AZ979"/>
  <c r="AY980"/>
  <c r="AZ980"/>
  <c r="AY981"/>
  <c r="AZ981"/>
  <c r="AY982"/>
  <c r="AZ982"/>
  <c r="AY983"/>
  <c r="AZ983"/>
  <c r="AY984"/>
  <c r="AZ984"/>
  <c r="AY985"/>
  <c r="AZ985"/>
  <c r="AY986"/>
  <c r="AZ986"/>
  <c r="AY987"/>
  <c r="AZ987"/>
  <c r="AY988"/>
  <c r="AZ988"/>
  <c r="AY989"/>
  <c r="AZ989"/>
  <c r="AY990"/>
  <c r="AZ990"/>
  <c r="AY991"/>
  <c r="AZ991"/>
  <c r="AY992"/>
  <c r="AZ992"/>
  <c r="AY993"/>
  <c r="AZ993"/>
  <c r="AY994"/>
  <c r="AZ994"/>
  <c r="AY995"/>
  <c r="AZ995"/>
  <c r="AY996"/>
  <c r="AZ996"/>
  <c r="AY997"/>
  <c r="AZ997"/>
  <c r="AY998"/>
  <c r="AZ998"/>
  <c r="AY999"/>
  <c r="AZ999"/>
  <c r="AY1000"/>
  <c r="AZ1000"/>
  <c r="AY1001"/>
  <c r="AZ1001"/>
  <c r="AY1002"/>
  <c r="AZ1002"/>
  <c r="AY1003"/>
  <c r="AZ1003"/>
  <c r="AY1004"/>
  <c r="AZ1004"/>
  <c r="AY1005"/>
  <c r="AZ1005"/>
  <c r="AY1006"/>
  <c r="AZ1006"/>
  <c r="AY1007"/>
  <c r="AZ1007"/>
  <c r="AZ7" i="47"/>
  <c r="BA9"/>
  <c r="BA39"/>
  <c r="BC39"/>
  <c r="BR39" s="1"/>
  <c r="BB39"/>
  <c r="BA40"/>
  <c r="BC40"/>
  <c r="BB40"/>
  <c r="BA41"/>
  <c r="BC41"/>
  <c r="BB41"/>
  <c r="BA42"/>
  <c r="BC42"/>
  <c r="BB42"/>
  <c r="BA43"/>
  <c r="BC43"/>
  <c r="BR43" s="1"/>
  <c r="BB43"/>
  <c r="BA44"/>
  <c r="BC44"/>
  <c r="BB44"/>
  <c r="BA45"/>
  <c r="BC45"/>
  <c r="BB45"/>
  <c r="BA46"/>
  <c r="BC46"/>
  <c r="BB46"/>
  <c r="BA47"/>
  <c r="BC47"/>
  <c r="BR47" s="1"/>
  <c r="BB47"/>
  <c r="BA48"/>
  <c r="BC48"/>
  <c r="BB48"/>
  <c r="BA49"/>
  <c r="BC49"/>
  <c r="BB49"/>
  <c r="BA50"/>
  <c r="BC50"/>
  <c r="BB50"/>
  <c r="BA51"/>
  <c r="BC51"/>
  <c r="BR51" s="1"/>
  <c r="BB51"/>
  <c r="BA52"/>
  <c r="BC52"/>
  <c r="BB52"/>
  <c r="BA53"/>
  <c r="BC53"/>
  <c r="BB53"/>
  <c r="BA54"/>
  <c r="BC54"/>
  <c r="BB54"/>
  <c r="BA55"/>
  <c r="BC55"/>
  <c r="BR55" s="1"/>
  <c r="BB55"/>
  <c r="BA56"/>
  <c r="BC56"/>
  <c r="BB56"/>
  <c r="BA57"/>
  <c r="BC57"/>
  <c r="BB57"/>
  <c r="BA58"/>
  <c r="BC58"/>
  <c r="BB58"/>
  <c r="BA59"/>
  <c r="BC59"/>
  <c r="BR59" s="1"/>
  <c r="BB59"/>
  <c r="BA60"/>
  <c r="BC60"/>
  <c r="BB60"/>
  <c r="BA61"/>
  <c r="BC61"/>
  <c r="BB61"/>
  <c r="BA62"/>
  <c r="BC62"/>
  <c r="BB62"/>
  <c r="BA63"/>
  <c r="BC63"/>
  <c r="BR63" s="1"/>
  <c r="BB63"/>
  <c r="BA64"/>
  <c r="BC64"/>
  <c r="BB64"/>
  <c r="BA65"/>
  <c r="BC65"/>
  <c r="BB65"/>
  <c r="BA66"/>
  <c r="BC66"/>
  <c r="BB66"/>
  <c r="BA67"/>
  <c r="BC67"/>
  <c r="BR67" s="1"/>
  <c r="BB67"/>
  <c r="BA68"/>
  <c r="BC68"/>
  <c r="BB68"/>
  <c r="BA69"/>
  <c r="BC69"/>
  <c r="BB69"/>
  <c r="BA70"/>
  <c r="BC70"/>
  <c r="BB70"/>
  <c r="BA71"/>
  <c r="BC71"/>
  <c r="BR71" s="1"/>
  <c r="BB71"/>
  <c r="BA72"/>
  <c r="BC72"/>
  <c r="BB72"/>
  <c r="BA73"/>
  <c r="BC73"/>
  <c r="BB73"/>
  <c r="BA74"/>
  <c r="BC74"/>
  <c r="BB74"/>
  <c r="BA75"/>
  <c r="BC75"/>
  <c r="BR75" s="1"/>
  <c r="BB75"/>
  <c r="BA76"/>
  <c r="BC76"/>
  <c r="BB76"/>
  <c r="BA77"/>
  <c r="BC77"/>
  <c r="BB77"/>
  <c r="BA78"/>
  <c r="BC78"/>
  <c r="BB78"/>
  <c r="BA79"/>
  <c r="BC79"/>
  <c r="BR79" s="1"/>
  <c r="BB79"/>
  <c r="BA80"/>
  <c r="BC80"/>
  <c r="BB80"/>
  <c r="BA81"/>
  <c r="BC81"/>
  <c r="BB81"/>
  <c r="BA82"/>
  <c r="BC82"/>
  <c r="BB82"/>
  <c r="BA83"/>
  <c r="BC83"/>
  <c r="BR83" s="1"/>
  <c r="BB83"/>
  <c r="BA84"/>
  <c r="BC84"/>
  <c r="BB84"/>
  <c r="BA85"/>
  <c r="BC85"/>
  <c r="BB85"/>
  <c r="BA86"/>
  <c r="BC86"/>
  <c r="BB86"/>
  <c r="BA87"/>
  <c r="BC87"/>
  <c r="BR87" s="1"/>
  <c r="BB87"/>
  <c r="BA88"/>
  <c r="BC88"/>
  <c r="BB88"/>
  <c r="BA89"/>
  <c r="BC89"/>
  <c r="BB89"/>
  <c r="BA90"/>
  <c r="BC90"/>
  <c r="BB90"/>
  <c r="BA91"/>
  <c r="BC91"/>
  <c r="BR91" s="1"/>
  <c r="BB91"/>
  <c r="BA92"/>
  <c r="BC92"/>
  <c r="BB92"/>
  <c r="BA93"/>
  <c r="BC93"/>
  <c r="BB93"/>
  <c r="BA94"/>
  <c r="BC94"/>
  <c r="BB94"/>
  <c r="BA95"/>
  <c r="BC95"/>
  <c r="BR95" s="1"/>
  <c r="BB95"/>
  <c r="BA96"/>
  <c r="BC96"/>
  <c r="BB96"/>
  <c r="BA97"/>
  <c r="BC97"/>
  <c r="BB97"/>
  <c r="BA98"/>
  <c r="BC98"/>
  <c r="BB98"/>
  <c r="BA99"/>
  <c r="BC99"/>
  <c r="BR99" s="1"/>
  <c r="BB99"/>
  <c r="BA100"/>
  <c r="BC100"/>
  <c r="BB100"/>
  <c r="BA101"/>
  <c r="BC101"/>
  <c r="BB101"/>
  <c r="BA102"/>
  <c r="BC102"/>
  <c r="BB102"/>
  <c r="BA103"/>
  <c r="BC103"/>
  <c r="BR103" s="1"/>
  <c r="BB103"/>
  <c r="BA104"/>
  <c r="BC104"/>
  <c r="BB104"/>
  <c r="BA105"/>
  <c r="BC105"/>
  <c r="BB105"/>
  <c r="BA106"/>
  <c r="BC106"/>
  <c r="BB106"/>
  <c r="BA107"/>
  <c r="BC107"/>
  <c r="BR107" s="1"/>
  <c r="BB107"/>
  <c r="BA108"/>
  <c r="BC108"/>
  <c r="BB108"/>
  <c r="BA109"/>
  <c r="BC109"/>
  <c r="BB109"/>
  <c r="BA110"/>
  <c r="BC110"/>
  <c r="BB110"/>
  <c r="BA111"/>
  <c r="BC111"/>
  <c r="BR111" s="1"/>
  <c r="BB111"/>
  <c r="BA112"/>
  <c r="BC112"/>
  <c r="BB112"/>
  <c r="BA113"/>
  <c r="BC113"/>
  <c r="BB113"/>
  <c r="BA114"/>
  <c r="BC114"/>
  <c r="BB114"/>
  <c r="BA115"/>
  <c r="BC115"/>
  <c r="BR115" s="1"/>
  <c r="BB115"/>
  <c r="BA116"/>
  <c r="BC116"/>
  <c r="BB116"/>
  <c r="BA117"/>
  <c r="BC117"/>
  <c r="BB117"/>
  <c r="BA118"/>
  <c r="BC118"/>
  <c r="BB118"/>
  <c r="BA119"/>
  <c r="BC119"/>
  <c r="BR119" s="1"/>
  <c r="BB119"/>
  <c r="BA120"/>
  <c r="BC120"/>
  <c r="BB120"/>
  <c r="BA121"/>
  <c r="BC121"/>
  <c r="BB121"/>
  <c r="BA122"/>
  <c r="BC122"/>
  <c r="BB122"/>
  <c r="BA123"/>
  <c r="BC123"/>
  <c r="BR123" s="1"/>
  <c r="BB123"/>
  <c r="BA124"/>
  <c r="BC124"/>
  <c r="BB124"/>
  <c r="BA125"/>
  <c r="BC125"/>
  <c r="BB125"/>
  <c r="BA126"/>
  <c r="BC126"/>
  <c r="BB126"/>
  <c r="BA127"/>
  <c r="BC127"/>
  <c r="BR127" s="1"/>
  <c r="BB127"/>
  <c r="BA128"/>
  <c r="BC128"/>
  <c r="BB128"/>
  <c r="BA129"/>
  <c r="BC129"/>
  <c r="BB129"/>
  <c r="BA130"/>
  <c r="BC130"/>
  <c r="BB130"/>
  <c r="BA131"/>
  <c r="BC131"/>
  <c r="BR131" s="1"/>
  <c r="BB131"/>
  <c r="BA132"/>
  <c r="BC132"/>
  <c r="BB132"/>
  <c r="BA133"/>
  <c r="BC133"/>
  <c r="BB133"/>
  <c r="BA134"/>
  <c r="BC134"/>
  <c r="BB134"/>
  <c r="BA135"/>
  <c r="BC135"/>
  <c r="BR135" s="1"/>
  <c r="BB135"/>
  <c r="BA136"/>
  <c r="BC136"/>
  <c r="BB136"/>
  <c r="BA137"/>
  <c r="BC137"/>
  <c r="BB137"/>
  <c r="BA138"/>
  <c r="BC138"/>
  <c r="BB138"/>
  <c r="BA139"/>
  <c r="BC139"/>
  <c r="BR139" s="1"/>
  <c r="BB139"/>
  <c r="BA140"/>
  <c r="BC140"/>
  <c r="BB140"/>
  <c r="BA141"/>
  <c r="BC141"/>
  <c r="BB141"/>
  <c r="BA142"/>
  <c r="BC142"/>
  <c r="BB142"/>
  <c r="BA143"/>
  <c r="BC143"/>
  <c r="BR143" s="1"/>
  <c r="BB143"/>
  <c r="BA144"/>
  <c r="BC144"/>
  <c r="BB144"/>
  <c r="BA145"/>
  <c r="BC145"/>
  <c r="BB145"/>
  <c r="BA146"/>
  <c r="BC146"/>
  <c r="BB146"/>
  <c r="BA147"/>
  <c r="BC147"/>
  <c r="BR147" s="1"/>
  <c r="BB147"/>
  <c r="BA148"/>
  <c r="BC148"/>
  <c r="BB148"/>
  <c r="BA149"/>
  <c r="BC149"/>
  <c r="BB149"/>
  <c r="BA150"/>
  <c r="BC150"/>
  <c r="BB150"/>
  <c r="BA151"/>
  <c r="BC151"/>
  <c r="BR151" s="1"/>
  <c r="BB151"/>
  <c r="BA152"/>
  <c r="BC152"/>
  <c r="BB152"/>
  <c r="BA153"/>
  <c r="BC153"/>
  <c r="BB153"/>
  <c r="BA154"/>
  <c r="BC154"/>
  <c r="BB154"/>
  <c r="BA155"/>
  <c r="BC155"/>
  <c r="BR155" s="1"/>
  <c r="BB155"/>
  <c r="BA156"/>
  <c r="BC156"/>
  <c r="BB156"/>
  <c r="BA157"/>
  <c r="BC157"/>
  <c r="BB157"/>
  <c r="BA158"/>
  <c r="BC158"/>
  <c r="BB158"/>
  <c r="BA159"/>
  <c r="BC159"/>
  <c r="BR159" s="1"/>
  <c r="BB159"/>
  <c r="BA160"/>
  <c r="BC160"/>
  <c r="BB160"/>
  <c r="BA161"/>
  <c r="BC161"/>
  <c r="BB161"/>
  <c r="BA162"/>
  <c r="BC162"/>
  <c r="BB162"/>
  <c r="BA163"/>
  <c r="BC163"/>
  <c r="BR163" s="1"/>
  <c r="BB163"/>
  <c r="BA164"/>
  <c r="BC164"/>
  <c r="BB164"/>
  <c r="BA165"/>
  <c r="BC165"/>
  <c r="BB165"/>
  <c r="BA166"/>
  <c r="BC166"/>
  <c r="BB166"/>
  <c r="BA167"/>
  <c r="BC167"/>
  <c r="BR167" s="1"/>
  <c r="BB167"/>
  <c r="BA168"/>
  <c r="BC168"/>
  <c r="BB168"/>
  <c r="BA169"/>
  <c r="BC169"/>
  <c r="BB169"/>
  <c r="BA170"/>
  <c r="BC170"/>
  <c r="BB170"/>
  <c r="BA171"/>
  <c r="BC171"/>
  <c r="BR171" s="1"/>
  <c r="BB171"/>
  <c r="BA172"/>
  <c r="BC172"/>
  <c r="BB172"/>
  <c r="BA173"/>
  <c r="BC173"/>
  <c r="BB173"/>
  <c r="BA174"/>
  <c r="BC174"/>
  <c r="BB174"/>
  <c r="BA175"/>
  <c r="BC175"/>
  <c r="BR175" s="1"/>
  <c r="BB175"/>
  <c r="BA176"/>
  <c r="BC176"/>
  <c r="BB176"/>
  <c r="BA177"/>
  <c r="BC177"/>
  <c r="BB177"/>
  <c r="BA178"/>
  <c r="BC178"/>
  <c r="BB178"/>
  <c r="BA179"/>
  <c r="BC179"/>
  <c r="BR179" s="1"/>
  <c r="BB179"/>
  <c r="BA180"/>
  <c r="BC180"/>
  <c r="BB180"/>
  <c r="BA181"/>
  <c r="BC181"/>
  <c r="BB181"/>
  <c r="BA182"/>
  <c r="BC182"/>
  <c r="BB182"/>
  <c r="BA183"/>
  <c r="BC183"/>
  <c r="BR183" s="1"/>
  <c r="BB183"/>
  <c r="BA184"/>
  <c r="BC184"/>
  <c r="BB184"/>
  <c r="BA185"/>
  <c r="BC185"/>
  <c r="BB185"/>
  <c r="BA186"/>
  <c r="BC186"/>
  <c r="BB186"/>
  <c r="BA187"/>
  <c r="BC187"/>
  <c r="BR187" s="1"/>
  <c r="BB187"/>
  <c r="BA188"/>
  <c r="BC188"/>
  <c r="BB188"/>
  <c r="BA189"/>
  <c r="BC189"/>
  <c r="BB189"/>
  <c r="BA190"/>
  <c r="BC190"/>
  <c r="BB190"/>
  <c r="BA191"/>
  <c r="BC191"/>
  <c r="BR191" s="1"/>
  <c r="BB191"/>
  <c r="BA192"/>
  <c r="BC192"/>
  <c r="BB192"/>
  <c r="BA193"/>
  <c r="BC193"/>
  <c r="BB193"/>
  <c r="BA194"/>
  <c r="BC194"/>
  <c r="BB194"/>
  <c r="BA195"/>
  <c r="BC195"/>
  <c r="BR195" s="1"/>
  <c r="BB195"/>
  <c r="BA196"/>
  <c r="BC196"/>
  <c r="BB196"/>
  <c r="BA197"/>
  <c r="BC197"/>
  <c r="BB197"/>
  <c r="BA198"/>
  <c r="BC198"/>
  <c r="BB198"/>
  <c r="BA199"/>
  <c r="BC199"/>
  <c r="BR199" s="1"/>
  <c r="BB199"/>
  <c r="BA200"/>
  <c r="BC200"/>
  <c r="BB200"/>
  <c r="BA201"/>
  <c r="BC201"/>
  <c r="BB201"/>
  <c r="BA202"/>
  <c r="BC202"/>
  <c r="BB202"/>
  <c r="BA203"/>
  <c r="BC203"/>
  <c r="BR203" s="1"/>
  <c r="BB203"/>
  <c r="BA204"/>
  <c r="BC204"/>
  <c r="BB204"/>
  <c r="BA205"/>
  <c r="BC205"/>
  <c r="BB205"/>
  <c r="BA206"/>
  <c r="BC206"/>
  <c r="BB206"/>
  <c r="BA207"/>
  <c r="BC207"/>
  <c r="BR207" s="1"/>
  <c r="BB207"/>
  <c r="BA208"/>
  <c r="BC208"/>
  <c r="BB208"/>
  <c r="BA209"/>
  <c r="BC209"/>
  <c r="BB209"/>
  <c r="BA210"/>
  <c r="BC210"/>
  <c r="BB210"/>
  <c r="BA211"/>
  <c r="BC211"/>
  <c r="BR211" s="1"/>
  <c r="BB211"/>
  <c r="BA212"/>
  <c r="BC212"/>
  <c r="BB212"/>
  <c r="BA213"/>
  <c r="BC213"/>
  <c r="BB213"/>
  <c r="BA214"/>
  <c r="BC214"/>
  <c r="BB214"/>
  <c r="BA215"/>
  <c r="BC215"/>
  <c r="BR215" s="1"/>
  <c r="BB215"/>
  <c r="BA216"/>
  <c r="BC216"/>
  <c r="BB216"/>
  <c r="BA217"/>
  <c r="BC217"/>
  <c r="BB217"/>
  <c r="BA218"/>
  <c r="BC218"/>
  <c r="BB218"/>
  <c r="BA219"/>
  <c r="BC219"/>
  <c r="BR219" s="1"/>
  <c r="BB219"/>
  <c r="BA220"/>
  <c r="BC220"/>
  <c r="BB220"/>
  <c r="BA221"/>
  <c r="BC221"/>
  <c r="BB221"/>
  <c r="BA222"/>
  <c r="BC222"/>
  <c r="BB222"/>
  <c r="BA223"/>
  <c r="BC223"/>
  <c r="BR223" s="1"/>
  <c r="BB223"/>
  <c r="BA224"/>
  <c r="BC224"/>
  <c r="BB224"/>
  <c r="BA225"/>
  <c r="BC225"/>
  <c r="BB225"/>
  <c r="BA226"/>
  <c r="BC226"/>
  <c r="BB226"/>
  <c r="BA227"/>
  <c r="BC227"/>
  <c r="BR227" s="1"/>
  <c r="BB227"/>
  <c r="BA228"/>
  <c r="BC228"/>
  <c r="BB228"/>
  <c r="BA229"/>
  <c r="BC229"/>
  <c r="BB229"/>
  <c r="BA230"/>
  <c r="BC230"/>
  <c r="BB230"/>
  <c r="BA231"/>
  <c r="BC231"/>
  <c r="BR231" s="1"/>
  <c r="BB231"/>
  <c r="BA232"/>
  <c r="BC232"/>
  <c r="BB232"/>
  <c r="BA233"/>
  <c r="BC233"/>
  <c r="BB233"/>
  <c r="BA234"/>
  <c r="BC234"/>
  <c r="BB234"/>
  <c r="BA235"/>
  <c r="BC235"/>
  <c r="BR235" s="1"/>
  <c r="BB235"/>
  <c r="BA236"/>
  <c r="BC236"/>
  <c r="BB236"/>
  <c r="BA237"/>
  <c r="BC237"/>
  <c r="BB237"/>
  <c r="BA238"/>
  <c r="BC238"/>
  <c r="BB238"/>
  <c r="BA239"/>
  <c r="BC239"/>
  <c r="BR239" s="1"/>
  <c r="BB239"/>
  <c r="BA240"/>
  <c r="BC240"/>
  <c r="BB240"/>
  <c r="BA241"/>
  <c r="BC241"/>
  <c r="BB241"/>
  <c r="BA242"/>
  <c r="BC242"/>
  <c r="BB242"/>
  <c r="BA243"/>
  <c r="BC243"/>
  <c r="BR243" s="1"/>
  <c r="BB243"/>
  <c r="BA244"/>
  <c r="BC244"/>
  <c r="BB244"/>
  <c r="BA245"/>
  <c r="BC245"/>
  <c r="BB245"/>
  <c r="BA246"/>
  <c r="BC246"/>
  <c r="BB246"/>
  <c r="BA247"/>
  <c r="BC247"/>
  <c r="BR247" s="1"/>
  <c r="BB247"/>
  <c r="BA248"/>
  <c r="BC248"/>
  <c r="BB248"/>
  <c r="BA249"/>
  <c r="BC249"/>
  <c r="BB249"/>
  <c r="BA250"/>
  <c r="BC250"/>
  <c r="BB250"/>
  <c r="BA251"/>
  <c r="BC251"/>
  <c r="BR251" s="1"/>
  <c r="BB251"/>
  <c r="BA252"/>
  <c r="BC252"/>
  <c r="BB252"/>
  <c r="BA253"/>
  <c r="BC253"/>
  <c r="BB253"/>
  <c r="BA254"/>
  <c r="BC254"/>
  <c r="BB254"/>
  <c r="BA255"/>
  <c r="BC255"/>
  <c r="BR255" s="1"/>
  <c r="BB255"/>
  <c r="BA256"/>
  <c r="BC256"/>
  <c r="BB256"/>
  <c r="BA257"/>
  <c r="BC257"/>
  <c r="BB257"/>
  <c r="BA258"/>
  <c r="BC258"/>
  <c r="BB258"/>
  <c r="BA259"/>
  <c r="BC259"/>
  <c r="BR259" s="1"/>
  <c r="BB259"/>
  <c r="BA260"/>
  <c r="BC260"/>
  <c r="BB260"/>
  <c r="BA261"/>
  <c r="BC261"/>
  <c r="BB261"/>
  <c r="BA262"/>
  <c r="BC262"/>
  <c r="BB262"/>
  <c r="BA263"/>
  <c r="BC263"/>
  <c r="BR263" s="1"/>
  <c r="BB263"/>
  <c r="BA264"/>
  <c r="BC264"/>
  <c r="BB264"/>
  <c r="BA265"/>
  <c r="BC265"/>
  <c r="BB265"/>
  <c r="BA266"/>
  <c r="BC266"/>
  <c r="BB266"/>
  <c r="BA267"/>
  <c r="BC267"/>
  <c r="BR267" s="1"/>
  <c r="BB267"/>
  <c r="BA268"/>
  <c r="BC268"/>
  <c r="BB268"/>
  <c r="BA269"/>
  <c r="BC269"/>
  <c r="BB269"/>
  <c r="BA270"/>
  <c r="BC270"/>
  <c r="BB270"/>
  <c r="BA271"/>
  <c r="BC271"/>
  <c r="BR271" s="1"/>
  <c r="BB271"/>
  <c r="BA272"/>
  <c r="BC272"/>
  <c r="BB272"/>
  <c r="BA273"/>
  <c r="BC273"/>
  <c r="BB273"/>
  <c r="BA274"/>
  <c r="BC274"/>
  <c r="BB274"/>
  <c r="BA275"/>
  <c r="BC275"/>
  <c r="BR275" s="1"/>
  <c r="BB275"/>
  <c r="BA276"/>
  <c r="BC276"/>
  <c r="BB276"/>
  <c r="BA277"/>
  <c r="BC277"/>
  <c r="BB277"/>
  <c r="BA278"/>
  <c r="BC278"/>
  <c r="BB278"/>
  <c r="BA279"/>
  <c r="BC279"/>
  <c r="BR279" s="1"/>
  <c r="BB279"/>
  <c r="BA280"/>
  <c r="BC280"/>
  <c r="BB280"/>
  <c r="BA281"/>
  <c r="BC281"/>
  <c r="BB281"/>
  <c r="BA282"/>
  <c r="BC282"/>
  <c r="BB282"/>
  <c r="BA283"/>
  <c r="BC283"/>
  <c r="BR283" s="1"/>
  <c r="BB283"/>
  <c r="BA284"/>
  <c r="BC284"/>
  <c r="BB284"/>
  <c r="BA285"/>
  <c r="BC285"/>
  <c r="BB285"/>
  <c r="BA286"/>
  <c r="BC286"/>
  <c r="BB286"/>
  <c r="BA287"/>
  <c r="BC287"/>
  <c r="BR287" s="1"/>
  <c r="BB287"/>
  <c r="BA288"/>
  <c r="BC288"/>
  <c r="BB288"/>
  <c r="BA289"/>
  <c r="BC289"/>
  <c r="BB289"/>
  <c r="BA290"/>
  <c r="BC290"/>
  <c r="BB290"/>
  <c r="BA291"/>
  <c r="BC291"/>
  <c r="BR291" s="1"/>
  <c r="BB291"/>
  <c r="BA292"/>
  <c r="BC292"/>
  <c r="BB292"/>
  <c r="BA293"/>
  <c r="BC293"/>
  <c r="BB293"/>
  <c r="BA294"/>
  <c r="BC294"/>
  <c r="BB294"/>
  <c r="BA295"/>
  <c r="BC295"/>
  <c r="BR295" s="1"/>
  <c r="BB295"/>
  <c r="BA296"/>
  <c r="BC296"/>
  <c r="BB296"/>
  <c r="BA297"/>
  <c r="BC297"/>
  <c r="BB297"/>
  <c r="BA298"/>
  <c r="BC298"/>
  <c r="BB298"/>
  <c r="BA299"/>
  <c r="BC299"/>
  <c r="BR299" s="1"/>
  <c r="BB299"/>
  <c r="BA300"/>
  <c r="BC300"/>
  <c r="BB300"/>
  <c r="BA301"/>
  <c r="BC301"/>
  <c r="BB301"/>
  <c r="BA302"/>
  <c r="BC302"/>
  <c r="BB302"/>
  <c r="BA303"/>
  <c r="BC303"/>
  <c r="BR303" s="1"/>
  <c r="BB303"/>
  <c r="BA304"/>
  <c r="BC304"/>
  <c r="BB304"/>
  <c r="BA305"/>
  <c r="BC305"/>
  <c r="BB305"/>
  <c r="BA306"/>
  <c r="BC306"/>
  <c r="BB306"/>
  <c r="BA307"/>
  <c r="BC307"/>
  <c r="BR307" s="1"/>
  <c r="BB307"/>
  <c r="BA308"/>
  <c r="BC308"/>
  <c r="BD39"/>
  <c r="BD40"/>
  <c r="BS40" s="1"/>
  <c r="BD41"/>
  <c r="BS41" s="1"/>
  <c r="BD42"/>
  <c r="BD43"/>
  <c r="BD44"/>
  <c r="BS44" s="1"/>
  <c r="BD45"/>
  <c r="BS45" s="1"/>
  <c r="BD46"/>
  <c r="BD47"/>
  <c r="BD48"/>
  <c r="BS48" s="1"/>
  <c r="BD49"/>
  <c r="BS49" s="1"/>
  <c r="BD50"/>
  <c r="BD51"/>
  <c r="BD52"/>
  <c r="BS52" s="1"/>
  <c r="BD53"/>
  <c r="BS53" s="1"/>
  <c r="BD54"/>
  <c r="BD55"/>
  <c r="BD56"/>
  <c r="BS56" s="1"/>
  <c r="BD57"/>
  <c r="BS57" s="1"/>
  <c r="BD58"/>
  <c r="BD59"/>
  <c r="BD60"/>
  <c r="BS60" s="1"/>
  <c r="BD61"/>
  <c r="BS61" s="1"/>
  <c r="BD62"/>
  <c r="BD63"/>
  <c r="BD64"/>
  <c r="BS64" s="1"/>
  <c r="BD65"/>
  <c r="BS65" s="1"/>
  <c r="BD66"/>
  <c r="BD67"/>
  <c r="BD68"/>
  <c r="BS68" s="1"/>
  <c r="BD69"/>
  <c r="BS69" s="1"/>
  <c r="BD70"/>
  <c r="BD71"/>
  <c r="BD72"/>
  <c r="BS72" s="1"/>
  <c r="BD73"/>
  <c r="BS73" s="1"/>
  <c r="BD74"/>
  <c r="BD75"/>
  <c r="BD76"/>
  <c r="BS76" s="1"/>
  <c r="BD77"/>
  <c r="BS77" s="1"/>
  <c r="BD78"/>
  <c r="BD79"/>
  <c r="BD80"/>
  <c r="BS80" s="1"/>
  <c r="BD81"/>
  <c r="BS81" s="1"/>
  <c r="BD82"/>
  <c r="BD83"/>
  <c r="BD84"/>
  <c r="BS84" s="1"/>
  <c r="BD85"/>
  <c r="BS85" s="1"/>
  <c r="BD86"/>
  <c r="BD87"/>
  <c r="BD88"/>
  <c r="BS88" s="1"/>
  <c r="BD89"/>
  <c r="BS89" s="1"/>
  <c r="BD90"/>
  <c r="BD91"/>
  <c r="BD92"/>
  <c r="BS92" s="1"/>
  <c r="BD93"/>
  <c r="BS93" s="1"/>
  <c r="BD94"/>
  <c r="BD95"/>
  <c r="BD96"/>
  <c r="BS96" s="1"/>
  <c r="BD97"/>
  <c r="BS97" s="1"/>
  <c r="BD98"/>
  <c r="BD99"/>
  <c r="BD100"/>
  <c r="BS100" s="1"/>
  <c r="BD101"/>
  <c r="BS101" s="1"/>
  <c r="BD102"/>
  <c r="BD103"/>
  <c r="BD104"/>
  <c r="BS104" s="1"/>
  <c r="BD105"/>
  <c r="BS105" s="1"/>
  <c r="BD106"/>
  <c r="BD107"/>
  <c r="BD108"/>
  <c r="BS108" s="1"/>
  <c r="BD109"/>
  <c r="BS109" s="1"/>
  <c r="BD110"/>
  <c r="BD111"/>
  <c r="BD112"/>
  <c r="BS112" s="1"/>
  <c r="BD113"/>
  <c r="BS113" s="1"/>
  <c r="BD114"/>
  <c r="BD115"/>
  <c r="BD116"/>
  <c r="BS116" s="1"/>
  <c r="BD117"/>
  <c r="BS117" s="1"/>
  <c r="BD118"/>
  <c r="BD119"/>
  <c r="BD120"/>
  <c r="BS120" s="1"/>
  <c r="BD121"/>
  <c r="BS121" s="1"/>
  <c r="BD122"/>
  <c r="BD123"/>
  <c r="BD124"/>
  <c r="BS124" s="1"/>
  <c r="BD125"/>
  <c r="BS125" s="1"/>
  <c r="BD126"/>
  <c r="BD127"/>
  <c r="BD128"/>
  <c r="BS128" s="1"/>
  <c r="BD129"/>
  <c r="BS129" s="1"/>
  <c r="BD130"/>
  <c r="BD131"/>
  <c r="BD132"/>
  <c r="BS132" s="1"/>
  <c r="BD133"/>
  <c r="BS133" s="1"/>
  <c r="BD134"/>
  <c r="BD135"/>
  <c r="BD136"/>
  <c r="BS136" s="1"/>
  <c r="BD137"/>
  <c r="BS137" s="1"/>
  <c r="BD138"/>
  <c r="BD139"/>
  <c r="BD140"/>
  <c r="BS140" s="1"/>
  <c r="BD141"/>
  <c r="BS141" s="1"/>
  <c r="BD142"/>
  <c r="BD143"/>
  <c r="BD144"/>
  <c r="BS144" s="1"/>
  <c r="BD145"/>
  <c r="BS145" s="1"/>
  <c r="BD146"/>
  <c r="BD147"/>
  <c r="BD148"/>
  <c r="BS148" s="1"/>
  <c r="BD149"/>
  <c r="BS149" s="1"/>
  <c r="BD150"/>
  <c r="BD151"/>
  <c r="BD152"/>
  <c r="BS152" s="1"/>
  <c r="BD153"/>
  <c r="BS153" s="1"/>
  <c r="BD154"/>
  <c r="BD155"/>
  <c r="BD156"/>
  <c r="BS156" s="1"/>
  <c r="BD157"/>
  <c r="BS157" s="1"/>
  <c r="BD158"/>
  <c r="BD159"/>
  <c r="BD160"/>
  <c r="BS160" s="1"/>
  <c r="BD161"/>
  <c r="BS161" s="1"/>
  <c r="BD162"/>
  <c r="BD163"/>
  <c r="BD164"/>
  <c r="BS164" s="1"/>
  <c r="BD165"/>
  <c r="BS165" s="1"/>
  <c r="BD166"/>
  <c r="BD167"/>
  <c r="BD168"/>
  <c r="BS168" s="1"/>
  <c r="BD169"/>
  <c r="BS169" s="1"/>
  <c r="BD170"/>
  <c r="BD171"/>
  <c r="BD172"/>
  <c r="BS172" s="1"/>
  <c r="BD173"/>
  <c r="BS173" s="1"/>
  <c r="BD174"/>
  <c r="BD175"/>
  <c r="BD176"/>
  <c r="BS176" s="1"/>
  <c r="BD177"/>
  <c r="BS177" s="1"/>
  <c r="BD178"/>
  <c r="BD179"/>
  <c r="BD180"/>
  <c r="BS180" s="1"/>
  <c r="BD181"/>
  <c r="BS181" s="1"/>
  <c r="BD182"/>
  <c r="BD183"/>
  <c r="BD184"/>
  <c r="BS184" s="1"/>
  <c r="BD185"/>
  <c r="BS185" s="1"/>
  <c r="BD186"/>
  <c r="BD187"/>
  <c r="BD188"/>
  <c r="BS188" s="1"/>
  <c r="BD189"/>
  <c r="BS189" s="1"/>
  <c r="BD190"/>
  <c r="BD191"/>
  <c r="BD192"/>
  <c r="BS192" s="1"/>
  <c r="BD193"/>
  <c r="BS193" s="1"/>
  <c r="BD194"/>
  <c r="BD195"/>
  <c r="BD196"/>
  <c r="BS196" s="1"/>
  <c r="BD197"/>
  <c r="BS197" s="1"/>
  <c r="BD198"/>
  <c r="BD199"/>
  <c r="BD200"/>
  <c r="BS200" s="1"/>
  <c r="BD201"/>
  <c r="BS201" s="1"/>
  <c r="BD202"/>
  <c r="BD203"/>
  <c r="BD204"/>
  <c r="BS204" s="1"/>
  <c r="BD205"/>
  <c r="BS205" s="1"/>
  <c r="BD206"/>
  <c r="BD207"/>
  <c r="BD208"/>
  <c r="BS208" s="1"/>
  <c r="BD209"/>
  <c r="BS209" s="1"/>
  <c r="BD210"/>
  <c r="BD211"/>
  <c r="BD212"/>
  <c r="BS212" s="1"/>
  <c r="BD213"/>
  <c r="BS213" s="1"/>
  <c r="BD214"/>
  <c r="BD215"/>
  <c r="BD216"/>
  <c r="BS216" s="1"/>
  <c r="BD217"/>
  <c r="BS217" s="1"/>
  <c r="BD218"/>
  <c r="BD219"/>
  <c r="BD220"/>
  <c r="BS220" s="1"/>
  <c r="BD221"/>
  <c r="BS221" s="1"/>
  <c r="BD222"/>
  <c r="BD223"/>
  <c r="BD224"/>
  <c r="BS224" s="1"/>
  <c r="BD225"/>
  <c r="BS225" s="1"/>
  <c r="BD226"/>
  <c r="BD227"/>
  <c r="BD228"/>
  <c r="BS228" s="1"/>
  <c r="BD229"/>
  <c r="BS229" s="1"/>
  <c r="BD230"/>
  <c r="BD231"/>
  <c r="BD232"/>
  <c r="BS232" s="1"/>
  <c r="BD233"/>
  <c r="BS233" s="1"/>
  <c r="BD234"/>
  <c r="BD235"/>
  <c r="BD236"/>
  <c r="BS236" s="1"/>
  <c r="BD237"/>
  <c r="BS237" s="1"/>
  <c r="BD238"/>
  <c r="BD239"/>
  <c r="BD240"/>
  <c r="BS240" s="1"/>
  <c r="BD241"/>
  <c r="BS241" s="1"/>
  <c r="BD242"/>
  <c r="BD243"/>
  <c r="BD244"/>
  <c r="BS244" s="1"/>
  <c r="BD245"/>
  <c r="BS245" s="1"/>
  <c r="BD246"/>
  <c r="BD247"/>
  <c r="BD248"/>
  <c r="BS248" s="1"/>
  <c r="BD249"/>
  <c r="BS249" s="1"/>
  <c r="BD250"/>
  <c r="BD251"/>
  <c r="BD252"/>
  <c r="BS252" s="1"/>
  <c r="BD253"/>
  <c r="BS253" s="1"/>
  <c r="BD254"/>
  <c r="BD255"/>
  <c r="BD256"/>
  <c r="BS256" s="1"/>
  <c r="BD257"/>
  <c r="BS257" s="1"/>
  <c r="BD258"/>
  <c r="BD259"/>
  <c r="BD260"/>
  <c r="BS260" s="1"/>
  <c r="BD261"/>
  <c r="BS261" s="1"/>
  <c r="BD262"/>
  <c r="BD263"/>
  <c r="BD264"/>
  <c r="BS264" s="1"/>
  <c r="BD265"/>
  <c r="BS265" s="1"/>
  <c r="BD266"/>
  <c r="BD267"/>
  <c r="BD268"/>
  <c r="BS268" s="1"/>
  <c r="BD269"/>
  <c r="BS269" s="1"/>
  <c r="BD270"/>
  <c r="BD271"/>
  <c r="BD272"/>
  <c r="BS272" s="1"/>
  <c r="BD273"/>
  <c r="BS273" s="1"/>
  <c r="BD274"/>
  <c r="BD275"/>
  <c r="BD276"/>
  <c r="BS276" s="1"/>
  <c r="BD277"/>
  <c r="BS277" s="1"/>
  <c r="BD278"/>
  <c r="BD279"/>
  <c r="BD280"/>
  <c r="BS280" s="1"/>
  <c r="BD281"/>
  <c r="BS281" s="1"/>
  <c r="BD282"/>
  <c r="BD283"/>
  <c r="BD284"/>
  <c r="BS284" s="1"/>
  <c r="BD285"/>
  <c r="BS285" s="1"/>
  <c r="BD286"/>
  <c r="BD287"/>
  <c r="BD288"/>
  <c r="BS288" s="1"/>
  <c r="BD289"/>
  <c r="BS289" s="1"/>
  <c r="BD290"/>
  <c r="BD291"/>
  <c r="BD292"/>
  <c r="BS292" s="1"/>
  <c r="BD293"/>
  <c r="BS293" s="1"/>
  <c r="BD294"/>
  <c r="BD295"/>
  <c r="BD296"/>
  <c r="BS296" s="1"/>
  <c r="BD297"/>
  <c r="BS297" s="1"/>
  <c r="BD298"/>
  <c r="BD299"/>
  <c r="BD300"/>
  <c r="BS300" s="1"/>
  <c r="BD301"/>
  <c r="BS301" s="1"/>
  <c r="BD302"/>
  <c r="BD303"/>
  <c r="BD304"/>
  <c r="BS304" s="1"/>
  <c r="BD305"/>
  <c r="BS305" s="1"/>
  <c r="BD306"/>
  <c r="BD307"/>
  <c r="BB308"/>
  <c r="BD308"/>
  <c r="BS308" s="1"/>
  <c r="BS39"/>
  <c r="BT39"/>
  <c r="BR40"/>
  <c r="BT40"/>
  <c r="BR41"/>
  <c r="BT41" s="1"/>
  <c r="BR42"/>
  <c r="BT42" s="1"/>
  <c r="BS42"/>
  <c r="BS43"/>
  <c r="BT43"/>
  <c r="BR44"/>
  <c r="BT44"/>
  <c r="BR45"/>
  <c r="BT45" s="1"/>
  <c r="BR46"/>
  <c r="BT46" s="1"/>
  <c r="BS46"/>
  <c r="BS47"/>
  <c r="BT47"/>
  <c r="BR48"/>
  <c r="BT48"/>
  <c r="BR49"/>
  <c r="BT49" s="1"/>
  <c r="BR50"/>
  <c r="BT50" s="1"/>
  <c r="BS50"/>
  <c r="BS51"/>
  <c r="BT51"/>
  <c r="BR52"/>
  <c r="BT52"/>
  <c r="BR53"/>
  <c r="BT53" s="1"/>
  <c r="BR54"/>
  <c r="BT54" s="1"/>
  <c r="BS54"/>
  <c r="BS55"/>
  <c r="BT55"/>
  <c r="BR56"/>
  <c r="BT56"/>
  <c r="BR57"/>
  <c r="BT57" s="1"/>
  <c r="BR58"/>
  <c r="BT58" s="1"/>
  <c r="BS58"/>
  <c r="BS59"/>
  <c r="BT59"/>
  <c r="BR60"/>
  <c r="BT60"/>
  <c r="BR61"/>
  <c r="BT61" s="1"/>
  <c r="BR62"/>
  <c r="BT62" s="1"/>
  <c r="BS62"/>
  <c r="BS63"/>
  <c r="BT63"/>
  <c r="BR64"/>
  <c r="BT64"/>
  <c r="BR65"/>
  <c r="BT65" s="1"/>
  <c r="BR66"/>
  <c r="BT66" s="1"/>
  <c r="BS66"/>
  <c r="BS67"/>
  <c r="BT67"/>
  <c r="BR68"/>
  <c r="BT68"/>
  <c r="BR69"/>
  <c r="BT69" s="1"/>
  <c r="BR70"/>
  <c r="BT70" s="1"/>
  <c r="BS70"/>
  <c r="BS71"/>
  <c r="BT71"/>
  <c r="BR72"/>
  <c r="BT72"/>
  <c r="BR73"/>
  <c r="BT73" s="1"/>
  <c r="BR74"/>
  <c r="BT74" s="1"/>
  <c r="BS74"/>
  <c r="BS75"/>
  <c r="BT75"/>
  <c r="BR76"/>
  <c r="BT76"/>
  <c r="BR77"/>
  <c r="BT77" s="1"/>
  <c r="BR78"/>
  <c r="BT78" s="1"/>
  <c r="BS78"/>
  <c r="BS79"/>
  <c r="BT79"/>
  <c r="BR80"/>
  <c r="BT80"/>
  <c r="BR81"/>
  <c r="BT81" s="1"/>
  <c r="BR82"/>
  <c r="BT82" s="1"/>
  <c r="BS82"/>
  <c r="BS83"/>
  <c r="BT83"/>
  <c r="BR84"/>
  <c r="BT84"/>
  <c r="BR85"/>
  <c r="BT85" s="1"/>
  <c r="BR86"/>
  <c r="BT86" s="1"/>
  <c r="BS86"/>
  <c r="BS87"/>
  <c r="BT87"/>
  <c r="BR88"/>
  <c r="BT88"/>
  <c r="BR89"/>
  <c r="BT89" s="1"/>
  <c r="BR90"/>
  <c r="BT90" s="1"/>
  <c r="BS90"/>
  <c r="BS91"/>
  <c r="BT91"/>
  <c r="BR92"/>
  <c r="BT92"/>
  <c r="BR93"/>
  <c r="BT93" s="1"/>
  <c r="BR94"/>
  <c r="BT94" s="1"/>
  <c r="BS94"/>
  <c r="BS95"/>
  <c r="BT95"/>
  <c r="BR96"/>
  <c r="BT96"/>
  <c r="BR97"/>
  <c r="BT97" s="1"/>
  <c r="BR98"/>
  <c r="BT98" s="1"/>
  <c r="BS98"/>
  <c r="BS99"/>
  <c r="BT99"/>
  <c r="BR100"/>
  <c r="BT100"/>
  <c r="BR101"/>
  <c r="BT101" s="1"/>
  <c r="BR102"/>
  <c r="BT102" s="1"/>
  <c r="BS102"/>
  <c r="BS103"/>
  <c r="BT103"/>
  <c r="BR104"/>
  <c r="BT104"/>
  <c r="BR105"/>
  <c r="BT105" s="1"/>
  <c r="BR106"/>
  <c r="BT106" s="1"/>
  <c r="BS106"/>
  <c r="BS107"/>
  <c r="BT107"/>
  <c r="BR108"/>
  <c r="BT108"/>
  <c r="BR109"/>
  <c r="BT109" s="1"/>
  <c r="BR110"/>
  <c r="BT110" s="1"/>
  <c r="BS110"/>
  <c r="BS111"/>
  <c r="BT111"/>
  <c r="BR112"/>
  <c r="BT112"/>
  <c r="BR113"/>
  <c r="BT113" s="1"/>
  <c r="BR114"/>
  <c r="BT114" s="1"/>
  <c r="BS114"/>
  <c r="BS115"/>
  <c r="BT115"/>
  <c r="BR116"/>
  <c r="BT116"/>
  <c r="BR117"/>
  <c r="BT117" s="1"/>
  <c r="BR118"/>
  <c r="BT118" s="1"/>
  <c r="BS118"/>
  <c r="BS119"/>
  <c r="BT119"/>
  <c r="BR120"/>
  <c r="BT120"/>
  <c r="BR121"/>
  <c r="BT121" s="1"/>
  <c r="BR122"/>
  <c r="BT122" s="1"/>
  <c r="BS122"/>
  <c r="BS123"/>
  <c r="BT123"/>
  <c r="BR124"/>
  <c r="BT124"/>
  <c r="BR125"/>
  <c r="BT125" s="1"/>
  <c r="BR126"/>
  <c r="BT126" s="1"/>
  <c r="BS126"/>
  <c r="BS127"/>
  <c r="BT127"/>
  <c r="BR128"/>
  <c r="BT128"/>
  <c r="BR129"/>
  <c r="BT129" s="1"/>
  <c r="BR130"/>
  <c r="BT130" s="1"/>
  <c r="BS130"/>
  <c r="BS131"/>
  <c r="BT131"/>
  <c r="BR132"/>
  <c r="BT132"/>
  <c r="BR133"/>
  <c r="BT133" s="1"/>
  <c r="BR134"/>
  <c r="BT134" s="1"/>
  <c r="BS134"/>
  <c r="BS135"/>
  <c r="BT135"/>
  <c r="BR136"/>
  <c r="BT136"/>
  <c r="BR137"/>
  <c r="BT137" s="1"/>
  <c r="BR138"/>
  <c r="BT138" s="1"/>
  <c r="BS138"/>
  <c r="BS139"/>
  <c r="BT139"/>
  <c r="BR140"/>
  <c r="BT140"/>
  <c r="BR141"/>
  <c r="BT141" s="1"/>
  <c r="BR142"/>
  <c r="BT142" s="1"/>
  <c r="BS142"/>
  <c r="BS143"/>
  <c r="BT143"/>
  <c r="BR144"/>
  <c r="BT144"/>
  <c r="BR145"/>
  <c r="BT145" s="1"/>
  <c r="BR146"/>
  <c r="BT146" s="1"/>
  <c r="BS146"/>
  <c r="BS147"/>
  <c r="BT147"/>
  <c r="BR148"/>
  <c r="BT148"/>
  <c r="BR149"/>
  <c r="BT149" s="1"/>
  <c r="BR150"/>
  <c r="BT150" s="1"/>
  <c r="BS150"/>
  <c r="BS151"/>
  <c r="BT151"/>
  <c r="BR152"/>
  <c r="BT152"/>
  <c r="BR153"/>
  <c r="BT153" s="1"/>
  <c r="BR154"/>
  <c r="BT154" s="1"/>
  <c r="BS154"/>
  <c r="BS155"/>
  <c r="BT155"/>
  <c r="BR156"/>
  <c r="BT156"/>
  <c r="BR157"/>
  <c r="BT157" s="1"/>
  <c r="BR158"/>
  <c r="BT158" s="1"/>
  <c r="BS158"/>
  <c r="BS159"/>
  <c r="BT159"/>
  <c r="BR160"/>
  <c r="BT160"/>
  <c r="BR161"/>
  <c r="BT161" s="1"/>
  <c r="BR162"/>
  <c r="BT162" s="1"/>
  <c r="BS162"/>
  <c r="BS163"/>
  <c r="BT163"/>
  <c r="BR164"/>
  <c r="BT164"/>
  <c r="BR165"/>
  <c r="BT165" s="1"/>
  <c r="BR166"/>
  <c r="BT166" s="1"/>
  <c r="BS166"/>
  <c r="BS167"/>
  <c r="BT167"/>
  <c r="BR168"/>
  <c r="BT168"/>
  <c r="BR169"/>
  <c r="BT169" s="1"/>
  <c r="BR170"/>
  <c r="BT170" s="1"/>
  <c r="BS170"/>
  <c r="BS171"/>
  <c r="BT171"/>
  <c r="BR172"/>
  <c r="BT172"/>
  <c r="BR173"/>
  <c r="BT173" s="1"/>
  <c r="BR174"/>
  <c r="BT174" s="1"/>
  <c r="BS174"/>
  <c r="BS175"/>
  <c r="BT175"/>
  <c r="BR176"/>
  <c r="BT176"/>
  <c r="BR177"/>
  <c r="BT177" s="1"/>
  <c r="BR178"/>
  <c r="BT178" s="1"/>
  <c r="BS178"/>
  <c r="BS179"/>
  <c r="BT179"/>
  <c r="BR180"/>
  <c r="BT180"/>
  <c r="BR181"/>
  <c r="BT181" s="1"/>
  <c r="BR182"/>
  <c r="BT182" s="1"/>
  <c r="BS182"/>
  <c r="BS183"/>
  <c r="BT183"/>
  <c r="BR184"/>
  <c r="BT184"/>
  <c r="BR185"/>
  <c r="BT185" s="1"/>
  <c r="BR186"/>
  <c r="BT186" s="1"/>
  <c r="BS186"/>
  <c r="BS187"/>
  <c r="BT187"/>
  <c r="BR188"/>
  <c r="BT188"/>
  <c r="BR189"/>
  <c r="BT189" s="1"/>
  <c r="BR190"/>
  <c r="BT190" s="1"/>
  <c r="BS190"/>
  <c r="BS191"/>
  <c r="BT191"/>
  <c r="BR192"/>
  <c r="BT192"/>
  <c r="BR193"/>
  <c r="BT193" s="1"/>
  <c r="BR194"/>
  <c r="BT194" s="1"/>
  <c r="BS194"/>
  <c r="BS195"/>
  <c r="BT195"/>
  <c r="BR196"/>
  <c r="BT196"/>
  <c r="BR197"/>
  <c r="BT197" s="1"/>
  <c r="BR198"/>
  <c r="BT198" s="1"/>
  <c r="BS198"/>
  <c r="BS199"/>
  <c r="BT199"/>
  <c r="BR200"/>
  <c r="BT200"/>
  <c r="BR201"/>
  <c r="BT201" s="1"/>
  <c r="BR202"/>
  <c r="BT202" s="1"/>
  <c r="BS202"/>
  <c r="BS203"/>
  <c r="BT203"/>
  <c r="BR204"/>
  <c r="BT204"/>
  <c r="BR205"/>
  <c r="BT205" s="1"/>
  <c r="BR206"/>
  <c r="BT206" s="1"/>
  <c r="BS206"/>
  <c r="BS207"/>
  <c r="BT207"/>
  <c r="BR208"/>
  <c r="BT208"/>
  <c r="BR209"/>
  <c r="BT209" s="1"/>
  <c r="BR210"/>
  <c r="BT210" s="1"/>
  <c r="BS210"/>
  <c r="BS211"/>
  <c r="BT211"/>
  <c r="BR212"/>
  <c r="BT212"/>
  <c r="BR213"/>
  <c r="BT213" s="1"/>
  <c r="BR214"/>
  <c r="BT214" s="1"/>
  <c r="BS214"/>
  <c r="BS215"/>
  <c r="BT215"/>
  <c r="BR216"/>
  <c r="BT216"/>
  <c r="BR217"/>
  <c r="BT217" s="1"/>
  <c r="BR218"/>
  <c r="BT218" s="1"/>
  <c r="BS218"/>
  <c r="BS219"/>
  <c r="BT219"/>
  <c r="BR220"/>
  <c r="BT220"/>
  <c r="BR221"/>
  <c r="BT221" s="1"/>
  <c r="BR222"/>
  <c r="BT222" s="1"/>
  <c r="BS222"/>
  <c r="BS223"/>
  <c r="BT223"/>
  <c r="BR224"/>
  <c r="BT224"/>
  <c r="BR225"/>
  <c r="BT225" s="1"/>
  <c r="BR226"/>
  <c r="BT226" s="1"/>
  <c r="BS226"/>
  <c r="BS227"/>
  <c r="BT227"/>
  <c r="BR228"/>
  <c r="BT228"/>
  <c r="BR229"/>
  <c r="BT229" s="1"/>
  <c r="BR230"/>
  <c r="BT230" s="1"/>
  <c r="BS230"/>
  <c r="BS231"/>
  <c r="BT231"/>
  <c r="BR232"/>
  <c r="BT232"/>
  <c r="BR233"/>
  <c r="BT233" s="1"/>
  <c r="BR234"/>
  <c r="BT234" s="1"/>
  <c r="BS234"/>
  <c r="BS235"/>
  <c r="BT235"/>
  <c r="BR236"/>
  <c r="BT236"/>
  <c r="BR237"/>
  <c r="BT237" s="1"/>
  <c r="BR238"/>
  <c r="BT238" s="1"/>
  <c r="BS238"/>
  <c r="BS239"/>
  <c r="BT239"/>
  <c r="BR240"/>
  <c r="BT240"/>
  <c r="BR241"/>
  <c r="BT241" s="1"/>
  <c r="BR242"/>
  <c r="BT242" s="1"/>
  <c r="BS242"/>
  <c r="BS243"/>
  <c r="BT243"/>
  <c r="BR244"/>
  <c r="BT244"/>
  <c r="BR245"/>
  <c r="BT245" s="1"/>
  <c r="BR246"/>
  <c r="BT246" s="1"/>
  <c r="BS246"/>
  <c r="BS247"/>
  <c r="BT247"/>
  <c r="BR248"/>
  <c r="BT248"/>
  <c r="BR249"/>
  <c r="BT249" s="1"/>
  <c r="BR250"/>
  <c r="BT250" s="1"/>
  <c r="BS250"/>
  <c r="BS251"/>
  <c r="BT251"/>
  <c r="BR252"/>
  <c r="BT252"/>
  <c r="BR253"/>
  <c r="BT253" s="1"/>
  <c r="BR254"/>
  <c r="BT254" s="1"/>
  <c r="BS254"/>
  <c r="BS255"/>
  <c r="BT255"/>
  <c r="BR256"/>
  <c r="BT256"/>
  <c r="BR257"/>
  <c r="BT257" s="1"/>
  <c r="BR258"/>
  <c r="BT258" s="1"/>
  <c r="BS258"/>
  <c r="BS259"/>
  <c r="BT259"/>
  <c r="BR260"/>
  <c r="BT260"/>
  <c r="BR261"/>
  <c r="BT261" s="1"/>
  <c r="BR262"/>
  <c r="BT262" s="1"/>
  <c r="BS262"/>
  <c r="BS263"/>
  <c r="BT263"/>
  <c r="BR264"/>
  <c r="BT264"/>
  <c r="BR265"/>
  <c r="BT265" s="1"/>
  <c r="BR266"/>
  <c r="BT266" s="1"/>
  <c r="BS266"/>
  <c r="BS267"/>
  <c r="BT267"/>
  <c r="BR268"/>
  <c r="BT268"/>
  <c r="BR269"/>
  <c r="BT269" s="1"/>
  <c r="BR270"/>
  <c r="BT270" s="1"/>
  <c r="BS270"/>
  <c r="BS271"/>
  <c r="BT271"/>
  <c r="BR272"/>
  <c r="BT272"/>
  <c r="BR273"/>
  <c r="BT273" s="1"/>
  <c r="BR274"/>
  <c r="BT274" s="1"/>
  <c r="BS274"/>
  <c r="BS275"/>
  <c r="BT275"/>
  <c r="BR276"/>
  <c r="BT276"/>
  <c r="BR277"/>
  <c r="BT277" s="1"/>
  <c r="BR278"/>
  <c r="BT278" s="1"/>
  <c r="BS278"/>
  <c r="BS279"/>
  <c r="BT279"/>
  <c r="BR280"/>
  <c r="BT280"/>
  <c r="BR281"/>
  <c r="BT281" s="1"/>
  <c r="BR282"/>
  <c r="BT282" s="1"/>
  <c r="BS282"/>
  <c r="BS283"/>
  <c r="BT283"/>
  <c r="BR284"/>
  <c r="BT284"/>
  <c r="BR285"/>
  <c r="BT285" s="1"/>
  <c r="BR286"/>
  <c r="BT286" s="1"/>
  <c r="BS286"/>
  <c r="BS287"/>
  <c r="BT287"/>
  <c r="BR288"/>
  <c r="BT288"/>
  <c r="BR289"/>
  <c r="BT289" s="1"/>
  <c r="BR290"/>
  <c r="BT290" s="1"/>
  <c r="BS290"/>
  <c r="BS291"/>
  <c r="BT291"/>
  <c r="BR292"/>
  <c r="BT292"/>
  <c r="BR293"/>
  <c r="BT293" s="1"/>
  <c r="BR294"/>
  <c r="BT294" s="1"/>
  <c r="BS294"/>
  <c r="BS295"/>
  <c r="BT295"/>
  <c r="BR296"/>
  <c r="BT296"/>
  <c r="BR297"/>
  <c r="BT297" s="1"/>
  <c r="BR298"/>
  <c r="BT298" s="1"/>
  <c r="BS298"/>
  <c r="BS299"/>
  <c r="BT299"/>
  <c r="BR300"/>
  <c r="BT300"/>
  <c r="BR301"/>
  <c r="BT301" s="1"/>
  <c r="BR302"/>
  <c r="BT302" s="1"/>
  <c r="BS302"/>
  <c r="BS303"/>
  <c r="BT303"/>
  <c r="BR304"/>
  <c r="BT304"/>
  <c r="BR305"/>
  <c r="BT305" s="1"/>
  <c r="BR306"/>
  <c r="BT306" s="1"/>
  <c r="BS306"/>
  <c r="BS307"/>
  <c r="BT307"/>
  <c r="BR308"/>
  <c r="BT308"/>
  <c r="BB1"/>
  <c r="B7"/>
  <c r="AY22" s="1"/>
  <c r="B3"/>
  <c r="BE4"/>
  <c r="BW4"/>
  <c r="BI5"/>
  <c r="BJ12" s="1"/>
  <c r="BW6"/>
  <c r="BJ9"/>
  <c r="BK9"/>
  <c r="BL9"/>
  <c r="BN9"/>
  <c r="BO9"/>
  <c r="BP9"/>
  <c r="BQ9"/>
  <c r="BJ10"/>
  <c r="BK10"/>
  <c r="BL10"/>
  <c r="BN10"/>
  <c r="BO10"/>
  <c r="BP10"/>
  <c r="BQ10"/>
  <c r="J11"/>
  <c r="BK11"/>
  <c r="BL11"/>
  <c r="BO11"/>
  <c r="BP11"/>
  <c r="BQ11"/>
  <c r="BK12"/>
  <c r="BL12"/>
  <c r="BN12"/>
  <c r="BO12"/>
  <c r="BP12"/>
  <c r="BQ12"/>
  <c r="BK13"/>
  <c r="BL13"/>
  <c r="BO13"/>
  <c r="BP13"/>
  <c r="BQ13"/>
  <c r="BK14"/>
  <c r="BL14"/>
  <c r="BO14"/>
  <c r="BP14"/>
  <c r="BQ14"/>
  <c r="BK15"/>
  <c r="BL15"/>
  <c r="BO15"/>
  <c r="BP15"/>
  <c r="BQ15"/>
  <c r="BK16"/>
  <c r="BL16"/>
  <c r="BO16"/>
  <c r="BP16"/>
  <c r="BQ16"/>
  <c r="BK17"/>
  <c r="BL17"/>
  <c r="BO17"/>
  <c r="BP17"/>
  <c r="BQ17"/>
  <c r="J18"/>
  <c r="AY18"/>
  <c r="BJ18"/>
  <c r="BK18"/>
  <c r="BL18"/>
  <c r="BN18"/>
  <c r="BO18"/>
  <c r="BP18"/>
  <c r="BQ18"/>
  <c r="J20"/>
  <c r="AX19" s="1"/>
  <c r="J21" s="1"/>
  <c r="AX21"/>
  <c r="BK19"/>
  <c r="BL19"/>
  <c r="BO19"/>
  <c r="BP19"/>
  <c r="BQ19"/>
  <c r="AX20"/>
  <c r="L21" s="1"/>
  <c r="BK20"/>
  <c r="BL20"/>
  <c r="BO20"/>
  <c r="BP20"/>
  <c r="BQ20"/>
  <c r="BJ21"/>
  <c r="BK21"/>
  <c r="BL21"/>
  <c r="BN21"/>
  <c r="BO21"/>
  <c r="BP21"/>
  <c r="BQ21"/>
  <c r="BJ22"/>
  <c r="BK22"/>
  <c r="BL22"/>
  <c r="BN22"/>
  <c r="BO22"/>
  <c r="BP22"/>
  <c r="BQ22"/>
  <c r="BJ23"/>
  <c r="BK23"/>
  <c r="BL23"/>
  <c r="BN23"/>
  <c r="BO23"/>
  <c r="BP23"/>
  <c r="BQ23"/>
  <c r="BJ24"/>
  <c r="BK24"/>
  <c r="BL24"/>
  <c r="BN24"/>
  <c r="BO24"/>
  <c r="BP24"/>
  <c r="BQ24"/>
  <c r="BJ25"/>
  <c r="BK25"/>
  <c r="BL25"/>
  <c r="BN25"/>
  <c r="BO25"/>
  <c r="BP25"/>
  <c r="BQ25"/>
  <c r="BJ26"/>
  <c r="BK26"/>
  <c r="BL26"/>
  <c r="BN26"/>
  <c r="BO26"/>
  <c r="BP26"/>
  <c r="BQ26"/>
  <c r="BJ27"/>
  <c r="BK27"/>
  <c r="BL27"/>
  <c r="BN27"/>
  <c r="BO27"/>
  <c r="BP27"/>
  <c r="BQ27"/>
  <c r="BJ28"/>
  <c r="BK28"/>
  <c r="BL28"/>
  <c r="BN28"/>
  <c r="BO28"/>
  <c r="BP28"/>
  <c r="BQ28"/>
  <c r="BJ29"/>
  <c r="BK29"/>
  <c r="BL29"/>
  <c r="BN29"/>
  <c r="BO29"/>
  <c r="BP29"/>
  <c r="BQ29"/>
  <c r="BJ30"/>
  <c r="BK30"/>
  <c r="BL30"/>
  <c r="BN30"/>
  <c r="BO30"/>
  <c r="BP30"/>
  <c r="BQ30"/>
  <c r="BJ31"/>
  <c r="BK31"/>
  <c r="BL31"/>
  <c r="BN31"/>
  <c r="BO31"/>
  <c r="BP31"/>
  <c r="BQ31"/>
  <c r="BJ32"/>
  <c r="BK32"/>
  <c r="BL32"/>
  <c r="BN32"/>
  <c r="BO32"/>
  <c r="BP32"/>
  <c r="BQ32"/>
  <c r="BJ33"/>
  <c r="BK33"/>
  <c r="BL33"/>
  <c r="BN33"/>
  <c r="BO33"/>
  <c r="BP33"/>
  <c r="BQ33"/>
  <c r="BJ34"/>
  <c r="BK34"/>
  <c r="BL34"/>
  <c r="BN34"/>
  <c r="BO34"/>
  <c r="BP34"/>
  <c r="BQ34"/>
  <c r="BJ35"/>
  <c r="BK35"/>
  <c r="BL35"/>
  <c r="BN35"/>
  <c r="BO35"/>
  <c r="BP35"/>
  <c r="BQ35"/>
  <c r="BJ36"/>
  <c r="BK36"/>
  <c r="BL36"/>
  <c r="BN36"/>
  <c r="BO36"/>
  <c r="BP36"/>
  <c r="BQ36"/>
  <c r="BJ37"/>
  <c r="BK37"/>
  <c r="BL37"/>
  <c r="BN37"/>
  <c r="BO37"/>
  <c r="BP37"/>
  <c r="BQ37"/>
  <c r="BK38"/>
  <c r="BL38"/>
  <c r="BO38"/>
  <c r="BP38"/>
  <c r="BQ38"/>
  <c r="BK39"/>
  <c r="BL39"/>
  <c r="BO39"/>
  <c r="BP39"/>
  <c r="BQ39"/>
  <c r="BK40"/>
  <c r="BL40"/>
  <c r="BO40"/>
  <c r="BP40"/>
  <c r="BQ40"/>
  <c r="BJ41"/>
  <c r="BK41"/>
  <c r="BL41"/>
  <c r="BN41"/>
  <c r="BO41"/>
  <c r="BP41"/>
  <c r="BQ41"/>
  <c r="BJ42"/>
  <c r="BK42"/>
  <c r="BL42"/>
  <c r="BN42"/>
  <c r="BO42"/>
  <c r="BP42"/>
  <c r="BQ42"/>
  <c r="BK43"/>
  <c r="BL43"/>
  <c r="BO43"/>
  <c r="BP43"/>
  <c r="BQ43"/>
  <c r="BK44"/>
  <c r="BL44"/>
  <c r="BO44"/>
  <c r="BP44"/>
  <c r="BQ44"/>
  <c r="BJ45"/>
  <c r="BK45"/>
  <c r="BL45"/>
  <c r="BN45"/>
  <c r="BO45"/>
  <c r="BP45"/>
  <c r="BQ45"/>
  <c r="BJ46"/>
  <c r="BK46"/>
  <c r="BL46"/>
  <c r="BN46"/>
  <c r="BO46"/>
  <c r="BP46"/>
  <c r="BQ46"/>
  <c r="BK47"/>
  <c r="BL47"/>
  <c r="BO47"/>
  <c r="BP47"/>
  <c r="BQ47"/>
  <c r="BK48"/>
  <c r="BL48"/>
  <c r="BO48"/>
  <c r="BP48"/>
  <c r="BQ48"/>
  <c r="BJ49"/>
  <c r="BK49"/>
  <c r="BL49"/>
  <c r="BN49"/>
  <c r="BO49"/>
  <c r="BP49"/>
  <c r="BQ49"/>
  <c r="BE50"/>
  <c r="BJ50"/>
  <c r="BK50"/>
  <c r="BL50"/>
  <c r="BN50"/>
  <c r="BO50"/>
  <c r="BP50"/>
  <c r="BQ50"/>
  <c r="BK51"/>
  <c r="BL51"/>
  <c r="BO51"/>
  <c r="BP51"/>
  <c r="BQ51"/>
  <c r="BK52"/>
  <c r="BL52"/>
  <c r="BO52"/>
  <c r="BP52"/>
  <c r="BQ52"/>
  <c r="BJ53"/>
  <c r="BK53"/>
  <c r="BL53"/>
  <c r="BN53"/>
  <c r="BO53"/>
  <c r="BP53"/>
  <c r="BQ53"/>
  <c r="BE54"/>
  <c r="BJ54"/>
  <c r="BK54"/>
  <c r="BL54"/>
  <c r="BN54"/>
  <c r="BO54"/>
  <c r="BP54"/>
  <c r="BQ54"/>
  <c r="BK55"/>
  <c r="BL55"/>
  <c r="BO55"/>
  <c r="BP55"/>
  <c r="BQ55"/>
  <c r="BK56"/>
  <c r="BL56"/>
  <c r="BO56"/>
  <c r="BP56"/>
  <c r="BQ56"/>
  <c r="BJ57"/>
  <c r="BK57"/>
  <c r="BL57"/>
  <c r="BN57"/>
  <c r="BO57"/>
  <c r="BP57"/>
  <c r="BQ57"/>
  <c r="BJ58"/>
  <c r="BK58"/>
  <c r="BL58"/>
  <c r="BN58"/>
  <c r="BO58"/>
  <c r="BP58"/>
  <c r="BQ58"/>
  <c r="BK59"/>
  <c r="BL59"/>
  <c r="BO59"/>
  <c r="BP59"/>
  <c r="BQ59"/>
  <c r="BK60"/>
  <c r="BL60"/>
  <c r="BO60"/>
  <c r="BP60"/>
  <c r="BQ60"/>
  <c r="BJ61"/>
  <c r="BK61"/>
  <c r="BL61"/>
  <c r="BN61"/>
  <c r="BO61"/>
  <c r="BP61"/>
  <c r="BQ61"/>
  <c r="BJ62"/>
  <c r="BK62"/>
  <c r="BL62"/>
  <c r="BN62"/>
  <c r="BO62"/>
  <c r="BP62"/>
  <c r="BQ62"/>
  <c r="BK63"/>
  <c r="BL63"/>
  <c r="BO63"/>
  <c r="BP63"/>
  <c r="BQ63"/>
  <c r="BK64"/>
  <c r="BL64"/>
  <c r="BO64"/>
  <c r="BP64"/>
  <c r="BQ64"/>
  <c r="BJ65"/>
  <c r="BK65"/>
  <c r="BL65"/>
  <c r="BN65"/>
  <c r="BO65"/>
  <c r="BP65"/>
  <c r="BQ65"/>
  <c r="BE66"/>
  <c r="BJ66"/>
  <c r="BK66"/>
  <c r="BL66"/>
  <c r="BN66"/>
  <c r="BO66"/>
  <c r="BP66"/>
  <c r="BQ66"/>
  <c r="BK67"/>
  <c r="BL67"/>
  <c r="BO67"/>
  <c r="BP67"/>
  <c r="BQ67"/>
  <c r="BK68"/>
  <c r="BL68"/>
  <c r="BO68"/>
  <c r="BP68"/>
  <c r="BQ68"/>
  <c r="BJ69"/>
  <c r="BK69"/>
  <c r="BL69"/>
  <c r="BN69"/>
  <c r="BO69"/>
  <c r="BP69"/>
  <c r="BQ69"/>
  <c r="BE70"/>
  <c r="BJ70"/>
  <c r="BK70"/>
  <c r="BL70"/>
  <c r="BN70"/>
  <c r="BO70"/>
  <c r="BP70"/>
  <c r="BQ70"/>
  <c r="BK71"/>
  <c r="BL71"/>
  <c r="BO71"/>
  <c r="BP71"/>
  <c r="BQ71"/>
  <c r="BK72"/>
  <c r="BL72"/>
  <c r="BO72"/>
  <c r="BP72"/>
  <c r="BQ72"/>
  <c r="BJ73"/>
  <c r="BK73"/>
  <c r="BL73"/>
  <c r="BN73"/>
  <c r="BO73"/>
  <c r="BP73"/>
  <c r="BQ73"/>
  <c r="BJ74"/>
  <c r="BK74"/>
  <c r="BL74"/>
  <c r="BN74"/>
  <c r="BO74"/>
  <c r="BP74"/>
  <c r="BQ74"/>
  <c r="BK75"/>
  <c r="BL75"/>
  <c r="BO75"/>
  <c r="BP75"/>
  <c r="BQ75"/>
  <c r="BK76"/>
  <c r="BL76"/>
  <c r="BO76"/>
  <c r="BP76"/>
  <c r="BQ76"/>
  <c r="BJ77"/>
  <c r="BK77"/>
  <c r="BL77"/>
  <c r="BN77"/>
  <c r="BO77"/>
  <c r="BP77"/>
  <c r="BQ77"/>
  <c r="BJ78"/>
  <c r="BK78"/>
  <c r="BL78"/>
  <c r="BN78"/>
  <c r="BO78"/>
  <c r="BP78"/>
  <c r="BQ78"/>
  <c r="BK79"/>
  <c r="BL79"/>
  <c r="BO79"/>
  <c r="BP79"/>
  <c r="BQ79"/>
  <c r="BK80"/>
  <c r="BL80"/>
  <c r="BO80"/>
  <c r="BP80"/>
  <c r="BQ80"/>
  <c r="BJ81"/>
  <c r="BK81"/>
  <c r="BL81"/>
  <c r="BN81"/>
  <c r="BO81"/>
  <c r="BP81"/>
  <c r="BQ81"/>
  <c r="BE82"/>
  <c r="BJ82"/>
  <c r="BK82"/>
  <c r="BL82"/>
  <c r="BN82"/>
  <c r="BO82"/>
  <c r="BP82"/>
  <c r="BQ82"/>
  <c r="BK83"/>
  <c r="BL83"/>
  <c r="BO83"/>
  <c r="BP83"/>
  <c r="BQ83"/>
  <c r="BK84"/>
  <c r="BL84"/>
  <c r="BO84"/>
  <c r="BP84"/>
  <c r="BQ84"/>
  <c r="BJ85"/>
  <c r="BK85"/>
  <c r="BL85"/>
  <c r="BN85"/>
  <c r="BO85"/>
  <c r="BP85"/>
  <c r="BQ85"/>
  <c r="BE86"/>
  <c r="BJ86"/>
  <c r="BK86"/>
  <c r="BL86"/>
  <c r="BN86"/>
  <c r="BO86"/>
  <c r="BP86"/>
  <c r="BQ86"/>
  <c r="BK87"/>
  <c r="BL87"/>
  <c r="BO87"/>
  <c r="BP87"/>
  <c r="BQ87"/>
  <c r="BK88"/>
  <c r="BL88"/>
  <c r="BO88"/>
  <c r="BP88"/>
  <c r="BQ88"/>
  <c r="BJ89"/>
  <c r="BK89"/>
  <c r="BL89"/>
  <c r="BN89"/>
  <c r="BO89"/>
  <c r="BP89"/>
  <c r="BQ89"/>
  <c r="BJ90"/>
  <c r="BK90"/>
  <c r="BL90"/>
  <c r="BN90"/>
  <c r="BO90"/>
  <c r="BP90"/>
  <c r="BQ90"/>
  <c r="BK91"/>
  <c r="BL91"/>
  <c r="BO91"/>
  <c r="BP91"/>
  <c r="BQ91"/>
  <c r="BK92"/>
  <c r="BL92"/>
  <c r="BO92"/>
  <c r="BP92"/>
  <c r="BQ92"/>
  <c r="BJ93"/>
  <c r="BK93"/>
  <c r="BL93"/>
  <c r="BN93"/>
  <c r="BO93"/>
  <c r="BP93"/>
  <c r="BQ93"/>
  <c r="BJ94"/>
  <c r="BK94"/>
  <c r="BL94"/>
  <c r="BN94"/>
  <c r="BO94"/>
  <c r="BP94"/>
  <c r="BQ94"/>
  <c r="BK95"/>
  <c r="BL95"/>
  <c r="BO95"/>
  <c r="BP95"/>
  <c r="BQ95"/>
  <c r="BK96"/>
  <c r="BL96"/>
  <c r="BO96"/>
  <c r="BP96"/>
  <c r="BQ96"/>
  <c r="BJ97"/>
  <c r="BK97"/>
  <c r="BL97"/>
  <c r="BN97"/>
  <c r="BO97"/>
  <c r="BP97"/>
  <c r="BQ97"/>
  <c r="BE98"/>
  <c r="BJ98"/>
  <c r="BK98"/>
  <c r="BL98"/>
  <c r="BN98"/>
  <c r="BO98"/>
  <c r="BP98"/>
  <c r="BQ98"/>
  <c r="BK99"/>
  <c r="BL99"/>
  <c r="BO99"/>
  <c r="BP99"/>
  <c r="BQ99"/>
  <c r="BK100"/>
  <c r="BL100"/>
  <c r="BO100"/>
  <c r="BP100"/>
  <c r="BQ100"/>
  <c r="BJ101"/>
  <c r="BK101"/>
  <c r="BL101"/>
  <c r="BN101"/>
  <c r="BO101"/>
  <c r="BP101"/>
  <c r="BQ101"/>
  <c r="BE102"/>
  <c r="BJ102"/>
  <c r="BK102"/>
  <c r="BL102"/>
  <c r="BN102"/>
  <c r="BO102"/>
  <c r="BP102"/>
  <c r="BQ102"/>
  <c r="BK103"/>
  <c r="BL103"/>
  <c r="BO103"/>
  <c r="BP103"/>
  <c r="BQ103"/>
  <c r="BK104"/>
  <c r="BL104"/>
  <c r="BO104"/>
  <c r="BP104"/>
  <c r="BQ104"/>
  <c r="BJ105"/>
  <c r="BK105"/>
  <c r="BL105"/>
  <c r="BN105"/>
  <c r="BO105"/>
  <c r="BP105"/>
  <c r="BQ105"/>
  <c r="BJ106"/>
  <c r="BK106"/>
  <c r="BL106"/>
  <c r="BN106"/>
  <c r="BO106"/>
  <c r="BP106"/>
  <c r="BQ106"/>
  <c r="BK107"/>
  <c r="BL107"/>
  <c r="BO107"/>
  <c r="BP107"/>
  <c r="BQ107"/>
  <c r="BK108"/>
  <c r="BL108"/>
  <c r="BO108"/>
  <c r="BP108"/>
  <c r="BQ108"/>
  <c r="BJ109"/>
  <c r="BK109"/>
  <c r="BL109"/>
  <c r="BN109"/>
  <c r="BO109"/>
  <c r="BP109"/>
  <c r="BQ109"/>
  <c r="BJ110"/>
  <c r="BK110"/>
  <c r="BL110"/>
  <c r="BN110"/>
  <c r="BO110"/>
  <c r="BP110"/>
  <c r="BQ110"/>
  <c r="BK111"/>
  <c r="BL111"/>
  <c r="BO111"/>
  <c r="BP111"/>
  <c r="BQ111"/>
  <c r="BK112"/>
  <c r="BL112"/>
  <c r="BO112"/>
  <c r="BP112"/>
  <c r="BQ112"/>
  <c r="BJ113"/>
  <c r="BK113"/>
  <c r="BL113"/>
  <c r="BN113"/>
  <c r="BO113"/>
  <c r="BP113"/>
  <c r="BQ113"/>
  <c r="BE114"/>
  <c r="BJ114"/>
  <c r="BK114"/>
  <c r="BL114"/>
  <c r="BN114"/>
  <c r="BO114"/>
  <c r="BP114"/>
  <c r="BQ114"/>
  <c r="BK115"/>
  <c r="BL115"/>
  <c r="BO115"/>
  <c r="BP115"/>
  <c r="BQ115"/>
  <c r="BK116"/>
  <c r="BL116"/>
  <c r="BO116"/>
  <c r="BP116"/>
  <c r="BQ116"/>
  <c r="BJ117"/>
  <c r="BK117"/>
  <c r="BL117"/>
  <c r="BN117"/>
  <c r="BO117"/>
  <c r="BP117"/>
  <c r="BQ117"/>
  <c r="BJ118"/>
  <c r="BK118"/>
  <c r="BL118"/>
  <c r="BN118"/>
  <c r="BO118"/>
  <c r="BP118"/>
  <c r="BQ118"/>
  <c r="BJ119"/>
  <c r="BK119"/>
  <c r="BL119"/>
  <c r="BN119"/>
  <c r="BO119"/>
  <c r="BP119"/>
  <c r="BQ119"/>
  <c r="BK120"/>
  <c r="BL120"/>
  <c r="BO120"/>
  <c r="BP120"/>
  <c r="BQ120"/>
  <c r="BJ121"/>
  <c r="BK121"/>
  <c r="BL121"/>
  <c r="BN121"/>
  <c r="BO121"/>
  <c r="BP121"/>
  <c r="BQ121"/>
  <c r="BJ122"/>
  <c r="BK122"/>
  <c r="BL122"/>
  <c r="BN122"/>
  <c r="BO122"/>
  <c r="BP122"/>
  <c r="BQ122"/>
  <c r="BJ123"/>
  <c r="BK123"/>
  <c r="BL123"/>
  <c r="BN123"/>
  <c r="BO123"/>
  <c r="BP123"/>
  <c r="BQ123"/>
  <c r="BK124"/>
  <c r="BL124"/>
  <c r="BO124"/>
  <c r="BP124"/>
  <c r="BQ124"/>
  <c r="BJ125"/>
  <c r="BK125"/>
  <c r="BL125"/>
  <c r="BN125"/>
  <c r="BO125"/>
  <c r="BP125"/>
  <c r="BQ125"/>
  <c r="BJ126"/>
  <c r="BK126"/>
  <c r="BL126"/>
  <c r="BN126"/>
  <c r="BO126"/>
  <c r="BP126"/>
  <c r="BQ126"/>
  <c r="BJ127"/>
  <c r="BK127"/>
  <c r="BL127"/>
  <c r="BN127"/>
  <c r="BO127"/>
  <c r="BP127"/>
  <c r="BQ127"/>
  <c r="BK128"/>
  <c r="BL128"/>
  <c r="BO128"/>
  <c r="BP128"/>
  <c r="BQ128"/>
  <c r="BJ129"/>
  <c r="BK129"/>
  <c r="BL129"/>
  <c r="BN129"/>
  <c r="BO129"/>
  <c r="BP129"/>
  <c r="BQ129"/>
  <c r="BJ130"/>
  <c r="BK130"/>
  <c r="BL130"/>
  <c r="BN130"/>
  <c r="BO130"/>
  <c r="BP130"/>
  <c r="BQ130"/>
  <c r="BJ131"/>
  <c r="BK131"/>
  <c r="BL131"/>
  <c r="BN131"/>
  <c r="BO131"/>
  <c r="BP131"/>
  <c r="BQ131"/>
  <c r="BK132"/>
  <c r="BL132"/>
  <c r="BO132"/>
  <c r="BP132"/>
  <c r="BQ132"/>
  <c r="BJ133"/>
  <c r="BK133"/>
  <c r="BL133"/>
  <c r="BN133"/>
  <c r="BO133"/>
  <c r="BP133"/>
  <c r="BQ133"/>
  <c r="BJ134"/>
  <c r="BK134"/>
  <c r="BL134"/>
  <c r="BN134"/>
  <c r="BO134"/>
  <c r="BP134"/>
  <c r="BQ134"/>
  <c r="BJ135"/>
  <c r="BK135"/>
  <c r="BL135"/>
  <c r="BN135"/>
  <c r="BO135"/>
  <c r="BP135"/>
  <c r="BQ135"/>
  <c r="BK136"/>
  <c r="BL136"/>
  <c r="BO136"/>
  <c r="BP136"/>
  <c r="BQ136"/>
  <c r="BJ137"/>
  <c r="BK137"/>
  <c r="BL137"/>
  <c r="BN137"/>
  <c r="BO137"/>
  <c r="BP137"/>
  <c r="BQ137"/>
  <c r="BJ138"/>
  <c r="BK138"/>
  <c r="BL138"/>
  <c r="BN138"/>
  <c r="BO138"/>
  <c r="BP138"/>
  <c r="BQ138"/>
  <c r="BJ139"/>
  <c r="BK139"/>
  <c r="BL139"/>
  <c r="BN139"/>
  <c r="BO139"/>
  <c r="BP139"/>
  <c r="BQ139"/>
  <c r="BK140"/>
  <c r="BL140"/>
  <c r="BO140"/>
  <c r="BP140"/>
  <c r="BQ140"/>
  <c r="BJ141"/>
  <c r="BK141"/>
  <c r="BL141"/>
  <c r="BN141"/>
  <c r="BO141"/>
  <c r="BP141"/>
  <c r="BQ141"/>
  <c r="BJ142"/>
  <c r="BK142"/>
  <c r="BL142"/>
  <c r="BN142"/>
  <c r="BO142"/>
  <c r="BP142"/>
  <c r="BQ142"/>
  <c r="BJ143"/>
  <c r="BK143"/>
  <c r="BL143"/>
  <c r="BN143"/>
  <c r="BO143"/>
  <c r="BP143"/>
  <c r="BQ143"/>
  <c r="BK144"/>
  <c r="BL144"/>
  <c r="BO144"/>
  <c r="BP144"/>
  <c r="BQ144"/>
  <c r="BJ145"/>
  <c r="BK145"/>
  <c r="BL145"/>
  <c r="BN145"/>
  <c r="BO145"/>
  <c r="BP145"/>
  <c r="BQ145"/>
  <c r="BJ146"/>
  <c r="BK146"/>
  <c r="BL146"/>
  <c r="BN146"/>
  <c r="BO146"/>
  <c r="BP146"/>
  <c r="BQ146"/>
  <c r="BJ147"/>
  <c r="BK147"/>
  <c r="BL147"/>
  <c r="BN147"/>
  <c r="BO147"/>
  <c r="BP147"/>
  <c r="BQ147"/>
  <c r="BK148"/>
  <c r="BL148"/>
  <c r="BO148"/>
  <c r="BP148"/>
  <c r="BQ148"/>
  <c r="BJ149"/>
  <c r="BK149"/>
  <c r="BL149"/>
  <c r="BN149"/>
  <c r="BO149"/>
  <c r="BP149"/>
  <c r="BQ149"/>
  <c r="BJ150"/>
  <c r="BK150"/>
  <c r="BL150"/>
  <c r="BN150"/>
  <c r="BO150"/>
  <c r="BP150"/>
  <c r="BQ150"/>
  <c r="BJ151"/>
  <c r="BK151"/>
  <c r="BL151"/>
  <c r="BN151"/>
  <c r="BO151"/>
  <c r="BP151"/>
  <c r="BQ151"/>
  <c r="BK152"/>
  <c r="BL152"/>
  <c r="BO152"/>
  <c r="BP152"/>
  <c r="BQ152"/>
  <c r="BJ153"/>
  <c r="BK153"/>
  <c r="BL153"/>
  <c r="BN153"/>
  <c r="BO153"/>
  <c r="BP153"/>
  <c r="BQ153"/>
  <c r="BJ154"/>
  <c r="BK154"/>
  <c r="BL154"/>
  <c r="BN154"/>
  <c r="BO154"/>
  <c r="BP154"/>
  <c r="BQ154"/>
  <c r="BJ155"/>
  <c r="BK155"/>
  <c r="BL155"/>
  <c r="BN155"/>
  <c r="BO155"/>
  <c r="BP155"/>
  <c r="BQ155"/>
  <c r="BK156"/>
  <c r="BL156"/>
  <c r="BO156"/>
  <c r="BP156"/>
  <c r="BQ156"/>
  <c r="BJ157"/>
  <c r="BK157"/>
  <c r="BL157"/>
  <c r="BN157"/>
  <c r="BO157"/>
  <c r="BP157"/>
  <c r="BQ157"/>
  <c r="BJ158"/>
  <c r="BK158"/>
  <c r="BL158"/>
  <c r="BN158"/>
  <c r="BO158"/>
  <c r="BP158"/>
  <c r="BQ158"/>
  <c r="BJ159"/>
  <c r="BK159"/>
  <c r="BL159"/>
  <c r="BN159"/>
  <c r="BO159"/>
  <c r="BP159"/>
  <c r="BQ159"/>
  <c r="BK160"/>
  <c r="BL160"/>
  <c r="BO160"/>
  <c r="BP160"/>
  <c r="BQ160"/>
  <c r="BJ161"/>
  <c r="BK161"/>
  <c r="BL161"/>
  <c r="BN161"/>
  <c r="BO161"/>
  <c r="BP161"/>
  <c r="BQ161"/>
  <c r="BJ162"/>
  <c r="BK162"/>
  <c r="BL162"/>
  <c r="BN162"/>
  <c r="BO162"/>
  <c r="BP162"/>
  <c r="BQ162"/>
  <c r="BJ163"/>
  <c r="BK163"/>
  <c r="BL163"/>
  <c r="BN163"/>
  <c r="BO163"/>
  <c r="BP163"/>
  <c r="BQ163"/>
  <c r="BK164"/>
  <c r="BL164"/>
  <c r="BO164"/>
  <c r="BP164"/>
  <c r="BQ164"/>
  <c r="BJ165"/>
  <c r="BK165"/>
  <c r="BL165"/>
  <c r="BN165"/>
  <c r="BO165"/>
  <c r="BP165"/>
  <c r="BQ165"/>
  <c r="BJ166"/>
  <c r="BK166"/>
  <c r="BL166"/>
  <c r="BN166"/>
  <c r="BO166"/>
  <c r="BP166"/>
  <c r="BQ166"/>
  <c r="BJ167"/>
  <c r="BK167"/>
  <c r="BL167"/>
  <c r="BN167"/>
  <c r="BO167"/>
  <c r="BP167"/>
  <c r="BQ167"/>
  <c r="BK168"/>
  <c r="BL168"/>
  <c r="BO168"/>
  <c r="BP168"/>
  <c r="BQ168"/>
  <c r="BJ169"/>
  <c r="BK169"/>
  <c r="BL169"/>
  <c r="BN169"/>
  <c r="BO169"/>
  <c r="BP169"/>
  <c r="BQ169"/>
  <c r="BJ170"/>
  <c r="BK170"/>
  <c r="BL170"/>
  <c r="BN170"/>
  <c r="BO170"/>
  <c r="BP170"/>
  <c r="BQ170"/>
  <c r="BJ171"/>
  <c r="BK171"/>
  <c r="BL171"/>
  <c r="BN171"/>
  <c r="BO171"/>
  <c r="BP171"/>
  <c r="BQ171"/>
  <c r="BK172"/>
  <c r="BL172"/>
  <c r="BO172"/>
  <c r="BP172"/>
  <c r="BQ172"/>
  <c r="BJ173"/>
  <c r="BK173"/>
  <c r="BL173"/>
  <c r="BN173"/>
  <c r="BO173"/>
  <c r="BP173"/>
  <c r="BQ173"/>
  <c r="BJ174"/>
  <c r="BK174"/>
  <c r="BL174"/>
  <c r="BN174"/>
  <c r="BO174"/>
  <c r="BP174"/>
  <c r="BQ174"/>
  <c r="BJ175"/>
  <c r="BK175"/>
  <c r="BL175"/>
  <c r="BN175"/>
  <c r="BO175"/>
  <c r="BP175"/>
  <c r="BQ175"/>
  <c r="BK176"/>
  <c r="BL176"/>
  <c r="BN176"/>
  <c r="BO176"/>
  <c r="BP176"/>
  <c r="BQ176"/>
  <c r="BJ177"/>
  <c r="BK177"/>
  <c r="BL177"/>
  <c r="BN177"/>
  <c r="BO177"/>
  <c r="BP177"/>
  <c r="BQ177"/>
  <c r="BJ178"/>
  <c r="BK178"/>
  <c r="BL178"/>
  <c r="BN178"/>
  <c r="BO178"/>
  <c r="BP178"/>
  <c r="BQ178"/>
  <c r="BJ179"/>
  <c r="BK179"/>
  <c r="BL179"/>
  <c r="BN179"/>
  <c r="BO179"/>
  <c r="BP179"/>
  <c r="BQ179"/>
  <c r="BF180"/>
  <c r="BJ180"/>
  <c r="BK180"/>
  <c r="BL180"/>
  <c r="BN180"/>
  <c r="BO180"/>
  <c r="BP180"/>
  <c r="BQ180"/>
  <c r="BE181"/>
  <c r="BJ181"/>
  <c r="BK181"/>
  <c r="BL181"/>
  <c r="BN181"/>
  <c r="BO181"/>
  <c r="BP181"/>
  <c r="BQ181"/>
  <c r="BJ182"/>
  <c r="BK182"/>
  <c r="BL182"/>
  <c r="BN182"/>
  <c r="BO182"/>
  <c r="BP182"/>
  <c r="BQ182"/>
  <c r="BJ183"/>
  <c r="BK183"/>
  <c r="BL183"/>
  <c r="BN183"/>
  <c r="BO183"/>
  <c r="BP183"/>
  <c r="BQ183"/>
  <c r="BJ184"/>
  <c r="BK184"/>
  <c r="BL184"/>
  <c r="BN184"/>
  <c r="BO184"/>
  <c r="BP184"/>
  <c r="BQ184"/>
  <c r="BJ185"/>
  <c r="BK185"/>
  <c r="BL185"/>
  <c r="BN185"/>
  <c r="BO185"/>
  <c r="BP185"/>
  <c r="BQ185"/>
  <c r="BJ186"/>
  <c r="BK186"/>
  <c r="BL186"/>
  <c r="BN186"/>
  <c r="BO186"/>
  <c r="BP186"/>
  <c r="BQ186"/>
  <c r="BJ187"/>
  <c r="BK187"/>
  <c r="BL187"/>
  <c r="BN187"/>
  <c r="BO187"/>
  <c r="BP187"/>
  <c r="BQ187"/>
  <c r="BF188"/>
  <c r="BJ188"/>
  <c r="BK188"/>
  <c r="BL188"/>
  <c r="BN188"/>
  <c r="BO188"/>
  <c r="BP188"/>
  <c r="BQ188"/>
  <c r="BE189"/>
  <c r="BJ189"/>
  <c r="BK189"/>
  <c r="BL189"/>
  <c r="BN189"/>
  <c r="BO189"/>
  <c r="BP189"/>
  <c r="BQ189"/>
  <c r="BJ190"/>
  <c r="BK190"/>
  <c r="BL190"/>
  <c r="BN190"/>
  <c r="BO190"/>
  <c r="BP190"/>
  <c r="BQ190"/>
  <c r="BJ191"/>
  <c r="BK191"/>
  <c r="BL191"/>
  <c r="BN191"/>
  <c r="BO191"/>
  <c r="BP191"/>
  <c r="BQ191"/>
  <c r="BJ192"/>
  <c r="BK192"/>
  <c r="BL192"/>
  <c r="BN192"/>
  <c r="BO192"/>
  <c r="BP192"/>
  <c r="BQ192"/>
  <c r="BJ193"/>
  <c r="BK193"/>
  <c r="BL193"/>
  <c r="BN193"/>
  <c r="BO193"/>
  <c r="BP193"/>
  <c r="BQ193"/>
  <c r="BJ194"/>
  <c r="BK194"/>
  <c r="BL194"/>
  <c r="BN194"/>
  <c r="BO194"/>
  <c r="BP194"/>
  <c r="BQ194"/>
  <c r="BJ195"/>
  <c r="BK195"/>
  <c r="BL195"/>
  <c r="BN195"/>
  <c r="BO195"/>
  <c r="BP195"/>
  <c r="BQ195"/>
  <c r="BF196"/>
  <c r="BJ196"/>
  <c r="BK196"/>
  <c r="BL196"/>
  <c r="BN196"/>
  <c r="BO196"/>
  <c r="BP196"/>
  <c r="BQ196"/>
  <c r="BE197"/>
  <c r="BJ197"/>
  <c r="BK197"/>
  <c r="BL197"/>
  <c r="BN197"/>
  <c r="BO197"/>
  <c r="BP197"/>
  <c r="BQ197"/>
  <c r="BJ198"/>
  <c r="BK198"/>
  <c r="BL198"/>
  <c r="BN198"/>
  <c r="BO198"/>
  <c r="BP198"/>
  <c r="BQ198"/>
  <c r="BJ199"/>
  <c r="BK199"/>
  <c r="BL199"/>
  <c r="BN199"/>
  <c r="BO199"/>
  <c r="BP199"/>
  <c r="BQ199"/>
  <c r="BJ200"/>
  <c r="BK200"/>
  <c r="BL200"/>
  <c r="BN200"/>
  <c r="BO200"/>
  <c r="BP200"/>
  <c r="BQ200"/>
  <c r="BJ201"/>
  <c r="BK201"/>
  <c r="BL201"/>
  <c r="BN201"/>
  <c r="BO201"/>
  <c r="BP201"/>
  <c r="BQ201"/>
  <c r="BJ202"/>
  <c r="BK202"/>
  <c r="BL202"/>
  <c r="BN202"/>
  <c r="BO202"/>
  <c r="BP202"/>
  <c r="BQ202"/>
  <c r="BJ203"/>
  <c r="BK203"/>
  <c r="BL203"/>
  <c r="BN203"/>
  <c r="BO203"/>
  <c r="BP203"/>
  <c r="BQ203"/>
  <c r="BF204"/>
  <c r="BJ204"/>
  <c r="BK204"/>
  <c r="BL204"/>
  <c r="BN204"/>
  <c r="BO204"/>
  <c r="BP204"/>
  <c r="BQ204"/>
  <c r="BE205"/>
  <c r="BJ205"/>
  <c r="BK205"/>
  <c r="BL205"/>
  <c r="BN205"/>
  <c r="BO205"/>
  <c r="BP205"/>
  <c r="BQ205"/>
  <c r="BJ206"/>
  <c r="BK206"/>
  <c r="BL206"/>
  <c r="BN206"/>
  <c r="BO206"/>
  <c r="BP206"/>
  <c r="BQ206"/>
  <c r="BJ207"/>
  <c r="BK207"/>
  <c r="BL207"/>
  <c r="BN207"/>
  <c r="BO207"/>
  <c r="BP207"/>
  <c r="BQ207"/>
  <c r="BJ208"/>
  <c r="BK208"/>
  <c r="BL208"/>
  <c r="BN208"/>
  <c r="BO208"/>
  <c r="BP208"/>
  <c r="BQ208"/>
  <c r="BJ209"/>
  <c r="BK209"/>
  <c r="BL209"/>
  <c r="BN209"/>
  <c r="BO209"/>
  <c r="BP209"/>
  <c r="BQ209"/>
  <c r="BJ210"/>
  <c r="BK210"/>
  <c r="BL210"/>
  <c r="BN210"/>
  <c r="BO210"/>
  <c r="BP210"/>
  <c r="BQ210"/>
  <c r="BJ211"/>
  <c r="BK211"/>
  <c r="BL211"/>
  <c r="BN211"/>
  <c r="BO211"/>
  <c r="BP211"/>
  <c r="BQ211"/>
  <c r="BF212"/>
  <c r="BJ212"/>
  <c r="BK212"/>
  <c r="BL212"/>
  <c r="BN212"/>
  <c r="BO212"/>
  <c r="BP212"/>
  <c r="BQ212"/>
  <c r="BE213"/>
  <c r="BJ213"/>
  <c r="BK213"/>
  <c r="BL213"/>
  <c r="BN213"/>
  <c r="BO213"/>
  <c r="BP213"/>
  <c r="BQ213"/>
  <c r="BJ214"/>
  <c r="BK214"/>
  <c r="BL214"/>
  <c r="BN214"/>
  <c r="BO214"/>
  <c r="BP214"/>
  <c r="BQ214"/>
  <c r="BJ215"/>
  <c r="BK215"/>
  <c r="BL215"/>
  <c r="BN215"/>
  <c r="BO215"/>
  <c r="BP215"/>
  <c r="BQ215"/>
  <c r="BJ216"/>
  <c r="BK216"/>
  <c r="BL216"/>
  <c r="BN216"/>
  <c r="BO216"/>
  <c r="BP216"/>
  <c r="BQ216"/>
  <c r="BJ217"/>
  <c r="BK217"/>
  <c r="BL217"/>
  <c r="BN217"/>
  <c r="BO217"/>
  <c r="BP217"/>
  <c r="BQ217"/>
  <c r="BJ218"/>
  <c r="BK218"/>
  <c r="BL218"/>
  <c r="BN218"/>
  <c r="BO218"/>
  <c r="BP218"/>
  <c r="BQ218"/>
  <c r="BJ219"/>
  <c r="BK219"/>
  <c r="BL219"/>
  <c r="BN219"/>
  <c r="BO219"/>
  <c r="BP219"/>
  <c r="BQ219"/>
  <c r="BF220"/>
  <c r="BJ220"/>
  <c r="BK220"/>
  <c r="BL220"/>
  <c r="BN220"/>
  <c r="BO220"/>
  <c r="BP220"/>
  <c r="BQ220"/>
  <c r="BE221"/>
  <c r="BJ221"/>
  <c r="BK221"/>
  <c r="BL221"/>
  <c r="BN221"/>
  <c r="BO221"/>
  <c r="BP221"/>
  <c r="BQ221"/>
  <c r="BJ222"/>
  <c r="BK222"/>
  <c r="BL222"/>
  <c r="BN222"/>
  <c r="BO222"/>
  <c r="BP222"/>
  <c r="BQ222"/>
  <c r="BJ223"/>
  <c r="BK223"/>
  <c r="BL223"/>
  <c r="BN223"/>
  <c r="BO223"/>
  <c r="BP223"/>
  <c r="BQ223"/>
  <c r="BJ224"/>
  <c r="BK224"/>
  <c r="BL224"/>
  <c r="BN224"/>
  <c r="BO224"/>
  <c r="BP224"/>
  <c r="BQ224"/>
  <c r="BJ225"/>
  <c r="BK225"/>
  <c r="BL225"/>
  <c r="BN225"/>
  <c r="BO225"/>
  <c r="BP225"/>
  <c r="BQ225"/>
  <c r="BJ226"/>
  <c r="BK226"/>
  <c r="BL226"/>
  <c r="BN226"/>
  <c r="BO226"/>
  <c r="BP226"/>
  <c r="BQ226"/>
  <c r="BJ227"/>
  <c r="BK227"/>
  <c r="BL227"/>
  <c r="BN227"/>
  <c r="BO227"/>
  <c r="BP227"/>
  <c r="BQ227"/>
  <c r="BF228"/>
  <c r="BJ228"/>
  <c r="BK228"/>
  <c r="BL228"/>
  <c r="BN228"/>
  <c r="BO228"/>
  <c r="BP228"/>
  <c r="BQ228"/>
  <c r="BE229"/>
  <c r="BJ229"/>
  <c r="BK229"/>
  <c r="BL229"/>
  <c r="BN229"/>
  <c r="BO229"/>
  <c r="BP229"/>
  <c r="BQ229"/>
  <c r="BJ230"/>
  <c r="BK230"/>
  <c r="BL230"/>
  <c r="BN230"/>
  <c r="BO230"/>
  <c r="BP230"/>
  <c r="BQ230"/>
  <c r="BJ231"/>
  <c r="BK231"/>
  <c r="BL231"/>
  <c r="BN231"/>
  <c r="BO231"/>
  <c r="BP231"/>
  <c r="BQ231"/>
  <c r="BJ232"/>
  <c r="BK232"/>
  <c r="BL232"/>
  <c r="BN232"/>
  <c r="BO232"/>
  <c r="BP232"/>
  <c r="BQ232"/>
  <c r="BJ233"/>
  <c r="BK233"/>
  <c r="BL233"/>
  <c r="BN233"/>
  <c r="BO233"/>
  <c r="BP233"/>
  <c r="BQ233"/>
  <c r="BJ234"/>
  <c r="BK234"/>
  <c r="BL234"/>
  <c r="BN234"/>
  <c r="BO234"/>
  <c r="BP234"/>
  <c r="BQ234"/>
  <c r="BJ235"/>
  <c r="BK235"/>
  <c r="BL235"/>
  <c r="BN235"/>
  <c r="BO235"/>
  <c r="BP235"/>
  <c r="BQ235"/>
  <c r="BF236"/>
  <c r="BJ236"/>
  <c r="BK236"/>
  <c r="BL236"/>
  <c r="BN236"/>
  <c r="BO236"/>
  <c r="BP236"/>
  <c r="BQ236"/>
  <c r="BE237"/>
  <c r="BJ237"/>
  <c r="BK237"/>
  <c r="BL237"/>
  <c r="BN237"/>
  <c r="BO237"/>
  <c r="BP237"/>
  <c r="BQ237"/>
  <c r="BJ238"/>
  <c r="BK238"/>
  <c r="BL238"/>
  <c r="BN238"/>
  <c r="BO238"/>
  <c r="BP238"/>
  <c r="BQ238"/>
  <c r="BJ239"/>
  <c r="BK239"/>
  <c r="BL239"/>
  <c r="BN239"/>
  <c r="BO239"/>
  <c r="BP239"/>
  <c r="BQ239"/>
  <c r="BJ240"/>
  <c r="BK240"/>
  <c r="BL240"/>
  <c r="BN240"/>
  <c r="BO240"/>
  <c r="BP240"/>
  <c r="BQ240"/>
  <c r="BJ241"/>
  <c r="BK241"/>
  <c r="BL241"/>
  <c r="BN241"/>
  <c r="BO241"/>
  <c r="BP241"/>
  <c r="BQ241"/>
  <c r="BJ242"/>
  <c r="BK242"/>
  <c r="BL242"/>
  <c r="BN242"/>
  <c r="BO242"/>
  <c r="BP242"/>
  <c r="BQ242"/>
  <c r="BJ243"/>
  <c r="BK243"/>
  <c r="BL243"/>
  <c r="BN243"/>
  <c r="BO243"/>
  <c r="BP243"/>
  <c r="BQ243"/>
  <c r="BF244"/>
  <c r="BJ244"/>
  <c r="BK244"/>
  <c r="BL244"/>
  <c r="BN244"/>
  <c r="BO244"/>
  <c r="BP244"/>
  <c r="BQ244"/>
  <c r="BE245"/>
  <c r="BJ245"/>
  <c r="BK245"/>
  <c r="BL245"/>
  <c r="BN245"/>
  <c r="BO245"/>
  <c r="BP245"/>
  <c r="BQ245"/>
  <c r="BJ246"/>
  <c r="BK246"/>
  <c r="BL246"/>
  <c r="BN246"/>
  <c r="BO246"/>
  <c r="BP246"/>
  <c r="BQ246"/>
  <c r="BJ247"/>
  <c r="BK247"/>
  <c r="BL247"/>
  <c r="BN247"/>
  <c r="BO247"/>
  <c r="BP247"/>
  <c r="BQ247"/>
  <c r="BJ248"/>
  <c r="BK248"/>
  <c r="BL248"/>
  <c r="BN248"/>
  <c r="BO248"/>
  <c r="BP248"/>
  <c r="BQ248"/>
  <c r="BJ249"/>
  <c r="BK249"/>
  <c r="BL249"/>
  <c r="BN249"/>
  <c r="BO249"/>
  <c r="BP249"/>
  <c r="BQ249"/>
  <c r="BJ250"/>
  <c r="BK250"/>
  <c r="BL250"/>
  <c r="BN250"/>
  <c r="BO250"/>
  <c r="BP250"/>
  <c r="BQ250"/>
  <c r="BJ251"/>
  <c r="BK251"/>
  <c r="BL251"/>
  <c r="BN251"/>
  <c r="BO251"/>
  <c r="BP251"/>
  <c r="BQ251"/>
  <c r="BF252"/>
  <c r="BJ252"/>
  <c r="BK252"/>
  <c r="BL252"/>
  <c r="BN252"/>
  <c r="BO252"/>
  <c r="BP252"/>
  <c r="BQ252"/>
  <c r="BE253"/>
  <c r="BJ253"/>
  <c r="BK253"/>
  <c r="BL253"/>
  <c r="BN253"/>
  <c r="BO253"/>
  <c r="BP253"/>
  <c r="BQ253"/>
  <c r="BJ254"/>
  <c r="BK254"/>
  <c r="BL254"/>
  <c r="BN254"/>
  <c r="BO254"/>
  <c r="BP254"/>
  <c r="BQ254"/>
  <c r="BJ255"/>
  <c r="BK255"/>
  <c r="BL255"/>
  <c r="BN255"/>
  <c r="BO255"/>
  <c r="BP255"/>
  <c r="BQ255"/>
  <c r="BJ256"/>
  <c r="BK256"/>
  <c r="BL256"/>
  <c r="BN256"/>
  <c r="BO256"/>
  <c r="BP256"/>
  <c r="BQ256"/>
  <c r="BJ257"/>
  <c r="BK257"/>
  <c r="BL257"/>
  <c r="BN257"/>
  <c r="BO257"/>
  <c r="BP257"/>
  <c r="BQ257"/>
  <c r="BJ258"/>
  <c r="BK258"/>
  <c r="BL258"/>
  <c r="BN258"/>
  <c r="BO258"/>
  <c r="BP258"/>
  <c r="BQ258"/>
  <c r="BJ259"/>
  <c r="BK259"/>
  <c r="BL259"/>
  <c r="BN259"/>
  <c r="BO259"/>
  <c r="BP259"/>
  <c r="BQ259"/>
  <c r="BF260"/>
  <c r="BJ260"/>
  <c r="BK260"/>
  <c r="BL260"/>
  <c r="BN260"/>
  <c r="BO260"/>
  <c r="BP260"/>
  <c r="BQ260"/>
  <c r="BE261"/>
  <c r="BJ261"/>
  <c r="BK261"/>
  <c r="BL261"/>
  <c r="BN261"/>
  <c r="BO261"/>
  <c r="BP261"/>
  <c r="BQ261"/>
  <c r="BJ262"/>
  <c r="BK262"/>
  <c r="BL262"/>
  <c r="BN262"/>
  <c r="BO262"/>
  <c r="BP262"/>
  <c r="BQ262"/>
  <c r="BJ263"/>
  <c r="BK263"/>
  <c r="BL263"/>
  <c r="BN263"/>
  <c r="BO263"/>
  <c r="BP263"/>
  <c r="BQ263"/>
  <c r="BJ264"/>
  <c r="BK264"/>
  <c r="BL264"/>
  <c r="BN264"/>
  <c r="BO264"/>
  <c r="BP264"/>
  <c r="BQ264"/>
  <c r="BJ265"/>
  <c r="BK265"/>
  <c r="BL265"/>
  <c r="BN265"/>
  <c r="BO265"/>
  <c r="BP265"/>
  <c r="BQ265"/>
  <c r="BJ266"/>
  <c r="BK266"/>
  <c r="BL266"/>
  <c r="BN266"/>
  <c r="BO266"/>
  <c r="BP266"/>
  <c r="BQ266"/>
  <c r="BJ267"/>
  <c r="BK267"/>
  <c r="BL267"/>
  <c r="BN267"/>
  <c r="BO267"/>
  <c r="BP267"/>
  <c r="BQ267"/>
  <c r="BF268"/>
  <c r="BJ268"/>
  <c r="BK268"/>
  <c r="BL268"/>
  <c r="BN268"/>
  <c r="BO268"/>
  <c r="BP268"/>
  <c r="BQ268"/>
  <c r="BE269"/>
  <c r="BJ269"/>
  <c r="BK269"/>
  <c r="BL269"/>
  <c r="BN269"/>
  <c r="BO269"/>
  <c r="BP269"/>
  <c r="BQ269"/>
  <c r="BJ270"/>
  <c r="BK270"/>
  <c r="BL270"/>
  <c r="BN270"/>
  <c r="BO270"/>
  <c r="BP270"/>
  <c r="BQ270"/>
  <c r="BJ271"/>
  <c r="BK271"/>
  <c r="BL271"/>
  <c r="BN271"/>
  <c r="BO271"/>
  <c r="BP271"/>
  <c r="BQ271"/>
  <c r="BJ272"/>
  <c r="BK272"/>
  <c r="BL272"/>
  <c r="BN272"/>
  <c r="BO272"/>
  <c r="BP272"/>
  <c r="BQ272"/>
  <c r="BJ273"/>
  <c r="BK273"/>
  <c r="BL273"/>
  <c r="BN273"/>
  <c r="BO273"/>
  <c r="BP273"/>
  <c r="BQ273"/>
  <c r="BJ274"/>
  <c r="BK274"/>
  <c r="BL274"/>
  <c r="BN274"/>
  <c r="BO274"/>
  <c r="BP274"/>
  <c r="BQ274"/>
  <c r="BJ275"/>
  <c r="BK275"/>
  <c r="BL275"/>
  <c r="BN275"/>
  <c r="BO275"/>
  <c r="BP275"/>
  <c r="BQ275"/>
  <c r="BF276"/>
  <c r="BJ276"/>
  <c r="BK276"/>
  <c r="BL276"/>
  <c r="BN276"/>
  <c r="BO276"/>
  <c r="BP276"/>
  <c r="BQ276"/>
  <c r="BE277"/>
  <c r="BJ277"/>
  <c r="BK277"/>
  <c r="BL277"/>
  <c r="BN277"/>
  <c r="BO277"/>
  <c r="BP277"/>
  <c r="BQ277"/>
  <c r="BJ278"/>
  <c r="BK278"/>
  <c r="BL278"/>
  <c r="BN278"/>
  <c r="BO278"/>
  <c r="BP278"/>
  <c r="BQ278"/>
  <c r="BJ279"/>
  <c r="BK279"/>
  <c r="BL279"/>
  <c r="BN279"/>
  <c r="BO279"/>
  <c r="BP279"/>
  <c r="BQ279"/>
  <c r="BJ280"/>
  <c r="BK280"/>
  <c r="BL280"/>
  <c r="BN280"/>
  <c r="BO280"/>
  <c r="BP280"/>
  <c r="BQ280"/>
  <c r="BJ281"/>
  <c r="BK281"/>
  <c r="BL281"/>
  <c r="BN281"/>
  <c r="BO281"/>
  <c r="BP281"/>
  <c r="BQ281"/>
  <c r="BJ282"/>
  <c r="BK282"/>
  <c r="BL282"/>
  <c r="BN282"/>
  <c r="BO282"/>
  <c r="BP282"/>
  <c r="BQ282"/>
  <c r="BJ283"/>
  <c r="BK283"/>
  <c r="BL283"/>
  <c r="BN283"/>
  <c r="BO283"/>
  <c r="BP283"/>
  <c r="BQ283"/>
  <c r="BF284"/>
  <c r="BJ284"/>
  <c r="BK284"/>
  <c r="BL284"/>
  <c r="BN284"/>
  <c r="BO284"/>
  <c r="BP284"/>
  <c r="BQ284"/>
  <c r="BE285"/>
  <c r="BJ285"/>
  <c r="BK285"/>
  <c r="BL285"/>
  <c r="BN285"/>
  <c r="BO285"/>
  <c r="BP285"/>
  <c r="BQ285"/>
  <c r="BJ286"/>
  <c r="BK286"/>
  <c r="BL286"/>
  <c r="BN286"/>
  <c r="BO286"/>
  <c r="BP286"/>
  <c r="BQ286"/>
  <c r="BJ287"/>
  <c r="BK287"/>
  <c r="BL287"/>
  <c r="BN287"/>
  <c r="BO287"/>
  <c r="BP287"/>
  <c r="BQ287"/>
  <c r="BJ288"/>
  <c r="BK288"/>
  <c r="BL288"/>
  <c r="BN288"/>
  <c r="BO288"/>
  <c r="BP288"/>
  <c r="BQ288"/>
  <c r="BJ289"/>
  <c r="BK289"/>
  <c r="BL289"/>
  <c r="BN289"/>
  <c r="BO289"/>
  <c r="BP289"/>
  <c r="BQ289"/>
  <c r="BJ290"/>
  <c r="BK290"/>
  <c r="BL290"/>
  <c r="BN290"/>
  <c r="BO290"/>
  <c r="BP290"/>
  <c r="BQ290"/>
  <c r="BJ291"/>
  <c r="BK291"/>
  <c r="BL291"/>
  <c r="BN291"/>
  <c r="BO291"/>
  <c r="BP291"/>
  <c r="BQ291"/>
  <c r="BF292"/>
  <c r="BJ292"/>
  <c r="BK292"/>
  <c r="BL292"/>
  <c r="BN292"/>
  <c r="BO292"/>
  <c r="BP292"/>
  <c r="BQ292"/>
  <c r="BE293"/>
  <c r="BJ293"/>
  <c r="BK293"/>
  <c r="BL293"/>
  <c r="BN293"/>
  <c r="BO293"/>
  <c r="BP293"/>
  <c r="BQ293"/>
  <c r="BJ294"/>
  <c r="BK294"/>
  <c r="BL294"/>
  <c r="BN294"/>
  <c r="BO294"/>
  <c r="BP294"/>
  <c r="BQ294"/>
  <c r="BJ295"/>
  <c r="BK295"/>
  <c r="BL295"/>
  <c r="BN295"/>
  <c r="BO295"/>
  <c r="BP295"/>
  <c r="BQ295"/>
  <c r="BJ296"/>
  <c r="BK296"/>
  <c r="BL296"/>
  <c r="BN296"/>
  <c r="BO296"/>
  <c r="BP296"/>
  <c r="BQ296"/>
  <c r="BJ297"/>
  <c r="BK297"/>
  <c r="BL297"/>
  <c r="BN297"/>
  <c r="BO297"/>
  <c r="BP297"/>
  <c r="BQ297"/>
  <c r="BJ298"/>
  <c r="BK298"/>
  <c r="BL298"/>
  <c r="BN298"/>
  <c r="BO298"/>
  <c r="BP298"/>
  <c r="BQ298"/>
  <c r="BJ299"/>
  <c r="BK299"/>
  <c r="BL299"/>
  <c r="BN299"/>
  <c r="BO299"/>
  <c r="BP299"/>
  <c r="BQ299"/>
  <c r="BF300"/>
  <c r="BJ300"/>
  <c r="BK300"/>
  <c r="BL300"/>
  <c r="BN300"/>
  <c r="BO300"/>
  <c r="BP300"/>
  <c r="BQ300"/>
  <c r="BE301"/>
  <c r="BJ301"/>
  <c r="BK301"/>
  <c r="BL301"/>
  <c r="BN301"/>
  <c r="BO301"/>
  <c r="BP301"/>
  <c r="BQ301"/>
  <c r="BJ302"/>
  <c r="BK302"/>
  <c r="BL302"/>
  <c r="BN302"/>
  <c r="BO302"/>
  <c r="BP302"/>
  <c r="BQ302"/>
  <c r="BJ303"/>
  <c r="BK303"/>
  <c r="BL303"/>
  <c r="BN303"/>
  <c r="BO303"/>
  <c r="BP303"/>
  <c r="BQ303"/>
  <c r="BJ304"/>
  <c r="BK304"/>
  <c r="BL304"/>
  <c r="BN304"/>
  <c r="BO304"/>
  <c r="BP304"/>
  <c r="BQ304"/>
  <c r="BJ305"/>
  <c r="BK305"/>
  <c r="BL305"/>
  <c r="BN305"/>
  <c r="BO305"/>
  <c r="BP305"/>
  <c r="BQ305"/>
  <c r="BJ306"/>
  <c r="BK306"/>
  <c r="BL306"/>
  <c r="BN306"/>
  <c r="BO306"/>
  <c r="BP306"/>
  <c r="BQ306"/>
  <c r="BJ307"/>
  <c r="BK307"/>
  <c r="BL307"/>
  <c r="BN307"/>
  <c r="BO307"/>
  <c r="BP307"/>
  <c r="BQ307"/>
  <c r="BJ308"/>
  <c r="BK308"/>
  <c r="BL308"/>
  <c r="BN308"/>
  <c r="BO308"/>
  <c r="BP308"/>
  <c r="BQ308"/>
  <c r="CY23" i="45"/>
  <c r="DD23"/>
  <c r="DO5"/>
  <c r="DA35" s="1"/>
  <c r="DO7" s="1"/>
  <c r="DN5"/>
  <c r="DM5"/>
  <c r="CY35" s="1"/>
  <c r="DM7" s="1"/>
  <c r="DL5"/>
  <c r="CZ52"/>
  <c r="CZ53"/>
  <c r="DA52"/>
  <c r="DA53"/>
  <c r="CZ54"/>
  <c r="CZ55"/>
  <c r="DA54"/>
  <c r="DA55"/>
  <c r="X89" i="46"/>
  <c r="X88"/>
  <c r="X90"/>
  <c r="AY94"/>
  <c r="AG86"/>
  <c r="AF87" s="1"/>
  <c r="AG88"/>
  <c r="AY95"/>
  <c r="AY96"/>
  <c r="AY97"/>
  <c r="AY98"/>
  <c r="AY99"/>
  <c r="AY100"/>
  <c r="AY101"/>
  <c r="BA101"/>
  <c r="AY102"/>
  <c r="AY103"/>
  <c r="AY104"/>
  <c r="AY105"/>
  <c r="AY106"/>
  <c r="AY107"/>
  <c r="AY108"/>
  <c r="AY109"/>
  <c r="BA109"/>
  <c r="AY110"/>
  <c r="AY111"/>
  <c r="AY112"/>
  <c r="AY113"/>
  <c r="AY114"/>
  <c r="AY115"/>
  <c r="AY116"/>
  <c r="AY117"/>
  <c r="BA117"/>
  <c r="AY118"/>
  <c r="AY119"/>
  <c r="AY120"/>
  <c r="AY121"/>
  <c r="AY122"/>
  <c r="AY123"/>
  <c r="AY124"/>
  <c r="AY125"/>
  <c r="BA125"/>
  <c r="AY126"/>
  <c r="AY127"/>
  <c r="AY128"/>
  <c r="AY129"/>
  <c r="AY130"/>
  <c r="AY131"/>
  <c r="AY132"/>
  <c r="AY133"/>
  <c r="BA133"/>
  <c r="AY134"/>
  <c r="AY135"/>
  <c r="AY136"/>
  <c r="AY137"/>
  <c r="AY138"/>
  <c r="AY139"/>
  <c r="AY140"/>
  <c r="AY141"/>
  <c r="BA141"/>
  <c r="AY142"/>
  <c r="AY143"/>
  <c r="AY144"/>
  <c r="AY145"/>
  <c r="BA145"/>
  <c r="AY146"/>
  <c r="BA146" s="1"/>
  <c r="BB146" s="1"/>
  <c r="BC146" s="1"/>
  <c r="AZ146"/>
  <c r="AY147"/>
  <c r="BA147" s="1"/>
  <c r="AZ147" s="1"/>
  <c r="AY148"/>
  <c r="AY149"/>
  <c r="BA149"/>
  <c r="AY150"/>
  <c r="BA150" s="1"/>
  <c r="BB150" s="1"/>
  <c r="BC150" s="1"/>
  <c r="AY151"/>
  <c r="BA151" s="1"/>
  <c r="AZ151" s="1"/>
  <c r="AY152"/>
  <c r="AY153"/>
  <c r="BA153"/>
  <c r="AY154"/>
  <c r="BA154" s="1"/>
  <c r="BB154" s="1"/>
  <c r="BC154" s="1"/>
  <c r="AZ154"/>
  <c r="AY155"/>
  <c r="BA155" s="1"/>
  <c r="AZ155" s="1"/>
  <c r="AY156"/>
  <c r="AY157"/>
  <c r="BA157"/>
  <c r="AY158"/>
  <c r="BA158" s="1"/>
  <c r="BB158" s="1"/>
  <c r="BC158" s="1"/>
  <c r="AY159"/>
  <c r="BA159" s="1"/>
  <c r="AZ159" s="1"/>
  <c r="AY160"/>
  <c r="AY161"/>
  <c r="BA161"/>
  <c r="AY162"/>
  <c r="BA162" s="1"/>
  <c r="BB162" s="1"/>
  <c r="BC162" s="1"/>
  <c r="AZ162"/>
  <c r="AY163"/>
  <c r="BA163" s="1"/>
  <c r="AZ163" s="1"/>
  <c r="AY164"/>
  <c r="AY165"/>
  <c r="BA165"/>
  <c r="AY166"/>
  <c r="BA166" s="1"/>
  <c r="BB166" s="1"/>
  <c r="BC166" s="1"/>
  <c r="AY167"/>
  <c r="BA167" s="1"/>
  <c r="AZ167" s="1"/>
  <c r="AY168"/>
  <c r="AY169"/>
  <c r="BA169"/>
  <c r="AY170"/>
  <c r="BA170" s="1"/>
  <c r="BB170" s="1"/>
  <c r="BC170" s="1"/>
  <c r="AZ170"/>
  <c r="AY171"/>
  <c r="BA171" s="1"/>
  <c r="AZ171" s="1"/>
  <c r="AY172"/>
  <c r="AY173"/>
  <c r="BA173"/>
  <c r="AY174"/>
  <c r="BA174" s="1"/>
  <c r="BB174" s="1"/>
  <c r="BC174" s="1"/>
  <c r="AY175"/>
  <c r="BA175" s="1"/>
  <c r="AZ175" s="1"/>
  <c r="AY176"/>
  <c r="AY177"/>
  <c r="BA177"/>
  <c r="AY178"/>
  <c r="BA178" s="1"/>
  <c r="BB178" s="1"/>
  <c r="BC178" s="1"/>
  <c r="AZ178"/>
  <c r="AY179"/>
  <c r="BA179" s="1"/>
  <c r="AZ179" s="1"/>
  <c r="AY180"/>
  <c r="AY181"/>
  <c r="BA181"/>
  <c r="AY182"/>
  <c r="BA182" s="1"/>
  <c r="BB182" s="1"/>
  <c r="BC182" s="1"/>
  <c r="AY183"/>
  <c r="BA183" s="1"/>
  <c r="AZ183" s="1"/>
  <c r="AY184"/>
  <c r="AY185"/>
  <c r="BA185"/>
  <c r="AY186"/>
  <c r="BA186" s="1"/>
  <c r="BB186" s="1"/>
  <c r="BC186" s="1"/>
  <c r="AZ186"/>
  <c r="AY187"/>
  <c r="BA187" s="1"/>
  <c r="AZ187" s="1"/>
  <c r="AY188"/>
  <c r="AY189"/>
  <c r="BA189"/>
  <c r="AY190"/>
  <c r="BA190" s="1"/>
  <c r="BB190" s="1"/>
  <c r="BC190" s="1"/>
  <c r="AY191"/>
  <c r="BA191" s="1"/>
  <c r="AZ191" s="1"/>
  <c r="AY192"/>
  <c r="AY193"/>
  <c r="BA193"/>
  <c r="AY194"/>
  <c r="BA194" s="1"/>
  <c r="BB194" s="1"/>
  <c r="BC194" s="1"/>
  <c r="AZ194"/>
  <c r="AY195"/>
  <c r="BA195" s="1"/>
  <c r="AZ195" s="1"/>
  <c r="AY196"/>
  <c r="AY197"/>
  <c r="BA197"/>
  <c r="AY198"/>
  <c r="BA198" s="1"/>
  <c r="BB198" s="1"/>
  <c r="BC198" s="1"/>
  <c r="AY199"/>
  <c r="BA199" s="1"/>
  <c r="AZ199" s="1"/>
  <c r="AY200"/>
  <c r="AY201"/>
  <c r="BA201"/>
  <c r="AY202"/>
  <c r="BA202" s="1"/>
  <c r="BB202" s="1"/>
  <c r="BC202" s="1"/>
  <c r="AZ202"/>
  <c r="AY203"/>
  <c r="BA203" s="1"/>
  <c r="AZ203" s="1"/>
  <c r="AY204"/>
  <c r="AY205"/>
  <c r="BA205"/>
  <c r="AY206"/>
  <c r="BA206" s="1"/>
  <c r="BB206" s="1"/>
  <c r="BC206" s="1"/>
  <c r="AY207"/>
  <c r="BA207" s="1"/>
  <c r="AZ207" s="1"/>
  <c r="AY208"/>
  <c r="AY209"/>
  <c r="BA209"/>
  <c r="AY210"/>
  <c r="BA210" s="1"/>
  <c r="BB210" s="1"/>
  <c r="BC210" s="1"/>
  <c r="AZ210"/>
  <c r="AY211"/>
  <c r="BA211" s="1"/>
  <c r="AZ211" s="1"/>
  <c r="AY212"/>
  <c r="AY213"/>
  <c r="BA213"/>
  <c r="AY214"/>
  <c r="BA214" s="1"/>
  <c r="BB214" s="1"/>
  <c r="BC214" s="1"/>
  <c r="AY215"/>
  <c r="BA215" s="1"/>
  <c r="AZ215" s="1"/>
  <c r="AY216"/>
  <c r="AY217"/>
  <c r="BA217"/>
  <c r="AY218"/>
  <c r="BA218" s="1"/>
  <c r="BB218" s="1"/>
  <c r="BC218" s="1"/>
  <c r="AZ218"/>
  <c r="AY219"/>
  <c r="BA219" s="1"/>
  <c r="AZ219" s="1"/>
  <c r="AY220"/>
  <c r="AY221"/>
  <c r="BA221"/>
  <c r="AY222"/>
  <c r="BA222" s="1"/>
  <c r="BB222" s="1"/>
  <c r="BC222" s="1"/>
  <c r="AY223"/>
  <c r="BA223" s="1"/>
  <c r="AZ223" s="1"/>
  <c r="AY224"/>
  <c r="AY225"/>
  <c r="BA225"/>
  <c r="AY226"/>
  <c r="BA226" s="1"/>
  <c r="BB226" s="1"/>
  <c r="BC226" s="1"/>
  <c r="AZ226"/>
  <c r="AY227"/>
  <c r="BA227" s="1"/>
  <c r="AZ227" s="1"/>
  <c r="AY228"/>
  <c r="AY229"/>
  <c r="BA229"/>
  <c r="AY230"/>
  <c r="BA230" s="1"/>
  <c r="BB230" s="1"/>
  <c r="BC230" s="1"/>
  <c r="AY231"/>
  <c r="BA231" s="1"/>
  <c r="AZ231" s="1"/>
  <c r="AY232"/>
  <c r="AY233"/>
  <c r="BA233"/>
  <c r="AY234"/>
  <c r="BA234" s="1"/>
  <c r="BB234" s="1"/>
  <c r="BC234" s="1"/>
  <c r="AZ234"/>
  <c r="AY235"/>
  <c r="BA235" s="1"/>
  <c r="AZ235" s="1"/>
  <c r="AY236"/>
  <c r="AY237"/>
  <c r="BA237"/>
  <c r="AY238"/>
  <c r="BA238" s="1"/>
  <c r="BB238" s="1"/>
  <c r="BC238" s="1"/>
  <c r="AY239"/>
  <c r="BA239" s="1"/>
  <c r="AZ239" s="1"/>
  <c r="AY240"/>
  <c r="AY241"/>
  <c r="BA241"/>
  <c r="AY242"/>
  <c r="BA242" s="1"/>
  <c r="BB242" s="1"/>
  <c r="BC242" s="1"/>
  <c r="AZ242"/>
  <c r="AY243"/>
  <c r="BA243" s="1"/>
  <c r="AZ243" s="1"/>
  <c r="AY244"/>
  <c r="AY245"/>
  <c r="BA245"/>
  <c r="AY246"/>
  <c r="BA246" s="1"/>
  <c r="BB246" s="1"/>
  <c r="BC246" s="1"/>
  <c r="AY247"/>
  <c r="BA247" s="1"/>
  <c r="AZ247" s="1"/>
  <c r="AY248"/>
  <c r="AY249"/>
  <c r="BA249"/>
  <c r="AY250"/>
  <c r="BA250" s="1"/>
  <c r="BB250" s="1"/>
  <c r="BC250" s="1"/>
  <c r="AZ250"/>
  <c r="AY251"/>
  <c r="BA251" s="1"/>
  <c r="AZ251" s="1"/>
  <c r="AY252"/>
  <c r="AY253"/>
  <c r="BA253"/>
  <c r="AY254"/>
  <c r="BA254" s="1"/>
  <c r="BB254" s="1"/>
  <c r="BC254" s="1"/>
  <c r="AY255"/>
  <c r="BA255" s="1"/>
  <c r="AZ255" s="1"/>
  <c r="AY256"/>
  <c r="AY257"/>
  <c r="BA257"/>
  <c r="AY258"/>
  <c r="BA258" s="1"/>
  <c r="BB258" s="1"/>
  <c r="BC258" s="1"/>
  <c r="AZ258"/>
  <c r="AY259"/>
  <c r="BA259" s="1"/>
  <c r="AZ259" s="1"/>
  <c r="AY260"/>
  <c r="AY261"/>
  <c r="BA261"/>
  <c r="AY262"/>
  <c r="BA262" s="1"/>
  <c r="BB262" s="1"/>
  <c r="BC262" s="1"/>
  <c r="AY263"/>
  <c r="BA263" s="1"/>
  <c r="AZ263" s="1"/>
  <c r="AY264"/>
  <c r="AY265"/>
  <c r="BA265"/>
  <c r="AY266"/>
  <c r="BA266" s="1"/>
  <c r="BB266" s="1"/>
  <c r="BC266" s="1"/>
  <c r="AZ266"/>
  <c r="AY267"/>
  <c r="BA267" s="1"/>
  <c r="AZ267" s="1"/>
  <c r="AY268"/>
  <c r="AY269"/>
  <c r="BA269"/>
  <c r="AY270"/>
  <c r="BA270" s="1"/>
  <c r="BB270" s="1"/>
  <c r="BC270" s="1"/>
  <c r="AY271"/>
  <c r="BA271" s="1"/>
  <c r="AZ271" s="1"/>
  <c r="AY272"/>
  <c r="AY273"/>
  <c r="BA273"/>
  <c r="AY274"/>
  <c r="BA274" s="1"/>
  <c r="BB274" s="1"/>
  <c r="BC274" s="1"/>
  <c r="AZ274"/>
  <c r="AY275"/>
  <c r="BA275" s="1"/>
  <c r="AZ275" s="1"/>
  <c r="AY276"/>
  <c r="AY277"/>
  <c r="BA277"/>
  <c r="AY278"/>
  <c r="BA278" s="1"/>
  <c r="BB278" s="1"/>
  <c r="BC278" s="1"/>
  <c r="AY279"/>
  <c r="BA279" s="1"/>
  <c r="AZ279" s="1"/>
  <c r="AY280"/>
  <c r="AY281"/>
  <c r="BA281"/>
  <c r="AY282"/>
  <c r="BA282" s="1"/>
  <c r="BB282" s="1"/>
  <c r="BC282" s="1"/>
  <c r="AZ282"/>
  <c r="AY283"/>
  <c r="BA283" s="1"/>
  <c r="AZ283" s="1"/>
  <c r="AY284"/>
  <c r="AY285"/>
  <c r="BA285"/>
  <c r="AY286"/>
  <c r="BA286" s="1"/>
  <c r="BB286" s="1"/>
  <c r="BC286" s="1"/>
  <c r="AY287"/>
  <c r="BA287" s="1"/>
  <c r="AZ287" s="1"/>
  <c r="AY288"/>
  <c r="AY289"/>
  <c r="BA289"/>
  <c r="AY290"/>
  <c r="BA290" s="1"/>
  <c r="BB290" s="1"/>
  <c r="BC290" s="1"/>
  <c r="AZ290"/>
  <c r="AY291"/>
  <c r="BA291" s="1"/>
  <c r="AZ291" s="1"/>
  <c r="AY292"/>
  <c r="AY293"/>
  <c r="BA293"/>
  <c r="V135"/>
  <c r="V145"/>
  <c r="V146"/>
  <c r="V147"/>
  <c r="V148"/>
  <c r="V149"/>
  <c r="V150"/>
  <c r="V151"/>
  <c r="V152"/>
  <c r="V153"/>
  <c r="V154"/>
  <c r="V155"/>
  <c r="V156"/>
  <c r="V157"/>
  <c r="V158"/>
  <c r="V159"/>
  <c r="V160"/>
  <c r="V161"/>
  <c r="V162"/>
  <c r="V163"/>
  <c r="V164"/>
  <c r="V165"/>
  <c r="V166"/>
  <c r="V167"/>
  <c r="V168"/>
  <c r="V169"/>
  <c r="V170"/>
  <c r="V171"/>
  <c r="V172"/>
  <c r="V173"/>
  <c r="V174"/>
  <c r="V175"/>
  <c r="V176"/>
  <c r="V177"/>
  <c r="V178"/>
  <c r="V179"/>
  <c r="V180"/>
  <c r="V181"/>
  <c r="V182"/>
  <c r="V183"/>
  <c r="V184"/>
  <c r="V185"/>
  <c r="V186"/>
  <c r="V187"/>
  <c r="V188"/>
  <c r="V189"/>
  <c r="V190"/>
  <c r="V191"/>
  <c r="V192"/>
  <c r="V193"/>
  <c r="V194"/>
  <c r="V195"/>
  <c r="V196"/>
  <c r="V197"/>
  <c r="V198"/>
  <c r="V199"/>
  <c r="V200"/>
  <c r="V201"/>
  <c r="V202"/>
  <c r="V203"/>
  <c r="V204"/>
  <c r="V205"/>
  <c r="V206"/>
  <c r="V207"/>
  <c r="V208"/>
  <c r="V209"/>
  <c r="V210"/>
  <c r="V211"/>
  <c r="V212"/>
  <c r="V213"/>
  <c r="V214"/>
  <c r="V215"/>
  <c r="V216"/>
  <c r="V217"/>
  <c r="V218"/>
  <c r="V219"/>
  <c r="V220"/>
  <c r="V221"/>
  <c r="V222"/>
  <c r="V223"/>
  <c r="V224"/>
  <c r="V225"/>
  <c r="V226"/>
  <c r="V227"/>
  <c r="V228"/>
  <c r="V229"/>
  <c r="V230"/>
  <c r="V231"/>
  <c r="V232"/>
  <c r="V233"/>
  <c r="V234"/>
  <c r="V235"/>
  <c r="V236"/>
  <c r="V237"/>
  <c r="V238"/>
  <c r="V239"/>
  <c r="V240"/>
  <c r="V241"/>
  <c r="V242"/>
  <c r="V243"/>
  <c r="V244"/>
  <c r="V245"/>
  <c r="V246"/>
  <c r="V247"/>
  <c r="V248"/>
  <c r="V249"/>
  <c r="V250"/>
  <c r="V251"/>
  <c r="V252"/>
  <c r="V253"/>
  <c r="V254"/>
  <c r="V255"/>
  <c r="V256"/>
  <c r="V257"/>
  <c r="V258"/>
  <c r="V259"/>
  <c r="V260"/>
  <c r="V261"/>
  <c r="V262"/>
  <c r="V263"/>
  <c r="V264"/>
  <c r="V265"/>
  <c r="V266"/>
  <c r="V267"/>
  <c r="V268"/>
  <c r="V269"/>
  <c r="V270"/>
  <c r="V271"/>
  <c r="V272"/>
  <c r="V273"/>
  <c r="V274"/>
  <c r="V275"/>
  <c r="V276"/>
  <c r="V277"/>
  <c r="V278"/>
  <c r="V279"/>
  <c r="V280"/>
  <c r="V281"/>
  <c r="V282"/>
  <c r="V283"/>
  <c r="V284"/>
  <c r="V285"/>
  <c r="V286"/>
  <c r="V287"/>
  <c r="V288"/>
  <c r="V289"/>
  <c r="V290"/>
  <c r="V291"/>
  <c r="V292"/>
  <c r="V293"/>
  <c r="K11"/>
  <c r="K12" s="1"/>
  <c r="M11"/>
  <c r="M12"/>
  <c r="K13"/>
  <c r="K15" s="1"/>
  <c r="M13"/>
  <c r="M15" s="1"/>
  <c r="M17" s="1"/>
  <c r="AP111"/>
  <c r="AP112" s="1"/>
  <c r="AF90"/>
  <c r="AC89"/>
  <c r="AI292" s="1"/>
  <c r="AB292" s="1"/>
  <c r="AC292" s="1"/>
  <c r="AD292" s="1"/>
  <c r="BE94"/>
  <c r="BD94" s="1"/>
  <c r="BE95"/>
  <c r="BD95"/>
  <c r="BE96"/>
  <c r="BE97"/>
  <c r="BD97"/>
  <c r="BE98"/>
  <c r="BD98" s="1"/>
  <c r="BE99"/>
  <c r="BD99"/>
  <c r="BE100"/>
  <c r="BE101"/>
  <c r="BD101"/>
  <c r="BE102"/>
  <c r="BD102" s="1"/>
  <c r="BE103"/>
  <c r="BD103"/>
  <c r="BE104"/>
  <c r="BE105"/>
  <c r="BD105"/>
  <c r="BE106"/>
  <c r="BD106" s="1"/>
  <c r="BE107"/>
  <c r="BD107"/>
  <c r="BE108"/>
  <c r="BE109"/>
  <c r="BD109"/>
  <c r="BE110"/>
  <c r="BD110" s="1"/>
  <c r="BE111"/>
  <c r="BD111"/>
  <c r="BE112"/>
  <c r="BE113"/>
  <c r="BD113"/>
  <c r="BE114"/>
  <c r="BD114" s="1"/>
  <c r="BE115"/>
  <c r="BD115"/>
  <c r="BE116"/>
  <c r="BE117"/>
  <c r="BD117"/>
  <c r="BE118"/>
  <c r="BD118" s="1"/>
  <c r="BE119"/>
  <c r="BD119"/>
  <c r="BE120"/>
  <c r="BE121"/>
  <c r="BD121"/>
  <c r="BE122"/>
  <c r="BD122" s="1"/>
  <c r="BE123"/>
  <c r="BD123"/>
  <c r="BE124"/>
  <c r="BE125"/>
  <c r="BD125"/>
  <c r="BE126"/>
  <c r="BD126" s="1"/>
  <c r="BE127"/>
  <c r="BD127"/>
  <c r="BE128"/>
  <c r="BE129"/>
  <c r="BD129"/>
  <c r="BE130"/>
  <c r="BD130" s="1"/>
  <c r="BE131"/>
  <c r="BD131"/>
  <c r="BE132"/>
  <c r="BE133"/>
  <c r="BD133"/>
  <c r="BE134"/>
  <c r="BD134" s="1"/>
  <c r="BE135"/>
  <c r="BD135"/>
  <c r="BE136"/>
  <c r="BE137"/>
  <c r="BD137"/>
  <c r="BE138"/>
  <c r="BD138" s="1"/>
  <c r="BE139"/>
  <c r="BD139"/>
  <c r="BE140"/>
  <c r="BE141"/>
  <c r="BD141"/>
  <c r="BE142"/>
  <c r="BD142" s="1"/>
  <c r="BE143"/>
  <c r="BD143"/>
  <c r="BE144"/>
  <c r="BE145"/>
  <c r="BD145"/>
  <c r="BE146"/>
  <c r="BD146" s="1"/>
  <c r="BE147"/>
  <c r="BD147"/>
  <c r="BE148"/>
  <c r="BE149"/>
  <c r="BD149"/>
  <c r="BE150"/>
  <c r="BD150" s="1"/>
  <c r="BE151"/>
  <c r="BD151"/>
  <c r="BE152"/>
  <c r="BE153"/>
  <c r="BD153"/>
  <c r="BE154"/>
  <c r="BD154" s="1"/>
  <c r="BE155"/>
  <c r="BD155"/>
  <c r="BE156"/>
  <c r="BE157"/>
  <c r="BD157"/>
  <c r="BE158"/>
  <c r="BD158" s="1"/>
  <c r="BE159"/>
  <c r="BD159"/>
  <c r="BE160"/>
  <c r="BE161"/>
  <c r="BD161"/>
  <c r="BE162"/>
  <c r="BD162" s="1"/>
  <c r="BE163"/>
  <c r="BD163"/>
  <c r="BE164"/>
  <c r="BE165"/>
  <c r="BD165"/>
  <c r="BE166"/>
  <c r="BD166" s="1"/>
  <c r="BE167"/>
  <c r="BD167"/>
  <c r="BE168"/>
  <c r="BE169"/>
  <c r="BD169"/>
  <c r="BE170"/>
  <c r="BD170" s="1"/>
  <c r="BE171"/>
  <c r="BD171"/>
  <c r="BE172"/>
  <c r="BE173"/>
  <c r="BD173"/>
  <c r="BE174"/>
  <c r="BD174" s="1"/>
  <c r="BE175"/>
  <c r="BD175"/>
  <c r="BE176"/>
  <c r="BE177"/>
  <c r="BD177"/>
  <c r="BE178"/>
  <c r="BD178" s="1"/>
  <c r="BE179"/>
  <c r="BD179"/>
  <c r="BE180"/>
  <c r="BE181"/>
  <c r="BD181"/>
  <c r="BE182"/>
  <c r="BD182" s="1"/>
  <c r="BE183"/>
  <c r="BD183"/>
  <c r="BE184"/>
  <c r="BE185"/>
  <c r="BD185"/>
  <c r="BE186"/>
  <c r="BD186" s="1"/>
  <c r="BE187"/>
  <c r="BD187"/>
  <c r="BE188"/>
  <c r="BE189"/>
  <c r="BD189"/>
  <c r="BE190"/>
  <c r="BD190" s="1"/>
  <c r="BE191"/>
  <c r="BD191"/>
  <c r="BE192"/>
  <c r="BE193"/>
  <c r="BD193"/>
  <c r="BE194"/>
  <c r="BD194" s="1"/>
  <c r="BE195"/>
  <c r="BD195"/>
  <c r="BE196"/>
  <c r="BD196" s="1"/>
  <c r="BE197"/>
  <c r="BD197"/>
  <c r="BE198"/>
  <c r="BD198" s="1"/>
  <c r="BE199"/>
  <c r="BD199"/>
  <c r="BE200"/>
  <c r="BD200" s="1"/>
  <c r="BE201"/>
  <c r="BD201"/>
  <c r="BE202"/>
  <c r="BD202" s="1"/>
  <c r="BE203"/>
  <c r="BD203"/>
  <c r="BE204"/>
  <c r="BD204" s="1"/>
  <c r="BE205"/>
  <c r="BD205"/>
  <c r="BE206"/>
  <c r="BD206" s="1"/>
  <c r="BE207"/>
  <c r="BD207"/>
  <c r="BE208"/>
  <c r="BD208" s="1"/>
  <c r="BE209"/>
  <c r="BD209"/>
  <c r="BE210"/>
  <c r="BD210" s="1"/>
  <c r="BE211"/>
  <c r="BD211"/>
  <c r="BE212"/>
  <c r="BD212" s="1"/>
  <c r="BE213"/>
  <c r="BD213"/>
  <c r="BE214"/>
  <c r="BD214" s="1"/>
  <c r="BE215"/>
  <c r="BD215"/>
  <c r="BE216"/>
  <c r="BD216" s="1"/>
  <c r="BE217"/>
  <c r="BD217"/>
  <c r="BE218"/>
  <c r="BD218" s="1"/>
  <c r="BE219"/>
  <c r="BD219"/>
  <c r="BE220"/>
  <c r="BD220" s="1"/>
  <c r="BE221"/>
  <c r="BD221"/>
  <c r="BE222"/>
  <c r="BD222" s="1"/>
  <c r="BE223"/>
  <c r="BD223"/>
  <c r="BE224"/>
  <c r="BD224" s="1"/>
  <c r="BE225"/>
  <c r="BD225"/>
  <c r="BE226"/>
  <c r="BD226" s="1"/>
  <c r="BE227"/>
  <c r="BD227"/>
  <c r="BE228"/>
  <c r="BD228" s="1"/>
  <c r="BE229"/>
  <c r="BD229"/>
  <c r="BE230"/>
  <c r="BD230" s="1"/>
  <c r="BE231"/>
  <c r="BD231"/>
  <c r="BE232"/>
  <c r="BD232" s="1"/>
  <c r="BE233"/>
  <c r="BD233"/>
  <c r="BE234"/>
  <c r="BD234" s="1"/>
  <c r="BE235"/>
  <c r="BD235"/>
  <c r="BE236"/>
  <c r="BD236" s="1"/>
  <c r="BE237"/>
  <c r="BD237"/>
  <c r="BE238"/>
  <c r="BD238" s="1"/>
  <c r="BE239"/>
  <c r="BD239"/>
  <c r="BE240"/>
  <c r="BD240" s="1"/>
  <c r="BE241"/>
  <c r="BD241"/>
  <c r="BE242"/>
  <c r="BD242" s="1"/>
  <c r="BE243"/>
  <c r="BD243"/>
  <c r="BE244"/>
  <c r="BD244" s="1"/>
  <c r="BE245"/>
  <c r="BD245"/>
  <c r="BE246"/>
  <c r="BD246" s="1"/>
  <c r="BE247"/>
  <c r="BD247"/>
  <c r="BE248"/>
  <c r="BD248" s="1"/>
  <c r="BE249"/>
  <c r="BD249"/>
  <c r="BE250"/>
  <c r="BD250" s="1"/>
  <c r="BE251"/>
  <c r="BD251"/>
  <c r="BE252"/>
  <c r="BD252" s="1"/>
  <c r="BE253"/>
  <c r="BD253"/>
  <c r="BE254"/>
  <c r="BD254" s="1"/>
  <c r="BE255"/>
  <c r="BD255"/>
  <c r="BE256"/>
  <c r="BD256" s="1"/>
  <c r="BE257"/>
  <c r="BD257"/>
  <c r="BE258"/>
  <c r="BD258" s="1"/>
  <c r="BE259"/>
  <c r="BD259"/>
  <c r="BE260"/>
  <c r="BD260" s="1"/>
  <c r="BE261"/>
  <c r="BD261"/>
  <c r="BE262"/>
  <c r="BD262" s="1"/>
  <c r="BE263"/>
  <c r="BD263"/>
  <c r="BE264"/>
  <c r="BD264" s="1"/>
  <c r="BE265"/>
  <c r="BD265"/>
  <c r="BE266"/>
  <c r="BD266" s="1"/>
  <c r="BE267"/>
  <c r="BD267"/>
  <c r="BE268"/>
  <c r="BD268" s="1"/>
  <c r="BE269"/>
  <c r="BD269"/>
  <c r="BE270"/>
  <c r="BD270" s="1"/>
  <c r="BE271"/>
  <c r="BD271"/>
  <c r="BE272"/>
  <c r="BD272" s="1"/>
  <c r="BE273"/>
  <c r="BD273"/>
  <c r="BE274"/>
  <c r="BD274" s="1"/>
  <c r="BE275"/>
  <c r="BD275"/>
  <c r="BE276"/>
  <c r="BD276" s="1"/>
  <c r="BE277"/>
  <c r="BD277"/>
  <c r="BE278"/>
  <c r="BD278" s="1"/>
  <c r="BE279"/>
  <c r="BD279"/>
  <c r="BE280"/>
  <c r="BD280" s="1"/>
  <c r="BE281"/>
  <c r="BD281"/>
  <c r="BE282"/>
  <c r="BD282" s="1"/>
  <c r="BE283"/>
  <c r="BD283"/>
  <c r="BE284"/>
  <c r="BD284" s="1"/>
  <c r="BE285"/>
  <c r="BD285"/>
  <c r="BE286"/>
  <c r="BD286" s="1"/>
  <c r="BE287"/>
  <c r="BD287"/>
  <c r="BE288"/>
  <c r="BD288" s="1"/>
  <c r="BE289"/>
  <c r="BD289"/>
  <c r="BE290"/>
  <c r="BD290" s="1"/>
  <c r="BE291"/>
  <c r="BD291"/>
  <c r="BE292"/>
  <c r="BD292" s="1"/>
  <c r="BE293"/>
  <c r="BD293"/>
  <c r="AE95"/>
  <c r="AE96"/>
  <c r="AE97"/>
  <c r="AE98"/>
  <c r="AE99"/>
  <c r="AE100"/>
  <c r="AE101"/>
  <c r="AE102"/>
  <c r="AE103"/>
  <c r="AE104"/>
  <c r="AE105"/>
  <c r="AE106"/>
  <c r="AE107"/>
  <c r="AE108"/>
  <c r="AE109"/>
  <c r="AE110"/>
  <c r="AE111"/>
  <c r="AE112"/>
  <c r="AE113"/>
  <c r="AE114"/>
  <c r="AE115"/>
  <c r="AE116"/>
  <c r="AE117"/>
  <c r="AE118"/>
  <c r="AE119"/>
  <c r="AE120"/>
  <c r="AE121"/>
  <c r="AE122"/>
  <c r="AE123"/>
  <c r="AE124"/>
  <c r="AE125"/>
  <c r="AE126"/>
  <c r="AE127"/>
  <c r="AE128"/>
  <c r="AE129"/>
  <c r="AE130"/>
  <c r="AE131"/>
  <c r="AE132"/>
  <c r="AE133"/>
  <c r="AE134"/>
  <c r="AE135"/>
  <c r="AE136"/>
  <c r="AE137"/>
  <c r="AE138"/>
  <c r="AE139"/>
  <c r="AE140"/>
  <c r="AE141"/>
  <c r="AE142"/>
  <c r="AE143"/>
  <c r="AE144"/>
  <c r="AE145"/>
  <c r="AE146"/>
  <c r="AE147"/>
  <c r="AE148"/>
  <c r="AE149"/>
  <c r="AE150"/>
  <c r="AE151"/>
  <c r="AE152"/>
  <c r="AE153"/>
  <c r="AE154"/>
  <c r="AE155"/>
  <c r="AE156"/>
  <c r="AE157"/>
  <c r="AE158"/>
  <c r="AE159"/>
  <c r="AE160"/>
  <c r="AE161"/>
  <c r="AE162"/>
  <c r="AE163"/>
  <c r="AE164"/>
  <c r="AE165"/>
  <c r="AE166"/>
  <c r="AE167"/>
  <c r="AE168"/>
  <c r="AE169"/>
  <c r="AE170"/>
  <c r="AE171"/>
  <c r="AE172"/>
  <c r="AE173"/>
  <c r="AE174"/>
  <c r="AE175"/>
  <c r="AE176"/>
  <c r="AE177"/>
  <c r="AE178"/>
  <c r="AE179"/>
  <c r="AE180"/>
  <c r="AE181"/>
  <c r="AE182"/>
  <c r="AE183"/>
  <c r="AE184"/>
  <c r="AE185"/>
  <c r="AE186"/>
  <c r="AE187"/>
  <c r="AE188"/>
  <c r="AE189"/>
  <c r="AE190"/>
  <c r="AE191"/>
  <c r="AE192"/>
  <c r="AE193"/>
  <c r="AE194"/>
  <c r="AE195"/>
  <c r="AE196"/>
  <c r="AE197"/>
  <c r="AE198"/>
  <c r="AE199"/>
  <c r="AE200"/>
  <c r="AE201"/>
  <c r="AE202"/>
  <c r="AE203"/>
  <c r="AE204"/>
  <c r="AE205"/>
  <c r="AE206"/>
  <c r="AE207"/>
  <c r="AE208"/>
  <c r="AE209"/>
  <c r="AE210"/>
  <c r="AE211"/>
  <c r="AE212"/>
  <c r="AE213"/>
  <c r="AE214"/>
  <c r="AE215"/>
  <c r="AE216"/>
  <c r="AE217"/>
  <c r="AE218"/>
  <c r="AE219"/>
  <c r="AE220"/>
  <c r="AE221"/>
  <c r="AE222"/>
  <c r="AE223"/>
  <c r="AE224"/>
  <c r="AE225"/>
  <c r="AE226"/>
  <c r="AE227"/>
  <c r="AE228"/>
  <c r="AE229"/>
  <c r="AE230"/>
  <c r="AE231"/>
  <c r="AE232"/>
  <c r="AE233"/>
  <c r="AE234"/>
  <c r="AE235"/>
  <c r="AE236"/>
  <c r="AE237"/>
  <c r="AE238"/>
  <c r="AE239"/>
  <c r="AE240"/>
  <c r="AE241"/>
  <c r="AE242"/>
  <c r="AE243"/>
  <c r="AE244"/>
  <c r="AE245"/>
  <c r="AE246"/>
  <c r="AE247"/>
  <c r="AE248"/>
  <c r="AE249"/>
  <c r="AE250"/>
  <c r="AE251"/>
  <c r="AE252"/>
  <c r="AE253"/>
  <c r="AE254"/>
  <c r="AE255"/>
  <c r="AE256"/>
  <c r="AE257"/>
  <c r="AE258"/>
  <c r="AE259"/>
  <c r="AE260"/>
  <c r="AE261"/>
  <c r="AE262"/>
  <c r="AE263"/>
  <c r="AE264"/>
  <c r="AE265"/>
  <c r="AE266"/>
  <c r="AE267"/>
  <c r="AE268"/>
  <c r="AE269"/>
  <c r="AE270"/>
  <c r="AE271"/>
  <c r="AE272"/>
  <c r="AE273"/>
  <c r="AE274"/>
  <c r="AE275"/>
  <c r="AE276"/>
  <c r="AE277"/>
  <c r="AE278"/>
  <c r="AE279"/>
  <c r="AE280"/>
  <c r="AE281"/>
  <c r="AE282"/>
  <c r="AE283"/>
  <c r="AE284"/>
  <c r="AE285"/>
  <c r="AE286"/>
  <c r="AE287"/>
  <c r="AE288"/>
  <c r="AE289"/>
  <c r="AE290"/>
  <c r="AE291"/>
  <c r="AE292"/>
  <c r="AE293"/>
  <c r="AE94"/>
  <c r="AX94"/>
  <c r="AX95"/>
  <c r="AX97"/>
  <c r="AX98"/>
  <c r="AX99"/>
  <c r="AX101"/>
  <c r="AX102"/>
  <c r="AX103"/>
  <c r="AX105"/>
  <c r="AX106"/>
  <c r="AX107"/>
  <c r="AX109"/>
  <c r="AX110"/>
  <c r="AX111"/>
  <c r="AX113"/>
  <c r="AX114"/>
  <c r="AX115"/>
  <c r="AX117"/>
  <c r="AX118"/>
  <c r="AX119"/>
  <c r="AX121"/>
  <c r="AX122"/>
  <c r="AX123"/>
  <c r="AX125"/>
  <c r="AX126"/>
  <c r="AX127"/>
  <c r="AX129"/>
  <c r="AX130"/>
  <c r="AX131"/>
  <c r="AX133"/>
  <c r="AX134"/>
  <c r="AX135"/>
  <c r="AX137"/>
  <c r="AX138"/>
  <c r="AX139"/>
  <c r="AX141"/>
  <c r="AX142"/>
  <c r="AX143"/>
  <c r="AX145"/>
  <c r="AX146"/>
  <c r="AX147"/>
  <c r="AX149"/>
  <c r="AX150"/>
  <c r="AX151"/>
  <c r="AX153"/>
  <c r="AX154"/>
  <c r="AX155"/>
  <c r="AX157"/>
  <c r="AX158"/>
  <c r="AX159"/>
  <c r="AX161"/>
  <c r="AX162"/>
  <c r="AX163"/>
  <c r="AX165"/>
  <c r="AX166"/>
  <c r="AX167"/>
  <c r="AX169"/>
  <c r="AX170"/>
  <c r="AX171"/>
  <c r="AX173"/>
  <c r="AX174"/>
  <c r="AX175"/>
  <c r="AX177"/>
  <c r="AX178"/>
  <c r="AX179"/>
  <c r="AX181"/>
  <c r="AX182"/>
  <c r="AX183"/>
  <c r="AX185"/>
  <c r="AX186"/>
  <c r="AX187"/>
  <c r="AX189"/>
  <c r="AX190"/>
  <c r="AX191"/>
  <c r="AX193"/>
  <c r="AX194"/>
  <c r="AX195"/>
  <c r="AX197"/>
  <c r="AX198"/>
  <c r="AX199"/>
  <c r="AX201"/>
  <c r="AX202"/>
  <c r="AX203"/>
  <c r="AX205"/>
  <c r="AX206"/>
  <c r="AX207"/>
  <c r="AX209"/>
  <c r="AX210"/>
  <c r="AX211"/>
  <c r="AX213"/>
  <c r="AX214"/>
  <c r="AX215"/>
  <c r="AX217"/>
  <c r="AX218"/>
  <c r="AX219"/>
  <c r="AX221"/>
  <c r="AX222"/>
  <c r="AX223"/>
  <c r="AX225"/>
  <c r="AX226"/>
  <c r="AX227"/>
  <c r="AX229"/>
  <c r="AX230"/>
  <c r="AX231"/>
  <c r="AX233"/>
  <c r="AX234"/>
  <c r="AX235"/>
  <c r="AX237"/>
  <c r="AX238"/>
  <c r="AX239"/>
  <c r="AX241"/>
  <c r="AX242"/>
  <c r="AX243"/>
  <c r="AX245"/>
  <c r="AX246"/>
  <c r="AX247"/>
  <c r="AX249"/>
  <c r="AX250"/>
  <c r="AX251"/>
  <c r="AX253"/>
  <c r="AX254"/>
  <c r="AX255"/>
  <c r="AX257"/>
  <c r="AX258"/>
  <c r="AX259"/>
  <c r="AX261"/>
  <c r="AX262"/>
  <c r="AX263"/>
  <c r="AX265"/>
  <c r="AX266"/>
  <c r="AX267"/>
  <c r="AX269"/>
  <c r="AX270"/>
  <c r="AX271"/>
  <c r="AX273"/>
  <c r="AX274"/>
  <c r="AX275"/>
  <c r="AX277"/>
  <c r="AX278"/>
  <c r="AX279"/>
  <c r="AX281"/>
  <c r="AX282"/>
  <c r="AX283"/>
  <c r="AX285"/>
  <c r="AX286"/>
  <c r="AX287"/>
  <c r="AX289"/>
  <c r="AX290"/>
  <c r="AX291"/>
  <c r="AX293"/>
  <c r="Y293"/>
  <c r="Q293"/>
  <c r="R293" s="1"/>
  <c r="S293" s="1"/>
  <c r="Y292"/>
  <c r="Q292" s="1"/>
  <c r="R292" s="1"/>
  <c r="S292" s="1"/>
  <c r="Y291"/>
  <c r="Q291"/>
  <c r="R291" s="1"/>
  <c r="Y290"/>
  <c r="Q290" s="1"/>
  <c r="Y289"/>
  <c r="Q289"/>
  <c r="Y288"/>
  <c r="Q288" s="1"/>
  <c r="R288" s="1"/>
  <c r="S288" s="1"/>
  <c r="Y287"/>
  <c r="Q287"/>
  <c r="R287" s="1"/>
  <c r="Y286"/>
  <c r="Q286" s="1"/>
  <c r="Y285"/>
  <c r="Q285"/>
  <c r="R285" s="1"/>
  <c r="S285" s="1"/>
  <c r="Y284"/>
  <c r="Q284" s="1"/>
  <c r="R284" s="1"/>
  <c r="S284" s="1"/>
  <c r="Y283"/>
  <c r="Q283"/>
  <c r="R283" s="1"/>
  <c r="Y282"/>
  <c r="Q282" s="1"/>
  <c r="Y281"/>
  <c r="Q281"/>
  <c r="Y280"/>
  <c r="Q280" s="1"/>
  <c r="R280" s="1"/>
  <c r="S280" s="1"/>
  <c r="Y279"/>
  <c r="Q279"/>
  <c r="R279" s="1"/>
  <c r="Y278"/>
  <c r="Q278" s="1"/>
  <c r="Y277"/>
  <c r="Q277"/>
  <c r="R277" s="1"/>
  <c r="S277" s="1"/>
  <c r="Y276"/>
  <c r="Q276" s="1"/>
  <c r="R276" s="1"/>
  <c r="S276" s="1"/>
  <c r="Y275"/>
  <c r="Q275"/>
  <c r="R275" s="1"/>
  <c r="Y274"/>
  <c r="Q274" s="1"/>
  <c r="Y273"/>
  <c r="Q273"/>
  <c r="Y272"/>
  <c r="Q272" s="1"/>
  <c r="R272" s="1"/>
  <c r="S272" s="1"/>
  <c r="Y271"/>
  <c r="Q271"/>
  <c r="R271" s="1"/>
  <c r="Y270"/>
  <c r="Q270" s="1"/>
  <c r="Y269"/>
  <c r="Q269"/>
  <c r="R269" s="1"/>
  <c r="S269" s="1"/>
  <c r="Y268"/>
  <c r="Q268" s="1"/>
  <c r="R268" s="1"/>
  <c r="S268" s="1"/>
  <c r="Y267"/>
  <c r="Q267"/>
  <c r="R267" s="1"/>
  <c r="Y266"/>
  <c r="Q266" s="1"/>
  <c r="Y265"/>
  <c r="Q265"/>
  <c r="Y264"/>
  <c r="Q264" s="1"/>
  <c r="R264" s="1"/>
  <c r="S264" s="1"/>
  <c r="Y263"/>
  <c r="Q263"/>
  <c r="R263" s="1"/>
  <c r="Y262"/>
  <c r="Q262" s="1"/>
  <c r="Y261"/>
  <c r="Q261"/>
  <c r="R261" s="1"/>
  <c r="S261" s="1"/>
  <c r="Y260"/>
  <c r="Q260" s="1"/>
  <c r="R260" s="1"/>
  <c r="S260" s="1"/>
  <c r="Y259"/>
  <c r="Q259"/>
  <c r="R259" s="1"/>
  <c r="Y258"/>
  <c r="Q258" s="1"/>
  <c r="R258" s="1"/>
  <c r="S258" s="1"/>
  <c r="Y257"/>
  <c r="Q257"/>
  <c r="Y256"/>
  <c r="Q256" s="1"/>
  <c r="R256" s="1"/>
  <c r="S256" s="1"/>
  <c r="Y255"/>
  <c r="Q255"/>
  <c r="R255" s="1"/>
  <c r="Y254"/>
  <c r="Q254" s="1"/>
  <c r="Y253"/>
  <c r="Q253"/>
  <c r="R253" s="1"/>
  <c r="S253" s="1"/>
  <c r="Y252"/>
  <c r="Q252" s="1"/>
  <c r="R252" s="1"/>
  <c r="S252" s="1"/>
  <c r="Y251"/>
  <c r="Q251"/>
  <c r="R251" s="1"/>
  <c r="Y250"/>
  <c r="Q250" s="1"/>
  <c r="R250" s="1"/>
  <c r="S250" s="1"/>
  <c r="Y249"/>
  <c r="Q249"/>
  <c r="Y248"/>
  <c r="Q248" s="1"/>
  <c r="R248" s="1"/>
  <c r="S248" s="1"/>
  <c r="Y247"/>
  <c r="Q247"/>
  <c r="R247" s="1"/>
  <c r="Y246"/>
  <c r="Q246" s="1"/>
  <c r="Y245"/>
  <c r="Q245"/>
  <c r="R245" s="1"/>
  <c r="S245" s="1"/>
  <c r="Y244"/>
  <c r="Q244" s="1"/>
  <c r="R244" s="1"/>
  <c r="S244" s="1"/>
  <c r="Y243"/>
  <c r="Q243"/>
  <c r="R243" s="1"/>
  <c r="Y242"/>
  <c r="Q242" s="1"/>
  <c r="R242" s="1"/>
  <c r="S242" s="1"/>
  <c r="Y241"/>
  <c r="Q241"/>
  <c r="Y240"/>
  <c r="Q240" s="1"/>
  <c r="R240" s="1"/>
  <c r="S240" s="1"/>
  <c r="Y239"/>
  <c r="Q239"/>
  <c r="R239" s="1"/>
  <c r="Y238"/>
  <c r="Q238" s="1"/>
  <c r="Y237"/>
  <c r="Q237"/>
  <c r="R237" s="1"/>
  <c r="S237" s="1"/>
  <c r="Y236"/>
  <c r="Q236" s="1"/>
  <c r="R236" s="1"/>
  <c r="S236" s="1"/>
  <c r="Y235"/>
  <c r="Q235"/>
  <c r="R235" s="1"/>
  <c r="Y234"/>
  <c r="Q234" s="1"/>
  <c r="R234" s="1"/>
  <c r="S234" s="1"/>
  <c r="Y233"/>
  <c r="Q233"/>
  <c r="Y232"/>
  <c r="Q232" s="1"/>
  <c r="R232" s="1"/>
  <c r="S232" s="1"/>
  <c r="Y231"/>
  <c r="Q231"/>
  <c r="R231" s="1"/>
  <c r="Y230"/>
  <c r="Q230" s="1"/>
  <c r="Y229"/>
  <c r="Q229"/>
  <c r="R229" s="1"/>
  <c r="S229" s="1"/>
  <c r="Y228"/>
  <c r="Q228" s="1"/>
  <c r="R228" s="1"/>
  <c r="S228" s="1"/>
  <c r="Y227"/>
  <c r="Q227"/>
  <c r="R227" s="1"/>
  <c r="Y226"/>
  <c r="Q226" s="1"/>
  <c r="R226" s="1"/>
  <c r="S226" s="1"/>
  <c r="Y225"/>
  <c r="Q225"/>
  <c r="Y224"/>
  <c r="Q224" s="1"/>
  <c r="R224" s="1"/>
  <c r="S224" s="1"/>
  <c r="Y223"/>
  <c r="Q223"/>
  <c r="R223" s="1"/>
  <c r="Y222"/>
  <c r="Q222" s="1"/>
  <c r="Y221"/>
  <c r="Q221"/>
  <c r="R221" s="1"/>
  <c r="S221" s="1"/>
  <c r="Y220"/>
  <c r="Q220" s="1"/>
  <c r="R220" s="1"/>
  <c r="S220" s="1"/>
  <c r="Y219"/>
  <c r="Q219"/>
  <c r="R219" s="1"/>
  <c r="Y218"/>
  <c r="Q218" s="1"/>
  <c r="R218" s="1"/>
  <c r="S218" s="1"/>
  <c r="Y217"/>
  <c r="Q217"/>
  <c r="Y216"/>
  <c r="Q216" s="1"/>
  <c r="R216" s="1"/>
  <c r="S216" s="1"/>
  <c r="Y215"/>
  <c r="Q215"/>
  <c r="R215" s="1"/>
  <c r="Y214"/>
  <c r="Q214" s="1"/>
  <c r="Y213"/>
  <c r="Q213"/>
  <c r="R213" s="1"/>
  <c r="S213" s="1"/>
  <c r="Y212"/>
  <c r="Q212" s="1"/>
  <c r="R212" s="1"/>
  <c r="S212" s="1"/>
  <c r="Y211"/>
  <c r="Q211"/>
  <c r="R211" s="1"/>
  <c r="Y210"/>
  <c r="Q210" s="1"/>
  <c r="R210" s="1"/>
  <c r="S210" s="1"/>
  <c r="Y209"/>
  <c r="Q209"/>
  <c r="Y208"/>
  <c r="Q208" s="1"/>
  <c r="R208" s="1"/>
  <c r="S208" s="1"/>
  <c r="Y207"/>
  <c r="Q207"/>
  <c r="R207" s="1"/>
  <c r="Y206"/>
  <c r="Q206" s="1"/>
  <c r="Y205"/>
  <c r="Q205"/>
  <c r="R205" s="1"/>
  <c r="S205" s="1"/>
  <c r="Y204"/>
  <c r="Q204" s="1"/>
  <c r="R204" s="1"/>
  <c r="S204" s="1"/>
  <c r="Y203"/>
  <c r="Q203"/>
  <c r="R203" s="1"/>
  <c r="Y202"/>
  <c r="Q202" s="1"/>
  <c r="R202" s="1"/>
  <c r="S202" s="1"/>
  <c r="Y201"/>
  <c r="Q201"/>
  <c r="Y200"/>
  <c r="Q200" s="1"/>
  <c r="R200" s="1"/>
  <c r="S200" s="1"/>
  <c r="Y199"/>
  <c r="Q199"/>
  <c r="R199" s="1"/>
  <c r="Y198"/>
  <c r="Q198" s="1"/>
  <c r="Y197"/>
  <c r="Q197"/>
  <c r="R197" s="1"/>
  <c r="S197" s="1"/>
  <c r="Y196"/>
  <c r="Q196" s="1"/>
  <c r="R196" s="1"/>
  <c r="S196" s="1"/>
  <c r="Y195"/>
  <c r="Q195"/>
  <c r="R195" s="1"/>
  <c r="Y194"/>
  <c r="Q194" s="1"/>
  <c r="R194" s="1"/>
  <c r="S194" s="1"/>
  <c r="Y193"/>
  <c r="Q193"/>
  <c r="Y192"/>
  <c r="Q192" s="1"/>
  <c r="R192" s="1"/>
  <c r="S192" s="1"/>
  <c r="Y191"/>
  <c r="Q191"/>
  <c r="R191" s="1"/>
  <c r="Y190"/>
  <c r="Q190" s="1"/>
  <c r="Y189"/>
  <c r="Q189"/>
  <c r="R189" s="1"/>
  <c r="S189" s="1"/>
  <c r="Y188"/>
  <c r="Q188" s="1"/>
  <c r="R188" s="1"/>
  <c r="S188" s="1"/>
  <c r="Y187"/>
  <c r="Q187"/>
  <c r="R187" s="1"/>
  <c r="Y186"/>
  <c r="Q186" s="1"/>
  <c r="R186" s="1"/>
  <c r="S186" s="1"/>
  <c r="Y185"/>
  <c r="Q185"/>
  <c r="Y184"/>
  <c r="Q184" s="1"/>
  <c r="R184" s="1"/>
  <c r="S184" s="1"/>
  <c r="Y183"/>
  <c r="Q183"/>
  <c r="R183" s="1"/>
  <c r="Y182"/>
  <c r="Q182" s="1"/>
  <c r="Y181"/>
  <c r="Q181"/>
  <c r="R181" s="1"/>
  <c r="S181" s="1"/>
  <c r="Y180"/>
  <c r="Q180" s="1"/>
  <c r="R180" s="1"/>
  <c r="S180" s="1"/>
  <c r="Y179"/>
  <c r="Q179"/>
  <c r="R179" s="1"/>
  <c r="Y178"/>
  <c r="Q178" s="1"/>
  <c r="R178" s="1"/>
  <c r="S178" s="1"/>
  <c r="Y177"/>
  <c r="Q177"/>
  <c r="Y176"/>
  <c r="Q176" s="1"/>
  <c r="R176" s="1"/>
  <c r="S176" s="1"/>
  <c r="Y175"/>
  <c r="Q175"/>
  <c r="R175" s="1"/>
  <c r="Y174"/>
  <c r="Q174" s="1"/>
  <c r="Y173"/>
  <c r="Q173"/>
  <c r="R173" s="1"/>
  <c r="S173" s="1"/>
  <c r="Y172"/>
  <c r="Q172" s="1"/>
  <c r="R172" s="1"/>
  <c r="S172" s="1"/>
  <c r="Y171"/>
  <c r="Q171"/>
  <c r="R171" s="1"/>
  <c r="Y170"/>
  <c r="Q170" s="1"/>
  <c r="R170" s="1"/>
  <c r="S170" s="1"/>
  <c r="Y169"/>
  <c r="Q169"/>
  <c r="Y168"/>
  <c r="Q168" s="1"/>
  <c r="R168" s="1"/>
  <c r="S168" s="1"/>
  <c r="Y167"/>
  <c r="Q167"/>
  <c r="R167" s="1"/>
  <c r="Y166"/>
  <c r="Q166" s="1"/>
  <c r="Y165"/>
  <c r="Q165"/>
  <c r="R165" s="1"/>
  <c r="S165" s="1"/>
  <c r="Y164"/>
  <c r="Q164" s="1"/>
  <c r="R164" s="1"/>
  <c r="S164" s="1"/>
  <c r="Y163"/>
  <c r="Q163"/>
  <c r="R163" s="1"/>
  <c r="Y162"/>
  <c r="Q162" s="1"/>
  <c r="R162" s="1"/>
  <c r="S162" s="1"/>
  <c r="Y161"/>
  <c r="Q161"/>
  <c r="Y160"/>
  <c r="Q160" s="1"/>
  <c r="R160" s="1"/>
  <c r="S160" s="1"/>
  <c r="Y159"/>
  <c r="Q159"/>
  <c r="R159" s="1"/>
  <c r="Y158"/>
  <c r="Q158" s="1"/>
  <c r="Y157"/>
  <c r="Q157"/>
  <c r="R157" s="1"/>
  <c r="S157" s="1"/>
  <c r="Y156"/>
  <c r="Q156" s="1"/>
  <c r="R156" s="1"/>
  <c r="S156" s="1"/>
  <c r="Y155"/>
  <c r="Q155"/>
  <c r="R155" s="1"/>
  <c r="Y154"/>
  <c r="Q154" s="1"/>
  <c r="R154" s="1"/>
  <c r="S154" s="1"/>
  <c r="Y153"/>
  <c r="Q153"/>
  <c r="Y152"/>
  <c r="Q152" s="1"/>
  <c r="R152" s="1"/>
  <c r="S152" s="1"/>
  <c r="Y151"/>
  <c r="Q151"/>
  <c r="R151" s="1"/>
  <c r="Y150"/>
  <c r="Q150" s="1"/>
  <c r="Y149"/>
  <c r="Q149"/>
  <c r="R149" s="1"/>
  <c r="S149" s="1"/>
  <c r="Y148"/>
  <c r="Q148" s="1"/>
  <c r="R148" s="1"/>
  <c r="S148" s="1"/>
  <c r="Y147"/>
  <c r="Q147"/>
  <c r="R147" s="1"/>
  <c r="Y146"/>
  <c r="Q146" s="1"/>
  <c r="R146" s="1"/>
  <c r="S146" s="1"/>
  <c r="Y145"/>
  <c r="Q145"/>
  <c r="T95"/>
  <c r="T96"/>
  <c r="T97"/>
  <c r="T98"/>
  <c r="T99"/>
  <c r="T100"/>
  <c r="T101"/>
  <c r="T102"/>
  <c r="T103"/>
  <c r="T104"/>
  <c r="T105"/>
  <c r="T106"/>
  <c r="T107"/>
  <c r="T108"/>
  <c r="T109"/>
  <c r="T110"/>
  <c r="T111"/>
  <c r="T112"/>
  <c r="T113"/>
  <c r="T114"/>
  <c r="T115"/>
  <c r="T116"/>
  <c r="T117"/>
  <c r="T118"/>
  <c r="T119"/>
  <c r="T120"/>
  <c r="T121"/>
  <c r="T122"/>
  <c r="T123"/>
  <c r="T124"/>
  <c r="T125"/>
  <c r="T126"/>
  <c r="T127"/>
  <c r="T128"/>
  <c r="T129"/>
  <c r="T130"/>
  <c r="T131"/>
  <c r="T132"/>
  <c r="T133"/>
  <c r="T134"/>
  <c r="T135"/>
  <c r="T136"/>
  <c r="T137"/>
  <c r="T138"/>
  <c r="T139"/>
  <c r="T140"/>
  <c r="T141"/>
  <c r="T142"/>
  <c r="T143"/>
  <c r="T144"/>
  <c r="R145"/>
  <c r="S145" s="1"/>
  <c r="T145"/>
  <c r="T146"/>
  <c r="S147"/>
  <c r="T147"/>
  <c r="T148"/>
  <c r="T149"/>
  <c r="R150"/>
  <c r="S150" s="1"/>
  <c r="T150"/>
  <c r="S151"/>
  <c r="T151"/>
  <c r="T152"/>
  <c r="R153"/>
  <c r="S153" s="1"/>
  <c r="T153"/>
  <c r="T154"/>
  <c r="S155"/>
  <c r="T155"/>
  <c r="T156"/>
  <c r="T157"/>
  <c r="R158"/>
  <c r="S158" s="1"/>
  <c r="T158"/>
  <c r="S159"/>
  <c r="T159"/>
  <c r="T160"/>
  <c r="R161"/>
  <c r="S161" s="1"/>
  <c r="T161"/>
  <c r="T162"/>
  <c r="S163"/>
  <c r="T163"/>
  <c r="T164"/>
  <c r="T165"/>
  <c r="R166"/>
  <c r="S166" s="1"/>
  <c r="T166"/>
  <c r="S167"/>
  <c r="T167"/>
  <c r="T168"/>
  <c r="R169"/>
  <c r="S169" s="1"/>
  <c r="T169"/>
  <c r="T170"/>
  <c r="S171"/>
  <c r="T171"/>
  <c r="T172"/>
  <c r="T173"/>
  <c r="R174"/>
  <c r="S174" s="1"/>
  <c r="T174"/>
  <c r="S175"/>
  <c r="T175"/>
  <c r="T176"/>
  <c r="R177"/>
  <c r="S177" s="1"/>
  <c r="T177"/>
  <c r="T178"/>
  <c r="S179"/>
  <c r="T179"/>
  <c r="T180"/>
  <c r="T181"/>
  <c r="R182"/>
  <c r="S182" s="1"/>
  <c r="T182"/>
  <c r="S183"/>
  <c r="T183"/>
  <c r="T184"/>
  <c r="R185"/>
  <c r="S185" s="1"/>
  <c r="T185"/>
  <c r="T186"/>
  <c r="S187"/>
  <c r="T187"/>
  <c r="T188"/>
  <c r="T189"/>
  <c r="R190"/>
  <c r="S190" s="1"/>
  <c r="T190"/>
  <c r="S191"/>
  <c r="T191"/>
  <c r="T192"/>
  <c r="R193"/>
  <c r="S193" s="1"/>
  <c r="T193"/>
  <c r="T194"/>
  <c r="S195"/>
  <c r="T195"/>
  <c r="T196"/>
  <c r="T197"/>
  <c r="R198"/>
  <c r="S198" s="1"/>
  <c r="T198"/>
  <c r="S199"/>
  <c r="T199"/>
  <c r="T200"/>
  <c r="R201"/>
  <c r="S201" s="1"/>
  <c r="T201"/>
  <c r="T202"/>
  <c r="S203"/>
  <c r="T203"/>
  <c r="T204"/>
  <c r="T205"/>
  <c r="R206"/>
  <c r="S206" s="1"/>
  <c r="T206"/>
  <c r="S207"/>
  <c r="T207"/>
  <c r="T208"/>
  <c r="R209"/>
  <c r="S209" s="1"/>
  <c r="T209"/>
  <c r="T210"/>
  <c r="S211"/>
  <c r="T211"/>
  <c r="T212"/>
  <c r="T213"/>
  <c r="R214"/>
  <c r="S214" s="1"/>
  <c r="T214"/>
  <c r="S215"/>
  <c r="T215"/>
  <c r="T216"/>
  <c r="R217"/>
  <c r="S217" s="1"/>
  <c r="T217"/>
  <c r="T218"/>
  <c r="S219"/>
  <c r="T219"/>
  <c r="T220"/>
  <c r="T221"/>
  <c r="R222"/>
  <c r="S222" s="1"/>
  <c r="T222"/>
  <c r="S223"/>
  <c r="T223"/>
  <c r="T224"/>
  <c r="R225"/>
  <c r="S225" s="1"/>
  <c r="T225"/>
  <c r="T226"/>
  <c r="S227"/>
  <c r="T227"/>
  <c r="T228"/>
  <c r="T229"/>
  <c r="R230"/>
  <c r="S230" s="1"/>
  <c r="T230"/>
  <c r="S231"/>
  <c r="T231"/>
  <c r="T232"/>
  <c r="R233"/>
  <c r="S233" s="1"/>
  <c r="T233"/>
  <c r="T234"/>
  <c r="S235"/>
  <c r="T235"/>
  <c r="T236"/>
  <c r="T237"/>
  <c r="R238"/>
  <c r="S238" s="1"/>
  <c r="T238"/>
  <c r="S239"/>
  <c r="T239"/>
  <c r="T240"/>
  <c r="R241"/>
  <c r="S241" s="1"/>
  <c r="T241"/>
  <c r="T242"/>
  <c r="S243"/>
  <c r="T243"/>
  <c r="T244"/>
  <c r="T245"/>
  <c r="R246"/>
  <c r="S246" s="1"/>
  <c r="T246"/>
  <c r="S247"/>
  <c r="T247"/>
  <c r="T248"/>
  <c r="R249"/>
  <c r="S249" s="1"/>
  <c r="T249"/>
  <c r="T250"/>
  <c r="S251"/>
  <c r="T251"/>
  <c r="T252"/>
  <c r="T253"/>
  <c r="R254"/>
  <c r="S254" s="1"/>
  <c r="T254"/>
  <c r="S255"/>
  <c r="T255"/>
  <c r="T256"/>
  <c r="R257"/>
  <c r="S257" s="1"/>
  <c r="T257"/>
  <c r="T258"/>
  <c r="S259"/>
  <c r="T259"/>
  <c r="T260"/>
  <c r="T261"/>
  <c r="R262"/>
  <c r="S262" s="1"/>
  <c r="T262"/>
  <c r="S263"/>
  <c r="T263"/>
  <c r="T264"/>
  <c r="R265"/>
  <c r="S265" s="1"/>
  <c r="T265"/>
  <c r="R266"/>
  <c r="S266" s="1"/>
  <c r="T266"/>
  <c r="S267"/>
  <c r="T267"/>
  <c r="T268"/>
  <c r="T269"/>
  <c r="R270"/>
  <c r="S270" s="1"/>
  <c r="T270"/>
  <c r="S271"/>
  <c r="T271"/>
  <c r="T272"/>
  <c r="R273"/>
  <c r="S273" s="1"/>
  <c r="T273"/>
  <c r="R274"/>
  <c r="S274" s="1"/>
  <c r="T274"/>
  <c r="S275"/>
  <c r="T275"/>
  <c r="T276"/>
  <c r="T277"/>
  <c r="R278"/>
  <c r="S278" s="1"/>
  <c r="T278"/>
  <c r="S279"/>
  <c r="T279"/>
  <c r="T280"/>
  <c r="R281"/>
  <c r="S281" s="1"/>
  <c r="T281"/>
  <c r="R282"/>
  <c r="S282" s="1"/>
  <c r="T282"/>
  <c r="S283"/>
  <c r="T283"/>
  <c r="T284"/>
  <c r="T285"/>
  <c r="R286"/>
  <c r="S286" s="1"/>
  <c r="T286"/>
  <c r="S287"/>
  <c r="T287"/>
  <c r="T288"/>
  <c r="R289"/>
  <c r="S289" s="1"/>
  <c r="T289"/>
  <c r="R290"/>
  <c r="S290" s="1"/>
  <c r="T290"/>
  <c r="S291"/>
  <c r="T291"/>
  <c r="T292"/>
  <c r="T293"/>
  <c r="T94"/>
  <c r="BG95"/>
  <c r="BG193"/>
  <c r="BG191"/>
  <c r="BG189"/>
  <c r="BG187"/>
  <c r="BG186"/>
  <c r="BG185"/>
  <c r="BG183"/>
  <c r="BH183" s="1"/>
  <c r="BI183" s="1"/>
  <c r="L173" s="1"/>
  <c r="BG182"/>
  <c r="BG181"/>
  <c r="BG179"/>
  <c r="BG178"/>
  <c r="BH178" s="1"/>
  <c r="BI178" s="1"/>
  <c r="L168" s="1"/>
  <c r="BG177"/>
  <c r="BG175"/>
  <c r="BG173"/>
  <c r="BG171"/>
  <c r="BG170"/>
  <c r="BG169"/>
  <c r="BG167"/>
  <c r="BH167" s="1"/>
  <c r="BI167" s="1"/>
  <c r="L157" s="1"/>
  <c r="BG166"/>
  <c r="BG165"/>
  <c r="BG163"/>
  <c r="BG162"/>
  <c r="BH162" s="1"/>
  <c r="BI162" s="1"/>
  <c r="L152" s="1"/>
  <c r="BG161"/>
  <c r="BG159"/>
  <c r="BG157"/>
  <c r="BG155"/>
  <c r="BG154"/>
  <c r="BG153"/>
  <c r="BG151"/>
  <c r="BH151" s="1"/>
  <c r="BI151" s="1"/>
  <c r="L141" s="1"/>
  <c r="BG150"/>
  <c r="BG149"/>
  <c r="BG147"/>
  <c r="BG146"/>
  <c r="BH146" s="1"/>
  <c r="BI146" s="1"/>
  <c r="L136" s="1"/>
  <c r="BG145"/>
  <c r="BG143"/>
  <c r="BG141"/>
  <c r="BG139"/>
  <c r="BG138"/>
  <c r="BG135"/>
  <c r="BG134"/>
  <c r="BG131"/>
  <c r="BG130"/>
  <c r="BG127"/>
  <c r="BG126"/>
  <c r="BG123"/>
  <c r="BG122"/>
  <c r="BG119"/>
  <c r="BG118"/>
  <c r="BG115"/>
  <c r="BG114"/>
  <c r="BG111"/>
  <c r="BG110"/>
  <c r="BG107"/>
  <c r="BG106"/>
  <c r="BG103"/>
  <c r="BG102"/>
  <c r="BG99"/>
  <c r="BG98"/>
  <c r="BH138"/>
  <c r="BI138" s="1"/>
  <c r="L128" s="1"/>
  <c r="BH139"/>
  <c r="BI139" s="1"/>
  <c r="L129" s="1"/>
  <c r="BH141"/>
  <c r="BI141" s="1"/>
  <c r="L131" s="1"/>
  <c r="BH143"/>
  <c r="BI143" s="1"/>
  <c r="L133" s="1"/>
  <c r="BH145"/>
  <c r="BI145" s="1"/>
  <c r="L135" s="1"/>
  <c r="BH147"/>
  <c r="BI147"/>
  <c r="L137" s="1"/>
  <c r="BH149"/>
  <c r="BI149" s="1"/>
  <c r="L139"/>
  <c r="BH150"/>
  <c r="BI150" s="1"/>
  <c r="L140" s="1"/>
  <c r="BH153"/>
  <c r="BI153" s="1"/>
  <c r="L143"/>
  <c r="BH154"/>
  <c r="BI154" s="1"/>
  <c r="L144" s="1"/>
  <c r="BH155"/>
  <c r="BI155" s="1"/>
  <c r="L145" s="1"/>
  <c r="BH157"/>
  <c r="BI157" s="1"/>
  <c r="L147" s="1"/>
  <c r="BH159"/>
  <c r="BI159" s="1"/>
  <c r="L149" s="1"/>
  <c r="BH161"/>
  <c r="BI161" s="1"/>
  <c r="L151" s="1"/>
  <c r="BH163"/>
  <c r="BI163"/>
  <c r="L153" s="1"/>
  <c r="BH165"/>
  <c r="BI165" s="1"/>
  <c r="L155"/>
  <c r="BH166"/>
  <c r="BI166" s="1"/>
  <c r="L156" s="1"/>
  <c r="BH169"/>
  <c r="BI169" s="1"/>
  <c r="L159"/>
  <c r="BH170"/>
  <c r="BI170" s="1"/>
  <c r="L160" s="1"/>
  <c r="BH171"/>
  <c r="BI171" s="1"/>
  <c r="L161" s="1"/>
  <c r="BH173"/>
  <c r="BI173" s="1"/>
  <c r="L163" s="1"/>
  <c r="BH175"/>
  <c r="BI175" s="1"/>
  <c r="L165" s="1"/>
  <c r="BH177"/>
  <c r="BI177" s="1"/>
  <c r="L167" s="1"/>
  <c r="BH179"/>
  <c r="BI179"/>
  <c r="L169" s="1"/>
  <c r="BH181"/>
  <c r="BI181" s="1"/>
  <c r="L171"/>
  <c r="BH182"/>
  <c r="BI182" s="1"/>
  <c r="L172" s="1"/>
  <c r="BH185"/>
  <c r="BI185" s="1"/>
  <c r="L175"/>
  <c r="BH186"/>
  <c r="BI186" s="1"/>
  <c r="L176" s="1"/>
  <c r="BH187"/>
  <c r="BI187" s="1"/>
  <c r="L177" s="1"/>
  <c r="BH189"/>
  <c r="BI189" s="1"/>
  <c r="L179" s="1"/>
  <c r="BH191"/>
  <c r="BI191" s="1"/>
  <c r="L181" s="1"/>
  <c r="BH193"/>
  <c r="BI193" s="1"/>
  <c r="L183" s="1"/>
  <c r="BG194"/>
  <c r="BG195"/>
  <c r="BH195" s="1"/>
  <c r="BI195" s="1"/>
  <c r="L185" s="1"/>
  <c r="BG196"/>
  <c r="BH196" s="1"/>
  <c r="BI196" s="1"/>
  <c r="L186"/>
  <c r="BG197"/>
  <c r="BG199"/>
  <c r="BH199" s="1"/>
  <c r="BI199" s="1"/>
  <c r="L189" s="1"/>
  <c r="BG201"/>
  <c r="BG202"/>
  <c r="BG203"/>
  <c r="BH203" s="1"/>
  <c r="BI203" s="1"/>
  <c r="L193" s="1"/>
  <c r="BG204"/>
  <c r="BH204" s="1"/>
  <c r="BI204" s="1"/>
  <c r="L194"/>
  <c r="BG205"/>
  <c r="BG207"/>
  <c r="BH207" s="1"/>
  <c r="BI207" s="1"/>
  <c r="L197" s="1"/>
  <c r="BG209"/>
  <c r="BG210"/>
  <c r="BG211"/>
  <c r="BH211" s="1"/>
  <c r="BI211" s="1"/>
  <c r="L201" s="1"/>
  <c r="BG212"/>
  <c r="BH212" s="1"/>
  <c r="BI212" s="1"/>
  <c r="L202"/>
  <c r="BG213"/>
  <c r="BG215"/>
  <c r="BH215" s="1"/>
  <c r="BI215" s="1"/>
  <c r="L205" s="1"/>
  <c r="BG217"/>
  <c r="BG218"/>
  <c r="BG219"/>
  <c r="BH219" s="1"/>
  <c r="BI219" s="1"/>
  <c r="L209" s="1"/>
  <c r="BG220"/>
  <c r="BH220" s="1"/>
  <c r="BI220" s="1"/>
  <c r="L210"/>
  <c r="BG221"/>
  <c r="BG223"/>
  <c r="BH223" s="1"/>
  <c r="BI223" s="1"/>
  <c r="L213" s="1"/>
  <c r="BG225"/>
  <c r="BG226"/>
  <c r="BG227"/>
  <c r="BH227" s="1"/>
  <c r="BI227" s="1"/>
  <c r="L217" s="1"/>
  <c r="BG228"/>
  <c r="BH228" s="1"/>
  <c r="BI228" s="1"/>
  <c r="L218"/>
  <c r="BG229"/>
  <c r="BG231"/>
  <c r="BH231" s="1"/>
  <c r="BI231" s="1"/>
  <c r="L221" s="1"/>
  <c r="BG233"/>
  <c r="BG234"/>
  <c r="BG235"/>
  <c r="BH235" s="1"/>
  <c r="BI235" s="1"/>
  <c r="L225" s="1"/>
  <c r="BG236"/>
  <c r="BH236" s="1"/>
  <c r="BI236" s="1"/>
  <c r="L226"/>
  <c r="BG237"/>
  <c r="BG239"/>
  <c r="BH239" s="1"/>
  <c r="BI239" s="1"/>
  <c r="L229" s="1"/>
  <c r="BG241"/>
  <c r="BG242"/>
  <c r="BG243"/>
  <c r="BH243" s="1"/>
  <c r="BI243" s="1"/>
  <c r="L233" s="1"/>
  <c r="BG244"/>
  <c r="BH244" s="1"/>
  <c r="BI244" s="1"/>
  <c r="L234"/>
  <c r="BG245"/>
  <c r="BG247"/>
  <c r="BH247" s="1"/>
  <c r="BI247" s="1"/>
  <c r="L237" s="1"/>
  <c r="BG249"/>
  <c r="BG250"/>
  <c r="BG251"/>
  <c r="BH251" s="1"/>
  <c r="BI251" s="1"/>
  <c r="L241" s="1"/>
  <c r="BG252"/>
  <c r="BH252" s="1"/>
  <c r="BI252" s="1"/>
  <c r="L242"/>
  <c r="BG253"/>
  <c r="BG255"/>
  <c r="BH255" s="1"/>
  <c r="BI255" s="1"/>
  <c r="L245" s="1"/>
  <c r="BG257"/>
  <c r="BG258"/>
  <c r="BG259"/>
  <c r="BH259" s="1"/>
  <c r="BI259" s="1"/>
  <c r="L249" s="1"/>
  <c r="BG260"/>
  <c r="BH260" s="1"/>
  <c r="BI260" s="1"/>
  <c r="L250"/>
  <c r="BG261"/>
  <c r="BG263"/>
  <c r="BH263" s="1"/>
  <c r="BI263" s="1"/>
  <c r="L253" s="1"/>
  <c r="BG265"/>
  <c r="BG266"/>
  <c r="BG267"/>
  <c r="BH267" s="1"/>
  <c r="BI267" s="1"/>
  <c r="L257" s="1"/>
  <c r="BG268"/>
  <c r="BH268" s="1"/>
  <c r="BI268" s="1"/>
  <c r="L258"/>
  <c r="BG269"/>
  <c r="BG271"/>
  <c r="BH271" s="1"/>
  <c r="BI271" s="1"/>
  <c r="L261" s="1"/>
  <c r="BG273"/>
  <c r="BG274"/>
  <c r="BG275"/>
  <c r="BH275" s="1"/>
  <c r="BI275" s="1"/>
  <c r="L265" s="1"/>
  <c r="BG276"/>
  <c r="BH276" s="1"/>
  <c r="BI276" s="1"/>
  <c r="L266"/>
  <c r="BG277"/>
  <c r="BG279"/>
  <c r="BH279" s="1"/>
  <c r="BI279" s="1"/>
  <c r="L269" s="1"/>
  <c r="BG281"/>
  <c r="BG282"/>
  <c r="BG283"/>
  <c r="BH283" s="1"/>
  <c r="BI283" s="1"/>
  <c r="L273" s="1"/>
  <c r="BG284"/>
  <c r="BH284" s="1"/>
  <c r="BI284" s="1"/>
  <c r="L274"/>
  <c r="BG285"/>
  <c r="BG287"/>
  <c r="BH287" s="1"/>
  <c r="BI287" s="1"/>
  <c r="L277" s="1"/>
  <c r="BG289"/>
  <c r="BG290"/>
  <c r="BG291"/>
  <c r="BH291" s="1"/>
  <c r="BI291" s="1"/>
  <c r="L281" s="1"/>
  <c r="BG292"/>
  <c r="BH292" s="1"/>
  <c r="BI292" s="1"/>
  <c r="L282"/>
  <c r="BG293"/>
  <c r="J136"/>
  <c r="BB147"/>
  <c r="BC147" s="1"/>
  <c r="J137" s="1"/>
  <c r="J140"/>
  <c r="BB151"/>
  <c r="BC151" s="1"/>
  <c r="J141" s="1"/>
  <c r="J144"/>
  <c r="BB155"/>
  <c r="BC155" s="1"/>
  <c r="J145" s="1"/>
  <c r="J148"/>
  <c r="BB159"/>
  <c r="BC159" s="1"/>
  <c r="J149" s="1"/>
  <c r="J152"/>
  <c r="BB163"/>
  <c r="BC163" s="1"/>
  <c r="J153" s="1"/>
  <c r="J156"/>
  <c r="BB167"/>
  <c r="BC167" s="1"/>
  <c r="J157" s="1"/>
  <c r="J160"/>
  <c r="BB171"/>
  <c r="BC171" s="1"/>
  <c r="J161" s="1"/>
  <c r="J164"/>
  <c r="BB175"/>
  <c r="BC175" s="1"/>
  <c r="J165" s="1"/>
  <c r="J168"/>
  <c r="BB179"/>
  <c r="BC179" s="1"/>
  <c r="J169" s="1"/>
  <c r="J172"/>
  <c r="BB183"/>
  <c r="BC183" s="1"/>
  <c r="J173" s="1"/>
  <c r="J176"/>
  <c r="BB187"/>
  <c r="BC187" s="1"/>
  <c r="J177" s="1"/>
  <c r="J180"/>
  <c r="BB191"/>
  <c r="BC191" s="1"/>
  <c r="J181" s="1"/>
  <c r="J184"/>
  <c r="BB195"/>
  <c r="BC195" s="1"/>
  <c r="J185" s="1"/>
  <c r="J188"/>
  <c r="BB199"/>
  <c r="BC199" s="1"/>
  <c r="J189" s="1"/>
  <c r="J192"/>
  <c r="BB203"/>
  <c r="BC203" s="1"/>
  <c r="J193" s="1"/>
  <c r="J196"/>
  <c r="BB207"/>
  <c r="BC207" s="1"/>
  <c r="J197" s="1"/>
  <c r="J200"/>
  <c r="BB211"/>
  <c r="BC211" s="1"/>
  <c r="J201" s="1"/>
  <c r="J204"/>
  <c r="BB215"/>
  <c r="BC215" s="1"/>
  <c r="J205" s="1"/>
  <c r="J208"/>
  <c r="BB219"/>
  <c r="BC219" s="1"/>
  <c r="J209" s="1"/>
  <c r="J212"/>
  <c r="BB223"/>
  <c r="BC223" s="1"/>
  <c r="J213" s="1"/>
  <c r="J216"/>
  <c r="BB227"/>
  <c r="BC227" s="1"/>
  <c r="J217" s="1"/>
  <c r="J220"/>
  <c r="BB231"/>
  <c r="BC231" s="1"/>
  <c r="J221" s="1"/>
  <c r="J224"/>
  <c r="BB235"/>
  <c r="BC235" s="1"/>
  <c r="J225" s="1"/>
  <c r="J228"/>
  <c r="BB239"/>
  <c r="BC239" s="1"/>
  <c r="J229" s="1"/>
  <c r="J232"/>
  <c r="BB243"/>
  <c r="BC243" s="1"/>
  <c r="J233" s="1"/>
  <c r="J236"/>
  <c r="BB247"/>
  <c r="BC247" s="1"/>
  <c r="J237" s="1"/>
  <c r="J240"/>
  <c r="BB251"/>
  <c r="BC251" s="1"/>
  <c r="J241" s="1"/>
  <c r="J244"/>
  <c r="BB255"/>
  <c r="BC255" s="1"/>
  <c r="J245" s="1"/>
  <c r="J248"/>
  <c r="BB259"/>
  <c r="BC259" s="1"/>
  <c r="J249" s="1"/>
  <c r="J252"/>
  <c r="BB263"/>
  <c r="BC263" s="1"/>
  <c r="J253" s="1"/>
  <c r="J256"/>
  <c r="BB267"/>
  <c r="BC267" s="1"/>
  <c r="J257" s="1"/>
  <c r="J260"/>
  <c r="BB271"/>
  <c r="BC271" s="1"/>
  <c r="J261" s="1"/>
  <c r="J264"/>
  <c r="BB275"/>
  <c r="BC275" s="1"/>
  <c r="J265" s="1"/>
  <c r="J268"/>
  <c r="BB279"/>
  <c r="BC279" s="1"/>
  <c r="J269" s="1"/>
  <c r="J272"/>
  <c r="BB283"/>
  <c r="BC283" s="1"/>
  <c r="J273" s="1"/>
  <c r="J276"/>
  <c r="BB287"/>
  <c r="BC287" s="1"/>
  <c r="J277" s="1"/>
  <c r="J280"/>
  <c r="BB291"/>
  <c r="BC291" s="1"/>
  <c r="J281" s="1"/>
  <c r="K184"/>
  <c r="K185"/>
  <c r="BF196"/>
  <c r="M186"/>
  <c r="K189"/>
  <c r="BF199"/>
  <c r="M189" s="1"/>
  <c r="K192"/>
  <c r="K193"/>
  <c r="BF204"/>
  <c r="M194"/>
  <c r="K197"/>
  <c r="BF207"/>
  <c r="M197" s="1"/>
  <c r="K200"/>
  <c r="K201"/>
  <c r="BF212"/>
  <c r="M202"/>
  <c r="K205"/>
  <c r="BF215"/>
  <c r="M205" s="1"/>
  <c r="K208"/>
  <c r="K209"/>
  <c r="BF220"/>
  <c r="M210"/>
  <c r="K213"/>
  <c r="BF223"/>
  <c r="M213" s="1"/>
  <c r="K216"/>
  <c r="K217"/>
  <c r="BF228"/>
  <c r="M218"/>
  <c r="K221"/>
  <c r="BF231"/>
  <c r="M221" s="1"/>
  <c r="K224"/>
  <c r="K225"/>
  <c r="BF236"/>
  <c r="M226"/>
  <c r="K229"/>
  <c r="BF239"/>
  <c r="M229" s="1"/>
  <c r="K232"/>
  <c r="K233"/>
  <c r="BF244"/>
  <c r="M234"/>
  <c r="K237"/>
  <c r="BF247"/>
  <c r="M237" s="1"/>
  <c r="K240"/>
  <c r="K241"/>
  <c r="BF252"/>
  <c r="M242"/>
  <c r="K245"/>
  <c r="BF255"/>
  <c r="M245" s="1"/>
  <c r="K248"/>
  <c r="K249"/>
  <c r="BF260"/>
  <c r="M250"/>
  <c r="K253"/>
  <c r="BF263"/>
  <c r="M253" s="1"/>
  <c r="K256"/>
  <c r="K257"/>
  <c r="BF268"/>
  <c r="M258"/>
  <c r="K261"/>
  <c r="BF271"/>
  <c r="M261" s="1"/>
  <c r="K264"/>
  <c r="K265"/>
  <c r="BF276"/>
  <c r="M266"/>
  <c r="K269"/>
  <c r="BF279"/>
  <c r="M269" s="1"/>
  <c r="K272"/>
  <c r="K273"/>
  <c r="BF284"/>
  <c r="M274"/>
  <c r="K277"/>
  <c r="BF287"/>
  <c r="M277" s="1"/>
  <c r="K280"/>
  <c r="K281"/>
  <c r="BF292"/>
  <c r="M282"/>
  <c r="DG6" i="45"/>
  <c r="DG7"/>
  <c r="S5"/>
  <c r="S4" s="1"/>
  <c r="Q5"/>
  <c r="Q4" s="1"/>
  <c r="DI6"/>
  <c r="DI7"/>
  <c r="AA10"/>
  <c r="AA7"/>
  <c r="BS14"/>
  <c r="BR14"/>
  <c r="BQ14"/>
  <c r="BP14"/>
  <c r="BS13"/>
  <c r="BR13"/>
  <c r="BQ13"/>
  <c r="BP13"/>
  <c r="BL14"/>
  <c r="BK14"/>
  <c r="BJ14"/>
  <c r="BI14"/>
  <c r="BL13"/>
  <c r="BK13"/>
  <c r="BJ13"/>
  <c r="BI13"/>
  <c r="BE14"/>
  <c r="BD14"/>
  <c r="BC14"/>
  <c r="BB14"/>
  <c r="BE13"/>
  <c r="BD13"/>
  <c r="BC13"/>
  <c r="BB13"/>
  <c r="CX75"/>
  <c r="CW75"/>
  <c r="CX74"/>
  <c r="CW74"/>
  <c r="CX73"/>
  <c r="CW73"/>
  <c r="CX72"/>
  <c r="CW72"/>
  <c r="CX71"/>
  <c r="CW71"/>
  <c r="CX70"/>
  <c r="CW70"/>
  <c r="U11"/>
  <c r="U10"/>
  <c r="U8"/>
  <c r="U7"/>
  <c r="CW50"/>
  <c r="I30"/>
  <c r="H30"/>
  <c r="G30"/>
  <c r="F30"/>
  <c r="I29"/>
  <c r="H29"/>
  <c r="G29"/>
  <c r="F29"/>
  <c r="DA5" i="43"/>
  <c r="DG2"/>
  <c r="CX3" s="1"/>
  <c r="CZ5"/>
  <c r="DG1" s="1"/>
  <c r="CX2" s="1"/>
  <c r="DB36"/>
  <c r="DA36"/>
  <c r="DE5"/>
  <c r="CU45"/>
  <c r="DB5"/>
  <c r="DC5"/>
  <c r="CX45"/>
  <c r="DD5"/>
  <c r="CZ7"/>
  <c r="DC7"/>
  <c r="CZ49"/>
  <c r="CZ50"/>
  <c r="CY52"/>
  <c r="H19" s="1"/>
  <c r="CX52"/>
  <c r="CX49"/>
  <c r="CX50"/>
  <c r="G17" s="1"/>
  <c r="CX51"/>
  <c r="CX36"/>
  <c r="DB35"/>
  <c r="DA35"/>
  <c r="DB34"/>
  <c r="DA34"/>
  <c r="CX34"/>
  <c r="G19"/>
  <c r="I17"/>
  <c r="G16"/>
  <c r="DG6"/>
  <c r="CY18" s="1"/>
  <c r="DG4"/>
  <c r="CY16"/>
  <c r="C71" i="41"/>
  <c r="C72" s="1"/>
  <c r="C66"/>
  <c r="C92"/>
  <c r="C88"/>
  <c r="P81"/>
  <c r="P88"/>
  <c r="P92"/>
  <c r="P90"/>
  <c r="P91"/>
  <c r="P73"/>
  <c r="D79" s="1"/>
  <c r="P77"/>
  <c r="P75"/>
  <c r="P74"/>
  <c r="P69"/>
  <c r="P70"/>
  <c r="P71"/>
  <c r="P72"/>
  <c r="P68"/>
  <c r="P67"/>
  <c r="R68"/>
  <c r="R69"/>
  <c r="D70"/>
  <c r="S75"/>
  <c r="AB123"/>
  <c r="AC123" s="1"/>
  <c r="AD123" s="1"/>
  <c r="AE123" s="1"/>
  <c r="AF123" s="1"/>
  <c r="AG123" s="1"/>
  <c r="AH123" s="1"/>
  <c r="AI123" s="1"/>
  <c r="AJ123" s="1"/>
  <c r="AK123" s="1"/>
  <c r="AL123" s="1"/>
  <c r="AM123" s="1"/>
  <c r="AN123" s="1"/>
  <c r="AO123" s="1"/>
  <c r="AP123" s="1"/>
  <c r="AQ123" s="1"/>
  <c r="S90"/>
  <c r="S74"/>
  <c r="S71"/>
  <c r="S73"/>
  <c r="S72"/>
  <c r="S68"/>
  <c r="S69"/>
  <c r="D83"/>
  <c r="O93" i="40"/>
  <c r="O100"/>
  <c r="O104"/>
  <c r="O102"/>
  <c r="O103"/>
  <c r="R102"/>
  <c r="R87"/>
  <c r="O85"/>
  <c r="O81"/>
  <c r="O82"/>
  <c r="R81"/>
  <c r="O80"/>
  <c r="O79"/>
  <c r="O83"/>
  <c r="O84"/>
  <c r="R84"/>
  <c r="O89"/>
  <c r="O87"/>
  <c r="O86"/>
  <c r="R86"/>
  <c r="R85"/>
  <c r="R79"/>
  <c r="O96"/>
  <c r="O98"/>
  <c r="O99"/>
  <c r="R99"/>
  <c r="R83"/>
  <c r="R94"/>
  <c r="R82"/>
  <c r="O94"/>
  <c r="O95"/>
  <c r="R95"/>
  <c r="R89"/>
  <c r="D90"/>
  <c r="C82"/>
  <c r="C83" s="1"/>
  <c r="C77"/>
  <c r="C103"/>
  <c r="C99"/>
  <c r="C104"/>
  <c r="D94"/>
  <c r="Q81"/>
  <c r="Q79"/>
  <c r="Z94" i="46"/>
  <c r="Z95"/>
  <c r="Z96"/>
  <c r="Z97"/>
  <c r="Z98"/>
  <c r="Z99"/>
  <c r="Z100"/>
  <c r="Z101"/>
  <c r="Z102"/>
  <c r="Z103"/>
  <c r="Z135"/>
  <c r="Z136"/>
  <c r="Z137"/>
  <c r="Z138"/>
  <c r="Z139"/>
  <c r="Z140"/>
  <c r="Z141"/>
  <c r="Z142"/>
  <c r="Z143"/>
  <c r="Z144"/>
  <c r="Z145"/>
  <c r="Z146"/>
  <c r="Z147"/>
  <c r="Z148"/>
  <c r="Z149"/>
  <c r="Z150"/>
  <c r="Z151"/>
  <c r="Z152"/>
  <c r="Z153"/>
  <c r="Z154"/>
  <c r="Z155"/>
  <c r="Z156"/>
  <c r="Z157"/>
  <c r="Z158"/>
  <c r="Z159"/>
  <c r="Z160"/>
  <c r="Z161"/>
  <c r="Z162"/>
  <c r="Z163"/>
  <c r="Z164"/>
  <c r="Z165"/>
  <c r="Z166"/>
  <c r="Z167"/>
  <c r="Z168"/>
  <c r="Z169"/>
  <c r="Z170"/>
  <c r="Z171"/>
  <c r="Z172"/>
  <c r="Z173"/>
  <c r="Z174"/>
  <c r="Z175"/>
  <c r="Z176"/>
  <c r="Z177"/>
  <c r="Z178"/>
  <c r="Z179"/>
  <c r="Z180"/>
  <c r="Z181"/>
  <c r="Z182"/>
  <c r="Z183"/>
  <c r="Z184"/>
  <c r="Z185"/>
  <c r="Z186"/>
  <c r="Z187"/>
  <c r="Z188"/>
  <c r="Z189"/>
  <c r="Z190"/>
  <c r="Z191"/>
  <c r="Z192"/>
  <c r="Z193"/>
  <c r="Z194"/>
  <c r="Z195"/>
  <c r="Z196"/>
  <c r="Z197"/>
  <c r="Z198"/>
  <c r="Z199"/>
  <c r="Z200"/>
  <c r="Z201"/>
  <c r="Z202"/>
  <c r="Z203"/>
  <c r="Z204"/>
  <c r="Z205"/>
  <c r="Z206"/>
  <c r="Z207"/>
  <c r="Z208"/>
  <c r="Z209"/>
  <c r="Z210"/>
  <c r="Z211"/>
  <c r="Z212"/>
  <c r="Z213"/>
  <c r="Z214"/>
  <c r="Z215"/>
  <c r="Z216"/>
  <c r="Z217"/>
  <c r="Z218"/>
  <c r="Z219"/>
  <c r="Z220"/>
  <c r="Z221"/>
  <c r="Z222"/>
  <c r="Z223"/>
  <c r="Z224"/>
  <c r="Z225"/>
  <c r="Z226"/>
  <c r="Z227"/>
  <c r="Z228"/>
  <c r="Z229"/>
  <c r="Z230"/>
  <c r="Z231"/>
  <c r="Z232"/>
  <c r="Z233"/>
  <c r="Z234"/>
  <c r="Z235"/>
  <c r="Z236"/>
  <c r="Z237"/>
  <c r="Z238"/>
  <c r="Z239"/>
  <c r="Z240"/>
  <c r="Z241"/>
  <c r="Z242"/>
  <c r="Z243"/>
  <c r="Z244"/>
  <c r="Z245"/>
  <c r="Z246"/>
  <c r="Z247"/>
  <c r="Z248"/>
  <c r="Z249"/>
  <c r="Z250"/>
  <c r="Z251"/>
  <c r="Z252"/>
  <c r="Z253"/>
  <c r="Z254"/>
  <c r="Z255"/>
  <c r="Z256"/>
  <c r="Z257"/>
  <c r="Z258"/>
  <c r="Z259"/>
  <c r="Z260"/>
  <c r="Z261"/>
  <c r="Z262"/>
  <c r="Z263"/>
  <c r="Z264"/>
  <c r="Z265"/>
  <c r="Z266"/>
  <c r="Z267"/>
  <c r="Z268"/>
  <c r="Z269"/>
  <c r="Z270"/>
  <c r="Z271"/>
  <c r="Z272"/>
  <c r="Z273"/>
  <c r="Z274"/>
  <c r="Z275"/>
  <c r="Z276"/>
  <c r="Z277"/>
  <c r="Z278"/>
  <c r="Z279"/>
  <c r="Z280"/>
  <c r="Z281"/>
  <c r="Z282"/>
  <c r="Z283"/>
  <c r="Z284"/>
  <c r="Z285"/>
  <c r="Z286"/>
  <c r="Z287"/>
  <c r="Z288"/>
  <c r="Z289"/>
  <c r="Z290"/>
  <c r="Z291"/>
  <c r="Z292"/>
  <c r="Z293"/>
  <c r="AA145"/>
  <c r="AA146"/>
  <c r="AA147"/>
  <c r="AA148"/>
  <c r="AA149"/>
  <c r="AA150"/>
  <c r="AA151"/>
  <c r="AA152"/>
  <c r="AA153"/>
  <c r="AA154"/>
  <c r="AA155"/>
  <c r="AA156"/>
  <c r="AA157"/>
  <c r="AA158"/>
  <c r="AA159"/>
  <c r="AA160"/>
  <c r="AA161"/>
  <c r="AA162"/>
  <c r="AA163"/>
  <c r="AA164"/>
  <c r="AA165"/>
  <c r="AA166"/>
  <c r="AA167"/>
  <c r="AA168"/>
  <c r="AA169"/>
  <c r="AA170"/>
  <c r="AA171"/>
  <c r="AA172"/>
  <c r="AA173"/>
  <c r="AA174"/>
  <c r="AA175"/>
  <c r="AA176"/>
  <c r="AA177"/>
  <c r="AA178"/>
  <c r="AA179"/>
  <c r="AA180"/>
  <c r="AA181"/>
  <c r="AA182"/>
  <c r="AA183"/>
  <c r="AA184"/>
  <c r="AA185"/>
  <c r="AA186"/>
  <c r="AA187"/>
  <c r="AA188"/>
  <c r="AA189"/>
  <c r="AA190"/>
  <c r="AA191"/>
  <c r="AA192"/>
  <c r="AA193"/>
  <c r="AA194"/>
  <c r="AA195"/>
  <c r="AA196"/>
  <c r="AA197"/>
  <c r="AA198"/>
  <c r="AA199"/>
  <c r="AA200"/>
  <c r="AA201"/>
  <c r="AA202"/>
  <c r="AA203"/>
  <c r="AA204"/>
  <c r="AA205"/>
  <c r="AA206"/>
  <c r="AA207"/>
  <c r="AA208"/>
  <c r="AA209"/>
  <c r="AA210"/>
  <c r="AA211"/>
  <c r="AA212"/>
  <c r="AA213"/>
  <c r="AA214"/>
  <c r="AA215"/>
  <c r="AA216"/>
  <c r="AA217"/>
  <c r="AA218"/>
  <c r="AA219"/>
  <c r="AA220"/>
  <c r="AA221"/>
  <c r="AA222"/>
  <c r="AA223"/>
  <c r="AA224"/>
  <c r="AA225"/>
  <c r="AA226"/>
  <c r="AA227"/>
  <c r="AA228"/>
  <c r="AA229"/>
  <c r="AA230"/>
  <c r="AA231"/>
  <c r="AA232"/>
  <c r="AA233"/>
  <c r="AA234"/>
  <c r="AA235"/>
  <c r="AA236"/>
  <c r="AA237"/>
  <c r="AA238"/>
  <c r="AA239"/>
  <c r="AA240"/>
  <c r="AA241"/>
  <c r="AA242"/>
  <c r="AA243"/>
  <c r="AA244"/>
  <c r="AA245"/>
  <c r="AA246"/>
  <c r="AA247"/>
  <c r="AA248"/>
  <c r="AA249"/>
  <c r="AA250"/>
  <c r="AA251"/>
  <c r="AA252"/>
  <c r="AA253"/>
  <c r="AA254"/>
  <c r="AA255"/>
  <c r="AA256"/>
  <c r="AA257"/>
  <c r="AA258"/>
  <c r="AA259"/>
  <c r="AA260"/>
  <c r="AA261"/>
  <c r="AA262"/>
  <c r="AA263"/>
  <c r="AA264"/>
  <c r="AA265"/>
  <c r="AA266"/>
  <c r="AA267"/>
  <c r="AA268"/>
  <c r="AA269"/>
  <c r="AA270"/>
  <c r="AA271"/>
  <c r="AA272"/>
  <c r="AA273"/>
  <c r="AA274"/>
  <c r="AA275"/>
  <c r="AA276"/>
  <c r="AA277"/>
  <c r="AA278"/>
  <c r="AA279"/>
  <c r="AA280"/>
  <c r="AA281"/>
  <c r="AA282"/>
  <c r="AA283"/>
  <c r="AA284"/>
  <c r="AA285"/>
  <c r="AA286"/>
  <c r="AA287"/>
  <c r="AA288"/>
  <c r="AA289"/>
  <c r="AA290"/>
  <c r="AA291"/>
  <c r="AA292"/>
  <c r="AA293"/>
  <c r="BF95"/>
  <c r="BF98"/>
  <c r="M88" s="1"/>
  <c r="BF99"/>
  <c r="BF102"/>
  <c r="M92" s="1"/>
  <c r="BF103"/>
  <c r="BF106"/>
  <c r="M96" s="1"/>
  <c r="BF107"/>
  <c r="BF110"/>
  <c r="M100" s="1"/>
  <c r="BF111"/>
  <c r="BF114"/>
  <c r="M104" s="1"/>
  <c r="BF115"/>
  <c r="BF118"/>
  <c r="M108" s="1"/>
  <c r="BF119"/>
  <c r="BF122"/>
  <c r="M112" s="1"/>
  <c r="BF123"/>
  <c r="BF126"/>
  <c r="M116" s="1"/>
  <c r="BF127"/>
  <c r="BF130"/>
  <c r="M120" s="1"/>
  <c r="BF131"/>
  <c r="BF134"/>
  <c r="M124" s="1"/>
  <c r="BF135"/>
  <c r="BF138"/>
  <c r="M128" s="1"/>
  <c r="BF139"/>
  <c r="BF141"/>
  <c r="M131" s="1"/>
  <c r="BF143"/>
  <c r="BF145"/>
  <c r="M135" s="1"/>
  <c r="BF146"/>
  <c r="M136" s="1"/>
  <c r="BF147"/>
  <c r="BF149"/>
  <c r="M139" s="1"/>
  <c r="BF150"/>
  <c r="M140" s="1"/>
  <c r="BF151"/>
  <c r="BF153"/>
  <c r="M143" s="1"/>
  <c r="BF154"/>
  <c r="M144" s="1"/>
  <c r="BF155"/>
  <c r="BF157"/>
  <c r="M147" s="1"/>
  <c r="BF159"/>
  <c r="BF161"/>
  <c r="M151" s="1"/>
  <c r="BF162"/>
  <c r="M152" s="1"/>
  <c r="BF163"/>
  <c r="BF165"/>
  <c r="M155" s="1"/>
  <c r="BF166"/>
  <c r="M156" s="1"/>
  <c r="BF167"/>
  <c r="BF169"/>
  <c r="M159" s="1"/>
  <c r="BF170"/>
  <c r="M160" s="1"/>
  <c r="BF171"/>
  <c r="BF173"/>
  <c r="M163" s="1"/>
  <c r="BF175"/>
  <c r="BF177"/>
  <c r="M167" s="1"/>
  <c r="BF178"/>
  <c r="M168" s="1"/>
  <c r="BF179"/>
  <c r="BF181"/>
  <c r="M171" s="1"/>
  <c r="BF182"/>
  <c r="M172" s="1"/>
  <c r="BF183"/>
  <c r="BF185"/>
  <c r="M175" s="1"/>
  <c r="BF186"/>
  <c r="M176" s="1"/>
  <c r="BF187"/>
  <c r="BF189"/>
  <c r="M179" s="1"/>
  <c r="BF191"/>
  <c r="BF193"/>
  <c r="M183" s="1"/>
  <c r="AC90"/>
  <c r="AG94" s="1"/>
  <c r="AG95"/>
  <c r="AG97"/>
  <c r="AG99"/>
  <c r="AG101"/>
  <c r="AG130"/>
  <c r="AG131"/>
  <c r="AG132"/>
  <c r="AG133"/>
  <c r="AG134"/>
  <c r="AG135"/>
  <c r="AG136"/>
  <c r="AG137"/>
  <c r="AH138"/>
  <c r="AG138"/>
  <c r="AH139"/>
  <c r="AG139"/>
  <c r="AH140"/>
  <c r="AG140"/>
  <c r="AH141"/>
  <c r="AG141"/>
  <c r="AG142"/>
  <c r="AG143"/>
  <c r="AG144"/>
  <c r="AG145"/>
  <c r="AG146"/>
  <c r="AG147"/>
  <c r="AG148"/>
  <c r="AG149"/>
  <c r="AG150"/>
  <c r="AG151"/>
  <c r="AG152"/>
  <c r="AG153"/>
  <c r="AG154"/>
  <c r="AG155"/>
  <c r="AG156"/>
  <c r="AG157"/>
  <c r="AG158"/>
  <c r="AG159"/>
  <c r="AG160"/>
  <c r="AG161"/>
  <c r="AG162"/>
  <c r="AG163"/>
  <c r="AG164"/>
  <c r="AG165"/>
  <c r="AG166"/>
  <c r="AG167"/>
  <c r="AG168"/>
  <c r="AG169"/>
  <c r="AG170"/>
  <c r="AG171"/>
  <c r="AG172"/>
  <c r="AG173"/>
  <c r="AG174"/>
  <c r="AG175"/>
  <c r="AG176"/>
  <c r="AG177"/>
  <c r="AG178"/>
  <c r="AG179"/>
  <c r="AG180"/>
  <c r="AG181"/>
  <c r="AG182"/>
  <c r="AG183"/>
  <c r="AG184"/>
  <c r="AG185"/>
  <c r="AG186"/>
  <c r="AG187"/>
  <c r="AG188"/>
  <c r="AG189"/>
  <c r="AG190"/>
  <c r="AG191"/>
  <c r="AG192"/>
  <c r="AG193"/>
  <c r="AG194"/>
  <c r="AG195"/>
  <c r="AG196"/>
  <c r="AG197"/>
  <c r="AG198"/>
  <c r="AG199"/>
  <c r="AG200"/>
  <c r="AG201"/>
  <c r="AG202"/>
  <c r="AG203"/>
  <c r="AG204"/>
  <c r="AG205"/>
  <c r="AG206"/>
  <c r="AG207"/>
  <c r="AG208"/>
  <c r="AG209"/>
  <c r="AG210"/>
  <c r="AG211"/>
  <c r="AG212"/>
  <c r="AG213"/>
  <c r="AG214"/>
  <c r="AG215"/>
  <c r="AG216"/>
  <c r="AG217"/>
  <c r="AG218"/>
  <c r="AG219"/>
  <c r="AG220"/>
  <c r="AG221"/>
  <c r="AG222"/>
  <c r="AG223"/>
  <c r="AG224"/>
  <c r="AG225"/>
  <c r="AG226"/>
  <c r="AG227"/>
  <c r="AG228"/>
  <c r="AG229"/>
  <c r="AG230"/>
  <c r="AG231"/>
  <c r="AG232"/>
  <c r="AG233"/>
  <c r="AG234"/>
  <c r="AG235"/>
  <c r="AG236"/>
  <c r="AG237"/>
  <c r="AG238"/>
  <c r="AG239"/>
  <c r="AG240"/>
  <c r="AG241"/>
  <c r="AG242"/>
  <c r="AG243"/>
  <c r="AG244"/>
  <c r="AG245"/>
  <c r="AG246"/>
  <c r="AG247"/>
  <c r="AG248"/>
  <c r="AG249"/>
  <c r="AG250"/>
  <c r="AG251"/>
  <c r="AG252"/>
  <c r="AG253"/>
  <c r="AG254"/>
  <c r="AG255"/>
  <c r="AG256"/>
  <c r="AG257"/>
  <c r="AG258"/>
  <c r="AG259"/>
  <c r="AG260"/>
  <c r="AG261"/>
  <c r="AG262"/>
  <c r="AG263"/>
  <c r="AG264"/>
  <c r="AG265"/>
  <c r="AG266"/>
  <c r="AG267"/>
  <c r="AG268"/>
  <c r="AG269"/>
  <c r="AG270"/>
  <c r="AG271"/>
  <c r="AG272"/>
  <c r="AG273"/>
  <c r="AG274"/>
  <c r="AG275"/>
  <c r="AG276"/>
  <c r="AG277"/>
  <c r="AG278"/>
  <c r="AG279"/>
  <c r="AG280"/>
  <c r="AG281"/>
  <c r="AG282"/>
  <c r="AG283"/>
  <c r="AG284"/>
  <c r="AG285"/>
  <c r="AG286"/>
  <c r="AG287"/>
  <c r="AG288"/>
  <c r="AG289"/>
  <c r="AG290"/>
  <c r="AG291"/>
  <c r="AG292"/>
  <c r="AG293"/>
  <c r="AJ94"/>
  <c r="AJ95"/>
  <c r="AJ96"/>
  <c r="AJ97"/>
  <c r="AJ98"/>
  <c r="AJ99"/>
  <c r="AJ100"/>
  <c r="AJ101"/>
  <c r="AJ130"/>
  <c r="AJ131"/>
  <c r="AJ132"/>
  <c r="AJ133"/>
  <c r="AJ134"/>
  <c r="AJ135"/>
  <c r="AJ136"/>
  <c r="AJ137"/>
  <c r="AJ138"/>
  <c r="AJ139"/>
  <c r="AJ140"/>
  <c r="AJ141"/>
  <c r="AJ142"/>
  <c r="AJ143"/>
  <c r="AJ144"/>
  <c r="AJ145"/>
  <c r="AJ146"/>
  <c r="AJ147"/>
  <c r="AJ148"/>
  <c r="AJ149"/>
  <c r="AJ150"/>
  <c r="AJ151"/>
  <c r="AJ152"/>
  <c r="AJ153"/>
  <c r="AJ154"/>
  <c r="AJ155"/>
  <c r="AJ156"/>
  <c r="AJ157"/>
  <c r="AJ158"/>
  <c r="AJ159"/>
  <c r="AJ160"/>
  <c r="AJ161"/>
  <c r="AJ162"/>
  <c r="AJ163"/>
  <c r="AJ164"/>
  <c r="AJ165"/>
  <c r="AJ166"/>
  <c r="AJ167"/>
  <c r="AJ168"/>
  <c r="AJ169"/>
  <c r="AJ170"/>
  <c r="AJ171"/>
  <c r="AJ172"/>
  <c r="AJ173"/>
  <c r="AJ174"/>
  <c r="AJ175"/>
  <c r="AJ176"/>
  <c r="AJ177"/>
  <c r="AJ178"/>
  <c r="AJ179"/>
  <c r="AJ180"/>
  <c r="AJ181"/>
  <c r="AJ182"/>
  <c r="AJ183"/>
  <c r="AJ184"/>
  <c r="AJ185"/>
  <c r="AJ186"/>
  <c r="AJ187"/>
  <c r="AJ188"/>
  <c r="AJ189"/>
  <c r="AJ190"/>
  <c r="AJ191"/>
  <c r="AJ192"/>
  <c r="AJ193"/>
  <c r="AJ194"/>
  <c r="AJ195"/>
  <c r="AJ196"/>
  <c r="AJ197"/>
  <c r="AJ198"/>
  <c r="AJ199"/>
  <c r="AJ200"/>
  <c r="AJ201"/>
  <c r="AJ202"/>
  <c r="AJ203"/>
  <c r="AJ204"/>
  <c r="AJ205"/>
  <c r="AJ206"/>
  <c r="AJ207"/>
  <c r="AJ208"/>
  <c r="AJ209"/>
  <c r="AJ210"/>
  <c r="AJ211"/>
  <c r="AJ212"/>
  <c r="AJ213"/>
  <c r="AJ214"/>
  <c r="AJ215"/>
  <c r="AJ216"/>
  <c r="AJ217"/>
  <c r="AJ218"/>
  <c r="AJ219"/>
  <c r="AJ220"/>
  <c r="AJ221"/>
  <c r="AJ222"/>
  <c r="AJ223"/>
  <c r="AJ224"/>
  <c r="AJ225"/>
  <c r="AJ226"/>
  <c r="AJ227"/>
  <c r="AJ228"/>
  <c r="AJ229"/>
  <c r="AJ230"/>
  <c r="AJ231"/>
  <c r="AJ232"/>
  <c r="AJ233"/>
  <c r="AJ234"/>
  <c r="AJ235"/>
  <c r="AJ236"/>
  <c r="AJ237"/>
  <c r="AJ238"/>
  <c r="AJ239"/>
  <c r="AJ240"/>
  <c r="AJ241"/>
  <c r="AJ242"/>
  <c r="AJ243"/>
  <c r="AJ244"/>
  <c r="AJ245"/>
  <c r="AJ246"/>
  <c r="AJ247"/>
  <c r="AJ248"/>
  <c r="AJ249"/>
  <c r="AJ250"/>
  <c r="AJ251"/>
  <c r="AJ252"/>
  <c r="AJ253"/>
  <c r="AJ254"/>
  <c r="AJ255"/>
  <c r="AJ256"/>
  <c r="AJ257"/>
  <c r="AJ258"/>
  <c r="AJ259"/>
  <c r="AJ260"/>
  <c r="AJ261"/>
  <c r="AJ262"/>
  <c r="AJ263"/>
  <c r="AJ264"/>
  <c r="AJ265"/>
  <c r="AJ266"/>
  <c r="AJ267"/>
  <c r="AJ268"/>
  <c r="AJ269"/>
  <c r="AJ270"/>
  <c r="AJ271"/>
  <c r="AJ272"/>
  <c r="AJ273"/>
  <c r="AJ274"/>
  <c r="AJ275"/>
  <c r="AJ276"/>
  <c r="AJ277"/>
  <c r="AJ278"/>
  <c r="AJ279"/>
  <c r="AJ280"/>
  <c r="AJ281"/>
  <c r="AJ282"/>
  <c r="AJ283"/>
  <c r="AJ284"/>
  <c r="AJ285"/>
  <c r="AJ286"/>
  <c r="AJ287"/>
  <c r="AJ288"/>
  <c r="AJ289"/>
  <c r="AJ290"/>
  <c r="AJ291"/>
  <c r="AJ292"/>
  <c r="AJ293"/>
  <c r="AK138"/>
  <c r="AK139"/>
  <c r="AK140"/>
  <c r="AK141"/>
  <c r="AK142"/>
  <c r="AK143"/>
  <c r="AK144"/>
  <c r="AK145"/>
  <c r="AK146"/>
  <c r="AK147"/>
  <c r="AK148"/>
  <c r="AK149"/>
  <c r="AK150"/>
  <c r="AK151"/>
  <c r="AK152"/>
  <c r="AK153"/>
  <c r="AK154"/>
  <c r="AK155"/>
  <c r="AK156"/>
  <c r="AK157"/>
  <c r="AK158"/>
  <c r="AK159"/>
  <c r="AK160"/>
  <c r="AK161"/>
  <c r="AK162"/>
  <c r="AK163"/>
  <c r="AK164"/>
  <c r="AK165"/>
  <c r="AK166"/>
  <c r="AK167"/>
  <c r="AK168"/>
  <c r="AK169"/>
  <c r="AK170"/>
  <c r="AK171"/>
  <c r="AK172"/>
  <c r="AK173"/>
  <c r="AK174"/>
  <c r="AK175"/>
  <c r="AK176"/>
  <c r="AK177"/>
  <c r="AK178"/>
  <c r="AK179"/>
  <c r="AK180"/>
  <c r="AK181"/>
  <c r="AK182"/>
  <c r="AK183"/>
  <c r="AK184"/>
  <c r="AK185"/>
  <c r="AK186"/>
  <c r="AK187"/>
  <c r="AK188"/>
  <c r="AK189"/>
  <c r="AK190"/>
  <c r="AK191"/>
  <c r="AK192"/>
  <c r="AK193"/>
  <c r="AK194"/>
  <c r="AK195"/>
  <c r="AK196"/>
  <c r="AK197"/>
  <c r="AK198"/>
  <c r="AK199"/>
  <c r="AK200"/>
  <c r="AK201"/>
  <c r="AK202"/>
  <c r="AK203"/>
  <c r="AK204"/>
  <c r="AK205"/>
  <c r="AK206"/>
  <c r="AK207"/>
  <c r="AK208"/>
  <c r="AK209"/>
  <c r="AK210"/>
  <c r="AK211"/>
  <c r="AK212"/>
  <c r="AK213"/>
  <c r="AK214"/>
  <c r="AK215"/>
  <c r="AK216"/>
  <c r="AK217"/>
  <c r="AK218"/>
  <c r="AK219"/>
  <c r="AK220"/>
  <c r="AK221"/>
  <c r="AK222"/>
  <c r="AK223"/>
  <c r="AK224"/>
  <c r="AK225"/>
  <c r="AK226"/>
  <c r="AK227"/>
  <c r="AK228"/>
  <c r="AK229"/>
  <c r="AK230"/>
  <c r="AK231"/>
  <c r="AK232"/>
  <c r="AK233"/>
  <c r="AK234"/>
  <c r="AK235"/>
  <c r="AK236"/>
  <c r="AK237"/>
  <c r="AK238"/>
  <c r="AK239"/>
  <c r="AK240"/>
  <c r="AK241"/>
  <c r="AK242"/>
  <c r="AK243"/>
  <c r="AK244"/>
  <c r="AK245"/>
  <c r="AK246"/>
  <c r="AK247"/>
  <c r="AK248"/>
  <c r="AK249"/>
  <c r="AK250"/>
  <c r="AK251"/>
  <c r="AK252"/>
  <c r="AK253"/>
  <c r="AK254"/>
  <c r="AK255"/>
  <c r="AK256"/>
  <c r="AK257"/>
  <c r="AK258"/>
  <c r="AK259"/>
  <c r="AK260"/>
  <c r="AK261"/>
  <c r="AK262"/>
  <c r="AK263"/>
  <c r="AK264"/>
  <c r="AK265"/>
  <c r="AK266"/>
  <c r="AK267"/>
  <c r="AK268"/>
  <c r="AK269"/>
  <c r="AK270"/>
  <c r="AK271"/>
  <c r="AK272"/>
  <c r="AK273"/>
  <c r="AK274"/>
  <c r="AK275"/>
  <c r="AK276"/>
  <c r="AK277"/>
  <c r="AK278"/>
  <c r="AK279"/>
  <c r="AK280"/>
  <c r="AK281"/>
  <c r="AK282"/>
  <c r="AK283"/>
  <c r="AK284"/>
  <c r="AK285"/>
  <c r="AK286"/>
  <c r="AK287"/>
  <c r="AK288"/>
  <c r="AK289"/>
  <c r="AK290"/>
  <c r="AK291"/>
  <c r="AK292"/>
  <c r="AK293"/>
  <c r="M81" i="40"/>
  <c r="M80"/>
  <c r="M79"/>
  <c r="K93"/>
  <c r="K85"/>
  <c r="K81"/>
  <c r="K83"/>
  <c r="K82"/>
  <c r="X87" i="46"/>
  <c r="N29"/>
  <c r="N6"/>
  <c r="AH142"/>
  <c r="AH143"/>
  <c r="AH144"/>
  <c r="AH145"/>
  <c r="AH146"/>
  <c r="AH147"/>
  <c r="AH148"/>
  <c r="AH149"/>
  <c r="AH150"/>
  <c r="AH151"/>
  <c r="AH152"/>
  <c r="AH153"/>
  <c r="AH154"/>
  <c r="AH155"/>
  <c r="AH156"/>
  <c r="AH157"/>
  <c r="AH158"/>
  <c r="AH159"/>
  <c r="AH160"/>
  <c r="AH161"/>
  <c r="AH162"/>
  <c r="AH163"/>
  <c r="AH164"/>
  <c r="AH165"/>
  <c r="AH166"/>
  <c r="AH167"/>
  <c r="AH168"/>
  <c r="AH169"/>
  <c r="AH170"/>
  <c r="AH171"/>
  <c r="AH172"/>
  <c r="AH173"/>
  <c r="AH174"/>
  <c r="AH175"/>
  <c r="AH176"/>
  <c r="AW103"/>
  <c r="AU97" s="1"/>
  <c r="AP102"/>
  <c r="AO102"/>
  <c r="AO100"/>
  <c r="AP100"/>
  <c r="AE91"/>
  <c r="M33"/>
  <c r="K33"/>
  <c r="M32"/>
  <c r="K32"/>
  <c r="M31"/>
  <c r="K31"/>
  <c r="M41"/>
  <c r="M40"/>
  <c r="N37"/>
  <c r="N35"/>
  <c r="N34"/>
  <c r="U104"/>
  <c r="U105"/>
  <c r="U106"/>
  <c r="U107"/>
  <c r="U108"/>
  <c r="U109"/>
  <c r="U110"/>
  <c r="U111"/>
  <c r="U112"/>
  <c r="U113"/>
  <c r="U114"/>
  <c r="U115"/>
  <c r="U116"/>
  <c r="U117"/>
  <c r="U118"/>
  <c r="U119"/>
  <c r="U120"/>
  <c r="U121"/>
  <c r="U122"/>
  <c r="U123"/>
  <c r="U124"/>
  <c r="U125"/>
  <c r="U126"/>
  <c r="U127"/>
  <c r="U128"/>
  <c r="U129"/>
  <c r="U130"/>
  <c r="U131"/>
  <c r="U132"/>
  <c r="U133"/>
  <c r="U134"/>
  <c r="W145"/>
  <c r="U145"/>
  <c r="W146"/>
  <c r="U146"/>
  <c r="W147"/>
  <c r="U147"/>
  <c r="U148"/>
  <c r="U149"/>
  <c r="U150"/>
  <c r="U151"/>
  <c r="U152"/>
  <c r="U153"/>
  <c r="U154"/>
  <c r="U155"/>
  <c r="U156"/>
  <c r="U157"/>
  <c r="U158"/>
  <c r="U159"/>
  <c r="U160"/>
  <c r="U161"/>
  <c r="U162"/>
  <c r="U163"/>
  <c r="U164"/>
  <c r="U165"/>
  <c r="U166"/>
  <c r="U167"/>
  <c r="U168"/>
  <c r="U169"/>
  <c r="U170"/>
  <c r="U171"/>
  <c r="U172"/>
  <c r="U173"/>
  <c r="U174"/>
  <c r="U175"/>
  <c r="U176"/>
  <c r="U177"/>
  <c r="U178"/>
  <c r="U179"/>
  <c r="U180"/>
  <c r="U181"/>
  <c r="U182"/>
  <c r="U183"/>
  <c r="U184"/>
  <c r="U185"/>
  <c r="U186"/>
  <c r="U187"/>
  <c r="U188"/>
  <c r="U189"/>
  <c r="U190"/>
  <c r="U191"/>
  <c r="U192"/>
  <c r="U193"/>
  <c r="U194"/>
  <c r="U195"/>
  <c r="U196"/>
  <c r="U197"/>
  <c r="U198"/>
  <c r="U199"/>
  <c r="U200"/>
  <c r="U201"/>
  <c r="U202"/>
  <c r="U203"/>
  <c r="U204"/>
  <c r="U205"/>
  <c r="U206"/>
  <c r="U207"/>
  <c r="U208"/>
  <c r="U209"/>
  <c r="U210"/>
  <c r="U211"/>
  <c r="U212"/>
  <c r="U213"/>
  <c r="U214"/>
  <c r="U215"/>
  <c r="U216"/>
  <c r="U217"/>
  <c r="U218"/>
  <c r="U219"/>
  <c r="U220"/>
  <c r="U221"/>
  <c r="U222"/>
  <c r="U223"/>
  <c r="U224"/>
  <c r="U225"/>
  <c r="U226"/>
  <c r="U227"/>
  <c r="U228"/>
  <c r="U229"/>
  <c r="U230"/>
  <c r="U231"/>
  <c r="U232"/>
  <c r="U233"/>
  <c r="U234"/>
  <c r="U235"/>
  <c r="U236"/>
  <c r="U237"/>
  <c r="U238"/>
  <c r="U239"/>
  <c r="U240"/>
  <c r="U241"/>
  <c r="U242"/>
  <c r="U243"/>
  <c r="U244"/>
  <c r="U245"/>
  <c r="U246"/>
  <c r="U247"/>
  <c r="U248"/>
  <c r="U249"/>
  <c r="U250"/>
  <c r="U251"/>
  <c r="U252"/>
  <c r="U253"/>
  <c r="U254"/>
  <c r="U255"/>
  <c r="U256"/>
  <c r="U257"/>
  <c r="U258"/>
  <c r="U259"/>
  <c r="U260"/>
  <c r="U261"/>
  <c r="U262"/>
  <c r="U263"/>
  <c r="U264"/>
  <c r="U265"/>
  <c r="U266"/>
  <c r="U267"/>
  <c r="U268"/>
  <c r="U269"/>
  <c r="U270"/>
  <c r="U271"/>
  <c r="U272"/>
  <c r="U273"/>
  <c r="U274"/>
  <c r="U275"/>
  <c r="U276"/>
  <c r="U277"/>
  <c r="U278"/>
  <c r="U279"/>
  <c r="U280"/>
  <c r="U281"/>
  <c r="U282"/>
  <c r="U283"/>
  <c r="U284"/>
  <c r="U285"/>
  <c r="U286"/>
  <c r="U287"/>
  <c r="U288"/>
  <c r="U289"/>
  <c r="U290"/>
  <c r="U291"/>
  <c r="U292"/>
  <c r="U293"/>
  <c r="AF102"/>
  <c r="AF103"/>
  <c r="AF104"/>
  <c r="AF105"/>
  <c r="AF106"/>
  <c r="AF107"/>
  <c r="AF108"/>
  <c r="AF109"/>
  <c r="AF110"/>
  <c r="AF111"/>
  <c r="AF112"/>
  <c r="AF113"/>
  <c r="AF114"/>
  <c r="AF115"/>
  <c r="AF116"/>
  <c r="AF117"/>
  <c r="AF118"/>
  <c r="AF119"/>
  <c r="AF120"/>
  <c r="AF121"/>
  <c r="AF122"/>
  <c r="AF123"/>
  <c r="AF124"/>
  <c r="AF125"/>
  <c r="AF126"/>
  <c r="AF127"/>
  <c r="AF128"/>
  <c r="AF129"/>
  <c r="AF138"/>
  <c r="AF139"/>
  <c r="AF140"/>
  <c r="AF141"/>
  <c r="AF142"/>
  <c r="AF143"/>
  <c r="AF144"/>
  <c r="AF145"/>
  <c r="AF146"/>
  <c r="AF147"/>
  <c r="AF148"/>
  <c r="AF149"/>
  <c r="AF150"/>
  <c r="AF151"/>
  <c r="AF152"/>
  <c r="AF153"/>
  <c r="AF154"/>
  <c r="AF155"/>
  <c r="AF156"/>
  <c r="AF157"/>
  <c r="AF158"/>
  <c r="AF159"/>
  <c r="AF160"/>
  <c r="AF161"/>
  <c r="AF162"/>
  <c r="AF163"/>
  <c r="AF164"/>
  <c r="AF165"/>
  <c r="AF166"/>
  <c r="AF167"/>
  <c r="AF168"/>
  <c r="AF169"/>
  <c r="AF170"/>
  <c r="AF171"/>
  <c r="AF172"/>
  <c r="AF173"/>
  <c r="AF174"/>
  <c r="AF175"/>
  <c r="AF176"/>
  <c r="AH177"/>
  <c r="AF177"/>
  <c r="AH178"/>
  <c r="AF178"/>
  <c r="AH179"/>
  <c r="AF179"/>
  <c r="AH180"/>
  <c r="AF180"/>
  <c r="AH181"/>
  <c r="AF181"/>
  <c r="AH182"/>
  <c r="AF182"/>
  <c r="AH183"/>
  <c r="AF183"/>
  <c r="AH184"/>
  <c r="AF184"/>
  <c r="AH185"/>
  <c r="AF185"/>
  <c r="AH186"/>
  <c r="AF186"/>
  <c r="AH187"/>
  <c r="AF187"/>
  <c r="AH188"/>
  <c r="AF188"/>
  <c r="AH189"/>
  <c r="AF189"/>
  <c r="AH190"/>
  <c r="AF190"/>
  <c r="AH191"/>
  <c r="AF191"/>
  <c r="AH192"/>
  <c r="AF192"/>
  <c r="AH193"/>
  <c r="AF193"/>
  <c r="AH194"/>
  <c r="AF194"/>
  <c r="AH195"/>
  <c r="AF195"/>
  <c r="AH196"/>
  <c r="AF196"/>
  <c r="AF197"/>
  <c r="AF198"/>
  <c r="AF199"/>
  <c r="AF200"/>
  <c r="AF201"/>
  <c r="AF202"/>
  <c r="AF203"/>
  <c r="AF204"/>
  <c r="AF205"/>
  <c r="AF206"/>
  <c r="AF207"/>
  <c r="AF208"/>
  <c r="AF209"/>
  <c r="AF210"/>
  <c r="AF211"/>
  <c r="AF212"/>
  <c r="AF213"/>
  <c r="AF214"/>
  <c r="AF215"/>
  <c r="AF216"/>
  <c r="AF217"/>
  <c r="AF218"/>
  <c r="AF219"/>
  <c r="AF220"/>
  <c r="AF221"/>
  <c r="AF222"/>
  <c r="AF223"/>
  <c r="AF224"/>
  <c r="AF225"/>
  <c r="AF226"/>
  <c r="AF227"/>
  <c r="AF228"/>
  <c r="AF229"/>
  <c r="AF230"/>
  <c r="AF231"/>
  <c r="AF232"/>
  <c r="AF233"/>
  <c r="AF234"/>
  <c r="AF235"/>
  <c r="AF236"/>
  <c r="AF237"/>
  <c r="AF238"/>
  <c r="AF239"/>
  <c r="AF240"/>
  <c r="AF241"/>
  <c r="AF242"/>
  <c r="AF243"/>
  <c r="AF244"/>
  <c r="AF245"/>
  <c r="AF246"/>
  <c r="AF247"/>
  <c r="AF248"/>
  <c r="AF249"/>
  <c r="AF250"/>
  <c r="AF251"/>
  <c r="AF252"/>
  <c r="AF253"/>
  <c r="AF254"/>
  <c r="AF255"/>
  <c r="AF256"/>
  <c r="AF257"/>
  <c r="AF258"/>
  <c r="AF259"/>
  <c r="AF260"/>
  <c r="AF261"/>
  <c r="AF262"/>
  <c r="AF263"/>
  <c r="AF264"/>
  <c r="AF265"/>
  <c r="AF266"/>
  <c r="AF267"/>
  <c r="AF268"/>
  <c r="AF269"/>
  <c r="AF270"/>
  <c r="AF271"/>
  <c r="AF272"/>
  <c r="AF273"/>
  <c r="AF274"/>
  <c r="AF275"/>
  <c r="AF276"/>
  <c r="AF277"/>
  <c r="AF278"/>
  <c r="AF279"/>
  <c r="AF280"/>
  <c r="AF281"/>
  <c r="AF282"/>
  <c r="AF283"/>
  <c r="AF284"/>
  <c r="AF285"/>
  <c r="AF286"/>
  <c r="AF287"/>
  <c r="AF288"/>
  <c r="AF289"/>
  <c r="AF290"/>
  <c r="AF291"/>
  <c r="AF292"/>
  <c r="AF293"/>
  <c r="AH197"/>
  <c r="AH198"/>
  <c r="AH199"/>
  <c r="AH200"/>
  <c r="AH201"/>
  <c r="AH202"/>
  <c r="AH203"/>
  <c r="AH204"/>
  <c r="AH205"/>
  <c r="AH206"/>
  <c r="AH207"/>
  <c r="AH208"/>
  <c r="AH209"/>
  <c r="AH210"/>
  <c r="AH211"/>
  <c r="AH212"/>
  <c r="AH213"/>
  <c r="AH214"/>
  <c r="AH215"/>
  <c r="AH216"/>
  <c r="AH217"/>
  <c r="AH218"/>
  <c r="AH219"/>
  <c r="AH220"/>
  <c r="AH221"/>
  <c r="AH222"/>
  <c r="AH223"/>
  <c r="AH224"/>
  <c r="AH225"/>
  <c r="AH226"/>
  <c r="AH227"/>
  <c r="AH228"/>
  <c r="AH229"/>
  <c r="AH230"/>
  <c r="AH231"/>
  <c r="AH232"/>
  <c r="AH233"/>
  <c r="AH234"/>
  <c r="AH235"/>
  <c r="AH236"/>
  <c r="AH237"/>
  <c r="AH238"/>
  <c r="AH239"/>
  <c r="AH240"/>
  <c r="AH241"/>
  <c r="AH242"/>
  <c r="AH243"/>
  <c r="AH244"/>
  <c r="AH245"/>
  <c r="AH246"/>
  <c r="AH247"/>
  <c r="AH248"/>
  <c r="AH249"/>
  <c r="AH250"/>
  <c r="AH251"/>
  <c r="AH252"/>
  <c r="AH253"/>
  <c r="AH254"/>
  <c r="AH255"/>
  <c r="AH256"/>
  <c r="AH257"/>
  <c r="AH258"/>
  <c r="AH259"/>
  <c r="AH260"/>
  <c r="AH261"/>
  <c r="AH262"/>
  <c r="AH263"/>
  <c r="AH264"/>
  <c r="AH265"/>
  <c r="AH266"/>
  <c r="AH267"/>
  <c r="AH268"/>
  <c r="AH269"/>
  <c r="AH270"/>
  <c r="AH271"/>
  <c r="AH272"/>
  <c r="AH273"/>
  <c r="AH274"/>
  <c r="AH275"/>
  <c r="AH276"/>
  <c r="AH277"/>
  <c r="AH278"/>
  <c r="AH279"/>
  <c r="AH280"/>
  <c r="AH281"/>
  <c r="AH282"/>
  <c r="AH283"/>
  <c r="AH284"/>
  <c r="AH285"/>
  <c r="AH286"/>
  <c r="AH287"/>
  <c r="AH288"/>
  <c r="AH289"/>
  <c r="AH290"/>
  <c r="AH291"/>
  <c r="AH292"/>
  <c r="AH293"/>
  <c r="Q1"/>
  <c r="T1" s="1"/>
  <c r="W148"/>
  <c r="W149"/>
  <c r="W150"/>
  <c r="W151"/>
  <c r="W152"/>
  <c r="W153"/>
  <c r="W154"/>
  <c r="W155"/>
  <c r="W156"/>
  <c r="W157"/>
  <c r="W158"/>
  <c r="W159"/>
  <c r="W160"/>
  <c r="W161"/>
  <c r="W162"/>
  <c r="W163"/>
  <c r="W164"/>
  <c r="W165"/>
  <c r="W166"/>
  <c r="W167"/>
  <c r="W168"/>
  <c r="W169"/>
  <c r="W170"/>
  <c r="W171"/>
  <c r="W172"/>
  <c r="W173"/>
  <c r="W174"/>
  <c r="W175"/>
  <c r="W176"/>
  <c r="W177"/>
  <c r="W178"/>
  <c r="W179"/>
  <c r="W180"/>
  <c r="W181"/>
  <c r="W182"/>
  <c r="W183"/>
  <c r="W184"/>
  <c r="W185"/>
  <c r="W186"/>
  <c r="W187"/>
  <c r="W188"/>
  <c r="W189"/>
  <c r="W190"/>
  <c r="W191"/>
  <c r="W192"/>
  <c r="W193"/>
  <c r="W194"/>
  <c r="W195"/>
  <c r="W196"/>
  <c r="W197"/>
  <c r="W198"/>
  <c r="W199"/>
  <c r="W200"/>
  <c r="W201"/>
  <c r="W202"/>
  <c r="W203"/>
  <c r="W204"/>
  <c r="W205"/>
  <c r="W206"/>
  <c r="W207"/>
  <c r="W208"/>
  <c r="W209"/>
  <c r="W210"/>
  <c r="W211"/>
  <c r="W212"/>
  <c r="W213"/>
  <c r="W214"/>
  <c r="W215"/>
  <c r="W216"/>
  <c r="W217"/>
  <c r="W218"/>
  <c r="W219"/>
  <c r="W220"/>
  <c r="W221"/>
  <c r="W222"/>
  <c r="W223"/>
  <c r="W224"/>
  <c r="W225"/>
  <c r="W226"/>
  <c r="W227"/>
  <c r="W228"/>
  <c r="W229"/>
  <c r="W230"/>
  <c r="W231"/>
  <c r="W232"/>
  <c r="W233"/>
  <c r="W234"/>
  <c r="W235"/>
  <c r="W236"/>
  <c r="W237"/>
  <c r="W238"/>
  <c r="W239"/>
  <c r="W240"/>
  <c r="W241"/>
  <c r="W242"/>
  <c r="W243"/>
  <c r="W244"/>
  <c r="W245"/>
  <c r="W246"/>
  <c r="W247"/>
  <c r="W248"/>
  <c r="W249"/>
  <c r="W250"/>
  <c r="W251"/>
  <c r="W252"/>
  <c r="W253"/>
  <c r="W254"/>
  <c r="W255"/>
  <c r="W256"/>
  <c r="W257"/>
  <c r="W258"/>
  <c r="W259"/>
  <c r="W260"/>
  <c r="W261"/>
  <c r="W262"/>
  <c r="W263"/>
  <c r="W264"/>
  <c r="W265"/>
  <c r="W266"/>
  <c r="W267"/>
  <c r="W268"/>
  <c r="W269"/>
  <c r="W270"/>
  <c r="W271"/>
  <c r="W272"/>
  <c r="W273"/>
  <c r="W274"/>
  <c r="W275"/>
  <c r="W276"/>
  <c r="W277"/>
  <c r="W278"/>
  <c r="W279"/>
  <c r="W280"/>
  <c r="W281"/>
  <c r="W282"/>
  <c r="W283"/>
  <c r="W284"/>
  <c r="W285"/>
  <c r="W286"/>
  <c r="W287"/>
  <c r="W288"/>
  <c r="W289"/>
  <c r="W290"/>
  <c r="W291"/>
  <c r="W292"/>
  <c r="W293"/>
  <c r="M85"/>
  <c r="M89"/>
  <c r="M93"/>
  <c r="M97"/>
  <c r="M101"/>
  <c r="M105"/>
  <c r="M109"/>
  <c r="M113"/>
  <c r="M117"/>
  <c r="M121"/>
  <c r="M125"/>
  <c r="M129"/>
  <c r="M133"/>
  <c r="M137"/>
  <c r="M141"/>
  <c r="M145"/>
  <c r="M149"/>
  <c r="M153"/>
  <c r="M157"/>
  <c r="M161"/>
  <c r="M165"/>
  <c r="M169"/>
  <c r="M173"/>
  <c r="M177"/>
  <c r="M181"/>
  <c r="K136"/>
  <c r="K137"/>
  <c r="K141"/>
  <c r="K144"/>
  <c r="K145"/>
  <c r="K149"/>
  <c r="K152"/>
  <c r="K153"/>
  <c r="K157"/>
  <c r="K160"/>
  <c r="K161"/>
  <c r="K165"/>
  <c r="K168"/>
  <c r="K169"/>
  <c r="K173"/>
  <c r="K176"/>
  <c r="K177"/>
  <c r="K181"/>
  <c r="R1"/>
  <c r="S1"/>
  <c r="V1"/>
  <c r="W1"/>
  <c r="Z1"/>
  <c r="AA1"/>
  <c r="AD1"/>
  <c r="AE1"/>
  <c r="W2"/>
  <c r="AE2"/>
  <c r="W3"/>
  <c r="AE3"/>
  <c r="W4"/>
  <c r="AE4"/>
  <c r="W5"/>
  <c r="AE5"/>
  <c r="W6"/>
  <c r="AE6"/>
  <c r="W7"/>
  <c r="AE7"/>
  <c r="W8"/>
  <c r="AE8"/>
  <c r="W9"/>
  <c r="AE9"/>
  <c r="W10"/>
  <c r="AE10"/>
  <c r="W11"/>
  <c r="AE11"/>
  <c r="W12"/>
  <c r="AE12"/>
  <c r="W13"/>
  <c r="AE13"/>
  <c r="K10"/>
  <c r="M10"/>
  <c r="W14"/>
  <c r="AE14"/>
  <c r="W15"/>
  <c r="AE15"/>
  <c r="N12"/>
  <c r="V16"/>
  <c r="W16"/>
  <c r="N13"/>
  <c r="Q17"/>
  <c r="V17"/>
  <c r="L18"/>
  <c r="Q18"/>
  <c r="AE18"/>
  <c r="N15"/>
  <c r="W19"/>
  <c r="AE19"/>
  <c r="W20"/>
  <c r="AE20"/>
  <c r="W21"/>
  <c r="AE21"/>
  <c r="W22"/>
  <c r="AE22"/>
  <c r="W23"/>
  <c r="AE23"/>
  <c r="M18"/>
  <c r="V24"/>
  <c r="W24"/>
  <c r="V25"/>
  <c r="W25"/>
  <c r="V26"/>
  <c r="W26"/>
  <c r="V27"/>
  <c r="W27"/>
  <c r="M22"/>
  <c r="Q28"/>
  <c r="AE28"/>
  <c r="M23"/>
  <c r="W29"/>
  <c r="AE29"/>
  <c r="V30"/>
  <c r="W30"/>
  <c r="Q31"/>
  <c r="V31"/>
  <c r="Q32"/>
  <c r="V32"/>
  <c r="Q33"/>
  <c r="V33"/>
  <c r="Q34"/>
  <c r="V34"/>
  <c r="Q35"/>
  <c r="V35"/>
  <c r="Q36"/>
  <c r="V36"/>
  <c r="AV97"/>
  <c r="AV98" s="1"/>
  <c r="AV99"/>
  <c r="AV102" s="1"/>
  <c r="AO98"/>
  <c r="AO99"/>
  <c r="AP99"/>
  <c r="AO101"/>
  <c r="AP101"/>
  <c r="AP103"/>
  <c r="AO110"/>
  <c r="AB102" i="41"/>
  <c r="AC102" s="1"/>
  <c r="AD102" s="1"/>
  <c r="AE102" s="1"/>
  <c r="AF102"/>
  <c r="AG102" s="1"/>
  <c r="AH102" s="1"/>
  <c r="AI102" s="1"/>
  <c r="AJ102" s="1"/>
  <c r="AK102" s="1"/>
  <c r="AL102" s="1"/>
  <c r="AM102" s="1"/>
  <c r="AN102" s="1"/>
  <c r="AO102" s="1"/>
  <c r="AP102" s="1"/>
  <c r="AQ102" s="1"/>
  <c r="N69"/>
  <c r="AB101"/>
  <c r="AC101" s="1"/>
  <c r="AD101" s="1"/>
  <c r="AE101" s="1"/>
  <c r="AF101" s="1"/>
  <c r="AG101" s="1"/>
  <c r="AH101" s="1"/>
  <c r="AI101" s="1"/>
  <c r="AJ101" s="1"/>
  <c r="AK101" s="1"/>
  <c r="AL101" s="1"/>
  <c r="AM101" s="1"/>
  <c r="AN101" s="1"/>
  <c r="AO101" s="1"/>
  <c r="AP101" s="1"/>
  <c r="AQ101" s="1"/>
  <c r="N68"/>
  <c r="AB100"/>
  <c r="AC100" s="1"/>
  <c r="AD100" s="1"/>
  <c r="AE100" s="1"/>
  <c r="AF100"/>
  <c r="AG100" s="1"/>
  <c r="AH100" s="1"/>
  <c r="AI100" s="1"/>
  <c r="AJ100" s="1"/>
  <c r="AK100" s="1"/>
  <c r="AL100" s="1"/>
  <c r="AM100" s="1"/>
  <c r="AN100" s="1"/>
  <c r="AO100" s="1"/>
  <c r="AP100" s="1"/>
  <c r="AQ100" s="1"/>
  <c r="N67"/>
  <c r="L81"/>
  <c r="L73"/>
  <c r="L69"/>
  <c r="L71"/>
  <c r="L70"/>
  <c r="AB110"/>
  <c r="AC110"/>
  <c r="AD110" s="1"/>
  <c r="AE110" s="1"/>
  <c r="AF110" s="1"/>
  <c r="AG110"/>
  <c r="AH110" s="1"/>
  <c r="AI110" s="1"/>
  <c r="AJ110" s="1"/>
  <c r="AK110" s="1"/>
  <c r="AL110" s="1"/>
  <c r="AM110" s="1"/>
  <c r="AN110" s="1"/>
  <c r="AO110" s="1"/>
  <c r="AP110" s="1"/>
  <c r="AQ110" s="1"/>
  <c r="AB474"/>
  <c r="AC474" s="1"/>
  <c r="AD474" s="1"/>
  <c r="AE474" s="1"/>
  <c r="AF474" s="1"/>
  <c r="AG474" s="1"/>
  <c r="AH474" s="1"/>
  <c r="AI474" s="1"/>
  <c r="AJ474" s="1"/>
  <c r="AK474" s="1"/>
  <c r="AL474" s="1"/>
  <c r="AM474" s="1"/>
  <c r="AN474" s="1"/>
  <c r="AO474" s="1"/>
  <c r="AP474" s="1"/>
  <c r="AQ474" s="1"/>
  <c r="AB475"/>
  <c r="AC475" s="1"/>
  <c r="AD475"/>
  <c r="AE475" s="1"/>
  <c r="AF475" s="1"/>
  <c r="AG475" s="1"/>
  <c r="AH475" s="1"/>
  <c r="AI475" s="1"/>
  <c r="AJ475" s="1"/>
  <c r="AK475" s="1"/>
  <c r="AL475" s="1"/>
  <c r="AM475" s="1"/>
  <c r="AN475" s="1"/>
  <c r="AO475" s="1"/>
  <c r="AP475" s="1"/>
  <c r="AQ475" s="1"/>
  <c r="AB509"/>
  <c r="AC509" s="1"/>
  <c r="AD509" s="1"/>
  <c r="AE509" s="1"/>
  <c r="AF509" s="1"/>
  <c r="AG509" s="1"/>
  <c r="AH509" s="1"/>
  <c r="AI509" s="1"/>
  <c r="AJ509" s="1"/>
  <c r="AK509" s="1"/>
  <c r="AL509"/>
  <c r="AM509" s="1"/>
  <c r="AN509" s="1"/>
  <c r="AO509" s="1"/>
  <c r="AP509" s="1"/>
  <c r="AQ509" s="1"/>
  <c r="AB480"/>
  <c r="AC480" s="1"/>
  <c r="AD480"/>
  <c r="AE480" s="1"/>
  <c r="AF480" s="1"/>
  <c r="AG480" s="1"/>
  <c r="AH480"/>
  <c r="AI480" s="1"/>
  <c r="AJ480" s="1"/>
  <c r="AK480" s="1"/>
  <c r="AL480" s="1"/>
  <c r="AM480" s="1"/>
  <c r="AN480" s="1"/>
  <c r="AO480" s="1"/>
  <c r="AP480" s="1"/>
  <c r="AQ480" s="1"/>
  <c r="AR480" s="1"/>
  <c r="AS480" s="1"/>
  <c r="AT480" s="1"/>
  <c r="AB477"/>
  <c r="AC477" s="1"/>
  <c r="AD477" s="1"/>
  <c r="AE477" s="1"/>
  <c r="AF477" s="1"/>
  <c r="AG477" s="1"/>
  <c r="AH477" s="1"/>
  <c r="AI477" s="1"/>
  <c r="AJ477" s="1"/>
  <c r="AK477" s="1"/>
  <c r="AL477" s="1"/>
  <c r="AM477" s="1"/>
  <c r="AN477" s="1"/>
  <c r="AO477" s="1"/>
  <c r="AP477" s="1"/>
  <c r="AQ477" s="1"/>
  <c r="AB478"/>
  <c r="AC478" s="1"/>
  <c r="AD478"/>
  <c r="AE478" s="1"/>
  <c r="AF478" s="1"/>
  <c r="AG478" s="1"/>
  <c r="AH478" s="1"/>
  <c r="AI478" s="1"/>
  <c r="AJ478" s="1"/>
  <c r="AK478" s="1"/>
  <c r="AL478" s="1"/>
  <c r="AM478" s="1"/>
  <c r="AN478" s="1"/>
  <c r="AO478" s="1"/>
  <c r="AP478" s="1"/>
  <c r="AQ478" s="1"/>
  <c r="AB521"/>
  <c r="AC521" s="1"/>
  <c r="AD521" s="1"/>
  <c r="AE521" s="1"/>
  <c r="AF521" s="1"/>
  <c r="AG521" s="1"/>
  <c r="AH521" s="1"/>
  <c r="AI521" s="1"/>
  <c r="AJ521" s="1"/>
  <c r="AK521" s="1"/>
  <c r="AL521"/>
  <c r="AM521" s="1"/>
  <c r="AN521" s="1"/>
  <c r="AO521" s="1"/>
  <c r="AP521" s="1"/>
  <c r="AQ521" s="1"/>
  <c r="AB527"/>
  <c r="AC527" s="1"/>
  <c r="AD527"/>
  <c r="AE527" s="1"/>
  <c r="AF527" s="1"/>
  <c r="AG527" s="1"/>
  <c r="AH527"/>
  <c r="AI527" s="1"/>
  <c r="AJ527" s="1"/>
  <c r="AK527" s="1"/>
  <c r="AL527" s="1"/>
  <c r="AM527" s="1"/>
  <c r="AN527" s="1"/>
  <c r="AO527" s="1"/>
  <c r="AP527" s="1"/>
  <c r="AQ527" s="1"/>
  <c r="AR527" s="1"/>
  <c r="AS527" s="1"/>
  <c r="AT527" s="1"/>
  <c r="AB530"/>
  <c r="AC530" s="1"/>
  <c r="AD530" s="1"/>
  <c r="AE530" s="1"/>
  <c r="AF530" s="1"/>
  <c r="AG530" s="1"/>
  <c r="AH530" s="1"/>
  <c r="AI530" s="1"/>
  <c r="AJ530" s="1"/>
  <c r="AK530" s="1"/>
  <c r="AL530" s="1"/>
  <c r="AM530" s="1"/>
  <c r="AN530" s="1"/>
  <c r="AO530" s="1"/>
  <c r="AP530" s="1"/>
  <c r="AQ530" s="1"/>
  <c r="AB531"/>
  <c r="AC531" s="1"/>
  <c r="AD531"/>
  <c r="AE531" s="1"/>
  <c r="AF531" s="1"/>
  <c r="AG531" s="1"/>
  <c r="AH531" s="1"/>
  <c r="AI531" s="1"/>
  <c r="AJ531" s="1"/>
  <c r="AK531" s="1"/>
  <c r="AL531" s="1"/>
  <c r="AM531" s="1"/>
  <c r="AN531" s="1"/>
  <c r="AO531" s="1"/>
  <c r="AP531" s="1"/>
  <c r="AQ531" s="1"/>
  <c r="AB532"/>
  <c r="AC532" s="1"/>
  <c r="AD532" s="1"/>
  <c r="AE532" s="1"/>
  <c r="AF532" s="1"/>
  <c r="AG532" s="1"/>
  <c r="AH532" s="1"/>
  <c r="AI532" s="1"/>
  <c r="AJ532" s="1"/>
  <c r="AK532" s="1"/>
  <c r="AL532"/>
  <c r="AM532" s="1"/>
  <c r="AN532" s="1"/>
  <c r="AO532" s="1"/>
  <c r="AP532" s="1"/>
  <c r="AQ532" s="1"/>
  <c r="AB528"/>
  <c r="AC528" s="1"/>
  <c r="AD528"/>
  <c r="AE528" s="1"/>
  <c r="AF528" s="1"/>
  <c r="AG528" s="1"/>
  <c r="AH528"/>
  <c r="AI528" s="1"/>
  <c r="AJ528" s="1"/>
  <c r="AK528" s="1"/>
  <c r="AL528" s="1"/>
  <c r="AM528" s="1"/>
  <c r="AN528" s="1"/>
  <c r="AO528" s="1"/>
  <c r="AP528" s="1"/>
  <c r="AQ528" s="1"/>
  <c r="AR528" s="1"/>
  <c r="AS528" s="1"/>
  <c r="AT528" s="1"/>
  <c r="AB529"/>
  <c r="AC529" s="1"/>
  <c r="AD529" s="1"/>
  <c r="AE529" s="1"/>
  <c r="AF529" s="1"/>
  <c r="AG529" s="1"/>
  <c r="AH529" s="1"/>
  <c r="AI529" s="1"/>
  <c r="AJ529" s="1"/>
  <c r="AK529" s="1"/>
  <c r="AL529" s="1"/>
  <c r="AM529" s="1"/>
  <c r="AN529" s="1"/>
  <c r="AO529" s="1"/>
  <c r="AP529" s="1"/>
  <c r="AQ529" s="1"/>
  <c r="AB524"/>
  <c r="AC524" s="1"/>
  <c r="AD524"/>
  <c r="AE524" s="1"/>
  <c r="AF524" s="1"/>
  <c r="AG524" s="1"/>
  <c r="AH524" s="1"/>
  <c r="AI524" s="1"/>
  <c r="AJ524" s="1"/>
  <c r="AK524" s="1"/>
  <c r="AL524" s="1"/>
  <c r="AM524" s="1"/>
  <c r="AN524" s="1"/>
  <c r="AO524" s="1"/>
  <c r="AP524" s="1"/>
  <c r="AQ524" s="1"/>
  <c r="AB525"/>
  <c r="AC525" s="1"/>
  <c r="AD525" s="1"/>
  <c r="AE525" s="1"/>
  <c r="AF525" s="1"/>
  <c r="AG525" s="1"/>
  <c r="AH525" s="1"/>
  <c r="AI525" s="1"/>
  <c r="AJ525" s="1"/>
  <c r="AK525" s="1"/>
  <c r="AL525"/>
  <c r="AM525" s="1"/>
  <c r="AN525" s="1"/>
  <c r="AO525" s="1"/>
  <c r="AP525" s="1"/>
  <c r="AQ525" s="1"/>
  <c r="AB526"/>
  <c r="AC526" s="1"/>
  <c r="AD526"/>
  <c r="AE526" s="1"/>
  <c r="AF526" s="1"/>
  <c r="AG526" s="1"/>
  <c r="AH526"/>
  <c r="AI526" s="1"/>
  <c r="AJ526" s="1"/>
  <c r="AK526" s="1"/>
  <c r="AL526" s="1"/>
  <c r="AM526" s="1"/>
  <c r="AN526" s="1"/>
  <c r="AO526" s="1"/>
  <c r="AP526" s="1"/>
  <c r="AQ526" s="1"/>
  <c r="AR526" s="1"/>
  <c r="AS526" s="1"/>
  <c r="AB501"/>
  <c r="AC501" s="1"/>
  <c r="AD501" s="1"/>
  <c r="AE501" s="1"/>
  <c r="AF501" s="1"/>
  <c r="AG501" s="1"/>
  <c r="AH501" s="1"/>
  <c r="AI501" s="1"/>
  <c r="AJ501" s="1"/>
  <c r="AK501" s="1"/>
  <c r="AL501" s="1"/>
  <c r="AM501" s="1"/>
  <c r="AN501" s="1"/>
  <c r="AO501" s="1"/>
  <c r="AP501" s="1"/>
  <c r="AQ501" s="1"/>
  <c r="AB504"/>
  <c r="AC504" s="1"/>
  <c r="AD504"/>
  <c r="AE504" s="1"/>
  <c r="AF504" s="1"/>
  <c r="AG504" s="1"/>
  <c r="AH504" s="1"/>
  <c r="AI504" s="1"/>
  <c r="AJ504" s="1"/>
  <c r="AK504" s="1"/>
  <c r="AL504" s="1"/>
  <c r="AM504" s="1"/>
  <c r="AN504" s="1"/>
  <c r="AO504" s="1"/>
  <c r="AP504" s="1"/>
  <c r="AQ504" s="1"/>
  <c r="AB506"/>
  <c r="AC506" s="1"/>
  <c r="AD506" s="1"/>
  <c r="AE506" s="1"/>
  <c r="AF506" s="1"/>
  <c r="AG506" s="1"/>
  <c r="AH506" s="1"/>
  <c r="AI506" s="1"/>
  <c r="AJ506" s="1"/>
  <c r="AK506" s="1"/>
  <c r="AL506"/>
  <c r="AM506" s="1"/>
  <c r="AN506" s="1"/>
  <c r="AO506" s="1"/>
  <c r="AP506" s="1"/>
  <c r="AQ506" s="1"/>
  <c r="AB507"/>
  <c r="AC507" s="1"/>
  <c r="AD507"/>
  <c r="AE507" s="1"/>
  <c r="AF507" s="1"/>
  <c r="AG507" s="1"/>
  <c r="AH507"/>
  <c r="AI507" s="1"/>
  <c r="AJ507" s="1"/>
  <c r="AK507" s="1"/>
  <c r="AL507" s="1"/>
  <c r="AM507" s="1"/>
  <c r="AN507" s="1"/>
  <c r="AO507" s="1"/>
  <c r="AP507" s="1"/>
  <c r="AQ507" s="1"/>
  <c r="AR507" s="1"/>
  <c r="AS507" s="1"/>
  <c r="AT507" s="1"/>
  <c r="AB502"/>
  <c r="AC502" s="1"/>
  <c r="AD502" s="1"/>
  <c r="AE502" s="1"/>
  <c r="AF502" s="1"/>
  <c r="AG502" s="1"/>
  <c r="AH502" s="1"/>
  <c r="AI502" s="1"/>
  <c r="AJ502" s="1"/>
  <c r="AK502" s="1"/>
  <c r="AL502" s="1"/>
  <c r="AM502" s="1"/>
  <c r="AN502" s="1"/>
  <c r="AO502" s="1"/>
  <c r="AP502" s="1"/>
  <c r="AQ502" s="1"/>
  <c r="AB503"/>
  <c r="AC503" s="1"/>
  <c r="AD503"/>
  <c r="AE503" s="1"/>
  <c r="AF503" s="1"/>
  <c r="AG503" s="1"/>
  <c r="AH503" s="1"/>
  <c r="AI503" s="1"/>
  <c r="AJ503" s="1"/>
  <c r="AK503" s="1"/>
  <c r="AL503" s="1"/>
  <c r="AM503" s="1"/>
  <c r="AN503" s="1"/>
  <c r="AO503" s="1"/>
  <c r="AP503" s="1"/>
  <c r="AQ503" s="1"/>
  <c r="AB498"/>
  <c r="AC498" s="1"/>
  <c r="AD498" s="1"/>
  <c r="AE498" s="1"/>
  <c r="AF498" s="1"/>
  <c r="AG498" s="1"/>
  <c r="AH498" s="1"/>
  <c r="AI498" s="1"/>
  <c r="AJ498" s="1"/>
  <c r="AK498" s="1"/>
  <c r="AL498"/>
  <c r="AM498" s="1"/>
  <c r="AN498" s="1"/>
  <c r="AO498" s="1"/>
  <c r="AP498" s="1"/>
  <c r="AQ498" s="1"/>
  <c r="AB499"/>
  <c r="AC499" s="1"/>
  <c r="AD499"/>
  <c r="AE499" s="1"/>
  <c r="AF499" s="1"/>
  <c r="AG499" s="1"/>
  <c r="AH499"/>
  <c r="AI499" s="1"/>
  <c r="AJ499" s="1"/>
  <c r="AK499" s="1"/>
  <c r="AL499" s="1"/>
  <c r="AM499" s="1"/>
  <c r="AN499" s="1"/>
  <c r="AO499" s="1"/>
  <c r="AP499" s="1"/>
  <c r="AQ499" s="1"/>
  <c r="AR499" s="1"/>
  <c r="AS499" s="1"/>
  <c r="AT499" s="1"/>
  <c r="AB500"/>
  <c r="AC500" s="1"/>
  <c r="AD500" s="1"/>
  <c r="AE500" s="1"/>
  <c r="AF500" s="1"/>
  <c r="AG500" s="1"/>
  <c r="AH500" s="1"/>
  <c r="AI500" s="1"/>
  <c r="AJ500" s="1"/>
  <c r="AK500" s="1"/>
  <c r="AL500" s="1"/>
  <c r="AM500" s="1"/>
  <c r="AN500" s="1"/>
  <c r="AO500" s="1"/>
  <c r="AP500" s="1"/>
  <c r="AQ500" s="1"/>
  <c r="AB358"/>
  <c r="AC358" s="1"/>
  <c r="AD358"/>
  <c r="AE358" s="1"/>
  <c r="AF358" s="1"/>
  <c r="AG358" s="1"/>
  <c r="AH358" s="1"/>
  <c r="AI358" s="1"/>
  <c r="AJ358" s="1"/>
  <c r="AK358" s="1"/>
  <c r="AL358" s="1"/>
  <c r="AM358" s="1"/>
  <c r="AN358" s="1"/>
  <c r="AO358" s="1"/>
  <c r="AP358" s="1"/>
  <c r="AQ358" s="1"/>
  <c r="AB370"/>
  <c r="AC370" s="1"/>
  <c r="AD370" s="1"/>
  <c r="AE370" s="1"/>
  <c r="AF370" s="1"/>
  <c r="AG370" s="1"/>
  <c r="AH370" s="1"/>
  <c r="AI370" s="1"/>
  <c r="AJ370" s="1"/>
  <c r="AK370" s="1"/>
  <c r="AL370"/>
  <c r="AM370" s="1"/>
  <c r="AN370" s="1"/>
  <c r="AO370" s="1"/>
  <c r="AP370" s="1"/>
  <c r="AQ370" s="1"/>
  <c r="AB371"/>
  <c r="AC371" s="1"/>
  <c r="AD371"/>
  <c r="AE371" s="1"/>
  <c r="AF371" s="1"/>
  <c r="AG371" s="1"/>
  <c r="AH371"/>
  <c r="AI371" s="1"/>
  <c r="AJ371" s="1"/>
  <c r="AK371" s="1"/>
  <c r="AL371" s="1"/>
  <c r="AM371" s="1"/>
  <c r="AN371" s="1"/>
  <c r="AO371" s="1"/>
  <c r="AP371" s="1"/>
  <c r="AQ371" s="1"/>
  <c r="AR371" s="1"/>
  <c r="AS371" s="1"/>
  <c r="AT371" s="1"/>
  <c r="AB372"/>
  <c r="AC372" s="1"/>
  <c r="AD372" s="1"/>
  <c r="AE372" s="1"/>
  <c r="AF372" s="1"/>
  <c r="AG372" s="1"/>
  <c r="AH372" s="1"/>
  <c r="AI372" s="1"/>
  <c r="AJ372" s="1"/>
  <c r="AK372" s="1"/>
  <c r="AL372" s="1"/>
  <c r="AM372" s="1"/>
  <c r="AN372" s="1"/>
  <c r="AO372" s="1"/>
  <c r="AP372" s="1"/>
  <c r="AQ372" s="1"/>
  <c r="AB373"/>
  <c r="AC373" s="1"/>
  <c r="AD373"/>
  <c r="AE373" s="1"/>
  <c r="AF373" s="1"/>
  <c r="AG373" s="1"/>
  <c r="AH373" s="1"/>
  <c r="AI373" s="1"/>
  <c r="AJ373" s="1"/>
  <c r="AK373" s="1"/>
  <c r="AL373" s="1"/>
  <c r="AM373" s="1"/>
  <c r="AN373" s="1"/>
  <c r="AO373" s="1"/>
  <c r="AP373" s="1"/>
  <c r="AQ373" s="1"/>
  <c r="AB374"/>
  <c r="AC374" s="1"/>
  <c r="AD374" s="1"/>
  <c r="AE374" s="1"/>
  <c r="AF374" s="1"/>
  <c r="AG374" s="1"/>
  <c r="AH374" s="1"/>
  <c r="AI374" s="1"/>
  <c r="AJ374" s="1"/>
  <c r="AK374" s="1"/>
  <c r="AL374"/>
  <c r="AM374" s="1"/>
  <c r="AN374" s="1"/>
  <c r="AO374" s="1"/>
  <c r="AP374" s="1"/>
  <c r="AQ374" s="1"/>
  <c r="AB375"/>
  <c r="AC375" s="1"/>
  <c r="AD375"/>
  <c r="AE375" s="1"/>
  <c r="AF375" s="1"/>
  <c r="AG375" s="1"/>
  <c r="AH375"/>
  <c r="AI375" s="1"/>
  <c r="AJ375" s="1"/>
  <c r="AK375" s="1"/>
  <c r="AL375" s="1"/>
  <c r="AM375" s="1"/>
  <c r="AN375" s="1"/>
  <c r="AO375" s="1"/>
  <c r="AP375" s="1"/>
  <c r="AQ375" s="1"/>
  <c r="AR375" s="1"/>
  <c r="AS375" s="1"/>
  <c r="AT375" s="1"/>
  <c r="AB376"/>
  <c r="AC376" s="1"/>
  <c r="AD376" s="1"/>
  <c r="AE376" s="1"/>
  <c r="AF376" s="1"/>
  <c r="AG376" s="1"/>
  <c r="AH376" s="1"/>
  <c r="AI376" s="1"/>
  <c r="AJ376" s="1"/>
  <c r="AK376" s="1"/>
  <c r="AL376" s="1"/>
  <c r="AM376" s="1"/>
  <c r="AN376" s="1"/>
  <c r="AO376" s="1"/>
  <c r="AP376" s="1"/>
  <c r="AQ376" s="1"/>
  <c r="AB377"/>
  <c r="AC377" s="1"/>
  <c r="AD377"/>
  <c r="AE377" s="1"/>
  <c r="AF377" s="1"/>
  <c r="AG377" s="1"/>
  <c r="AH377" s="1"/>
  <c r="AI377" s="1"/>
  <c r="AJ377" s="1"/>
  <c r="AK377" s="1"/>
  <c r="AL377" s="1"/>
  <c r="AM377" s="1"/>
  <c r="AN377" s="1"/>
  <c r="AO377" s="1"/>
  <c r="AP377" s="1"/>
  <c r="AQ377" s="1"/>
  <c r="AB378"/>
  <c r="AC378" s="1"/>
  <c r="AD378" s="1"/>
  <c r="AE378" s="1"/>
  <c r="AF378" s="1"/>
  <c r="AG378" s="1"/>
  <c r="AH378" s="1"/>
  <c r="AI378" s="1"/>
  <c r="AJ378" s="1"/>
  <c r="AK378" s="1"/>
  <c r="AL378"/>
  <c r="AM378" s="1"/>
  <c r="AN378" s="1"/>
  <c r="AO378" s="1"/>
  <c r="AP378" s="1"/>
  <c r="AQ378" s="1"/>
  <c r="AB379"/>
  <c r="AC379" s="1"/>
  <c r="AD379"/>
  <c r="AE379" s="1"/>
  <c r="AF379" s="1"/>
  <c r="AG379" s="1"/>
  <c r="AH379"/>
  <c r="AI379" s="1"/>
  <c r="AJ379" s="1"/>
  <c r="AK379" s="1"/>
  <c r="AL379" s="1"/>
  <c r="AM379" s="1"/>
  <c r="AN379" s="1"/>
  <c r="AO379" s="1"/>
  <c r="AP379" s="1"/>
  <c r="AQ379" s="1"/>
  <c r="AR379" s="1"/>
  <c r="AS379" s="1"/>
  <c r="AT379" s="1"/>
  <c r="AB384"/>
  <c r="AC384" s="1"/>
  <c r="AD384" s="1"/>
  <c r="AE384" s="1"/>
  <c r="AF384" s="1"/>
  <c r="AG384" s="1"/>
  <c r="AH384" s="1"/>
  <c r="AI384" s="1"/>
  <c r="AJ384" s="1"/>
  <c r="AK384" s="1"/>
  <c r="AL384" s="1"/>
  <c r="AM384" s="1"/>
  <c r="AN384" s="1"/>
  <c r="AO384" s="1"/>
  <c r="AP384" s="1"/>
  <c r="AQ384" s="1"/>
  <c r="AB385"/>
  <c r="AC385" s="1"/>
  <c r="AD385"/>
  <c r="AE385" s="1"/>
  <c r="AF385" s="1"/>
  <c r="AG385" s="1"/>
  <c r="AH385" s="1"/>
  <c r="AI385" s="1"/>
  <c r="AJ385" s="1"/>
  <c r="AK385" s="1"/>
  <c r="AL385" s="1"/>
  <c r="AM385" s="1"/>
  <c r="AN385" s="1"/>
  <c r="AO385" s="1"/>
  <c r="AP385" s="1"/>
  <c r="AQ385" s="1"/>
  <c r="AB386"/>
  <c r="AC386" s="1"/>
  <c r="AD386" s="1"/>
  <c r="AE386" s="1"/>
  <c r="AF386" s="1"/>
  <c r="AG386" s="1"/>
  <c r="AH386" s="1"/>
  <c r="AI386" s="1"/>
  <c r="AJ386" s="1"/>
  <c r="AK386" s="1"/>
  <c r="AL386"/>
  <c r="AM386" s="1"/>
  <c r="AN386" s="1"/>
  <c r="AO386" s="1"/>
  <c r="AP386" s="1"/>
  <c r="AQ386" s="1"/>
  <c r="AB387"/>
  <c r="AC387" s="1"/>
  <c r="AD387"/>
  <c r="AE387" s="1"/>
  <c r="AF387" s="1"/>
  <c r="AG387" s="1"/>
  <c r="AH387"/>
  <c r="AI387" s="1"/>
  <c r="AJ387" s="1"/>
  <c r="AK387" s="1"/>
  <c r="AL387" s="1"/>
  <c r="AM387" s="1"/>
  <c r="AN387" s="1"/>
  <c r="AO387" s="1"/>
  <c r="AP387" s="1"/>
  <c r="AQ387" s="1"/>
  <c r="AR387" s="1"/>
  <c r="AS387" s="1"/>
  <c r="AT387" s="1"/>
  <c r="AB388"/>
  <c r="AC388" s="1"/>
  <c r="AD388" s="1"/>
  <c r="AE388" s="1"/>
  <c r="AF388" s="1"/>
  <c r="AG388" s="1"/>
  <c r="AH388" s="1"/>
  <c r="AI388" s="1"/>
  <c r="AJ388" s="1"/>
  <c r="AK388" s="1"/>
  <c r="AL388" s="1"/>
  <c r="AM388" s="1"/>
  <c r="AN388" s="1"/>
  <c r="AO388" s="1"/>
  <c r="AP388" s="1"/>
  <c r="AQ388" s="1"/>
  <c r="AB389"/>
  <c r="AC389" s="1"/>
  <c r="AD389"/>
  <c r="AE389" s="1"/>
  <c r="AF389" s="1"/>
  <c r="AG389" s="1"/>
  <c r="AH389" s="1"/>
  <c r="AI389" s="1"/>
  <c r="AJ389" s="1"/>
  <c r="AK389" s="1"/>
  <c r="AL389" s="1"/>
  <c r="AM389" s="1"/>
  <c r="AN389" s="1"/>
  <c r="AO389" s="1"/>
  <c r="AP389" s="1"/>
  <c r="AQ389" s="1"/>
  <c r="AB390"/>
  <c r="AC390" s="1"/>
  <c r="AD390" s="1"/>
  <c r="AE390" s="1"/>
  <c r="AF390" s="1"/>
  <c r="AG390" s="1"/>
  <c r="AH390" s="1"/>
  <c r="AI390" s="1"/>
  <c r="AJ390" s="1"/>
  <c r="AK390" s="1"/>
  <c r="AL390"/>
  <c r="AM390" s="1"/>
  <c r="AN390" s="1"/>
  <c r="AO390" s="1"/>
  <c r="AP390" s="1"/>
  <c r="AQ390" s="1"/>
  <c r="AB391"/>
  <c r="AC391" s="1"/>
  <c r="AD391"/>
  <c r="AE391" s="1"/>
  <c r="AF391" s="1"/>
  <c r="AG391" s="1"/>
  <c r="AH391"/>
  <c r="AI391" s="1"/>
  <c r="AJ391" s="1"/>
  <c r="AK391" s="1"/>
  <c r="AL391" s="1"/>
  <c r="AM391" s="1"/>
  <c r="AN391" s="1"/>
  <c r="AO391" s="1"/>
  <c r="AP391" s="1"/>
  <c r="AQ391" s="1"/>
  <c r="AB392"/>
  <c r="AC392" s="1"/>
  <c r="AD392" s="1"/>
  <c r="AE392" s="1"/>
  <c r="AF392" s="1"/>
  <c r="AG392" s="1"/>
  <c r="AH392" s="1"/>
  <c r="AI392" s="1"/>
  <c r="AJ392" s="1"/>
  <c r="AK392" s="1"/>
  <c r="AL392" s="1"/>
  <c r="AM392" s="1"/>
  <c r="AN392" s="1"/>
  <c r="AO392" s="1"/>
  <c r="AP392" s="1"/>
  <c r="AQ392" s="1"/>
  <c r="AB68"/>
  <c r="AC68" s="1"/>
  <c r="AD68"/>
  <c r="AE68" s="1"/>
  <c r="AF68" s="1"/>
  <c r="AG68" s="1"/>
  <c r="AH68" s="1"/>
  <c r="AI68" s="1"/>
  <c r="AJ68" s="1"/>
  <c r="AK68" s="1"/>
  <c r="AL68" s="1"/>
  <c r="AM68" s="1"/>
  <c r="AN68" s="1"/>
  <c r="AO68" s="1"/>
  <c r="AP68" s="1"/>
  <c r="AQ68" s="1"/>
  <c r="AB69"/>
  <c r="AC69" s="1"/>
  <c r="AD69" s="1"/>
  <c r="AE69" s="1"/>
  <c r="AF69" s="1"/>
  <c r="AG69" s="1"/>
  <c r="AH69" s="1"/>
  <c r="AI69" s="1"/>
  <c r="AJ69" s="1"/>
  <c r="AK69" s="1"/>
  <c r="AL69" s="1"/>
  <c r="AM69"/>
  <c r="AN69" s="1"/>
  <c r="AO69" s="1"/>
  <c r="AP69" s="1"/>
  <c r="AQ69" s="1"/>
  <c r="AB77"/>
  <c r="AC77" s="1"/>
  <c r="AD77" s="1"/>
  <c r="AE77" s="1"/>
  <c r="AF77" s="1"/>
  <c r="AG77" s="1"/>
  <c r="AH77" s="1"/>
  <c r="AI77" s="1"/>
  <c r="AJ77" s="1"/>
  <c r="AK77" s="1"/>
  <c r="AL77" s="1"/>
  <c r="AM77" s="1"/>
  <c r="AN77" s="1"/>
  <c r="AO77" s="1"/>
  <c r="AP77" s="1"/>
  <c r="AQ77" s="1"/>
  <c r="AB95"/>
  <c r="AC95" s="1"/>
  <c r="AD95" s="1"/>
  <c r="AE95" s="1"/>
  <c r="AF95" s="1"/>
  <c r="AG95" s="1"/>
  <c r="AH95" s="1"/>
  <c r="AI95" s="1"/>
  <c r="AJ95" s="1"/>
  <c r="AK95" s="1"/>
  <c r="AL95" s="1"/>
  <c r="AM95" s="1"/>
  <c r="AN95" s="1"/>
  <c r="AO95" s="1"/>
  <c r="AP95" s="1"/>
  <c r="AQ95" s="1"/>
  <c r="X95"/>
  <c r="W95"/>
  <c r="AB94"/>
  <c r="AC94"/>
  <c r="AD94" s="1"/>
  <c r="AE94" s="1"/>
  <c r="AF94" s="1"/>
  <c r="AG94" s="1"/>
  <c r="AH94" s="1"/>
  <c r="AI94" s="1"/>
  <c r="AJ94" s="1"/>
  <c r="AK94" s="1"/>
  <c r="AL94" s="1"/>
  <c r="AM94" s="1"/>
  <c r="AN94" s="1"/>
  <c r="AO94"/>
  <c r="AP94" s="1"/>
  <c r="AQ94" s="1"/>
  <c r="X94"/>
  <c r="W94"/>
  <c r="AB93"/>
  <c r="X93"/>
  <c r="W93"/>
  <c r="AB92"/>
  <c r="AC92" s="1"/>
  <c r="AD92" s="1"/>
  <c r="AE92" s="1"/>
  <c r="AF92" s="1"/>
  <c r="AG92" s="1"/>
  <c r="AH92" s="1"/>
  <c r="AI92" s="1"/>
  <c r="AJ92" s="1"/>
  <c r="AK92" s="1"/>
  <c r="AL92" s="1"/>
  <c r="AM92" s="1"/>
  <c r="AN92" s="1"/>
  <c r="AO92" s="1"/>
  <c r="AP92" s="1"/>
  <c r="AQ92" s="1"/>
  <c r="X92"/>
  <c r="W92"/>
  <c r="AB91"/>
  <c r="AC91" s="1"/>
  <c r="AD91"/>
  <c r="AE91" s="1"/>
  <c r="AF91" s="1"/>
  <c r="AG91" s="1"/>
  <c r="AH91" s="1"/>
  <c r="AI91" s="1"/>
  <c r="AJ91" s="1"/>
  <c r="AK91" s="1"/>
  <c r="AL91" s="1"/>
  <c r="AM91" s="1"/>
  <c r="AN91" s="1"/>
  <c r="AO91" s="1"/>
  <c r="AP91" s="1"/>
  <c r="AQ91" s="1"/>
  <c r="AR91" s="1"/>
  <c r="AS91" s="1"/>
  <c r="AA91"/>
  <c r="X91"/>
  <c r="W91"/>
  <c r="X90"/>
  <c r="W90"/>
  <c r="AB89"/>
  <c r="AC89" s="1"/>
  <c r="AD89" s="1"/>
  <c r="AE89" s="1"/>
  <c r="AF89" s="1"/>
  <c r="AG89" s="1"/>
  <c r="AH89" s="1"/>
  <c r="AI89" s="1"/>
  <c r="AJ89" s="1"/>
  <c r="AK89" s="1"/>
  <c r="AL89" s="1"/>
  <c r="AM89"/>
  <c r="AN89" s="1"/>
  <c r="AO89" s="1"/>
  <c r="AP89" s="1"/>
  <c r="AQ89" s="1"/>
  <c r="X89"/>
  <c r="W89"/>
  <c r="AB88"/>
  <c r="AC88" s="1"/>
  <c r="AD88" s="1"/>
  <c r="AE88" s="1"/>
  <c r="AF88" s="1"/>
  <c r="AG88" s="1"/>
  <c r="AH88" s="1"/>
  <c r="AI88" s="1"/>
  <c r="AJ88" s="1"/>
  <c r="AK88" s="1"/>
  <c r="AL88" s="1"/>
  <c r="AM88" s="1"/>
  <c r="AN88" s="1"/>
  <c r="AO88" s="1"/>
  <c r="AP88"/>
  <c r="AQ88" s="1"/>
  <c r="X88"/>
  <c r="W88"/>
  <c r="AB87"/>
  <c r="AC87"/>
  <c r="AD87" s="1"/>
  <c r="AE87" s="1"/>
  <c r="AF87" s="1"/>
  <c r="AG87" s="1"/>
  <c r="AH87" s="1"/>
  <c r="AI87" s="1"/>
  <c r="AJ87" s="1"/>
  <c r="AK87" s="1"/>
  <c r="AL87" s="1"/>
  <c r="AM87" s="1"/>
  <c r="AN87" s="1"/>
  <c r="AO87"/>
  <c r="AP87" s="1"/>
  <c r="AQ87" s="1"/>
  <c r="X87"/>
  <c r="W87"/>
  <c r="AB86"/>
  <c r="AC86" s="1"/>
  <c r="AD86" s="1"/>
  <c r="AE86" s="1"/>
  <c r="AF86" s="1"/>
  <c r="AG86" s="1"/>
  <c r="AH86" s="1"/>
  <c r="AI86" s="1"/>
  <c r="AJ86" s="1"/>
  <c r="AK86" s="1"/>
  <c r="AL86" s="1"/>
  <c r="AM86" s="1"/>
  <c r="AN86" s="1"/>
  <c r="AO86" s="1"/>
  <c r="AP86" s="1"/>
  <c r="AQ86" s="1"/>
  <c r="X86"/>
  <c r="W86"/>
  <c r="AB85"/>
  <c r="AC85" s="1"/>
  <c r="AD85" s="1"/>
  <c r="AE85"/>
  <c r="AF85" s="1"/>
  <c r="AG85" s="1"/>
  <c r="AH85" s="1"/>
  <c r="AI85" s="1"/>
  <c r="AJ85" s="1"/>
  <c r="AK85" s="1"/>
  <c r="AL85" s="1"/>
  <c r="AM85" s="1"/>
  <c r="AN85" s="1"/>
  <c r="AO85" s="1"/>
  <c r="AP85" s="1"/>
  <c r="AQ85" s="1"/>
  <c r="X85"/>
  <c r="W85"/>
  <c r="AB84"/>
  <c r="AC84"/>
  <c r="AD84"/>
  <c r="AE84" s="1"/>
  <c r="AF84" s="1"/>
  <c r="AG84" s="1"/>
  <c r="AH84" s="1"/>
  <c r="AI84" s="1"/>
  <c r="AJ84" s="1"/>
  <c r="AK84" s="1"/>
  <c r="AL84" s="1"/>
  <c r="AM84" s="1"/>
  <c r="AN84" s="1"/>
  <c r="AO84" s="1"/>
  <c r="AP84" s="1"/>
  <c r="AQ84" s="1"/>
  <c r="AR84" s="1"/>
  <c r="AS84" s="1"/>
  <c r="AT84" s="1"/>
  <c r="X84"/>
  <c r="W84"/>
  <c r="AB83"/>
  <c r="AC83"/>
  <c r="AD83" s="1"/>
  <c r="AE83" s="1"/>
  <c r="AF83" s="1"/>
  <c r="AG83" s="1"/>
  <c r="AH83" s="1"/>
  <c r="AI83" s="1"/>
  <c r="AJ83" s="1"/>
  <c r="AK83" s="1"/>
  <c r="AL83" s="1"/>
  <c r="AM83" s="1"/>
  <c r="AN83" s="1"/>
  <c r="AO83" s="1"/>
  <c r="AP83" s="1"/>
  <c r="AQ83" s="1"/>
  <c r="X83"/>
  <c r="W83"/>
  <c r="AB82"/>
  <c r="AC82" s="1"/>
  <c r="AD82" s="1"/>
  <c r="AE82" s="1"/>
  <c r="AF82"/>
  <c r="AG82" s="1"/>
  <c r="AH82" s="1"/>
  <c r="AI82" s="1"/>
  <c r="AJ82" s="1"/>
  <c r="AK82" s="1"/>
  <c r="AL82" s="1"/>
  <c r="AM82" s="1"/>
  <c r="AN82" s="1"/>
  <c r="AO82" s="1"/>
  <c r="AP82" s="1"/>
  <c r="AQ82" s="1"/>
  <c r="X82"/>
  <c r="W82"/>
  <c r="AB81"/>
  <c r="AC81" s="1"/>
  <c r="AD81" s="1"/>
  <c r="AE81" s="1"/>
  <c r="AF81" s="1"/>
  <c r="AG81" s="1"/>
  <c r="AH81" s="1"/>
  <c r="AI81" s="1"/>
  <c r="AJ81" s="1"/>
  <c r="AK81" s="1"/>
  <c r="AL81" s="1"/>
  <c r="AM81" s="1"/>
  <c r="AN81" s="1"/>
  <c r="AO81" s="1"/>
  <c r="AP81" s="1"/>
  <c r="AQ81" s="1"/>
  <c r="X81"/>
  <c r="W81"/>
  <c r="AB80"/>
  <c r="AC80" s="1"/>
  <c r="AD80" s="1"/>
  <c r="AE80" s="1"/>
  <c r="AF80" s="1"/>
  <c r="AG80" s="1"/>
  <c r="AH80" s="1"/>
  <c r="AI80" s="1"/>
  <c r="AJ80" s="1"/>
  <c r="AK80" s="1"/>
  <c r="AL80"/>
  <c r="AM80" s="1"/>
  <c r="AN80" s="1"/>
  <c r="AO80" s="1"/>
  <c r="AP80" s="1"/>
  <c r="AQ80" s="1"/>
  <c r="X80"/>
  <c r="W80"/>
  <c r="AB79"/>
  <c r="AC79"/>
  <c r="AD79" s="1"/>
  <c r="AE79" s="1"/>
  <c r="AF79" s="1"/>
  <c r="AG79" s="1"/>
  <c r="AH79" s="1"/>
  <c r="AI79" s="1"/>
  <c r="AJ79" s="1"/>
  <c r="AK79"/>
  <c r="AL79" s="1"/>
  <c r="AM79" s="1"/>
  <c r="AN79" s="1"/>
  <c r="AO79" s="1"/>
  <c r="AP79" s="1"/>
  <c r="AQ79" s="1"/>
  <c r="X79"/>
  <c r="W79"/>
  <c r="AB78"/>
  <c r="AC78" s="1"/>
  <c r="AD78" s="1"/>
  <c r="AE78" s="1"/>
  <c r="AF78" s="1"/>
  <c r="AG78" s="1"/>
  <c r="AH78" s="1"/>
  <c r="AI78" s="1"/>
  <c r="AJ78" s="1"/>
  <c r="AK78" s="1"/>
  <c r="AL78" s="1"/>
  <c r="AM78" s="1"/>
  <c r="AN78" s="1"/>
  <c r="AO78" s="1"/>
  <c r="AP78" s="1"/>
  <c r="AQ78" s="1"/>
  <c r="AR78"/>
  <c r="AS78" s="1"/>
  <c r="X78"/>
  <c r="W78"/>
  <c r="X77"/>
  <c r="W77"/>
  <c r="AB76"/>
  <c r="AC76"/>
  <c r="AD76" s="1"/>
  <c r="AE76" s="1"/>
  <c r="AF76" s="1"/>
  <c r="AG76"/>
  <c r="AH76" s="1"/>
  <c r="AI76" s="1"/>
  <c r="AJ76" s="1"/>
  <c r="AK76"/>
  <c r="AL76" s="1"/>
  <c r="AM76" s="1"/>
  <c r="AN76" s="1"/>
  <c r="AO76" s="1"/>
  <c r="AP76" s="1"/>
  <c r="AQ76" s="1"/>
  <c r="X76"/>
  <c r="W76"/>
  <c r="X75"/>
  <c r="W75"/>
  <c r="X74"/>
  <c r="W74"/>
  <c r="X73"/>
  <c r="W73"/>
  <c r="X72"/>
  <c r="W72"/>
  <c r="X71"/>
  <c r="W71"/>
  <c r="X70"/>
  <c r="W70"/>
  <c r="X69"/>
  <c r="W69"/>
  <c r="X68"/>
  <c r="W68"/>
  <c r="AB67"/>
  <c r="AC67" s="1"/>
  <c r="AD67" s="1"/>
  <c r="AE67" s="1"/>
  <c r="AF67" s="1"/>
  <c r="AG67" s="1"/>
  <c r="AH67" s="1"/>
  <c r="AI67" s="1"/>
  <c r="AJ67"/>
  <c r="AK67" s="1"/>
  <c r="AL67" s="1"/>
  <c r="AM67" s="1"/>
  <c r="AN67" s="1"/>
  <c r="AO67" s="1"/>
  <c r="AP67" s="1"/>
  <c r="AQ67" s="1"/>
  <c r="X67"/>
  <c r="W67"/>
  <c r="U69"/>
  <c r="U68"/>
  <c r="U67"/>
  <c r="R67"/>
  <c r="D80"/>
  <c r="AB111"/>
  <c r="AC111" s="1"/>
  <c r="AD111" s="1"/>
  <c r="AE111" s="1"/>
  <c r="AF111" s="1"/>
  <c r="AG111" s="1"/>
  <c r="AH111" s="1"/>
  <c r="AI111" s="1"/>
  <c r="AJ111" s="1"/>
  <c r="AK111" s="1"/>
  <c r="AL111" s="1"/>
  <c r="AM111" s="1"/>
  <c r="AN111" s="1"/>
  <c r="AO111" s="1"/>
  <c r="AP111" s="1"/>
  <c r="AQ111" s="1"/>
  <c r="AR111"/>
  <c r="AS111" s="1"/>
  <c r="S78"/>
  <c r="S77"/>
  <c r="S70"/>
  <c r="AB134"/>
  <c r="AC134"/>
  <c r="AD134"/>
  <c r="AE134" s="1"/>
  <c r="AF134" s="1"/>
  <c r="AG134" s="1"/>
  <c r="AH134"/>
  <c r="AI134" s="1"/>
  <c r="AJ134" s="1"/>
  <c r="AK134" s="1"/>
  <c r="AL134"/>
  <c r="AM134" s="1"/>
  <c r="AN134" s="1"/>
  <c r="AO134" s="1"/>
  <c r="AP134" s="1"/>
  <c r="AQ134" s="1"/>
  <c r="AB135"/>
  <c r="AC135" s="1"/>
  <c r="AD135"/>
  <c r="AE135" s="1"/>
  <c r="AF135" s="1"/>
  <c r="AG135" s="1"/>
  <c r="AH135" s="1"/>
  <c r="AI135" s="1"/>
  <c r="AJ135" s="1"/>
  <c r="AK135" s="1"/>
  <c r="AL135" s="1"/>
  <c r="AM135" s="1"/>
  <c r="AN135" s="1"/>
  <c r="AO135" s="1"/>
  <c r="AP135" s="1"/>
  <c r="AQ135" s="1"/>
  <c r="AR135" s="1"/>
  <c r="AS135" s="1"/>
  <c r="AT135" s="1"/>
  <c r="AB136"/>
  <c r="AC136" s="1"/>
  <c r="AD136" s="1"/>
  <c r="AE136" s="1"/>
  <c r="AF136" s="1"/>
  <c r="AG136" s="1"/>
  <c r="AH136"/>
  <c r="AI136" s="1"/>
  <c r="AJ136" s="1"/>
  <c r="AK136" s="1"/>
  <c r="AL136" s="1"/>
  <c r="AM136" s="1"/>
  <c r="AN136" s="1"/>
  <c r="AO136" s="1"/>
  <c r="AP136" s="1"/>
  <c r="AQ136" s="1"/>
  <c r="AB137"/>
  <c r="AC137" s="1"/>
  <c r="AD137" s="1"/>
  <c r="AE137" s="1"/>
  <c r="AF137" s="1"/>
  <c r="AG137" s="1"/>
  <c r="AH137" s="1"/>
  <c r="AI137" s="1"/>
  <c r="AJ137" s="1"/>
  <c r="AK137" s="1"/>
  <c r="AL137" s="1"/>
  <c r="AM137" s="1"/>
  <c r="AN137" s="1"/>
  <c r="AO137" s="1"/>
  <c r="AP137" s="1"/>
  <c r="AQ137" s="1"/>
  <c r="AB138"/>
  <c r="AC138" s="1"/>
  <c r="AD138" s="1"/>
  <c r="AE138" s="1"/>
  <c r="AF138" s="1"/>
  <c r="AG138" s="1"/>
  <c r="AH138" s="1"/>
  <c r="AI138" s="1"/>
  <c r="AJ138" s="1"/>
  <c r="AK138" s="1"/>
  <c r="AL138" s="1"/>
  <c r="AM138" s="1"/>
  <c r="AN138" s="1"/>
  <c r="AO138" s="1"/>
  <c r="AP138" s="1"/>
  <c r="AQ138" s="1"/>
  <c r="AB139"/>
  <c r="AC139" s="1"/>
  <c r="AD139"/>
  <c r="AE139" s="1"/>
  <c r="AF139" s="1"/>
  <c r="AG139" s="1"/>
  <c r="AH139" s="1"/>
  <c r="AI139" s="1"/>
  <c r="AJ139" s="1"/>
  <c r="AK139" s="1"/>
  <c r="AL139" s="1"/>
  <c r="AM139" s="1"/>
  <c r="AN139" s="1"/>
  <c r="AO139" s="1"/>
  <c r="AP139" s="1"/>
  <c r="AQ139" s="1"/>
  <c r="AR139" s="1"/>
  <c r="AS139" s="1"/>
  <c r="AT139" s="1"/>
  <c r="AA139"/>
  <c r="Y139" s="1"/>
  <c r="AB140"/>
  <c r="AC140" s="1"/>
  <c r="AD140" s="1"/>
  <c r="AE140" s="1"/>
  <c r="AF140" s="1"/>
  <c r="AG140" s="1"/>
  <c r="AH140"/>
  <c r="AI140" s="1"/>
  <c r="AJ140" s="1"/>
  <c r="AK140" s="1"/>
  <c r="AL140" s="1"/>
  <c r="AM140" s="1"/>
  <c r="AN140" s="1"/>
  <c r="AO140" s="1"/>
  <c r="AP140" s="1"/>
  <c r="AQ140" s="1"/>
  <c r="AB141"/>
  <c r="AC141" s="1"/>
  <c r="AD141" s="1"/>
  <c r="AE141" s="1"/>
  <c r="AF141" s="1"/>
  <c r="AG141" s="1"/>
  <c r="AH141" s="1"/>
  <c r="AI141" s="1"/>
  <c r="AJ141" s="1"/>
  <c r="AK141" s="1"/>
  <c r="AL141" s="1"/>
  <c r="AM141" s="1"/>
  <c r="AN141" s="1"/>
  <c r="AO141" s="1"/>
  <c r="AP141"/>
  <c r="AQ141" s="1"/>
  <c r="AB142"/>
  <c r="AC142" s="1"/>
  <c r="AD142" s="1"/>
  <c r="AE142" s="1"/>
  <c r="AF142" s="1"/>
  <c r="AG142" s="1"/>
  <c r="AH142" s="1"/>
  <c r="AI142" s="1"/>
  <c r="AJ142" s="1"/>
  <c r="AK142" s="1"/>
  <c r="AL142"/>
  <c r="AM142" s="1"/>
  <c r="AN142" s="1"/>
  <c r="AO142" s="1"/>
  <c r="AP142" s="1"/>
  <c r="AQ142" s="1"/>
  <c r="AB143"/>
  <c r="AC143" s="1"/>
  <c r="AD143"/>
  <c r="AE143" s="1"/>
  <c r="AF143" s="1"/>
  <c r="AG143" s="1"/>
  <c r="AH143" s="1"/>
  <c r="AI143" s="1"/>
  <c r="AJ143" s="1"/>
  <c r="AK143" s="1"/>
  <c r="AL143" s="1"/>
  <c r="AM143" s="1"/>
  <c r="AN143" s="1"/>
  <c r="AO143" s="1"/>
  <c r="AP143" s="1"/>
  <c r="AQ143" s="1"/>
  <c r="AR143" s="1"/>
  <c r="AS143" s="1"/>
  <c r="AT143" s="1"/>
  <c r="AB144"/>
  <c r="AC144" s="1"/>
  <c r="AD144" s="1"/>
  <c r="AE144" s="1"/>
  <c r="AF144" s="1"/>
  <c r="AG144" s="1"/>
  <c r="AH144"/>
  <c r="AI144" s="1"/>
  <c r="AJ144" s="1"/>
  <c r="AK144" s="1"/>
  <c r="AL144" s="1"/>
  <c r="AM144" s="1"/>
  <c r="AN144" s="1"/>
  <c r="AO144" s="1"/>
  <c r="AP144" s="1"/>
  <c r="AQ144" s="1"/>
  <c r="AB145"/>
  <c r="AC145" s="1"/>
  <c r="AD145" s="1"/>
  <c r="AE145" s="1"/>
  <c r="AF145" s="1"/>
  <c r="AG145" s="1"/>
  <c r="AH145" s="1"/>
  <c r="AI145" s="1"/>
  <c r="AJ145" s="1"/>
  <c r="AK145" s="1"/>
  <c r="AL145" s="1"/>
  <c r="AM145" s="1"/>
  <c r="AN145" s="1"/>
  <c r="AO145" s="1"/>
  <c r="AP145" s="1"/>
  <c r="AQ145" s="1"/>
  <c r="AB146"/>
  <c r="AC146" s="1"/>
  <c r="AD146" s="1"/>
  <c r="AE146" s="1"/>
  <c r="AF146" s="1"/>
  <c r="AG146" s="1"/>
  <c r="AH146" s="1"/>
  <c r="AI146" s="1"/>
  <c r="AJ146" s="1"/>
  <c r="AK146" s="1"/>
  <c r="AL146" s="1"/>
  <c r="AM146" s="1"/>
  <c r="AN146" s="1"/>
  <c r="AO146" s="1"/>
  <c r="AP146" s="1"/>
  <c r="AQ146" s="1"/>
  <c r="AB147"/>
  <c r="AC147" s="1"/>
  <c r="AD147"/>
  <c r="AE147" s="1"/>
  <c r="AF147" s="1"/>
  <c r="AG147" s="1"/>
  <c r="AH147" s="1"/>
  <c r="AI147" s="1"/>
  <c r="AJ147" s="1"/>
  <c r="AK147" s="1"/>
  <c r="AL147" s="1"/>
  <c r="AM147" s="1"/>
  <c r="AN147" s="1"/>
  <c r="AO147" s="1"/>
  <c r="AP147" s="1"/>
  <c r="AQ147" s="1"/>
  <c r="AR147" s="1"/>
  <c r="AS147" s="1"/>
  <c r="AT147" s="1"/>
  <c r="AA147"/>
  <c r="Y147" s="1"/>
  <c r="AB148"/>
  <c r="AC148" s="1"/>
  <c r="AD148" s="1"/>
  <c r="AE148" s="1"/>
  <c r="AF148" s="1"/>
  <c r="AG148" s="1"/>
  <c r="AH148"/>
  <c r="AI148" s="1"/>
  <c r="AJ148" s="1"/>
  <c r="AK148" s="1"/>
  <c r="AL148" s="1"/>
  <c r="AM148" s="1"/>
  <c r="AN148" s="1"/>
  <c r="AO148" s="1"/>
  <c r="AP148" s="1"/>
  <c r="AQ148" s="1"/>
  <c r="AB149"/>
  <c r="AC149" s="1"/>
  <c r="AD149" s="1"/>
  <c r="AE149" s="1"/>
  <c r="AF149" s="1"/>
  <c r="AG149" s="1"/>
  <c r="AH149" s="1"/>
  <c r="AI149" s="1"/>
  <c r="AJ149" s="1"/>
  <c r="AK149" s="1"/>
  <c r="AL149" s="1"/>
  <c r="AM149" s="1"/>
  <c r="AN149" s="1"/>
  <c r="AO149" s="1"/>
  <c r="AP149"/>
  <c r="AQ149" s="1"/>
  <c r="AB150"/>
  <c r="AC150" s="1"/>
  <c r="AD150" s="1"/>
  <c r="AE150" s="1"/>
  <c r="AF150" s="1"/>
  <c r="AG150" s="1"/>
  <c r="AH150" s="1"/>
  <c r="AI150" s="1"/>
  <c r="AJ150" s="1"/>
  <c r="AK150" s="1"/>
  <c r="AL150"/>
  <c r="AM150" s="1"/>
  <c r="AN150" s="1"/>
  <c r="AO150" s="1"/>
  <c r="AP150" s="1"/>
  <c r="AQ150" s="1"/>
  <c r="AB151"/>
  <c r="AC151" s="1"/>
  <c r="AD151"/>
  <c r="AE151" s="1"/>
  <c r="AF151" s="1"/>
  <c r="AG151" s="1"/>
  <c r="AH151" s="1"/>
  <c r="AI151" s="1"/>
  <c r="AJ151" s="1"/>
  <c r="AK151" s="1"/>
  <c r="AL151" s="1"/>
  <c r="AM151" s="1"/>
  <c r="AN151" s="1"/>
  <c r="AO151" s="1"/>
  <c r="AP151" s="1"/>
  <c r="AQ151" s="1"/>
  <c r="AR151" s="1"/>
  <c r="AS151" s="1"/>
  <c r="AT151" s="1"/>
  <c r="AB152"/>
  <c r="AC152" s="1"/>
  <c r="AD152" s="1"/>
  <c r="AE152" s="1"/>
  <c r="AF152" s="1"/>
  <c r="AG152" s="1"/>
  <c r="AH152"/>
  <c r="AI152" s="1"/>
  <c r="AJ152" s="1"/>
  <c r="AK152" s="1"/>
  <c r="AL152" s="1"/>
  <c r="AM152" s="1"/>
  <c r="AN152" s="1"/>
  <c r="AO152" s="1"/>
  <c r="AP152" s="1"/>
  <c r="AQ152" s="1"/>
  <c r="AB153"/>
  <c r="AC153" s="1"/>
  <c r="AD153" s="1"/>
  <c r="AE153" s="1"/>
  <c r="AF153" s="1"/>
  <c r="AG153" s="1"/>
  <c r="AH153" s="1"/>
  <c r="AI153" s="1"/>
  <c r="AJ153" s="1"/>
  <c r="AK153" s="1"/>
  <c r="AL153" s="1"/>
  <c r="AM153" s="1"/>
  <c r="AN153" s="1"/>
  <c r="AO153" s="1"/>
  <c r="AP153" s="1"/>
  <c r="AQ153" s="1"/>
  <c r="AB154"/>
  <c r="AC154" s="1"/>
  <c r="AD154" s="1"/>
  <c r="AE154" s="1"/>
  <c r="AF154" s="1"/>
  <c r="AG154" s="1"/>
  <c r="AH154" s="1"/>
  <c r="AI154" s="1"/>
  <c r="AJ154" s="1"/>
  <c r="AK154" s="1"/>
  <c r="AL154" s="1"/>
  <c r="AM154" s="1"/>
  <c r="AN154" s="1"/>
  <c r="AO154" s="1"/>
  <c r="AP154" s="1"/>
  <c r="AQ154" s="1"/>
  <c r="AB155"/>
  <c r="AC155" s="1"/>
  <c r="AD155"/>
  <c r="AE155" s="1"/>
  <c r="AF155" s="1"/>
  <c r="AG155" s="1"/>
  <c r="AH155" s="1"/>
  <c r="AI155" s="1"/>
  <c r="AJ155" s="1"/>
  <c r="AK155" s="1"/>
  <c r="AL155" s="1"/>
  <c r="AM155" s="1"/>
  <c r="AN155" s="1"/>
  <c r="AO155" s="1"/>
  <c r="AP155" s="1"/>
  <c r="AQ155" s="1"/>
  <c r="AR155" s="1"/>
  <c r="AS155" s="1"/>
  <c r="AT155" s="1"/>
  <c r="AA155"/>
  <c r="Y155" s="1"/>
  <c r="AB156"/>
  <c r="AC156" s="1"/>
  <c r="AD156" s="1"/>
  <c r="AE156" s="1"/>
  <c r="AF156" s="1"/>
  <c r="AG156" s="1"/>
  <c r="AH156"/>
  <c r="AI156" s="1"/>
  <c r="AJ156" s="1"/>
  <c r="AK156" s="1"/>
  <c r="AL156" s="1"/>
  <c r="AM156" s="1"/>
  <c r="AN156" s="1"/>
  <c r="AO156" s="1"/>
  <c r="AP156" s="1"/>
  <c r="AQ156" s="1"/>
  <c r="AB157"/>
  <c r="AC157" s="1"/>
  <c r="AD157" s="1"/>
  <c r="AE157" s="1"/>
  <c r="AF157" s="1"/>
  <c r="AG157" s="1"/>
  <c r="AH157" s="1"/>
  <c r="AI157" s="1"/>
  <c r="AJ157" s="1"/>
  <c r="AK157" s="1"/>
  <c r="AL157" s="1"/>
  <c r="AM157" s="1"/>
  <c r="AN157" s="1"/>
  <c r="AO157" s="1"/>
  <c r="AP157"/>
  <c r="AQ157" s="1"/>
  <c r="AB158"/>
  <c r="AC158" s="1"/>
  <c r="AD158" s="1"/>
  <c r="AE158" s="1"/>
  <c r="AF158" s="1"/>
  <c r="AG158" s="1"/>
  <c r="AH158" s="1"/>
  <c r="AI158" s="1"/>
  <c r="AJ158" s="1"/>
  <c r="AK158" s="1"/>
  <c r="AL158"/>
  <c r="AM158" s="1"/>
  <c r="AN158" s="1"/>
  <c r="AO158" s="1"/>
  <c r="AP158" s="1"/>
  <c r="AQ158" s="1"/>
  <c r="AB159"/>
  <c r="AC159" s="1"/>
  <c r="AD159"/>
  <c r="AE159" s="1"/>
  <c r="AF159" s="1"/>
  <c r="AG159" s="1"/>
  <c r="AH159" s="1"/>
  <c r="AI159" s="1"/>
  <c r="AJ159" s="1"/>
  <c r="AK159" s="1"/>
  <c r="AL159" s="1"/>
  <c r="AM159" s="1"/>
  <c r="AN159" s="1"/>
  <c r="AO159" s="1"/>
  <c r="AP159" s="1"/>
  <c r="AQ159" s="1"/>
  <c r="AR159" s="1"/>
  <c r="AS159" s="1"/>
  <c r="AT159" s="1"/>
  <c r="AB160"/>
  <c r="AC160" s="1"/>
  <c r="AD160" s="1"/>
  <c r="AE160" s="1"/>
  <c r="AF160" s="1"/>
  <c r="AG160" s="1"/>
  <c r="AH160"/>
  <c r="AI160" s="1"/>
  <c r="AJ160" s="1"/>
  <c r="AK160" s="1"/>
  <c r="AL160" s="1"/>
  <c r="AM160" s="1"/>
  <c r="AN160" s="1"/>
  <c r="AO160" s="1"/>
  <c r="AP160" s="1"/>
  <c r="AQ160" s="1"/>
  <c r="AB161"/>
  <c r="AC161" s="1"/>
  <c r="AD161" s="1"/>
  <c r="AE161" s="1"/>
  <c r="AF161" s="1"/>
  <c r="AG161" s="1"/>
  <c r="AH161" s="1"/>
  <c r="AI161" s="1"/>
  <c r="AJ161" s="1"/>
  <c r="AK161" s="1"/>
  <c r="AL161" s="1"/>
  <c r="AM161" s="1"/>
  <c r="AN161" s="1"/>
  <c r="AO161" s="1"/>
  <c r="AP161" s="1"/>
  <c r="AQ161" s="1"/>
  <c r="AB162"/>
  <c r="AC162" s="1"/>
  <c r="AD162" s="1"/>
  <c r="AE162" s="1"/>
  <c r="AF162" s="1"/>
  <c r="AG162" s="1"/>
  <c r="AH162" s="1"/>
  <c r="AI162" s="1"/>
  <c r="AJ162" s="1"/>
  <c r="AK162" s="1"/>
  <c r="AL162" s="1"/>
  <c r="AM162" s="1"/>
  <c r="AN162" s="1"/>
  <c r="AO162" s="1"/>
  <c r="AP162" s="1"/>
  <c r="AQ162" s="1"/>
  <c r="AB163"/>
  <c r="AC163" s="1"/>
  <c r="AD163"/>
  <c r="AE163" s="1"/>
  <c r="AF163" s="1"/>
  <c r="AG163" s="1"/>
  <c r="AH163" s="1"/>
  <c r="AI163" s="1"/>
  <c r="AJ163" s="1"/>
  <c r="AK163" s="1"/>
  <c r="AL163" s="1"/>
  <c r="AM163" s="1"/>
  <c r="AN163" s="1"/>
  <c r="AO163" s="1"/>
  <c r="AP163" s="1"/>
  <c r="AQ163" s="1"/>
  <c r="AR163" s="1"/>
  <c r="AS163" s="1"/>
  <c r="AT163" s="1"/>
  <c r="AA163"/>
  <c r="Y163" s="1"/>
  <c r="AB164"/>
  <c r="AC164" s="1"/>
  <c r="AD164" s="1"/>
  <c r="AE164" s="1"/>
  <c r="AF164" s="1"/>
  <c r="AG164" s="1"/>
  <c r="AH164"/>
  <c r="AI164" s="1"/>
  <c r="AJ164" s="1"/>
  <c r="AK164" s="1"/>
  <c r="AL164" s="1"/>
  <c r="AM164" s="1"/>
  <c r="AN164" s="1"/>
  <c r="AO164" s="1"/>
  <c r="AP164" s="1"/>
  <c r="AQ164" s="1"/>
  <c r="AB165"/>
  <c r="AC165" s="1"/>
  <c r="AD165" s="1"/>
  <c r="AE165" s="1"/>
  <c r="AF165" s="1"/>
  <c r="AG165" s="1"/>
  <c r="AH165" s="1"/>
  <c r="AI165" s="1"/>
  <c r="AJ165" s="1"/>
  <c r="AK165" s="1"/>
  <c r="AL165" s="1"/>
  <c r="AM165" s="1"/>
  <c r="AN165" s="1"/>
  <c r="AO165" s="1"/>
  <c r="AP165"/>
  <c r="AQ165" s="1"/>
  <c r="AB166"/>
  <c r="AC166" s="1"/>
  <c r="AD166" s="1"/>
  <c r="AE166" s="1"/>
  <c r="AF166" s="1"/>
  <c r="AG166" s="1"/>
  <c r="AH166" s="1"/>
  <c r="AI166" s="1"/>
  <c r="AJ166" s="1"/>
  <c r="AK166" s="1"/>
  <c r="AL166"/>
  <c r="AM166" s="1"/>
  <c r="AN166" s="1"/>
  <c r="AO166" s="1"/>
  <c r="AP166" s="1"/>
  <c r="AQ166" s="1"/>
  <c r="AB167"/>
  <c r="AC167" s="1"/>
  <c r="AD167"/>
  <c r="AE167" s="1"/>
  <c r="AF167" s="1"/>
  <c r="AG167" s="1"/>
  <c r="AH167" s="1"/>
  <c r="AI167" s="1"/>
  <c r="AJ167" s="1"/>
  <c r="AK167" s="1"/>
  <c r="AL167" s="1"/>
  <c r="AM167" s="1"/>
  <c r="AN167" s="1"/>
  <c r="AO167" s="1"/>
  <c r="AP167" s="1"/>
  <c r="AQ167" s="1"/>
  <c r="AR167" s="1"/>
  <c r="AS167" s="1"/>
  <c r="AT167" s="1"/>
  <c r="AB168"/>
  <c r="AC168" s="1"/>
  <c r="AD168" s="1"/>
  <c r="AE168" s="1"/>
  <c r="AF168" s="1"/>
  <c r="AG168" s="1"/>
  <c r="AH168"/>
  <c r="AI168" s="1"/>
  <c r="AJ168" s="1"/>
  <c r="AK168" s="1"/>
  <c r="AL168" s="1"/>
  <c r="AM168" s="1"/>
  <c r="AN168" s="1"/>
  <c r="AO168" s="1"/>
  <c r="AP168" s="1"/>
  <c r="AQ168" s="1"/>
  <c r="AB169"/>
  <c r="AC169" s="1"/>
  <c r="AD169" s="1"/>
  <c r="AE169" s="1"/>
  <c r="AF169" s="1"/>
  <c r="AG169" s="1"/>
  <c r="AH169" s="1"/>
  <c r="AI169" s="1"/>
  <c r="AJ169" s="1"/>
  <c r="AK169" s="1"/>
  <c r="AL169" s="1"/>
  <c r="AM169" s="1"/>
  <c r="AN169" s="1"/>
  <c r="AO169" s="1"/>
  <c r="AP169" s="1"/>
  <c r="AQ169" s="1"/>
  <c r="AB170"/>
  <c r="AC170" s="1"/>
  <c r="AD170" s="1"/>
  <c r="AE170" s="1"/>
  <c r="AF170" s="1"/>
  <c r="AG170" s="1"/>
  <c r="AH170" s="1"/>
  <c r="AI170" s="1"/>
  <c r="AJ170" s="1"/>
  <c r="AK170" s="1"/>
  <c r="AL170" s="1"/>
  <c r="AM170" s="1"/>
  <c r="AN170" s="1"/>
  <c r="AO170" s="1"/>
  <c r="AP170" s="1"/>
  <c r="AQ170" s="1"/>
  <c r="AB171"/>
  <c r="AC171" s="1"/>
  <c r="AD171"/>
  <c r="AE171" s="1"/>
  <c r="AF171" s="1"/>
  <c r="AG171" s="1"/>
  <c r="AH171" s="1"/>
  <c r="AI171" s="1"/>
  <c r="AJ171" s="1"/>
  <c r="AK171" s="1"/>
  <c r="AL171" s="1"/>
  <c r="AM171" s="1"/>
  <c r="AN171" s="1"/>
  <c r="AO171" s="1"/>
  <c r="AP171" s="1"/>
  <c r="AQ171" s="1"/>
  <c r="AR171" s="1"/>
  <c r="AS171" s="1"/>
  <c r="AT171" s="1"/>
  <c r="AA171"/>
  <c r="Y171" s="1"/>
  <c r="AB172"/>
  <c r="AC172" s="1"/>
  <c r="AD172" s="1"/>
  <c r="AE172" s="1"/>
  <c r="AF172" s="1"/>
  <c r="AG172" s="1"/>
  <c r="AH172"/>
  <c r="AI172" s="1"/>
  <c r="AJ172" s="1"/>
  <c r="AK172" s="1"/>
  <c r="AL172" s="1"/>
  <c r="AM172" s="1"/>
  <c r="AN172" s="1"/>
  <c r="AO172" s="1"/>
  <c r="AP172" s="1"/>
  <c r="AQ172" s="1"/>
  <c r="AB173"/>
  <c r="AC173" s="1"/>
  <c r="AD173" s="1"/>
  <c r="AE173" s="1"/>
  <c r="AF173" s="1"/>
  <c r="AG173" s="1"/>
  <c r="AH173" s="1"/>
  <c r="AI173" s="1"/>
  <c r="AJ173" s="1"/>
  <c r="AK173" s="1"/>
  <c r="AL173" s="1"/>
  <c r="AM173" s="1"/>
  <c r="AN173" s="1"/>
  <c r="AO173" s="1"/>
  <c r="AP173"/>
  <c r="AQ173" s="1"/>
  <c r="AB174"/>
  <c r="AC174" s="1"/>
  <c r="AD174" s="1"/>
  <c r="AE174" s="1"/>
  <c r="AF174" s="1"/>
  <c r="AG174" s="1"/>
  <c r="AH174" s="1"/>
  <c r="AI174" s="1"/>
  <c r="AJ174" s="1"/>
  <c r="AK174" s="1"/>
  <c r="AL174"/>
  <c r="AM174" s="1"/>
  <c r="AN174" s="1"/>
  <c r="AO174" s="1"/>
  <c r="AP174" s="1"/>
  <c r="AQ174" s="1"/>
  <c r="AB175"/>
  <c r="AC175" s="1"/>
  <c r="AD175"/>
  <c r="AE175" s="1"/>
  <c r="AF175" s="1"/>
  <c r="AG175" s="1"/>
  <c r="AH175" s="1"/>
  <c r="AI175" s="1"/>
  <c r="AJ175" s="1"/>
  <c r="AK175" s="1"/>
  <c r="AL175" s="1"/>
  <c r="AM175" s="1"/>
  <c r="AN175" s="1"/>
  <c r="AO175" s="1"/>
  <c r="AP175" s="1"/>
  <c r="AQ175" s="1"/>
  <c r="AR175" s="1"/>
  <c r="AS175" s="1"/>
  <c r="AT175" s="1"/>
  <c r="AB176"/>
  <c r="AC176" s="1"/>
  <c r="AD176" s="1"/>
  <c r="AE176" s="1"/>
  <c r="AF176" s="1"/>
  <c r="AG176" s="1"/>
  <c r="AH176"/>
  <c r="AI176" s="1"/>
  <c r="AJ176" s="1"/>
  <c r="AK176" s="1"/>
  <c r="AL176" s="1"/>
  <c r="AM176" s="1"/>
  <c r="AN176" s="1"/>
  <c r="AO176" s="1"/>
  <c r="AP176" s="1"/>
  <c r="AQ176" s="1"/>
  <c r="AB177"/>
  <c r="AC177" s="1"/>
  <c r="AD177" s="1"/>
  <c r="AE177" s="1"/>
  <c r="AF177" s="1"/>
  <c r="AG177" s="1"/>
  <c r="AH177" s="1"/>
  <c r="AI177" s="1"/>
  <c r="AJ177" s="1"/>
  <c r="AK177" s="1"/>
  <c r="AL177" s="1"/>
  <c r="AM177" s="1"/>
  <c r="AN177" s="1"/>
  <c r="AO177" s="1"/>
  <c r="AP177" s="1"/>
  <c r="AQ177" s="1"/>
  <c r="AB178"/>
  <c r="AC178" s="1"/>
  <c r="AD178" s="1"/>
  <c r="AE178" s="1"/>
  <c r="AF178" s="1"/>
  <c r="AG178" s="1"/>
  <c r="AH178" s="1"/>
  <c r="AI178" s="1"/>
  <c r="AJ178" s="1"/>
  <c r="AK178" s="1"/>
  <c r="AL178" s="1"/>
  <c r="AM178" s="1"/>
  <c r="AN178" s="1"/>
  <c r="AO178" s="1"/>
  <c r="AP178" s="1"/>
  <c r="AQ178" s="1"/>
  <c r="AB179"/>
  <c r="AC179" s="1"/>
  <c r="AD179"/>
  <c r="AE179" s="1"/>
  <c r="AF179" s="1"/>
  <c r="AG179" s="1"/>
  <c r="AH179" s="1"/>
  <c r="AI179" s="1"/>
  <c r="AJ179" s="1"/>
  <c r="AK179" s="1"/>
  <c r="AL179" s="1"/>
  <c r="AM179" s="1"/>
  <c r="AN179" s="1"/>
  <c r="AO179" s="1"/>
  <c r="AP179" s="1"/>
  <c r="AQ179" s="1"/>
  <c r="AR179" s="1"/>
  <c r="AS179" s="1"/>
  <c r="AT179" s="1"/>
  <c r="AA179"/>
  <c r="Y179" s="1"/>
  <c r="AB180"/>
  <c r="AC180" s="1"/>
  <c r="AD180" s="1"/>
  <c r="AE180" s="1"/>
  <c r="AF180" s="1"/>
  <c r="AG180" s="1"/>
  <c r="AH180"/>
  <c r="AI180" s="1"/>
  <c r="AJ180" s="1"/>
  <c r="AK180" s="1"/>
  <c r="AL180" s="1"/>
  <c r="AM180" s="1"/>
  <c r="AN180" s="1"/>
  <c r="AO180" s="1"/>
  <c r="AP180" s="1"/>
  <c r="AQ180" s="1"/>
  <c r="AB181"/>
  <c r="AC181" s="1"/>
  <c r="AD181" s="1"/>
  <c r="AE181" s="1"/>
  <c r="AF181" s="1"/>
  <c r="AG181" s="1"/>
  <c r="AH181" s="1"/>
  <c r="AI181" s="1"/>
  <c r="AJ181" s="1"/>
  <c r="AK181" s="1"/>
  <c r="AL181" s="1"/>
  <c r="AM181" s="1"/>
  <c r="AN181" s="1"/>
  <c r="AO181" s="1"/>
  <c r="AP181"/>
  <c r="AQ181" s="1"/>
  <c r="AB182"/>
  <c r="AC182" s="1"/>
  <c r="AD182" s="1"/>
  <c r="AE182" s="1"/>
  <c r="AF182" s="1"/>
  <c r="AG182" s="1"/>
  <c r="AH182" s="1"/>
  <c r="AI182" s="1"/>
  <c r="AJ182" s="1"/>
  <c r="AK182" s="1"/>
  <c r="AL182"/>
  <c r="AM182" s="1"/>
  <c r="AN182" s="1"/>
  <c r="AO182" s="1"/>
  <c r="AP182" s="1"/>
  <c r="AQ182" s="1"/>
  <c r="AB183"/>
  <c r="AC183" s="1"/>
  <c r="AD183"/>
  <c r="AE183" s="1"/>
  <c r="AF183" s="1"/>
  <c r="AG183" s="1"/>
  <c r="AH183" s="1"/>
  <c r="AI183" s="1"/>
  <c r="AJ183" s="1"/>
  <c r="AK183" s="1"/>
  <c r="AL183" s="1"/>
  <c r="AM183" s="1"/>
  <c r="AN183" s="1"/>
  <c r="AO183" s="1"/>
  <c r="AP183" s="1"/>
  <c r="AQ183" s="1"/>
  <c r="AR183" s="1"/>
  <c r="AS183" s="1"/>
  <c r="AT183" s="1"/>
  <c r="AB184"/>
  <c r="AC184" s="1"/>
  <c r="AD184" s="1"/>
  <c r="AE184" s="1"/>
  <c r="AF184" s="1"/>
  <c r="AG184" s="1"/>
  <c r="AH184"/>
  <c r="AI184" s="1"/>
  <c r="AJ184" s="1"/>
  <c r="AK184" s="1"/>
  <c r="AL184" s="1"/>
  <c r="AM184" s="1"/>
  <c r="AN184" s="1"/>
  <c r="AO184" s="1"/>
  <c r="AP184" s="1"/>
  <c r="AQ184" s="1"/>
  <c r="AB185"/>
  <c r="AC185" s="1"/>
  <c r="AD185" s="1"/>
  <c r="AE185" s="1"/>
  <c r="AF185" s="1"/>
  <c r="AG185" s="1"/>
  <c r="AH185" s="1"/>
  <c r="AI185" s="1"/>
  <c r="AJ185" s="1"/>
  <c r="AK185" s="1"/>
  <c r="AL185" s="1"/>
  <c r="AM185" s="1"/>
  <c r="AN185" s="1"/>
  <c r="AO185" s="1"/>
  <c r="AP185" s="1"/>
  <c r="AQ185" s="1"/>
  <c r="AB186"/>
  <c r="AC186" s="1"/>
  <c r="AD186" s="1"/>
  <c r="AE186" s="1"/>
  <c r="AF186" s="1"/>
  <c r="AG186" s="1"/>
  <c r="AH186" s="1"/>
  <c r="AI186" s="1"/>
  <c r="AJ186" s="1"/>
  <c r="AK186" s="1"/>
  <c r="AL186" s="1"/>
  <c r="AM186" s="1"/>
  <c r="AN186" s="1"/>
  <c r="AO186" s="1"/>
  <c r="AP186" s="1"/>
  <c r="AQ186" s="1"/>
  <c r="AB187"/>
  <c r="AC187" s="1"/>
  <c r="AD187"/>
  <c r="AE187" s="1"/>
  <c r="AF187" s="1"/>
  <c r="AG187" s="1"/>
  <c r="AH187" s="1"/>
  <c r="AI187" s="1"/>
  <c r="AJ187" s="1"/>
  <c r="AK187" s="1"/>
  <c r="AL187" s="1"/>
  <c r="AM187" s="1"/>
  <c r="AN187" s="1"/>
  <c r="AO187" s="1"/>
  <c r="AP187" s="1"/>
  <c r="AQ187" s="1"/>
  <c r="AR187" s="1"/>
  <c r="AS187" s="1"/>
  <c r="AT187" s="1"/>
  <c r="AA187"/>
  <c r="Y187" s="1"/>
  <c r="AB188"/>
  <c r="AC188" s="1"/>
  <c r="AD188" s="1"/>
  <c r="AE188" s="1"/>
  <c r="AF188" s="1"/>
  <c r="AG188" s="1"/>
  <c r="AH188"/>
  <c r="AI188" s="1"/>
  <c r="AJ188" s="1"/>
  <c r="AK188" s="1"/>
  <c r="AL188" s="1"/>
  <c r="AM188" s="1"/>
  <c r="AN188" s="1"/>
  <c r="AO188" s="1"/>
  <c r="AP188" s="1"/>
  <c r="AQ188" s="1"/>
  <c r="AB189"/>
  <c r="AC189" s="1"/>
  <c r="AD189" s="1"/>
  <c r="AE189" s="1"/>
  <c r="AF189" s="1"/>
  <c r="AG189" s="1"/>
  <c r="AH189" s="1"/>
  <c r="AI189" s="1"/>
  <c r="AJ189" s="1"/>
  <c r="AK189" s="1"/>
  <c r="AL189" s="1"/>
  <c r="AM189" s="1"/>
  <c r="AN189" s="1"/>
  <c r="AO189" s="1"/>
  <c r="AP189"/>
  <c r="AQ189" s="1"/>
  <c r="AB190"/>
  <c r="AC190" s="1"/>
  <c r="AD190" s="1"/>
  <c r="AE190" s="1"/>
  <c r="AF190" s="1"/>
  <c r="AG190" s="1"/>
  <c r="AH190" s="1"/>
  <c r="AI190" s="1"/>
  <c r="AJ190" s="1"/>
  <c r="AK190" s="1"/>
  <c r="AL190"/>
  <c r="AM190" s="1"/>
  <c r="AN190" s="1"/>
  <c r="AO190" s="1"/>
  <c r="AP190" s="1"/>
  <c r="AQ190" s="1"/>
  <c r="AB191"/>
  <c r="AC191" s="1"/>
  <c r="AD191"/>
  <c r="AE191" s="1"/>
  <c r="AF191" s="1"/>
  <c r="AG191" s="1"/>
  <c r="AH191" s="1"/>
  <c r="AI191" s="1"/>
  <c r="AJ191" s="1"/>
  <c r="AK191" s="1"/>
  <c r="AL191" s="1"/>
  <c r="AM191" s="1"/>
  <c r="AN191" s="1"/>
  <c r="AO191" s="1"/>
  <c r="AP191" s="1"/>
  <c r="AQ191" s="1"/>
  <c r="AR191" s="1"/>
  <c r="AS191" s="1"/>
  <c r="AT191" s="1"/>
  <c r="AB192"/>
  <c r="AC192" s="1"/>
  <c r="AD192" s="1"/>
  <c r="AE192" s="1"/>
  <c r="AF192" s="1"/>
  <c r="AG192" s="1"/>
  <c r="AH192"/>
  <c r="AI192" s="1"/>
  <c r="AJ192" s="1"/>
  <c r="AK192" s="1"/>
  <c r="AL192" s="1"/>
  <c r="AM192" s="1"/>
  <c r="AN192" s="1"/>
  <c r="AO192" s="1"/>
  <c r="AP192" s="1"/>
  <c r="AQ192" s="1"/>
  <c r="AB193"/>
  <c r="AC193" s="1"/>
  <c r="AD193" s="1"/>
  <c r="AE193" s="1"/>
  <c r="AF193" s="1"/>
  <c r="AG193" s="1"/>
  <c r="AH193" s="1"/>
  <c r="AI193" s="1"/>
  <c r="AJ193" s="1"/>
  <c r="AK193" s="1"/>
  <c r="AL193" s="1"/>
  <c r="AM193" s="1"/>
  <c r="AN193" s="1"/>
  <c r="AO193" s="1"/>
  <c r="AP193" s="1"/>
  <c r="AQ193" s="1"/>
  <c r="AB194"/>
  <c r="AC194" s="1"/>
  <c r="AD194" s="1"/>
  <c r="AE194" s="1"/>
  <c r="AF194" s="1"/>
  <c r="AG194" s="1"/>
  <c r="AH194" s="1"/>
  <c r="AI194" s="1"/>
  <c r="AJ194" s="1"/>
  <c r="AK194" s="1"/>
  <c r="AL194" s="1"/>
  <c r="AM194" s="1"/>
  <c r="AN194" s="1"/>
  <c r="AO194" s="1"/>
  <c r="AP194" s="1"/>
  <c r="AQ194" s="1"/>
  <c r="AB195"/>
  <c r="AC195" s="1"/>
  <c r="AD195"/>
  <c r="AE195" s="1"/>
  <c r="AF195" s="1"/>
  <c r="AG195" s="1"/>
  <c r="AH195" s="1"/>
  <c r="AI195" s="1"/>
  <c r="AJ195" s="1"/>
  <c r="AK195" s="1"/>
  <c r="AL195" s="1"/>
  <c r="AM195" s="1"/>
  <c r="AN195" s="1"/>
  <c r="AO195" s="1"/>
  <c r="AP195" s="1"/>
  <c r="AQ195" s="1"/>
  <c r="AR195" s="1"/>
  <c r="AS195" s="1"/>
  <c r="AT195" s="1"/>
  <c r="AA195"/>
  <c r="Y195" s="1"/>
  <c r="AB196"/>
  <c r="AC196" s="1"/>
  <c r="AD196" s="1"/>
  <c r="AE196" s="1"/>
  <c r="AF196" s="1"/>
  <c r="AG196" s="1"/>
  <c r="AH196"/>
  <c r="AI196" s="1"/>
  <c r="AJ196" s="1"/>
  <c r="AK196" s="1"/>
  <c r="AL196" s="1"/>
  <c r="AM196" s="1"/>
  <c r="AN196" s="1"/>
  <c r="AO196" s="1"/>
  <c r="AP196" s="1"/>
  <c r="AQ196" s="1"/>
  <c r="AB197"/>
  <c r="AC197" s="1"/>
  <c r="AD197" s="1"/>
  <c r="AE197" s="1"/>
  <c r="AF197" s="1"/>
  <c r="AG197" s="1"/>
  <c r="AH197" s="1"/>
  <c r="AI197" s="1"/>
  <c r="AJ197" s="1"/>
  <c r="AK197" s="1"/>
  <c r="AL197" s="1"/>
  <c r="AM197" s="1"/>
  <c r="AN197" s="1"/>
  <c r="AO197" s="1"/>
  <c r="AP197"/>
  <c r="AQ197" s="1"/>
  <c r="AB198"/>
  <c r="AC198" s="1"/>
  <c r="AD198" s="1"/>
  <c r="AE198" s="1"/>
  <c r="AF198" s="1"/>
  <c r="AG198" s="1"/>
  <c r="AH198" s="1"/>
  <c r="AI198" s="1"/>
  <c r="AJ198" s="1"/>
  <c r="AK198" s="1"/>
  <c r="AL198"/>
  <c r="AM198" s="1"/>
  <c r="AN198" s="1"/>
  <c r="AO198" s="1"/>
  <c r="AP198" s="1"/>
  <c r="AQ198" s="1"/>
  <c r="AB199"/>
  <c r="AC199" s="1"/>
  <c r="AD199"/>
  <c r="AE199" s="1"/>
  <c r="AF199" s="1"/>
  <c r="AG199" s="1"/>
  <c r="AH199" s="1"/>
  <c r="AI199" s="1"/>
  <c r="AJ199" s="1"/>
  <c r="AK199" s="1"/>
  <c r="AL199" s="1"/>
  <c r="AM199" s="1"/>
  <c r="AN199" s="1"/>
  <c r="AO199" s="1"/>
  <c r="AP199" s="1"/>
  <c r="AQ199" s="1"/>
  <c r="AR199" s="1"/>
  <c r="AS199" s="1"/>
  <c r="AT199" s="1"/>
  <c r="AB200"/>
  <c r="AC200" s="1"/>
  <c r="AD200" s="1"/>
  <c r="AE200" s="1"/>
  <c r="AF200" s="1"/>
  <c r="AG200" s="1"/>
  <c r="AH200"/>
  <c r="AI200" s="1"/>
  <c r="AJ200" s="1"/>
  <c r="AK200" s="1"/>
  <c r="AL200" s="1"/>
  <c r="AM200" s="1"/>
  <c r="AN200" s="1"/>
  <c r="AO200" s="1"/>
  <c r="AP200" s="1"/>
  <c r="AQ200" s="1"/>
  <c r="AB201"/>
  <c r="AC201" s="1"/>
  <c r="AD201" s="1"/>
  <c r="AE201" s="1"/>
  <c r="AF201" s="1"/>
  <c r="AG201" s="1"/>
  <c r="AH201" s="1"/>
  <c r="AI201" s="1"/>
  <c r="AJ201" s="1"/>
  <c r="AK201" s="1"/>
  <c r="AL201" s="1"/>
  <c r="AM201" s="1"/>
  <c r="AN201" s="1"/>
  <c r="AO201" s="1"/>
  <c r="AP201" s="1"/>
  <c r="AQ201" s="1"/>
  <c r="AB202"/>
  <c r="AC202" s="1"/>
  <c r="AD202" s="1"/>
  <c r="AE202" s="1"/>
  <c r="AF202" s="1"/>
  <c r="AG202" s="1"/>
  <c r="AH202" s="1"/>
  <c r="AI202" s="1"/>
  <c r="AJ202" s="1"/>
  <c r="AK202" s="1"/>
  <c r="AL202" s="1"/>
  <c r="AM202" s="1"/>
  <c r="AN202" s="1"/>
  <c r="AO202" s="1"/>
  <c r="AP202" s="1"/>
  <c r="AQ202" s="1"/>
  <c r="AB203"/>
  <c r="AC203" s="1"/>
  <c r="AD203"/>
  <c r="AE203" s="1"/>
  <c r="AF203" s="1"/>
  <c r="AG203" s="1"/>
  <c r="AH203" s="1"/>
  <c r="AI203" s="1"/>
  <c r="AJ203" s="1"/>
  <c r="AK203" s="1"/>
  <c r="AL203" s="1"/>
  <c r="AM203" s="1"/>
  <c r="AN203" s="1"/>
  <c r="AO203" s="1"/>
  <c r="AP203" s="1"/>
  <c r="AQ203" s="1"/>
  <c r="AR203" s="1"/>
  <c r="AS203" s="1"/>
  <c r="AT203" s="1"/>
  <c r="AA203"/>
  <c r="Y203" s="1"/>
  <c r="AB204"/>
  <c r="AC204" s="1"/>
  <c r="AD204" s="1"/>
  <c r="AE204" s="1"/>
  <c r="AF204" s="1"/>
  <c r="AG204" s="1"/>
  <c r="AH204"/>
  <c r="AI204" s="1"/>
  <c r="AJ204" s="1"/>
  <c r="AK204" s="1"/>
  <c r="AL204" s="1"/>
  <c r="AM204" s="1"/>
  <c r="AN204" s="1"/>
  <c r="AO204" s="1"/>
  <c r="AP204" s="1"/>
  <c r="AQ204" s="1"/>
  <c r="AB205"/>
  <c r="AC205" s="1"/>
  <c r="AD205" s="1"/>
  <c r="AE205" s="1"/>
  <c r="AF205" s="1"/>
  <c r="AG205" s="1"/>
  <c r="AH205" s="1"/>
  <c r="AI205" s="1"/>
  <c r="AJ205" s="1"/>
  <c r="AK205" s="1"/>
  <c r="AL205" s="1"/>
  <c r="AM205" s="1"/>
  <c r="AN205" s="1"/>
  <c r="AO205" s="1"/>
  <c r="AP205"/>
  <c r="AQ205" s="1"/>
  <c r="AB206"/>
  <c r="AC206" s="1"/>
  <c r="AD206" s="1"/>
  <c r="AE206" s="1"/>
  <c r="AF206" s="1"/>
  <c r="AG206" s="1"/>
  <c r="AH206" s="1"/>
  <c r="AI206" s="1"/>
  <c r="AJ206" s="1"/>
  <c r="AK206" s="1"/>
  <c r="AL206"/>
  <c r="AM206" s="1"/>
  <c r="AN206" s="1"/>
  <c r="AO206" s="1"/>
  <c r="AP206" s="1"/>
  <c r="AQ206" s="1"/>
  <c r="AB207"/>
  <c r="AC207" s="1"/>
  <c r="AD207"/>
  <c r="AE207" s="1"/>
  <c r="AF207" s="1"/>
  <c r="AG207" s="1"/>
  <c r="AH207" s="1"/>
  <c r="AI207" s="1"/>
  <c r="AJ207" s="1"/>
  <c r="AK207" s="1"/>
  <c r="AL207" s="1"/>
  <c r="AM207" s="1"/>
  <c r="AN207" s="1"/>
  <c r="AO207" s="1"/>
  <c r="AP207" s="1"/>
  <c r="AQ207" s="1"/>
  <c r="AR207" s="1"/>
  <c r="AS207" s="1"/>
  <c r="AT207" s="1"/>
  <c r="AB208"/>
  <c r="AC208" s="1"/>
  <c r="AD208" s="1"/>
  <c r="AE208" s="1"/>
  <c r="AF208" s="1"/>
  <c r="AG208" s="1"/>
  <c r="AH208"/>
  <c r="AI208" s="1"/>
  <c r="AJ208" s="1"/>
  <c r="AK208" s="1"/>
  <c r="AL208" s="1"/>
  <c r="AM208" s="1"/>
  <c r="AN208" s="1"/>
  <c r="AO208" s="1"/>
  <c r="AP208" s="1"/>
  <c r="AQ208" s="1"/>
  <c r="AB209"/>
  <c r="AC209" s="1"/>
  <c r="AD209" s="1"/>
  <c r="AE209" s="1"/>
  <c r="AF209" s="1"/>
  <c r="AG209" s="1"/>
  <c r="AH209" s="1"/>
  <c r="AI209" s="1"/>
  <c r="AJ209" s="1"/>
  <c r="AK209" s="1"/>
  <c r="AL209" s="1"/>
  <c r="AM209" s="1"/>
  <c r="AN209" s="1"/>
  <c r="AO209" s="1"/>
  <c r="AP209" s="1"/>
  <c r="AQ209" s="1"/>
  <c r="AB210"/>
  <c r="AC210" s="1"/>
  <c r="AD210" s="1"/>
  <c r="AE210" s="1"/>
  <c r="AF210" s="1"/>
  <c r="AG210" s="1"/>
  <c r="AH210" s="1"/>
  <c r="AI210" s="1"/>
  <c r="AJ210" s="1"/>
  <c r="AK210" s="1"/>
  <c r="AL210" s="1"/>
  <c r="AM210" s="1"/>
  <c r="AN210" s="1"/>
  <c r="AO210" s="1"/>
  <c r="AP210" s="1"/>
  <c r="AQ210" s="1"/>
  <c r="AB211"/>
  <c r="AC211" s="1"/>
  <c r="AD211"/>
  <c r="AE211" s="1"/>
  <c r="AF211" s="1"/>
  <c r="AG211" s="1"/>
  <c r="AH211" s="1"/>
  <c r="AI211" s="1"/>
  <c r="AJ211" s="1"/>
  <c r="AK211" s="1"/>
  <c r="AL211" s="1"/>
  <c r="AM211" s="1"/>
  <c r="AN211" s="1"/>
  <c r="AO211" s="1"/>
  <c r="AP211" s="1"/>
  <c r="AQ211" s="1"/>
  <c r="AR211" s="1"/>
  <c r="AS211" s="1"/>
  <c r="AT211" s="1"/>
  <c r="AA211"/>
  <c r="Y211" s="1"/>
  <c r="AB212"/>
  <c r="AC212" s="1"/>
  <c r="AD212" s="1"/>
  <c r="AE212" s="1"/>
  <c r="AF212" s="1"/>
  <c r="AG212" s="1"/>
  <c r="AH212"/>
  <c r="AI212" s="1"/>
  <c r="AJ212" s="1"/>
  <c r="AK212" s="1"/>
  <c r="AL212" s="1"/>
  <c r="AM212" s="1"/>
  <c r="AN212" s="1"/>
  <c r="AO212" s="1"/>
  <c r="AP212" s="1"/>
  <c r="AQ212" s="1"/>
  <c r="AB213"/>
  <c r="AC213" s="1"/>
  <c r="AD213" s="1"/>
  <c r="AE213" s="1"/>
  <c r="AF213" s="1"/>
  <c r="AG213" s="1"/>
  <c r="AH213" s="1"/>
  <c r="AI213" s="1"/>
  <c r="AJ213" s="1"/>
  <c r="AK213" s="1"/>
  <c r="AL213" s="1"/>
  <c r="AM213" s="1"/>
  <c r="AN213" s="1"/>
  <c r="AO213" s="1"/>
  <c r="AP213"/>
  <c r="AQ213" s="1"/>
  <c r="AB214"/>
  <c r="AC214" s="1"/>
  <c r="AD214" s="1"/>
  <c r="AE214" s="1"/>
  <c r="AF214" s="1"/>
  <c r="AG214" s="1"/>
  <c r="AH214" s="1"/>
  <c r="AI214" s="1"/>
  <c r="AJ214" s="1"/>
  <c r="AK214" s="1"/>
  <c r="AL214"/>
  <c r="AM214" s="1"/>
  <c r="AN214" s="1"/>
  <c r="AO214" s="1"/>
  <c r="AP214" s="1"/>
  <c r="AQ214" s="1"/>
  <c r="AB215"/>
  <c r="AC215" s="1"/>
  <c r="AD215"/>
  <c r="AE215" s="1"/>
  <c r="AF215" s="1"/>
  <c r="AG215" s="1"/>
  <c r="AH215" s="1"/>
  <c r="AI215" s="1"/>
  <c r="AJ215" s="1"/>
  <c r="AK215" s="1"/>
  <c r="AL215" s="1"/>
  <c r="AM215" s="1"/>
  <c r="AN215" s="1"/>
  <c r="AO215" s="1"/>
  <c r="AP215" s="1"/>
  <c r="AQ215" s="1"/>
  <c r="AR215" s="1"/>
  <c r="AS215" s="1"/>
  <c r="AT215" s="1"/>
  <c r="AB216"/>
  <c r="AC216" s="1"/>
  <c r="AD216" s="1"/>
  <c r="AE216" s="1"/>
  <c r="AF216" s="1"/>
  <c r="AG216" s="1"/>
  <c r="AH216"/>
  <c r="AI216" s="1"/>
  <c r="AJ216" s="1"/>
  <c r="AK216" s="1"/>
  <c r="AL216" s="1"/>
  <c r="AM216" s="1"/>
  <c r="AN216" s="1"/>
  <c r="AO216" s="1"/>
  <c r="AP216" s="1"/>
  <c r="AQ216" s="1"/>
  <c r="AB217"/>
  <c r="AC217" s="1"/>
  <c r="AD217" s="1"/>
  <c r="AE217" s="1"/>
  <c r="AF217" s="1"/>
  <c r="AG217" s="1"/>
  <c r="AH217" s="1"/>
  <c r="AI217" s="1"/>
  <c r="AJ217" s="1"/>
  <c r="AK217" s="1"/>
  <c r="AL217" s="1"/>
  <c r="AM217" s="1"/>
  <c r="AN217" s="1"/>
  <c r="AO217" s="1"/>
  <c r="AP217" s="1"/>
  <c r="AQ217" s="1"/>
  <c r="AB218"/>
  <c r="AC218" s="1"/>
  <c r="AD218" s="1"/>
  <c r="AE218" s="1"/>
  <c r="AF218" s="1"/>
  <c r="AG218" s="1"/>
  <c r="AH218" s="1"/>
  <c r="AI218" s="1"/>
  <c r="AJ218" s="1"/>
  <c r="AK218" s="1"/>
  <c r="AL218" s="1"/>
  <c r="AM218" s="1"/>
  <c r="AN218" s="1"/>
  <c r="AO218" s="1"/>
  <c r="AP218" s="1"/>
  <c r="AQ218" s="1"/>
  <c r="AB219"/>
  <c r="AC219" s="1"/>
  <c r="AD219"/>
  <c r="AE219" s="1"/>
  <c r="AF219" s="1"/>
  <c r="AG219" s="1"/>
  <c r="AH219" s="1"/>
  <c r="AI219" s="1"/>
  <c r="AJ219" s="1"/>
  <c r="AK219" s="1"/>
  <c r="AL219" s="1"/>
  <c r="AM219" s="1"/>
  <c r="AN219" s="1"/>
  <c r="AO219" s="1"/>
  <c r="AP219" s="1"/>
  <c r="AQ219" s="1"/>
  <c r="AR219" s="1"/>
  <c r="AS219" s="1"/>
  <c r="AT219" s="1"/>
  <c r="AA219"/>
  <c r="Y219" s="1"/>
  <c r="AB220"/>
  <c r="AC220" s="1"/>
  <c r="AD220" s="1"/>
  <c r="AE220" s="1"/>
  <c r="AF220" s="1"/>
  <c r="AG220" s="1"/>
  <c r="AH220"/>
  <c r="AI220" s="1"/>
  <c r="AJ220" s="1"/>
  <c r="AK220" s="1"/>
  <c r="AL220" s="1"/>
  <c r="AM220" s="1"/>
  <c r="AN220" s="1"/>
  <c r="AO220" s="1"/>
  <c r="AP220" s="1"/>
  <c r="AQ220" s="1"/>
  <c r="AB221"/>
  <c r="AC221" s="1"/>
  <c r="AD221" s="1"/>
  <c r="AE221" s="1"/>
  <c r="AF221" s="1"/>
  <c r="AG221" s="1"/>
  <c r="AH221" s="1"/>
  <c r="AI221" s="1"/>
  <c r="AJ221" s="1"/>
  <c r="AK221" s="1"/>
  <c r="AL221" s="1"/>
  <c r="AM221" s="1"/>
  <c r="AN221" s="1"/>
  <c r="AO221" s="1"/>
  <c r="AP221"/>
  <c r="AQ221" s="1"/>
  <c r="AB222"/>
  <c r="AC222" s="1"/>
  <c r="AD222" s="1"/>
  <c r="AE222" s="1"/>
  <c r="AF222" s="1"/>
  <c r="AG222" s="1"/>
  <c r="AH222" s="1"/>
  <c r="AI222" s="1"/>
  <c r="AJ222" s="1"/>
  <c r="AK222" s="1"/>
  <c r="AL222"/>
  <c r="AM222" s="1"/>
  <c r="AN222" s="1"/>
  <c r="AO222" s="1"/>
  <c r="AP222" s="1"/>
  <c r="AQ222" s="1"/>
  <c r="AB223"/>
  <c r="AC223" s="1"/>
  <c r="AD223"/>
  <c r="AE223" s="1"/>
  <c r="AF223" s="1"/>
  <c r="AG223" s="1"/>
  <c r="AH223" s="1"/>
  <c r="AI223" s="1"/>
  <c r="AJ223" s="1"/>
  <c r="AK223" s="1"/>
  <c r="AL223" s="1"/>
  <c r="AM223" s="1"/>
  <c r="AN223" s="1"/>
  <c r="AO223" s="1"/>
  <c r="AP223" s="1"/>
  <c r="AQ223" s="1"/>
  <c r="AR223" s="1"/>
  <c r="AS223" s="1"/>
  <c r="AT223" s="1"/>
  <c r="AB224"/>
  <c r="AC224" s="1"/>
  <c r="AD224" s="1"/>
  <c r="AE224" s="1"/>
  <c r="AF224" s="1"/>
  <c r="AG224" s="1"/>
  <c r="AH224"/>
  <c r="AI224" s="1"/>
  <c r="AJ224" s="1"/>
  <c r="AK224" s="1"/>
  <c r="AL224" s="1"/>
  <c r="AM224" s="1"/>
  <c r="AN224" s="1"/>
  <c r="AO224" s="1"/>
  <c r="AP224" s="1"/>
  <c r="AQ224" s="1"/>
  <c r="AB225"/>
  <c r="AC225" s="1"/>
  <c r="AD225" s="1"/>
  <c r="AE225" s="1"/>
  <c r="AF225" s="1"/>
  <c r="AG225" s="1"/>
  <c r="AH225" s="1"/>
  <c r="AI225" s="1"/>
  <c r="AJ225" s="1"/>
  <c r="AK225" s="1"/>
  <c r="AL225" s="1"/>
  <c r="AM225" s="1"/>
  <c r="AN225" s="1"/>
  <c r="AO225" s="1"/>
  <c r="AP225" s="1"/>
  <c r="AQ225" s="1"/>
  <c r="AB226"/>
  <c r="AC226" s="1"/>
  <c r="AD226" s="1"/>
  <c r="AE226" s="1"/>
  <c r="AF226" s="1"/>
  <c r="AG226" s="1"/>
  <c r="AH226" s="1"/>
  <c r="AI226" s="1"/>
  <c r="AJ226" s="1"/>
  <c r="AK226" s="1"/>
  <c r="AL226" s="1"/>
  <c r="AM226" s="1"/>
  <c r="AN226" s="1"/>
  <c r="AO226" s="1"/>
  <c r="AP226" s="1"/>
  <c r="AQ226" s="1"/>
  <c r="AB227"/>
  <c r="AC227" s="1"/>
  <c r="AD227"/>
  <c r="AE227" s="1"/>
  <c r="AF227" s="1"/>
  <c r="AG227" s="1"/>
  <c r="AH227" s="1"/>
  <c r="AI227" s="1"/>
  <c r="AJ227" s="1"/>
  <c r="AK227" s="1"/>
  <c r="AL227" s="1"/>
  <c r="AM227" s="1"/>
  <c r="AN227" s="1"/>
  <c r="AO227" s="1"/>
  <c r="AP227" s="1"/>
  <c r="AQ227" s="1"/>
  <c r="AR227" s="1"/>
  <c r="AS227" s="1"/>
  <c r="AT227" s="1"/>
  <c r="AA227"/>
  <c r="Y227" s="1"/>
  <c r="AB228"/>
  <c r="AC228" s="1"/>
  <c r="AD228" s="1"/>
  <c r="AE228" s="1"/>
  <c r="AF228" s="1"/>
  <c r="AG228" s="1"/>
  <c r="AH228"/>
  <c r="AI228" s="1"/>
  <c r="AJ228" s="1"/>
  <c r="AK228" s="1"/>
  <c r="AL228" s="1"/>
  <c r="AM228" s="1"/>
  <c r="AN228" s="1"/>
  <c r="AO228" s="1"/>
  <c r="AP228" s="1"/>
  <c r="AQ228" s="1"/>
  <c r="AB229"/>
  <c r="AC229" s="1"/>
  <c r="AD229" s="1"/>
  <c r="AE229" s="1"/>
  <c r="AF229" s="1"/>
  <c r="AG229" s="1"/>
  <c r="AH229" s="1"/>
  <c r="AI229" s="1"/>
  <c r="AJ229" s="1"/>
  <c r="AK229" s="1"/>
  <c r="AL229" s="1"/>
  <c r="AM229" s="1"/>
  <c r="AN229" s="1"/>
  <c r="AO229" s="1"/>
  <c r="AP229"/>
  <c r="AQ229" s="1"/>
  <c r="AB230"/>
  <c r="AC230" s="1"/>
  <c r="AD230" s="1"/>
  <c r="AE230" s="1"/>
  <c r="AF230" s="1"/>
  <c r="AG230" s="1"/>
  <c r="AH230" s="1"/>
  <c r="AI230" s="1"/>
  <c r="AJ230" s="1"/>
  <c r="AK230" s="1"/>
  <c r="AL230"/>
  <c r="AM230" s="1"/>
  <c r="AN230" s="1"/>
  <c r="AO230" s="1"/>
  <c r="AP230" s="1"/>
  <c r="AQ230" s="1"/>
  <c r="AB231"/>
  <c r="AC231" s="1"/>
  <c r="AD231"/>
  <c r="AE231" s="1"/>
  <c r="AF231" s="1"/>
  <c r="AG231" s="1"/>
  <c r="AH231" s="1"/>
  <c r="AI231" s="1"/>
  <c r="AJ231" s="1"/>
  <c r="AK231" s="1"/>
  <c r="AL231" s="1"/>
  <c r="AM231" s="1"/>
  <c r="AN231" s="1"/>
  <c r="AO231" s="1"/>
  <c r="AP231" s="1"/>
  <c r="AQ231" s="1"/>
  <c r="AR231" s="1"/>
  <c r="AS231" s="1"/>
  <c r="AT231" s="1"/>
  <c r="AB232"/>
  <c r="AC232" s="1"/>
  <c r="AD232" s="1"/>
  <c r="AE232" s="1"/>
  <c r="AF232" s="1"/>
  <c r="AG232" s="1"/>
  <c r="AH232"/>
  <c r="AI232" s="1"/>
  <c r="AJ232" s="1"/>
  <c r="AK232" s="1"/>
  <c r="AL232" s="1"/>
  <c r="AM232" s="1"/>
  <c r="AN232" s="1"/>
  <c r="AO232" s="1"/>
  <c r="AP232" s="1"/>
  <c r="AQ232" s="1"/>
  <c r="AB233"/>
  <c r="AC233" s="1"/>
  <c r="AD233" s="1"/>
  <c r="AE233" s="1"/>
  <c r="AF233" s="1"/>
  <c r="AG233" s="1"/>
  <c r="AH233" s="1"/>
  <c r="AI233" s="1"/>
  <c r="AJ233" s="1"/>
  <c r="AK233" s="1"/>
  <c r="AL233" s="1"/>
  <c r="AM233" s="1"/>
  <c r="AN233" s="1"/>
  <c r="AO233" s="1"/>
  <c r="AP233" s="1"/>
  <c r="AQ233" s="1"/>
  <c r="AB234"/>
  <c r="AC234" s="1"/>
  <c r="AD234" s="1"/>
  <c r="AE234" s="1"/>
  <c r="AF234" s="1"/>
  <c r="AG234" s="1"/>
  <c r="AH234" s="1"/>
  <c r="AI234" s="1"/>
  <c r="AJ234" s="1"/>
  <c r="AK234" s="1"/>
  <c r="AL234" s="1"/>
  <c r="AM234" s="1"/>
  <c r="AN234" s="1"/>
  <c r="AO234" s="1"/>
  <c r="AP234" s="1"/>
  <c r="AQ234" s="1"/>
  <c r="AB235"/>
  <c r="AC235" s="1"/>
  <c r="AD235"/>
  <c r="AE235" s="1"/>
  <c r="AF235" s="1"/>
  <c r="AG235" s="1"/>
  <c r="AH235" s="1"/>
  <c r="AI235" s="1"/>
  <c r="AJ235" s="1"/>
  <c r="AK235" s="1"/>
  <c r="AL235" s="1"/>
  <c r="AM235" s="1"/>
  <c r="AN235" s="1"/>
  <c r="AO235" s="1"/>
  <c r="AP235" s="1"/>
  <c r="AQ235" s="1"/>
  <c r="AR235" s="1"/>
  <c r="AS235" s="1"/>
  <c r="AT235" s="1"/>
  <c r="AA235"/>
  <c r="Y235" s="1"/>
  <c r="AB236"/>
  <c r="AC236" s="1"/>
  <c r="AD236" s="1"/>
  <c r="AE236" s="1"/>
  <c r="AF236" s="1"/>
  <c r="AG236" s="1"/>
  <c r="AH236"/>
  <c r="AI236" s="1"/>
  <c r="AJ236" s="1"/>
  <c r="AK236" s="1"/>
  <c r="AL236" s="1"/>
  <c r="AM236" s="1"/>
  <c r="AN236" s="1"/>
  <c r="AO236" s="1"/>
  <c r="AP236" s="1"/>
  <c r="AQ236" s="1"/>
  <c r="AB237"/>
  <c r="AC237" s="1"/>
  <c r="AD237" s="1"/>
  <c r="AE237" s="1"/>
  <c r="AF237" s="1"/>
  <c r="AG237" s="1"/>
  <c r="AH237" s="1"/>
  <c r="AI237" s="1"/>
  <c r="AJ237" s="1"/>
  <c r="AK237" s="1"/>
  <c r="AL237" s="1"/>
  <c r="AM237" s="1"/>
  <c r="AN237" s="1"/>
  <c r="AO237" s="1"/>
  <c r="AP237"/>
  <c r="AQ237" s="1"/>
  <c r="AB238"/>
  <c r="AC238" s="1"/>
  <c r="AD238" s="1"/>
  <c r="AE238" s="1"/>
  <c r="AF238" s="1"/>
  <c r="AG238" s="1"/>
  <c r="AH238" s="1"/>
  <c r="AI238" s="1"/>
  <c r="AJ238" s="1"/>
  <c r="AK238" s="1"/>
  <c r="AL238"/>
  <c r="AM238" s="1"/>
  <c r="AN238" s="1"/>
  <c r="AO238" s="1"/>
  <c r="AP238" s="1"/>
  <c r="AQ238" s="1"/>
  <c r="AB239"/>
  <c r="AC239" s="1"/>
  <c r="AD239"/>
  <c r="AE239" s="1"/>
  <c r="AF239" s="1"/>
  <c r="AG239" s="1"/>
  <c r="AH239" s="1"/>
  <c r="AI239" s="1"/>
  <c r="AJ239" s="1"/>
  <c r="AK239" s="1"/>
  <c r="AL239" s="1"/>
  <c r="AM239" s="1"/>
  <c r="AN239" s="1"/>
  <c r="AO239" s="1"/>
  <c r="AP239" s="1"/>
  <c r="AQ239" s="1"/>
  <c r="AR239" s="1"/>
  <c r="AS239" s="1"/>
  <c r="AT239" s="1"/>
  <c r="AB240"/>
  <c r="AC240" s="1"/>
  <c r="AD240" s="1"/>
  <c r="AE240" s="1"/>
  <c r="AF240" s="1"/>
  <c r="AG240" s="1"/>
  <c r="AH240"/>
  <c r="AI240" s="1"/>
  <c r="AJ240" s="1"/>
  <c r="AK240" s="1"/>
  <c r="AL240" s="1"/>
  <c r="AM240" s="1"/>
  <c r="AN240" s="1"/>
  <c r="AO240" s="1"/>
  <c r="AP240" s="1"/>
  <c r="AQ240" s="1"/>
  <c r="AB241"/>
  <c r="AC241" s="1"/>
  <c r="AD241" s="1"/>
  <c r="AE241" s="1"/>
  <c r="AF241" s="1"/>
  <c r="AG241" s="1"/>
  <c r="AH241" s="1"/>
  <c r="AI241" s="1"/>
  <c r="AJ241" s="1"/>
  <c r="AK241" s="1"/>
  <c r="AL241" s="1"/>
  <c r="AM241" s="1"/>
  <c r="AN241" s="1"/>
  <c r="AO241" s="1"/>
  <c r="AP241" s="1"/>
  <c r="AQ241" s="1"/>
  <c r="AB242"/>
  <c r="AC242" s="1"/>
  <c r="AD242" s="1"/>
  <c r="AE242" s="1"/>
  <c r="AF242" s="1"/>
  <c r="AG242" s="1"/>
  <c r="AH242" s="1"/>
  <c r="AI242" s="1"/>
  <c r="AJ242" s="1"/>
  <c r="AK242" s="1"/>
  <c r="AL242" s="1"/>
  <c r="AM242" s="1"/>
  <c r="AN242" s="1"/>
  <c r="AO242" s="1"/>
  <c r="AP242" s="1"/>
  <c r="AQ242" s="1"/>
  <c r="AB243"/>
  <c r="AC243" s="1"/>
  <c r="AD243"/>
  <c r="AE243" s="1"/>
  <c r="AF243" s="1"/>
  <c r="AG243" s="1"/>
  <c r="AH243" s="1"/>
  <c r="AI243" s="1"/>
  <c r="AJ243" s="1"/>
  <c r="AK243" s="1"/>
  <c r="AL243" s="1"/>
  <c r="AM243" s="1"/>
  <c r="AN243" s="1"/>
  <c r="AO243" s="1"/>
  <c r="AP243" s="1"/>
  <c r="AQ243" s="1"/>
  <c r="AR243" s="1"/>
  <c r="AS243" s="1"/>
  <c r="AT243" s="1"/>
  <c r="AA243"/>
  <c r="Y243" s="1"/>
  <c r="AB244"/>
  <c r="AC244" s="1"/>
  <c r="AD244" s="1"/>
  <c r="AE244" s="1"/>
  <c r="AF244" s="1"/>
  <c r="AG244" s="1"/>
  <c r="AH244"/>
  <c r="AI244" s="1"/>
  <c r="AJ244" s="1"/>
  <c r="AK244" s="1"/>
  <c r="AL244" s="1"/>
  <c r="AM244" s="1"/>
  <c r="AN244" s="1"/>
  <c r="AO244" s="1"/>
  <c r="AP244" s="1"/>
  <c r="AQ244" s="1"/>
  <c r="AB245"/>
  <c r="AC245" s="1"/>
  <c r="AD245" s="1"/>
  <c r="AE245" s="1"/>
  <c r="AF245" s="1"/>
  <c r="AG245" s="1"/>
  <c r="AH245" s="1"/>
  <c r="AI245" s="1"/>
  <c r="AJ245" s="1"/>
  <c r="AK245" s="1"/>
  <c r="AL245" s="1"/>
  <c r="AM245" s="1"/>
  <c r="AN245" s="1"/>
  <c r="AO245" s="1"/>
  <c r="AP245"/>
  <c r="AQ245" s="1"/>
  <c r="AB246"/>
  <c r="AC246" s="1"/>
  <c r="AD246" s="1"/>
  <c r="AE246" s="1"/>
  <c r="AF246" s="1"/>
  <c r="AG246" s="1"/>
  <c r="AH246" s="1"/>
  <c r="AI246" s="1"/>
  <c r="AJ246" s="1"/>
  <c r="AK246" s="1"/>
  <c r="AL246"/>
  <c r="AM246" s="1"/>
  <c r="AN246" s="1"/>
  <c r="AO246" s="1"/>
  <c r="AP246" s="1"/>
  <c r="AQ246" s="1"/>
  <c r="AB247"/>
  <c r="AC247" s="1"/>
  <c r="AD247"/>
  <c r="AE247" s="1"/>
  <c r="AF247" s="1"/>
  <c r="AG247" s="1"/>
  <c r="AH247" s="1"/>
  <c r="AI247" s="1"/>
  <c r="AJ247" s="1"/>
  <c r="AK247" s="1"/>
  <c r="AL247" s="1"/>
  <c r="AM247" s="1"/>
  <c r="AN247" s="1"/>
  <c r="AO247" s="1"/>
  <c r="AP247" s="1"/>
  <c r="AQ247" s="1"/>
  <c r="AR247" s="1"/>
  <c r="AS247" s="1"/>
  <c r="AT247" s="1"/>
  <c r="AB248"/>
  <c r="AC248" s="1"/>
  <c r="AD248" s="1"/>
  <c r="AE248" s="1"/>
  <c r="AF248" s="1"/>
  <c r="AG248" s="1"/>
  <c r="AH248"/>
  <c r="AI248" s="1"/>
  <c r="AJ248" s="1"/>
  <c r="AK248" s="1"/>
  <c r="AL248" s="1"/>
  <c r="AM248" s="1"/>
  <c r="AN248" s="1"/>
  <c r="AO248" s="1"/>
  <c r="AP248" s="1"/>
  <c r="AQ248" s="1"/>
  <c r="AB249"/>
  <c r="AC249" s="1"/>
  <c r="AD249" s="1"/>
  <c r="AE249" s="1"/>
  <c r="AF249" s="1"/>
  <c r="AG249" s="1"/>
  <c r="AH249" s="1"/>
  <c r="AI249" s="1"/>
  <c r="AJ249" s="1"/>
  <c r="AK249" s="1"/>
  <c r="AL249" s="1"/>
  <c r="AM249" s="1"/>
  <c r="AN249" s="1"/>
  <c r="AO249" s="1"/>
  <c r="AP249" s="1"/>
  <c r="AQ249" s="1"/>
  <c r="AB250"/>
  <c r="AC250" s="1"/>
  <c r="AD250" s="1"/>
  <c r="AE250" s="1"/>
  <c r="AF250" s="1"/>
  <c r="AG250" s="1"/>
  <c r="AH250" s="1"/>
  <c r="AI250" s="1"/>
  <c r="AJ250" s="1"/>
  <c r="AK250" s="1"/>
  <c r="AL250" s="1"/>
  <c r="AM250" s="1"/>
  <c r="AN250" s="1"/>
  <c r="AO250" s="1"/>
  <c r="AP250" s="1"/>
  <c r="AQ250" s="1"/>
  <c r="AB251"/>
  <c r="AC251" s="1"/>
  <c r="AD251"/>
  <c r="AE251" s="1"/>
  <c r="AF251" s="1"/>
  <c r="AG251" s="1"/>
  <c r="AH251" s="1"/>
  <c r="AI251" s="1"/>
  <c r="AJ251" s="1"/>
  <c r="AK251" s="1"/>
  <c r="AL251" s="1"/>
  <c r="AM251" s="1"/>
  <c r="AN251" s="1"/>
  <c r="AO251" s="1"/>
  <c r="AP251" s="1"/>
  <c r="AQ251" s="1"/>
  <c r="AR251" s="1"/>
  <c r="AS251" s="1"/>
  <c r="AT251" s="1"/>
  <c r="AA251"/>
  <c r="Y251" s="1"/>
  <c r="AB252"/>
  <c r="AC252" s="1"/>
  <c r="AD252" s="1"/>
  <c r="AE252" s="1"/>
  <c r="AF252" s="1"/>
  <c r="AG252" s="1"/>
  <c r="AH252"/>
  <c r="AI252" s="1"/>
  <c r="AJ252" s="1"/>
  <c r="AK252" s="1"/>
  <c r="AL252" s="1"/>
  <c r="AM252" s="1"/>
  <c r="AN252" s="1"/>
  <c r="AO252" s="1"/>
  <c r="AP252" s="1"/>
  <c r="AQ252" s="1"/>
  <c r="AB253"/>
  <c r="AC253" s="1"/>
  <c r="AD253" s="1"/>
  <c r="AE253" s="1"/>
  <c r="AF253" s="1"/>
  <c r="AG253" s="1"/>
  <c r="AH253" s="1"/>
  <c r="AI253" s="1"/>
  <c r="AJ253" s="1"/>
  <c r="AK253" s="1"/>
  <c r="AL253" s="1"/>
  <c r="AM253" s="1"/>
  <c r="AN253" s="1"/>
  <c r="AO253" s="1"/>
  <c r="AP253"/>
  <c r="AQ253" s="1"/>
  <c r="AB254"/>
  <c r="AC254" s="1"/>
  <c r="AD254" s="1"/>
  <c r="AE254" s="1"/>
  <c r="AF254" s="1"/>
  <c r="AG254" s="1"/>
  <c r="AH254" s="1"/>
  <c r="AI254" s="1"/>
  <c r="AJ254" s="1"/>
  <c r="AK254" s="1"/>
  <c r="AL254"/>
  <c r="AM254" s="1"/>
  <c r="AN254" s="1"/>
  <c r="AO254" s="1"/>
  <c r="AP254" s="1"/>
  <c r="AQ254" s="1"/>
  <c r="AB255"/>
  <c r="AC255" s="1"/>
  <c r="AD255"/>
  <c r="AE255" s="1"/>
  <c r="AF255" s="1"/>
  <c r="AG255" s="1"/>
  <c r="AH255" s="1"/>
  <c r="AI255" s="1"/>
  <c r="AJ255" s="1"/>
  <c r="AK255" s="1"/>
  <c r="AL255" s="1"/>
  <c r="AM255" s="1"/>
  <c r="AN255" s="1"/>
  <c r="AO255" s="1"/>
  <c r="AP255" s="1"/>
  <c r="AQ255" s="1"/>
  <c r="AR255" s="1"/>
  <c r="AS255" s="1"/>
  <c r="AT255" s="1"/>
  <c r="AB256"/>
  <c r="AC256" s="1"/>
  <c r="AD256" s="1"/>
  <c r="AE256" s="1"/>
  <c r="AF256" s="1"/>
  <c r="AG256" s="1"/>
  <c r="AH256"/>
  <c r="AI256" s="1"/>
  <c r="AJ256" s="1"/>
  <c r="AK256" s="1"/>
  <c r="AL256" s="1"/>
  <c r="AM256" s="1"/>
  <c r="AN256" s="1"/>
  <c r="AO256" s="1"/>
  <c r="AP256" s="1"/>
  <c r="AQ256" s="1"/>
  <c r="AB257"/>
  <c r="AC257" s="1"/>
  <c r="AD257" s="1"/>
  <c r="AE257" s="1"/>
  <c r="AF257" s="1"/>
  <c r="AG257" s="1"/>
  <c r="AH257" s="1"/>
  <c r="AI257" s="1"/>
  <c r="AJ257" s="1"/>
  <c r="AK257" s="1"/>
  <c r="AL257" s="1"/>
  <c r="AM257" s="1"/>
  <c r="AN257" s="1"/>
  <c r="AO257" s="1"/>
  <c r="AP257" s="1"/>
  <c r="AQ257" s="1"/>
  <c r="AB258"/>
  <c r="AC258" s="1"/>
  <c r="AD258" s="1"/>
  <c r="AE258" s="1"/>
  <c r="AF258" s="1"/>
  <c r="AG258" s="1"/>
  <c r="AH258" s="1"/>
  <c r="AI258" s="1"/>
  <c r="AJ258" s="1"/>
  <c r="AK258" s="1"/>
  <c r="AL258" s="1"/>
  <c r="AM258" s="1"/>
  <c r="AN258" s="1"/>
  <c r="AO258" s="1"/>
  <c r="AP258" s="1"/>
  <c r="AQ258" s="1"/>
  <c r="AB259"/>
  <c r="AC259" s="1"/>
  <c r="AD259"/>
  <c r="AE259" s="1"/>
  <c r="AF259" s="1"/>
  <c r="AG259" s="1"/>
  <c r="AH259" s="1"/>
  <c r="AI259" s="1"/>
  <c r="AJ259" s="1"/>
  <c r="AK259" s="1"/>
  <c r="AL259" s="1"/>
  <c r="AM259" s="1"/>
  <c r="AN259" s="1"/>
  <c r="AO259" s="1"/>
  <c r="AP259" s="1"/>
  <c r="AQ259" s="1"/>
  <c r="AR259" s="1"/>
  <c r="AS259" s="1"/>
  <c r="AT259" s="1"/>
  <c r="AA259"/>
  <c r="Y259" s="1"/>
  <c r="AB260"/>
  <c r="AC260" s="1"/>
  <c r="AD260" s="1"/>
  <c r="AE260" s="1"/>
  <c r="AF260" s="1"/>
  <c r="AG260" s="1"/>
  <c r="AH260"/>
  <c r="AI260" s="1"/>
  <c r="AJ260" s="1"/>
  <c r="AK260" s="1"/>
  <c r="AL260" s="1"/>
  <c r="AM260" s="1"/>
  <c r="AN260" s="1"/>
  <c r="AO260" s="1"/>
  <c r="AP260" s="1"/>
  <c r="AQ260" s="1"/>
  <c r="AB261"/>
  <c r="AC261" s="1"/>
  <c r="AD261" s="1"/>
  <c r="AE261" s="1"/>
  <c r="AF261" s="1"/>
  <c r="AG261" s="1"/>
  <c r="AH261" s="1"/>
  <c r="AI261" s="1"/>
  <c r="AJ261" s="1"/>
  <c r="AK261" s="1"/>
  <c r="AL261" s="1"/>
  <c r="AM261" s="1"/>
  <c r="AN261" s="1"/>
  <c r="AO261" s="1"/>
  <c r="AP261"/>
  <c r="AQ261" s="1"/>
  <c r="AB262"/>
  <c r="AC262" s="1"/>
  <c r="AD262" s="1"/>
  <c r="AE262" s="1"/>
  <c r="AF262" s="1"/>
  <c r="AG262" s="1"/>
  <c r="AH262" s="1"/>
  <c r="AI262" s="1"/>
  <c r="AJ262" s="1"/>
  <c r="AK262" s="1"/>
  <c r="AL262"/>
  <c r="AM262" s="1"/>
  <c r="AN262" s="1"/>
  <c r="AO262" s="1"/>
  <c r="AP262" s="1"/>
  <c r="AQ262" s="1"/>
  <c r="AB263"/>
  <c r="AC263" s="1"/>
  <c r="AD263"/>
  <c r="AE263" s="1"/>
  <c r="AF263" s="1"/>
  <c r="AG263" s="1"/>
  <c r="AH263" s="1"/>
  <c r="AI263" s="1"/>
  <c r="AJ263" s="1"/>
  <c r="AK263" s="1"/>
  <c r="AL263" s="1"/>
  <c r="AM263" s="1"/>
  <c r="AN263" s="1"/>
  <c r="AO263" s="1"/>
  <c r="AP263" s="1"/>
  <c r="AQ263" s="1"/>
  <c r="AR263" s="1"/>
  <c r="AS263" s="1"/>
  <c r="AT263" s="1"/>
  <c r="AB264"/>
  <c r="AC264" s="1"/>
  <c r="AD264" s="1"/>
  <c r="AE264" s="1"/>
  <c r="AF264" s="1"/>
  <c r="AG264" s="1"/>
  <c r="AH264"/>
  <c r="AI264" s="1"/>
  <c r="AJ264" s="1"/>
  <c r="AK264" s="1"/>
  <c r="AL264" s="1"/>
  <c r="AM264" s="1"/>
  <c r="AN264" s="1"/>
  <c r="AO264" s="1"/>
  <c r="AP264" s="1"/>
  <c r="AQ264" s="1"/>
  <c r="AB265"/>
  <c r="AC265" s="1"/>
  <c r="AD265" s="1"/>
  <c r="AE265" s="1"/>
  <c r="AF265" s="1"/>
  <c r="AG265" s="1"/>
  <c r="AH265" s="1"/>
  <c r="AI265" s="1"/>
  <c r="AJ265" s="1"/>
  <c r="AK265" s="1"/>
  <c r="AL265" s="1"/>
  <c r="AM265" s="1"/>
  <c r="AN265" s="1"/>
  <c r="AO265" s="1"/>
  <c r="AP265" s="1"/>
  <c r="AQ265" s="1"/>
  <c r="AB266"/>
  <c r="AC266" s="1"/>
  <c r="AD266" s="1"/>
  <c r="AE266" s="1"/>
  <c r="AF266" s="1"/>
  <c r="AG266" s="1"/>
  <c r="AH266" s="1"/>
  <c r="AI266" s="1"/>
  <c r="AJ266" s="1"/>
  <c r="AK266" s="1"/>
  <c r="AL266" s="1"/>
  <c r="AM266" s="1"/>
  <c r="AN266" s="1"/>
  <c r="AO266" s="1"/>
  <c r="AP266" s="1"/>
  <c r="AQ266" s="1"/>
  <c r="AB267"/>
  <c r="AC267" s="1"/>
  <c r="AD267"/>
  <c r="AE267" s="1"/>
  <c r="AF267" s="1"/>
  <c r="AG267" s="1"/>
  <c r="AH267" s="1"/>
  <c r="AI267" s="1"/>
  <c r="AJ267" s="1"/>
  <c r="AK267" s="1"/>
  <c r="AL267" s="1"/>
  <c r="AM267" s="1"/>
  <c r="AN267" s="1"/>
  <c r="AO267" s="1"/>
  <c r="AP267" s="1"/>
  <c r="AQ267" s="1"/>
  <c r="AR267" s="1"/>
  <c r="AS267" s="1"/>
  <c r="AT267" s="1"/>
  <c r="AA267"/>
  <c r="Y267" s="1"/>
  <c r="AB268"/>
  <c r="AC268" s="1"/>
  <c r="AD268" s="1"/>
  <c r="AE268" s="1"/>
  <c r="AF268" s="1"/>
  <c r="AG268" s="1"/>
  <c r="AH268"/>
  <c r="AI268" s="1"/>
  <c r="AJ268" s="1"/>
  <c r="AK268" s="1"/>
  <c r="AL268" s="1"/>
  <c r="AM268" s="1"/>
  <c r="AN268" s="1"/>
  <c r="AO268" s="1"/>
  <c r="AP268" s="1"/>
  <c r="AQ268" s="1"/>
  <c r="AB269"/>
  <c r="AC269" s="1"/>
  <c r="AD269" s="1"/>
  <c r="AE269" s="1"/>
  <c r="AF269" s="1"/>
  <c r="AG269" s="1"/>
  <c r="AH269" s="1"/>
  <c r="AI269" s="1"/>
  <c r="AJ269" s="1"/>
  <c r="AK269" s="1"/>
  <c r="AL269" s="1"/>
  <c r="AM269" s="1"/>
  <c r="AN269" s="1"/>
  <c r="AO269" s="1"/>
  <c r="AP269"/>
  <c r="AQ269" s="1"/>
  <c r="AB270"/>
  <c r="AC270" s="1"/>
  <c r="AD270" s="1"/>
  <c r="AE270" s="1"/>
  <c r="AF270" s="1"/>
  <c r="AG270" s="1"/>
  <c r="AH270" s="1"/>
  <c r="AI270" s="1"/>
  <c r="AJ270" s="1"/>
  <c r="AK270" s="1"/>
  <c r="AL270"/>
  <c r="AM270" s="1"/>
  <c r="AN270" s="1"/>
  <c r="AO270" s="1"/>
  <c r="AP270" s="1"/>
  <c r="AQ270" s="1"/>
  <c r="AB271"/>
  <c r="AC271" s="1"/>
  <c r="AD271"/>
  <c r="AE271" s="1"/>
  <c r="AF271" s="1"/>
  <c r="AG271" s="1"/>
  <c r="AH271" s="1"/>
  <c r="AI271" s="1"/>
  <c r="AJ271" s="1"/>
  <c r="AK271" s="1"/>
  <c r="AL271" s="1"/>
  <c r="AM271" s="1"/>
  <c r="AN271" s="1"/>
  <c r="AO271" s="1"/>
  <c r="AP271" s="1"/>
  <c r="AQ271" s="1"/>
  <c r="AR271" s="1"/>
  <c r="AS271" s="1"/>
  <c r="AT271" s="1"/>
  <c r="AB272"/>
  <c r="AC272" s="1"/>
  <c r="AD272" s="1"/>
  <c r="AE272" s="1"/>
  <c r="AF272" s="1"/>
  <c r="AG272" s="1"/>
  <c r="AH272"/>
  <c r="AI272" s="1"/>
  <c r="AJ272" s="1"/>
  <c r="AK272" s="1"/>
  <c r="AL272" s="1"/>
  <c r="AM272" s="1"/>
  <c r="AN272" s="1"/>
  <c r="AO272" s="1"/>
  <c r="AP272" s="1"/>
  <c r="AQ272" s="1"/>
  <c r="AB273"/>
  <c r="AC273" s="1"/>
  <c r="AD273" s="1"/>
  <c r="AE273" s="1"/>
  <c r="AF273" s="1"/>
  <c r="AG273" s="1"/>
  <c r="AH273" s="1"/>
  <c r="AI273" s="1"/>
  <c r="AJ273" s="1"/>
  <c r="AK273" s="1"/>
  <c r="AL273" s="1"/>
  <c r="AM273" s="1"/>
  <c r="AN273" s="1"/>
  <c r="AO273" s="1"/>
  <c r="AP273" s="1"/>
  <c r="AQ273" s="1"/>
  <c r="AB274"/>
  <c r="AC274" s="1"/>
  <c r="AD274" s="1"/>
  <c r="AE274" s="1"/>
  <c r="AF274" s="1"/>
  <c r="AG274" s="1"/>
  <c r="AH274" s="1"/>
  <c r="AI274" s="1"/>
  <c r="AJ274" s="1"/>
  <c r="AK274" s="1"/>
  <c r="AL274" s="1"/>
  <c r="AM274" s="1"/>
  <c r="AN274" s="1"/>
  <c r="AO274" s="1"/>
  <c r="AP274" s="1"/>
  <c r="AQ274" s="1"/>
  <c r="AB275"/>
  <c r="AC275" s="1"/>
  <c r="AD275"/>
  <c r="AE275" s="1"/>
  <c r="AF275" s="1"/>
  <c r="AG275" s="1"/>
  <c r="AH275" s="1"/>
  <c r="AI275" s="1"/>
  <c r="AJ275" s="1"/>
  <c r="AK275" s="1"/>
  <c r="AL275" s="1"/>
  <c r="AM275" s="1"/>
  <c r="AN275" s="1"/>
  <c r="AO275" s="1"/>
  <c r="AP275" s="1"/>
  <c r="AQ275" s="1"/>
  <c r="AR275" s="1"/>
  <c r="AS275" s="1"/>
  <c r="AT275" s="1"/>
  <c r="AA275"/>
  <c r="Y275" s="1"/>
  <c r="AB276"/>
  <c r="AC276" s="1"/>
  <c r="AD276" s="1"/>
  <c r="AE276" s="1"/>
  <c r="AF276" s="1"/>
  <c r="AG276" s="1"/>
  <c r="AH276"/>
  <c r="AI276" s="1"/>
  <c r="AJ276" s="1"/>
  <c r="AK276" s="1"/>
  <c r="AL276" s="1"/>
  <c r="AM276" s="1"/>
  <c r="AN276" s="1"/>
  <c r="AO276" s="1"/>
  <c r="AP276" s="1"/>
  <c r="AQ276" s="1"/>
  <c r="AB277"/>
  <c r="AC277" s="1"/>
  <c r="AD277" s="1"/>
  <c r="AE277" s="1"/>
  <c r="AF277" s="1"/>
  <c r="AG277" s="1"/>
  <c r="AH277" s="1"/>
  <c r="AI277" s="1"/>
  <c r="AJ277" s="1"/>
  <c r="AK277" s="1"/>
  <c r="AL277" s="1"/>
  <c r="AM277" s="1"/>
  <c r="AN277" s="1"/>
  <c r="AO277" s="1"/>
  <c r="AP277"/>
  <c r="AQ277" s="1"/>
  <c r="AB278"/>
  <c r="AC278" s="1"/>
  <c r="AD278" s="1"/>
  <c r="AE278" s="1"/>
  <c r="AF278" s="1"/>
  <c r="AG278" s="1"/>
  <c r="AH278" s="1"/>
  <c r="AI278" s="1"/>
  <c r="AJ278" s="1"/>
  <c r="AK278" s="1"/>
  <c r="AL278"/>
  <c r="AM278" s="1"/>
  <c r="AN278" s="1"/>
  <c r="AO278" s="1"/>
  <c r="AP278" s="1"/>
  <c r="AQ278" s="1"/>
  <c r="AB279"/>
  <c r="AC279" s="1"/>
  <c r="AD279"/>
  <c r="AE279" s="1"/>
  <c r="AF279" s="1"/>
  <c r="AG279" s="1"/>
  <c r="AH279" s="1"/>
  <c r="AI279" s="1"/>
  <c r="AJ279" s="1"/>
  <c r="AK279" s="1"/>
  <c r="AL279" s="1"/>
  <c r="AM279" s="1"/>
  <c r="AN279" s="1"/>
  <c r="AO279" s="1"/>
  <c r="AP279" s="1"/>
  <c r="AQ279" s="1"/>
  <c r="AR279" s="1"/>
  <c r="AS279" s="1"/>
  <c r="AT279" s="1"/>
  <c r="AB280"/>
  <c r="AC280" s="1"/>
  <c r="AD280" s="1"/>
  <c r="AE280" s="1"/>
  <c r="AF280" s="1"/>
  <c r="AG280" s="1"/>
  <c r="AH280"/>
  <c r="AI280" s="1"/>
  <c r="AJ280" s="1"/>
  <c r="AK280" s="1"/>
  <c r="AL280" s="1"/>
  <c r="AM280" s="1"/>
  <c r="AN280" s="1"/>
  <c r="AO280" s="1"/>
  <c r="AP280" s="1"/>
  <c r="AQ280" s="1"/>
  <c r="AB281"/>
  <c r="AC281" s="1"/>
  <c r="AD281" s="1"/>
  <c r="AE281" s="1"/>
  <c r="AF281" s="1"/>
  <c r="AG281" s="1"/>
  <c r="AH281" s="1"/>
  <c r="AI281" s="1"/>
  <c r="AJ281" s="1"/>
  <c r="AK281" s="1"/>
  <c r="AL281" s="1"/>
  <c r="AM281" s="1"/>
  <c r="AN281" s="1"/>
  <c r="AO281" s="1"/>
  <c r="AP281" s="1"/>
  <c r="AQ281" s="1"/>
  <c r="AB282"/>
  <c r="AC282" s="1"/>
  <c r="AD282" s="1"/>
  <c r="AE282" s="1"/>
  <c r="AF282" s="1"/>
  <c r="AG282" s="1"/>
  <c r="AH282" s="1"/>
  <c r="AI282" s="1"/>
  <c r="AJ282" s="1"/>
  <c r="AK282" s="1"/>
  <c r="AL282" s="1"/>
  <c r="AM282" s="1"/>
  <c r="AN282" s="1"/>
  <c r="AO282" s="1"/>
  <c r="AP282" s="1"/>
  <c r="AQ282" s="1"/>
  <c r="AB283"/>
  <c r="AC283" s="1"/>
  <c r="AD283"/>
  <c r="AE283" s="1"/>
  <c r="AF283" s="1"/>
  <c r="AG283" s="1"/>
  <c r="AH283" s="1"/>
  <c r="AI283" s="1"/>
  <c r="AJ283" s="1"/>
  <c r="AK283" s="1"/>
  <c r="AL283" s="1"/>
  <c r="AM283" s="1"/>
  <c r="AN283" s="1"/>
  <c r="AO283" s="1"/>
  <c r="AP283" s="1"/>
  <c r="AQ283" s="1"/>
  <c r="AR283" s="1"/>
  <c r="AS283" s="1"/>
  <c r="AT283" s="1"/>
  <c r="AA283"/>
  <c r="Y283" s="1"/>
  <c r="AB284"/>
  <c r="AC284" s="1"/>
  <c r="AD284" s="1"/>
  <c r="AE284" s="1"/>
  <c r="AF284" s="1"/>
  <c r="AG284" s="1"/>
  <c r="AH284"/>
  <c r="AI284" s="1"/>
  <c r="AJ284" s="1"/>
  <c r="AK284" s="1"/>
  <c r="AL284" s="1"/>
  <c r="AM284" s="1"/>
  <c r="AN284" s="1"/>
  <c r="AO284" s="1"/>
  <c r="AP284" s="1"/>
  <c r="AQ284" s="1"/>
  <c r="AB285"/>
  <c r="AC285" s="1"/>
  <c r="AD285" s="1"/>
  <c r="AE285" s="1"/>
  <c r="AF285" s="1"/>
  <c r="AG285" s="1"/>
  <c r="AH285" s="1"/>
  <c r="AI285" s="1"/>
  <c r="AJ285" s="1"/>
  <c r="AK285" s="1"/>
  <c r="AL285" s="1"/>
  <c r="AM285" s="1"/>
  <c r="AN285" s="1"/>
  <c r="AO285" s="1"/>
  <c r="AP285"/>
  <c r="AQ285" s="1"/>
  <c r="AB286"/>
  <c r="AC286" s="1"/>
  <c r="AD286" s="1"/>
  <c r="AE286" s="1"/>
  <c r="AF286" s="1"/>
  <c r="AG286" s="1"/>
  <c r="AH286" s="1"/>
  <c r="AI286" s="1"/>
  <c r="AJ286" s="1"/>
  <c r="AK286" s="1"/>
  <c r="AL286"/>
  <c r="AM286" s="1"/>
  <c r="AN286" s="1"/>
  <c r="AO286" s="1"/>
  <c r="AP286" s="1"/>
  <c r="AQ286" s="1"/>
  <c r="AB287"/>
  <c r="AC287" s="1"/>
  <c r="AD287"/>
  <c r="AE287" s="1"/>
  <c r="AF287" s="1"/>
  <c r="AG287" s="1"/>
  <c r="AH287" s="1"/>
  <c r="AI287" s="1"/>
  <c r="AJ287" s="1"/>
  <c r="AK287" s="1"/>
  <c r="AL287" s="1"/>
  <c r="AM287" s="1"/>
  <c r="AN287" s="1"/>
  <c r="AO287" s="1"/>
  <c r="AP287" s="1"/>
  <c r="AQ287" s="1"/>
  <c r="AR287" s="1"/>
  <c r="AS287" s="1"/>
  <c r="AT287" s="1"/>
  <c r="AB288"/>
  <c r="AC288" s="1"/>
  <c r="AD288" s="1"/>
  <c r="AE288" s="1"/>
  <c r="AF288" s="1"/>
  <c r="AG288" s="1"/>
  <c r="AH288"/>
  <c r="AI288" s="1"/>
  <c r="AJ288" s="1"/>
  <c r="AK288" s="1"/>
  <c r="AL288" s="1"/>
  <c r="AM288" s="1"/>
  <c r="AN288" s="1"/>
  <c r="AO288" s="1"/>
  <c r="AP288" s="1"/>
  <c r="AQ288" s="1"/>
  <c r="AB289"/>
  <c r="AC289" s="1"/>
  <c r="AD289" s="1"/>
  <c r="AE289" s="1"/>
  <c r="AF289" s="1"/>
  <c r="AG289" s="1"/>
  <c r="AH289" s="1"/>
  <c r="AI289" s="1"/>
  <c r="AJ289" s="1"/>
  <c r="AK289" s="1"/>
  <c r="AL289" s="1"/>
  <c r="AM289" s="1"/>
  <c r="AN289" s="1"/>
  <c r="AO289" s="1"/>
  <c r="AP289" s="1"/>
  <c r="AQ289" s="1"/>
  <c r="AB290"/>
  <c r="AC290" s="1"/>
  <c r="AD290" s="1"/>
  <c r="AE290" s="1"/>
  <c r="AF290" s="1"/>
  <c r="AG290" s="1"/>
  <c r="AH290" s="1"/>
  <c r="AI290" s="1"/>
  <c r="AJ290" s="1"/>
  <c r="AK290" s="1"/>
  <c r="AL290" s="1"/>
  <c r="AM290" s="1"/>
  <c r="AN290" s="1"/>
  <c r="AO290" s="1"/>
  <c r="AP290" s="1"/>
  <c r="AQ290" s="1"/>
  <c r="AB291"/>
  <c r="AC291" s="1"/>
  <c r="AD291"/>
  <c r="AE291" s="1"/>
  <c r="AF291" s="1"/>
  <c r="AG291" s="1"/>
  <c r="AH291" s="1"/>
  <c r="AI291" s="1"/>
  <c r="AJ291" s="1"/>
  <c r="AK291" s="1"/>
  <c r="AL291" s="1"/>
  <c r="AM291" s="1"/>
  <c r="AN291" s="1"/>
  <c r="AO291" s="1"/>
  <c r="AP291" s="1"/>
  <c r="AQ291" s="1"/>
  <c r="AR291" s="1"/>
  <c r="AS291" s="1"/>
  <c r="AT291" s="1"/>
  <c r="AA291"/>
  <c r="Y291" s="1"/>
  <c r="AB292"/>
  <c r="AC292" s="1"/>
  <c r="AD292" s="1"/>
  <c r="AE292" s="1"/>
  <c r="AF292" s="1"/>
  <c r="AG292" s="1"/>
  <c r="AH292"/>
  <c r="AI292" s="1"/>
  <c r="AJ292" s="1"/>
  <c r="AK292" s="1"/>
  <c r="AL292" s="1"/>
  <c r="AM292" s="1"/>
  <c r="AN292" s="1"/>
  <c r="AO292" s="1"/>
  <c r="AP292" s="1"/>
  <c r="AQ292" s="1"/>
  <c r="AB293"/>
  <c r="AC293" s="1"/>
  <c r="AD293" s="1"/>
  <c r="AE293" s="1"/>
  <c r="AF293" s="1"/>
  <c r="AG293" s="1"/>
  <c r="AH293" s="1"/>
  <c r="AI293" s="1"/>
  <c r="AJ293" s="1"/>
  <c r="AK293" s="1"/>
  <c r="AL293" s="1"/>
  <c r="AM293" s="1"/>
  <c r="AN293" s="1"/>
  <c r="AO293" s="1"/>
  <c r="AP293"/>
  <c r="AQ293" s="1"/>
  <c r="AB294"/>
  <c r="AC294" s="1"/>
  <c r="AD294" s="1"/>
  <c r="AE294" s="1"/>
  <c r="AF294" s="1"/>
  <c r="AG294" s="1"/>
  <c r="AH294" s="1"/>
  <c r="AI294" s="1"/>
  <c r="AJ294" s="1"/>
  <c r="AK294" s="1"/>
  <c r="AL294"/>
  <c r="AM294" s="1"/>
  <c r="AN294" s="1"/>
  <c r="AO294" s="1"/>
  <c r="AP294" s="1"/>
  <c r="AQ294" s="1"/>
  <c r="AB295"/>
  <c r="AC295" s="1"/>
  <c r="AD295"/>
  <c r="AE295" s="1"/>
  <c r="AF295" s="1"/>
  <c r="AG295" s="1"/>
  <c r="AH295" s="1"/>
  <c r="AI295" s="1"/>
  <c r="AJ295" s="1"/>
  <c r="AK295" s="1"/>
  <c r="AL295" s="1"/>
  <c r="AM295" s="1"/>
  <c r="AN295" s="1"/>
  <c r="AO295" s="1"/>
  <c r="AP295" s="1"/>
  <c r="AQ295" s="1"/>
  <c r="AR295" s="1"/>
  <c r="AS295" s="1"/>
  <c r="AT295" s="1"/>
  <c r="AB296"/>
  <c r="AC296" s="1"/>
  <c r="AD296" s="1"/>
  <c r="AE296" s="1"/>
  <c r="AF296" s="1"/>
  <c r="AG296" s="1"/>
  <c r="AH296"/>
  <c r="AI296" s="1"/>
  <c r="AJ296" s="1"/>
  <c r="AK296" s="1"/>
  <c r="AL296" s="1"/>
  <c r="AM296" s="1"/>
  <c r="AN296" s="1"/>
  <c r="AO296" s="1"/>
  <c r="AP296" s="1"/>
  <c r="AQ296" s="1"/>
  <c r="AB297"/>
  <c r="AC297" s="1"/>
  <c r="AD297" s="1"/>
  <c r="AE297" s="1"/>
  <c r="AF297" s="1"/>
  <c r="AG297" s="1"/>
  <c r="AH297" s="1"/>
  <c r="AI297" s="1"/>
  <c r="AJ297" s="1"/>
  <c r="AK297" s="1"/>
  <c r="AL297" s="1"/>
  <c r="AM297" s="1"/>
  <c r="AN297" s="1"/>
  <c r="AO297" s="1"/>
  <c r="AP297" s="1"/>
  <c r="AQ297" s="1"/>
  <c r="AB298"/>
  <c r="AC298" s="1"/>
  <c r="AD298" s="1"/>
  <c r="AE298" s="1"/>
  <c r="AF298" s="1"/>
  <c r="AG298" s="1"/>
  <c r="AH298" s="1"/>
  <c r="AI298" s="1"/>
  <c r="AJ298" s="1"/>
  <c r="AK298" s="1"/>
  <c r="AL298" s="1"/>
  <c r="AM298" s="1"/>
  <c r="AN298" s="1"/>
  <c r="AO298" s="1"/>
  <c r="AP298" s="1"/>
  <c r="AQ298" s="1"/>
  <c r="AB299"/>
  <c r="AC299" s="1"/>
  <c r="AD299"/>
  <c r="AE299" s="1"/>
  <c r="AF299" s="1"/>
  <c r="AG299" s="1"/>
  <c r="AH299" s="1"/>
  <c r="AI299" s="1"/>
  <c r="AJ299" s="1"/>
  <c r="AK299" s="1"/>
  <c r="AL299" s="1"/>
  <c r="AM299" s="1"/>
  <c r="AN299" s="1"/>
  <c r="AO299" s="1"/>
  <c r="AP299" s="1"/>
  <c r="AQ299" s="1"/>
  <c r="AR299" s="1"/>
  <c r="AS299" s="1"/>
  <c r="AT299" s="1"/>
  <c r="AA299"/>
  <c r="Y299" s="1"/>
  <c r="AB300"/>
  <c r="AC300" s="1"/>
  <c r="AD300" s="1"/>
  <c r="AE300" s="1"/>
  <c r="AF300" s="1"/>
  <c r="AG300" s="1"/>
  <c r="AH300"/>
  <c r="AI300" s="1"/>
  <c r="AJ300" s="1"/>
  <c r="AK300" s="1"/>
  <c r="AL300" s="1"/>
  <c r="AM300" s="1"/>
  <c r="AN300" s="1"/>
  <c r="AO300" s="1"/>
  <c r="AP300" s="1"/>
  <c r="AQ300" s="1"/>
  <c r="AB301"/>
  <c r="AC301" s="1"/>
  <c r="AD301" s="1"/>
  <c r="AE301" s="1"/>
  <c r="AF301" s="1"/>
  <c r="AG301" s="1"/>
  <c r="AH301" s="1"/>
  <c r="AI301" s="1"/>
  <c r="AJ301" s="1"/>
  <c r="AK301" s="1"/>
  <c r="AL301" s="1"/>
  <c r="AM301" s="1"/>
  <c r="AN301" s="1"/>
  <c r="AO301" s="1"/>
  <c r="AP301"/>
  <c r="AQ301" s="1"/>
  <c r="AB302"/>
  <c r="AC302" s="1"/>
  <c r="AD302" s="1"/>
  <c r="AE302" s="1"/>
  <c r="AF302" s="1"/>
  <c r="AG302" s="1"/>
  <c r="AH302" s="1"/>
  <c r="AI302" s="1"/>
  <c r="AJ302" s="1"/>
  <c r="AK302" s="1"/>
  <c r="AL302"/>
  <c r="AM302" s="1"/>
  <c r="AN302" s="1"/>
  <c r="AO302" s="1"/>
  <c r="AP302" s="1"/>
  <c r="AQ302" s="1"/>
  <c r="AB303"/>
  <c r="AC303" s="1"/>
  <c r="AD303"/>
  <c r="AE303" s="1"/>
  <c r="AF303" s="1"/>
  <c r="AG303" s="1"/>
  <c r="AH303" s="1"/>
  <c r="AI303" s="1"/>
  <c r="AJ303" s="1"/>
  <c r="AK303" s="1"/>
  <c r="AL303" s="1"/>
  <c r="AM303" s="1"/>
  <c r="AN303" s="1"/>
  <c r="AO303" s="1"/>
  <c r="AP303" s="1"/>
  <c r="AQ303" s="1"/>
  <c r="AR303" s="1"/>
  <c r="AS303" s="1"/>
  <c r="AT303" s="1"/>
  <c r="AB304"/>
  <c r="AC304" s="1"/>
  <c r="AD304" s="1"/>
  <c r="AE304" s="1"/>
  <c r="AF304" s="1"/>
  <c r="AG304" s="1"/>
  <c r="AH304"/>
  <c r="AI304" s="1"/>
  <c r="AJ304" s="1"/>
  <c r="AK304" s="1"/>
  <c r="AL304" s="1"/>
  <c r="AM304" s="1"/>
  <c r="AN304" s="1"/>
  <c r="AO304" s="1"/>
  <c r="AP304" s="1"/>
  <c r="AQ304" s="1"/>
  <c r="AB305"/>
  <c r="AC305" s="1"/>
  <c r="AD305" s="1"/>
  <c r="AE305" s="1"/>
  <c r="AF305" s="1"/>
  <c r="AG305" s="1"/>
  <c r="AH305" s="1"/>
  <c r="AI305" s="1"/>
  <c r="AJ305" s="1"/>
  <c r="AK305" s="1"/>
  <c r="AL305" s="1"/>
  <c r="AM305" s="1"/>
  <c r="AN305" s="1"/>
  <c r="AO305" s="1"/>
  <c r="AP305" s="1"/>
  <c r="AQ305" s="1"/>
  <c r="AB306"/>
  <c r="AC306" s="1"/>
  <c r="AD306" s="1"/>
  <c r="AE306" s="1"/>
  <c r="AF306" s="1"/>
  <c r="AG306" s="1"/>
  <c r="AH306" s="1"/>
  <c r="AI306" s="1"/>
  <c r="AJ306" s="1"/>
  <c r="AK306" s="1"/>
  <c r="AL306" s="1"/>
  <c r="AM306" s="1"/>
  <c r="AN306" s="1"/>
  <c r="AO306" s="1"/>
  <c r="AP306" s="1"/>
  <c r="AQ306" s="1"/>
  <c r="AB307"/>
  <c r="AC307" s="1"/>
  <c r="AD307"/>
  <c r="AE307" s="1"/>
  <c r="AF307" s="1"/>
  <c r="AG307" s="1"/>
  <c r="AH307" s="1"/>
  <c r="AI307" s="1"/>
  <c r="AJ307" s="1"/>
  <c r="AK307" s="1"/>
  <c r="AL307" s="1"/>
  <c r="AM307" s="1"/>
  <c r="AN307" s="1"/>
  <c r="AO307" s="1"/>
  <c r="AP307" s="1"/>
  <c r="AQ307" s="1"/>
  <c r="AR307" s="1"/>
  <c r="AS307" s="1"/>
  <c r="AT307" s="1"/>
  <c r="AA307"/>
  <c r="Y307" s="1"/>
  <c r="AB308"/>
  <c r="AC308" s="1"/>
  <c r="AD308" s="1"/>
  <c r="AE308" s="1"/>
  <c r="AF308" s="1"/>
  <c r="AG308" s="1"/>
  <c r="AH308"/>
  <c r="AI308" s="1"/>
  <c r="AJ308" s="1"/>
  <c r="AK308" s="1"/>
  <c r="AL308" s="1"/>
  <c r="AM308" s="1"/>
  <c r="AN308" s="1"/>
  <c r="AO308" s="1"/>
  <c r="AP308" s="1"/>
  <c r="AQ308" s="1"/>
  <c r="AB309"/>
  <c r="AC309" s="1"/>
  <c r="AD309" s="1"/>
  <c r="AE309" s="1"/>
  <c r="AF309" s="1"/>
  <c r="AG309" s="1"/>
  <c r="AH309" s="1"/>
  <c r="AI309" s="1"/>
  <c r="AJ309" s="1"/>
  <c r="AK309" s="1"/>
  <c r="AL309" s="1"/>
  <c r="AM309" s="1"/>
  <c r="AN309" s="1"/>
  <c r="AO309" s="1"/>
  <c r="AP309"/>
  <c r="AQ309" s="1"/>
  <c r="AB310"/>
  <c r="AC310" s="1"/>
  <c r="AD310" s="1"/>
  <c r="AE310" s="1"/>
  <c r="AF310" s="1"/>
  <c r="AG310" s="1"/>
  <c r="AH310" s="1"/>
  <c r="AI310" s="1"/>
  <c r="AJ310" s="1"/>
  <c r="AK310" s="1"/>
  <c r="AL310"/>
  <c r="AM310" s="1"/>
  <c r="AN310" s="1"/>
  <c r="AO310" s="1"/>
  <c r="AP310" s="1"/>
  <c r="AQ310" s="1"/>
  <c r="AB311"/>
  <c r="AC311" s="1"/>
  <c r="AD311"/>
  <c r="AE311" s="1"/>
  <c r="AF311" s="1"/>
  <c r="AG311" s="1"/>
  <c r="AH311" s="1"/>
  <c r="AI311" s="1"/>
  <c r="AJ311" s="1"/>
  <c r="AK311" s="1"/>
  <c r="AL311" s="1"/>
  <c r="AM311" s="1"/>
  <c r="AN311" s="1"/>
  <c r="AO311" s="1"/>
  <c r="AP311" s="1"/>
  <c r="AQ311" s="1"/>
  <c r="AR311" s="1"/>
  <c r="AS311" s="1"/>
  <c r="AT311" s="1"/>
  <c r="AB312"/>
  <c r="AC312" s="1"/>
  <c r="AD312" s="1"/>
  <c r="AE312" s="1"/>
  <c r="AF312" s="1"/>
  <c r="AG312" s="1"/>
  <c r="AH312"/>
  <c r="AI312" s="1"/>
  <c r="AJ312" s="1"/>
  <c r="AK312" s="1"/>
  <c r="AL312" s="1"/>
  <c r="AM312" s="1"/>
  <c r="AN312" s="1"/>
  <c r="AO312" s="1"/>
  <c r="AP312" s="1"/>
  <c r="AQ312" s="1"/>
  <c r="AB313"/>
  <c r="AC313" s="1"/>
  <c r="AD313" s="1"/>
  <c r="AE313" s="1"/>
  <c r="AF313" s="1"/>
  <c r="AG313" s="1"/>
  <c r="AH313" s="1"/>
  <c r="AI313" s="1"/>
  <c r="AJ313" s="1"/>
  <c r="AK313" s="1"/>
  <c r="AL313" s="1"/>
  <c r="AM313" s="1"/>
  <c r="AN313" s="1"/>
  <c r="AO313" s="1"/>
  <c r="AP313" s="1"/>
  <c r="AQ313" s="1"/>
  <c r="AB314"/>
  <c r="AC314" s="1"/>
  <c r="AD314" s="1"/>
  <c r="AE314" s="1"/>
  <c r="AF314" s="1"/>
  <c r="AG314" s="1"/>
  <c r="AH314" s="1"/>
  <c r="AI314" s="1"/>
  <c r="AJ314" s="1"/>
  <c r="AK314" s="1"/>
  <c r="AL314" s="1"/>
  <c r="AM314" s="1"/>
  <c r="AN314" s="1"/>
  <c r="AO314" s="1"/>
  <c r="AP314" s="1"/>
  <c r="AQ314" s="1"/>
  <c r="AB315"/>
  <c r="AC315" s="1"/>
  <c r="AD315"/>
  <c r="AE315" s="1"/>
  <c r="AF315" s="1"/>
  <c r="AG315" s="1"/>
  <c r="AH315" s="1"/>
  <c r="AI315" s="1"/>
  <c r="AJ315" s="1"/>
  <c r="AK315" s="1"/>
  <c r="AL315" s="1"/>
  <c r="AM315" s="1"/>
  <c r="AN315" s="1"/>
  <c r="AO315" s="1"/>
  <c r="AP315" s="1"/>
  <c r="AQ315" s="1"/>
  <c r="AR315" s="1"/>
  <c r="AS315" s="1"/>
  <c r="AT315" s="1"/>
  <c r="AA315"/>
  <c r="Y315" s="1"/>
  <c r="AB316"/>
  <c r="AC316" s="1"/>
  <c r="AD316" s="1"/>
  <c r="AE316" s="1"/>
  <c r="AF316" s="1"/>
  <c r="AG316" s="1"/>
  <c r="AH316"/>
  <c r="AI316" s="1"/>
  <c r="AJ316" s="1"/>
  <c r="AK316" s="1"/>
  <c r="AL316" s="1"/>
  <c r="AM316" s="1"/>
  <c r="AN316" s="1"/>
  <c r="AO316" s="1"/>
  <c r="AP316" s="1"/>
  <c r="AQ316" s="1"/>
  <c r="AB317"/>
  <c r="AC317" s="1"/>
  <c r="AD317" s="1"/>
  <c r="AE317" s="1"/>
  <c r="AF317" s="1"/>
  <c r="AG317" s="1"/>
  <c r="AH317" s="1"/>
  <c r="AI317" s="1"/>
  <c r="AJ317" s="1"/>
  <c r="AK317" s="1"/>
  <c r="AL317" s="1"/>
  <c r="AM317" s="1"/>
  <c r="AN317" s="1"/>
  <c r="AO317" s="1"/>
  <c r="AP317"/>
  <c r="AQ317" s="1"/>
  <c r="AB318"/>
  <c r="AC318" s="1"/>
  <c r="AD318" s="1"/>
  <c r="AE318" s="1"/>
  <c r="AF318" s="1"/>
  <c r="AG318" s="1"/>
  <c r="AH318" s="1"/>
  <c r="AI318" s="1"/>
  <c r="AJ318" s="1"/>
  <c r="AK318" s="1"/>
  <c r="AL318"/>
  <c r="AM318" s="1"/>
  <c r="AN318" s="1"/>
  <c r="AO318" s="1"/>
  <c r="AP318" s="1"/>
  <c r="AQ318" s="1"/>
  <c r="AB319"/>
  <c r="AC319" s="1"/>
  <c r="AD319"/>
  <c r="AE319" s="1"/>
  <c r="AF319" s="1"/>
  <c r="AG319" s="1"/>
  <c r="AH319" s="1"/>
  <c r="AI319" s="1"/>
  <c r="AJ319" s="1"/>
  <c r="AK319" s="1"/>
  <c r="AL319" s="1"/>
  <c r="AM319" s="1"/>
  <c r="AN319" s="1"/>
  <c r="AO319" s="1"/>
  <c r="AP319" s="1"/>
  <c r="AQ319" s="1"/>
  <c r="AR319" s="1"/>
  <c r="AS319" s="1"/>
  <c r="AT319" s="1"/>
  <c r="AB320"/>
  <c r="AC320" s="1"/>
  <c r="AD320" s="1"/>
  <c r="AE320" s="1"/>
  <c r="AF320" s="1"/>
  <c r="AG320" s="1"/>
  <c r="AH320"/>
  <c r="AI320" s="1"/>
  <c r="AJ320" s="1"/>
  <c r="AK320" s="1"/>
  <c r="AL320" s="1"/>
  <c r="AM320" s="1"/>
  <c r="AN320" s="1"/>
  <c r="AO320" s="1"/>
  <c r="AP320" s="1"/>
  <c r="AQ320" s="1"/>
  <c r="AB321"/>
  <c r="AC321" s="1"/>
  <c r="AD321" s="1"/>
  <c r="AE321" s="1"/>
  <c r="AF321" s="1"/>
  <c r="AG321" s="1"/>
  <c r="AH321" s="1"/>
  <c r="AI321" s="1"/>
  <c r="AJ321" s="1"/>
  <c r="AK321" s="1"/>
  <c r="AL321" s="1"/>
  <c r="AM321" s="1"/>
  <c r="AN321" s="1"/>
  <c r="AO321" s="1"/>
  <c r="AP321" s="1"/>
  <c r="AQ321" s="1"/>
  <c r="AB322"/>
  <c r="AC322" s="1"/>
  <c r="AD322" s="1"/>
  <c r="AE322" s="1"/>
  <c r="AF322" s="1"/>
  <c r="AG322" s="1"/>
  <c r="AH322" s="1"/>
  <c r="AI322" s="1"/>
  <c r="AJ322" s="1"/>
  <c r="AK322" s="1"/>
  <c r="AL322" s="1"/>
  <c r="AM322" s="1"/>
  <c r="AN322" s="1"/>
  <c r="AO322" s="1"/>
  <c r="AP322" s="1"/>
  <c r="AQ322" s="1"/>
  <c r="AB323"/>
  <c r="AC323" s="1"/>
  <c r="AD323"/>
  <c r="AE323" s="1"/>
  <c r="AF323" s="1"/>
  <c r="AG323" s="1"/>
  <c r="AH323" s="1"/>
  <c r="AI323" s="1"/>
  <c r="AJ323" s="1"/>
  <c r="AK323" s="1"/>
  <c r="AL323" s="1"/>
  <c r="AM323" s="1"/>
  <c r="AN323" s="1"/>
  <c r="AO323" s="1"/>
  <c r="AP323" s="1"/>
  <c r="AQ323" s="1"/>
  <c r="AR323" s="1"/>
  <c r="AS323" s="1"/>
  <c r="AT323" s="1"/>
  <c r="AA323"/>
  <c r="Y323" s="1"/>
  <c r="AB324"/>
  <c r="AC324" s="1"/>
  <c r="AD324" s="1"/>
  <c r="AE324" s="1"/>
  <c r="AF324" s="1"/>
  <c r="AG324" s="1"/>
  <c r="AH324"/>
  <c r="AI324" s="1"/>
  <c r="AJ324" s="1"/>
  <c r="AK324" s="1"/>
  <c r="AL324" s="1"/>
  <c r="AM324" s="1"/>
  <c r="AN324" s="1"/>
  <c r="AO324" s="1"/>
  <c r="AP324" s="1"/>
  <c r="AQ324" s="1"/>
  <c r="AB325"/>
  <c r="AC325" s="1"/>
  <c r="AD325" s="1"/>
  <c r="AE325" s="1"/>
  <c r="AF325" s="1"/>
  <c r="AG325" s="1"/>
  <c r="AH325" s="1"/>
  <c r="AI325" s="1"/>
  <c r="AJ325" s="1"/>
  <c r="AK325" s="1"/>
  <c r="AL325" s="1"/>
  <c r="AM325" s="1"/>
  <c r="AN325" s="1"/>
  <c r="AO325" s="1"/>
  <c r="AP325"/>
  <c r="AQ325" s="1"/>
  <c r="AB326"/>
  <c r="AC326" s="1"/>
  <c r="AD326" s="1"/>
  <c r="AE326" s="1"/>
  <c r="AF326" s="1"/>
  <c r="AG326" s="1"/>
  <c r="AH326" s="1"/>
  <c r="AI326" s="1"/>
  <c r="AJ326" s="1"/>
  <c r="AK326" s="1"/>
  <c r="AL326"/>
  <c r="AM326" s="1"/>
  <c r="AN326" s="1"/>
  <c r="AO326" s="1"/>
  <c r="AP326" s="1"/>
  <c r="AQ326" s="1"/>
  <c r="AB327"/>
  <c r="AC327" s="1"/>
  <c r="AD327"/>
  <c r="AE327" s="1"/>
  <c r="AF327" s="1"/>
  <c r="AG327" s="1"/>
  <c r="AH327" s="1"/>
  <c r="AI327" s="1"/>
  <c r="AJ327" s="1"/>
  <c r="AK327" s="1"/>
  <c r="AL327" s="1"/>
  <c r="AM327" s="1"/>
  <c r="AN327" s="1"/>
  <c r="AO327" s="1"/>
  <c r="AP327" s="1"/>
  <c r="AQ327" s="1"/>
  <c r="AR327" s="1"/>
  <c r="AS327" s="1"/>
  <c r="AT327" s="1"/>
  <c r="AB328"/>
  <c r="AC328" s="1"/>
  <c r="AD328" s="1"/>
  <c r="AE328" s="1"/>
  <c r="AF328" s="1"/>
  <c r="AG328" s="1"/>
  <c r="AH328"/>
  <c r="AI328" s="1"/>
  <c r="AJ328" s="1"/>
  <c r="AK328" s="1"/>
  <c r="AL328" s="1"/>
  <c r="AM328" s="1"/>
  <c r="AN328" s="1"/>
  <c r="AO328" s="1"/>
  <c r="AP328" s="1"/>
  <c r="AQ328" s="1"/>
  <c r="AB329"/>
  <c r="AC329" s="1"/>
  <c r="AD329" s="1"/>
  <c r="AE329" s="1"/>
  <c r="AF329" s="1"/>
  <c r="AG329" s="1"/>
  <c r="AH329" s="1"/>
  <c r="AI329" s="1"/>
  <c r="AJ329" s="1"/>
  <c r="AK329" s="1"/>
  <c r="AL329" s="1"/>
  <c r="AM329" s="1"/>
  <c r="AN329" s="1"/>
  <c r="AO329" s="1"/>
  <c r="AP329" s="1"/>
  <c r="AQ329" s="1"/>
  <c r="AB330"/>
  <c r="AC330" s="1"/>
  <c r="AD330" s="1"/>
  <c r="AE330" s="1"/>
  <c r="AF330" s="1"/>
  <c r="AG330" s="1"/>
  <c r="AH330" s="1"/>
  <c r="AI330" s="1"/>
  <c r="AJ330" s="1"/>
  <c r="AK330" s="1"/>
  <c r="AL330" s="1"/>
  <c r="AM330" s="1"/>
  <c r="AN330" s="1"/>
  <c r="AO330" s="1"/>
  <c r="AP330" s="1"/>
  <c r="AQ330" s="1"/>
  <c r="AB331"/>
  <c r="AC331" s="1"/>
  <c r="AD331"/>
  <c r="AE331" s="1"/>
  <c r="AF331" s="1"/>
  <c r="AG331" s="1"/>
  <c r="AH331" s="1"/>
  <c r="AI331" s="1"/>
  <c r="AJ331" s="1"/>
  <c r="AK331" s="1"/>
  <c r="AL331" s="1"/>
  <c r="AM331" s="1"/>
  <c r="AN331" s="1"/>
  <c r="AO331" s="1"/>
  <c r="AP331" s="1"/>
  <c r="AQ331" s="1"/>
  <c r="AR331" s="1"/>
  <c r="AS331" s="1"/>
  <c r="AT331" s="1"/>
  <c r="AA331"/>
  <c r="Y331" s="1"/>
  <c r="AB332"/>
  <c r="AC332" s="1"/>
  <c r="AD332" s="1"/>
  <c r="AE332" s="1"/>
  <c r="AF332" s="1"/>
  <c r="AG332" s="1"/>
  <c r="AH332"/>
  <c r="AI332" s="1"/>
  <c r="AJ332" s="1"/>
  <c r="AK332" s="1"/>
  <c r="AL332" s="1"/>
  <c r="AM332" s="1"/>
  <c r="AN332" s="1"/>
  <c r="AO332" s="1"/>
  <c r="AP332" s="1"/>
  <c r="AQ332" s="1"/>
  <c r="AB334"/>
  <c r="AC334" s="1"/>
  <c r="AD334" s="1"/>
  <c r="AE334" s="1"/>
  <c r="AF334" s="1"/>
  <c r="AG334" s="1"/>
  <c r="AH334" s="1"/>
  <c r="AI334" s="1"/>
  <c r="AJ334" s="1"/>
  <c r="AK334" s="1"/>
  <c r="AL334" s="1"/>
  <c r="AM334" s="1"/>
  <c r="AN334" s="1"/>
  <c r="AO334" s="1"/>
  <c r="AP334"/>
  <c r="AQ334" s="1"/>
  <c r="AB335"/>
  <c r="AC335" s="1"/>
  <c r="AD335" s="1"/>
  <c r="AE335" s="1"/>
  <c r="AF335" s="1"/>
  <c r="AG335" s="1"/>
  <c r="AH335" s="1"/>
  <c r="AI335" s="1"/>
  <c r="AJ335" s="1"/>
  <c r="AK335" s="1"/>
  <c r="AL335"/>
  <c r="AM335" s="1"/>
  <c r="AN335" s="1"/>
  <c r="AO335" s="1"/>
  <c r="AP335" s="1"/>
  <c r="AQ335" s="1"/>
  <c r="AB336"/>
  <c r="AC336" s="1"/>
  <c r="AD336"/>
  <c r="AE336" s="1"/>
  <c r="AF336" s="1"/>
  <c r="AG336" s="1"/>
  <c r="AH336" s="1"/>
  <c r="AI336" s="1"/>
  <c r="AJ336" s="1"/>
  <c r="AK336" s="1"/>
  <c r="AL336" s="1"/>
  <c r="AM336" s="1"/>
  <c r="AN336" s="1"/>
  <c r="AO336" s="1"/>
  <c r="AP336" s="1"/>
  <c r="AQ336" s="1"/>
  <c r="AR336" s="1"/>
  <c r="AS336" s="1"/>
  <c r="AT336" s="1"/>
  <c r="AB337"/>
  <c r="AC337" s="1"/>
  <c r="AD337" s="1"/>
  <c r="AE337" s="1"/>
  <c r="AF337" s="1"/>
  <c r="AG337" s="1"/>
  <c r="AH337"/>
  <c r="AI337" s="1"/>
  <c r="AJ337" s="1"/>
  <c r="AK337" s="1"/>
  <c r="AL337" s="1"/>
  <c r="AM337" s="1"/>
  <c r="AN337" s="1"/>
  <c r="AO337" s="1"/>
  <c r="AP337" s="1"/>
  <c r="AQ337" s="1"/>
  <c r="AB338"/>
  <c r="AC338" s="1"/>
  <c r="AD338" s="1"/>
  <c r="AE338" s="1"/>
  <c r="AF338" s="1"/>
  <c r="AG338" s="1"/>
  <c r="AH338" s="1"/>
  <c r="AI338" s="1"/>
  <c r="AJ338" s="1"/>
  <c r="AK338" s="1"/>
  <c r="AL338" s="1"/>
  <c r="AM338" s="1"/>
  <c r="AN338" s="1"/>
  <c r="AO338" s="1"/>
  <c r="AP338" s="1"/>
  <c r="AQ338" s="1"/>
  <c r="AB339"/>
  <c r="AC339" s="1"/>
  <c r="AD339" s="1"/>
  <c r="AE339" s="1"/>
  <c r="AF339" s="1"/>
  <c r="AG339" s="1"/>
  <c r="AH339" s="1"/>
  <c r="AI339" s="1"/>
  <c r="AJ339" s="1"/>
  <c r="AK339" s="1"/>
  <c r="AL339" s="1"/>
  <c r="AM339" s="1"/>
  <c r="AN339" s="1"/>
  <c r="AO339" s="1"/>
  <c r="AP339" s="1"/>
  <c r="AQ339" s="1"/>
  <c r="AB340"/>
  <c r="AC340" s="1"/>
  <c r="AD340"/>
  <c r="AE340" s="1"/>
  <c r="AF340" s="1"/>
  <c r="AG340" s="1"/>
  <c r="AH340" s="1"/>
  <c r="AI340" s="1"/>
  <c r="AJ340" s="1"/>
  <c r="AK340" s="1"/>
  <c r="AL340" s="1"/>
  <c r="AM340" s="1"/>
  <c r="AN340" s="1"/>
  <c r="AO340" s="1"/>
  <c r="AP340" s="1"/>
  <c r="AQ340" s="1"/>
  <c r="AR340" s="1"/>
  <c r="AS340" s="1"/>
  <c r="AT340" s="1"/>
  <c r="AA340"/>
  <c r="Y340" s="1"/>
  <c r="AB341"/>
  <c r="AC341" s="1"/>
  <c r="AD341" s="1"/>
  <c r="AE341" s="1"/>
  <c r="AF341" s="1"/>
  <c r="AG341" s="1"/>
  <c r="AH341"/>
  <c r="AI341" s="1"/>
  <c r="AJ341" s="1"/>
  <c r="AK341" s="1"/>
  <c r="AL341" s="1"/>
  <c r="AM341" s="1"/>
  <c r="AN341" s="1"/>
  <c r="AO341" s="1"/>
  <c r="AP341" s="1"/>
  <c r="AQ341" s="1"/>
  <c r="AB342"/>
  <c r="AC342" s="1"/>
  <c r="AD342" s="1"/>
  <c r="AE342" s="1"/>
  <c r="AF342" s="1"/>
  <c r="AG342" s="1"/>
  <c r="AH342" s="1"/>
  <c r="AI342" s="1"/>
  <c r="AJ342" s="1"/>
  <c r="AK342" s="1"/>
  <c r="AL342" s="1"/>
  <c r="AM342" s="1"/>
  <c r="AN342" s="1"/>
  <c r="AO342" s="1"/>
  <c r="AP342"/>
  <c r="AQ342" s="1"/>
  <c r="AB343"/>
  <c r="AC343" s="1"/>
  <c r="AD343" s="1"/>
  <c r="AE343" s="1"/>
  <c r="AF343" s="1"/>
  <c r="AG343" s="1"/>
  <c r="AH343" s="1"/>
  <c r="AI343" s="1"/>
  <c r="AJ343" s="1"/>
  <c r="AK343" s="1"/>
  <c r="AL343"/>
  <c r="AM343" s="1"/>
  <c r="AN343" s="1"/>
  <c r="AO343" s="1"/>
  <c r="AP343" s="1"/>
  <c r="AQ343" s="1"/>
  <c r="AB344"/>
  <c r="AC344" s="1"/>
  <c r="AD344"/>
  <c r="AE344" s="1"/>
  <c r="AF344" s="1"/>
  <c r="AG344" s="1"/>
  <c r="AH344" s="1"/>
  <c r="AI344" s="1"/>
  <c r="AJ344" s="1"/>
  <c r="AK344" s="1"/>
  <c r="AL344" s="1"/>
  <c r="AM344" s="1"/>
  <c r="AN344" s="1"/>
  <c r="AO344" s="1"/>
  <c r="AP344" s="1"/>
  <c r="AQ344" s="1"/>
  <c r="AR344" s="1"/>
  <c r="AS344" s="1"/>
  <c r="AT344" s="1"/>
  <c r="AB345"/>
  <c r="AC345" s="1"/>
  <c r="AD345" s="1"/>
  <c r="AE345" s="1"/>
  <c r="AF345" s="1"/>
  <c r="AG345" s="1"/>
  <c r="AH345"/>
  <c r="AI345" s="1"/>
  <c r="AJ345" s="1"/>
  <c r="AK345" s="1"/>
  <c r="AL345" s="1"/>
  <c r="AM345" s="1"/>
  <c r="AN345" s="1"/>
  <c r="AO345" s="1"/>
  <c r="AP345" s="1"/>
  <c r="AQ345" s="1"/>
  <c r="AB346"/>
  <c r="AC346" s="1"/>
  <c r="AD346" s="1"/>
  <c r="AE346" s="1"/>
  <c r="AF346" s="1"/>
  <c r="AG346" s="1"/>
  <c r="AH346" s="1"/>
  <c r="AI346" s="1"/>
  <c r="AJ346" s="1"/>
  <c r="AK346" s="1"/>
  <c r="AL346" s="1"/>
  <c r="AM346" s="1"/>
  <c r="AN346" s="1"/>
  <c r="AO346" s="1"/>
  <c r="AP346" s="1"/>
  <c r="AQ346" s="1"/>
  <c r="AB347"/>
  <c r="AC347" s="1"/>
  <c r="AD347" s="1"/>
  <c r="AE347" s="1"/>
  <c r="AF347" s="1"/>
  <c r="AG347" s="1"/>
  <c r="AH347" s="1"/>
  <c r="AI347" s="1"/>
  <c r="AJ347" s="1"/>
  <c r="AK347" s="1"/>
  <c r="AL347" s="1"/>
  <c r="AM347" s="1"/>
  <c r="AN347" s="1"/>
  <c r="AO347" s="1"/>
  <c r="AP347" s="1"/>
  <c r="AQ347" s="1"/>
  <c r="AB348"/>
  <c r="AC348" s="1"/>
  <c r="AD348"/>
  <c r="AE348" s="1"/>
  <c r="AF348" s="1"/>
  <c r="AG348" s="1"/>
  <c r="AH348" s="1"/>
  <c r="AI348" s="1"/>
  <c r="AJ348" s="1"/>
  <c r="AK348" s="1"/>
  <c r="AL348" s="1"/>
  <c r="AM348" s="1"/>
  <c r="AN348" s="1"/>
  <c r="AO348" s="1"/>
  <c r="AP348" s="1"/>
  <c r="AQ348" s="1"/>
  <c r="AR348" s="1"/>
  <c r="AS348" s="1"/>
  <c r="AT348" s="1"/>
  <c r="AA348"/>
  <c r="Y348" s="1"/>
  <c r="AB349"/>
  <c r="AC349" s="1"/>
  <c r="AD349" s="1"/>
  <c r="AE349" s="1"/>
  <c r="AF349" s="1"/>
  <c r="AG349" s="1"/>
  <c r="AH349"/>
  <c r="AI349" s="1"/>
  <c r="AJ349" s="1"/>
  <c r="AK349" s="1"/>
  <c r="AL349" s="1"/>
  <c r="AM349" s="1"/>
  <c r="AN349" s="1"/>
  <c r="AO349" s="1"/>
  <c r="AP349" s="1"/>
  <c r="AQ349" s="1"/>
  <c r="AB350"/>
  <c r="AC350" s="1"/>
  <c r="AD350" s="1"/>
  <c r="AE350" s="1"/>
  <c r="AF350" s="1"/>
  <c r="AG350" s="1"/>
  <c r="AH350" s="1"/>
  <c r="AI350" s="1"/>
  <c r="AJ350" s="1"/>
  <c r="AK350" s="1"/>
  <c r="AL350" s="1"/>
  <c r="AM350" s="1"/>
  <c r="AN350" s="1"/>
  <c r="AO350" s="1"/>
  <c r="AP350"/>
  <c r="AQ350" s="1"/>
  <c r="AB351"/>
  <c r="AC351" s="1"/>
  <c r="AD351" s="1"/>
  <c r="AE351" s="1"/>
  <c r="AF351" s="1"/>
  <c r="AG351" s="1"/>
  <c r="AH351" s="1"/>
  <c r="AI351" s="1"/>
  <c r="AJ351" s="1"/>
  <c r="AK351" s="1"/>
  <c r="AL351"/>
  <c r="AM351" s="1"/>
  <c r="AN351" s="1"/>
  <c r="AO351" s="1"/>
  <c r="AP351" s="1"/>
  <c r="AQ351" s="1"/>
  <c r="AB352"/>
  <c r="AC352" s="1"/>
  <c r="AD352"/>
  <c r="AE352" s="1"/>
  <c r="AF352" s="1"/>
  <c r="AG352" s="1"/>
  <c r="AH352" s="1"/>
  <c r="AI352" s="1"/>
  <c r="AJ352" s="1"/>
  <c r="AK352" s="1"/>
  <c r="AL352" s="1"/>
  <c r="AM352" s="1"/>
  <c r="AN352" s="1"/>
  <c r="AO352" s="1"/>
  <c r="AP352" s="1"/>
  <c r="AQ352" s="1"/>
  <c r="AR352" s="1"/>
  <c r="AS352" s="1"/>
  <c r="AT352" s="1"/>
  <c r="AB353"/>
  <c r="AC353" s="1"/>
  <c r="AD353" s="1"/>
  <c r="AE353" s="1"/>
  <c r="AF353" s="1"/>
  <c r="AG353" s="1"/>
  <c r="AH353"/>
  <c r="AI353" s="1"/>
  <c r="AJ353" s="1"/>
  <c r="AK353" s="1"/>
  <c r="AL353" s="1"/>
  <c r="AM353" s="1"/>
  <c r="AN353" s="1"/>
  <c r="AO353" s="1"/>
  <c r="AP353" s="1"/>
  <c r="AQ353" s="1"/>
  <c r="AB354"/>
  <c r="AC354" s="1"/>
  <c r="AD354" s="1"/>
  <c r="AE354" s="1"/>
  <c r="AF354" s="1"/>
  <c r="AG354" s="1"/>
  <c r="AH354" s="1"/>
  <c r="AI354" s="1"/>
  <c r="AJ354" s="1"/>
  <c r="AK354" s="1"/>
  <c r="AL354" s="1"/>
  <c r="AM354" s="1"/>
  <c r="AN354" s="1"/>
  <c r="AO354" s="1"/>
  <c r="AP354" s="1"/>
  <c r="AQ354" s="1"/>
  <c r="AB355"/>
  <c r="AC355" s="1"/>
  <c r="AD355" s="1"/>
  <c r="AE355" s="1"/>
  <c r="AF355" s="1"/>
  <c r="AG355" s="1"/>
  <c r="AH355" s="1"/>
  <c r="AI355" s="1"/>
  <c r="AJ355" s="1"/>
  <c r="AK355" s="1"/>
  <c r="AL355" s="1"/>
  <c r="AM355" s="1"/>
  <c r="AN355" s="1"/>
  <c r="AO355" s="1"/>
  <c r="AP355" s="1"/>
  <c r="AQ355" s="1"/>
  <c r="AB356"/>
  <c r="AC356" s="1"/>
  <c r="AD356"/>
  <c r="AE356" s="1"/>
  <c r="AF356" s="1"/>
  <c r="AG356" s="1"/>
  <c r="AH356" s="1"/>
  <c r="AI356" s="1"/>
  <c r="AJ356" s="1"/>
  <c r="AK356" s="1"/>
  <c r="AL356" s="1"/>
  <c r="AM356" s="1"/>
  <c r="AN356" s="1"/>
  <c r="AO356" s="1"/>
  <c r="AP356" s="1"/>
  <c r="AQ356" s="1"/>
  <c r="AR356" s="1"/>
  <c r="AS356" s="1"/>
  <c r="AT356" s="1"/>
  <c r="AA356"/>
  <c r="Y356" s="1"/>
  <c r="AB357"/>
  <c r="AC357" s="1"/>
  <c r="AD357" s="1"/>
  <c r="AE357" s="1"/>
  <c r="AF357" s="1"/>
  <c r="AG357" s="1"/>
  <c r="AH357"/>
  <c r="AI357" s="1"/>
  <c r="AJ357" s="1"/>
  <c r="AK357" s="1"/>
  <c r="AL357" s="1"/>
  <c r="AM357" s="1"/>
  <c r="AN357" s="1"/>
  <c r="AO357" s="1"/>
  <c r="AP357" s="1"/>
  <c r="AQ357" s="1"/>
  <c r="AB359"/>
  <c r="AC359" s="1"/>
  <c r="AD359" s="1"/>
  <c r="AE359" s="1"/>
  <c r="AF359" s="1"/>
  <c r="AG359" s="1"/>
  <c r="AH359" s="1"/>
  <c r="AI359" s="1"/>
  <c r="AJ359" s="1"/>
  <c r="AK359" s="1"/>
  <c r="AL359" s="1"/>
  <c r="AM359" s="1"/>
  <c r="AN359" s="1"/>
  <c r="AO359" s="1"/>
  <c r="AP359"/>
  <c r="AQ359" s="1"/>
  <c r="AB360"/>
  <c r="AC360" s="1"/>
  <c r="AD360" s="1"/>
  <c r="AE360" s="1"/>
  <c r="AF360" s="1"/>
  <c r="AG360" s="1"/>
  <c r="AH360" s="1"/>
  <c r="AI360" s="1"/>
  <c r="AJ360" s="1"/>
  <c r="AK360" s="1"/>
  <c r="AL360"/>
  <c r="AM360" s="1"/>
  <c r="AN360" s="1"/>
  <c r="AO360" s="1"/>
  <c r="AP360" s="1"/>
  <c r="AQ360" s="1"/>
  <c r="AB361"/>
  <c r="AC361" s="1"/>
  <c r="AD361"/>
  <c r="AE361" s="1"/>
  <c r="AF361" s="1"/>
  <c r="AG361" s="1"/>
  <c r="AH361" s="1"/>
  <c r="AI361" s="1"/>
  <c r="AJ361" s="1"/>
  <c r="AK361" s="1"/>
  <c r="AL361" s="1"/>
  <c r="AM361" s="1"/>
  <c r="AN361" s="1"/>
  <c r="AO361" s="1"/>
  <c r="AP361" s="1"/>
  <c r="AQ361" s="1"/>
  <c r="AR361" s="1"/>
  <c r="AS361" s="1"/>
  <c r="AT361" s="1"/>
  <c r="AB362"/>
  <c r="AC362" s="1"/>
  <c r="AD362" s="1"/>
  <c r="AE362" s="1"/>
  <c r="AF362" s="1"/>
  <c r="AG362" s="1"/>
  <c r="AH362"/>
  <c r="AI362" s="1"/>
  <c r="AJ362" s="1"/>
  <c r="AK362" s="1"/>
  <c r="AL362" s="1"/>
  <c r="AM362" s="1"/>
  <c r="AN362" s="1"/>
  <c r="AO362" s="1"/>
  <c r="AP362" s="1"/>
  <c r="AQ362" s="1"/>
  <c r="AB363"/>
  <c r="AC363" s="1"/>
  <c r="AD363" s="1"/>
  <c r="AE363" s="1"/>
  <c r="AF363" s="1"/>
  <c r="AG363" s="1"/>
  <c r="AH363" s="1"/>
  <c r="AI363" s="1"/>
  <c r="AJ363" s="1"/>
  <c r="AK363" s="1"/>
  <c r="AL363" s="1"/>
  <c r="AM363" s="1"/>
  <c r="AN363" s="1"/>
  <c r="AO363" s="1"/>
  <c r="AP363" s="1"/>
  <c r="AQ363" s="1"/>
  <c r="AB364"/>
  <c r="AC364" s="1"/>
  <c r="AD364" s="1"/>
  <c r="AE364" s="1"/>
  <c r="AF364" s="1"/>
  <c r="AG364" s="1"/>
  <c r="AH364" s="1"/>
  <c r="AI364" s="1"/>
  <c r="AJ364" s="1"/>
  <c r="AK364" s="1"/>
  <c r="AL364" s="1"/>
  <c r="AM364" s="1"/>
  <c r="AN364" s="1"/>
  <c r="AO364" s="1"/>
  <c r="AP364" s="1"/>
  <c r="AQ364" s="1"/>
  <c r="AB365"/>
  <c r="AC365" s="1"/>
  <c r="AD365"/>
  <c r="AE365" s="1"/>
  <c r="AF365" s="1"/>
  <c r="AG365" s="1"/>
  <c r="AH365" s="1"/>
  <c r="AI365" s="1"/>
  <c r="AJ365" s="1"/>
  <c r="AK365" s="1"/>
  <c r="AL365" s="1"/>
  <c r="AM365" s="1"/>
  <c r="AN365" s="1"/>
  <c r="AO365" s="1"/>
  <c r="AP365" s="1"/>
  <c r="AQ365" s="1"/>
  <c r="AR365" s="1"/>
  <c r="AS365" s="1"/>
  <c r="AT365" s="1"/>
  <c r="AA365"/>
  <c r="Y365" s="1"/>
  <c r="AB366"/>
  <c r="AC366" s="1"/>
  <c r="AD366" s="1"/>
  <c r="AE366" s="1"/>
  <c r="AF366" s="1"/>
  <c r="AG366" s="1"/>
  <c r="AH366"/>
  <c r="AI366" s="1"/>
  <c r="AJ366" s="1"/>
  <c r="AK366" s="1"/>
  <c r="AL366" s="1"/>
  <c r="AM366" s="1"/>
  <c r="AN366" s="1"/>
  <c r="AO366" s="1"/>
  <c r="AP366" s="1"/>
  <c r="AQ366" s="1"/>
  <c r="AB367"/>
  <c r="AC367" s="1"/>
  <c r="AD367" s="1"/>
  <c r="AE367" s="1"/>
  <c r="AF367" s="1"/>
  <c r="AG367" s="1"/>
  <c r="AH367" s="1"/>
  <c r="AI367" s="1"/>
  <c r="AJ367" s="1"/>
  <c r="AK367" s="1"/>
  <c r="AL367" s="1"/>
  <c r="AM367" s="1"/>
  <c r="AN367" s="1"/>
  <c r="AO367" s="1"/>
  <c r="AP367"/>
  <c r="AQ367" s="1"/>
  <c r="AB368"/>
  <c r="AC368" s="1"/>
  <c r="AD368" s="1"/>
  <c r="AE368" s="1"/>
  <c r="AF368" s="1"/>
  <c r="AG368" s="1"/>
  <c r="AH368" s="1"/>
  <c r="AI368" s="1"/>
  <c r="AJ368" s="1"/>
  <c r="AK368" s="1"/>
  <c r="AL368"/>
  <c r="AM368" s="1"/>
  <c r="AN368" s="1"/>
  <c r="AO368" s="1"/>
  <c r="AP368" s="1"/>
  <c r="AQ368" s="1"/>
  <c r="AB369"/>
  <c r="AC369" s="1"/>
  <c r="AD369"/>
  <c r="AE369" s="1"/>
  <c r="AF369" s="1"/>
  <c r="AG369" s="1"/>
  <c r="AH369" s="1"/>
  <c r="AI369" s="1"/>
  <c r="AJ369" s="1"/>
  <c r="AK369" s="1"/>
  <c r="AL369" s="1"/>
  <c r="AM369" s="1"/>
  <c r="AN369" s="1"/>
  <c r="AO369" s="1"/>
  <c r="AP369" s="1"/>
  <c r="AQ369" s="1"/>
  <c r="AR369" s="1"/>
  <c r="AS369" s="1"/>
  <c r="AT369" s="1"/>
  <c r="AB380"/>
  <c r="AC380" s="1"/>
  <c r="AD380" s="1"/>
  <c r="AE380" s="1"/>
  <c r="AF380" s="1"/>
  <c r="AG380" s="1"/>
  <c r="AH380"/>
  <c r="AI380" s="1"/>
  <c r="AJ380" s="1"/>
  <c r="AK380" s="1"/>
  <c r="AL380" s="1"/>
  <c r="AM380" s="1"/>
  <c r="AN380" s="1"/>
  <c r="AO380" s="1"/>
  <c r="AP380" s="1"/>
  <c r="AQ380" s="1"/>
  <c r="AB381"/>
  <c r="AC381" s="1"/>
  <c r="AD381" s="1"/>
  <c r="AE381" s="1"/>
  <c r="AF381" s="1"/>
  <c r="AG381" s="1"/>
  <c r="AH381" s="1"/>
  <c r="AI381" s="1"/>
  <c r="AJ381" s="1"/>
  <c r="AK381" s="1"/>
  <c r="AL381" s="1"/>
  <c r="AM381" s="1"/>
  <c r="AN381" s="1"/>
  <c r="AO381" s="1"/>
  <c r="AP381" s="1"/>
  <c r="AQ381" s="1"/>
  <c r="AB382"/>
  <c r="AC382" s="1"/>
  <c r="AD382" s="1"/>
  <c r="AE382" s="1"/>
  <c r="AF382" s="1"/>
  <c r="AG382" s="1"/>
  <c r="AH382" s="1"/>
  <c r="AI382" s="1"/>
  <c r="AJ382" s="1"/>
  <c r="AK382" s="1"/>
  <c r="AL382" s="1"/>
  <c r="AM382" s="1"/>
  <c r="AN382" s="1"/>
  <c r="AO382" s="1"/>
  <c r="AP382" s="1"/>
  <c r="AQ382" s="1"/>
  <c r="AB393"/>
  <c r="AC393" s="1"/>
  <c r="AD393"/>
  <c r="AE393" s="1"/>
  <c r="AF393" s="1"/>
  <c r="AG393" s="1"/>
  <c r="AH393" s="1"/>
  <c r="AI393" s="1"/>
  <c r="AJ393" s="1"/>
  <c r="AK393" s="1"/>
  <c r="AL393" s="1"/>
  <c r="AM393" s="1"/>
  <c r="AN393" s="1"/>
  <c r="AO393" s="1"/>
  <c r="AP393" s="1"/>
  <c r="AQ393" s="1"/>
  <c r="AR393" s="1"/>
  <c r="AS393" s="1"/>
  <c r="AT393" s="1"/>
  <c r="AA393"/>
  <c r="Y393" s="1"/>
  <c r="AB394"/>
  <c r="AC394" s="1"/>
  <c r="AD394" s="1"/>
  <c r="AE394" s="1"/>
  <c r="AF394" s="1"/>
  <c r="AG394" s="1"/>
  <c r="AH394"/>
  <c r="AI394" s="1"/>
  <c r="AJ394" s="1"/>
  <c r="AK394" s="1"/>
  <c r="AL394" s="1"/>
  <c r="AM394" s="1"/>
  <c r="AN394" s="1"/>
  <c r="AO394" s="1"/>
  <c r="AP394" s="1"/>
  <c r="AQ394" s="1"/>
  <c r="AB396"/>
  <c r="AC396" s="1"/>
  <c r="AD396" s="1"/>
  <c r="AE396" s="1"/>
  <c r="AF396" s="1"/>
  <c r="AG396" s="1"/>
  <c r="AH396" s="1"/>
  <c r="AI396" s="1"/>
  <c r="AJ396" s="1"/>
  <c r="AK396" s="1"/>
  <c r="AL396" s="1"/>
  <c r="AM396" s="1"/>
  <c r="AN396" s="1"/>
  <c r="AO396" s="1"/>
  <c r="AP396"/>
  <c r="AQ396" s="1"/>
  <c r="AB397"/>
  <c r="AC397" s="1"/>
  <c r="AD397" s="1"/>
  <c r="AE397" s="1"/>
  <c r="AF397" s="1"/>
  <c r="AG397" s="1"/>
  <c r="AH397" s="1"/>
  <c r="AI397" s="1"/>
  <c r="AJ397" s="1"/>
  <c r="AK397" s="1"/>
  <c r="AL397"/>
  <c r="AM397" s="1"/>
  <c r="AN397" s="1"/>
  <c r="AO397" s="1"/>
  <c r="AP397" s="1"/>
  <c r="AQ397" s="1"/>
  <c r="AB400"/>
  <c r="AC400" s="1"/>
  <c r="AD400"/>
  <c r="AE400" s="1"/>
  <c r="AF400" s="1"/>
  <c r="AG400" s="1"/>
  <c r="AH400" s="1"/>
  <c r="AI400" s="1"/>
  <c r="AJ400" s="1"/>
  <c r="AK400" s="1"/>
  <c r="AL400" s="1"/>
  <c r="AM400" s="1"/>
  <c r="AN400" s="1"/>
  <c r="AO400" s="1"/>
  <c r="AP400" s="1"/>
  <c r="AQ400" s="1"/>
  <c r="AR400" s="1"/>
  <c r="AS400" s="1"/>
  <c r="AT400" s="1"/>
  <c r="AB402"/>
  <c r="AC402" s="1"/>
  <c r="AD402" s="1"/>
  <c r="AE402" s="1"/>
  <c r="AF402" s="1"/>
  <c r="AG402" s="1"/>
  <c r="AH402"/>
  <c r="AI402" s="1"/>
  <c r="AJ402" s="1"/>
  <c r="AK402" s="1"/>
  <c r="AL402" s="1"/>
  <c r="AM402" s="1"/>
  <c r="AN402" s="1"/>
  <c r="AO402" s="1"/>
  <c r="AP402" s="1"/>
  <c r="AQ402" s="1"/>
  <c r="AB403"/>
  <c r="AC403" s="1"/>
  <c r="AD403" s="1"/>
  <c r="AE403" s="1"/>
  <c r="AF403" s="1"/>
  <c r="AG403" s="1"/>
  <c r="AH403" s="1"/>
  <c r="AI403" s="1"/>
  <c r="AJ403" s="1"/>
  <c r="AK403" s="1"/>
  <c r="AL403" s="1"/>
  <c r="AM403" s="1"/>
  <c r="AN403" s="1"/>
  <c r="AO403" s="1"/>
  <c r="AP403" s="1"/>
  <c r="AQ403" s="1"/>
  <c r="AB404"/>
  <c r="AC404" s="1"/>
  <c r="AD404" s="1"/>
  <c r="AE404" s="1"/>
  <c r="AF404" s="1"/>
  <c r="AG404" s="1"/>
  <c r="AH404" s="1"/>
  <c r="AI404" s="1"/>
  <c r="AJ404" s="1"/>
  <c r="AK404" s="1"/>
  <c r="AL404" s="1"/>
  <c r="AM404" s="1"/>
  <c r="AN404" s="1"/>
  <c r="AO404" s="1"/>
  <c r="AP404" s="1"/>
  <c r="AQ404" s="1"/>
  <c r="AB405"/>
  <c r="AC405" s="1"/>
  <c r="AD405"/>
  <c r="AE405" s="1"/>
  <c r="AF405" s="1"/>
  <c r="AG405" s="1"/>
  <c r="AH405" s="1"/>
  <c r="AI405" s="1"/>
  <c r="AJ405" s="1"/>
  <c r="AK405" s="1"/>
  <c r="AL405" s="1"/>
  <c r="AM405" s="1"/>
  <c r="AN405" s="1"/>
  <c r="AO405" s="1"/>
  <c r="AP405" s="1"/>
  <c r="AQ405" s="1"/>
  <c r="AR405" s="1"/>
  <c r="AS405" s="1"/>
  <c r="AT405" s="1"/>
  <c r="AA405"/>
  <c r="Y405" s="1"/>
  <c r="AB406"/>
  <c r="AC406" s="1"/>
  <c r="AD406" s="1"/>
  <c r="AE406" s="1"/>
  <c r="AF406" s="1"/>
  <c r="AG406" s="1"/>
  <c r="AH406"/>
  <c r="AI406" s="1"/>
  <c r="AJ406" s="1"/>
  <c r="AK406" s="1"/>
  <c r="AL406" s="1"/>
  <c r="AM406" s="1"/>
  <c r="AN406" s="1"/>
  <c r="AO406" s="1"/>
  <c r="AP406" s="1"/>
  <c r="AQ406" s="1"/>
  <c r="AB407"/>
  <c r="AC407" s="1"/>
  <c r="AD407" s="1"/>
  <c r="AE407" s="1"/>
  <c r="AF407" s="1"/>
  <c r="AG407" s="1"/>
  <c r="AH407" s="1"/>
  <c r="AI407" s="1"/>
  <c r="AJ407" s="1"/>
  <c r="AK407" s="1"/>
  <c r="AL407" s="1"/>
  <c r="AM407" s="1"/>
  <c r="AN407" s="1"/>
  <c r="AO407" s="1"/>
  <c r="AP407"/>
  <c r="AQ407" s="1"/>
  <c r="AB410"/>
  <c r="AC410" s="1"/>
  <c r="AD410" s="1"/>
  <c r="AE410" s="1"/>
  <c r="AF410" s="1"/>
  <c r="AG410" s="1"/>
  <c r="AH410" s="1"/>
  <c r="AI410" s="1"/>
  <c r="AJ410" s="1"/>
  <c r="AK410" s="1"/>
  <c r="AL410"/>
  <c r="AM410" s="1"/>
  <c r="AN410" s="1"/>
  <c r="AO410" s="1"/>
  <c r="AP410" s="1"/>
  <c r="AQ410" s="1"/>
  <c r="AB416"/>
  <c r="AC416" s="1"/>
  <c r="AD416"/>
  <c r="AE416" s="1"/>
  <c r="AF416" s="1"/>
  <c r="AG416" s="1"/>
  <c r="AH416" s="1"/>
  <c r="AI416" s="1"/>
  <c r="AJ416" s="1"/>
  <c r="AK416" s="1"/>
  <c r="AL416" s="1"/>
  <c r="AM416" s="1"/>
  <c r="AN416" s="1"/>
  <c r="AO416" s="1"/>
  <c r="AP416" s="1"/>
  <c r="AQ416" s="1"/>
  <c r="AR416" s="1"/>
  <c r="AS416" s="1"/>
  <c r="AT416" s="1"/>
  <c r="AB505"/>
  <c r="AC505" s="1"/>
  <c r="AD505" s="1"/>
  <c r="AE505" s="1"/>
  <c r="AF505" s="1"/>
  <c r="AG505" s="1"/>
  <c r="AH505"/>
  <c r="AI505" s="1"/>
  <c r="AJ505" s="1"/>
  <c r="AK505" s="1"/>
  <c r="AL505" s="1"/>
  <c r="AM505" s="1"/>
  <c r="AN505" s="1"/>
  <c r="AO505" s="1"/>
  <c r="AP505" s="1"/>
  <c r="AQ505" s="1"/>
  <c r="AB510"/>
  <c r="AC510" s="1"/>
  <c r="AD510" s="1"/>
  <c r="AE510" s="1"/>
  <c r="AF510" s="1"/>
  <c r="AG510" s="1"/>
  <c r="AH510" s="1"/>
  <c r="AI510" s="1"/>
  <c r="AJ510" s="1"/>
  <c r="AK510" s="1"/>
  <c r="AL510" s="1"/>
  <c r="AM510" s="1"/>
  <c r="AN510" s="1"/>
  <c r="AO510" s="1"/>
  <c r="AP510" s="1"/>
  <c r="AQ510" s="1"/>
  <c r="AB511"/>
  <c r="AC511" s="1"/>
  <c r="AD511" s="1"/>
  <c r="AE511" s="1"/>
  <c r="AF511" s="1"/>
  <c r="AG511" s="1"/>
  <c r="AH511" s="1"/>
  <c r="AI511" s="1"/>
  <c r="AJ511" s="1"/>
  <c r="AK511" s="1"/>
  <c r="AL511" s="1"/>
  <c r="AM511" s="1"/>
  <c r="AN511" s="1"/>
  <c r="AO511" s="1"/>
  <c r="AP511" s="1"/>
  <c r="AQ511" s="1"/>
  <c r="AB512"/>
  <c r="AC512" s="1"/>
  <c r="AD512"/>
  <c r="AE512" s="1"/>
  <c r="AF512" s="1"/>
  <c r="AG512" s="1"/>
  <c r="AH512" s="1"/>
  <c r="AI512" s="1"/>
  <c r="AJ512" s="1"/>
  <c r="AK512" s="1"/>
  <c r="AL512" s="1"/>
  <c r="AM512" s="1"/>
  <c r="AN512" s="1"/>
  <c r="AO512" s="1"/>
  <c r="AP512" s="1"/>
  <c r="AQ512" s="1"/>
  <c r="AR512" s="1"/>
  <c r="AS512" s="1"/>
  <c r="AT512" s="1"/>
  <c r="AA512"/>
  <c r="Y512" s="1"/>
  <c r="AB513"/>
  <c r="AC513" s="1"/>
  <c r="AD513" s="1"/>
  <c r="AE513" s="1"/>
  <c r="AF513" s="1"/>
  <c r="AG513" s="1"/>
  <c r="AH513"/>
  <c r="AI513" s="1"/>
  <c r="AJ513" s="1"/>
  <c r="AK513" s="1"/>
  <c r="AL513" s="1"/>
  <c r="AM513" s="1"/>
  <c r="AN513" s="1"/>
  <c r="AO513" s="1"/>
  <c r="AP513" s="1"/>
  <c r="AQ513" s="1"/>
  <c r="AB514"/>
  <c r="AC514" s="1"/>
  <c r="AD514" s="1"/>
  <c r="AE514" s="1"/>
  <c r="AF514" s="1"/>
  <c r="AG514" s="1"/>
  <c r="AH514" s="1"/>
  <c r="AI514" s="1"/>
  <c r="AJ514" s="1"/>
  <c r="AK514" s="1"/>
  <c r="AL514" s="1"/>
  <c r="AM514" s="1"/>
  <c r="AN514" s="1"/>
  <c r="AO514" s="1"/>
  <c r="AP514"/>
  <c r="AQ514" s="1"/>
  <c r="AB515"/>
  <c r="AC515" s="1"/>
  <c r="AD515" s="1"/>
  <c r="AE515" s="1"/>
  <c r="AF515" s="1"/>
  <c r="AG515" s="1"/>
  <c r="AH515" s="1"/>
  <c r="AI515" s="1"/>
  <c r="AJ515" s="1"/>
  <c r="AK515" s="1"/>
  <c r="AL515"/>
  <c r="AM515" s="1"/>
  <c r="AN515" s="1"/>
  <c r="AO515" s="1"/>
  <c r="AP515" s="1"/>
  <c r="AQ515" s="1"/>
  <c r="AB516"/>
  <c r="AC516" s="1"/>
  <c r="AD516"/>
  <c r="AE516" s="1"/>
  <c r="AF516" s="1"/>
  <c r="AG516" s="1"/>
  <c r="AH516" s="1"/>
  <c r="AI516" s="1"/>
  <c r="AJ516" s="1"/>
  <c r="AK516" s="1"/>
  <c r="AL516" s="1"/>
  <c r="AM516" s="1"/>
  <c r="AN516" s="1"/>
  <c r="AO516" s="1"/>
  <c r="AP516" s="1"/>
  <c r="AQ516" s="1"/>
  <c r="AR516" s="1"/>
  <c r="AS516" s="1"/>
  <c r="AT516" s="1"/>
  <c r="AB517"/>
  <c r="AC517" s="1"/>
  <c r="AD517" s="1"/>
  <c r="AE517" s="1"/>
  <c r="AF517" s="1"/>
  <c r="AG517" s="1"/>
  <c r="AH517"/>
  <c r="AI517" s="1"/>
  <c r="AJ517" s="1"/>
  <c r="AK517" s="1"/>
  <c r="AL517" s="1"/>
  <c r="AM517" s="1"/>
  <c r="AN517" s="1"/>
  <c r="AO517" s="1"/>
  <c r="AP517" s="1"/>
  <c r="AQ517" s="1"/>
  <c r="AB518"/>
  <c r="AC518" s="1"/>
  <c r="AD518" s="1"/>
  <c r="AE518" s="1"/>
  <c r="AF518" s="1"/>
  <c r="AG518" s="1"/>
  <c r="AH518" s="1"/>
  <c r="AI518" s="1"/>
  <c r="AJ518" s="1"/>
  <c r="AK518" s="1"/>
  <c r="AL518" s="1"/>
  <c r="AM518" s="1"/>
  <c r="AN518" s="1"/>
  <c r="AO518" s="1"/>
  <c r="AP518" s="1"/>
  <c r="AQ518" s="1"/>
  <c r="AB519"/>
  <c r="AC519" s="1"/>
  <c r="AD519" s="1"/>
  <c r="AE519" s="1"/>
  <c r="AF519" s="1"/>
  <c r="AG519" s="1"/>
  <c r="AH519" s="1"/>
  <c r="AI519" s="1"/>
  <c r="AJ519" s="1"/>
  <c r="AK519" s="1"/>
  <c r="AL519" s="1"/>
  <c r="AM519" s="1"/>
  <c r="AN519" s="1"/>
  <c r="AO519" s="1"/>
  <c r="AP519" s="1"/>
  <c r="AQ519" s="1"/>
  <c r="AB520"/>
  <c r="AC520" s="1"/>
  <c r="AD520"/>
  <c r="AE520" s="1"/>
  <c r="AF520" s="1"/>
  <c r="AG520" s="1"/>
  <c r="AH520" s="1"/>
  <c r="AI520" s="1"/>
  <c r="AJ520" s="1"/>
  <c r="AK520" s="1"/>
  <c r="AL520" s="1"/>
  <c r="AM520" s="1"/>
  <c r="AN520" s="1"/>
  <c r="AO520" s="1"/>
  <c r="AP520" s="1"/>
  <c r="AQ520" s="1"/>
  <c r="AR520" s="1"/>
  <c r="AS520" s="1"/>
  <c r="AT520" s="1"/>
  <c r="AA520"/>
  <c r="Y520" s="1"/>
  <c r="AB522"/>
  <c r="AC522" s="1"/>
  <c r="AD522" s="1"/>
  <c r="AE522" s="1"/>
  <c r="AF522" s="1"/>
  <c r="AG522" s="1"/>
  <c r="AH522"/>
  <c r="AI522" s="1"/>
  <c r="AJ522" s="1"/>
  <c r="AK522" s="1"/>
  <c r="AL522" s="1"/>
  <c r="AM522" s="1"/>
  <c r="AN522" s="1"/>
  <c r="AO522" s="1"/>
  <c r="AP522" s="1"/>
  <c r="AQ522" s="1"/>
  <c r="AB523"/>
  <c r="AC523" s="1"/>
  <c r="AD523" s="1"/>
  <c r="AE523" s="1"/>
  <c r="AF523" s="1"/>
  <c r="AG523" s="1"/>
  <c r="AH523" s="1"/>
  <c r="AI523" s="1"/>
  <c r="AJ523" s="1"/>
  <c r="AK523" s="1"/>
  <c r="AL523" s="1"/>
  <c r="AM523" s="1"/>
  <c r="AN523" s="1"/>
  <c r="AO523" s="1"/>
  <c r="AP523"/>
  <c r="AQ523" s="1"/>
  <c r="AB533"/>
  <c r="AC533" s="1"/>
  <c r="AD533" s="1"/>
  <c r="AE533" s="1"/>
  <c r="AF533" s="1"/>
  <c r="AG533" s="1"/>
  <c r="AH533" s="1"/>
  <c r="AI533" s="1"/>
  <c r="AJ533" s="1"/>
  <c r="AK533" s="1"/>
  <c r="AL533"/>
  <c r="AM533" s="1"/>
  <c r="AN533" s="1"/>
  <c r="AO533" s="1"/>
  <c r="AP533" s="1"/>
  <c r="AQ533" s="1"/>
  <c r="AT526"/>
  <c r="AB133"/>
  <c r="AC133" s="1"/>
  <c r="AD133" s="1"/>
  <c r="AE133" s="1"/>
  <c r="AF133" s="1"/>
  <c r="AG133" s="1"/>
  <c r="AH133" s="1"/>
  <c r="AI133" s="1"/>
  <c r="AJ133"/>
  <c r="AK133" s="1"/>
  <c r="AL133" s="1"/>
  <c r="AM133" s="1"/>
  <c r="AN133" s="1"/>
  <c r="AO133" s="1"/>
  <c r="AP133" s="1"/>
  <c r="AQ133" s="1"/>
  <c r="I1"/>
  <c r="O97" i="40"/>
  <c r="AA96"/>
  <c r="AB96"/>
  <c r="AC96" s="1"/>
  <c r="AD96" s="1"/>
  <c r="AE96"/>
  <c r="AF96" s="1"/>
  <c r="AG96" s="1"/>
  <c r="AH96" s="1"/>
  <c r="AI96" s="1"/>
  <c r="AJ96" s="1"/>
  <c r="AK96" s="1"/>
  <c r="AL96" s="1"/>
  <c r="AM96" s="1"/>
  <c r="AN96" s="1"/>
  <c r="AO96" s="1"/>
  <c r="AP96" s="1"/>
  <c r="Q80"/>
  <c r="AA82"/>
  <c r="AB82" s="1"/>
  <c r="AC82" s="1"/>
  <c r="AD82" s="1"/>
  <c r="AE82"/>
  <c r="AF82" s="1"/>
  <c r="AG82" s="1"/>
  <c r="AH82" s="1"/>
  <c r="AI82" s="1"/>
  <c r="AJ82" s="1"/>
  <c r="AK82" s="1"/>
  <c r="AL82" s="1"/>
  <c r="AM82" s="1"/>
  <c r="AN82" s="1"/>
  <c r="AO82" s="1"/>
  <c r="AP82" s="1"/>
  <c r="O88"/>
  <c r="C91"/>
  <c r="C92" s="1"/>
  <c r="V84"/>
  <c r="V85"/>
  <c r="D91" s="1"/>
  <c r="V96"/>
  <c r="V80"/>
  <c r="V83"/>
  <c r="V79"/>
  <c r="V82"/>
  <c r="V102"/>
  <c r="V81"/>
  <c r="V86"/>
  <c r="V87"/>
  <c r="V99"/>
  <c r="V94"/>
  <c r="V95"/>
  <c r="V89"/>
  <c r="W107"/>
  <c r="V107"/>
  <c r="AA106"/>
  <c r="AB106" s="1"/>
  <c r="AC106" s="1"/>
  <c r="AD106" s="1"/>
  <c r="AE106"/>
  <c r="AF106" s="1"/>
  <c r="AG106" s="1"/>
  <c r="AH106" s="1"/>
  <c r="AI106" s="1"/>
  <c r="AJ106" s="1"/>
  <c r="AK106" s="1"/>
  <c r="AL106" s="1"/>
  <c r="AM106"/>
  <c r="AN106" s="1"/>
  <c r="AO106" s="1"/>
  <c r="AP106" s="1"/>
  <c r="W106"/>
  <c r="V106"/>
  <c r="AA105"/>
  <c r="AB105" s="1"/>
  <c r="AC105" s="1"/>
  <c r="AD105" s="1"/>
  <c r="AE105" s="1"/>
  <c r="AF105" s="1"/>
  <c r="AG105" s="1"/>
  <c r="AH105"/>
  <c r="AI105" s="1"/>
  <c r="AJ105" s="1"/>
  <c r="AK105" s="1"/>
  <c r="AL105" s="1"/>
  <c r="AM105" s="1"/>
  <c r="AN105" s="1"/>
  <c r="AO105" s="1"/>
  <c r="AP105" s="1"/>
  <c r="W105"/>
  <c r="V105"/>
  <c r="W104"/>
  <c r="V104"/>
  <c r="W103"/>
  <c r="V103"/>
  <c r="W102"/>
  <c r="AA101"/>
  <c r="AB101" s="1"/>
  <c r="AC101" s="1"/>
  <c r="AD101" s="1"/>
  <c r="AE101" s="1"/>
  <c r="AF101" s="1"/>
  <c r="AG101" s="1"/>
  <c r="AH101"/>
  <c r="AI101" s="1"/>
  <c r="AJ101" s="1"/>
  <c r="AK101" s="1"/>
  <c r="AL101" s="1"/>
  <c r="AM101" s="1"/>
  <c r="AN101" s="1"/>
  <c r="AO101" s="1"/>
  <c r="AP101"/>
  <c r="W101"/>
  <c r="V101"/>
  <c r="W100"/>
  <c r="V100"/>
  <c r="W99"/>
  <c r="W98"/>
  <c r="V98"/>
  <c r="AA97"/>
  <c r="AB97" s="1"/>
  <c r="AC97" s="1"/>
  <c r="AD97" s="1"/>
  <c r="AE97"/>
  <c r="AF97" s="1"/>
  <c r="AG97" s="1"/>
  <c r="AH97" s="1"/>
  <c r="AI97" s="1"/>
  <c r="AJ97" s="1"/>
  <c r="AK97" s="1"/>
  <c r="AL97" s="1"/>
  <c r="AM97" s="1"/>
  <c r="AN97" s="1"/>
  <c r="AO97" s="1"/>
  <c r="AP97" s="1"/>
  <c r="W97"/>
  <c r="V97"/>
  <c r="W96"/>
  <c r="W95"/>
  <c r="W94"/>
  <c r="W93"/>
  <c r="V93"/>
  <c r="AA92"/>
  <c r="AB92" s="1"/>
  <c r="AC92" s="1"/>
  <c r="AD92" s="1"/>
  <c r="AE92"/>
  <c r="AF92" s="1"/>
  <c r="AG92" s="1"/>
  <c r="AH92" s="1"/>
  <c r="AI92" s="1"/>
  <c r="AJ92" s="1"/>
  <c r="AK92" s="1"/>
  <c r="AL92" s="1"/>
  <c r="AM92" s="1"/>
  <c r="AN92" s="1"/>
  <c r="AO92" s="1"/>
  <c r="AP92" s="1"/>
  <c r="W92"/>
  <c r="V92"/>
  <c r="AA91"/>
  <c r="AB91" s="1"/>
  <c r="AC91" s="1"/>
  <c r="AD91" s="1"/>
  <c r="AE91" s="1"/>
  <c r="AF91" s="1"/>
  <c r="AG91" s="1"/>
  <c r="AH91" s="1"/>
  <c r="AI91" s="1"/>
  <c r="AJ91" s="1"/>
  <c r="AK91" s="1"/>
  <c r="AL91" s="1"/>
  <c r="AM91" s="1"/>
  <c r="AN91" s="1"/>
  <c r="AO91" s="1"/>
  <c r="AP91" s="1"/>
  <c r="W91"/>
  <c r="V91"/>
  <c r="W90"/>
  <c r="V90"/>
  <c r="W89"/>
  <c r="W88"/>
  <c r="V88"/>
  <c r="W87"/>
  <c r="W86"/>
  <c r="W85"/>
  <c r="W84"/>
  <c r="W83"/>
  <c r="W82"/>
  <c r="W81"/>
  <c r="W80"/>
  <c r="W79"/>
  <c r="T81"/>
  <c r="T80"/>
  <c r="T79"/>
  <c r="I1"/>
  <c r="W1" s="1"/>
  <c r="X1"/>
  <c r="AA117"/>
  <c r="AB117" s="1"/>
  <c r="AC117" s="1"/>
  <c r="AD117" s="1"/>
  <c r="AE117"/>
  <c r="AF117" s="1"/>
  <c r="AG117" s="1"/>
  <c r="AH117" s="1"/>
  <c r="AI117" s="1"/>
  <c r="AJ117" s="1"/>
  <c r="AK117" s="1"/>
  <c r="AL117" s="1"/>
  <c r="AM117" s="1"/>
  <c r="AN117" s="1"/>
  <c r="AO117" s="1"/>
  <c r="AP117" s="1"/>
  <c r="AA438"/>
  <c r="AB438"/>
  <c r="AC438"/>
  <c r="AD438" s="1"/>
  <c r="AE438" s="1"/>
  <c r="AF438" s="1"/>
  <c r="AG438" s="1"/>
  <c r="AH438" s="1"/>
  <c r="AI438"/>
  <c r="AJ438" s="1"/>
  <c r="AK438" s="1"/>
  <c r="AL438" s="1"/>
  <c r="AM438" s="1"/>
  <c r="AN438" s="1"/>
  <c r="AO438" s="1"/>
  <c r="AP438" s="1"/>
  <c r="AA441"/>
  <c r="AB441" s="1"/>
  <c r="AC441"/>
  <c r="AD441" s="1"/>
  <c r="AE441" s="1"/>
  <c r="AF441" s="1"/>
  <c r="AG441" s="1"/>
  <c r="AH441" s="1"/>
  <c r="AI441" s="1"/>
  <c r="AJ441" s="1"/>
  <c r="AK441" s="1"/>
  <c r="AL441" s="1"/>
  <c r="AM441" s="1"/>
  <c r="AN441" s="1"/>
  <c r="AO441" s="1"/>
  <c r="AP441" s="1"/>
  <c r="AA439"/>
  <c r="AB439" s="1"/>
  <c r="AC439" s="1"/>
  <c r="AD439" s="1"/>
  <c r="AE439"/>
  <c r="AF439" s="1"/>
  <c r="AG439" s="1"/>
  <c r="AH439" s="1"/>
  <c r="AI439" s="1"/>
  <c r="AJ439"/>
  <c r="AK439" s="1"/>
  <c r="AL439" s="1"/>
  <c r="AM439" s="1"/>
  <c r="AN439" s="1"/>
  <c r="AO439" s="1"/>
  <c r="AP439" s="1"/>
  <c r="AA440"/>
  <c r="AB440" s="1"/>
  <c r="AC440" s="1"/>
  <c r="AD440" s="1"/>
  <c r="AE440" s="1"/>
  <c r="AF440" s="1"/>
  <c r="AG440" s="1"/>
  <c r="AH440" s="1"/>
  <c r="AI440" s="1"/>
  <c r="AJ440" s="1"/>
  <c r="AK440" s="1"/>
  <c r="AL440" s="1"/>
  <c r="AM440" s="1"/>
  <c r="AN440" s="1"/>
  <c r="AO440" s="1"/>
  <c r="AP440" s="1"/>
  <c r="AA114"/>
  <c r="AB114"/>
  <c r="AC114"/>
  <c r="AD114" s="1"/>
  <c r="AE114" s="1"/>
  <c r="AF114" s="1"/>
  <c r="AG114" s="1"/>
  <c r="AH114" s="1"/>
  <c r="AI114" s="1"/>
  <c r="AJ114" s="1"/>
  <c r="AK114" s="1"/>
  <c r="AL114" s="1"/>
  <c r="AM114" s="1"/>
  <c r="AN114" s="1"/>
  <c r="AO114" s="1"/>
  <c r="AP114" s="1"/>
  <c r="R80"/>
  <c r="AA119"/>
  <c r="AB119"/>
  <c r="AC119"/>
  <c r="AD119" s="1"/>
  <c r="AE119" s="1"/>
  <c r="AF119" s="1"/>
  <c r="AG119" s="1"/>
  <c r="AH119" s="1"/>
  <c r="AI119"/>
  <c r="AJ119" s="1"/>
  <c r="AK119" s="1"/>
  <c r="AL119" s="1"/>
  <c r="AM119" s="1"/>
  <c r="AN119" s="1"/>
  <c r="AO119" s="1"/>
  <c r="AP119" s="1"/>
  <c r="AA121"/>
  <c r="AB121" s="1"/>
  <c r="AC121"/>
  <c r="AD121" s="1"/>
  <c r="AE121" s="1"/>
  <c r="AF121" s="1"/>
  <c r="AG121" s="1"/>
  <c r="AH121"/>
  <c r="AI121" s="1"/>
  <c r="AJ121" s="1"/>
  <c r="AK121" s="1"/>
  <c r="AL121" s="1"/>
  <c r="AM121" s="1"/>
  <c r="AN121" s="1"/>
  <c r="AO121" s="1"/>
  <c r="AP121" s="1"/>
  <c r="R88"/>
  <c r="AA122"/>
  <c r="AB122" s="1"/>
  <c r="AC122"/>
  <c r="AD122"/>
  <c r="AE122" s="1"/>
  <c r="AF122" s="1"/>
  <c r="AG122" s="1"/>
  <c r="AH122" s="1"/>
  <c r="AI122" s="1"/>
  <c r="AJ122" s="1"/>
  <c r="AK122" s="1"/>
  <c r="AL122" s="1"/>
  <c r="AM122" s="1"/>
  <c r="AN122" s="1"/>
  <c r="AO122" s="1"/>
  <c r="AP122" s="1"/>
  <c r="AA123"/>
  <c r="AB123" s="1"/>
  <c r="AC123" s="1"/>
  <c r="AD123" s="1"/>
  <c r="AE123" s="1"/>
  <c r="AF123"/>
  <c r="AG123" s="1"/>
  <c r="AH123" s="1"/>
  <c r="AI123" s="1"/>
  <c r="AJ123" s="1"/>
  <c r="AK123" s="1"/>
  <c r="AL123" s="1"/>
  <c r="AM123" s="1"/>
  <c r="AN123" s="1"/>
  <c r="AO123" s="1"/>
  <c r="AP123" s="1"/>
  <c r="R90"/>
  <c r="AA124"/>
  <c r="AB124" s="1"/>
  <c r="AC124" s="1"/>
  <c r="AD124" s="1"/>
  <c r="AE124" s="1"/>
  <c r="AF124" s="1"/>
  <c r="AG124" s="1"/>
  <c r="AH124" s="1"/>
  <c r="AI124" s="1"/>
  <c r="AJ124" s="1"/>
  <c r="AK124" s="1"/>
  <c r="AL124" s="1"/>
  <c r="AM124" s="1"/>
  <c r="AN124" s="1"/>
  <c r="AO124" s="1"/>
  <c r="AP124" s="1"/>
  <c r="R91"/>
  <c r="AA125"/>
  <c r="AB125"/>
  <c r="AC125" s="1"/>
  <c r="AD125" s="1"/>
  <c r="AE125" s="1"/>
  <c r="AF125" s="1"/>
  <c r="AG125" s="1"/>
  <c r="AH125" s="1"/>
  <c r="AI125" s="1"/>
  <c r="AJ125" s="1"/>
  <c r="AK125" s="1"/>
  <c r="AL125" s="1"/>
  <c r="AM125" s="1"/>
  <c r="AN125" s="1"/>
  <c r="AO125" s="1"/>
  <c r="AP125" s="1"/>
  <c r="R92"/>
  <c r="AA126"/>
  <c r="AB126" s="1"/>
  <c r="AC126" s="1"/>
  <c r="AD126" s="1"/>
  <c r="AE126"/>
  <c r="AF126" s="1"/>
  <c r="AG126" s="1"/>
  <c r="AH126" s="1"/>
  <c r="AI126" s="1"/>
  <c r="AJ126" s="1"/>
  <c r="AK126" s="1"/>
  <c r="AL126" s="1"/>
  <c r="AM126" s="1"/>
  <c r="AN126" s="1"/>
  <c r="AO126" s="1"/>
  <c r="AP126" s="1"/>
  <c r="R93"/>
  <c r="AA127"/>
  <c r="AB127" s="1"/>
  <c r="AC127" s="1"/>
  <c r="AD127" s="1"/>
  <c r="AE127" s="1"/>
  <c r="AF127" s="1"/>
  <c r="AG127" s="1"/>
  <c r="AH127" s="1"/>
  <c r="AI127" s="1"/>
  <c r="AJ127" s="1"/>
  <c r="AK127" s="1"/>
  <c r="AL127" s="1"/>
  <c r="AM127" s="1"/>
  <c r="AN127" s="1"/>
  <c r="AO127" s="1"/>
  <c r="AP127" s="1"/>
  <c r="AA128"/>
  <c r="AB128"/>
  <c r="AC128" s="1"/>
  <c r="AD128" s="1"/>
  <c r="AE128" s="1"/>
  <c r="AF128" s="1"/>
  <c r="AG128"/>
  <c r="AH128" s="1"/>
  <c r="AI128" s="1"/>
  <c r="AJ128" s="1"/>
  <c r="AK128" s="1"/>
  <c r="AL128" s="1"/>
  <c r="AM128" s="1"/>
  <c r="AN128" s="1"/>
  <c r="AO128" s="1"/>
  <c r="AP128" s="1"/>
  <c r="R96"/>
  <c r="R97"/>
  <c r="R98"/>
  <c r="AA133"/>
  <c r="AB133" s="1"/>
  <c r="AC133" s="1"/>
  <c r="AD133" s="1"/>
  <c r="AE133"/>
  <c r="AF133" s="1"/>
  <c r="AG133" s="1"/>
  <c r="AH133" s="1"/>
  <c r="AI133" s="1"/>
  <c r="AJ133" s="1"/>
  <c r="AK133"/>
  <c r="AL133" s="1"/>
  <c r="AM133" s="1"/>
  <c r="AN133" s="1"/>
  <c r="AO133" s="1"/>
  <c r="AP133" s="1"/>
  <c r="R100"/>
  <c r="AA134"/>
  <c r="AB134" s="1"/>
  <c r="AC134"/>
  <c r="AD134" s="1"/>
  <c r="AE134" s="1"/>
  <c r="AF134" s="1"/>
  <c r="AG134" s="1"/>
  <c r="AH134" s="1"/>
  <c r="AI134" s="1"/>
  <c r="AJ134" s="1"/>
  <c r="AK134" s="1"/>
  <c r="AL134" s="1"/>
  <c r="AM134" s="1"/>
  <c r="AN134" s="1"/>
  <c r="AO134" s="1"/>
  <c r="AP134" s="1"/>
  <c r="R101"/>
  <c r="AA135"/>
  <c r="AB135" s="1"/>
  <c r="AC135"/>
  <c r="AD135"/>
  <c r="AE135" s="1"/>
  <c r="AF135" s="1"/>
  <c r="AG135" s="1"/>
  <c r="AH135" s="1"/>
  <c r="AI135"/>
  <c r="AJ135" s="1"/>
  <c r="AK135" s="1"/>
  <c r="AL135" s="1"/>
  <c r="AM135" s="1"/>
  <c r="AN135" s="1"/>
  <c r="AO135" s="1"/>
  <c r="AP135" s="1"/>
  <c r="AA136"/>
  <c r="AB136" s="1"/>
  <c r="AC136" s="1"/>
  <c r="AD136" s="1"/>
  <c r="AE136" s="1"/>
  <c r="AF136" s="1"/>
  <c r="AG136" s="1"/>
  <c r="AH136" s="1"/>
  <c r="AI136" s="1"/>
  <c r="AJ136" s="1"/>
  <c r="AK136" s="1"/>
  <c r="AL136" s="1"/>
  <c r="AM136" s="1"/>
  <c r="AN136" s="1"/>
  <c r="AO136" s="1"/>
  <c r="AP136" s="1"/>
  <c r="R103"/>
  <c r="AA137"/>
  <c r="AB137" s="1"/>
  <c r="AC137" s="1"/>
  <c r="AD137" s="1"/>
  <c r="AE137" s="1"/>
  <c r="AF137"/>
  <c r="AG137" s="1"/>
  <c r="AH137" s="1"/>
  <c r="AI137" s="1"/>
  <c r="AJ137" s="1"/>
  <c r="AK137" s="1"/>
  <c r="AL137" s="1"/>
  <c r="AM137" s="1"/>
  <c r="AN137" s="1"/>
  <c r="AO137" s="1"/>
  <c r="AP137" s="1"/>
  <c r="R104"/>
  <c r="R77"/>
  <c r="D82"/>
  <c r="O101"/>
  <c r="L101" s="1"/>
  <c r="O90"/>
  <c r="O91"/>
  <c r="O92"/>
  <c r="AA146"/>
  <c r="AB146" s="1"/>
  <c r="AC146"/>
  <c r="AD146" s="1"/>
  <c r="AE146" s="1"/>
  <c r="AF146" s="1"/>
  <c r="AG146" s="1"/>
  <c r="AH146"/>
  <c r="AI146" s="1"/>
  <c r="AJ146" s="1"/>
  <c r="AK146" s="1"/>
  <c r="AL146" s="1"/>
  <c r="AM146" s="1"/>
  <c r="AN146" s="1"/>
  <c r="AO146" s="1"/>
  <c r="AP146" s="1"/>
  <c r="AA147"/>
  <c r="AB147" s="1"/>
  <c r="AC147"/>
  <c r="AD147" s="1"/>
  <c r="AE147" s="1"/>
  <c r="AF147" s="1"/>
  <c r="AG147" s="1"/>
  <c r="AH147" s="1"/>
  <c r="AI147" s="1"/>
  <c r="AJ147" s="1"/>
  <c r="AK147" s="1"/>
  <c r="AL147" s="1"/>
  <c r="AM147" s="1"/>
  <c r="AN147" s="1"/>
  <c r="AO147" s="1"/>
  <c r="AP147" s="1"/>
  <c r="AA148"/>
  <c r="AB148" s="1"/>
  <c r="AC148" s="1"/>
  <c r="AD148" s="1"/>
  <c r="AE148" s="1"/>
  <c r="AF148" s="1"/>
  <c r="AG148" s="1"/>
  <c r="AH148" s="1"/>
  <c r="AI148" s="1"/>
  <c r="AJ148" s="1"/>
  <c r="AK148" s="1"/>
  <c r="AL148" s="1"/>
  <c r="AM148" s="1"/>
  <c r="AN148" s="1"/>
  <c r="AO148" s="1"/>
  <c r="AP148" s="1"/>
  <c r="AA149"/>
  <c r="AB149" s="1"/>
  <c r="AC149" s="1"/>
  <c r="AD149" s="1"/>
  <c r="AE149" s="1"/>
  <c r="AF149" s="1"/>
  <c r="AG149" s="1"/>
  <c r="AH149" s="1"/>
  <c r="AI149" s="1"/>
  <c r="AJ149" s="1"/>
  <c r="AK149" s="1"/>
  <c r="AL149" s="1"/>
  <c r="AM149" s="1"/>
  <c r="AN149" s="1"/>
  <c r="AO149" s="1"/>
  <c r="AP149" s="1"/>
  <c r="AA150"/>
  <c r="AB150" s="1"/>
  <c r="AC150"/>
  <c r="AD150" s="1"/>
  <c r="AE150" s="1"/>
  <c r="AF150" s="1"/>
  <c r="AG150" s="1"/>
  <c r="AH150"/>
  <c r="AI150" s="1"/>
  <c r="AJ150" s="1"/>
  <c r="AK150" s="1"/>
  <c r="AL150" s="1"/>
  <c r="AM150" s="1"/>
  <c r="AN150" s="1"/>
  <c r="AO150" s="1"/>
  <c r="AP150" s="1"/>
  <c r="AA151"/>
  <c r="AB151" s="1"/>
  <c r="AC151"/>
  <c r="AD151" s="1"/>
  <c r="AE151" s="1"/>
  <c r="AF151" s="1"/>
  <c r="AG151" s="1"/>
  <c r="AH151" s="1"/>
  <c r="AI151" s="1"/>
  <c r="AJ151" s="1"/>
  <c r="AK151" s="1"/>
  <c r="AL151" s="1"/>
  <c r="AM151" s="1"/>
  <c r="AN151" s="1"/>
  <c r="AO151" s="1"/>
  <c r="AP151" s="1"/>
  <c r="AA152"/>
  <c r="AB152" s="1"/>
  <c r="AC152" s="1"/>
  <c r="AD152" s="1"/>
  <c r="AE152" s="1"/>
  <c r="AF152" s="1"/>
  <c r="AG152" s="1"/>
  <c r="AH152" s="1"/>
  <c r="AI152" s="1"/>
  <c r="AJ152" s="1"/>
  <c r="AK152" s="1"/>
  <c r="AL152" s="1"/>
  <c r="AM152" s="1"/>
  <c r="AN152" s="1"/>
  <c r="AO152" s="1"/>
  <c r="AP152" s="1"/>
  <c r="AA153"/>
  <c r="AB153" s="1"/>
  <c r="AC153" s="1"/>
  <c r="AD153" s="1"/>
  <c r="AE153" s="1"/>
  <c r="AF153" s="1"/>
  <c r="AG153" s="1"/>
  <c r="AH153" s="1"/>
  <c r="AI153" s="1"/>
  <c r="AJ153" s="1"/>
  <c r="AK153" s="1"/>
  <c r="AL153" s="1"/>
  <c r="AM153" s="1"/>
  <c r="AN153" s="1"/>
  <c r="AO153" s="1"/>
  <c r="AP153" s="1"/>
  <c r="AA154"/>
  <c r="AB154" s="1"/>
  <c r="AC154"/>
  <c r="AD154" s="1"/>
  <c r="AE154" s="1"/>
  <c r="AF154" s="1"/>
  <c r="AG154" s="1"/>
  <c r="AH154"/>
  <c r="AI154" s="1"/>
  <c r="AJ154" s="1"/>
  <c r="AK154" s="1"/>
  <c r="AL154" s="1"/>
  <c r="AM154" s="1"/>
  <c r="AN154" s="1"/>
  <c r="AO154" s="1"/>
  <c r="AP154" s="1"/>
  <c r="AA155"/>
  <c r="AB155" s="1"/>
  <c r="AC155"/>
  <c r="AD155" s="1"/>
  <c r="AE155" s="1"/>
  <c r="AF155" s="1"/>
  <c r="AG155" s="1"/>
  <c r="AH155" s="1"/>
  <c r="AI155" s="1"/>
  <c r="AJ155" s="1"/>
  <c r="AK155" s="1"/>
  <c r="AL155" s="1"/>
  <c r="AM155" s="1"/>
  <c r="AN155" s="1"/>
  <c r="AO155" s="1"/>
  <c r="AP155" s="1"/>
  <c r="AA156"/>
  <c r="AB156" s="1"/>
  <c r="AC156" s="1"/>
  <c r="AD156" s="1"/>
  <c r="AE156" s="1"/>
  <c r="AF156" s="1"/>
  <c r="AG156" s="1"/>
  <c r="AH156" s="1"/>
  <c r="AI156" s="1"/>
  <c r="AJ156" s="1"/>
  <c r="AK156" s="1"/>
  <c r="AL156" s="1"/>
  <c r="AM156" s="1"/>
  <c r="AN156" s="1"/>
  <c r="AO156" s="1"/>
  <c r="AP156" s="1"/>
  <c r="AA157"/>
  <c r="AB157" s="1"/>
  <c r="AC157" s="1"/>
  <c r="AD157" s="1"/>
  <c r="AE157" s="1"/>
  <c r="AF157" s="1"/>
  <c r="AG157" s="1"/>
  <c r="AH157" s="1"/>
  <c r="AI157" s="1"/>
  <c r="AJ157" s="1"/>
  <c r="AK157" s="1"/>
  <c r="AL157" s="1"/>
  <c r="AM157" s="1"/>
  <c r="AN157" s="1"/>
  <c r="AO157" s="1"/>
  <c r="AP157" s="1"/>
  <c r="AA158"/>
  <c r="AB158" s="1"/>
  <c r="AC158"/>
  <c r="AD158" s="1"/>
  <c r="AE158" s="1"/>
  <c r="AF158" s="1"/>
  <c r="AG158" s="1"/>
  <c r="AH158" s="1"/>
  <c r="AI158" s="1"/>
  <c r="AJ158" s="1"/>
  <c r="AK158" s="1"/>
  <c r="AL158" s="1"/>
  <c r="AM158" s="1"/>
  <c r="AN158" s="1"/>
  <c r="AO158" s="1"/>
  <c r="AP158" s="1"/>
  <c r="AA159"/>
  <c r="AB159" s="1"/>
  <c r="AC159" s="1"/>
  <c r="AD159"/>
  <c r="AE159" s="1"/>
  <c r="AF159" s="1"/>
  <c r="AG159" s="1"/>
  <c r="AH159" s="1"/>
  <c r="AI159" s="1"/>
  <c r="AJ159" s="1"/>
  <c r="AK159" s="1"/>
  <c r="AL159" s="1"/>
  <c r="AM159" s="1"/>
  <c r="AN159" s="1"/>
  <c r="AO159" s="1"/>
  <c r="AP159" s="1"/>
  <c r="AA160"/>
  <c r="AB160" s="1"/>
  <c r="AC160"/>
  <c r="AD160" s="1"/>
  <c r="AE160" s="1"/>
  <c r="AF160" s="1"/>
  <c r="AG160" s="1"/>
  <c r="AH160" s="1"/>
  <c r="AI160" s="1"/>
  <c r="AJ160" s="1"/>
  <c r="AK160" s="1"/>
  <c r="AL160" s="1"/>
  <c r="AM160" s="1"/>
  <c r="AN160" s="1"/>
  <c r="AO160" s="1"/>
  <c r="AP160" s="1"/>
  <c r="AA161"/>
  <c r="AB161" s="1"/>
  <c r="AC161" s="1"/>
  <c r="AD161"/>
  <c r="AE161" s="1"/>
  <c r="AF161" s="1"/>
  <c r="AG161" s="1"/>
  <c r="AH161" s="1"/>
  <c r="AI161" s="1"/>
  <c r="AJ161" s="1"/>
  <c r="AK161" s="1"/>
  <c r="AL161" s="1"/>
  <c r="AM161" s="1"/>
  <c r="AN161" s="1"/>
  <c r="AO161" s="1"/>
  <c r="AP161" s="1"/>
  <c r="AA162"/>
  <c r="AB162" s="1"/>
  <c r="AC162"/>
  <c r="AD162" s="1"/>
  <c r="AE162" s="1"/>
  <c r="AF162" s="1"/>
  <c r="AG162" s="1"/>
  <c r="AH162" s="1"/>
  <c r="AI162" s="1"/>
  <c r="AJ162" s="1"/>
  <c r="AK162" s="1"/>
  <c r="AL162" s="1"/>
  <c r="AM162" s="1"/>
  <c r="AN162" s="1"/>
  <c r="AO162" s="1"/>
  <c r="AP162" s="1"/>
  <c r="AA163"/>
  <c r="AB163" s="1"/>
  <c r="AC163" s="1"/>
  <c r="AD163"/>
  <c r="AE163" s="1"/>
  <c r="AF163" s="1"/>
  <c r="AG163" s="1"/>
  <c r="AH163" s="1"/>
  <c r="AI163" s="1"/>
  <c r="AJ163" s="1"/>
  <c r="AK163" s="1"/>
  <c r="AL163" s="1"/>
  <c r="AM163" s="1"/>
  <c r="AN163" s="1"/>
  <c r="AO163" s="1"/>
  <c r="AP163" s="1"/>
  <c r="AA164"/>
  <c r="AB164" s="1"/>
  <c r="AC164"/>
  <c r="AD164" s="1"/>
  <c r="AE164" s="1"/>
  <c r="AF164" s="1"/>
  <c r="AG164" s="1"/>
  <c r="AH164" s="1"/>
  <c r="AI164" s="1"/>
  <c r="AJ164" s="1"/>
  <c r="AK164" s="1"/>
  <c r="AL164" s="1"/>
  <c r="AM164" s="1"/>
  <c r="AN164" s="1"/>
  <c r="AO164" s="1"/>
  <c r="AP164" s="1"/>
  <c r="AA165"/>
  <c r="AB165" s="1"/>
  <c r="AC165" s="1"/>
  <c r="AD165"/>
  <c r="AE165" s="1"/>
  <c r="AF165" s="1"/>
  <c r="AG165" s="1"/>
  <c r="AH165" s="1"/>
  <c r="AI165" s="1"/>
  <c r="AJ165" s="1"/>
  <c r="AK165" s="1"/>
  <c r="AL165" s="1"/>
  <c r="AM165" s="1"/>
  <c r="AN165" s="1"/>
  <c r="AO165" s="1"/>
  <c r="AP165" s="1"/>
  <c r="AA166"/>
  <c r="AB166" s="1"/>
  <c r="AC166"/>
  <c r="AD166" s="1"/>
  <c r="AE166" s="1"/>
  <c r="AF166" s="1"/>
  <c r="AG166" s="1"/>
  <c r="AH166" s="1"/>
  <c r="AI166" s="1"/>
  <c r="AJ166" s="1"/>
  <c r="AK166" s="1"/>
  <c r="AL166" s="1"/>
  <c r="AM166" s="1"/>
  <c r="AN166" s="1"/>
  <c r="AO166" s="1"/>
  <c r="AP166" s="1"/>
  <c r="AA167"/>
  <c r="AB167" s="1"/>
  <c r="AC167" s="1"/>
  <c r="AD167"/>
  <c r="AE167" s="1"/>
  <c r="AF167" s="1"/>
  <c r="AG167" s="1"/>
  <c r="AH167" s="1"/>
  <c r="AI167" s="1"/>
  <c r="AJ167" s="1"/>
  <c r="AK167" s="1"/>
  <c r="AL167" s="1"/>
  <c r="AM167" s="1"/>
  <c r="AN167" s="1"/>
  <c r="AO167" s="1"/>
  <c r="AP167" s="1"/>
  <c r="AA168"/>
  <c r="AB168" s="1"/>
  <c r="AC168"/>
  <c r="AD168" s="1"/>
  <c r="AE168" s="1"/>
  <c r="AF168" s="1"/>
  <c r="AG168" s="1"/>
  <c r="AH168" s="1"/>
  <c r="AI168" s="1"/>
  <c r="AJ168" s="1"/>
  <c r="AK168" s="1"/>
  <c r="AL168" s="1"/>
  <c r="AM168" s="1"/>
  <c r="AN168" s="1"/>
  <c r="AO168" s="1"/>
  <c r="AP168" s="1"/>
  <c r="AA169"/>
  <c r="AB169" s="1"/>
  <c r="AC169" s="1"/>
  <c r="AD169"/>
  <c r="AE169" s="1"/>
  <c r="AF169" s="1"/>
  <c r="AG169" s="1"/>
  <c r="AH169" s="1"/>
  <c r="AI169" s="1"/>
  <c r="AJ169" s="1"/>
  <c r="AK169" s="1"/>
  <c r="AL169" s="1"/>
  <c r="AM169" s="1"/>
  <c r="AN169" s="1"/>
  <c r="AO169" s="1"/>
  <c r="AP169" s="1"/>
  <c r="AA170"/>
  <c r="AB170" s="1"/>
  <c r="AC170"/>
  <c r="AD170" s="1"/>
  <c r="AE170" s="1"/>
  <c r="AF170" s="1"/>
  <c r="AG170" s="1"/>
  <c r="AH170" s="1"/>
  <c r="AI170" s="1"/>
  <c r="AJ170" s="1"/>
  <c r="AK170" s="1"/>
  <c r="AL170" s="1"/>
  <c r="AM170" s="1"/>
  <c r="AN170" s="1"/>
  <c r="AO170" s="1"/>
  <c r="AP170" s="1"/>
  <c r="AA171"/>
  <c r="AB171" s="1"/>
  <c r="AC171" s="1"/>
  <c r="AD171"/>
  <c r="AE171" s="1"/>
  <c r="AF171" s="1"/>
  <c r="AG171" s="1"/>
  <c r="AH171" s="1"/>
  <c r="AI171" s="1"/>
  <c r="AJ171" s="1"/>
  <c r="AK171" s="1"/>
  <c r="AL171" s="1"/>
  <c r="AM171" s="1"/>
  <c r="AN171" s="1"/>
  <c r="AO171" s="1"/>
  <c r="AP171" s="1"/>
  <c r="AA172"/>
  <c r="AB172" s="1"/>
  <c r="AC172"/>
  <c r="AD172" s="1"/>
  <c r="AE172" s="1"/>
  <c r="AF172" s="1"/>
  <c r="AG172" s="1"/>
  <c r="AH172" s="1"/>
  <c r="AI172" s="1"/>
  <c r="AJ172" s="1"/>
  <c r="AK172" s="1"/>
  <c r="AL172" s="1"/>
  <c r="AM172" s="1"/>
  <c r="AN172" s="1"/>
  <c r="AO172" s="1"/>
  <c r="AP172" s="1"/>
  <c r="AA173"/>
  <c r="AB173" s="1"/>
  <c r="AC173" s="1"/>
  <c r="AD173"/>
  <c r="AE173" s="1"/>
  <c r="AF173" s="1"/>
  <c r="AG173" s="1"/>
  <c r="AH173" s="1"/>
  <c r="AI173" s="1"/>
  <c r="AJ173" s="1"/>
  <c r="AK173" s="1"/>
  <c r="AL173" s="1"/>
  <c r="AM173" s="1"/>
  <c r="AN173" s="1"/>
  <c r="AO173" s="1"/>
  <c r="AP173" s="1"/>
  <c r="AA174"/>
  <c r="AB174" s="1"/>
  <c r="AC174"/>
  <c r="AD174" s="1"/>
  <c r="AE174" s="1"/>
  <c r="AF174" s="1"/>
  <c r="AG174" s="1"/>
  <c r="AH174" s="1"/>
  <c r="AI174" s="1"/>
  <c r="AJ174" s="1"/>
  <c r="AK174" s="1"/>
  <c r="AL174" s="1"/>
  <c r="AM174" s="1"/>
  <c r="AN174" s="1"/>
  <c r="AO174" s="1"/>
  <c r="AP174" s="1"/>
  <c r="AA175"/>
  <c r="AB175" s="1"/>
  <c r="AC175" s="1"/>
  <c r="AD175"/>
  <c r="AE175" s="1"/>
  <c r="AF175" s="1"/>
  <c r="AG175" s="1"/>
  <c r="AH175" s="1"/>
  <c r="AI175" s="1"/>
  <c r="AJ175" s="1"/>
  <c r="AK175" s="1"/>
  <c r="AL175" s="1"/>
  <c r="AM175" s="1"/>
  <c r="AN175" s="1"/>
  <c r="AO175" s="1"/>
  <c r="AP175" s="1"/>
  <c r="AA176"/>
  <c r="AB176" s="1"/>
  <c r="AC176"/>
  <c r="AD176" s="1"/>
  <c r="AE176" s="1"/>
  <c r="AF176" s="1"/>
  <c r="AG176" s="1"/>
  <c r="AH176" s="1"/>
  <c r="AI176" s="1"/>
  <c r="AJ176" s="1"/>
  <c r="AK176" s="1"/>
  <c r="AL176" s="1"/>
  <c r="AM176" s="1"/>
  <c r="AN176" s="1"/>
  <c r="AO176" s="1"/>
  <c r="AP176" s="1"/>
  <c r="AA177"/>
  <c r="AB177" s="1"/>
  <c r="AC177" s="1"/>
  <c r="AD177"/>
  <c r="AE177" s="1"/>
  <c r="AF177" s="1"/>
  <c r="AG177" s="1"/>
  <c r="AH177" s="1"/>
  <c r="AI177" s="1"/>
  <c r="AJ177" s="1"/>
  <c r="AK177" s="1"/>
  <c r="AL177" s="1"/>
  <c r="AM177" s="1"/>
  <c r="AN177" s="1"/>
  <c r="AO177" s="1"/>
  <c r="AP177" s="1"/>
  <c r="AA178"/>
  <c r="AB178" s="1"/>
  <c r="AC178"/>
  <c r="AD178" s="1"/>
  <c r="AE178" s="1"/>
  <c r="AF178" s="1"/>
  <c r="AG178" s="1"/>
  <c r="AH178" s="1"/>
  <c r="AI178" s="1"/>
  <c r="AJ178" s="1"/>
  <c r="AK178" s="1"/>
  <c r="AL178" s="1"/>
  <c r="AM178" s="1"/>
  <c r="AN178" s="1"/>
  <c r="AO178" s="1"/>
  <c r="AP178" s="1"/>
  <c r="AA179"/>
  <c r="AB179" s="1"/>
  <c r="AC179" s="1"/>
  <c r="AD179"/>
  <c r="AE179" s="1"/>
  <c r="AF179" s="1"/>
  <c r="AG179" s="1"/>
  <c r="AH179" s="1"/>
  <c r="AI179" s="1"/>
  <c r="AJ179" s="1"/>
  <c r="AK179" s="1"/>
  <c r="AL179" s="1"/>
  <c r="AM179" s="1"/>
  <c r="AN179" s="1"/>
  <c r="AO179" s="1"/>
  <c r="AP179" s="1"/>
  <c r="AA180"/>
  <c r="AB180" s="1"/>
  <c r="AC180"/>
  <c r="AD180" s="1"/>
  <c r="AE180" s="1"/>
  <c r="AF180" s="1"/>
  <c r="AG180" s="1"/>
  <c r="AH180" s="1"/>
  <c r="AI180" s="1"/>
  <c r="AJ180" s="1"/>
  <c r="AK180" s="1"/>
  <c r="AL180" s="1"/>
  <c r="AM180" s="1"/>
  <c r="AN180" s="1"/>
  <c r="AO180" s="1"/>
  <c r="AP180" s="1"/>
  <c r="AA181"/>
  <c r="AB181" s="1"/>
  <c r="AC181" s="1"/>
  <c r="AD181"/>
  <c r="AE181" s="1"/>
  <c r="AF181" s="1"/>
  <c r="AG181" s="1"/>
  <c r="AH181" s="1"/>
  <c r="AI181" s="1"/>
  <c r="AJ181" s="1"/>
  <c r="AK181" s="1"/>
  <c r="AL181" s="1"/>
  <c r="AM181" s="1"/>
  <c r="AN181" s="1"/>
  <c r="AO181" s="1"/>
  <c r="AP181" s="1"/>
  <c r="AA182"/>
  <c r="AB182" s="1"/>
  <c r="AC182"/>
  <c r="AD182" s="1"/>
  <c r="AE182" s="1"/>
  <c r="AF182" s="1"/>
  <c r="AG182" s="1"/>
  <c r="AH182" s="1"/>
  <c r="AI182" s="1"/>
  <c r="AJ182" s="1"/>
  <c r="AK182" s="1"/>
  <c r="AL182" s="1"/>
  <c r="AM182" s="1"/>
  <c r="AN182" s="1"/>
  <c r="AO182" s="1"/>
  <c r="AP182" s="1"/>
  <c r="AA183"/>
  <c r="AB183" s="1"/>
  <c r="AC183" s="1"/>
  <c r="AD183"/>
  <c r="AE183" s="1"/>
  <c r="AF183" s="1"/>
  <c r="AG183" s="1"/>
  <c r="AH183" s="1"/>
  <c r="AI183" s="1"/>
  <c r="AJ183" s="1"/>
  <c r="AK183" s="1"/>
  <c r="AL183" s="1"/>
  <c r="AM183" s="1"/>
  <c r="AN183" s="1"/>
  <c r="AO183" s="1"/>
  <c r="AP183" s="1"/>
  <c r="AA184"/>
  <c r="AB184" s="1"/>
  <c r="AC184"/>
  <c r="AD184" s="1"/>
  <c r="AE184" s="1"/>
  <c r="AF184" s="1"/>
  <c r="AG184" s="1"/>
  <c r="AH184" s="1"/>
  <c r="AI184" s="1"/>
  <c r="AJ184" s="1"/>
  <c r="AK184" s="1"/>
  <c r="AL184" s="1"/>
  <c r="AM184" s="1"/>
  <c r="AN184" s="1"/>
  <c r="AO184" s="1"/>
  <c r="AP184" s="1"/>
  <c r="AA185"/>
  <c r="AB185" s="1"/>
  <c r="AC185" s="1"/>
  <c r="AD185"/>
  <c r="AE185" s="1"/>
  <c r="AF185" s="1"/>
  <c r="AG185" s="1"/>
  <c r="AH185" s="1"/>
  <c r="AI185" s="1"/>
  <c r="AJ185" s="1"/>
  <c r="AK185" s="1"/>
  <c r="AL185" s="1"/>
  <c r="AM185" s="1"/>
  <c r="AN185" s="1"/>
  <c r="AO185" s="1"/>
  <c r="AP185" s="1"/>
  <c r="AA186"/>
  <c r="AB186" s="1"/>
  <c r="AC186"/>
  <c r="AD186" s="1"/>
  <c r="AE186" s="1"/>
  <c r="AF186" s="1"/>
  <c r="AG186" s="1"/>
  <c r="AH186" s="1"/>
  <c r="AI186" s="1"/>
  <c r="AJ186" s="1"/>
  <c r="AK186" s="1"/>
  <c r="AL186" s="1"/>
  <c r="AM186" s="1"/>
  <c r="AN186" s="1"/>
  <c r="AO186" s="1"/>
  <c r="AP186" s="1"/>
  <c r="AA187"/>
  <c r="AB187" s="1"/>
  <c r="AC187" s="1"/>
  <c r="AD187"/>
  <c r="AE187" s="1"/>
  <c r="AF187" s="1"/>
  <c r="AG187" s="1"/>
  <c r="AH187" s="1"/>
  <c r="AI187" s="1"/>
  <c r="AJ187" s="1"/>
  <c r="AK187" s="1"/>
  <c r="AL187" s="1"/>
  <c r="AM187" s="1"/>
  <c r="AN187" s="1"/>
  <c r="AO187" s="1"/>
  <c r="AP187" s="1"/>
  <c r="AA188"/>
  <c r="AB188" s="1"/>
  <c r="AC188"/>
  <c r="AD188" s="1"/>
  <c r="AE188" s="1"/>
  <c r="AF188" s="1"/>
  <c r="AG188" s="1"/>
  <c r="AH188" s="1"/>
  <c r="AI188" s="1"/>
  <c r="AJ188" s="1"/>
  <c r="AK188" s="1"/>
  <c r="AL188" s="1"/>
  <c r="AM188" s="1"/>
  <c r="AN188" s="1"/>
  <c r="AO188" s="1"/>
  <c r="AP188" s="1"/>
  <c r="AA189"/>
  <c r="AB189" s="1"/>
  <c r="AC189" s="1"/>
  <c r="AD189"/>
  <c r="AE189" s="1"/>
  <c r="AF189" s="1"/>
  <c r="AG189" s="1"/>
  <c r="AH189" s="1"/>
  <c r="AI189" s="1"/>
  <c r="AJ189" s="1"/>
  <c r="AK189" s="1"/>
  <c r="AL189" s="1"/>
  <c r="AM189" s="1"/>
  <c r="AN189" s="1"/>
  <c r="AO189" s="1"/>
  <c r="AP189" s="1"/>
  <c r="AA190"/>
  <c r="AB190" s="1"/>
  <c r="AC190"/>
  <c r="AD190" s="1"/>
  <c r="AE190" s="1"/>
  <c r="AF190" s="1"/>
  <c r="AG190" s="1"/>
  <c r="AH190" s="1"/>
  <c r="AI190" s="1"/>
  <c r="AJ190" s="1"/>
  <c r="AK190" s="1"/>
  <c r="AL190" s="1"/>
  <c r="AM190" s="1"/>
  <c r="AN190" s="1"/>
  <c r="AO190" s="1"/>
  <c r="AP190" s="1"/>
  <c r="AA191"/>
  <c r="AB191" s="1"/>
  <c r="AC191" s="1"/>
  <c r="AD191"/>
  <c r="AE191" s="1"/>
  <c r="AF191" s="1"/>
  <c r="AG191" s="1"/>
  <c r="AH191" s="1"/>
  <c r="AI191" s="1"/>
  <c r="AJ191" s="1"/>
  <c r="AK191" s="1"/>
  <c r="AL191" s="1"/>
  <c r="AM191" s="1"/>
  <c r="AN191" s="1"/>
  <c r="AO191" s="1"/>
  <c r="AP191" s="1"/>
  <c r="AA192"/>
  <c r="AB192" s="1"/>
  <c r="AC192"/>
  <c r="AD192" s="1"/>
  <c r="AE192" s="1"/>
  <c r="AF192" s="1"/>
  <c r="AG192" s="1"/>
  <c r="AH192" s="1"/>
  <c r="AI192" s="1"/>
  <c r="AJ192" s="1"/>
  <c r="AK192" s="1"/>
  <c r="AL192" s="1"/>
  <c r="AM192" s="1"/>
  <c r="AN192" s="1"/>
  <c r="AO192" s="1"/>
  <c r="AP192" s="1"/>
  <c r="AA193"/>
  <c r="AB193" s="1"/>
  <c r="AC193" s="1"/>
  <c r="AD193"/>
  <c r="AE193" s="1"/>
  <c r="AF193" s="1"/>
  <c r="AG193" s="1"/>
  <c r="AH193" s="1"/>
  <c r="AI193" s="1"/>
  <c r="AJ193" s="1"/>
  <c r="AK193" s="1"/>
  <c r="AL193" s="1"/>
  <c r="AM193" s="1"/>
  <c r="AN193" s="1"/>
  <c r="AO193" s="1"/>
  <c r="AP193" s="1"/>
  <c r="AA194"/>
  <c r="AB194" s="1"/>
  <c r="AC194"/>
  <c r="AD194" s="1"/>
  <c r="AE194" s="1"/>
  <c r="AF194" s="1"/>
  <c r="AG194" s="1"/>
  <c r="AH194" s="1"/>
  <c r="AI194" s="1"/>
  <c r="AJ194" s="1"/>
  <c r="AK194" s="1"/>
  <c r="AL194" s="1"/>
  <c r="AM194" s="1"/>
  <c r="AN194" s="1"/>
  <c r="AO194" s="1"/>
  <c r="AP194" s="1"/>
  <c r="AA195"/>
  <c r="AB195" s="1"/>
  <c r="AC195" s="1"/>
  <c r="AD195"/>
  <c r="AE195" s="1"/>
  <c r="AF195" s="1"/>
  <c r="AG195" s="1"/>
  <c r="AH195" s="1"/>
  <c r="AI195" s="1"/>
  <c r="AJ195" s="1"/>
  <c r="AK195" s="1"/>
  <c r="AL195" s="1"/>
  <c r="AM195" s="1"/>
  <c r="AN195" s="1"/>
  <c r="AO195" s="1"/>
  <c r="AP195" s="1"/>
  <c r="AA196"/>
  <c r="AB196" s="1"/>
  <c r="AC196"/>
  <c r="AD196" s="1"/>
  <c r="AE196" s="1"/>
  <c r="AF196" s="1"/>
  <c r="AG196" s="1"/>
  <c r="AH196" s="1"/>
  <c r="AI196" s="1"/>
  <c r="AJ196" s="1"/>
  <c r="AK196" s="1"/>
  <c r="AL196" s="1"/>
  <c r="AM196" s="1"/>
  <c r="AN196" s="1"/>
  <c r="AO196" s="1"/>
  <c r="AP196" s="1"/>
  <c r="AA197"/>
  <c r="AB197" s="1"/>
  <c r="AC197" s="1"/>
  <c r="AD197"/>
  <c r="AE197" s="1"/>
  <c r="AF197" s="1"/>
  <c r="AG197" s="1"/>
  <c r="AH197" s="1"/>
  <c r="AI197" s="1"/>
  <c r="AJ197" s="1"/>
  <c r="AK197" s="1"/>
  <c r="AL197" s="1"/>
  <c r="AM197" s="1"/>
  <c r="AN197" s="1"/>
  <c r="AO197" s="1"/>
  <c r="AP197" s="1"/>
  <c r="AA198"/>
  <c r="AB198" s="1"/>
  <c r="AC198"/>
  <c r="AD198" s="1"/>
  <c r="AE198" s="1"/>
  <c r="AF198" s="1"/>
  <c r="AG198" s="1"/>
  <c r="AH198" s="1"/>
  <c r="AI198" s="1"/>
  <c r="AJ198" s="1"/>
  <c r="AK198" s="1"/>
  <c r="AL198" s="1"/>
  <c r="AM198" s="1"/>
  <c r="AN198" s="1"/>
  <c r="AO198" s="1"/>
  <c r="AP198" s="1"/>
  <c r="AA199"/>
  <c r="AB199" s="1"/>
  <c r="AC199" s="1"/>
  <c r="AD199"/>
  <c r="AE199" s="1"/>
  <c r="AF199" s="1"/>
  <c r="AG199" s="1"/>
  <c r="AH199" s="1"/>
  <c r="AI199" s="1"/>
  <c r="AJ199" s="1"/>
  <c r="AK199" s="1"/>
  <c r="AL199" s="1"/>
  <c r="AM199" s="1"/>
  <c r="AN199" s="1"/>
  <c r="AO199" s="1"/>
  <c r="AP199" s="1"/>
  <c r="AA200"/>
  <c r="AB200" s="1"/>
  <c r="AC200"/>
  <c r="AD200" s="1"/>
  <c r="AE200" s="1"/>
  <c r="AF200" s="1"/>
  <c r="AG200" s="1"/>
  <c r="AH200" s="1"/>
  <c r="AI200" s="1"/>
  <c r="AJ200" s="1"/>
  <c r="AK200" s="1"/>
  <c r="AL200" s="1"/>
  <c r="AM200" s="1"/>
  <c r="AN200" s="1"/>
  <c r="AO200" s="1"/>
  <c r="AP200" s="1"/>
  <c r="AA201"/>
  <c r="AB201" s="1"/>
  <c r="AC201" s="1"/>
  <c r="AD201"/>
  <c r="AE201" s="1"/>
  <c r="AF201" s="1"/>
  <c r="AG201" s="1"/>
  <c r="AH201" s="1"/>
  <c r="AI201" s="1"/>
  <c r="AJ201" s="1"/>
  <c r="AK201" s="1"/>
  <c r="AL201" s="1"/>
  <c r="AM201" s="1"/>
  <c r="AN201" s="1"/>
  <c r="AO201" s="1"/>
  <c r="AP201" s="1"/>
  <c r="AA202"/>
  <c r="AB202" s="1"/>
  <c r="AC202"/>
  <c r="AD202" s="1"/>
  <c r="AE202" s="1"/>
  <c r="AF202" s="1"/>
  <c r="AG202" s="1"/>
  <c r="AH202" s="1"/>
  <c r="AI202" s="1"/>
  <c r="AJ202" s="1"/>
  <c r="AK202" s="1"/>
  <c r="AL202" s="1"/>
  <c r="AM202" s="1"/>
  <c r="AN202" s="1"/>
  <c r="AO202" s="1"/>
  <c r="AP202" s="1"/>
  <c r="AA203"/>
  <c r="AB203" s="1"/>
  <c r="AC203" s="1"/>
  <c r="AD203"/>
  <c r="AE203" s="1"/>
  <c r="AF203" s="1"/>
  <c r="AG203" s="1"/>
  <c r="AH203" s="1"/>
  <c r="AI203" s="1"/>
  <c r="AJ203" s="1"/>
  <c r="AK203" s="1"/>
  <c r="AL203" s="1"/>
  <c r="AM203" s="1"/>
  <c r="AN203" s="1"/>
  <c r="AO203" s="1"/>
  <c r="AP203" s="1"/>
  <c r="AA204"/>
  <c r="AB204" s="1"/>
  <c r="AC204"/>
  <c r="AD204" s="1"/>
  <c r="AE204" s="1"/>
  <c r="AF204" s="1"/>
  <c r="AG204" s="1"/>
  <c r="AH204" s="1"/>
  <c r="AI204" s="1"/>
  <c r="AJ204" s="1"/>
  <c r="AK204" s="1"/>
  <c r="AL204" s="1"/>
  <c r="AM204" s="1"/>
  <c r="AN204" s="1"/>
  <c r="AO204" s="1"/>
  <c r="AP204" s="1"/>
  <c r="AA205"/>
  <c r="AB205" s="1"/>
  <c r="AC205" s="1"/>
  <c r="AD205"/>
  <c r="AE205" s="1"/>
  <c r="AF205" s="1"/>
  <c r="AG205" s="1"/>
  <c r="AH205" s="1"/>
  <c r="AI205" s="1"/>
  <c r="AJ205" s="1"/>
  <c r="AK205" s="1"/>
  <c r="AL205" s="1"/>
  <c r="AM205" s="1"/>
  <c r="AN205" s="1"/>
  <c r="AO205" s="1"/>
  <c r="AP205" s="1"/>
  <c r="AA206"/>
  <c r="AB206" s="1"/>
  <c r="AC206"/>
  <c r="AD206" s="1"/>
  <c r="AE206" s="1"/>
  <c r="AF206" s="1"/>
  <c r="AG206" s="1"/>
  <c r="AH206" s="1"/>
  <c r="AI206" s="1"/>
  <c r="AJ206" s="1"/>
  <c r="AK206" s="1"/>
  <c r="AL206" s="1"/>
  <c r="AM206" s="1"/>
  <c r="AN206" s="1"/>
  <c r="AO206" s="1"/>
  <c r="AP206" s="1"/>
  <c r="AA207"/>
  <c r="AB207" s="1"/>
  <c r="AC207" s="1"/>
  <c r="AD207"/>
  <c r="AE207" s="1"/>
  <c r="AF207" s="1"/>
  <c r="AG207" s="1"/>
  <c r="AH207" s="1"/>
  <c r="AI207" s="1"/>
  <c r="AJ207" s="1"/>
  <c r="AK207" s="1"/>
  <c r="AL207" s="1"/>
  <c r="AM207" s="1"/>
  <c r="AN207" s="1"/>
  <c r="AO207" s="1"/>
  <c r="AP207" s="1"/>
  <c r="AA208"/>
  <c r="AB208" s="1"/>
  <c r="AC208"/>
  <c r="AD208" s="1"/>
  <c r="AE208" s="1"/>
  <c r="AF208" s="1"/>
  <c r="AG208" s="1"/>
  <c r="AH208" s="1"/>
  <c r="AI208" s="1"/>
  <c r="AJ208" s="1"/>
  <c r="AK208" s="1"/>
  <c r="AL208" s="1"/>
  <c r="AM208" s="1"/>
  <c r="AN208" s="1"/>
  <c r="AO208" s="1"/>
  <c r="AP208" s="1"/>
  <c r="AA209"/>
  <c r="AB209" s="1"/>
  <c r="AC209" s="1"/>
  <c r="AD209"/>
  <c r="AE209" s="1"/>
  <c r="AF209" s="1"/>
  <c r="AG209" s="1"/>
  <c r="AH209" s="1"/>
  <c r="AI209" s="1"/>
  <c r="AJ209" s="1"/>
  <c r="AK209" s="1"/>
  <c r="AL209" s="1"/>
  <c r="AM209" s="1"/>
  <c r="AN209" s="1"/>
  <c r="AO209" s="1"/>
  <c r="AP209" s="1"/>
  <c r="AA210"/>
  <c r="AB210" s="1"/>
  <c r="AC210"/>
  <c r="AD210" s="1"/>
  <c r="AE210" s="1"/>
  <c r="AF210" s="1"/>
  <c r="AG210" s="1"/>
  <c r="AH210" s="1"/>
  <c r="AI210" s="1"/>
  <c r="AJ210" s="1"/>
  <c r="AK210" s="1"/>
  <c r="AL210" s="1"/>
  <c r="AM210" s="1"/>
  <c r="AN210" s="1"/>
  <c r="AO210" s="1"/>
  <c r="AP210" s="1"/>
  <c r="AA211"/>
  <c r="AB211" s="1"/>
  <c r="AC211" s="1"/>
  <c r="AD211"/>
  <c r="AE211" s="1"/>
  <c r="AF211" s="1"/>
  <c r="AG211" s="1"/>
  <c r="AH211" s="1"/>
  <c r="AI211" s="1"/>
  <c r="AJ211" s="1"/>
  <c r="AK211" s="1"/>
  <c r="AL211" s="1"/>
  <c r="AM211" s="1"/>
  <c r="AN211" s="1"/>
  <c r="AO211" s="1"/>
  <c r="AP211" s="1"/>
  <c r="AA212"/>
  <c r="AB212" s="1"/>
  <c r="AC212"/>
  <c r="AD212" s="1"/>
  <c r="AE212" s="1"/>
  <c r="AF212" s="1"/>
  <c r="AG212" s="1"/>
  <c r="AH212" s="1"/>
  <c r="AI212" s="1"/>
  <c r="AJ212" s="1"/>
  <c r="AK212" s="1"/>
  <c r="AL212" s="1"/>
  <c r="AM212" s="1"/>
  <c r="AN212" s="1"/>
  <c r="AO212" s="1"/>
  <c r="AP212" s="1"/>
  <c r="AA213"/>
  <c r="AB213" s="1"/>
  <c r="AC213" s="1"/>
  <c r="AD213"/>
  <c r="AE213" s="1"/>
  <c r="AF213" s="1"/>
  <c r="AG213" s="1"/>
  <c r="AH213" s="1"/>
  <c r="AI213" s="1"/>
  <c r="AJ213" s="1"/>
  <c r="AK213" s="1"/>
  <c r="AL213" s="1"/>
  <c r="AM213" s="1"/>
  <c r="AN213" s="1"/>
  <c r="AO213" s="1"/>
  <c r="AP213" s="1"/>
  <c r="AA214"/>
  <c r="AB214" s="1"/>
  <c r="AC214"/>
  <c r="AD214" s="1"/>
  <c r="AE214" s="1"/>
  <c r="AF214" s="1"/>
  <c r="AG214" s="1"/>
  <c r="AH214" s="1"/>
  <c r="AI214" s="1"/>
  <c r="AJ214" s="1"/>
  <c r="AK214" s="1"/>
  <c r="AL214" s="1"/>
  <c r="AM214" s="1"/>
  <c r="AN214" s="1"/>
  <c r="AO214" s="1"/>
  <c r="AP214" s="1"/>
  <c r="AA215"/>
  <c r="AB215" s="1"/>
  <c r="AC215" s="1"/>
  <c r="AD215"/>
  <c r="AE215" s="1"/>
  <c r="AF215" s="1"/>
  <c r="AG215" s="1"/>
  <c r="AH215" s="1"/>
  <c r="AI215" s="1"/>
  <c r="AJ215" s="1"/>
  <c r="AK215" s="1"/>
  <c r="AL215" s="1"/>
  <c r="AM215" s="1"/>
  <c r="AN215" s="1"/>
  <c r="AO215" s="1"/>
  <c r="AP215" s="1"/>
  <c r="AA216"/>
  <c r="AB216" s="1"/>
  <c r="AC216"/>
  <c r="AD216" s="1"/>
  <c r="AE216"/>
  <c r="AF216" s="1"/>
  <c r="AG216" s="1"/>
  <c r="AH216" s="1"/>
  <c r="AI216" s="1"/>
  <c r="AJ216" s="1"/>
  <c r="AK216" s="1"/>
  <c r="AL216" s="1"/>
  <c r="AM216" s="1"/>
  <c r="AN216" s="1"/>
  <c r="AO216" s="1"/>
  <c r="AP216" s="1"/>
  <c r="AA217"/>
  <c r="AB217" s="1"/>
  <c r="AC217" s="1"/>
  <c r="AD217" s="1"/>
  <c r="AE217" s="1"/>
  <c r="AF217" s="1"/>
  <c r="AG217" s="1"/>
  <c r="AH217" s="1"/>
  <c r="AI217" s="1"/>
  <c r="AJ217" s="1"/>
  <c r="AK217" s="1"/>
  <c r="AL217" s="1"/>
  <c r="AM217" s="1"/>
  <c r="AN217" s="1"/>
  <c r="AO217" s="1"/>
  <c r="AP217" s="1"/>
  <c r="AA218"/>
  <c r="AB218" s="1"/>
  <c r="AC218"/>
  <c r="AD218" s="1"/>
  <c r="AE218"/>
  <c r="AF218" s="1"/>
  <c r="AG218" s="1"/>
  <c r="AH218" s="1"/>
  <c r="AI218" s="1"/>
  <c r="AJ218" s="1"/>
  <c r="AK218" s="1"/>
  <c r="AL218" s="1"/>
  <c r="AM218" s="1"/>
  <c r="AN218" s="1"/>
  <c r="AO218" s="1"/>
  <c r="AP218" s="1"/>
  <c r="AA219"/>
  <c r="AB219" s="1"/>
  <c r="AC219" s="1"/>
  <c r="AD219" s="1"/>
  <c r="AE219" s="1"/>
  <c r="AF219" s="1"/>
  <c r="AG219" s="1"/>
  <c r="AH219" s="1"/>
  <c r="AI219" s="1"/>
  <c r="AJ219" s="1"/>
  <c r="AK219" s="1"/>
  <c r="AL219" s="1"/>
  <c r="AM219" s="1"/>
  <c r="AN219" s="1"/>
  <c r="AO219" s="1"/>
  <c r="AP219" s="1"/>
  <c r="AA220"/>
  <c r="AB220" s="1"/>
  <c r="AC220"/>
  <c r="AD220" s="1"/>
  <c r="AE220"/>
  <c r="AF220" s="1"/>
  <c r="AG220" s="1"/>
  <c r="AH220" s="1"/>
  <c r="AI220" s="1"/>
  <c r="AJ220" s="1"/>
  <c r="AK220" s="1"/>
  <c r="AL220" s="1"/>
  <c r="AM220" s="1"/>
  <c r="AN220" s="1"/>
  <c r="AO220" s="1"/>
  <c r="AP220" s="1"/>
  <c r="AA221"/>
  <c r="AB221" s="1"/>
  <c r="AC221" s="1"/>
  <c r="AD221" s="1"/>
  <c r="AE221" s="1"/>
  <c r="AF221" s="1"/>
  <c r="AG221" s="1"/>
  <c r="AH221" s="1"/>
  <c r="AI221" s="1"/>
  <c r="AJ221" s="1"/>
  <c r="AK221" s="1"/>
  <c r="AL221" s="1"/>
  <c r="AM221" s="1"/>
  <c r="AN221" s="1"/>
  <c r="AO221" s="1"/>
  <c r="AP221" s="1"/>
  <c r="AA222"/>
  <c r="AB222" s="1"/>
  <c r="AC222"/>
  <c r="AD222" s="1"/>
  <c r="AE222"/>
  <c r="AF222" s="1"/>
  <c r="AG222" s="1"/>
  <c r="AH222" s="1"/>
  <c r="AI222" s="1"/>
  <c r="AJ222" s="1"/>
  <c r="AK222" s="1"/>
  <c r="AL222" s="1"/>
  <c r="AM222" s="1"/>
  <c r="AN222" s="1"/>
  <c r="AO222" s="1"/>
  <c r="AP222" s="1"/>
  <c r="AA223"/>
  <c r="AB223" s="1"/>
  <c r="AC223" s="1"/>
  <c r="AD223" s="1"/>
  <c r="AE223" s="1"/>
  <c r="AF223" s="1"/>
  <c r="AG223" s="1"/>
  <c r="AH223" s="1"/>
  <c r="AI223" s="1"/>
  <c r="AJ223" s="1"/>
  <c r="AK223" s="1"/>
  <c r="AL223" s="1"/>
  <c r="AM223" s="1"/>
  <c r="AN223" s="1"/>
  <c r="AO223" s="1"/>
  <c r="AP223" s="1"/>
  <c r="AA224"/>
  <c r="AB224" s="1"/>
  <c r="AC224"/>
  <c r="AD224" s="1"/>
  <c r="AE224"/>
  <c r="AF224" s="1"/>
  <c r="AG224" s="1"/>
  <c r="AH224" s="1"/>
  <c r="AI224" s="1"/>
  <c r="AJ224" s="1"/>
  <c r="AK224" s="1"/>
  <c r="AL224" s="1"/>
  <c r="AM224" s="1"/>
  <c r="AN224" s="1"/>
  <c r="AO224" s="1"/>
  <c r="AP224" s="1"/>
  <c r="AA225"/>
  <c r="AB225" s="1"/>
  <c r="AC225" s="1"/>
  <c r="AD225" s="1"/>
  <c r="AE225" s="1"/>
  <c r="AF225" s="1"/>
  <c r="AG225" s="1"/>
  <c r="AH225" s="1"/>
  <c r="AI225" s="1"/>
  <c r="AJ225" s="1"/>
  <c r="AK225" s="1"/>
  <c r="AL225" s="1"/>
  <c r="AM225" s="1"/>
  <c r="AN225" s="1"/>
  <c r="AO225" s="1"/>
  <c r="AP225" s="1"/>
  <c r="AA226"/>
  <c r="AB226" s="1"/>
  <c r="AC226"/>
  <c r="AD226" s="1"/>
  <c r="AE226"/>
  <c r="AF226" s="1"/>
  <c r="AG226" s="1"/>
  <c r="AH226" s="1"/>
  <c r="AI226" s="1"/>
  <c r="AJ226" s="1"/>
  <c r="AK226" s="1"/>
  <c r="AL226" s="1"/>
  <c r="AM226" s="1"/>
  <c r="AN226" s="1"/>
  <c r="AO226" s="1"/>
  <c r="AP226" s="1"/>
  <c r="AA227"/>
  <c r="AB227" s="1"/>
  <c r="AC227" s="1"/>
  <c r="AD227" s="1"/>
  <c r="AE227" s="1"/>
  <c r="AF227" s="1"/>
  <c r="AG227" s="1"/>
  <c r="AH227" s="1"/>
  <c r="AI227" s="1"/>
  <c r="AJ227" s="1"/>
  <c r="AK227" s="1"/>
  <c r="AL227" s="1"/>
  <c r="AM227" s="1"/>
  <c r="AN227" s="1"/>
  <c r="AO227" s="1"/>
  <c r="AP227" s="1"/>
  <c r="AA228"/>
  <c r="AB228" s="1"/>
  <c r="AC228"/>
  <c r="AD228" s="1"/>
  <c r="AE228"/>
  <c r="AF228" s="1"/>
  <c r="AG228" s="1"/>
  <c r="AH228" s="1"/>
  <c r="AI228" s="1"/>
  <c r="AJ228" s="1"/>
  <c r="AK228" s="1"/>
  <c r="AL228" s="1"/>
  <c r="AM228" s="1"/>
  <c r="AN228" s="1"/>
  <c r="AO228" s="1"/>
  <c r="AP228" s="1"/>
  <c r="AA229"/>
  <c r="AB229" s="1"/>
  <c r="AC229" s="1"/>
  <c r="AD229" s="1"/>
  <c r="AE229" s="1"/>
  <c r="AF229" s="1"/>
  <c r="AG229" s="1"/>
  <c r="AH229" s="1"/>
  <c r="AI229" s="1"/>
  <c r="AJ229" s="1"/>
  <c r="AK229" s="1"/>
  <c r="AL229" s="1"/>
  <c r="AM229" s="1"/>
  <c r="AN229" s="1"/>
  <c r="AO229" s="1"/>
  <c r="AP229" s="1"/>
  <c r="AA230"/>
  <c r="AB230" s="1"/>
  <c r="AC230"/>
  <c r="AD230" s="1"/>
  <c r="AE230"/>
  <c r="AF230" s="1"/>
  <c r="AG230" s="1"/>
  <c r="AH230" s="1"/>
  <c r="AI230" s="1"/>
  <c r="AJ230" s="1"/>
  <c r="AK230" s="1"/>
  <c r="AL230" s="1"/>
  <c r="AM230" s="1"/>
  <c r="AN230" s="1"/>
  <c r="AO230" s="1"/>
  <c r="AP230" s="1"/>
  <c r="AA231"/>
  <c r="AB231" s="1"/>
  <c r="AC231" s="1"/>
  <c r="AD231" s="1"/>
  <c r="AE231" s="1"/>
  <c r="AF231" s="1"/>
  <c r="AG231" s="1"/>
  <c r="AH231" s="1"/>
  <c r="AI231" s="1"/>
  <c r="AJ231" s="1"/>
  <c r="AK231" s="1"/>
  <c r="AL231" s="1"/>
  <c r="AM231" s="1"/>
  <c r="AN231" s="1"/>
  <c r="AO231" s="1"/>
  <c r="AP231" s="1"/>
  <c r="AA232"/>
  <c r="AB232" s="1"/>
  <c r="AC232"/>
  <c r="AD232" s="1"/>
  <c r="AE232"/>
  <c r="AF232" s="1"/>
  <c r="AG232" s="1"/>
  <c r="AH232" s="1"/>
  <c r="AI232" s="1"/>
  <c r="AJ232" s="1"/>
  <c r="AK232" s="1"/>
  <c r="AL232" s="1"/>
  <c r="AM232" s="1"/>
  <c r="AN232" s="1"/>
  <c r="AO232" s="1"/>
  <c r="AP232" s="1"/>
  <c r="AA233"/>
  <c r="AB233" s="1"/>
  <c r="AC233" s="1"/>
  <c r="AD233" s="1"/>
  <c r="AE233" s="1"/>
  <c r="AF233" s="1"/>
  <c r="AG233" s="1"/>
  <c r="AH233" s="1"/>
  <c r="AI233" s="1"/>
  <c r="AJ233" s="1"/>
  <c r="AK233" s="1"/>
  <c r="AL233" s="1"/>
  <c r="AM233" s="1"/>
  <c r="AN233" s="1"/>
  <c r="AO233" s="1"/>
  <c r="AP233" s="1"/>
  <c r="AA234"/>
  <c r="AB234" s="1"/>
  <c r="AC234"/>
  <c r="AD234" s="1"/>
  <c r="AE234"/>
  <c r="AF234" s="1"/>
  <c r="AG234" s="1"/>
  <c r="AH234" s="1"/>
  <c r="AI234" s="1"/>
  <c r="AJ234" s="1"/>
  <c r="AK234" s="1"/>
  <c r="AL234" s="1"/>
  <c r="AM234" s="1"/>
  <c r="AN234" s="1"/>
  <c r="AO234" s="1"/>
  <c r="AP234" s="1"/>
  <c r="AA235"/>
  <c r="AB235" s="1"/>
  <c r="AC235" s="1"/>
  <c r="AD235" s="1"/>
  <c r="AE235" s="1"/>
  <c r="AF235" s="1"/>
  <c r="AG235" s="1"/>
  <c r="AH235" s="1"/>
  <c r="AI235" s="1"/>
  <c r="AJ235" s="1"/>
  <c r="AK235" s="1"/>
  <c r="AL235" s="1"/>
  <c r="AM235" s="1"/>
  <c r="AN235" s="1"/>
  <c r="AO235" s="1"/>
  <c r="AP235" s="1"/>
  <c r="AA236"/>
  <c r="AB236" s="1"/>
  <c r="AC236"/>
  <c r="AD236" s="1"/>
  <c r="AE236"/>
  <c r="AF236" s="1"/>
  <c r="AG236" s="1"/>
  <c r="AH236" s="1"/>
  <c r="AI236" s="1"/>
  <c r="AJ236" s="1"/>
  <c r="AK236" s="1"/>
  <c r="AL236" s="1"/>
  <c r="AM236" s="1"/>
  <c r="AN236" s="1"/>
  <c r="AO236" s="1"/>
  <c r="AP236" s="1"/>
  <c r="AA237"/>
  <c r="AB237" s="1"/>
  <c r="AC237" s="1"/>
  <c r="AD237" s="1"/>
  <c r="AE237" s="1"/>
  <c r="AF237" s="1"/>
  <c r="AG237" s="1"/>
  <c r="AH237" s="1"/>
  <c r="AI237" s="1"/>
  <c r="AJ237" s="1"/>
  <c r="AK237" s="1"/>
  <c r="AL237" s="1"/>
  <c r="AM237" s="1"/>
  <c r="AN237" s="1"/>
  <c r="AO237" s="1"/>
  <c r="AP237" s="1"/>
  <c r="AA238"/>
  <c r="AB238" s="1"/>
  <c r="AC238"/>
  <c r="AD238" s="1"/>
  <c r="AE238"/>
  <c r="AF238" s="1"/>
  <c r="AG238" s="1"/>
  <c r="AH238" s="1"/>
  <c r="AI238" s="1"/>
  <c r="AJ238" s="1"/>
  <c r="AK238" s="1"/>
  <c r="AL238" s="1"/>
  <c r="AM238" s="1"/>
  <c r="AN238" s="1"/>
  <c r="AO238" s="1"/>
  <c r="AP238" s="1"/>
  <c r="AA239"/>
  <c r="AB239" s="1"/>
  <c r="AC239" s="1"/>
  <c r="AD239" s="1"/>
  <c r="AE239" s="1"/>
  <c r="AF239" s="1"/>
  <c r="AG239" s="1"/>
  <c r="AH239" s="1"/>
  <c r="AI239" s="1"/>
  <c r="AJ239" s="1"/>
  <c r="AK239" s="1"/>
  <c r="AL239" s="1"/>
  <c r="AM239" s="1"/>
  <c r="AN239" s="1"/>
  <c r="AO239" s="1"/>
  <c r="AP239" s="1"/>
  <c r="AA240"/>
  <c r="AB240" s="1"/>
  <c r="AC240"/>
  <c r="AD240" s="1"/>
  <c r="AE240"/>
  <c r="AF240" s="1"/>
  <c r="AG240" s="1"/>
  <c r="AH240" s="1"/>
  <c r="AI240" s="1"/>
  <c r="AJ240" s="1"/>
  <c r="AK240" s="1"/>
  <c r="AL240" s="1"/>
  <c r="AM240" s="1"/>
  <c r="AN240" s="1"/>
  <c r="AO240" s="1"/>
  <c r="AP240" s="1"/>
  <c r="AA241"/>
  <c r="AB241" s="1"/>
  <c r="AC241" s="1"/>
  <c r="AD241" s="1"/>
  <c r="AE241" s="1"/>
  <c r="AF241" s="1"/>
  <c r="AG241" s="1"/>
  <c r="AH241" s="1"/>
  <c r="AI241" s="1"/>
  <c r="AJ241" s="1"/>
  <c r="AK241" s="1"/>
  <c r="AL241" s="1"/>
  <c r="AM241" s="1"/>
  <c r="AN241" s="1"/>
  <c r="AO241" s="1"/>
  <c r="AP241" s="1"/>
  <c r="AA242"/>
  <c r="AB242" s="1"/>
  <c r="AC242"/>
  <c r="AD242" s="1"/>
  <c r="AE242"/>
  <c r="AF242" s="1"/>
  <c r="AG242" s="1"/>
  <c r="AH242" s="1"/>
  <c r="AI242" s="1"/>
  <c r="AJ242" s="1"/>
  <c r="AK242" s="1"/>
  <c r="AL242" s="1"/>
  <c r="AM242" s="1"/>
  <c r="AN242" s="1"/>
  <c r="AO242" s="1"/>
  <c r="AP242" s="1"/>
  <c r="AA243"/>
  <c r="AB243" s="1"/>
  <c r="AC243" s="1"/>
  <c r="AD243" s="1"/>
  <c r="AE243" s="1"/>
  <c r="AF243" s="1"/>
  <c r="AG243" s="1"/>
  <c r="AH243" s="1"/>
  <c r="AI243" s="1"/>
  <c r="AJ243" s="1"/>
  <c r="AK243" s="1"/>
  <c r="AL243" s="1"/>
  <c r="AM243" s="1"/>
  <c r="AN243" s="1"/>
  <c r="AO243" s="1"/>
  <c r="AP243" s="1"/>
  <c r="AA244"/>
  <c r="AB244" s="1"/>
  <c r="AC244"/>
  <c r="AD244" s="1"/>
  <c r="AE244"/>
  <c r="AF244" s="1"/>
  <c r="AG244" s="1"/>
  <c r="AH244" s="1"/>
  <c r="AI244" s="1"/>
  <c r="AJ244" s="1"/>
  <c r="AK244" s="1"/>
  <c r="AL244" s="1"/>
  <c r="AM244" s="1"/>
  <c r="AN244" s="1"/>
  <c r="AO244" s="1"/>
  <c r="AP244" s="1"/>
  <c r="AA245"/>
  <c r="AB245" s="1"/>
  <c r="AC245" s="1"/>
  <c r="AD245" s="1"/>
  <c r="AE245" s="1"/>
  <c r="AF245" s="1"/>
  <c r="AG245" s="1"/>
  <c r="AH245" s="1"/>
  <c r="AI245" s="1"/>
  <c r="AJ245" s="1"/>
  <c r="AK245" s="1"/>
  <c r="AL245" s="1"/>
  <c r="AM245" s="1"/>
  <c r="AN245" s="1"/>
  <c r="AO245" s="1"/>
  <c r="AP245" s="1"/>
  <c r="AA246"/>
  <c r="AB246" s="1"/>
  <c r="AC246"/>
  <c r="AD246" s="1"/>
  <c r="AE246"/>
  <c r="AF246" s="1"/>
  <c r="AG246" s="1"/>
  <c r="AH246" s="1"/>
  <c r="AI246" s="1"/>
  <c r="AJ246" s="1"/>
  <c r="AK246" s="1"/>
  <c r="AL246" s="1"/>
  <c r="AM246" s="1"/>
  <c r="AN246" s="1"/>
  <c r="AO246" s="1"/>
  <c r="AP246" s="1"/>
  <c r="AA247"/>
  <c r="AB247" s="1"/>
  <c r="AC247" s="1"/>
  <c r="AD247" s="1"/>
  <c r="AE247" s="1"/>
  <c r="AF247" s="1"/>
  <c r="AG247" s="1"/>
  <c r="AH247" s="1"/>
  <c r="AI247" s="1"/>
  <c r="AJ247" s="1"/>
  <c r="AK247" s="1"/>
  <c r="AL247" s="1"/>
  <c r="AM247" s="1"/>
  <c r="AN247" s="1"/>
  <c r="AO247" s="1"/>
  <c r="AP247" s="1"/>
  <c r="AA248"/>
  <c r="AB248" s="1"/>
  <c r="AC248"/>
  <c r="AD248" s="1"/>
  <c r="AE248"/>
  <c r="AF248" s="1"/>
  <c r="AG248" s="1"/>
  <c r="AH248" s="1"/>
  <c r="AI248" s="1"/>
  <c r="AJ248" s="1"/>
  <c r="AK248" s="1"/>
  <c r="AL248" s="1"/>
  <c r="AM248" s="1"/>
  <c r="AN248" s="1"/>
  <c r="AO248" s="1"/>
  <c r="AP248" s="1"/>
  <c r="AA249"/>
  <c r="AB249" s="1"/>
  <c r="AC249" s="1"/>
  <c r="AD249" s="1"/>
  <c r="AE249" s="1"/>
  <c r="AF249" s="1"/>
  <c r="AG249" s="1"/>
  <c r="AH249" s="1"/>
  <c r="AI249" s="1"/>
  <c r="AJ249" s="1"/>
  <c r="AK249" s="1"/>
  <c r="AL249" s="1"/>
  <c r="AM249" s="1"/>
  <c r="AN249" s="1"/>
  <c r="AO249" s="1"/>
  <c r="AP249" s="1"/>
  <c r="AA250"/>
  <c r="AB250" s="1"/>
  <c r="AC250"/>
  <c r="AD250" s="1"/>
  <c r="AE250"/>
  <c r="AF250" s="1"/>
  <c r="AG250" s="1"/>
  <c r="AH250" s="1"/>
  <c r="AI250" s="1"/>
  <c r="AJ250" s="1"/>
  <c r="AK250" s="1"/>
  <c r="AL250" s="1"/>
  <c r="AM250" s="1"/>
  <c r="AN250" s="1"/>
  <c r="AO250" s="1"/>
  <c r="AP250" s="1"/>
  <c r="AA251"/>
  <c r="AB251" s="1"/>
  <c r="AC251" s="1"/>
  <c r="AD251" s="1"/>
  <c r="AE251" s="1"/>
  <c r="AF251" s="1"/>
  <c r="AG251" s="1"/>
  <c r="AH251" s="1"/>
  <c r="AI251" s="1"/>
  <c r="AJ251" s="1"/>
  <c r="AK251" s="1"/>
  <c r="AL251" s="1"/>
  <c r="AM251" s="1"/>
  <c r="AN251" s="1"/>
  <c r="AO251" s="1"/>
  <c r="AP251" s="1"/>
  <c r="AA252"/>
  <c r="AB252" s="1"/>
  <c r="AC252"/>
  <c r="AD252" s="1"/>
  <c r="AE252"/>
  <c r="AF252" s="1"/>
  <c r="AG252" s="1"/>
  <c r="AH252" s="1"/>
  <c r="AI252" s="1"/>
  <c r="AJ252" s="1"/>
  <c r="AK252" s="1"/>
  <c r="AL252" s="1"/>
  <c r="AM252" s="1"/>
  <c r="AN252" s="1"/>
  <c r="AO252" s="1"/>
  <c r="AP252" s="1"/>
  <c r="AA253"/>
  <c r="AB253" s="1"/>
  <c r="AC253" s="1"/>
  <c r="AD253" s="1"/>
  <c r="AE253" s="1"/>
  <c r="AF253" s="1"/>
  <c r="AG253" s="1"/>
  <c r="AH253" s="1"/>
  <c r="AI253" s="1"/>
  <c r="AJ253" s="1"/>
  <c r="AK253" s="1"/>
  <c r="AL253" s="1"/>
  <c r="AM253" s="1"/>
  <c r="AN253" s="1"/>
  <c r="AO253" s="1"/>
  <c r="AP253" s="1"/>
  <c r="AA254"/>
  <c r="AB254" s="1"/>
  <c r="AC254"/>
  <c r="AD254" s="1"/>
  <c r="AE254"/>
  <c r="AF254" s="1"/>
  <c r="AG254" s="1"/>
  <c r="AH254" s="1"/>
  <c r="AI254" s="1"/>
  <c r="AJ254" s="1"/>
  <c r="AK254" s="1"/>
  <c r="AL254" s="1"/>
  <c r="AM254" s="1"/>
  <c r="AN254" s="1"/>
  <c r="AO254" s="1"/>
  <c r="AP254" s="1"/>
  <c r="AA255"/>
  <c r="AB255" s="1"/>
  <c r="AC255" s="1"/>
  <c r="AD255" s="1"/>
  <c r="AE255" s="1"/>
  <c r="AF255" s="1"/>
  <c r="AG255" s="1"/>
  <c r="AH255" s="1"/>
  <c r="AI255" s="1"/>
  <c r="AJ255" s="1"/>
  <c r="AK255" s="1"/>
  <c r="AL255" s="1"/>
  <c r="AM255" s="1"/>
  <c r="AN255" s="1"/>
  <c r="AO255" s="1"/>
  <c r="AP255" s="1"/>
  <c r="AA256"/>
  <c r="AB256" s="1"/>
  <c r="AC256"/>
  <c r="AD256" s="1"/>
  <c r="AE256"/>
  <c r="AF256" s="1"/>
  <c r="AG256" s="1"/>
  <c r="AH256" s="1"/>
  <c r="AI256" s="1"/>
  <c r="AJ256" s="1"/>
  <c r="AK256" s="1"/>
  <c r="AL256" s="1"/>
  <c r="AM256" s="1"/>
  <c r="AN256" s="1"/>
  <c r="AO256" s="1"/>
  <c r="AP256" s="1"/>
  <c r="AA257"/>
  <c r="AB257" s="1"/>
  <c r="AC257" s="1"/>
  <c r="AD257" s="1"/>
  <c r="AE257" s="1"/>
  <c r="AF257" s="1"/>
  <c r="AG257" s="1"/>
  <c r="AH257" s="1"/>
  <c r="AI257" s="1"/>
  <c r="AJ257" s="1"/>
  <c r="AK257" s="1"/>
  <c r="AL257" s="1"/>
  <c r="AM257" s="1"/>
  <c r="AN257" s="1"/>
  <c r="AO257" s="1"/>
  <c r="AP257" s="1"/>
  <c r="AA258"/>
  <c r="AB258" s="1"/>
  <c r="AC258"/>
  <c r="AD258" s="1"/>
  <c r="AE258"/>
  <c r="AF258" s="1"/>
  <c r="AG258" s="1"/>
  <c r="AH258" s="1"/>
  <c r="AI258" s="1"/>
  <c r="AJ258" s="1"/>
  <c r="AK258" s="1"/>
  <c r="AL258" s="1"/>
  <c r="AM258" s="1"/>
  <c r="AN258" s="1"/>
  <c r="AO258" s="1"/>
  <c r="AP258" s="1"/>
  <c r="AA259"/>
  <c r="AB259" s="1"/>
  <c r="AC259" s="1"/>
  <c r="AD259" s="1"/>
  <c r="AE259" s="1"/>
  <c r="AF259" s="1"/>
  <c r="AG259" s="1"/>
  <c r="AH259" s="1"/>
  <c r="AI259" s="1"/>
  <c r="AJ259" s="1"/>
  <c r="AK259" s="1"/>
  <c r="AL259" s="1"/>
  <c r="AM259" s="1"/>
  <c r="AN259" s="1"/>
  <c r="AO259" s="1"/>
  <c r="AP259" s="1"/>
  <c r="AA260"/>
  <c r="AB260" s="1"/>
  <c r="AC260"/>
  <c r="AD260" s="1"/>
  <c r="AE260"/>
  <c r="AF260" s="1"/>
  <c r="AG260" s="1"/>
  <c r="AH260" s="1"/>
  <c r="AI260" s="1"/>
  <c r="AJ260" s="1"/>
  <c r="AK260" s="1"/>
  <c r="AL260" s="1"/>
  <c r="AM260" s="1"/>
  <c r="AN260" s="1"/>
  <c r="AO260" s="1"/>
  <c r="AP260" s="1"/>
  <c r="AA261"/>
  <c r="AB261" s="1"/>
  <c r="AC261" s="1"/>
  <c r="AD261" s="1"/>
  <c r="AE261" s="1"/>
  <c r="AF261" s="1"/>
  <c r="AG261" s="1"/>
  <c r="AH261" s="1"/>
  <c r="AI261" s="1"/>
  <c r="AJ261" s="1"/>
  <c r="AK261" s="1"/>
  <c r="AL261" s="1"/>
  <c r="AM261" s="1"/>
  <c r="AN261" s="1"/>
  <c r="AO261" s="1"/>
  <c r="AP261" s="1"/>
  <c r="AA262"/>
  <c r="AB262" s="1"/>
  <c r="AC262"/>
  <c r="AD262" s="1"/>
  <c r="AE262"/>
  <c r="AF262" s="1"/>
  <c r="AG262" s="1"/>
  <c r="AH262" s="1"/>
  <c r="AI262" s="1"/>
  <c r="AJ262" s="1"/>
  <c r="AK262" s="1"/>
  <c r="AL262" s="1"/>
  <c r="AM262" s="1"/>
  <c r="AN262" s="1"/>
  <c r="AO262" s="1"/>
  <c r="AP262" s="1"/>
  <c r="AA263"/>
  <c r="AB263" s="1"/>
  <c r="AC263" s="1"/>
  <c r="AD263" s="1"/>
  <c r="AE263" s="1"/>
  <c r="AF263" s="1"/>
  <c r="AG263" s="1"/>
  <c r="AH263" s="1"/>
  <c r="AI263" s="1"/>
  <c r="AJ263" s="1"/>
  <c r="AK263" s="1"/>
  <c r="AL263" s="1"/>
  <c r="AM263" s="1"/>
  <c r="AN263" s="1"/>
  <c r="AO263" s="1"/>
  <c r="AP263" s="1"/>
  <c r="AA264"/>
  <c r="AB264" s="1"/>
  <c r="AC264"/>
  <c r="AD264" s="1"/>
  <c r="AE264"/>
  <c r="AF264" s="1"/>
  <c r="AG264" s="1"/>
  <c r="AH264" s="1"/>
  <c r="AI264" s="1"/>
  <c r="AJ264" s="1"/>
  <c r="AK264" s="1"/>
  <c r="AL264" s="1"/>
  <c r="AM264" s="1"/>
  <c r="AN264" s="1"/>
  <c r="AO264" s="1"/>
  <c r="AP264" s="1"/>
  <c r="AA265"/>
  <c r="AB265" s="1"/>
  <c r="AC265" s="1"/>
  <c r="AD265" s="1"/>
  <c r="AE265" s="1"/>
  <c r="AF265" s="1"/>
  <c r="AG265" s="1"/>
  <c r="AH265" s="1"/>
  <c r="AI265" s="1"/>
  <c r="AJ265" s="1"/>
  <c r="AK265" s="1"/>
  <c r="AL265" s="1"/>
  <c r="AM265" s="1"/>
  <c r="AN265" s="1"/>
  <c r="AO265" s="1"/>
  <c r="AP265" s="1"/>
  <c r="AA266"/>
  <c r="AB266" s="1"/>
  <c r="AC266"/>
  <c r="AD266" s="1"/>
  <c r="AE266"/>
  <c r="AF266" s="1"/>
  <c r="AG266" s="1"/>
  <c r="AH266" s="1"/>
  <c r="AI266" s="1"/>
  <c r="AJ266" s="1"/>
  <c r="AK266" s="1"/>
  <c r="AL266" s="1"/>
  <c r="AM266" s="1"/>
  <c r="AN266" s="1"/>
  <c r="AO266" s="1"/>
  <c r="AP266" s="1"/>
  <c r="AA267"/>
  <c r="AB267" s="1"/>
  <c r="AC267" s="1"/>
  <c r="AD267" s="1"/>
  <c r="AE267" s="1"/>
  <c r="AF267" s="1"/>
  <c r="AG267" s="1"/>
  <c r="AH267" s="1"/>
  <c r="AI267" s="1"/>
  <c r="AJ267" s="1"/>
  <c r="AK267" s="1"/>
  <c r="AL267" s="1"/>
  <c r="AM267" s="1"/>
  <c r="AN267" s="1"/>
  <c r="AO267" s="1"/>
  <c r="AP267" s="1"/>
  <c r="AA268"/>
  <c r="AB268" s="1"/>
  <c r="AC268"/>
  <c r="AD268" s="1"/>
  <c r="AE268"/>
  <c r="AF268" s="1"/>
  <c r="AG268" s="1"/>
  <c r="AH268" s="1"/>
  <c r="AI268" s="1"/>
  <c r="AJ268" s="1"/>
  <c r="AK268" s="1"/>
  <c r="AL268" s="1"/>
  <c r="AM268" s="1"/>
  <c r="AN268" s="1"/>
  <c r="AO268" s="1"/>
  <c r="AP268" s="1"/>
  <c r="AA269"/>
  <c r="AB269" s="1"/>
  <c r="AC269" s="1"/>
  <c r="AD269" s="1"/>
  <c r="AE269" s="1"/>
  <c r="AF269" s="1"/>
  <c r="AG269" s="1"/>
  <c r="AH269" s="1"/>
  <c r="AI269" s="1"/>
  <c r="AJ269" s="1"/>
  <c r="AK269" s="1"/>
  <c r="AL269" s="1"/>
  <c r="AM269" s="1"/>
  <c r="AN269" s="1"/>
  <c r="AO269" s="1"/>
  <c r="AP269" s="1"/>
  <c r="AA270"/>
  <c r="AB270" s="1"/>
  <c r="AC270"/>
  <c r="AD270" s="1"/>
  <c r="AE270"/>
  <c r="AF270" s="1"/>
  <c r="AG270" s="1"/>
  <c r="AH270" s="1"/>
  <c r="AI270" s="1"/>
  <c r="AJ270" s="1"/>
  <c r="AK270" s="1"/>
  <c r="AL270" s="1"/>
  <c r="AM270" s="1"/>
  <c r="AN270" s="1"/>
  <c r="AO270" s="1"/>
  <c r="AP270" s="1"/>
  <c r="AA271"/>
  <c r="AB271" s="1"/>
  <c r="AC271" s="1"/>
  <c r="AD271" s="1"/>
  <c r="AE271" s="1"/>
  <c r="AF271" s="1"/>
  <c r="AG271" s="1"/>
  <c r="AH271" s="1"/>
  <c r="AI271" s="1"/>
  <c r="AJ271" s="1"/>
  <c r="AK271" s="1"/>
  <c r="AL271" s="1"/>
  <c r="AM271" s="1"/>
  <c r="AN271" s="1"/>
  <c r="AO271" s="1"/>
  <c r="AP271" s="1"/>
  <c r="AA272"/>
  <c r="AB272" s="1"/>
  <c r="AC272"/>
  <c r="AD272" s="1"/>
  <c r="AE272"/>
  <c r="AF272" s="1"/>
  <c r="AG272" s="1"/>
  <c r="AH272" s="1"/>
  <c r="AI272" s="1"/>
  <c r="AJ272" s="1"/>
  <c r="AK272" s="1"/>
  <c r="AL272" s="1"/>
  <c r="AM272" s="1"/>
  <c r="AN272" s="1"/>
  <c r="AO272" s="1"/>
  <c r="AP272" s="1"/>
  <c r="AA273"/>
  <c r="AB273" s="1"/>
  <c r="AC273" s="1"/>
  <c r="AD273" s="1"/>
  <c r="AE273" s="1"/>
  <c r="AF273" s="1"/>
  <c r="AG273" s="1"/>
  <c r="AH273" s="1"/>
  <c r="AI273" s="1"/>
  <c r="AJ273" s="1"/>
  <c r="AK273" s="1"/>
  <c r="AL273" s="1"/>
  <c r="AM273" s="1"/>
  <c r="AN273" s="1"/>
  <c r="AO273" s="1"/>
  <c r="AP273" s="1"/>
  <c r="AA274"/>
  <c r="AB274" s="1"/>
  <c r="AC274"/>
  <c r="AD274" s="1"/>
  <c r="AE274"/>
  <c r="AF274" s="1"/>
  <c r="AG274" s="1"/>
  <c r="AH274" s="1"/>
  <c r="AI274" s="1"/>
  <c r="AJ274" s="1"/>
  <c r="AK274" s="1"/>
  <c r="AL274" s="1"/>
  <c r="AM274" s="1"/>
  <c r="AN274" s="1"/>
  <c r="AO274" s="1"/>
  <c r="AP274" s="1"/>
  <c r="AA275"/>
  <c r="AB275" s="1"/>
  <c r="AC275" s="1"/>
  <c r="AD275" s="1"/>
  <c r="AE275" s="1"/>
  <c r="AF275" s="1"/>
  <c r="AG275" s="1"/>
  <c r="AH275" s="1"/>
  <c r="AI275" s="1"/>
  <c r="AJ275" s="1"/>
  <c r="AK275" s="1"/>
  <c r="AL275" s="1"/>
  <c r="AM275" s="1"/>
  <c r="AN275" s="1"/>
  <c r="AO275" s="1"/>
  <c r="AP275" s="1"/>
  <c r="AA276"/>
  <c r="AB276" s="1"/>
  <c r="AC276"/>
  <c r="AD276" s="1"/>
  <c r="AE276"/>
  <c r="AF276" s="1"/>
  <c r="AG276" s="1"/>
  <c r="AH276" s="1"/>
  <c r="AI276" s="1"/>
  <c r="AJ276" s="1"/>
  <c r="AK276" s="1"/>
  <c r="AL276" s="1"/>
  <c r="AM276" s="1"/>
  <c r="AN276" s="1"/>
  <c r="AO276" s="1"/>
  <c r="AP276" s="1"/>
  <c r="AA277"/>
  <c r="AB277" s="1"/>
  <c r="AC277" s="1"/>
  <c r="AD277" s="1"/>
  <c r="AE277" s="1"/>
  <c r="AF277" s="1"/>
  <c r="AG277" s="1"/>
  <c r="AH277" s="1"/>
  <c r="AI277" s="1"/>
  <c r="AJ277" s="1"/>
  <c r="AK277" s="1"/>
  <c r="AL277" s="1"/>
  <c r="AM277" s="1"/>
  <c r="AN277" s="1"/>
  <c r="AO277" s="1"/>
  <c r="AP277" s="1"/>
  <c r="AA278"/>
  <c r="AB278" s="1"/>
  <c r="AC278"/>
  <c r="AD278" s="1"/>
  <c r="AE278"/>
  <c r="AF278" s="1"/>
  <c r="AG278" s="1"/>
  <c r="AH278" s="1"/>
  <c r="AI278" s="1"/>
  <c r="AJ278" s="1"/>
  <c r="AK278" s="1"/>
  <c r="AL278" s="1"/>
  <c r="AM278" s="1"/>
  <c r="AN278" s="1"/>
  <c r="AO278" s="1"/>
  <c r="AP278" s="1"/>
  <c r="AA279"/>
  <c r="AB279" s="1"/>
  <c r="AC279" s="1"/>
  <c r="AD279" s="1"/>
  <c r="AE279" s="1"/>
  <c r="AF279" s="1"/>
  <c r="AG279" s="1"/>
  <c r="AH279" s="1"/>
  <c r="AI279" s="1"/>
  <c r="AJ279" s="1"/>
  <c r="AK279" s="1"/>
  <c r="AL279" s="1"/>
  <c r="AM279" s="1"/>
  <c r="AN279" s="1"/>
  <c r="AO279" s="1"/>
  <c r="AP279" s="1"/>
  <c r="AA280"/>
  <c r="AB280" s="1"/>
  <c r="AC280"/>
  <c r="AD280" s="1"/>
  <c r="AE280"/>
  <c r="AF280" s="1"/>
  <c r="AG280" s="1"/>
  <c r="AH280" s="1"/>
  <c r="AI280" s="1"/>
  <c r="AJ280" s="1"/>
  <c r="AK280" s="1"/>
  <c r="AL280" s="1"/>
  <c r="AM280" s="1"/>
  <c r="AN280" s="1"/>
  <c r="AO280" s="1"/>
  <c r="AP280" s="1"/>
  <c r="AA281"/>
  <c r="AB281" s="1"/>
  <c r="AC281" s="1"/>
  <c r="AD281" s="1"/>
  <c r="AE281" s="1"/>
  <c r="AF281" s="1"/>
  <c r="AG281" s="1"/>
  <c r="AH281" s="1"/>
  <c r="AI281" s="1"/>
  <c r="AJ281" s="1"/>
  <c r="AK281" s="1"/>
  <c r="AL281" s="1"/>
  <c r="AM281" s="1"/>
  <c r="AN281" s="1"/>
  <c r="AO281" s="1"/>
  <c r="AP281" s="1"/>
  <c r="AA282"/>
  <c r="AB282" s="1"/>
  <c r="AC282"/>
  <c r="AD282" s="1"/>
  <c r="AE282"/>
  <c r="AF282" s="1"/>
  <c r="AG282" s="1"/>
  <c r="AH282" s="1"/>
  <c r="AI282" s="1"/>
  <c r="AJ282" s="1"/>
  <c r="AK282" s="1"/>
  <c r="AL282" s="1"/>
  <c r="AM282" s="1"/>
  <c r="AN282" s="1"/>
  <c r="AO282" s="1"/>
  <c r="AP282" s="1"/>
  <c r="AA283"/>
  <c r="AB283" s="1"/>
  <c r="AC283" s="1"/>
  <c r="AD283" s="1"/>
  <c r="AE283" s="1"/>
  <c r="AF283" s="1"/>
  <c r="AG283" s="1"/>
  <c r="AH283" s="1"/>
  <c r="AI283" s="1"/>
  <c r="AJ283" s="1"/>
  <c r="AK283" s="1"/>
  <c r="AL283" s="1"/>
  <c r="AM283" s="1"/>
  <c r="AN283" s="1"/>
  <c r="AO283" s="1"/>
  <c r="AP283" s="1"/>
  <c r="AA284"/>
  <c r="AB284" s="1"/>
  <c r="AC284"/>
  <c r="AD284" s="1"/>
  <c r="AE284"/>
  <c r="AF284" s="1"/>
  <c r="AG284" s="1"/>
  <c r="AH284" s="1"/>
  <c r="AI284" s="1"/>
  <c r="AJ284" s="1"/>
  <c r="AK284" s="1"/>
  <c r="AL284" s="1"/>
  <c r="AM284" s="1"/>
  <c r="AN284" s="1"/>
  <c r="AO284" s="1"/>
  <c r="AP284" s="1"/>
  <c r="AA285"/>
  <c r="AB285" s="1"/>
  <c r="AC285" s="1"/>
  <c r="AD285" s="1"/>
  <c r="AE285" s="1"/>
  <c r="AF285" s="1"/>
  <c r="AG285" s="1"/>
  <c r="AH285" s="1"/>
  <c r="AI285" s="1"/>
  <c r="AJ285" s="1"/>
  <c r="AK285" s="1"/>
  <c r="AL285" s="1"/>
  <c r="AM285" s="1"/>
  <c r="AN285" s="1"/>
  <c r="AO285" s="1"/>
  <c r="AP285" s="1"/>
  <c r="AA286"/>
  <c r="AB286" s="1"/>
  <c r="AC286"/>
  <c r="AD286" s="1"/>
  <c r="AE286"/>
  <c r="AF286" s="1"/>
  <c r="AG286" s="1"/>
  <c r="AH286" s="1"/>
  <c r="AI286" s="1"/>
  <c r="AJ286" s="1"/>
  <c r="AK286" s="1"/>
  <c r="AL286" s="1"/>
  <c r="AM286" s="1"/>
  <c r="AN286" s="1"/>
  <c r="AO286" s="1"/>
  <c r="AP286" s="1"/>
  <c r="AA287"/>
  <c r="AB287" s="1"/>
  <c r="AC287" s="1"/>
  <c r="AD287" s="1"/>
  <c r="AE287" s="1"/>
  <c r="AF287" s="1"/>
  <c r="AG287" s="1"/>
  <c r="AH287" s="1"/>
  <c r="AI287" s="1"/>
  <c r="AJ287" s="1"/>
  <c r="AK287" s="1"/>
  <c r="AL287" s="1"/>
  <c r="AM287" s="1"/>
  <c r="AN287" s="1"/>
  <c r="AO287" s="1"/>
  <c r="AP287" s="1"/>
  <c r="AA288"/>
  <c r="AB288" s="1"/>
  <c r="AC288"/>
  <c r="AD288" s="1"/>
  <c r="AE288"/>
  <c r="AF288" s="1"/>
  <c r="AG288" s="1"/>
  <c r="AH288" s="1"/>
  <c r="AI288" s="1"/>
  <c r="AJ288" s="1"/>
  <c r="AK288" s="1"/>
  <c r="AL288" s="1"/>
  <c r="AM288" s="1"/>
  <c r="AN288" s="1"/>
  <c r="AO288" s="1"/>
  <c r="AP288" s="1"/>
  <c r="AA289"/>
  <c r="AB289" s="1"/>
  <c r="AC289" s="1"/>
  <c r="AD289" s="1"/>
  <c r="AE289" s="1"/>
  <c r="AF289" s="1"/>
  <c r="AG289" s="1"/>
  <c r="AH289" s="1"/>
  <c r="AI289" s="1"/>
  <c r="AJ289" s="1"/>
  <c r="AK289" s="1"/>
  <c r="AL289" s="1"/>
  <c r="AM289" s="1"/>
  <c r="AN289" s="1"/>
  <c r="AO289" s="1"/>
  <c r="AP289" s="1"/>
  <c r="AA290"/>
  <c r="AB290" s="1"/>
  <c r="AC290"/>
  <c r="AD290" s="1"/>
  <c r="AE290"/>
  <c r="AF290" s="1"/>
  <c r="AG290" s="1"/>
  <c r="AH290" s="1"/>
  <c r="AI290" s="1"/>
  <c r="AJ290" s="1"/>
  <c r="AK290" s="1"/>
  <c r="AL290" s="1"/>
  <c r="AM290" s="1"/>
  <c r="AN290" s="1"/>
  <c r="AO290" s="1"/>
  <c r="AP290" s="1"/>
  <c r="AA291"/>
  <c r="AB291" s="1"/>
  <c r="AC291" s="1"/>
  <c r="AD291" s="1"/>
  <c r="AE291" s="1"/>
  <c r="AF291" s="1"/>
  <c r="AG291" s="1"/>
  <c r="AH291" s="1"/>
  <c r="AI291" s="1"/>
  <c r="AJ291" s="1"/>
  <c r="AK291" s="1"/>
  <c r="AL291" s="1"/>
  <c r="AM291" s="1"/>
  <c r="AN291" s="1"/>
  <c r="AO291" s="1"/>
  <c r="AP291" s="1"/>
  <c r="AA292"/>
  <c r="AB292" s="1"/>
  <c r="AC292"/>
  <c r="AD292" s="1"/>
  <c r="AE292"/>
  <c r="AF292" s="1"/>
  <c r="AG292" s="1"/>
  <c r="AH292" s="1"/>
  <c r="AI292" s="1"/>
  <c r="AJ292" s="1"/>
  <c r="AK292" s="1"/>
  <c r="AL292" s="1"/>
  <c r="AM292" s="1"/>
  <c r="AN292" s="1"/>
  <c r="AO292" s="1"/>
  <c r="AP292" s="1"/>
  <c r="AA293"/>
  <c r="AB293" s="1"/>
  <c r="AC293" s="1"/>
  <c r="AD293" s="1"/>
  <c r="AE293" s="1"/>
  <c r="AF293" s="1"/>
  <c r="AG293" s="1"/>
  <c r="AH293" s="1"/>
  <c r="AI293" s="1"/>
  <c r="AJ293" s="1"/>
  <c r="AK293" s="1"/>
  <c r="AL293" s="1"/>
  <c r="AM293" s="1"/>
  <c r="AN293" s="1"/>
  <c r="AO293" s="1"/>
  <c r="AP293" s="1"/>
  <c r="AA294"/>
  <c r="AB294" s="1"/>
  <c r="AC294"/>
  <c r="AD294" s="1"/>
  <c r="AE294"/>
  <c r="AF294" s="1"/>
  <c r="AG294" s="1"/>
  <c r="AH294" s="1"/>
  <c r="AI294" s="1"/>
  <c r="AJ294" s="1"/>
  <c r="AK294" s="1"/>
  <c r="AL294" s="1"/>
  <c r="AM294" s="1"/>
  <c r="AN294" s="1"/>
  <c r="AO294" s="1"/>
  <c r="AP294" s="1"/>
  <c r="AA295"/>
  <c r="AB295" s="1"/>
  <c r="AC295" s="1"/>
  <c r="AD295" s="1"/>
  <c r="AE295" s="1"/>
  <c r="AF295" s="1"/>
  <c r="AG295" s="1"/>
  <c r="AH295" s="1"/>
  <c r="AI295" s="1"/>
  <c r="AJ295" s="1"/>
  <c r="AK295" s="1"/>
  <c r="AL295" s="1"/>
  <c r="AM295" s="1"/>
  <c r="AN295" s="1"/>
  <c r="AO295" s="1"/>
  <c r="AP295" s="1"/>
  <c r="AA296"/>
  <c r="AB296" s="1"/>
  <c r="AC296"/>
  <c r="AD296" s="1"/>
  <c r="AE296"/>
  <c r="AF296" s="1"/>
  <c r="AG296" s="1"/>
  <c r="AH296" s="1"/>
  <c r="AI296" s="1"/>
  <c r="AJ296" s="1"/>
  <c r="AK296" s="1"/>
  <c r="AL296" s="1"/>
  <c r="AM296" s="1"/>
  <c r="AN296" s="1"/>
  <c r="AO296" s="1"/>
  <c r="AP296" s="1"/>
  <c r="AA297"/>
  <c r="AB297" s="1"/>
  <c r="AC297" s="1"/>
  <c r="AD297" s="1"/>
  <c r="AE297" s="1"/>
  <c r="AF297" s="1"/>
  <c r="AG297" s="1"/>
  <c r="AH297" s="1"/>
  <c r="AI297" s="1"/>
  <c r="AJ297" s="1"/>
  <c r="AK297" s="1"/>
  <c r="AL297" s="1"/>
  <c r="AM297" s="1"/>
  <c r="AN297" s="1"/>
  <c r="AO297" s="1"/>
  <c r="AP297" s="1"/>
  <c r="AA298"/>
  <c r="AB298" s="1"/>
  <c r="AC298"/>
  <c r="AD298" s="1"/>
  <c r="AE298"/>
  <c r="AF298" s="1"/>
  <c r="AG298" s="1"/>
  <c r="AH298" s="1"/>
  <c r="AI298" s="1"/>
  <c r="AJ298" s="1"/>
  <c r="AK298" s="1"/>
  <c r="AL298" s="1"/>
  <c r="AM298" s="1"/>
  <c r="AN298" s="1"/>
  <c r="AO298" s="1"/>
  <c r="AP298" s="1"/>
  <c r="AA299"/>
  <c r="AB299" s="1"/>
  <c r="AC299" s="1"/>
  <c r="AD299" s="1"/>
  <c r="AE299" s="1"/>
  <c r="AF299" s="1"/>
  <c r="AG299" s="1"/>
  <c r="AH299" s="1"/>
  <c r="AI299" s="1"/>
  <c r="AJ299" s="1"/>
  <c r="AK299" s="1"/>
  <c r="AL299" s="1"/>
  <c r="AM299" s="1"/>
  <c r="AN299" s="1"/>
  <c r="AO299" s="1"/>
  <c r="AP299" s="1"/>
  <c r="AA300"/>
  <c r="AB300" s="1"/>
  <c r="AC300"/>
  <c r="AD300" s="1"/>
  <c r="AE300"/>
  <c r="AF300" s="1"/>
  <c r="AG300" s="1"/>
  <c r="AH300" s="1"/>
  <c r="AI300" s="1"/>
  <c r="AJ300" s="1"/>
  <c r="AK300" s="1"/>
  <c r="AL300" s="1"/>
  <c r="AM300" s="1"/>
  <c r="AN300" s="1"/>
  <c r="AO300" s="1"/>
  <c r="AP300" s="1"/>
  <c r="AA301"/>
  <c r="AB301" s="1"/>
  <c r="AC301" s="1"/>
  <c r="AD301" s="1"/>
  <c r="AE301" s="1"/>
  <c r="AF301" s="1"/>
  <c r="AG301" s="1"/>
  <c r="AH301" s="1"/>
  <c r="AI301" s="1"/>
  <c r="AJ301" s="1"/>
  <c r="AK301" s="1"/>
  <c r="AL301" s="1"/>
  <c r="AM301" s="1"/>
  <c r="AN301" s="1"/>
  <c r="AO301" s="1"/>
  <c r="AP301" s="1"/>
  <c r="AA302"/>
  <c r="AB302" s="1"/>
  <c r="AC302"/>
  <c r="AD302" s="1"/>
  <c r="AE302"/>
  <c r="AF302" s="1"/>
  <c r="AG302" s="1"/>
  <c r="AH302" s="1"/>
  <c r="AI302" s="1"/>
  <c r="AJ302" s="1"/>
  <c r="AK302" s="1"/>
  <c r="AL302" s="1"/>
  <c r="AM302" s="1"/>
  <c r="AN302" s="1"/>
  <c r="AO302" s="1"/>
  <c r="AP302" s="1"/>
  <c r="AA303"/>
  <c r="AB303" s="1"/>
  <c r="AC303" s="1"/>
  <c r="AD303" s="1"/>
  <c r="AE303" s="1"/>
  <c r="AF303" s="1"/>
  <c r="AG303" s="1"/>
  <c r="AH303" s="1"/>
  <c r="AI303" s="1"/>
  <c r="AJ303" s="1"/>
  <c r="AK303" s="1"/>
  <c r="AL303" s="1"/>
  <c r="AM303" s="1"/>
  <c r="AN303" s="1"/>
  <c r="AO303" s="1"/>
  <c r="AP303" s="1"/>
  <c r="AA304"/>
  <c r="AB304" s="1"/>
  <c r="AC304"/>
  <c r="AD304" s="1"/>
  <c r="AE304"/>
  <c r="AF304" s="1"/>
  <c r="AG304" s="1"/>
  <c r="AH304" s="1"/>
  <c r="AI304" s="1"/>
  <c r="AJ304" s="1"/>
  <c r="AK304" s="1"/>
  <c r="AL304" s="1"/>
  <c r="AM304" s="1"/>
  <c r="AN304" s="1"/>
  <c r="AO304" s="1"/>
  <c r="AP304" s="1"/>
  <c r="AA305"/>
  <c r="AB305" s="1"/>
  <c r="AC305" s="1"/>
  <c r="AD305" s="1"/>
  <c r="AE305" s="1"/>
  <c r="AF305" s="1"/>
  <c r="AG305" s="1"/>
  <c r="AH305" s="1"/>
  <c r="AI305" s="1"/>
  <c r="AJ305" s="1"/>
  <c r="AK305" s="1"/>
  <c r="AL305" s="1"/>
  <c r="AM305" s="1"/>
  <c r="AN305" s="1"/>
  <c r="AO305" s="1"/>
  <c r="AP305" s="1"/>
  <c r="AA306"/>
  <c r="AB306" s="1"/>
  <c r="AC306"/>
  <c r="AD306" s="1"/>
  <c r="AE306"/>
  <c r="AF306" s="1"/>
  <c r="AG306" s="1"/>
  <c r="AH306" s="1"/>
  <c r="AI306" s="1"/>
  <c r="AJ306" s="1"/>
  <c r="AK306" s="1"/>
  <c r="AL306" s="1"/>
  <c r="AM306" s="1"/>
  <c r="AN306" s="1"/>
  <c r="AO306" s="1"/>
  <c r="AP306" s="1"/>
  <c r="AA307"/>
  <c r="AB307" s="1"/>
  <c r="AC307" s="1"/>
  <c r="AD307" s="1"/>
  <c r="AE307" s="1"/>
  <c r="AF307" s="1"/>
  <c r="AG307" s="1"/>
  <c r="AH307" s="1"/>
  <c r="AI307" s="1"/>
  <c r="AJ307" s="1"/>
  <c r="AK307" s="1"/>
  <c r="AL307" s="1"/>
  <c r="AM307" s="1"/>
  <c r="AN307" s="1"/>
  <c r="AO307" s="1"/>
  <c r="AP307" s="1"/>
  <c r="AA308"/>
  <c r="AB308" s="1"/>
  <c r="AC308"/>
  <c r="AD308" s="1"/>
  <c r="AE308"/>
  <c r="AF308" s="1"/>
  <c r="AG308" s="1"/>
  <c r="AH308" s="1"/>
  <c r="AI308" s="1"/>
  <c r="AJ308" s="1"/>
  <c r="AK308" s="1"/>
  <c r="AL308" s="1"/>
  <c r="AM308" s="1"/>
  <c r="AN308" s="1"/>
  <c r="AO308" s="1"/>
  <c r="AP308" s="1"/>
  <c r="AA309"/>
  <c r="AB309" s="1"/>
  <c r="AC309" s="1"/>
  <c r="AD309" s="1"/>
  <c r="AE309" s="1"/>
  <c r="AF309" s="1"/>
  <c r="AG309" s="1"/>
  <c r="AH309" s="1"/>
  <c r="AI309" s="1"/>
  <c r="AJ309" s="1"/>
  <c r="AK309" s="1"/>
  <c r="AL309" s="1"/>
  <c r="AM309" s="1"/>
  <c r="AN309" s="1"/>
  <c r="AO309" s="1"/>
  <c r="AP309" s="1"/>
  <c r="AA310"/>
  <c r="AB310" s="1"/>
  <c r="AC310"/>
  <c r="AD310" s="1"/>
  <c r="AE310"/>
  <c r="AF310" s="1"/>
  <c r="AG310" s="1"/>
  <c r="AH310" s="1"/>
  <c r="AI310" s="1"/>
  <c r="AJ310" s="1"/>
  <c r="AK310" s="1"/>
  <c r="AL310" s="1"/>
  <c r="AM310" s="1"/>
  <c r="AN310" s="1"/>
  <c r="AO310" s="1"/>
  <c r="AP310" s="1"/>
  <c r="AA311"/>
  <c r="AB311" s="1"/>
  <c r="AC311" s="1"/>
  <c r="AD311" s="1"/>
  <c r="AE311" s="1"/>
  <c r="AF311" s="1"/>
  <c r="AG311" s="1"/>
  <c r="AH311" s="1"/>
  <c r="AI311" s="1"/>
  <c r="AJ311" s="1"/>
  <c r="AK311" s="1"/>
  <c r="AL311" s="1"/>
  <c r="AM311" s="1"/>
  <c r="AN311" s="1"/>
  <c r="AO311" s="1"/>
  <c r="AP311" s="1"/>
  <c r="AA312"/>
  <c r="AB312" s="1"/>
  <c r="AC312"/>
  <c r="AD312" s="1"/>
  <c r="AE312"/>
  <c r="AF312" s="1"/>
  <c r="AG312" s="1"/>
  <c r="AH312" s="1"/>
  <c r="AI312" s="1"/>
  <c r="AJ312" s="1"/>
  <c r="AK312" s="1"/>
  <c r="AL312" s="1"/>
  <c r="AM312" s="1"/>
  <c r="AN312" s="1"/>
  <c r="AO312" s="1"/>
  <c r="AP312" s="1"/>
  <c r="AA313"/>
  <c r="AB313" s="1"/>
  <c r="AC313" s="1"/>
  <c r="AD313" s="1"/>
  <c r="AE313" s="1"/>
  <c r="AF313" s="1"/>
  <c r="AG313" s="1"/>
  <c r="AH313" s="1"/>
  <c r="AI313" s="1"/>
  <c r="AJ313" s="1"/>
  <c r="AK313" s="1"/>
  <c r="AL313" s="1"/>
  <c r="AM313" s="1"/>
  <c r="AN313" s="1"/>
  <c r="AO313" s="1"/>
  <c r="AP313" s="1"/>
  <c r="AA314"/>
  <c r="AB314" s="1"/>
  <c r="AC314"/>
  <c r="AD314" s="1"/>
  <c r="AE314"/>
  <c r="AF314" s="1"/>
  <c r="AG314" s="1"/>
  <c r="AH314" s="1"/>
  <c r="AI314" s="1"/>
  <c r="AJ314" s="1"/>
  <c r="AK314" s="1"/>
  <c r="AL314" s="1"/>
  <c r="AM314" s="1"/>
  <c r="AN314" s="1"/>
  <c r="AO314" s="1"/>
  <c r="AP314" s="1"/>
  <c r="AA315"/>
  <c r="AB315" s="1"/>
  <c r="AC315" s="1"/>
  <c r="AD315" s="1"/>
  <c r="AE315" s="1"/>
  <c r="AF315" s="1"/>
  <c r="AG315" s="1"/>
  <c r="AH315" s="1"/>
  <c r="AI315" s="1"/>
  <c r="AJ315" s="1"/>
  <c r="AK315" s="1"/>
  <c r="AL315" s="1"/>
  <c r="AM315" s="1"/>
  <c r="AN315" s="1"/>
  <c r="AO315" s="1"/>
  <c r="AP315" s="1"/>
  <c r="AA316"/>
  <c r="AB316" s="1"/>
  <c r="AC316"/>
  <c r="AD316" s="1"/>
  <c r="AE316"/>
  <c r="AF316" s="1"/>
  <c r="AG316" s="1"/>
  <c r="AH316" s="1"/>
  <c r="AI316" s="1"/>
  <c r="AJ316" s="1"/>
  <c r="AK316" s="1"/>
  <c r="AL316" s="1"/>
  <c r="AM316" s="1"/>
  <c r="AN316" s="1"/>
  <c r="AO316" s="1"/>
  <c r="AP316" s="1"/>
  <c r="AA317"/>
  <c r="AB317" s="1"/>
  <c r="AC317" s="1"/>
  <c r="AD317" s="1"/>
  <c r="AE317" s="1"/>
  <c r="AF317" s="1"/>
  <c r="AG317" s="1"/>
  <c r="AH317" s="1"/>
  <c r="AI317" s="1"/>
  <c r="AJ317" s="1"/>
  <c r="AK317" s="1"/>
  <c r="AL317" s="1"/>
  <c r="AM317" s="1"/>
  <c r="AN317" s="1"/>
  <c r="AO317" s="1"/>
  <c r="AP317" s="1"/>
  <c r="AA318"/>
  <c r="AB318" s="1"/>
  <c r="AC318"/>
  <c r="AD318" s="1"/>
  <c r="AE318"/>
  <c r="AF318" s="1"/>
  <c r="AG318" s="1"/>
  <c r="AH318" s="1"/>
  <c r="AI318" s="1"/>
  <c r="AJ318" s="1"/>
  <c r="AK318" s="1"/>
  <c r="AL318" s="1"/>
  <c r="AM318" s="1"/>
  <c r="AN318" s="1"/>
  <c r="AO318" s="1"/>
  <c r="AP318" s="1"/>
  <c r="AA319"/>
  <c r="AB319" s="1"/>
  <c r="AC319" s="1"/>
  <c r="AD319" s="1"/>
  <c r="AE319" s="1"/>
  <c r="AF319" s="1"/>
  <c r="AG319" s="1"/>
  <c r="AH319" s="1"/>
  <c r="AI319" s="1"/>
  <c r="AJ319" s="1"/>
  <c r="AK319" s="1"/>
  <c r="AL319" s="1"/>
  <c r="AM319" s="1"/>
  <c r="AN319" s="1"/>
  <c r="AO319" s="1"/>
  <c r="AP319" s="1"/>
  <c r="AA320"/>
  <c r="AB320" s="1"/>
  <c r="AC320"/>
  <c r="AD320" s="1"/>
  <c r="AE320"/>
  <c r="AF320" s="1"/>
  <c r="AG320" s="1"/>
  <c r="AH320" s="1"/>
  <c r="AI320" s="1"/>
  <c r="AJ320" s="1"/>
  <c r="AK320" s="1"/>
  <c r="AL320" s="1"/>
  <c r="AM320" s="1"/>
  <c r="AN320" s="1"/>
  <c r="AO320" s="1"/>
  <c r="AP320" s="1"/>
  <c r="AA321"/>
  <c r="AB321" s="1"/>
  <c r="AC321" s="1"/>
  <c r="AD321" s="1"/>
  <c r="AE321" s="1"/>
  <c r="AF321" s="1"/>
  <c r="AG321" s="1"/>
  <c r="AH321" s="1"/>
  <c r="AI321" s="1"/>
  <c r="AJ321" s="1"/>
  <c r="AK321" s="1"/>
  <c r="AL321" s="1"/>
  <c r="AM321" s="1"/>
  <c r="AN321" s="1"/>
  <c r="AO321" s="1"/>
  <c r="AP321" s="1"/>
  <c r="AA322"/>
  <c r="AB322" s="1"/>
  <c r="AC322"/>
  <c r="AD322" s="1"/>
  <c r="AE322"/>
  <c r="AF322" s="1"/>
  <c r="AG322" s="1"/>
  <c r="AH322" s="1"/>
  <c r="AI322" s="1"/>
  <c r="AJ322" s="1"/>
  <c r="AK322" s="1"/>
  <c r="AL322" s="1"/>
  <c r="AM322" s="1"/>
  <c r="AN322" s="1"/>
  <c r="AO322" s="1"/>
  <c r="AP322" s="1"/>
  <c r="AA323"/>
  <c r="AB323" s="1"/>
  <c r="AC323" s="1"/>
  <c r="AD323" s="1"/>
  <c r="AE323" s="1"/>
  <c r="AF323" s="1"/>
  <c r="AG323" s="1"/>
  <c r="AH323" s="1"/>
  <c r="AI323" s="1"/>
  <c r="AJ323" s="1"/>
  <c r="AK323" s="1"/>
  <c r="AL323" s="1"/>
  <c r="AM323" s="1"/>
  <c r="AN323" s="1"/>
  <c r="AO323" s="1"/>
  <c r="AP323" s="1"/>
  <c r="AA324"/>
  <c r="AB324" s="1"/>
  <c r="AC324"/>
  <c r="AD324" s="1"/>
  <c r="AE324"/>
  <c r="AF324" s="1"/>
  <c r="AG324" s="1"/>
  <c r="AH324" s="1"/>
  <c r="AI324" s="1"/>
  <c r="AJ324" s="1"/>
  <c r="AK324" s="1"/>
  <c r="AL324" s="1"/>
  <c r="AM324" s="1"/>
  <c r="AN324" s="1"/>
  <c r="AO324" s="1"/>
  <c r="AP324" s="1"/>
  <c r="AA325"/>
  <c r="AB325" s="1"/>
  <c r="AC325" s="1"/>
  <c r="AD325" s="1"/>
  <c r="AE325" s="1"/>
  <c r="AF325" s="1"/>
  <c r="AG325" s="1"/>
  <c r="AH325" s="1"/>
  <c r="AI325" s="1"/>
  <c r="AJ325" s="1"/>
  <c r="AK325" s="1"/>
  <c r="AL325" s="1"/>
  <c r="AM325" s="1"/>
  <c r="AN325" s="1"/>
  <c r="AO325" s="1"/>
  <c r="AP325" s="1"/>
  <c r="AA326"/>
  <c r="AB326" s="1"/>
  <c r="AC326"/>
  <c r="AD326" s="1"/>
  <c r="AE326"/>
  <c r="AF326" s="1"/>
  <c r="AG326" s="1"/>
  <c r="AH326" s="1"/>
  <c r="AI326" s="1"/>
  <c r="AJ326" s="1"/>
  <c r="AK326" s="1"/>
  <c r="AL326" s="1"/>
  <c r="AM326" s="1"/>
  <c r="AN326" s="1"/>
  <c r="AO326" s="1"/>
  <c r="AP326" s="1"/>
  <c r="AA327"/>
  <c r="AB327" s="1"/>
  <c r="AC327" s="1"/>
  <c r="AD327" s="1"/>
  <c r="AE327" s="1"/>
  <c r="AF327" s="1"/>
  <c r="AG327" s="1"/>
  <c r="AH327" s="1"/>
  <c r="AI327" s="1"/>
  <c r="AJ327" s="1"/>
  <c r="AK327" s="1"/>
  <c r="AL327" s="1"/>
  <c r="AM327" s="1"/>
  <c r="AN327" s="1"/>
  <c r="AO327" s="1"/>
  <c r="AP327" s="1"/>
  <c r="AA328"/>
  <c r="AB328" s="1"/>
  <c r="AC328"/>
  <c r="AD328" s="1"/>
  <c r="AE328"/>
  <c r="AF328" s="1"/>
  <c r="AG328" s="1"/>
  <c r="AH328" s="1"/>
  <c r="AI328" s="1"/>
  <c r="AJ328" s="1"/>
  <c r="AK328" s="1"/>
  <c r="AL328" s="1"/>
  <c r="AM328" s="1"/>
  <c r="AN328" s="1"/>
  <c r="AO328" s="1"/>
  <c r="AP328" s="1"/>
  <c r="AA329"/>
  <c r="AB329" s="1"/>
  <c r="AC329" s="1"/>
  <c r="AD329" s="1"/>
  <c r="AE329" s="1"/>
  <c r="AF329" s="1"/>
  <c r="AG329" s="1"/>
  <c r="AH329" s="1"/>
  <c r="AI329" s="1"/>
  <c r="AJ329" s="1"/>
  <c r="AK329" s="1"/>
  <c r="AL329" s="1"/>
  <c r="AM329" s="1"/>
  <c r="AN329" s="1"/>
  <c r="AO329" s="1"/>
  <c r="AP329" s="1"/>
  <c r="AA330"/>
  <c r="AB330" s="1"/>
  <c r="AC330"/>
  <c r="AD330" s="1"/>
  <c r="AE330"/>
  <c r="AF330" s="1"/>
  <c r="AG330" s="1"/>
  <c r="AH330" s="1"/>
  <c r="AI330" s="1"/>
  <c r="AJ330" s="1"/>
  <c r="AK330" s="1"/>
  <c r="AL330" s="1"/>
  <c r="AM330" s="1"/>
  <c r="AN330" s="1"/>
  <c r="AO330" s="1"/>
  <c r="AP330" s="1"/>
  <c r="AA331"/>
  <c r="AB331" s="1"/>
  <c r="AC331" s="1"/>
  <c r="AD331" s="1"/>
  <c r="AE331" s="1"/>
  <c r="AF331" s="1"/>
  <c r="AG331" s="1"/>
  <c r="AH331" s="1"/>
  <c r="AI331" s="1"/>
  <c r="AJ331" s="1"/>
  <c r="AK331" s="1"/>
  <c r="AL331" s="1"/>
  <c r="AM331" s="1"/>
  <c r="AN331" s="1"/>
  <c r="AO331" s="1"/>
  <c r="AP331" s="1"/>
  <c r="AA332"/>
  <c r="AB332" s="1"/>
  <c r="AC332"/>
  <c r="AD332" s="1"/>
  <c r="AE332"/>
  <c r="AF332" s="1"/>
  <c r="AG332" s="1"/>
  <c r="AH332" s="1"/>
  <c r="AI332" s="1"/>
  <c r="AJ332" s="1"/>
  <c r="AK332" s="1"/>
  <c r="AL332" s="1"/>
  <c r="AM332" s="1"/>
  <c r="AN332" s="1"/>
  <c r="AO332" s="1"/>
  <c r="AP332" s="1"/>
  <c r="AA333"/>
  <c r="AB333" s="1"/>
  <c r="AC333" s="1"/>
  <c r="AD333" s="1"/>
  <c r="AE333" s="1"/>
  <c r="AF333" s="1"/>
  <c r="AG333" s="1"/>
  <c r="AH333" s="1"/>
  <c r="AI333" s="1"/>
  <c r="AJ333" s="1"/>
  <c r="AK333" s="1"/>
  <c r="AL333" s="1"/>
  <c r="AM333" s="1"/>
  <c r="AN333" s="1"/>
  <c r="AO333" s="1"/>
  <c r="AP333" s="1"/>
  <c r="AA334"/>
  <c r="AB334" s="1"/>
  <c r="AC334"/>
  <c r="AD334" s="1"/>
  <c r="AE334"/>
  <c r="AF334" s="1"/>
  <c r="AG334" s="1"/>
  <c r="AH334" s="1"/>
  <c r="AI334" s="1"/>
  <c r="AJ334" s="1"/>
  <c r="AK334" s="1"/>
  <c r="AL334" s="1"/>
  <c r="AM334" s="1"/>
  <c r="AN334" s="1"/>
  <c r="AO334" s="1"/>
  <c r="AP334" s="1"/>
  <c r="AA335"/>
  <c r="AB335" s="1"/>
  <c r="AC335" s="1"/>
  <c r="AD335" s="1"/>
  <c r="AE335" s="1"/>
  <c r="AF335" s="1"/>
  <c r="AG335" s="1"/>
  <c r="AH335" s="1"/>
  <c r="AI335" s="1"/>
  <c r="AJ335" s="1"/>
  <c r="AK335" s="1"/>
  <c r="AL335" s="1"/>
  <c r="AM335" s="1"/>
  <c r="AN335" s="1"/>
  <c r="AO335" s="1"/>
  <c r="AP335" s="1"/>
  <c r="AA336"/>
  <c r="AB336" s="1"/>
  <c r="AC336"/>
  <c r="AD336" s="1"/>
  <c r="AE336"/>
  <c r="AF336" s="1"/>
  <c r="AG336" s="1"/>
  <c r="AH336" s="1"/>
  <c r="AI336" s="1"/>
  <c r="AJ336" s="1"/>
  <c r="AK336" s="1"/>
  <c r="AL336" s="1"/>
  <c r="AM336" s="1"/>
  <c r="AN336" s="1"/>
  <c r="AO336" s="1"/>
  <c r="AP336" s="1"/>
  <c r="AA337"/>
  <c r="AB337" s="1"/>
  <c r="AC337" s="1"/>
  <c r="AD337" s="1"/>
  <c r="AE337" s="1"/>
  <c r="AF337" s="1"/>
  <c r="AG337" s="1"/>
  <c r="AH337" s="1"/>
  <c r="AI337" s="1"/>
  <c r="AJ337" s="1"/>
  <c r="AK337" s="1"/>
  <c r="AL337" s="1"/>
  <c r="AM337" s="1"/>
  <c r="AN337" s="1"/>
  <c r="AO337" s="1"/>
  <c r="AP337" s="1"/>
  <c r="AA338"/>
  <c r="AB338" s="1"/>
  <c r="AC338"/>
  <c r="AD338" s="1"/>
  <c r="AE338"/>
  <c r="AF338" s="1"/>
  <c r="AG338" s="1"/>
  <c r="AH338" s="1"/>
  <c r="AI338" s="1"/>
  <c r="AJ338" s="1"/>
  <c r="AK338" s="1"/>
  <c r="AL338" s="1"/>
  <c r="AM338" s="1"/>
  <c r="AN338" s="1"/>
  <c r="AO338" s="1"/>
  <c r="AP338" s="1"/>
  <c r="AA339"/>
  <c r="AB339" s="1"/>
  <c r="AC339" s="1"/>
  <c r="AD339" s="1"/>
  <c r="AE339" s="1"/>
  <c r="AF339" s="1"/>
  <c r="AG339" s="1"/>
  <c r="AH339" s="1"/>
  <c r="AI339" s="1"/>
  <c r="AJ339" s="1"/>
  <c r="AK339" s="1"/>
  <c r="AL339" s="1"/>
  <c r="AM339" s="1"/>
  <c r="AN339" s="1"/>
  <c r="AO339" s="1"/>
  <c r="AP339" s="1"/>
  <c r="AA340"/>
  <c r="AB340" s="1"/>
  <c r="AC340"/>
  <c r="AD340" s="1"/>
  <c r="AE340"/>
  <c r="AF340" s="1"/>
  <c r="AG340" s="1"/>
  <c r="AH340" s="1"/>
  <c r="AI340" s="1"/>
  <c r="AJ340" s="1"/>
  <c r="AK340" s="1"/>
  <c r="AL340" s="1"/>
  <c r="AM340" s="1"/>
  <c r="AN340" s="1"/>
  <c r="AO340" s="1"/>
  <c r="AP340" s="1"/>
  <c r="AA341"/>
  <c r="AB341" s="1"/>
  <c r="AC341" s="1"/>
  <c r="AD341" s="1"/>
  <c r="AE341" s="1"/>
  <c r="AF341" s="1"/>
  <c r="AG341" s="1"/>
  <c r="AH341" s="1"/>
  <c r="AI341" s="1"/>
  <c r="AJ341" s="1"/>
  <c r="AK341" s="1"/>
  <c r="AL341" s="1"/>
  <c r="AM341" s="1"/>
  <c r="AN341" s="1"/>
  <c r="AO341" s="1"/>
  <c r="AP341" s="1"/>
  <c r="AA342"/>
  <c r="AB342" s="1"/>
  <c r="AC342"/>
  <c r="AD342" s="1"/>
  <c r="AE342"/>
  <c r="AF342" s="1"/>
  <c r="AG342" s="1"/>
  <c r="AH342" s="1"/>
  <c r="AI342" s="1"/>
  <c r="AJ342" s="1"/>
  <c r="AK342" s="1"/>
  <c r="AL342" s="1"/>
  <c r="AM342" s="1"/>
  <c r="AN342" s="1"/>
  <c r="AO342" s="1"/>
  <c r="AP342" s="1"/>
  <c r="AA343"/>
  <c r="AB343" s="1"/>
  <c r="AC343" s="1"/>
  <c r="AD343" s="1"/>
  <c r="AE343" s="1"/>
  <c r="AF343" s="1"/>
  <c r="AG343" s="1"/>
  <c r="AH343" s="1"/>
  <c r="AI343" s="1"/>
  <c r="AJ343" s="1"/>
  <c r="AK343" s="1"/>
  <c r="AL343" s="1"/>
  <c r="AM343" s="1"/>
  <c r="AN343" s="1"/>
  <c r="AO343" s="1"/>
  <c r="AP343" s="1"/>
  <c r="AA344"/>
  <c r="AB344" s="1"/>
  <c r="AC344"/>
  <c r="AD344" s="1"/>
  <c r="AE344"/>
  <c r="AF344" s="1"/>
  <c r="AG344" s="1"/>
  <c r="AH344" s="1"/>
  <c r="AI344" s="1"/>
  <c r="AJ344" s="1"/>
  <c r="AK344" s="1"/>
  <c r="AL344" s="1"/>
  <c r="AM344" s="1"/>
  <c r="AN344" s="1"/>
  <c r="AO344" s="1"/>
  <c r="AP344" s="1"/>
  <c r="AA346"/>
  <c r="AB346" s="1"/>
  <c r="AC346" s="1"/>
  <c r="AD346" s="1"/>
  <c r="AE346" s="1"/>
  <c r="AF346" s="1"/>
  <c r="AG346" s="1"/>
  <c r="AH346" s="1"/>
  <c r="AI346" s="1"/>
  <c r="AJ346" s="1"/>
  <c r="AK346" s="1"/>
  <c r="AL346" s="1"/>
  <c r="AM346" s="1"/>
  <c r="AN346" s="1"/>
  <c r="AO346" s="1"/>
  <c r="AP346" s="1"/>
  <c r="AA347"/>
  <c r="AB347" s="1"/>
  <c r="AC347"/>
  <c r="AD347" s="1"/>
  <c r="AE347"/>
  <c r="AF347" s="1"/>
  <c r="AG347" s="1"/>
  <c r="AH347" s="1"/>
  <c r="AI347" s="1"/>
  <c r="AJ347" s="1"/>
  <c r="AK347" s="1"/>
  <c r="AL347" s="1"/>
  <c r="AM347" s="1"/>
  <c r="AN347" s="1"/>
  <c r="AO347" s="1"/>
  <c r="AP347" s="1"/>
  <c r="AA348"/>
  <c r="AB348" s="1"/>
  <c r="AC348" s="1"/>
  <c r="AD348" s="1"/>
  <c r="AE348" s="1"/>
  <c r="AF348" s="1"/>
  <c r="AG348" s="1"/>
  <c r="AH348" s="1"/>
  <c r="AI348" s="1"/>
  <c r="AJ348" s="1"/>
  <c r="AK348" s="1"/>
  <c r="AL348" s="1"/>
  <c r="AM348" s="1"/>
  <c r="AN348" s="1"/>
  <c r="AO348" s="1"/>
  <c r="AP348" s="1"/>
  <c r="AA349"/>
  <c r="AB349" s="1"/>
  <c r="AC349"/>
  <c r="AD349" s="1"/>
  <c r="AE349"/>
  <c r="AF349" s="1"/>
  <c r="AG349" s="1"/>
  <c r="AH349" s="1"/>
  <c r="AI349" s="1"/>
  <c r="AJ349" s="1"/>
  <c r="AK349" s="1"/>
  <c r="AL349" s="1"/>
  <c r="AM349" s="1"/>
  <c r="AN349" s="1"/>
  <c r="AO349" s="1"/>
  <c r="AP349" s="1"/>
  <c r="AA350"/>
  <c r="AB350" s="1"/>
  <c r="AC350" s="1"/>
  <c r="AD350" s="1"/>
  <c r="AE350" s="1"/>
  <c r="AF350" s="1"/>
  <c r="AG350" s="1"/>
  <c r="AH350" s="1"/>
  <c r="AI350" s="1"/>
  <c r="AJ350" s="1"/>
  <c r="AK350" s="1"/>
  <c r="AL350" s="1"/>
  <c r="AM350" s="1"/>
  <c r="AN350" s="1"/>
  <c r="AO350" s="1"/>
  <c r="AP350" s="1"/>
  <c r="AA351"/>
  <c r="AB351" s="1"/>
  <c r="AC351"/>
  <c r="AD351" s="1"/>
  <c r="AE351"/>
  <c r="AF351" s="1"/>
  <c r="AG351" s="1"/>
  <c r="AH351" s="1"/>
  <c r="AI351" s="1"/>
  <c r="AJ351" s="1"/>
  <c r="AK351" s="1"/>
  <c r="AL351" s="1"/>
  <c r="AM351" s="1"/>
  <c r="AN351" s="1"/>
  <c r="AO351" s="1"/>
  <c r="AP351" s="1"/>
  <c r="AA352"/>
  <c r="AB352" s="1"/>
  <c r="AC352" s="1"/>
  <c r="AD352" s="1"/>
  <c r="AE352" s="1"/>
  <c r="AF352" s="1"/>
  <c r="AG352" s="1"/>
  <c r="AH352" s="1"/>
  <c r="AI352" s="1"/>
  <c r="AJ352" s="1"/>
  <c r="AK352" s="1"/>
  <c r="AL352" s="1"/>
  <c r="AM352" s="1"/>
  <c r="AN352" s="1"/>
  <c r="AO352" s="1"/>
  <c r="AP352" s="1"/>
  <c r="AA353"/>
  <c r="AB353" s="1"/>
  <c r="AC353"/>
  <c r="AD353" s="1"/>
  <c r="AE353"/>
  <c r="AF353" s="1"/>
  <c r="AG353" s="1"/>
  <c r="AH353" s="1"/>
  <c r="AI353" s="1"/>
  <c r="AJ353" s="1"/>
  <c r="AK353" s="1"/>
  <c r="AL353" s="1"/>
  <c r="AM353" s="1"/>
  <c r="AN353" s="1"/>
  <c r="AO353" s="1"/>
  <c r="AP353" s="1"/>
  <c r="AA354"/>
  <c r="AB354" s="1"/>
  <c r="AC354" s="1"/>
  <c r="AD354" s="1"/>
  <c r="AE354" s="1"/>
  <c r="AF354" s="1"/>
  <c r="AG354" s="1"/>
  <c r="AH354" s="1"/>
  <c r="AI354" s="1"/>
  <c r="AJ354" s="1"/>
  <c r="AK354" s="1"/>
  <c r="AL354" s="1"/>
  <c r="AM354" s="1"/>
  <c r="AN354" s="1"/>
  <c r="AO354" s="1"/>
  <c r="AP354" s="1"/>
  <c r="AA355"/>
  <c r="AB355" s="1"/>
  <c r="AC355"/>
  <c r="AD355" s="1"/>
  <c r="AE355"/>
  <c r="AF355" s="1"/>
  <c r="AG355" s="1"/>
  <c r="AH355" s="1"/>
  <c r="AI355" s="1"/>
  <c r="AJ355" s="1"/>
  <c r="AK355" s="1"/>
  <c r="AL355" s="1"/>
  <c r="AM355" s="1"/>
  <c r="AN355" s="1"/>
  <c r="AO355" s="1"/>
  <c r="AP355" s="1"/>
  <c r="AA356"/>
  <c r="AB356" s="1"/>
  <c r="AC356" s="1"/>
  <c r="AD356" s="1"/>
  <c r="AE356" s="1"/>
  <c r="AF356" s="1"/>
  <c r="AG356" s="1"/>
  <c r="AH356" s="1"/>
  <c r="AI356" s="1"/>
  <c r="AJ356" s="1"/>
  <c r="AK356" s="1"/>
  <c r="AL356" s="1"/>
  <c r="AM356" s="1"/>
  <c r="AN356" s="1"/>
  <c r="AO356" s="1"/>
  <c r="AP356" s="1"/>
  <c r="AA357"/>
  <c r="AB357" s="1"/>
  <c r="AC357"/>
  <c r="AD357" s="1"/>
  <c r="AE357"/>
  <c r="AF357" s="1"/>
  <c r="AG357" s="1"/>
  <c r="AH357" s="1"/>
  <c r="AI357" s="1"/>
  <c r="AJ357" s="1"/>
  <c r="AK357" s="1"/>
  <c r="AL357" s="1"/>
  <c r="AM357" s="1"/>
  <c r="AN357" s="1"/>
  <c r="AO357" s="1"/>
  <c r="AP357" s="1"/>
  <c r="AA358"/>
  <c r="AB358" s="1"/>
  <c r="AC358" s="1"/>
  <c r="AD358" s="1"/>
  <c r="AE358" s="1"/>
  <c r="AF358" s="1"/>
  <c r="AG358" s="1"/>
  <c r="AH358" s="1"/>
  <c r="AI358" s="1"/>
  <c r="AJ358" s="1"/>
  <c r="AK358" s="1"/>
  <c r="AL358" s="1"/>
  <c r="AM358" s="1"/>
  <c r="AN358" s="1"/>
  <c r="AO358" s="1"/>
  <c r="AP358" s="1"/>
  <c r="AA359"/>
  <c r="AB359" s="1"/>
  <c r="AC359"/>
  <c r="AD359" s="1"/>
  <c r="AE359"/>
  <c r="AF359" s="1"/>
  <c r="AG359" s="1"/>
  <c r="AH359" s="1"/>
  <c r="AI359" s="1"/>
  <c r="AJ359" s="1"/>
  <c r="AK359" s="1"/>
  <c r="AL359" s="1"/>
  <c r="AM359" s="1"/>
  <c r="AN359" s="1"/>
  <c r="AO359" s="1"/>
  <c r="AP359" s="1"/>
  <c r="AA360"/>
  <c r="AB360" s="1"/>
  <c r="AC360" s="1"/>
  <c r="AD360" s="1"/>
  <c r="AE360" s="1"/>
  <c r="AF360" s="1"/>
  <c r="AG360" s="1"/>
  <c r="AH360" s="1"/>
  <c r="AI360" s="1"/>
  <c r="AJ360" s="1"/>
  <c r="AK360" s="1"/>
  <c r="AL360" s="1"/>
  <c r="AM360" s="1"/>
  <c r="AN360" s="1"/>
  <c r="AO360" s="1"/>
  <c r="AP360" s="1"/>
  <c r="AA361"/>
  <c r="AB361" s="1"/>
  <c r="AC361"/>
  <c r="AD361" s="1"/>
  <c r="AE361"/>
  <c r="AF361" s="1"/>
  <c r="AG361" s="1"/>
  <c r="AH361" s="1"/>
  <c r="AI361" s="1"/>
  <c r="AJ361" s="1"/>
  <c r="AK361" s="1"/>
  <c r="AL361" s="1"/>
  <c r="AM361" s="1"/>
  <c r="AN361" s="1"/>
  <c r="AO361" s="1"/>
  <c r="AP361" s="1"/>
  <c r="AA362"/>
  <c r="AB362" s="1"/>
  <c r="AC362" s="1"/>
  <c r="AD362" s="1"/>
  <c r="AE362" s="1"/>
  <c r="AF362" s="1"/>
  <c r="AG362" s="1"/>
  <c r="AH362" s="1"/>
  <c r="AI362" s="1"/>
  <c r="AJ362" s="1"/>
  <c r="AK362" s="1"/>
  <c r="AL362" s="1"/>
  <c r="AM362" s="1"/>
  <c r="AN362" s="1"/>
  <c r="AO362" s="1"/>
  <c r="AP362" s="1"/>
  <c r="AA363"/>
  <c r="AB363" s="1"/>
  <c r="AC363"/>
  <c r="AD363" s="1"/>
  <c r="AE363"/>
  <c r="AF363" s="1"/>
  <c r="AG363" s="1"/>
  <c r="AH363" s="1"/>
  <c r="AI363" s="1"/>
  <c r="AJ363" s="1"/>
  <c r="AK363" s="1"/>
  <c r="AL363" s="1"/>
  <c r="AM363" s="1"/>
  <c r="AN363" s="1"/>
  <c r="AO363" s="1"/>
  <c r="AP363" s="1"/>
  <c r="AA364"/>
  <c r="AB364" s="1"/>
  <c r="AC364" s="1"/>
  <c r="AD364" s="1"/>
  <c r="AE364" s="1"/>
  <c r="AF364" s="1"/>
  <c r="AG364" s="1"/>
  <c r="AH364" s="1"/>
  <c r="AI364" s="1"/>
  <c r="AJ364" s="1"/>
  <c r="AK364" s="1"/>
  <c r="AL364" s="1"/>
  <c r="AM364" s="1"/>
  <c r="AN364" s="1"/>
  <c r="AO364" s="1"/>
  <c r="AP364" s="1"/>
  <c r="AA365"/>
  <c r="AB365" s="1"/>
  <c r="AC365"/>
  <c r="AD365" s="1"/>
  <c r="AE365"/>
  <c r="AF365" s="1"/>
  <c r="AG365" s="1"/>
  <c r="AH365" s="1"/>
  <c r="AI365" s="1"/>
  <c r="AJ365" s="1"/>
  <c r="AK365" s="1"/>
  <c r="AL365" s="1"/>
  <c r="AM365" s="1"/>
  <c r="AN365" s="1"/>
  <c r="AO365" s="1"/>
  <c r="AP365" s="1"/>
  <c r="AA366"/>
  <c r="AB366" s="1"/>
  <c r="AC366" s="1"/>
  <c r="AD366" s="1"/>
  <c r="AE366" s="1"/>
  <c r="AF366" s="1"/>
  <c r="AG366" s="1"/>
  <c r="AH366" s="1"/>
  <c r="AI366" s="1"/>
  <c r="AJ366" s="1"/>
  <c r="AK366" s="1"/>
  <c r="AL366" s="1"/>
  <c r="AM366" s="1"/>
  <c r="AN366" s="1"/>
  <c r="AO366" s="1"/>
  <c r="AP366" s="1"/>
  <c r="AA367"/>
  <c r="AB367" s="1"/>
  <c r="AC367"/>
  <c r="AD367" s="1"/>
  <c r="AE367"/>
  <c r="AF367" s="1"/>
  <c r="AG367" s="1"/>
  <c r="AH367" s="1"/>
  <c r="AI367" s="1"/>
  <c r="AJ367" s="1"/>
  <c r="AK367" s="1"/>
  <c r="AL367" s="1"/>
  <c r="AM367" s="1"/>
  <c r="AN367" s="1"/>
  <c r="AO367" s="1"/>
  <c r="AP367" s="1"/>
  <c r="AA368"/>
  <c r="AB368" s="1"/>
  <c r="AC368" s="1"/>
  <c r="AD368" s="1"/>
  <c r="AE368" s="1"/>
  <c r="AF368" s="1"/>
  <c r="AG368" s="1"/>
  <c r="AH368" s="1"/>
  <c r="AI368" s="1"/>
  <c r="AJ368" s="1"/>
  <c r="AK368" s="1"/>
  <c r="AL368" s="1"/>
  <c r="AM368" s="1"/>
  <c r="AN368" s="1"/>
  <c r="AO368" s="1"/>
  <c r="AP368" s="1"/>
  <c r="AA369"/>
  <c r="AB369" s="1"/>
  <c r="AC369"/>
  <c r="AD369" s="1"/>
  <c r="AE369"/>
  <c r="AF369" s="1"/>
  <c r="AG369" s="1"/>
  <c r="AH369" s="1"/>
  <c r="AI369" s="1"/>
  <c r="AJ369" s="1"/>
  <c r="AK369" s="1"/>
  <c r="AL369" s="1"/>
  <c r="AM369" s="1"/>
  <c r="AN369" s="1"/>
  <c r="AO369" s="1"/>
  <c r="AP369" s="1"/>
  <c r="AA370"/>
  <c r="AB370" s="1"/>
  <c r="AC370" s="1"/>
  <c r="AD370" s="1"/>
  <c r="AE370" s="1"/>
  <c r="AF370" s="1"/>
  <c r="AG370" s="1"/>
  <c r="AH370" s="1"/>
  <c r="AI370" s="1"/>
  <c r="AJ370" s="1"/>
  <c r="AK370" s="1"/>
  <c r="AL370" s="1"/>
  <c r="AM370" s="1"/>
  <c r="AN370" s="1"/>
  <c r="AO370" s="1"/>
  <c r="AP370" s="1"/>
  <c r="AA371"/>
  <c r="AB371" s="1"/>
  <c r="AC371"/>
  <c r="AD371" s="1"/>
  <c r="AE371"/>
  <c r="AF371" s="1"/>
  <c r="AG371" s="1"/>
  <c r="AH371" s="1"/>
  <c r="AI371" s="1"/>
  <c r="AJ371" s="1"/>
  <c r="AK371" s="1"/>
  <c r="AL371" s="1"/>
  <c r="AM371" s="1"/>
  <c r="AN371" s="1"/>
  <c r="AO371" s="1"/>
  <c r="AP371" s="1"/>
  <c r="AA372"/>
  <c r="AB372" s="1"/>
  <c r="AC372" s="1"/>
  <c r="AD372" s="1"/>
  <c r="AE372" s="1"/>
  <c r="AF372" s="1"/>
  <c r="AG372" s="1"/>
  <c r="AH372" s="1"/>
  <c r="AI372" s="1"/>
  <c r="AJ372" s="1"/>
  <c r="AK372" s="1"/>
  <c r="AL372" s="1"/>
  <c r="AM372" s="1"/>
  <c r="AN372" s="1"/>
  <c r="AO372" s="1"/>
  <c r="AP372" s="1"/>
  <c r="AA373"/>
  <c r="AB373" s="1"/>
  <c r="AC373"/>
  <c r="AD373" s="1"/>
  <c r="AE373"/>
  <c r="AF373" s="1"/>
  <c r="AG373" s="1"/>
  <c r="AH373" s="1"/>
  <c r="AI373" s="1"/>
  <c r="AJ373" s="1"/>
  <c r="AK373" s="1"/>
  <c r="AL373" s="1"/>
  <c r="AM373" s="1"/>
  <c r="AN373" s="1"/>
  <c r="AO373" s="1"/>
  <c r="AP373" s="1"/>
  <c r="AA374"/>
  <c r="AB374" s="1"/>
  <c r="AC374" s="1"/>
  <c r="AD374" s="1"/>
  <c r="AE374" s="1"/>
  <c r="AF374" s="1"/>
  <c r="AG374" s="1"/>
  <c r="AH374" s="1"/>
  <c r="AI374" s="1"/>
  <c r="AJ374" s="1"/>
  <c r="AK374" s="1"/>
  <c r="AL374" s="1"/>
  <c r="AM374" s="1"/>
  <c r="AN374" s="1"/>
  <c r="AO374" s="1"/>
  <c r="AP374" s="1"/>
  <c r="AA375"/>
  <c r="AB375" s="1"/>
  <c r="AC375"/>
  <c r="AD375" s="1"/>
  <c r="AE375"/>
  <c r="AF375" s="1"/>
  <c r="AG375" s="1"/>
  <c r="AH375" s="1"/>
  <c r="AI375" s="1"/>
  <c r="AJ375" s="1"/>
  <c r="AK375" s="1"/>
  <c r="AL375" s="1"/>
  <c r="AM375" s="1"/>
  <c r="AN375" s="1"/>
  <c r="AO375" s="1"/>
  <c r="AP375" s="1"/>
  <c r="AA376"/>
  <c r="AB376" s="1"/>
  <c r="AC376" s="1"/>
  <c r="AD376" s="1"/>
  <c r="AE376" s="1"/>
  <c r="AF376" s="1"/>
  <c r="AG376" s="1"/>
  <c r="AH376" s="1"/>
  <c r="AI376" s="1"/>
  <c r="AJ376" s="1"/>
  <c r="AK376" s="1"/>
  <c r="AL376" s="1"/>
  <c r="AM376" s="1"/>
  <c r="AN376" s="1"/>
  <c r="AO376" s="1"/>
  <c r="AP376" s="1"/>
  <c r="AA377"/>
  <c r="AB377" s="1"/>
  <c r="AC377"/>
  <c r="AD377" s="1"/>
  <c r="AE377"/>
  <c r="AF377" s="1"/>
  <c r="AG377" s="1"/>
  <c r="AH377" s="1"/>
  <c r="AI377" s="1"/>
  <c r="AJ377" s="1"/>
  <c r="AK377" s="1"/>
  <c r="AL377" s="1"/>
  <c r="AM377" s="1"/>
  <c r="AN377" s="1"/>
  <c r="AO377" s="1"/>
  <c r="AP377" s="1"/>
  <c r="AA378"/>
  <c r="AB378" s="1"/>
  <c r="AC378" s="1"/>
  <c r="AD378" s="1"/>
  <c r="AE378" s="1"/>
  <c r="AF378" s="1"/>
  <c r="AG378" s="1"/>
  <c r="AH378" s="1"/>
  <c r="AI378" s="1"/>
  <c r="AJ378" s="1"/>
  <c r="AK378" s="1"/>
  <c r="AL378" s="1"/>
  <c r="AM378" s="1"/>
  <c r="AN378" s="1"/>
  <c r="AO378" s="1"/>
  <c r="AP378" s="1"/>
  <c r="AA379"/>
  <c r="AB379" s="1"/>
  <c r="AC379"/>
  <c r="AD379" s="1"/>
  <c r="AE379"/>
  <c r="AF379" s="1"/>
  <c r="AG379" s="1"/>
  <c r="AH379" s="1"/>
  <c r="AI379" s="1"/>
  <c r="AJ379" s="1"/>
  <c r="AK379" s="1"/>
  <c r="AL379" s="1"/>
  <c r="AM379" s="1"/>
  <c r="AN379" s="1"/>
  <c r="AO379" s="1"/>
  <c r="AP379" s="1"/>
  <c r="AA380"/>
  <c r="AB380" s="1"/>
  <c r="AC380" s="1"/>
  <c r="AD380" s="1"/>
  <c r="AE380" s="1"/>
  <c r="AF380" s="1"/>
  <c r="AG380" s="1"/>
  <c r="AH380" s="1"/>
  <c r="AI380" s="1"/>
  <c r="AJ380" s="1"/>
  <c r="AK380" s="1"/>
  <c r="AL380" s="1"/>
  <c r="AM380" s="1"/>
  <c r="AN380" s="1"/>
  <c r="AO380" s="1"/>
  <c r="AP380" s="1"/>
  <c r="AA381"/>
  <c r="AB381" s="1"/>
  <c r="AC381"/>
  <c r="AD381" s="1"/>
  <c r="AE381"/>
  <c r="AF381" s="1"/>
  <c r="AG381" s="1"/>
  <c r="AH381" s="1"/>
  <c r="AI381" s="1"/>
  <c r="AJ381" s="1"/>
  <c r="AK381" s="1"/>
  <c r="AL381" s="1"/>
  <c r="AM381" s="1"/>
  <c r="AN381" s="1"/>
  <c r="AO381" s="1"/>
  <c r="AP381" s="1"/>
  <c r="AA382"/>
  <c r="AB382" s="1"/>
  <c r="AC382" s="1"/>
  <c r="AD382" s="1"/>
  <c r="AE382" s="1"/>
  <c r="AF382" s="1"/>
  <c r="AG382" s="1"/>
  <c r="AH382" s="1"/>
  <c r="AI382" s="1"/>
  <c r="AJ382" s="1"/>
  <c r="AK382" s="1"/>
  <c r="AL382" s="1"/>
  <c r="AM382" s="1"/>
  <c r="AN382" s="1"/>
  <c r="AO382" s="1"/>
  <c r="AP382" s="1"/>
  <c r="AA383"/>
  <c r="AB383" s="1"/>
  <c r="AC383"/>
  <c r="AD383" s="1"/>
  <c r="AE383"/>
  <c r="AF383" s="1"/>
  <c r="AG383" s="1"/>
  <c r="AH383" s="1"/>
  <c r="AI383" s="1"/>
  <c r="AJ383" s="1"/>
  <c r="AK383" s="1"/>
  <c r="AL383" s="1"/>
  <c r="AM383" s="1"/>
  <c r="AN383" s="1"/>
  <c r="AO383" s="1"/>
  <c r="AP383" s="1"/>
  <c r="AA384"/>
  <c r="AB384" s="1"/>
  <c r="AC384" s="1"/>
  <c r="AD384" s="1"/>
  <c r="AE384" s="1"/>
  <c r="AF384" s="1"/>
  <c r="AG384" s="1"/>
  <c r="AH384" s="1"/>
  <c r="AI384" s="1"/>
  <c r="AJ384" s="1"/>
  <c r="AK384" s="1"/>
  <c r="AL384" s="1"/>
  <c r="AM384" s="1"/>
  <c r="AN384" s="1"/>
  <c r="AO384" s="1"/>
  <c r="AP384" s="1"/>
  <c r="AA385"/>
  <c r="AB385" s="1"/>
  <c r="AC385"/>
  <c r="AD385" s="1"/>
  <c r="AE385"/>
  <c r="AF385" s="1"/>
  <c r="AG385" s="1"/>
  <c r="AH385" s="1"/>
  <c r="AI385" s="1"/>
  <c r="AJ385" s="1"/>
  <c r="AK385" s="1"/>
  <c r="AL385" s="1"/>
  <c r="AM385" s="1"/>
  <c r="AN385" s="1"/>
  <c r="AO385" s="1"/>
  <c r="AP385" s="1"/>
  <c r="AA386"/>
  <c r="AB386" s="1"/>
  <c r="AC386" s="1"/>
  <c r="AD386" s="1"/>
  <c r="AE386" s="1"/>
  <c r="AF386" s="1"/>
  <c r="AG386" s="1"/>
  <c r="AH386" s="1"/>
  <c r="AI386" s="1"/>
  <c r="AJ386" s="1"/>
  <c r="AK386" s="1"/>
  <c r="AL386" s="1"/>
  <c r="AM386" s="1"/>
  <c r="AN386" s="1"/>
  <c r="AO386" s="1"/>
  <c r="AP386" s="1"/>
  <c r="AA387"/>
  <c r="AB387" s="1"/>
  <c r="AC387"/>
  <c r="AD387" s="1"/>
  <c r="AE387"/>
  <c r="AF387" s="1"/>
  <c r="AG387" s="1"/>
  <c r="AH387" s="1"/>
  <c r="AI387" s="1"/>
  <c r="AJ387" s="1"/>
  <c r="AK387" s="1"/>
  <c r="AL387" s="1"/>
  <c r="AM387" s="1"/>
  <c r="AN387" s="1"/>
  <c r="AO387" s="1"/>
  <c r="AP387" s="1"/>
  <c r="AA388"/>
  <c r="AB388" s="1"/>
  <c r="AC388" s="1"/>
  <c r="AD388" s="1"/>
  <c r="AE388" s="1"/>
  <c r="AF388" s="1"/>
  <c r="AG388" s="1"/>
  <c r="AH388" s="1"/>
  <c r="AI388" s="1"/>
  <c r="AJ388" s="1"/>
  <c r="AK388" s="1"/>
  <c r="AL388" s="1"/>
  <c r="AM388" s="1"/>
  <c r="AN388" s="1"/>
  <c r="AO388" s="1"/>
  <c r="AP388" s="1"/>
  <c r="AA389"/>
  <c r="AB389" s="1"/>
  <c r="AC389"/>
  <c r="AD389" s="1"/>
  <c r="AE389"/>
  <c r="AF389" s="1"/>
  <c r="AG389" s="1"/>
  <c r="AH389" s="1"/>
  <c r="AI389" s="1"/>
  <c r="AJ389" s="1"/>
  <c r="AK389" s="1"/>
  <c r="AL389" s="1"/>
  <c r="AM389" s="1"/>
  <c r="AN389" s="1"/>
  <c r="AO389" s="1"/>
  <c r="AP389" s="1"/>
  <c r="AA390"/>
  <c r="AB390" s="1"/>
  <c r="AC390" s="1"/>
  <c r="AD390" s="1"/>
  <c r="AE390" s="1"/>
  <c r="AF390" s="1"/>
  <c r="AG390" s="1"/>
  <c r="AH390" s="1"/>
  <c r="AI390" s="1"/>
  <c r="AJ390" s="1"/>
  <c r="AK390" s="1"/>
  <c r="AL390" s="1"/>
  <c r="AM390" s="1"/>
  <c r="AN390" s="1"/>
  <c r="AO390" s="1"/>
  <c r="AP390" s="1"/>
  <c r="AA391"/>
  <c r="AB391" s="1"/>
  <c r="AC391"/>
  <c r="AD391" s="1"/>
  <c r="AE391"/>
  <c r="AF391" s="1"/>
  <c r="AG391" s="1"/>
  <c r="AH391" s="1"/>
  <c r="AI391" s="1"/>
  <c r="AJ391" s="1"/>
  <c r="AK391" s="1"/>
  <c r="AL391" s="1"/>
  <c r="AM391" s="1"/>
  <c r="AN391" s="1"/>
  <c r="AO391" s="1"/>
  <c r="AP391" s="1"/>
  <c r="AA392"/>
  <c r="AB392" s="1"/>
  <c r="AC392" s="1"/>
  <c r="AD392" s="1"/>
  <c r="AE392" s="1"/>
  <c r="AF392" s="1"/>
  <c r="AG392" s="1"/>
  <c r="AH392" s="1"/>
  <c r="AI392" s="1"/>
  <c r="AJ392" s="1"/>
  <c r="AK392" s="1"/>
  <c r="AL392" s="1"/>
  <c r="AM392" s="1"/>
  <c r="AN392" s="1"/>
  <c r="AO392" s="1"/>
  <c r="AP392" s="1"/>
  <c r="AA393"/>
  <c r="AB393" s="1"/>
  <c r="AC393"/>
  <c r="AD393" s="1"/>
  <c r="AE393"/>
  <c r="AF393" s="1"/>
  <c r="AG393" s="1"/>
  <c r="AH393" s="1"/>
  <c r="AI393" s="1"/>
  <c r="AJ393" s="1"/>
  <c r="AK393" s="1"/>
  <c r="AL393" s="1"/>
  <c r="AM393" s="1"/>
  <c r="AN393" s="1"/>
  <c r="AO393" s="1"/>
  <c r="AP393" s="1"/>
  <c r="AA394"/>
  <c r="AB394" s="1"/>
  <c r="AC394" s="1"/>
  <c r="AD394" s="1"/>
  <c r="AE394" s="1"/>
  <c r="AF394" s="1"/>
  <c r="AG394" s="1"/>
  <c r="AH394" s="1"/>
  <c r="AI394" s="1"/>
  <c r="AJ394" s="1"/>
  <c r="AK394" s="1"/>
  <c r="AL394" s="1"/>
  <c r="AM394" s="1"/>
  <c r="AN394" s="1"/>
  <c r="AO394" s="1"/>
  <c r="AP394" s="1"/>
  <c r="AA396"/>
  <c r="AB396" s="1"/>
  <c r="AC396"/>
  <c r="AD396" s="1"/>
  <c r="AE396"/>
  <c r="AF396" s="1"/>
  <c r="AG396" s="1"/>
  <c r="AH396" s="1"/>
  <c r="AI396" s="1"/>
  <c r="AJ396" s="1"/>
  <c r="AK396" s="1"/>
  <c r="AL396" s="1"/>
  <c r="AM396" s="1"/>
  <c r="AN396" s="1"/>
  <c r="AO396" s="1"/>
  <c r="AP396" s="1"/>
  <c r="AA397"/>
  <c r="AB397" s="1"/>
  <c r="AC397" s="1"/>
  <c r="AD397" s="1"/>
  <c r="AE397" s="1"/>
  <c r="AF397" s="1"/>
  <c r="AG397" s="1"/>
  <c r="AH397" s="1"/>
  <c r="AI397" s="1"/>
  <c r="AJ397" s="1"/>
  <c r="AK397" s="1"/>
  <c r="AL397" s="1"/>
  <c r="AM397" s="1"/>
  <c r="AN397" s="1"/>
  <c r="AO397" s="1"/>
  <c r="AP397" s="1"/>
  <c r="AA398"/>
  <c r="AB398" s="1"/>
  <c r="AC398"/>
  <c r="AD398" s="1"/>
  <c r="AE398"/>
  <c r="AF398" s="1"/>
  <c r="AG398" s="1"/>
  <c r="AH398" s="1"/>
  <c r="AI398" s="1"/>
  <c r="AJ398" s="1"/>
  <c r="AK398" s="1"/>
  <c r="AL398" s="1"/>
  <c r="AM398" s="1"/>
  <c r="AN398" s="1"/>
  <c r="AO398" s="1"/>
  <c r="AP398" s="1"/>
  <c r="AA399"/>
  <c r="AB399" s="1"/>
  <c r="AC399" s="1"/>
  <c r="AD399" s="1"/>
  <c r="AE399" s="1"/>
  <c r="AF399" s="1"/>
  <c r="AG399" s="1"/>
  <c r="AH399" s="1"/>
  <c r="AI399" s="1"/>
  <c r="AJ399" s="1"/>
  <c r="AK399" s="1"/>
  <c r="AL399" s="1"/>
  <c r="AM399" s="1"/>
  <c r="AN399" s="1"/>
  <c r="AO399" s="1"/>
  <c r="AP399" s="1"/>
  <c r="AA400"/>
  <c r="AB400" s="1"/>
  <c r="AC400"/>
  <c r="AD400" s="1"/>
  <c r="AE400"/>
  <c r="AF400" s="1"/>
  <c r="AG400" s="1"/>
  <c r="AH400" s="1"/>
  <c r="AI400" s="1"/>
  <c r="AJ400" s="1"/>
  <c r="AK400" s="1"/>
  <c r="AL400" s="1"/>
  <c r="AM400" s="1"/>
  <c r="AN400" s="1"/>
  <c r="AO400" s="1"/>
  <c r="AP400" s="1"/>
  <c r="AA401"/>
  <c r="AB401" s="1"/>
  <c r="AC401" s="1"/>
  <c r="AD401" s="1"/>
  <c r="AE401" s="1"/>
  <c r="AF401" s="1"/>
  <c r="AG401" s="1"/>
  <c r="AH401" s="1"/>
  <c r="AI401" s="1"/>
  <c r="AJ401" s="1"/>
  <c r="AK401" s="1"/>
  <c r="AL401" s="1"/>
  <c r="AM401" s="1"/>
  <c r="AN401" s="1"/>
  <c r="AO401" s="1"/>
  <c r="AP401" s="1"/>
  <c r="AA402"/>
  <c r="AB402" s="1"/>
  <c r="AC402"/>
  <c r="AD402" s="1"/>
  <c r="AE402"/>
  <c r="AF402" s="1"/>
  <c r="AG402" s="1"/>
  <c r="AH402" s="1"/>
  <c r="AI402" s="1"/>
  <c r="AJ402" s="1"/>
  <c r="AK402" s="1"/>
  <c r="AL402" s="1"/>
  <c r="AM402" s="1"/>
  <c r="AN402" s="1"/>
  <c r="AO402" s="1"/>
  <c r="AP402" s="1"/>
  <c r="AA403"/>
  <c r="AB403" s="1"/>
  <c r="AC403" s="1"/>
  <c r="AD403" s="1"/>
  <c r="AE403" s="1"/>
  <c r="AF403" s="1"/>
  <c r="AG403" s="1"/>
  <c r="AH403" s="1"/>
  <c r="AI403" s="1"/>
  <c r="AJ403" s="1"/>
  <c r="AK403" s="1"/>
  <c r="AL403" s="1"/>
  <c r="AM403" s="1"/>
  <c r="AN403" s="1"/>
  <c r="AO403" s="1"/>
  <c r="AP403" s="1"/>
  <c r="AA404"/>
  <c r="AB404" s="1"/>
  <c r="AC404"/>
  <c r="AD404" s="1"/>
  <c r="AE404"/>
  <c r="AF404" s="1"/>
  <c r="AG404" s="1"/>
  <c r="AH404" s="1"/>
  <c r="AI404" s="1"/>
  <c r="AJ404" s="1"/>
  <c r="AK404" s="1"/>
  <c r="AL404" s="1"/>
  <c r="AM404" s="1"/>
  <c r="AN404" s="1"/>
  <c r="AO404" s="1"/>
  <c r="AP404" s="1"/>
  <c r="AA405"/>
  <c r="AB405" s="1"/>
  <c r="AC405" s="1"/>
  <c r="AD405" s="1"/>
  <c r="AE405" s="1"/>
  <c r="AF405" s="1"/>
  <c r="AG405" s="1"/>
  <c r="AH405" s="1"/>
  <c r="AI405" s="1"/>
  <c r="AJ405" s="1"/>
  <c r="AK405" s="1"/>
  <c r="AL405" s="1"/>
  <c r="AM405" s="1"/>
  <c r="AN405" s="1"/>
  <c r="AO405" s="1"/>
  <c r="AP405" s="1"/>
  <c r="AA406"/>
  <c r="AB406" s="1"/>
  <c r="AC406"/>
  <c r="AD406" s="1"/>
  <c r="AE406"/>
  <c r="AF406" s="1"/>
  <c r="AG406" s="1"/>
  <c r="AH406" s="1"/>
  <c r="AI406" s="1"/>
  <c r="AJ406" s="1"/>
  <c r="AK406" s="1"/>
  <c r="AL406" s="1"/>
  <c r="AM406" s="1"/>
  <c r="AN406" s="1"/>
  <c r="AO406" s="1"/>
  <c r="AP406" s="1"/>
  <c r="AA407"/>
  <c r="AB407" s="1"/>
  <c r="AC407" s="1"/>
  <c r="AD407" s="1"/>
  <c r="AE407" s="1"/>
  <c r="AF407" s="1"/>
  <c r="AG407" s="1"/>
  <c r="AH407" s="1"/>
  <c r="AI407" s="1"/>
  <c r="AJ407" s="1"/>
  <c r="AK407" s="1"/>
  <c r="AL407" s="1"/>
  <c r="AM407" s="1"/>
  <c r="AN407" s="1"/>
  <c r="AO407" s="1"/>
  <c r="AP407" s="1"/>
  <c r="AA408"/>
  <c r="AB408" s="1"/>
  <c r="AC408"/>
  <c r="AD408" s="1"/>
  <c r="AE408"/>
  <c r="AF408" s="1"/>
  <c r="AG408" s="1"/>
  <c r="AH408" s="1"/>
  <c r="AI408" s="1"/>
  <c r="AJ408" s="1"/>
  <c r="AK408" s="1"/>
  <c r="AL408" s="1"/>
  <c r="AM408" s="1"/>
  <c r="AN408" s="1"/>
  <c r="AO408" s="1"/>
  <c r="AP408" s="1"/>
  <c r="AA409"/>
  <c r="AB409" s="1"/>
  <c r="AC409" s="1"/>
  <c r="AD409" s="1"/>
  <c r="AE409" s="1"/>
  <c r="AF409" s="1"/>
  <c r="AG409" s="1"/>
  <c r="AH409" s="1"/>
  <c r="AI409" s="1"/>
  <c r="AJ409" s="1"/>
  <c r="AK409" s="1"/>
  <c r="AL409" s="1"/>
  <c r="AM409" s="1"/>
  <c r="AN409" s="1"/>
  <c r="AO409" s="1"/>
  <c r="AP409" s="1"/>
  <c r="AA410"/>
  <c r="AB410" s="1"/>
  <c r="AC410"/>
  <c r="AD410" s="1"/>
  <c r="AE410"/>
  <c r="AF410" s="1"/>
  <c r="AG410" s="1"/>
  <c r="AH410" s="1"/>
  <c r="AI410" s="1"/>
  <c r="AJ410" s="1"/>
  <c r="AK410" s="1"/>
  <c r="AL410" s="1"/>
  <c r="AM410" s="1"/>
  <c r="AN410" s="1"/>
  <c r="AO410" s="1"/>
  <c r="AP410" s="1"/>
  <c r="AA411"/>
  <c r="AB411" s="1"/>
  <c r="AC411" s="1"/>
  <c r="AD411" s="1"/>
  <c r="AE411" s="1"/>
  <c r="AF411" s="1"/>
  <c r="AG411" s="1"/>
  <c r="AH411" s="1"/>
  <c r="AI411" s="1"/>
  <c r="AJ411" s="1"/>
  <c r="AK411" s="1"/>
  <c r="AL411" s="1"/>
  <c r="AM411" s="1"/>
  <c r="AN411" s="1"/>
  <c r="AO411" s="1"/>
  <c r="AP411" s="1"/>
  <c r="AA412"/>
  <c r="AB412" s="1"/>
  <c r="AC412"/>
  <c r="AD412" s="1"/>
  <c r="AE412"/>
  <c r="AF412" s="1"/>
  <c r="AG412" s="1"/>
  <c r="AH412" s="1"/>
  <c r="AI412" s="1"/>
  <c r="AJ412" s="1"/>
  <c r="AK412" s="1"/>
  <c r="AL412" s="1"/>
  <c r="AM412" s="1"/>
  <c r="AN412" s="1"/>
  <c r="AO412" s="1"/>
  <c r="AP412" s="1"/>
  <c r="AA413"/>
  <c r="AB413" s="1"/>
  <c r="AC413" s="1"/>
  <c r="AD413" s="1"/>
  <c r="AE413" s="1"/>
  <c r="AF413" s="1"/>
  <c r="AG413" s="1"/>
  <c r="AH413" s="1"/>
  <c r="AI413" s="1"/>
  <c r="AJ413" s="1"/>
  <c r="AK413" s="1"/>
  <c r="AL413" s="1"/>
  <c r="AM413" s="1"/>
  <c r="AN413" s="1"/>
  <c r="AO413" s="1"/>
  <c r="AP413" s="1"/>
  <c r="AA414"/>
  <c r="AB414" s="1"/>
  <c r="AC414"/>
  <c r="AD414" s="1"/>
  <c r="AE414"/>
  <c r="AF414" s="1"/>
  <c r="AG414" s="1"/>
  <c r="AH414" s="1"/>
  <c r="AI414" s="1"/>
  <c r="AJ414" s="1"/>
  <c r="AK414" s="1"/>
  <c r="AL414" s="1"/>
  <c r="AM414" s="1"/>
  <c r="AN414" s="1"/>
  <c r="AO414" s="1"/>
  <c r="AP414" s="1"/>
  <c r="AA415"/>
  <c r="AB415" s="1"/>
  <c r="AC415" s="1"/>
  <c r="AD415" s="1"/>
  <c r="AE415" s="1"/>
  <c r="AF415" s="1"/>
  <c r="AG415" s="1"/>
  <c r="AH415" s="1"/>
  <c r="AI415" s="1"/>
  <c r="AJ415" s="1"/>
  <c r="AK415" s="1"/>
  <c r="AL415" s="1"/>
  <c r="AM415" s="1"/>
  <c r="AN415" s="1"/>
  <c r="AO415" s="1"/>
  <c r="AP415" s="1"/>
  <c r="AA416"/>
  <c r="AB416" s="1"/>
  <c r="AC416"/>
  <c r="AD416" s="1"/>
  <c r="AE416"/>
  <c r="AF416" s="1"/>
  <c r="AG416" s="1"/>
  <c r="AH416" s="1"/>
  <c r="AI416" s="1"/>
  <c r="AJ416" s="1"/>
  <c r="AK416" s="1"/>
  <c r="AL416" s="1"/>
  <c r="AM416" s="1"/>
  <c r="AN416" s="1"/>
  <c r="AO416" s="1"/>
  <c r="AP416" s="1"/>
  <c r="AA417"/>
  <c r="AB417" s="1"/>
  <c r="AC417" s="1"/>
  <c r="AD417" s="1"/>
  <c r="AE417" s="1"/>
  <c r="AF417" s="1"/>
  <c r="AG417" s="1"/>
  <c r="AH417" s="1"/>
  <c r="AI417" s="1"/>
  <c r="AJ417" s="1"/>
  <c r="AK417" s="1"/>
  <c r="AL417" s="1"/>
  <c r="AM417" s="1"/>
  <c r="AN417" s="1"/>
  <c r="AO417" s="1"/>
  <c r="AP417" s="1"/>
  <c r="AA418"/>
  <c r="AB418" s="1"/>
  <c r="AC418"/>
  <c r="AD418" s="1"/>
  <c r="AE418"/>
  <c r="AF418" s="1"/>
  <c r="AG418" s="1"/>
  <c r="AH418" s="1"/>
  <c r="AI418" s="1"/>
  <c r="AJ418" s="1"/>
  <c r="AK418" s="1"/>
  <c r="AL418" s="1"/>
  <c r="AM418" s="1"/>
  <c r="AN418" s="1"/>
  <c r="AO418" s="1"/>
  <c r="AP418" s="1"/>
  <c r="AA419"/>
  <c r="AB419" s="1"/>
  <c r="AC419" s="1"/>
  <c r="AD419" s="1"/>
  <c r="AE419" s="1"/>
  <c r="AF419" s="1"/>
  <c r="AG419" s="1"/>
  <c r="AH419" s="1"/>
  <c r="AI419" s="1"/>
  <c r="AJ419" s="1"/>
  <c r="AK419" s="1"/>
  <c r="AL419" s="1"/>
  <c r="AM419" s="1"/>
  <c r="AN419" s="1"/>
  <c r="AO419" s="1"/>
  <c r="AP419" s="1"/>
  <c r="AA424"/>
  <c r="AB424" s="1"/>
  <c r="AC424"/>
  <c r="AD424" s="1"/>
  <c r="AE424"/>
  <c r="AF424" s="1"/>
  <c r="AG424" s="1"/>
  <c r="AH424" s="1"/>
  <c r="AI424" s="1"/>
  <c r="AJ424" s="1"/>
  <c r="AK424" s="1"/>
  <c r="AL424" s="1"/>
  <c r="AM424" s="1"/>
  <c r="AN424" s="1"/>
  <c r="AO424" s="1"/>
  <c r="AP424" s="1"/>
  <c r="AA425"/>
  <c r="AB425" s="1"/>
  <c r="AC425" s="1"/>
  <c r="AD425" s="1"/>
  <c r="AE425" s="1"/>
  <c r="AF425" s="1"/>
  <c r="AG425" s="1"/>
  <c r="AH425" s="1"/>
  <c r="AI425" s="1"/>
  <c r="AJ425" s="1"/>
  <c r="AK425" s="1"/>
  <c r="AL425" s="1"/>
  <c r="AM425" s="1"/>
  <c r="AN425" s="1"/>
  <c r="AO425" s="1"/>
  <c r="AP425" s="1"/>
  <c r="AA427"/>
  <c r="AB427" s="1"/>
  <c r="AC427"/>
  <c r="AD427" s="1"/>
  <c r="AE427"/>
  <c r="AF427" s="1"/>
  <c r="AG427" s="1"/>
  <c r="AH427" s="1"/>
  <c r="AI427" s="1"/>
  <c r="AJ427" s="1"/>
  <c r="AK427" s="1"/>
  <c r="AL427" s="1"/>
  <c r="AM427" s="1"/>
  <c r="AN427" s="1"/>
  <c r="AO427" s="1"/>
  <c r="AP427" s="1"/>
  <c r="AA428"/>
  <c r="AB428" s="1"/>
  <c r="AC428" s="1"/>
  <c r="AD428" s="1"/>
  <c r="AE428" s="1"/>
  <c r="AF428" s="1"/>
  <c r="AG428" s="1"/>
  <c r="AH428" s="1"/>
  <c r="AI428" s="1"/>
  <c r="AJ428" s="1"/>
  <c r="AK428" s="1"/>
  <c r="AL428" s="1"/>
  <c r="AM428" s="1"/>
  <c r="AN428" s="1"/>
  <c r="AO428" s="1"/>
  <c r="AP428" s="1"/>
  <c r="AA429"/>
  <c r="AB429" s="1"/>
  <c r="AC429"/>
  <c r="AD429" s="1"/>
  <c r="AE429"/>
  <c r="AF429" s="1"/>
  <c r="AG429" s="1"/>
  <c r="AH429" s="1"/>
  <c r="AI429" s="1"/>
  <c r="AJ429" s="1"/>
  <c r="AK429" s="1"/>
  <c r="AL429" s="1"/>
  <c r="AM429" s="1"/>
  <c r="AN429" s="1"/>
  <c r="AO429" s="1"/>
  <c r="AP429" s="1"/>
  <c r="AA430"/>
  <c r="AB430" s="1"/>
  <c r="AC430" s="1"/>
  <c r="AD430" s="1"/>
  <c r="AE430" s="1"/>
  <c r="AF430" s="1"/>
  <c r="AG430" s="1"/>
  <c r="AH430" s="1"/>
  <c r="AI430" s="1"/>
  <c r="AJ430" s="1"/>
  <c r="AK430" s="1"/>
  <c r="AL430" s="1"/>
  <c r="AM430" s="1"/>
  <c r="AN430" s="1"/>
  <c r="AO430" s="1"/>
  <c r="AP430" s="1"/>
  <c r="AA431"/>
  <c r="AB431" s="1"/>
  <c r="AC431"/>
  <c r="AD431" s="1"/>
  <c r="AE431"/>
  <c r="AF431" s="1"/>
  <c r="AG431" s="1"/>
  <c r="AH431" s="1"/>
  <c r="AI431" s="1"/>
  <c r="AJ431" s="1"/>
  <c r="AK431" s="1"/>
  <c r="AL431" s="1"/>
  <c r="AM431" s="1"/>
  <c r="AN431" s="1"/>
  <c r="AO431" s="1"/>
  <c r="AP431" s="1"/>
  <c r="AA433"/>
  <c r="AB433" s="1"/>
  <c r="AC433" s="1"/>
  <c r="AD433" s="1"/>
  <c r="AE433" s="1"/>
  <c r="AF433" s="1"/>
  <c r="AG433" s="1"/>
  <c r="AH433" s="1"/>
  <c r="AI433" s="1"/>
  <c r="AJ433" s="1"/>
  <c r="AK433" s="1"/>
  <c r="AL433" s="1"/>
  <c r="AM433" s="1"/>
  <c r="AN433" s="1"/>
  <c r="AO433" s="1"/>
  <c r="AP433" s="1"/>
  <c r="AA434"/>
  <c r="AB434" s="1"/>
  <c r="AC434"/>
  <c r="AD434" s="1"/>
  <c r="AE434"/>
  <c r="AF434" s="1"/>
  <c r="AG434" s="1"/>
  <c r="AH434" s="1"/>
  <c r="AI434" s="1"/>
  <c r="AJ434" s="1"/>
  <c r="AK434" s="1"/>
  <c r="AL434" s="1"/>
  <c r="AM434" s="1"/>
  <c r="AN434" s="1"/>
  <c r="AO434" s="1"/>
  <c r="AP434" s="1"/>
  <c r="AA435"/>
  <c r="AB435" s="1"/>
  <c r="AC435" s="1"/>
  <c r="AD435" s="1"/>
  <c r="AE435" s="1"/>
  <c r="AF435" s="1"/>
  <c r="AG435" s="1"/>
  <c r="AH435" s="1"/>
  <c r="AI435" s="1"/>
  <c r="AJ435" s="1"/>
  <c r="AK435" s="1"/>
  <c r="AL435" s="1"/>
  <c r="AM435" s="1"/>
  <c r="AN435" s="1"/>
  <c r="AO435" s="1"/>
  <c r="AP435" s="1"/>
  <c r="AA436"/>
  <c r="AB436" s="1"/>
  <c r="AC436"/>
  <c r="AD436" s="1"/>
  <c r="AE436"/>
  <c r="AF436" s="1"/>
  <c r="AG436" s="1"/>
  <c r="AH436" s="1"/>
  <c r="AI436" s="1"/>
  <c r="AJ436" s="1"/>
  <c r="AK436" s="1"/>
  <c r="AL436" s="1"/>
  <c r="AM436" s="1"/>
  <c r="AN436" s="1"/>
  <c r="AO436" s="1"/>
  <c r="AP436" s="1"/>
  <c r="AA437"/>
  <c r="AB437" s="1"/>
  <c r="AC437" s="1"/>
  <c r="AD437" s="1"/>
  <c r="AE437" s="1"/>
  <c r="AF437" s="1"/>
  <c r="AG437" s="1"/>
  <c r="AH437" s="1"/>
  <c r="AI437" s="1"/>
  <c r="AJ437" s="1"/>
  <c r="AK437" s="1"/>
  <c r="AL437" s="1"/>
  <c r="AM437" s="1"/>
  <c r="AN437" s="1"/>
  <c r="AO437" s="1"/>
  <c r="AP437" s="1"/>
  <c r="AA442"/>
  <c r="AB442" s="1"/>
  <c r="AC442"/>
  <c r="AD442" s="1"/>
  <c r="AE442"/>
  <c r="AF442" s="1"/>
  <c r="AG442" s="1"/>
  <c r="AH442" s="1"/>
  <c r="AI442" s="1"/>
  <c r="AJ442" s="1"/>
  <c r="AK442" s="1"/>
  <c r="AL442" s="1"/>
  <c r="AM442" s="1"/>
  <c r="AN442" s="1"/>
  <c r="AO442" s="1"/>
  <c r="AP442" s="1"/>
  <c r="AA443"/>
  <c r="AB443" s="1"/>
  <c r="AC443" s="1"/>
  <c r="AD443" s="1"/>
  <c r="AE443" s="1"/>
  <c r="AF443" s="1"/>
  <c r="AG443" s="1"/>
  <c r="AH443" s="1"/>
  <c r="AI443" s="1"/>
  <c r="AJ443" s="1"/>
  <c r="AK443" s="1"/>
  <c r="AL443" s="1"/>
  <c r="AM443" s="1"/>
  <c r="AN443" s="1"/>
  <c r="AO443" s="1"/>
  <c r="AP443" s="1"/>
  <c r="AA444"/>
  <c r="AB444" s="1"/>
  <c r="AC444"/>
  <c r="AD444" s="1"/>
  <c r="AE444"/>
  <c r="AF444" s="1"/>
  <c r="AG444" s="1"/>
  <c r="AH444" s="1"/>
  <c r="AI444" s="1"/>
  <c r="AJ444" s="1"/>
  <c r="AK444" s="1"/>
  <c r="AL444" s="1"/>
  <c r="AM444" s="1"/>
  <c r="AN444" s="1"/>
  <c r="AO444" s="1"/>
  <c r="AP444" s="1"/>
  <c r="AA446"/>
  <c r="AB446" s="1"/>
  <c r="AC446" s="1"/>
  <c r="AD446" s="1"/>
  <c r="AE446" s="1"/>
  <c r="AF446" s="1"/>
  <c r="AG446" s="1"/>
  <c r="AH446" s="1"/>
  <c r="AI446" s="1"/>
  <c r="AJ446" s="1"/>
  <c r="AK446" s="1"/>
  <c r="AL446" s="1"/>
  <c r="AM446" s="1"/>
  <c r="AN446" s="1"/>
  <c r="AO446" s="1"/>
  <c r="AP446" s="1"/>
  <c r="AA447"/>
  <c r="AB447" s="1"/>
  <c r="AC447"/>
  <c r="AD447" s="1"/>
  <c r="AE447"/>
  <c r="AF447" s="1"/>
  <c r="AG447" s="1"/>
  <c r="AH447" s="1"/>
  <c r="AI447" s="1"/>
  <c r="AJ447" s="1"/>
  <c r="AK447" s="1"/>
  <c r="AL447" s="1"/>
  <c r="AM447" s="1"/>
  <c r="AN447" s="1"/>
  <c r="AO447" s="1"/>
  <c r="AP447" s="1"/>
  <c r="AA448"/>
  <c r="AB448" s="1"/>
  <c r="AC448" s="1"/>
  <c r="AD448" s="1"/>
  <c r="AE448" s="1"/>
  <c r="AF448" s="1"/>
  <c r="AG448" s="1"/>
  <c r="AH448" s="1"/>
  <c r="AI448" s="1"/>
  <c r="AJ448" s="1"/>
  <c r="AK448" s="1"/>
  <c r="AL448" s="1"/>
  <c r="AM448" s="1"/>
  <c r="AN448" s="1"/>
  <c r="AO448" s="1"/>
  <c r="AP448" s="1"/>
  <c r="AA449"/>
  <c r="AB449" s="1"/>
  <c r="AC449"/>
  <c r="AD449" s="1"/>
  <c r="AE449"/>
  <c r="AF449" s="1"/>
  <c r="AG449" s="1"/>
  <c r="AH449" s="1"/>
  <c r="AI449" s="1"/>
  <c r="AJ449" s="1"/>
  <c r="AK449" s="1"/>
  <c r="AL449" s="1"/>
  <c r="AM449" s="1"/>
  <c r="AN449" s="1"/>
  <c r="AO449" s="1"/>
  <c r="AP449" s="1"/>
  <c r="AA450"/>
  <c r="AB450" s="1"/>
  <c r="AC450" s="1"/>
  <c r="AD450" s="1"/>
  <c r="AE450" s="1"/>
  <c r="AF450" s="1"/>
  <c r="AG450" s="1"/>
  <c r="AH450" s="1"/>
  <c r="AI450" s="1"/>
  <c r="AJ450" s="1"/>
  <c r="AK450" s="1"/>
  <c r="AL450" s="1"/>
  <c r="AM450" s="1"/>
  <c r="AN450" s="1"/>
  <c r="AO450" s="1"/>
  <c r="AP450" s="1"/>
  <c r="AA451"/>
  <c r="AB451" s="1"/>
  <c r="AC451"/>
  <c r="AD451" s="1"/>
  <c r="AE451"/>
  <c r="AF451" s="1"/>
  <c r="AG451" s="1"/>
  <c r="AH451" s="1"/>
  <c r="AI451" s="1"/>
  <c r="AJ451" s="1"/>
  <c r="AK451" s="1"/>
  <c r="AL451" s="1"/>
  <c r="AM451" s="1"/>
  <c r="AN451" s="1"/>
  <c r="AO451" s="1"/>
  <c r="AP451" s="1"/>
  <c r="AA452"/>
  <c r="AB452" s="1"/>
  <c r="AC452" s="1"/>
  <c r="AD452" s="1"/>
  <c r="AE452" s="1"/>
  <c r="AF452" s="1"/>
  <c r="AG452" s="1"/>
  <c r="AH452" s="1"/>
  <c r="AI452" s="1"/>
  <c r="AJ452" s="1"/>
  <c r="AK452" s="1"/>
  <c r="AL452" s="1"/>
  <c r="AM452" s="1"/>
  <c r="AN452" s="1"/>
  <c r="AO452" s="1"/>
  <c r="AP452" s="1"/>
  <c r="AA453"/>
  <c r="AB453" s="1"/>
  <c r="AC453"/>
  <c r="AD453" s="1"/>
  <c r="AE453"/>
  <c r="AF453" s="1"/>
  <c r="AG453" s="1"/>
  <c r="AH453" s="1"/>
  <c r="AI453" s="1"/>
  <c r="AJ453" s="1"/>
  <c r="AK453" s="1"/>
  <c r="AL453" s="1"/>
  <c r="AM453" s="1"/>
  <c r="AN453" s="1"/>
  <c r="AO453" s="1"/>
  <c r="AP453" s="1"/>
  <c r="AA454"/>
  <c r="AB454" s="1"/>
  <c r="AC454" s="1"/>
  <c r="AD454" s="1"/>
  <c r="AE454" s="1"/>
  <c r="AF454" s="1"/>
  <c r="AG454" s="1"/>
  <c r="AH454" s="1"/>
  <c r="AI454" s="1"/>
  <c r="AJ454" s="1"/>
  <c r="AK454" s="1"/>
  <c r="AL454" s="1"/>
  <c r="AM454" s="1"/>
  <c r="AN454" s="1"/>
  <c r="AO454" s="1"/>
  <c r="AP454" s="1"/>
  <c r="AA455"/>
  <c r="AB455" s="1"/>
  <c r="AC455"/>
  <c r="AD455" s="1"/>
  <c r="AE455"/>
  <c r="AF455" s="1"/>
  <c r="AG455" s="1"/>
  <c r="AH455" s="1"/>
  <c r="AI455" s="1"/>
  <c r="AJ455" s="1"/>
  <c r="AK455" s="1"/>
  <c r="AL455" s="1"/>
  <c r="AM455" s="1"/>
  <c r="AN455" s="1"/>
  <c r="AO455" s="1"/>
  <c r="AP455" s="1"/>
  <c r="AA456"/>
  <c r="AB456" s="1"/>
  <c r="AC456" s="1"/>
  <c r="AD456" s="1"/>
  <c r="AE456" s="1"/>
  <c r="AF456" s="1"/>
  <c r="AG456" s="1"/>
  <c r="AH456" s="1"/>
  <c r="AI456" s="1"/>
  <c r="AJ456" s="1"/>
  <c r="AK456" s="1"/>
  <c r="AL456" s="1"/>
  <c r="AM456" s="1"/>
  <c r="AN456" s="1"/>
  <c r="AO456" s="1"/>
  <c r="AP456" s="1"/>
  <c r="AA457"/>
  <c r="AB457" s="1"/>
  <c r="AC457"/>
  <c r="AD457" s="1"/>
  <c r="AE457"/>
  <c r="AF457" s="1"/>
  <c r="AG457" s="1"/>
  <c r="AH457" s="1"/>
  <c r="AI457" s="1"/>
  <c r="AJ457" s="1"/>
  <c r="AK457" s="1"/>
  <c r="AL457" s="1"/>
  <c r="AM457" s="1"/>
  <c r="AN457" s="1"/>
  <c r="AO457" s="1"/>
  <c r="AP457" s="1"/>
  <c r="AA458"/>
  <c r="AB458" s="1"/>
  <c r="AC458" s="1"/>
  <c r="AD458" s="1"/>
  <c r="AE458" s="1"/>
  <c r="AF458" s="1"/>
  <c r="AG458" s="1"/>
  <c r="AH458" s="1"/>
  <c r="AI458" s="1"/>
  <c r="AJ458" s="1"/>
  <c r="AK458" s="1"/>
  <c r="AL458" s="1"/>
  <c r="AM458" s="1"/>
  <c r="AN458" s="1"/>
  <c r="AO458" s="1"/>
  <c r="AP458" s="1"/>
  <c r="AA459"/>
  <c r="AB459" s="1"/>
  <c r="AC459"/>
  <c r="AD459" s="1"/>
  <c r="AE459"/>
  <c r="AF459" s="1"/>
  <c r="AG459" s="1"/>
  <c r="AH459" s="1"/>
  <c r="AI459" s="1"/>
  <c r="AJ459" s="1"/>
  <c r="AK459" s="1"/>
  <c r="AL459" s="1"/>
  <c r="AM459" s="1"/>
  <c r="AN459" s="1"/>
  <c r="AO459" s="1"/>
  <c r="AP459" s="1"/>
  <c r="AA460"/>
  <c r="AB460" s="1"/>
  <c r="AC460" s="1"/>
  <c r="AD460" s="1"/>
  <c r="AE460" s="1"/>
  <c r="AF460" s="1"/>
  <c r="AG460" s="1"/>
  <c r="AH460" s="1"/>
  <c r="AI460" s="1"/>
  <c r="AJ460" s="1"/>
  <c r="AK460" s="1"/>
  <c r="AL460" s="1"/>
  <c r="AM460" s="1"/>
  <c r="AN460" s="1"/>
  <c r="AO460" s="1"/>
  <c r="AP460" s="1"/>
  <c r="AA461"/>
  <c r="AB461" s="1"/>
  <c r="AC461"/>
  <c r="AD461" s="1"/>
  <c r="AE461"/>
  <c r="AF461" s="1"/>
  <c r="AG461" s="1"/>
  <c r="AH461" s="1"/>
  <c r="AI461" s="1"/>
  <c r="AJ461" s="1"/>
  <c r="AK461" s="1"/>
  <c r="AL461" s="1"/>
  <c r="AM461" s="1"/>
  <c r="AN461" s="1"/>
  <c r="AO461" s="1"/>
  <c r="AP461" s="1"/>
  <c r="AA462"/>
  <c r="AB462" s="1"/>
  <c r="AC462" s="1"/>
  <c r="AD462" s="1"/>
  <c r="AE462" s="1"/>
  <c r="AF462" s="1"/>
  <c r="AG462" s="1"/>
  <c r="AH462" s="1"/>
  <c r="AI462" s="1"/>
  <c r="AJ462" s="1"/>
  <c r="AK462" s="1"/>
  <c r="AL462" s="1"/>
  <c r="AM462" s="1"/>
  <c r="AN462" s="1"/>
  <c r="AO462" s="1"/>
  <c r="AP462" s="1"/>
  <c r="AA463"/>
  <c r="AB463" s="1"/>
  <c r="AC463"/>
  <c r="AD463" s="1"/>
  <c r="AE463"/>
  <c r="AF463" s="1"/>
  <c r="AG463" s="1"/>
  <c r="AH463" s="1"/>
  <c r="AI463" s="1"/>
  <c r="AJ463" s="1"/>
  <c r="AK463" s="1"/>
  <c r="AL463" s="1"/>
  <c r="AM463" s="1"/>
  <c r="AN463" s="1"/>
  <c r="AO463" s="1"/>
  <c r="AP463" s="1"/>
  <c r="AA464"/>
  <c r="AB464" s="1"/>
  <c r="AC464" s="1"/>
  <c r="AD464" s="1"/>
  <c r="AE464" s="1"/>
  <c r="AF464" s="1"/>
  <c r="AG464" s="1"/>
  <c r="AH464" s="1"/>
  <c r="AI464" s="1"/>
  <c r="AJ464" s="1"/>
  <c r="AK464" s="1"/>
  <c r="AL464" s="1"/>
  <c r="AM464" s="1"/>
  <c r="AN464" s="1"/>
  <c r="AO464" s="1"/>
  <c r="AP464" s="1"/>
  <c r="AA465"/>
  <c r="AB465" s="1"/>
  <c r="AC465"/>
  <c r="AD465" s="1"/>
  <c r="AE465"/>
  <c r="AF465" s="1"/>
  <c r="AG465" s="1"/>
  <c r="AH465" s="1"/>
  <c r="AI465" s="1"/>
  <c r="AJ465" s="1"/>
  <c r="AK465" s="1"/>
  <c r="AL465" s="1"/>
  <c r="AM465" s="1"/>
  <c r="AN465" s="1"/>
  <c r="AO465" s="1"/>
  <c r="AP465" s="1"/>
  <c r="AA466"/>
  <c r="AB466" s="1"/>
  <c r="AC466" s="1"/>
  <c r="AD466" s="1"/>
  <c r="AE466" s="1"/>
  <c r="AF466" s="1"/>
  <c r="AG466" s="1"/>
  <c r="AH466" s="1"/>
  <c r="AI466" s="1"/>
  <c r="AJ466" s="1"/>
  <c r="AK466" s="1"/>
  <c r="AL466" s="1"/>
  <c r="AM466" s="1"/>
  <c r="AN466" s="1"/>
  <c r="AO466" s="1"/>
  <c r="AP466" s="1"/>
  <c r="AA467"/>
  <c r="AB467" s="1"/>
  <c r="AC467"/>
  <c r="AD467" s="1"/>
  <c r="AE467"/>
  <c r="AF467" s="1"/>
  <c r="AG467" s="1"/>
  <c r="AH467" s="1"/>
  <c r="AI467" s="1"/>
  <c r="AJ467" s="1"/>
  <c r="AK467" s="1"/>
  <c r="AL467" s="1"/>
  <c r="AM467" s="1"/>
  <c r="AN467" s="1"/>
  <c r="AO467" s="1"/>
  <c r="AP467" s="1"/>
  <c r="AA468"/>
  <c r="AB468" s="1"/>
  <c r="AC468" s="1"/>
  <c r="AD468" s="1"/>
  <c r="AE468" s="1"/>
  <c r="AF468" s="1"/>
  <c r="AG468" s="1"/>
  <c r="AH468" s="1"/>
  <c r="AI468" s="1"/>
  <c r="AJ468" s="1"/>
  <c r="AK468" s="1"/>
  <c r="AL468" s="1"/>
  <c r="AM468" s="1"/>
  <c r="AN468" s="1"/>
  <c r="AO468" s="1"/>
  <c r="AP468" s="1"/>
  <c r="AA469"/>
  <c r="AB469" s="1"/>
  <c r="AC469"/>
  <c r="AD469" s="1"/>
  <c r="AE469"/>
  <c r="AF469" s="1"/>
  <c r="AG469" s="1"/>
  <c r="AH469" s="1"/>
  <c r="AI469" s="1"/>
  <c r="AJ469" s="1"/>
  <c r="AK469" s="1"/>
  <c r="AL469" s="1"/>
  <c r="AM469" s="1"/>
  <c r="AN469" s="1"/>
  <c r="AO469" s="1"/>
  <c r="AP469" s="1"/>
  <c r="AA470"/>
  <c r="AB470" s="1"/>
  <c r="AC470" s="1"/>
  <c r="AD470" s="1"/>
  <c r="AE470" s="1"/>
  <c r="AF470" s="1"/>
  <c r="AG470" s="1"/>
  <c r="AH470" s="1"/>
  <c r="AI470" s="1"/>
  <c r="AJ470" s="1"/>
  <c r="AK470" s="1"/>
  <c r="AL470" s="1"/>
  <c r="AM470" s="1"/>
  <c r="AN470" s="1"/>
  <c r="AO470" s="1"/>
  <c r="AP470" s="1"/>
  <c r="AA471"/>
  <c r="AB471" s="1"/>
  <c r="AC471"/>
  <c r="AD471" s="1"/>
  <c r="AE471"/>
  <c r="AF471" s="1"/>
  <c r="AG471" s="1"/>
  <c r="AH471" s="1"/>
  <c r="AI471" s="1"/>
  <c r="AJ471" s="1"/>
  <c r="AK471" s="1"/>
  <c r="AL471" s="1"/>
  <c r="AM471" s="1"/>
  <c r="AN471" s="1"/>
  <c r="AO471" s="1"/>
  <c r="AP471" s="1"/>
  <c r="AA472"/>
  <c r="AB472" s="1"/>
  <c r="AC472" s="1"/>
  <c r="AD472" s="1"/>
  <c r="AE472" s="1"/>
  <c r="AF472" s="1"/>
  <c r="AG472" s="1"/>
  <c r="AH472" s="1"/>
  <c r="AI472" s="1"/>
  <c r="AJ472" s="1"/>
  <c r="AK472" s="1"/>
  <c r="AL472" s="1"/>
  <c r="AM472" s="1"/>
  <c r="AN472" s="1"/>
  <c r="AO472" s="1"/>
  <c r="AP472" s="1"/>
  <c r="AA473"/>
  <c r="AB473" s="1"/>
  <c r="AC473"/>
  <c r="AD473" s="1"/>
  <c r="AE473"/>
  <c r="AF473" s="1"/>
  <c r="AG473" s="1"/>
  <c r="AH473" s="1"/>
  <c r="AI473" s="1"/>
  <c r="AJ473" s="1"/>
  <c r="AK473" s="1"/>
  <c r="AL473" s="1"/>
  <c r="AM473" s="1"/>
  <c r="AN473" s="1"/>
  <c r="AO473" s="1"/>
  <c r="AP473" s="1"/>
  <c r="AA474"/>
  <c r="AB474" s="1"/>
  <c r="AC474" s="1"/>
  <c r="AD474" s="1"/>
  <c r="AE474" s="1"/>
  <c r="AF474" s="1"/>
  <c r="AG474" s="1"/>
  <c r="AH474" s="1"/>
  <c r="AI474" s="1"/>
  <c r="AJ474" s="1"/>
  <c r="AK474" s="1"/>
  <c r="AL474" s="1"/>
  <c r="AM474" s="1"/>
  <c r="AN474" s="1"/>
  <c r="AO474" s="1"/>
  <c r="AP474" s="1"/>
  <c r="AA475"/>
  <c r="AB475" s="1"/>
  <c r="AC475"/>
  <c r="AD475" s="1"/>
  <c r="AE475"/>
  <c r="AF475" s="1"/>
  <c r="AG475" s="1"/>
  <c r="AH475" s="1"/>
  <c r="AI475" s="1"/>
  <c r="AJ475" s="1"/>
  <c r="AK475" s="1"/>
  <c r="AL475" s="1"/>
  <c r="AM475" s="1"/>
  <c r="AN475" s="1"/>
  <c r="AO475" s="1"/>
  <c r="AP475" s="1"/>
  <c r="AA476"/>
  <c r="AB476" s="1"/>
  <c r="AC476" s="1"/>
  <c r="AD476" s="1"/>
  <c r="AE476" s="1"/>
  <c r="AF476" s="1"/>
  <c r="AG476" s="1"/>
  <c r="AH476" s="1"/>
  <c r="AI476" s="1"/>
  <c r="AJ476" s="1"/>
  <c r="AK476" s="1"/>
  <c r="AL476" s="1"/>
  <c r="AM476" s="1"/>
  <c r="AN476" s="1"/>
  <c r="AO476" s="1"/>
  <c r="AP476" s="1"/>
  <c r="AA477"/>
  <c r="AB477" s="1"/>
  <c r="AC477"/>
  <c r="AD477" s="1"/>
  <c r="AE477"/>
  <c r="AF477" s="1"/>
  <c r="AG477" s="1"/>
  <c r="AH477" s="1"/>
  <c r="AI477" s="1"/>
  <c r="AJ477" s="1"/>
  <c r="AK477" s="1"/>
  <c r="AL477" s="1"/>
  <c r="AM477" s="1"/>
  <c r="AN477" s="1"/>
  <c r="AO477" s="1"/>
  <c r="AP477" s="1"/>
  <c r="AA478"/>
  <c r="AB478" s="1"/>
  <c r="AC478" s="1"/>
  <c r="AD478" s="1"/>
  <c r="AE478" s="1"/>
  <c r="AF478" s="1"/>
  <c r="AG478" s="1"/>
  <c r="AH478" s="1"/>
  <c r="AI478" s="1"/>
  <c r="AJ478" s="1"/>
  <c r="AK478" s="1"/>
  <c r="AL478" s="1"/>
  <c r="AM478" s="1"/>
  <c r="AN478" s="1"/>
  <c r="AO478" s="1"/>
  <c r="AP478" s="1"/>
  <c r="AA479"/>
  <c r="AB479" s="1"/>
  <c r="AC479"/>
  <c r="AD479" s="1"/>
  <c r="AE479"/>
  <c r="AF479" s="1"/>
  <c r="AG479" s="1"/>
  <c r="AH479" s="1"/>
  <c r="AI479" s="1"/>
  <c r="AJ479" s="1"/>
  <c r="AK479" s="1"/>
  <c r="AL479" s="1"/>
  <c r="AM479" s="1"/>
  <c r="AN479" s="1"/>
  <c r="AO479" s="1"/>
  <c r="AP479" s="1"/>
  <c r="AA480"/>
  <c r="AB480" s="1"/>
  <c r="AC480" s="1"/>
  <c r="AD480" s="1"/>
  <c r="AE480" s="1"/>
  <c r="AF480" s="1"/>
  <c r="AG480" s="1"/>
  <c r="AH480" s="1"/>
  <c r="AI480" s="1"/>
  <c r="AJ480" s="1"/>
  <c r="AK480" s="1"/>
  <c r="AL480" s="1"/>
  <c r="AM480" s="1"/>
  <c r="AN480" s="1"/>
  <c r="AO480" s="1"/>
  <c r="AP480" s="1"/>
  <c r="AA481"/>
  <c r="AB481" s="1"/>
  <c r="AC481"/>
  <c r="AD481" s="1"/>
  <c r="AE481"/>
  <c r="AF481" s="1"/>
  <c r="AG481" s="1"/>
  <c r="AH481" s="1"/>
  <c r="AI481" s="1"/>
  <c r="AJ481" s="1"/>
  <c r="AK481" s="1"/>
  <c r="AL481" s="1"/>
  <c r="AM481" s="1"/>
  <c r="AN481" s="1"/>
  <c r="AO481" s="1"/>
  <c r="AP481" s="1"/>
  <c r="AA482"/>
  <c r="AB482" s="1"/>
  <c r="AC482" s="1"/>
  <c r="AD482" s="1"/>
  <c r="AE482" s="1"/>
  <c r="AF482" s="1"/>
  <c r="AG482" s="1"/>
  <c r="AH482" s="1"/>
  <c r="AI482" s="1"/>
  <c r="AJ482" s="1"/>
  <c r="AK482" s="1"/>
  <c r="AL482" s="1"/>
  <c r="AM482" s="1"/>
  <c r="AN482" s="1"/>
  <c r="AO482" s="1"/>
  <c r="AP482" s="1"/>
  <c r="AA483"/>
  <c r="AB483" s="1"/>
  <c r="AC483"/>
  <c r="AD483" s="1"/>
  <c r="AE483"/>
  <c r="AF483" s="1"/>
  <c r="AG483" s="1"/>
  <c r="AH483" s="1"/>
  <c r="AI483" s="1"/>
  <c r="AJ483" s="1"/>
  <c r="AK483" s="1"/>
  <c r="AL483" s="1"/>
  <c r="AM483" s="1"/>
  <c r="AN483" s="1"/>
  <c r="AO483" s="1"/>
  <c r="AP483" s="1"/>
  <c r="AA484"/>
  <c r="AB484" s="1"/>
  <c r="AC484" s="1"/>
  <c r="AD484" s="1"/>
  <c r="AE484" s="1"/>
  <c r="AF484" s="1"/>
  <c r="AG484" s="1"/>
  <c r="AH484" s="1"/>
  <c r="AI484" s="1"/>
  <c r="AJ484" s="1"/>
  <c r="AK484" s="1"/>
  <c r="AL484" s="1"/>
  <c r="AM484" s="1"/>
  <c r="AN484" s="1"/>
  <c r="AO484" s="1"/>
  <c r="AP484" s="1"/>
  <c r="AA485"/>
  <c r="AB485" s="1"/>
  <c r="AC485"/>
  <c r="AD485" s="1"/>
  <c r="AE485"/>
  <c r="AF485" s="1"/>
  <c r="AG485" s="1"/>
  <c r="AH485" s="1"/>
  <c r="AI485" s="1"/>
  <c r="AJ485" s="1"/>
  <c r="AK485" s="1"/>
  <c r="AL485" s="1"/>
  <c r="AM485" s="1"/>
  <c r="AN485" s="1"/>
  <c r="AO485" s="1"/>
  <c r="AP485" s="1"/>
  <c r="AA486"/>
  <c r="AB486" s="1"/>
  <c r="AC486" s="1"/>
  <c r="AD486" s="1"/>
  <c r="AE486" s="1"/>
  <c r="AF486" s="1"/>
  <c r="AG486" s="1"/>
  <c r="AH486" s="1"/>
  <c r="AI486" s="1"/>
  <c r="AJ486" s="1"/>
  <c r="AK486" s="1"/>
  <c r="AL486" s="1"/>
  <c r="AM486" s="1"/>
  <c r="AN486" s="1"/>
  <c r="AO486" s="1"/>
  <c r="AP486" s="1"/>
  <c r="AA487"/>
  <c r="AB487" s="1"/>
  <c r="AC487"/>
  <c r="AD487" s="1"/>
  <c r="AE487"/>
  <c r="AF487" s="1"/>
  <c r="AG487" s="1"/>
  <c r="AH487" s="1"/>
  <c r="AI487" s="1"/>
  <c r="AJ487" s="1"/>
  <c r="AK487" s="1"/>
  <c r="AL487" s="1"/>
  <c r="AM487" s="1"/>
  <c r="AN487" s="1"/>
  <c r="AO487" s="1"/>
  <c r="AP487" s="1"/>
  <c r="AA488"/>
  <c r="AB488" s="1"/>
  <c r="AC488" s="1"/>
  <c r="AD488" s="1"/>
  <c r="AE488" s="1"/>
  <c r="AF488" s="1"/>
  <c r="AG488" s="1"/>
  <c r="AH488" s="1"/>
  <c r="AI488" s="1"/>
  <c r="AJ488" s="1"/>
  <c r="AK488" s="1"/>
  <c r="AL488" s="1"/>
  <c r="AM488" s="1"/>
  <c r="AN488" s="1"/>
  <c r="AO488" s="1"/>
  <c r="AP488" s="1"/>
  <c r="AA489"/>
  <c r="AB489" s="1"/>
  <c r="AC489"/>
  <c r="AD489" s="1"/>
  <c r="AE489"/>
  <c r="AF489" s="1"/>
  <c r="AG489" s="1"/>
  <c r="AH489" s="1"/>
  <c r="AI489" s="1"/>
  <c r="AJ489" s="1"/>
  <c r="AK489" s="1"/>
  <c r="AL489" s="1"/>
  <c r="AM489" s="1"/>
  <c r="AN489" s="1"/>
  <c r="AO489" s="1"/>
  <c r="AP489" s="1"/>
  <c r="AA490"/>
  <c r="AB490" s="1"/>
  <c r="AC490" s="1"/>
  <c r="AD490" s="1"/>
  <c r="AE490" s="1"/>
  <c r="AF490" s="1"/>
  <c r="AG490" s="1"/>
  <c r="AH490" s="1"/>
  <c r="AI490" s="1"/>
  <c r="AJ490" s="1"/>
  <c r="AK490" s="1"/>
  <c r="AL490" s="1"/>
  <c r="AM490" s="1"/>
  <c r="AN490" s="1"/>
  <c r="AO490" s="1"/>
  <c r="AP490" s="1"/>
  <c r="AA491"/>
  <c r="AB491" s="1"/>
  <c r="AC491"/>
  <c r="AD491" s="1"/>
  <c r="AE491"/>
  <c r="AF491" s="1"/>
  <c r="AG491" s="1"/>
  <c r="AH491" s="1"/>
  <c r="AI491" s="1"/>
  <c r="AJ491" s="1"/>
  <c r="AK491" s="1"/>
  <c r="AL491" s="1"/>
  <c r="AM491" s="1"/>
  <c r="AN491" s="1"/>
  <c r="AO491" s="1"/>
  <c r="AP491" s="1"/>
  <c r="AA492"/>
  <c r="AB492" s="1"/>
  <c r="AC492" s="1"/>
  <c r="AD492" s="1"/>
  <c r="AE492" s="1"/>
  <c r="AF492" s="1"/>
  <c r="AG492" s="1"/>
  <c r="AH492" s="1"/>
  <c r="AI492" s="1"/>
  <c r="AJ492" s="1"/>
  <c r="AK492" s="1"/>
  <c r="AL492" s="1"/>
  <c r="AM492" s="1"/>
  <c r="AN492" s="1"/>
  <c r="AO492" s="1"/>
  <c r="AP492" s="1"/>
  <c r="AA493"/>
  <c r="AB493" s="1"/>
  <c r="AC493"/>
  <c r="AD493" s="1"/>
  <c r="AE493"/>
  <c r="AF493" s="1"/>
  <c r="AG493" s="1"/>
  <c r="AH493" s="1"/>
  <c r="AI493" s="1"/>
  <c r="AJ493" s="1"/>
  <c r="AK493" s="1"/>
  <c r="AL493" s="1"/>
  <c r="AM493" s="1"/>
  <c r="AN493" s="1"/>
  <c r="AO493" s="1"/>
  <c r="AP493" s="1"/>
  <c r="AA494"/>
  <c r="AB494" s="1"/>
  <c r="AC494" s="1"/>
  <c r="AD494" s="1"/>
  <c r="AE494" s="1"/>
  <c r="AF494" s="1"/>
  <c r="AG494" s="1"/>
  <c r="AH494" s="1"/>
  <c r="AI494" s="1"/>
  <c r="AJ494" s="1"/>
  <c r="AK494" s="1"/>
  <c r="AL494" s="1"/>
  <c r="AM494" s="1"/>
  <c r="AN494" s="1"/>
  <c r="AO494" s="1"/>
  <c r="AP494" s="1"/>
  <c r="AA495"/>
  <c r="AB495" s="1"/>
  <c r="AC495"/>
  <c r="AD495" s="1"/>
  <c r="AE495"/>
  <c r="AF495" s="1"/>
  <c r="AG495" s="1"/>
  <c r="AH495" s="1"/>
  <c r="AI495" s="1"/>
  <c r="AJ495" s="1"/>
  <c r="AK495" s="1"/>
  <c r="AL495" s="1"/>
  <c r="AM495" s="1"/>
  <c r="AN495" s="1"/>
  <c r="AO495" s="1"/>
  <c r="AP495" s="1"/>
  <c r="AA496"/>
  <c r="AB496" s="1"/>
  <c r="AC496" s="1"/>
  <c r="AD496" s="1"/>
  <c r="AE496" s="1"/>
  <c r="AF496" s="1"/>
  <c r="AG496" s="1"/>
  <c r="AH496" s="1"/>
  <c r="AI496" s="1"/>
  <c r="AJ496" s="1"/>
  <c r="AK496" s="1"/>
  <c r="AL496" s="1"/>
  <c r="AM496" s="1"/>
  <c r="AN496" s="1"/>
  <c r="AO496" s="1"/>
  <c r="AP496" s="1"/>
  <c r="AA497"/>
  <c r="AB497" s="1"/>
  <c r="AC497"/>
  <c r="AD497" s="1"/>
  <c r="AE497"/>
  <c r="AF497" s="1"/>
  <c r="AG497" s="1"/>
  <c r="AH497" s="1"/>
  <c r="AI497" s="1"/>
  <c r="AJ497" s="1"/>
  <c r="AK497" s="1"/>
  <c r="AL497" s="1"/>
  <c r="AM497" s="1"/>
  <c r="AN497" s="1"/>
  <c r="AO497" s="1"/>
  <c r="AP497" s="1"/>
  <c r="AA498"/>
  <c r="AB498" s="1"/>
  <c r="AC498" s="1"/>
  <c r="AD498" s="1"/>
  <c r="AE498" s="1"/>
  <c r="AF498" s="1"/>
  <c r="AG498" s="1"/>
  <c r="AH498" s="1"/>
  <c r="AI498" s="1"/>
  <c r="AJ498" s="1"/>
  <c r="AK498" s="1"/>
  <c r="AL498" s="1"/>
  <c r="AM498" s="1"/>
  <c r="AN498" s="1"/>
  <c r="AO498" s="1"/>
  <c r="AP498" s="1"/>
  <c r="AA499"/>
  <c r="AB499" s="1"/>
  <c r="AC499"/>
  <c r="AD499" s="1"/>
  <c r="AE499"/>
  <c r="AF499" s="1"/>
  <c r="AG499" s="1"/>
  <c r="AH499" s="1"/>
  <c r="AI499" s="1"/>
  <c r="AJ499" s="1"/>
  <c r="AK499" s="1"/>
  <c r="AL499" s="1"/>
  <c r="AM499" s="1"/>
  <c r="AN499" s="1"/>
  <c r="AO499" s="1"/>
  <c r="AP499" s="1"/>
  <c r="AA500"/>
  <c r="AB500" s="1"/>
  <c r="AC500" s="1"/>
  <c r="AD500" s="1"/>
  <c r="AE500" s="1"/>
  <c r="AF500" s="1"/>
  <c r="AG500" s="1"/>
  <c r="AH500" s="1"/>
  <c r="AI500" s="1"/>
  <c r="AJ500" s="1"/>
  <c r="AK500" s="1"/>
  <c r="AL500" s="1"/>
  <c r="AM500" s="1"/>
  <c r="AN500" s="1"/>
  <c r="AO500" s="1"/>
  <c r="AP500" s="1"/>
  <c r="AA501"/>
  <c r="AB501" s="1"/>
  <c r="AC501"/>
  <c r="AD501" s="1"/>
  <c r="AE501"/>
  <c r="AF501" s="1"/>
  <c r="AG501" s="1"/>
  <c r="AH501" s="1"/>
  <c r="AI501" s="1"/>
  <c r="AJ501" s="1"/>
  <c r="AK501" s="1"/>
  <c r="AL501" s="1"/>
  <c r="AM501" s="1"/>
  <c r="AN501" s="1"/>
  <c r="AO501" s="1"/>
  <c r="AP501" s="1"/>
  <c r="AA502"/>
  <c r="AB502" s="1"/>
  <c r="AC502" s="1"/>
  <c r="AD502" s="1"/>
  <c r="AE502" s="1"/>
  <c r="AF502" s="1"/>
  <c r="AG502" s="1"/>
  <c r="AH502" s="1"/>
  <c r="AI502" s="1"/>
  <c r="AJ502" s="1"/>
  <c r="AK502" s="1"/>
  <c r="AL502" s="1"/>
  <c r="AM502" s="1"/>
  <c r="AN502" s="1"/>
  <c r="AO502" s="1"/>
  <c r="AP502" s="1"/>
  <c r="AA503"/>
  <c r="AB503" s="1"/>
  <c r="AC503"/>
  <c r="AD503" s="1"/>
  <c r="AE503"/>
  <c r="AF503" s="1"/>
  <c r="AG503" s="1"/>
  <c r="AH503" s="1"/>
  <c r="AI503" s="1"/>
  <c r="AJ503" s="1"/>
  <c r="AK503" s="1"/>
  <c r="AL503" s="1"/>
  <c r="AM503" s="1"/>
  <c r="AN503" s="1"/>
  <c r="AO503" s="1"/>
  <c r="AP503" s="1"/>
  <c r="AA504"/>
  <c r="AB504" s="1"/>
  <c r="AC504" s="1"/>
  <c r="AD504" s="1"/>
  <c r="AE504" s="1"/>
  <c r="AF504" s="1"/>
  <c r="AG504" s="1"/>
  <c r="AH504" s="1"/>
  <c r="AI504" s="1"/>
  <c r="AJ504" s="1"/>
  <c r="AK504" s="1"/>
  <c r="AL504" s="1"/>
  <c r="AM504" s="1"/>
  <c r="AN504" s="1"/>
  <c r="AO504" s="1"/>
  <c r="AP504" s="1"/>
  <c r="AA505"/>
  <c r="AB505" s="1"/>
  <c r="AC505"/>
  <c r="AD505" s="1"/>
  <c r="AE505"/>
  <c r="AF505" s="1"/>
  <c r="AG505" s="1"/>
  <c r="AH505" s="1"/>
  <c r="AI505" s="1"/>
  <c r="AJ505" s="1"/>
  <c r="AK505" s="1"/>
  <c r="AL505" s="1"/>
  <c r="AM505" s="1"/>
  <c r="AN505" s="1"/>
  <c r="AO505" s="1"/>
  <c r="AP505" s="1"/>
  <c r="AA506"/>
  <c r="AB506" s="1"/>
  <c r="AC506" s="1"/>
  <c r="AD506" s="1"/>
  <c r="AE506" s="1"/>
  <c r="AF506" s="1"/>
  <c r="AG506" s="1"/>
  <c r="AH506" s="1"/>
  <c r="AI506" s="1"/>
  <c r="AJ506" s="1"/>
  <c r="AK506" s="1"/>
  <c r="AL506" s="1"/>
  <c r="AM506" s="1"/>
  <c r="AN506" s="1"/>
  <c r="AO506" s="1"/>
  <c r="AP506" s="1"/>
  <c r="AA507"/>
  <c r="AB507" s="1"/>
  <c r="AC507"/>
  <c r="AD507" s="1"/>
  <c r="AE507"/>
  <c r="AF507" s="1"/>
  <c r="AG507" s="1"/>
  <c r="AH507" s="1"/>
  <c r="AI507" s="1"/>
  <c r="AJ507" s="1"/>
  <c r="AK507" s="1"/>
  <c r="AL507" s="1"/>
  <c r="AM507" s="1"/>
  <c r="AN507" s="1"/>
  <c r="AO507" s="1"/>
  <c r="AP507" s="1"/>
  <c r="AA508"/>
  <c r="AB508" s="1"/>
  <c r="AC508" s="1"/>
  <c r="AD508" s="1"/>
  <c r="AE508" s="1"/>
  <c r="AF508" s="1"/>
  <c r="AG508" s="1"/>
  <c r="AH508" s="1"/>
  <c r="AI508" s="1"/>
  <c r="AJ508" s="1"/>
  <c r="AK508" s="1"/>
  <c r="AL508" s="1"/>
  <c r="AM508" s="1"/>
  <c r="AN508" s="1"/>
  <c r="AO508" s="1"/>
  <c r="AP508" s="1"/>
  <c r="AA509"/>
  <c r="AB509" s="1"/>
  <c r="AC509"/>
  <c r="AD509" s="1"/>
  <c r="AE509"/>
  <c r="AF509" s="1"/>
  <c r="AG509" s="1"/>
  <c r="AH509" s="1"/>
  <c r="AI509" s="1"/>
  <c r="AJ509" s="1"/>
  <c r="AK509" s="1"/>
  <c r="AL509" s="1"/>
  <c r="AM509" s="1"/>
  <c r="AN509" s="1"/>
  <c r="AO509" s="1"/>
  <c r="AP509" s="1"/>
  <c r="AA510"/>
  <c r="AB510" s="1"/>
  <c r="AC510" s="1"/>
  <c r="AD510" s="1"/>
  <c r="AE510" s="1"/>
  <c r="AF510" s="1"/>
  <c r="AG510" s="1"/>
  <c r="AH510" s="1"/>
  <c r="AI510" s="1"/>
  <c r="AJ510" s="1"/>
  <c r="AK510" s="1"/>
  <c r="AL510" s="1"/>
  <c r="AM510" s="1"/>
  <c r="AN510" s="1"/>
  <c r="AO510" s="1"/>
  <c r="AP510" s="1"/>
  <c r="AA511"/>
  <c r="AB511" s="1"/>
  <c r="AC511"/>
  <c r="AD511" s="1"/>
  <c r="AE511"/>
  <c r="AF511" s="1"/>
  <c r="AG511" s="1"/>
  <c r="AH511" s="1"/>
  <c r="AI511" s="1"/>
  <c r="AJ511" s="1"/>
  <c r="AK511" s="1"/>
  <c r="AL511" s="1"/>
  <c r="AM511" s="1"/>
  <c r="AN511" s="1"/>
  <c r="AO511" s="1"/>
  <c r="AP511" s="1"/>
  <c r="AA512"/>
  <c r="AB512" s="1"/>
  <c r="AC512" s="1"/>
  <c r="AD512" s="1"/>
  <c r="AE512" s="1"/>
  <c r="AF512" s="1"/>
  <c r="AG512" s="1"/>
  <c r="AH512" s="1"/>
  <c r="AI512" s="1"/>
  <c r="AJ512" s="1"/>
  <c r="AK512" s="1"/>
  <c r="AL512" s="1"/>
  <c r="AM512" s="1"/>
  <c r="AN512" s="1"/>
  <c r="AO512" s="1"/>
  <c r="AP512" s="1"/>
  <c r="AA513"/>
  <c r="AB513" s="1"/>
  <c r="AC513"/>
  <c r="AD513" s="1"/>
  <c r="AE513"/>
  <c r="AF513" s="1"/>
  <c r="AG513" s="1"/>
  <c r="AH513" s="1"/>
  <c r="AI513" s="1"/>
  <c r="AJ513" s="1"/>
  <c r="AK513" s="1"/>
  <c r="AL513" s="1"/>
  <c r="AM513" s="1"/>
  <c r="AN513" s="1"/>
  <c r="AO513" s="1"/>
  <c r="AP513" s="1"/>
  <c r="AA514"/>
  <c r="AB514" s="1"/>
  <c r="AC514" s="1"/>
  <c r="AD514" s="1"/>
  <c r="AE514" s="1"/>
  <c r="AF514" s="1"/>
  <c r="AG514" s="1"/>
  <c r="AH514" s="1"/>
  <c r="AI514" s="1"/>
  <c r="AJ514" s="1"/>
  <c r="AK514" s="1"/>
  <c r="AL514" s="1"/>
  <c r="AM514" s="1"/>
  <c r="AN514" s="1"/>
  <c r="AO514" s="1"/>
  <c r="AP514" s="1"/>
  <c r="AA515"/>
  <c r="AB515" s="1"/>
  <c r="AC515"/>
  <c r="AD515" s="1"/>
  <c r="AE515"/>
  <c r="AF515" s="1"/>
  <c r="AG515" s="1"/>
  <c r="AH515" s="1"/>
  <c r="AI515" s="1"/>
  <c r="AJ515" s="1"/>
  <c r="AK515" s="1"/>
  <c r="AL515" s="1"/>
  <c r="AM515" s="1"/>
  <c r="AN515" s="1"/>
  <c r="AO515" s="1"/>
  <c r="AP515" s="1"/>
  <c r="AA516"/>
  <c r="AB516" s="1"/>
  <c r="AC516" s="1"/>
  <c r="AD516" s="1"/>
  <c r="AE516" s="1"/>
  <c r="AF516" s="1"/>
  <c r="AG516" s="1"/>
  <c r="AH516" s="1"/>
  <c r="AI516" s="1"/>
  <c r="AJ516" s="1"/>
  <c r="AK516" s="1"/>
  <c r="AL516" s="1"/>
  <c r="AM516" s="1"/>
  <c r="AN516" s="1"/>
  <c r="AO516" s="1"/>
  <c r="AP516" s="1"/>
  <c r="AA517"/>
  <c r="AB517" s="1"/>
  <c r="AC517"/>
  <c r="AD517" s="1"/>
  <c r="AE517"/>
  <c r="AF517" s="1"/>
  <c r="AG517" s="1"/>
  <c r="AH517" s="1"/>
  <c r="AI517" s="1"/>
  <c r="AJ517" s="1"/>
  <c r="AK517" s="1"/>
  <c r="AL517" s="1"/>
  <c r="AM517" s="1"/>
  <c r="AN517" s="1"/>
  <c r="AO517" s="1"/>
  <c r="AP517" s="1"/>
  <c r="AA518"/>
  <c r="AB518" s="1"/>
  <c r="AC518" s="1"/>
  <c r="AD518" s="1"/>
  <c r="AE518" s="1"/>
  <c r="AF518" s="1"/>
  <c r="AG518" s="1"/>
  <c r="AH518" s="1"/>
  <c r="AI518" s="1"/>
  <c r="AJ518" s="1"/>
  <c r="AK518" s="1"/>
  <c r="AL518" s="1"/>
  <c r="AM518" s="1"/>
  <c r="AN518" s="1"/>
  <c r="AO518" s="1"/>
  <c r="AP518" s="1"/>
  <c r="AA519"/>
  <c r="AB519" s="1"/>
  <c r="AC519"/>
  <c r="AD519" s="1"/>
  <c r="AE519"/>
  <c r="AF519" s="1"/>
  <c r="AG519" s="1"/>
  <c r="AH519" s="1"/>
  <c r="AI519" s="1"/>
  <c r="AJ519" s="1"/>
  <c r="AK519" s="1"/>
  <c r="AL519" s="1"/>
  <c r="AM519" s="1"/>
  <c r="AN519" s="1"/>
  <c r="AO519" s="1"/>
  <c r="AP519" s="1"/>
  <c r="AA520"/>
  <c r="AB520" s="1"/>
  <c r="AC520" s="1"/>
  <c r="AD520" s="1"/>
  <c r="AE520" s="1"/>
  <c r="AF520" s="1"/>
  <c r="AG520" s="1"/>
  <c r="AH520" s="1"/>
  <c r="AI520" s="1"/>
  <c r="AJ520" s="1"/>
  <c r="AK520" s="1"/>
  <c r="AL520" s="1"/>
  <c r="AM520" s="1"/>
  <c r="AN520" s="1"/>
  <c r="AO520" s="1"/>
  <c r="AP520" s="1"/>
  <c r="AA521"/>
  <c r="AB521" s="1"/>
  <c r="AC521"/>
  <c r="AD521" s="1"/>
  <c r="AE521"/>
  <c r="AF521" s="1"/>
  <c r="AG521" s="1"/>
  <c r="AH521" s="1"/>
  <c r="AI521" s="1"/>
  <c r="AJ521" s="1"/>
  <c r="AK521" s="1"/>
  <c r="AL521" s="1"/>
  <c r="AM521" s="1"/>
  <c r="AN521" s="1"/>
  <c r="AO521" s="1"/>
  <c r="AP521" s="1"/>
  <c r="AA522"/>
  <c r="AB522" s="1"/>
  <c r="AC522" s="1"/>
  <c r="AD522" s="1"/>
  <c r="AE522" s="1"/>
  <c r="AF522" s="1"/>
  <c r="AG522" s="1"/>
  <c r="AH522" s="1"/>
  <c r="AI522" s="1"/>
  <c r="AJ522" s="1"/>
  <c r="AK522" s="1"/>
  <c r="AL522" s="1"/>
  <c r="AM522" s="1"/>
  <c r="AN522" s="1"/>
  <c r="AO522" s="1"/>
  <c r="AP522" s="1"/>
  <c r="AA523"/>
  <c r="AB523" s="1"/>
  <c r="AC523"/>
  <c r="AD523" s="1"/>
  <c r="AE523"/>
  <c r="AF523" s="1"/>
  <c r="AG523" s="1"/>
  <c r="AH523" s="1"/>
  <c r="AI523" s="1"/>
  <c r="AJ523" s="1"/>
  <c r="AK523" s="1"/>
  <c r="AL523" s="1"/>
  <c r="AM523" s="1"/>
  <c r="AN523" s="1"/>
  <c r="AO523" s="1"/>
  <c r="AP523" s="1"/>
  <c r="AA524"/>
  <c r="AB524" s="1"/>
  <c r="AC524" s="1"/>
  <c r="AD524" s="1"/>
  <c r="AE524" s="1"/>
  <c r="AF524" s="1"/>
  <c r="AG524" s="1"/>
  <c r="AH524" s="1"/>
  <c r="AI524" s="1"/>
  <c r="AJ524" s="1"/>
  <c r="AK524" s="1"/>
  <c r="AL524" s="1"/>
  <c r="AM524" s="1"/>
  <c r="AN524" s="1"/>
  <c r="AO524" s="1"/>
  <c r="AP524" s="1"/>
  <c r="AA525"/>
  <c r="AB525" s="1"/>
  <c r="AC525"/>
  <c r="AD525" s="1"/>
  <c r="AE525"/>
  <c r="AF525" s="1"/>
  <c r="AG525" s="1"/>
  <c r="AH525" s="1"/>
  <c r="AI525" s="1"/>
  <c r="AJ525" s="1"/>
  <c r="AK525" s="1"/>
  <c r="AL525" s="1"/>
  <c r="AM525" s="1"/>
  <c r="AN525" s="1"/>
  <c r="AO525" s="1"/>
  <c r="AP525" s="1"/>
  <c r="AA526"/>
  <c r="AB526" s="1"/>
  <c r="AC526" s="1"/>
  <c r="AD526" s="1"/>
  <c r="AE526" s="1"/>
  <c r="AF526" s="1"/>
  <c r="AG526" s="1"/>
  <c r="AH526" s="1"/>
  <c r="AI526" s="1"/>
  <c r="AJ526" s="1"/>
  <c r="AK526" s="1"/>
  <c r="AL526" s="1"/>
  <c r="AM526" s="1"/>
  <c r="AN526" s="1"/>
  <c r="AO526" s="1"/>
  <c r="AP526" s="1"/>
  <c r="AA527"/>
  <c r="AB527" s="1"/>
  <c r="AC527"/>
  <c r="AD527" s="1"/>
  <c r="AE527"/>
  <c r="AF527" s="1"/>
  <c r="AG527" s="1"/>
  <c r="AH527" s="1"/>
  <c r="AI527" s="1"/>
  <c r="AJ527" s="1"/>
  <c r="AK527" s="1"/>
  <c r="AL527" s="1"/>
  <c r="AM527" s="1"/>
  <c r="AN527" s="1"/>
  <c r="AO527" s="1"/>
  <c r="AP527" s="1"/>
  <c r="AA528"/>
  <c r="AB528" s="1"/>
  <c r="AC528" s="1"/>
  <c r="AD528" s="1"/>
  <c r="AE528" s="1"/>
  <c r="AF528" s="1"/>
  <c r="AG528" s="1"/>
  <c r="AH528" s="1"/>
  <c r="AI528" s="1"/>
  <c r="AJ528" s="1"/>
  <c r="AK528" s="1"/>
  <c r="AL528" s="1"/>
  <c r="AM528" s="1"/>
  <c r="AN528" s="1"/>
  <c r="AO528" s="1"/>
  <c r="AP528" s="1"/>
  <c r="AA529"/>
  <c r="AB529" s="1"/>
  <c r="AC529"/>
  <c r="AD529" s="1"/>
  <c r="AE529"/>
  <c r="AF529" s="1"/>
  <c r="AG529" s="1"/>
  <c r="AH529" s="1"/>
  <c r="AI529" s="1"/>
  <c r="AJ529" s="1"/>
  <c r="AK529" s="1"/>
  <c r="AL529" s="1"/>
  <c r="AM529" s="1"/>
  <c r="AN529" s="1"/>
  <c r="AO529" s="1"/>
  <c r="AP529" s="1"/>
  <c r="AA530"/>
  <c r="AB530" s="1"/>
  <c r="AC530" s="1"/>
  <c r="AD530" s="1"/>
  <c r="AE530" s="1"/>
  <c r="AF530" s="1"/>
  <c r="AG530" s="1"/>
  <c r="AH530" s="1"/>
  <c r="AI530" s="1"/>
  <c r="AJ530" s="1"/>
  <c r="AK530" s="1"/>
  <c r="AL530" s="1"/>
  <c r="AM530" s="1"/>
  <c r="AN530" s="1"/>
  <c r="AO530" s="1"/>
  <c r="AP530" s="1"/>
  <c r="AA531"/>
  <c r="AB531" s="1"/>
  <c r="AC531"/>
  <c r="AD531" s="1"/>
  <c r="AE531"/>
  <c r="AF531" s="1"/>
  <c r="AG531" s="1"/>
  <c r="AH531" s="1"/>
  <c r="AI531" s="1"/>
  <c r="AJ531" s="1"/>
  <c r="AK531" s="1"/>
  <c r="AL531" s="1"/>
  <c r="AM531" s="1"/>
  <c r="AN531" s="1"/>
  <c r="AO531" s="1"/>
  <c r="AP531" s="1"/>
  <c r="AA532"/>
  <c r="AB532" s="1"/>
  <c r="AC532" s="1"/>
  <c r="AD532" s="1"/>
  <c r="AE532" s="1"/>
  <c r="AF532" s="1"/>
  <c r="AG532" s="1"/>
  <c r="AH532" s="1"/>
  <c r="AI532" s="1"/>
  <c r="AJ532" s="1"/>
  <c r="AK532" s="1"/>
  <c r="AL532" s="1"/>
  <c r="AM532" s="1"/>
  <c r="AN532" s="1"/>
  <c r="AO532" s="1"/>
  <c r="AP532" s="1"/>
  <c r="AA533"/>
  <c r="AB533" s="1"/>
  <c r="AC533"/>
  <c r="AD533" s="1"/>
  <c r="AE533"/>
  <c r="AF533" s="1"/>
  <c r="AG533" s="1"/>
  <c r="AH533" s="1"/>
  <c r="AI533" s="1"/>
  <c r="AJ533" s="1"/>
  <c r="AK533" s="1"/>
  <c r="AL533" s="1"/>
  <c r="AM533" s="1"/>
  <c r="AN533" s="1"/>
  <c r="AO533" s="1"/>
  <c r="AP533" s="1"/>
  <c r="AA534"/>
  <c r="AB534" s="1"/>
  <c r="AC534" s="1"/>
  <c r="AD534" s="1"/>
  <c r="AE534" s="1"/>
  <c r="AF534" s="1"/>
  <c r="AG534" s="1"/>
  <c r="AH534" s="1"/>
  <c r="AI534" s="1"/>
  <c r="AJ534" s="1"/>
  <c r="AK534" s="1"/>
  <c r="AL534" s="1"/>
  <c r="AM534" s="1"/>
  <c r="AN534" s="1"/>
  <c r="AO534" s="1"/>
  <c r="AP534" s="1"/>
  <c r="AA535"/>
  <c r="AB535" s="1"/>
  <c r="AC535"/>
  <c r="AD535" s="1"/>
  <c r="AE535"/>
  <c r="AF535" s="1"/>
  <c r="AG535" s="1"/>
  <c r="AH535" s="1"/>
  <c r="AI535" s="1"/>
  <c r="AJ535" s="1"/>
  <c r="AK535" s="1"/>
  <c r="AL535" s="1"/>
  <c r="AM535" s="1"/>
  <c r="AN535" s="1"/>
  <c r="AO535" s="1"/>
  <c r="AP535" s="1"/>
  <c r="AA536"/>
  <c r="AB536" s="1"/>
  <c r="AC536" s="1"/>
  <c r="AD536" s="1"/>
  <c r="AE536" s="1"/>
  <c r="AF536" s="1"/>
  <c r="AG536" s="1"/>
  <c r="AH536" s="1"/>
  <c r="AI536" s="1"/>
  <c r="AJ536" s="1"/>
  <c r="AK536" s="1"/>
  <c r="AL536" s="1"/>
  <c r="AM536" s="1"/>
  <c r="AN536" s="1"/>
  <c r="AO536" s="1"/>
  <c r="AP536" s="1"/>
  <c r="AA537"/>
  <c r="AB537" s="1"/>
  <c r="AC537"/>
  <c r="AD537" s="1"/>
  <c r="AE537"/>
  <c r="AF537" s="1"/>
  <c r="AG537" s="1"/>
  <c r="AH537" s="1"/>
  <c r="AI537" s="1"/>
  <c r="AJ537" s="1"/>
  <c r="AK537" s="1"/>
  <c r="AL537" s="1"/>
  <c r="AM537" s="1"/>
  <c r="AN537" s="1"/>
  <c r="AO537" s="1"/>
  <c r="AP537" s="1"/>
  <c r="AA538"/>
  <c r="AB538" s="1"/>
  <c r="AC538" s="1"/>
  <c r="AD538" s="1"/>
  <c r="AE538" s="1"/>
  <c r="AF538" s="1"/>
  <c r="AG538" s="1"/>
  <c r="AH538" s="1"/>
  <c r="AI538" s="1"/>
  <c r="AJ538" s="1"/>
  <c r="AK538" s="1"/>
  <c r="AL538" s="1"/>
  <c r="AM538" s="1"/>
  <c r="AN538" s="1"/>
  <c r="AO538" s="1"/>
  <c r="AP538" s="1"/>
  <c r="AA539"/>
  <c r="AB539" s="1"/>
  <c r="AC539"/>
  <c r="AD539" s="1"/>
  <c r="AE539"/>
  <c r="AF539" s="1"/>
  <c r="AG539" s="1"/>
  <c r="AH539" s="1"/>
  <c r="AI539" s="1"/>
  <c r="AJ539" s="1"/>
  <c r="AK539" s="1"/>
  <c r="AL539" s="1"/>
  <c r="AM539" s="1"/>
  <c r="AN539" s="1"/>
  <c r="AO539" s="1"/>
  <c r="AP539" s="1"/>
  <c r="AA540"/>
  <c r="AB540" s="1"/>
  <c r="AC540" s="1"/>
  <c r="AD540" s="1"/>
  <c r="AE540" s="1"/>
  <c r="AF540" s="1"/>
  <c r="AG540" s="1"/>
  <c r="AH540" s="1"/>
  <c r="AI540" s="1"/>
  <c r="AJ540" s="1"/>
  <c r="AK540" s="1"/>
  <c r="AL540" s="1"/>
  <c r="AM540" s="1"/>
  <c r="AN540" s="1"/>
  <c r="AO540" s="1"/>
  <c r="AP540" s="1"/>
  <c r="AA541"/>
  <c r="AB541" s="1"/>
  <c r="AC541"/>
  <c r="AD541" s="1"/>
  <c r="AE541"/>
  <c r="AF541" s="1"/>
  <c r="AG541" s="1"/>
  <c r="AH541" s="1"/>
  <c r="AI541" s="1"/>
  <c r="AJ541" s="1"/>
  <c r="AK541" s="1"/>
  <c r="AL541" s="1"/>
  <c r="AM541" s="1"/>
  <c r="AN541" s="1"/>
  <c r="AO541" s="1"/>
  <c r="AP541" s="1"/>
  <c r="AA542"/>
  <c r="AB542" s="1"/>
  <c r="AC542" s="1"/>
  <c r="AD542" s="1"/>
  <c r="AE542" s="1"/>
  <c r="AF542" s="1"/>
  <c r="AG542" s="1"/>
  <c r="AH542" s="1"/>
  <c r="AI542" s="1"/>
  <c r="AJ542" s="1"/>
  <c r="AK542" s="1"/>
  <c r="AL542" s="1"/>
  <c r="AM542" s="1"/>
  <c r="AN542" s="1"/>
  <c r="AO542" s="1"/>
  <c r="AP542" s="1"/>
  <c r="AA543"/>
  <c r="AB543" s="1"/>
  <c r="AC543"/>
  <c r="AD543" s="1"/>
  <c r="AE543"/>
  <c r="AF543" s="1"/>
  <c r="AG543" s="1"/>
  <c r="AH543" s="1"/>
  <c r="AI543" s="1"/>
  <c r="AJ543" s="1"/>
  <c r="AK543" s="1"/>
  <c r="AL543" s="1"/>
  <c r="AM543" s="1"/>
  <c r="AN543" s="1"/>
  <c r="AO543" s="1"/>
  <c r="AP543" s="1"/>
  <c r="AA544"/>
  <c r="AB544" s="1"/>
  <c r="AC544" s="1"/>
  <c r="AD544" s="1"/>
  <c r="AE544" s="1"/>
  <c r="AF544" s="1"/>
  <c r="AG544" s="1"/>
  <c r="AH544" s="1"/>
  <c r="AI544" s="1"/>
  <c r="AJ544" s="1"/>
  <c r="AK544" s="1"/>
  <c r="AL544" s="1"/>
  <c r="AM544" s="1"/>
  <c r="AN544" s="1"/>
  <c r="AO544" s="1"/>
  <c r="AP544" s="1"/>
  <c r="AA545"/>
  <c r="AB545" s="1"/>
  <c r="AC545"/>
  <c r="AD545" s="1"/>
  <c r="AE545"/>
  <c r="AF545" s="1"/>
  <c r="AG545" s="1"/>
  <c r="AH545" s="1"/>
  <c r="AI545" s="1"/>
  <c r="AJ545" s="1"/>
  <c r="AK545" s="1"/>
  <c r="AL545" s="1"/>
  <c r="AM545" s="1"/>
  <c r="AN545" s="1"/>
  <c r="AO545" s="1"/>
  <c r="AP545" s="1"/>
  <c r="AA145"/>
  <c r="AB145" s="1"/>
  <c r="AC145" s="1"/>
  <c r="AD145" s="1"/>
  <c r="AE145" s="1"/>
  <c r="AF145" s="1"/>
  <c r="AG145" s="1"/>
  <c r="AH145" s="1"/>
  <c r="AI145" s="1"/>
  <c r="AJ145" s="1"/>
  <c r="AK145" s="1"/>
  <c r="AL145" s="1"/>
  <c r="AM145" s="1"/>
  <c r="AN145" s="1"/>
  <c r="AO145" s="1"/>
  <c r="AP145" s="1"/>
  <c r="AB109" i="41"/>
  <c r="AC109"/>
  <c r="AD109" s="1"/>
  <c r="AE109" s="1"/>
  <c r="AF109"/>
  <c r="AG109" s="1"/>
  <c r="AH109" s="1"/>
  <c r="AI109" s="1"/>
  <c r="AJ109" s="1"/>
  <c r="AK109" s="1"/>
  <c r="AL109" s="1"/>
  <c r="AM109" s="1"/>
  <c r="AN109" s="1"/>
  <c r="AO109" s="1"/>
  <c r="AP109" s="1"/>
  <c r="AQ109" s="1"/>
  <c r="AB112"/>
  <c r="AC112" s="1"/>
  <c r="AD112" s="1"/>
  <c r="AE112"/>
  <c r="AF112" s="1"/>
  <c r="AG112" s="1"/>
  <c r="AH112" s="1"/>
  <c r="AI112" s="1"/>
  <c r="AJ112" s="1"/>
  <c r="AK112" s="1"/>
  <c r="AL112" s="1"/>
  <c r="AM112" s="1"/>
  <c r="AN112" s="1"/>
  <c r="AO112" s="1"/>
  <c r="AP112" s="1"/>
  <c r="AQ112" s="1"/>
  <c r="AB113"/>
  <c r="AC113" s="1"/>
  <c r="AD113"/>
  <c r="AE113" s="1"/>
  <c r="AF113" s="1"/>
  <c r="AG113" s="1"/>
  <c r="AH113" s="1"/>
  <c r="AI113" s="1"/>
  <c r="AJ113" s="1"/>
  <c r="AK113" s="1"/>
  <c r="AL113" s="1"/>
  <c r="AM113" s="1"/>
  <c r="AN113" s="1"/>
  <c r="AO113" s="1"/>
  <c r="AP113" s="1"/>
  <c r="AQ113" s="1"/>
  <c r="AB114"/>
  <c r="AC114" s="1"/>
  <c r="AD114" s="1"/>
  <c r="AE114"/>
  <c r="AF114" s="1"/>
  <c r="AG114" s="1"/>
  <c r="AH114" s="1"/>
  <c r="AI114" s="1"/>
  <c r="AJ114" s="1"/>
  <c r="AK114" s="1"/>
  <c r="AL114" s="1"/>
  <c r="AM114" s="1"/>
  <c r="AN114" s="1"/>
  <c r="AO114" s="1"/>
  <c r="AP114" s="1"/>
  <c r="AQ114" s="1"/>
  <c r="AB115"/>
  <c r="AC115" s="1"/>
  <c r="AD115"/>
  <c r="AE115" s="1"/>
  <c r="AF115" s="1"/>
  <c r="AG115" s="1"/>
  <c r="AH115" s="1"/>
  <c r="AI115" s="1"/>
  <c r="AJ115" s="1"/>
  <c r="AK115" s="1"/>
  <c r="AL115" s="1"/>
  <c r="AM115" s="1"/>
  <c r="AN115" s="1"/>
  <c r="AO115" s="1"/>
  <c r="AP115" s="1"/>
  <c r="AQ115" s="1"/>
  <c r="AB116"/>
  <c r="AC116" s="1"/>
  <c r="AD116" s="1"/>
  <c r="AE116"/>
  <c r="AF116" s="1"/>
  <c r="AG116" s="1"/>
  <c r="AH116" s="1"/>
  <c r="AI116" s="1"/>
  <c r="AJ116" s="1"/>
  <c r="AK116" s="1"/>
  <c r="AL116" s="1"/>
  <c r="AM116" s="1"/>
  <c r="AN116" s="1"/>
  <c r="AO116" s="1"/>
  <c r="AP116" s="1"/>
  <c r="AQ116" s="1"/>
  <c r="AB117"/>
  <c r="AC117" s="1"/>
  <c r="AD117"/>
  <c r="AE117" s="1"/>
  <c r="AF117" s="1"/>
  <c r="AG117" s="1"/>
  <c r="AH117" s="1"/>
  <c r="AI117" s="1"/>
  <c r="AJ117" s="1"/>
  <c r="AK117" s="1"/>
  <c r="AL117" s="1"/>
  <c r="AM117" s="1"/>
  <c r="AN117" s="1"/>
  <c r="AO117" s="1"/>
  <c r="AP117" s="1"/>
  <c r="AQ117" s="1"/>
  <c r="AB118"/>
  <c r="AC118" s="1"/>
  <c r="AD118" s="1"/>
  <c r="AE118"/>
  <c r="AF118" s="1"/>
  <c r="AG118" s="1"/>
  <c r="AH118" s="1"/>
  <c r="AI118" s="1"/>
  <c r="AJ118" s="1"/>
  <c r="AK118" s="1"/>
  <c r="AL118" s="1"/>
  <c r="AM118" s="1"/>
  <c r="AN118" s="1"/>
  <c r="AO118" s="1"/>
  <c r="AP118" s="1"/>
  <c r="AQ118" s="1"/>
  <c r="AB119"/>
  <c r="AC119" s="1"/>
  <c r="AD119"/>
  <c r="AE119" s="1"/>
  <c r="AF119" s="1"/>
  <c r="AG119" s="1"/>
  <c r="AH119" s="1"/>
  <c r="AI119" s="1"/>
  <c r="AJ119" s="1"/>
  <c r="AK119" s="1"/>
  <c r="AL119" s="1"/>
  <c r="AM119" s="1"/>
  <c r="AN119" s="1"/>
  <c r="AO119" s="1"/>
  <c r="AP119" s="1"/>
  <c r="AQ119" s="1"/>
  <c r="AB120"/>
  <c r="AC120" s="1"/>
  <c r="AD120" s="1"/>
  <c r="AE120"/>
  <c r="AF120" s="1"/>
  <c r="AG120" s="1"/>
  <c r="AH120" s="1"/>
  <c r="AI120" s="1"/>
  <c r="AJ120" s="1"/>
  <c r="AK120" s="1"/>
  <c r="AL120" s="1"/>
  <c r="AM120" s="1"/>
  <c r="AN120" s="1"/>
  <c r="AO120" s="1"/>
  <c r="AP120" s="1"/>
  <c r="AQ120" s="1"/>
  <c r="AB121"/>
  <c r="AC121" s="1"/>
  <c r="AD121"/>
  <c r="AE121" s="1"/>
  <c r="AF121" s="1"/>
  <c r="AG121" s="1"/>
  <c r="AH121" s="1"/>
  <c r="AI121" s="1"/>
  <c r="AJ121" s="1"/>
  <c r="AK121" s="1"/>
  <c r="AL121" s="1"/>
  <c r="AM121" s="1"/>
  <c r="AN121" s="1"/>
  <c r="AO121" s="1"/>
  <c r="AP121" s="1"/>
  <c r="AQ121" s="1"/>
  <c r="AB122"/>
  <c r="AC122" s="1"/>
  <c r="AD122" s="1"/>
  <c r="AE122"/>
  <c r="AF122" s="1"/>
  <c r="AG122" s="1"/>
  <c r="AH122" s="1"/>
  <c r="AI122" s="1"/>
  <c r="AJ122" s="1"/>
  <c r="AK122" s="1"/>
  <c r="AL122" s="1"/>
  <c r="AM122" s="1"/>
  <c r="AN122" s="1"/>
  <c r="AO122" s="1"/>
  <c r="AP122" s="1"/>
  <c r="AQ122" s="1"/>
  <c r="AB124"/>
  <c r="AC124"/>
  <c r="AD124"/>
  <c r="AE124" s="1"/>
  <c r="AF124" s="1"/>
  <c r="AG124"/>
  <c r="AH124" s="1"/>
  <c r="AI124" s="1"/>
  <c r="AJ124" s="1"/>
  <c r="AK124" s="1"/>
  <c r="AL124" s="1"/>
  <c r="AM124" s="1"/>
  <c r="AN124" s="1"/>
  <c r="AO124" s="1"/>
  <c r="AP124" s="1"/>
  <c r="AQ124" s="1"/>
  <c r="AB125"/>
  <c r="AC125"/>
  <c r="AD125"/>
  <c r="AE125" s="1"/>
  <c r="AF125" s="1"/>
  <c r="AG125" s="1"/>
  <c r="AH125" s="1"/>
  <c r="AI125" s="1"/>
  <c r="AJ125" s="1"/>
  <c r="AK125" s="1"/>
  <c r="AL125" s="1"/>
  <c r="AM125" s="1"/>
  <c r="AN125" s="1"/>
  <c r="AO125" s="1"/>
  <c r="AP125" s="1"/>
  <c r="AQ125" s="1"/>
  <c r="AB126"/>
  <c r="AC126"/>
  <c r="AD126"/>
  <c r="AE126" s="1"/>
  <c r="AF126" s="1"/>
  <c r="AG126"/>
  <c r="AH126" s="1"/>
  <c r="AI126" s="1"/>
  <c r="AJ126" s="1"/>
  <c r="AK126" s="1"/>
  <c r="AL126" s="1"/>
  <c r="AM126" s="1"/>
  <c r="AN126" s="1"/>
  <c r="AO126" s="1"/>
  <c r="AP126" s="1"/>
  <c r="AQ126" s="1"/>
  <c r="AB127"/>
  <c r="AC127"/>
  <c r="AD127"/>
  <c r="AE127" s="1"/>
  <c r="AF127" s="1"/>
  <c r="AG127" s="1"/>
  <c r="AH127" s="1"/>
  <c r="AI127" s="1"/>
  <c r="AJ127" s="1"/>
  <c r="AK127" s="1"/>
  <c r="AL127" s="1"/>
  <c r="AM127" s="1"/>
  <c r="AN127" s="1"/>
  <c r="AO127" s="1"/>
  <c r="AP127" s="1"/>
  <c r="AQ127" s="1"/>
  <c r="AB128"/>
  <c r="AC128"/>
  <c r="AD128"/>
  <c r="AE128" s="1"/>
  <c r="AF128" s="1"/>
  <c r="AG128"/>
  <c r="AH128" s="1"/>
  <c r="AI128" s="1"/>
  <c r="AJ128" s="1"/>
  <c r="AK128" s="1"/>
  <c r="AL128" s="1"/>
  <c r="AM128" s="1"/>
  <c r="AN128" s="1"/>
  <c r="AO128" s="1"/>
  <c r="AP128" s="1"/>
  <c r="AQ128" s="1"/>
  <c r="P95"/>
  <c r="M95"/>
  <c r="L95"/>
  <c r="P94"/>
  <c r="M94" s="1"/>
  <c r="L94"/>
  <c r="P93"/>
  <c r="M93"/>
  <c r="L93"/>
  <c r="M92"/>
  <c r="L92"/>
  <c r="M91"/>
  <c r="L91"/>
  <c r="M90"/>
  <c r="L90"/>
  <c r="P89"/>
  <c r="M89" s="1"/>
  <c r="L89"/>
  <c r="M88"/>
  <c r="L88"/>
  <c r="P87"/>
  <c r="M87"/>
  <c r="L87"/>
  <c r="P86"/>
  <c r="M86" s="1"/>
  <c r="L86"/>
  <c r="P85"/>
  <c r="M85"/>
  <c r="L85"/>
  <c r="P84"/>
  <c r="M84" s="1"/>
  <c r="L84"/>
  <c r="P83"/>
  <c r="M83"/>
  <c r="L83"/>
  <c r="P82"/>
  <c r="M82" s="1"/>
  <c r="L82"/>
  <c r="M81"/>
  <c r="P80"/>
  <c r="M80" s="1"/>
  <c r="L80"/>
  <c r="P79"/>
  <c r="M79"/>
  <c r="L79"/>
  <c r="P78"/>
  <c r="M78" s="1"/>
  <c r="L78"/>
  <c r="M77"/>
  <c r="L77"/>
  <c r="P76"/>
  <c r="M76"/>
  <c r="L76"/>
  <c r="M75"/>
  <c r="L75"/>
  <c r="M74"/>
  <c r="L74"/>
  <c r="M73"/>
  <c r="M72"/>
  <c r="L72"/>
  <c r="M71"/>
  <c r="M70"/>
  <c r="M69"/>
  <c r="M68"/>
  <c r="L68"/>
  <c r="M67"/>
  <c r="L67"/>
  <c r="K86" i="40"/>
  <c r="K80"/>
  <c r="K84"/>
  <c r="K87"/>
  <c r="K88"/>
  <c r="K89"/>
  <c r="K90"/>
  <c r="K91"/>
  <c r="K92"/>
  <c r="K94"/>
  <c r="K95"/>
  <c r="K96"/>
  <c r="K97"/>
  <c r="K98"/>
  <c r="K99"/>
  <c r="K100"/>
  <c r="K101"/>
  <c r="K102"/>
  <c r="K103"/>
  <c r="K104"/>
  <c r="K105"/>
  <c r="K106"/>
  <c r="K107"/>
  <c r="K79"/>
  <c r="AA140"/>
  <c r="AB140" s="1"/>
  <c r="AC140" s="1"/>
  <c r="AD140" s="1"/>
  <c r="AE140" s="1"/>
  <c r="AF140" s="1"/>
  <c r="AG140" s="1"/>
  <c r="AH140" s="1"/>
  <c r="AI140" s="1"/>
  <c r="AJ140" s="1"/>
  <c r="AK140" s="1"/>
  <c r="AL140" s="1"/>
  <c r="AM140" s="1"/>
  <c r="AN140" s="1"/>
  <c r="AO140" s="1"/>
  <c r="AP140" s="1"/>
  <c r="O107"/>
  <c r="L107" s="1"/>
  <c r="AA139"/>
  <c r="AB139" s="1"/>
  <c r="AC139"/>
  <c r="AD139" s="1"/>
  <c r="AE139" s="1"/>
  <c r="AF139" s="1"/>
  <c r="AG139" s="1"/>
  <c r="AH139" s="1"/>
  <c r="AI139" s="1"/>
  <c r="AJ139" s="1"/>
  <c r="AK139" s="1"/>
  <c r="AL139" s="1"/>
  <c r="AM139" s="1"/>
  <c r="AN139" s="1"/>
  <c r="AO139" s="1"/>
  <c r="AP139" s="1"/>
  <c r="O106"/>
  <c r="L106"/>
  <c r="AA138"/>
  <c r="AB138" s="1"/>
  <c r="AC138"/>
  <c r="AD138" s="1"/>
  <c r="AE138" s="1"/>
  <c r="AF138" s="1"/>
  <c r="AG138" s="1"/>
  <c r="AH138" s="1"/>
  <c r="AI138" s="1"/>
  <c r="AJ138" s="1"/>
  <c r="AK138" s="1"/>
  <c r="AL138" s="1"/>
  <c r="AM138" s="1"/>
  <c r="AN138" s="1"/>
  <c r="AO138" s="1"/>
  <c r="AP138" s="1"/>
  <c r="O105"/>
  <c r="L105" s="1"/>
  <c r="L104"/>
  <c r="L103"/>
  <c r="L102"/>
  <c r="L100"/>
  <c r="L99"/>
  <c r="L98"/>
  <c r="L97"/>
  <c r="L96"/>
  <c r="L95"/>
  <c r="L94"/>
  <c r="L93"/>
  <c r="L92"/>
  <c r="L91"/>
  <c r="L90"/>
  <c r="L89"/>
  <c r="L88"/>
  <c r="L87"/>
  <c r="L86"/>
  <c r="L85"/>
  <c r="L84"/>
  <c r="L83"/>
  <c r="L82"/>
  <c r="L81"/>
  <c r="L80"/>
  <c r="L79"/>
  <c r="D75" i="41"/>
  <c r="C74"/>
  <c r="J1"/>
  <c r="L1"/>
  <c r="R1"/>
  <c r="V1"/>
  <c r="Y1"/>
  <c r="I4"/>
  <c r="Y5"/>
  <c r="I7"/>
  <c r="Y9"/>
  <c r="F29"/>
  <c r="Y11"/>
  <c r="Y14"/>
  <c r="Y15"/>
  <c r="I17"/>
  <c r="Y19"/>
  <c r="I21"/>
  <c r="Y22"/>
  <c r="I25"/>
  <c r="Y26"/>
  <c r="Y27"/>
  <c r="Y30"/>
  <c r="Y31"/>
  <c r="I33"/>
  <c r="Y35"/>
  <c r="S67"/>
  <c r="S65"/>
  <c r="Y69"/>
  <c r="Q69"/>
  <c r="Y68"/>
  <c r="Q68"/>
  <c r="Y67"/>
  <c r="Q67"/>
  <c r="T67"/>
  <c r="V67"/>
  <c r="T68"/>
  <c r="V68"/>
  <c r="T69"/>
  <c r="V69"/>
  <c r="V70"/>
  <c r="V71"/>
  <c r="V72"/>
  <c r="V73"/>
  <c r="V74"/>
  <c r="V75"/>
  <c r="Y76"/>
  <c r="S76"/>
  <c r="V76"/>
  <c r="Y77"/>
  <c r="Q77"/>
  <c r="T77"/>
  <c r="V77"/>
  <c r="Y78"/>
  <c r="Q78" s="1"/>
  <c r="T78"/>
  <c r="V78"/>
  <c r="AT78"/>
  <c r="C79"/>
  <c r="Y79"/>
  <c r="Q79" s="1"/>
  <c r="S79"/>
  <c r="V79"/>
  <c r="C80"/>
  <c r="Y80"/>
  <c r="Q80"/>
  <c r="S80"/>
  <c r="T80"/>
  <c r="V80"/>
  <c r="C81"/>
  <c r="Y81"/>
  <c r="S81"/>
  <c r="V81"/>
  <c r="Y82"/>
  <c r="Q82" s="1"/>
  <c r="S82"/>
  <c r="T82"/>
  <c r="V82"/>
  <c r="Y83"/>
  <c r="T83" s="1"/>
  <c r="Q83"/>
  <c r="S83"/>
  <c r="V83"/>
  <c r="Y84"/>
  <c r="Q84" s="1"/>
  <c r="S84"/>
  <c r="V84"/>
  <c r="Y85"/>
  <c r="S85"/>
  <c r="V85"/>
  <c r="Y86"/>
  <c r="Q86" s="1"/>
  <c r="S86"/>
  <c r="V86"/>
  <c r="Y87"/>
  <c r="T87" s="1"/>
  <c r="Q87"/>
  <c r="S87"/>
  <c r="V87"/>
  <c r="Y88"/>
  <c r="Q88" s="1"/>
  <c r="S88"/>
  <c r="V88"/>
  <c r="Y89"/>
  <c r="S89"/>
  <c r="V89"/>
  <c r="V90"/>
  <c r="Y91"/>
  <c r="Q91"/>
  <c r="S91"/>
  <c r="T91"/>
  <c r="V91"/>
  <c r="AT91"/>
  <c r="Y92"/>
  <c r="Q92"/>
  <c r="S92"/>
  <c r="T92"/>
  <c r="V92"/>
  <c r="S93"/>
  <c r="V93"/>
  <c r="Y94"/>
  <c r="S94"/>
  <c r="V94"/>
  <c r="Y95"/>
  <c r="Q95"/>
  <c r="S95"/>
  <c r="T95"/>
  <c r="V95"/>
  <c r="AT111"/>
  <c r="J1" i="40"/>
  <c r="K1"/>
  <c r="L1"/>
  <c r="M1"/>
  <c r="N1"/>
  <c r="O1"/>
  <c r="P1"/>
  <c r="Q1"/>
  <c r="R1"/>
  <c r="S1"/>
  <c r="V1"/>
  <c r="Y1"/>
  <c r="I2"/>
  <c r="Y2"/>
  <c r="I3"/>
  <c r="Y3"/>
  <c r="I4"/>
  <c r="Y4"/>
  <c r="I5"/>
  <c r="Y5"/>
  <c r="I6"/>
  <c r="Y6"/>
  <c r="I7"/>
  <c r="Y7"/>
  <c r="I8"/>
  <c r="Y8"/>
  <c r="I9"/>
  <c r="Y9"/>
  <c r="F24"/>
  <c r="I10"/>
  <c r="Y10"/>
  <c r="I11"/>
  <c r="Y11"/>
  <c r="I12"/>
  <c r="Y12"/>
  <c r="I13"/>
  <c r="Y13"/>
  <c r="I14"/>
  <c r="Y14"/>
  <c r="I15"/>
  <c r="Y15"/>
  <c r="I16"/>
  <c r="Y16"/>
  <c r="I17"/>
  <c r="Y17"/>
  <c r="I18"/>
  <c r="Y18"/>
  <c r="I19"/>
  <c r="Y19"/>
  <c r="I20"/>
  <c r="Y20"/>
  <c r="I21"/>
  <c r="Y21"/>
  <c r="I22"/>
  <c r="Y22"/>
  <c r="I23"/>
  <c r="Y23"/>
  <c r="I24"/>
  <c r="Y24"/>
  <c r="I25"/>
  <c r="Y25"/>
  <c r="I26"/>
  <c r="Y26"/>
  <c r="I27"/>
  <c r="Y27"/>
  <c r="I28"/>
  <c r="Y28"/>
  <c r="I29"/>
  <c r="Y29"/>
  <c r="I30"/>
  <c r="Y30"/>
  <c r="I31"/>
  <c r="Y31"/>
  <c r="I32"/>
  <c r="Y32"/>
  <c r="I33"/>
  <c r="Y33"/>
  <c r="I34"/>
  <c r="Y34"/>
  <c r="I35"/>
  <c r="Y35"/>
  <c r="P81"/>
  <c r="X82"/>
  <c r="P82" s="1"/>
  <c r="P80"/>
  <c r="P79"/>
  <c r="P77"/>
  <c r="X91"/>
  <c r="X92"/>
  <c r="X96"/>
  <c r="X97"/>
  <c r="P97"/>
  <c r="X101"/>
  <c r="P101"/>
  <c r="S79"/>
  <c r="U79"/>
  <c r="AA79"/>
  <c r="X79" s="1"/>
  <c r="AB79"/>
  <c r="AC79" s="1"/>
  <c r="AD79"/>
  <c r="AE79" s="1"/>
  <c r="AF79" s="1"/>
  <c r="AG79" s="1"/>
  <c r="AH79" s="1"/>
  <c r="AI79" s="1"/>
  <c r="AJ79" s="1"/>
  <c r="AK79" s="1"/>
  <c r="AL79" s="1"/>
  <c r="AM79" s="1"/>
  <c r="AN79" s="1"/>
  <c r="AO79" s="1"/>
  <c r="AP79" s="1"/>
  <c r="S80"/>
  <c r="U80"/>
  <c r="AA80"/>
  <c r="AB80" s="1"/>
  <c r="X80"/>
  <c r="AC80"/>
  <c r="AD80"/>
  <c r="AE80" s="1"/>
  <c r="AF80" s="1"/>
  <c r="AG80" s="1"/>
  <c r="AH80" s="1"/>
  <c r="AI80" s="1"/>
  <c r="AJ80" s="1"/>
  <c r="AK80" s="1"/>
  <c r="AL80" s="1"/>
  <c r="AM80" s="1"/>
  <c r="AN80" s="1"/>
  <c r="AO80" s="1"/>
  <c r="AP80" s="1"/>
  <c r="S81"/>
  <c r="U81"/>
  <c r="S82"/>
  <c r="U82"/>
  <c r="U83"/>
  <c r="U84"/>
  <c r="C85"/>
  <c r="U85"/>
  <c r="D86"/>
  <c r="U86"/>
  <c r="U87"/>
  <c r="U88"/>
  <c r="U89"/>
  <c r="C90"/>
  <c r="U90"/>
  <c r="U91"/>
  <c r="U92"/>
  <c r="U93"/>
  <c r="U94"/>
  <c r="U95"/>
  <c r="U96"/>
  <c r="S97"/>
  <c r="U97"/>
  <c r="U98"/>
  <c r="U99"/>
  <c r="U100"/>
  <c r="S101"/>
  <c r="U101"/>
  <c r="U102"/>
  <c r="U103"/>
  <c r="U104"/>
  <c r="X105"/>
  <c r="R105"/>
  <c r="U105"/>
  <c r="R106"/>
  <c r="U106"/>
  <c r="R107"/>
  <c r="U107"/>
  <c r="AA112"/>
  <c r="AB112"/>
  <c r="AC112" s="1"/>
  <c r="AD112" s="1"/>
  <c r="AE112" s="1"/>
  <c r="AF112" s="1"/>
  <c r="AG112" s="1"/>
  <c r="AH112" s="1"/>
  <c r="AI112" s="1"/>
  <c r="AJ112" s="1"/>
  <c r="AK112" s="1"/>
  <c r="AL112" s="1"/>
  <c r="AM112" s="1"/>
  <c r="AN112" s="1"/>
  <c r="AO112" s="1"/>
  <c r="AP112" s="1"/>
  <c r="AA113"/>
  <c r="AB113"/>
  <c r="AC113" s="1"/>
  <c r="AD113"/>
  <c r="AE113" s="1"/>
  <c r="AF113" s="1"/>
  <c r="AG113" s="1"/>
  <c r="AH113" s="1"/>
  <c r="AI113" s="1"/>
  <c r="AJ113" s="1"/>
  <c r="AK113" s="1"/>
  <c r="AL113" s="1"/>
  <c r="AM113" s="1"/>
  <c r="AN113" s="1"/>
  <c r="AO113" s="1"/>
  <c r="AP113" s="1"/>
  <c r="V1" i="45"/>
  <c r="V2"/>
  <c r="V4"/>
  <c r="DP5"/>
  <c r="DS5" s="1"/>
  <c r="DE17" s="1"/>
  <c r="DA17" s="1"/>
  <c r="DQ5"/>
  <c r="DH6"/>
  <c r="DJ6"/>
  <c r="DS6"/>
  <c r="CZ8"/>
  <c r="DA8"/>
  <c r="CW9"/>
  <c r="K12"/>
  <c r="L12"/>
  <c r="N12"/>
  <c r="O12"/>
  <c r="P12"/>
  <c r="R12"/>
  <c r="S12"/>
  <c r="T12"/>
  <c r="W12"/>
  <c r="X12"/>
  <c r="Y12"/>
  <c r="AA12"/>
  <c r="AB12"/>
  <c r="AC12"/>
  <c r="AE12"/>
  <c r="AF12"/>
  <c r="AG12"/>
  <c r="X13"/>
  <c r="AH13"/>
  <c r="CX19"/>
  <c r="DB13"/>
  <c r="DD13"/>
  <c r="DI13"/>
  <c r="K14"/>
  <c r="X14"/>
  <c r="CX20"/>
  <c r="DB14"/>
  <c r="DD14" s="1"/>
  <c r="DI14"/>
  <c r="K15"/>
  <c r="X15"/>
  <c r="CX21"/>
  <c r="DB15"/>
  <c r="DD15" s="1"/>
  <c r="DI15"/>
  <c r="K16"/>
  <c r="X16"/>
  <c r="AH16"/>
  <c r="CX22"/>
  <c r="DB16"/>
  <c r="DD16"/>
  <c r="DI16"/>
  <c r="K17"/>
  <c r="X17"/>
  <c r="AH17"/>
  <c r="CZ17"/>
  <c r="DD17"/>
  <c r="DF17"/>
  <c r="DI17"/>
  <c r="K18"/>
  <c r="X18"/>
  <c r="AH18"/>
  <c r="DE18"/>
  <c r="CZ18"/>
  <c r="DA18"/>
  <c r="DD18"/>
  <c r="DF18"/>
  <c r="DI18"/>
  <c r="K19"/>
  <c r="AH19"/>
  <c r="K20"/>
  <c r="AH20"/>
  <c r="X21"/>
  <c r="AH21"/>
  <c r="K22"/>
  <c r="X22"/>
  <c r="AH22"/>
  <c r="CZ22"/>
  <c r="K23"/>
  <c r="AH23"/>
  <c r="X24"/>
  <c r="AH24"/>
  <c r="K25"/>
  <c r="X25"/>
  <c r="AH25"/>
  <c r="X26"/>
  <c r="AH26"/>
  <c r="CW26"/>
  <c r="CX26"/>
  <c r="CY26"/>
  <c r="CZ26"/>
  <c r="DC26"/>
  <c r="K27"/>
  <c r="X27"/>
  <c r="K28"/>
  <c r="AH28"/>
  <c r="K29"/>
  <c r="X29"/>
  <c r="DD29"/>
  <c r="K30"/>
  <c r="X30"/>
  <c r="I28"/>
  <c r="K31"/>
  <c r="X31"/>
  <c r="K32"/>
  <c r="AH32"/>
  <c r="X33"/>
  <c r="AH33"/>
  <c r="X34"/>
  <c r="AH34"/>
  <c r="K35"/>
  <c r="X35"/>
  <c r="AH35"/>
  <c r="K36"/>
  <c r="X36"/>
  <c r="DD36"/>
  <c r="DF36"/>
  <c r="K37"/>
  <c r="AH37"/>
  <c r="CX37"/>
  <c r="CY37"/>
  <c r="CZ37"/>
  <c r="DA37"/>
  <c r="K38"/>
  <c r="X38"/>
  <c r="CX38"/>
  <c r="CY38"/>
  <c r="CZ38"/>
  <c r="DA38"/>
  <c r="DD38"/>
  <c r="X39"/>
  <c r="AH39"/>
  <c r="CX39"/>
  <c r="CY39"/>
  <c r="CZ39"/>
  <c r="DA39"/>
  <c r="K40"/>
  <c r="AH40"/>
  <c r="K41"/>
  <c r="X41"/>
  <c r="K42"/>
  <c r="X42"/>
  <c r="AH42"/>
  <c r="X43"/>
  <c r="AH43"/>
  <c r="K44"/>
  <c r="X44"/>
  <c r="K45"/>
  <c r="X45"/>
  <c r="AH45"/>
  <c r="X46"/>
  <c r="AH46"/>
  <c r="DB46"/>
  <c r="DC46"/>
  <c r="DB47"/>
  <c r="DC47"/>
  <c r="CZ56"/>
  <c r="DA56"/>
  <c r="DB56"/>
  <c r="CZ57"/>
  <c r="DA57"/>
  <c r="DB57"/>
  <c r="DL5" i="44"/>
  <c r="DS1"/>
  <c r="DQ5"/>
  <c r="DS6"/>
  <c r="DP5"/>
  <c r="DO5"/>
  <c r="DN5"/>
  <c r="DM5"/>
  <c r="DS2"/>
  <c r="DB2"/>
  <c r="CX3"/>
  <c r="CX7"/>
  <c r="DA35"/>
  <c r="DM7" s="1"/>
  <c r="DB35"/>
  <c r="DC35"/>
  <c r="DE35"/>
  <c r="DQ7" s="1"/>
  <c r="I8"/>
  <c r="CZ8"/>
  <c r="DA8"/>
  <c r="DE13"/>
  <c r="DE14"/>
  <c r="K12"/>
  <c r="L12"/>
  <c r="M12"/>
  <c r="O12"/>
  <c r="P12"/>
  <c r="Q12"/>
  <c r="S12"/>
  <c r="T12"/>
  <c r="U12"/>
  <c r="W12"/>
  <c r="X12"/>
  <c r="Y12"/>
  <c r="AA12"/>
  <c r="AB12"/>
  <c r="AC12"/>
  <c r="AE12"/>
  <c r="AF12"/>
  <c r="AG12"/>
  <c r="W13"/>
  <c r="AG13"/>
  <c r="K14"/>
  <c r="W14"/>
  <c r="W15"/>
  <c r="AG15"/>
  <c r="K16"/>
  <c r="AG16"/>
  <c r="K17"/>
  <c r="W17"/>
  <c r="AG17"/>
  <c r="W18"/>
  <c r="AG18"/>
  <c r="K19"/>
  <c r="W19"/>
  <c r="AG19"/>
  <c r="K20"/>
  <c r="W20"/>
  <c r="K21"/>
  <c r="W21"/>
  <c r="K22"/>
  <c r="W22"/>
  <c r="CZ22"/>
  <c r="K23"/>
  <c r="AG23"/>
  <c r="K24"/>
  <c r="AG24"/>
  <c r="K25"/>
  <c r="AG25"/>
  <c r="CY25"/>
  <c r="CZ25"/>
  <c r="DA25"/>
  <c r="DB25"/>
  <c r="DC25"/>
  <c r="DD25"/>
  <c r="K26"/>
  <c r="W26"/>
  <c r="AG26"/>
  <c r="CY26"/>
  <c r="CZ26"/>
  <c r="DA26"/>
  <c r="DB26"/>
  <c r="DC26"/>
  <c r="DD26"/>
  <c r="DE26"/>
  <c r="W27"/>
  <c r="AG27"/>
  <c r="W28"/>
  <c r="AG28"/>
  <c r="W29"/>
  <c r="AG29"/>
  <c r="CY29"/>
  <c r="CZ46"/>
  <c r="CZ52"/>
  <c r="CZ53"/>
  <c r="CZ54"/>
  <c r="CZ55"/>
  <c r="CZ56"/>
  <c r="CZ57"/>
  <c r="DA52"/>
  <c r="DA53"/>
  <c r="DA54"/>
  <c r="DA55"/>
  <c r="DA56"/>
  <c r="DA57"/>
  <c r="K30"/>
  <c r="W30"/>
  <c r="CY30"/>
  <c r="W31"/>
  <c r="AG31"/>
  <c r="CY31"/>
  <c r="K32"/>
  <c r="W32"/>
  <c r="K33"/>
  <c r="W33"/>
  <c r="K34"/>
  <c r="W34"/>
  <c r="K35"/>
  <c r="AG35"/>
  <c r="K36"/>
  <c r="AG36"/>
  <c r="K37"/>
  <c r="AG37"/>
  <c r="CZ37"/>
  <c r="DA37"/>
  <c r="DB37"/>
  <c r="DC37"/>
  <c r="DD37"/>
  <c r="DE37"/>
  <c r="K38"/>
  <c r="AG38"/>
  <c r="CZ38"/>
  <c r="DA38"/>
  <c r="DB38"/>
  <c r="DC38"/>
  <c r="DD38"/>
  <c r="DE38"/>
  <c r="K39"/>
  <c r="W39"/>
  <c r="CZ39"/>
  <c r="DA39"/>
  <c r="DB39"/>
  <c r="DC39"/>
  <c r="DD39"/>
  <c r="DE39"/>
  <c r="K40"/>
  <c r="AG40"/>
  <c r="K41"/>
  <c r="W41"/>
  <c r="K42"/>
  <c r="W42"/>
  <c r="AG42"/>
  <c r="W43"/>
  <c r="AG43"/>
  <c r="K44"/>
  <c r="W44"/>
  <c r="K45"/>
  <c r="W45"/>
  <c r="AG45"/>
  <c r="K46"/>
  <c r="W46"/>
  <c r="AG46"/>
  <c r="CW6" i="43"/>
  <c r="CW7"/>
  <c r="I8"/>
  <c r="CW9"/>
  <c r="CW11"/>
  <c r="CU42"/>
  <c r="CU44" s="1"/>
  <c r="CX42"/>
  <c r="CX43"/>
  <c r="CY42"/>
  <c r="CY43"/>
  <c r="CZ42"/>
  <c r="CZ43"/>
  <c r="CX44"/>
  <c r="CY44"/>
  <c r="CZ44"/>
  <c r="K12"/>
  <c r="O12"/>
  <c r="S12"/>
  <c r="V12"/>
  <c r="Z12"/>
  <c r="AD12"/>
  <c r="AF12"/>
  <c r="CX13"/>
  <c r="CZ13"/>
  <c r="DA13"/>
  <c r="CX14"/>
  <c r="DA14" s="1"/>
  <c r="CZ14"/>
  <c r="W15"/>
  <c r="CZ15"/>
  <c r="W16"/>
  <c r="CX16"/>
  <c r="CZ16"/>
  <c r="DA16"/>
  <c r="DB16"/>
  <c r="CZ17"/>
  <c r="W18"/>
  <c r="CX18"/>
  <c r="DA18" s="1"/>
  <c r="CZ18"/>
  <c r="DB18"/>
  <c r="W19"/>
  <c r="CX20"/>
  <c r="W21"/>
  <c r="CV21"/>
  <c r="W22"/>
  <c r="CV22"/>
  <c r="K23"/>
  <c r="W24"/>
  <c r="CV24"/>
  <c r="W26"/>
  <c r="CV26"/>
  <c r="K27"/>
  <c r="AG27"/>
  <c r="K28"/>
  <c r="W29"/>
  <c r="K30"/>
  <c r="AG30"/>
  <c r="AG31"/>
  <c r="W32"/>
  <c r="K33"/>
  <c r="K34"/>
  <c r="AG34"/>
  <c r="AG35"/>
  <c r="W36"/>
  <c r="K37"/>
  <c r="K38"/>
  <c r="AG38"/>
  <c r="CU38"/>
  <c r="CV38"/>
  <c r="CW38"/>
  <c r="CX38"/>
  <c r="CY38"/>
  <c r="CZ38"/>
  <c r="W39"/>
  <c r="CU39"/>
  <c r="CV39"/>
  <c r="CW39"/>
  <c r="CX39"/>
  <c r="CY39"/>
  <c r="CZ39"/>
  <c r="DA39"/>
  <c r="W40"/>
  <c r="AG41"/>
  <c r="K43"/>
  <c r="AG43"/>
  <c r="K45"/>
  <c r="W46"/>
  <c r="AO104" i="46" l="1"/>
  <c r="AP104"/>
  <c r="AO103"/>
  <c r="AP105"/>
  <c r="AO105"/>
  <c r="BF308" i="47"/>
  <c r="AY195" i="51"/>
  <c r="AY163"/>
  <c r="AY119"/>
  <c r="AY83"/>
  <c r="AY199"/>
  <c r="AY167"/>
  <c r="AY135"/>
  <c r="AY87"/>
  <c r="AY39"/>
  <c r="AY211"/>
  <c r="AY179"/>
  <c r="AY147"/>
  <c r="AY103"/>
  <c r="AY51"/>
  <c r="DD59" i="53"/>
  <c r="DD60"/>
  <c r="AO111" i="46"/>
  <c r="AY55" i="51"/>
  <c r="AY22"/>
  <c r="BW8" i="47"/>
  <c r="AY131" i="51"/>
  <c r="AY99"/>
  <c r="AY67"/>
  <c r="BS33" i="52"/>
  <c r="BS9"/>
  <c r="R5" i="45"/>
  <c r="AO115" i="46"/>
  <c r="AR121" i="41"/>
  <c r="AS121" s="1"/>
  <c r="AT121" s="1"/>
  <c r="AR113"/>
  <c r="AS113" s="1"/>
  <c r="AT113" s="1"/>
  <c r="AQ541" i="40"/>
  <c r="AR541" s="1"/>
  <c r="AS541" s="1"/>
  <c r="AQ533"/>
  <c r="AR533" s="1"/>
  <c r="AS533" s="1"/>
  <c r="AQ525"/>
  <c r="AR525" s="1"/>
  <c r="AS525" s="1"/>
  <c r="AQ517"/>
  <c r="AR517" s="1"/>
  <c r="AS517" s="1"/>
  <c r="AQ509"/>
  <c r="AR509" s="1"/>
  <c r="AS509" s="1"/>
  <c r="AQ503"/>
  <c r="AR503" s="1"/>
  <c r="AS503" s="1"/>
  <c r="AR126" i="41"/>
  <c r="AS126" s="1"/>
  <c r="AT126" s="1"/>
  <c r="Z544" i="40"/>
  <c r="X544" s="1"/>
  <c r="AQ544"/>
  <c r="AR544" s="1"/>
  <c r="AS544" s="1"/>
  <c r="Z538"/>
  <c r="X538" s="1"/>
  <c r="AQ538"/>
  <c r="AR538" s="1"/>
  <c r="AS538" s="1"/>
  <c r="Z532"/>
  <c r="X532" s="1"/>
  <c r="AQ532"/>
  <c r="AR532" s="1"/>
  <c r="AS532" s="1"/>
  <c r="Z526"/>
  <c r="X526" s="1"/>
  <c r="AQ526"/>
  <c r="AR526" s="1"/>
  <c r="AS526" s="1"/>
  <c r="Z520"/>
  <c r="X520" s="1"/>
  <c r="AQ520"/>
  <c r="AR520" s="1"/>
  <c r="AS520" s="1"/>
  <c r="Z514"/>
  <c r="X514" s="1"/>
  <c r="AQ514"/>
  <c r="AR514" s="1"/>
  <c r="AS514" s="1"/>
  <c r="Z508"/>
  <c r="X508" s="1"/>
  <c r="AQ508"/>
  <c r="AR508" s="1"/>
  <c r="AS508" s="1"/>
  <c r="Z502"/>
  <c r="X502" s="1"/>
  <c r="AQ502"/>
  <c r="AR502" s="1"/>
  <c r="AS502" s="1"/>
  <c r="AQ496"/>
  <c r="AR496" s="1"/>
  <c r="AS496" s="1"/>
  <c r="Z490"/>
  <c r="X490" s="1"/>
  <c r="AQ490"/>
  <c r="AR490" s="1"/>
  <c r="AS490" s="1"/>
  <c r="AQ484"/>
  <c r="AR484" s="1"/>
  <c r="AS484" s="1"/>
  <c r="AQ478"/>
  <c r="AR478" s="1"/>
  <c r="AS478" s="1"/>
  <c r="AQ472"/>
  <c r="AR472" s="1"/>
  <c r="AS472" s="1"/>
  <c r="AQ466"/>
  <c r="AR466" s="1"/>
  <c r="AS466" s="1"/>
  <c r="AQ460"/>
  <c r="AR460" s="1"/>
  <c r="AS460" s="1"/>
  <c r="AQ454"/>
  <c r="AR454" s="1"/>
  <c r="AS454" s="1"/>
  <c r="AQ448"/>
  <c r="AR448" s="1"/>
  <c r="AS448" s="1"/>
  <c r="AQ112"/>
  <c r="AR112" s="1"/>
  <c r="AS112" s="1"/>
  <c r="Z112"/>
  <c r="AQ80"/>
  <c r="AR80" s="1"/>
  <c r="AS80" s="1"/>
  <c r="AQ214"/>
  <c r="AR214" s="1"/>
  <c r="AS214" s="1"/>
  <c r="Z214"/>
  <c r="X214" s="1"/>
  <c r="AQ212"/>
  <c r="AR212" s="1"/>
  <c r="AS212" s="1"/>
  <c r="Z212"/>
  <c r="X212" s="1"/>
  <c r="AQ210"/>
  <c r="AR210" s="1"/>
  <c r="AS210" s="1"/>
  <c r="Z210"/>
  <c r="X210" s="1"/>
  <c r="AQ208"/>
  <c r="AR208" s="1"/>
  <c r="AS208" s="1"/>
  <c r="Z208"/>
  <c r="X208" s="1"/>
  <c r="AQ206"/>
  <c r="AR206" s="1"/>
  <c r="AS206" s="1"/>
  <c r="AQ204"/>
  <c r="AR204" s="1"/>
  <c r="AS204" s="1"/>
  <c r="Z204"/>
  <c r="X204" s="1"/>
  <c r="AQ202"/>
  <c r="AR202" s="1"/>
  <c r="AS202" s="1"/>
  <c r="AQ200"/>
  <c r="AR200" s="1"/>
  <c r="AS200" s="1"/>
  <c r="Z200"/>
  <c r="X200" s="1"/>
  <c r="AQ198"/>
  <c r="AR198" s="1"/>
  <c r="AS198" s="1"/>
  <c r="AQ196"/>
  <c r="AR196" s="1"/>
  <c r="AS196" s="1"/>
  <c r="Z196"/>
  <c r="X196" s="1"/>
  <c r="AQ194"/>
  <c r="AR194" s="1"/>
  <c r="AS194" s="1"/>
  <c r="AQ192"/>
  <c r="AR192" s="1"/>
  <c r="AS192" s="1"/>
  <c r="Z192"/>
  <c r="X192" s="1"/>
  <c r="AQ190"/>
  <c r="AR190" s="1"/>
  <c r="AS190" s="1"/>
  <c r="AQ188"/>
  <c r="AR188" s="1"/>
  <c r="AS188" s="1"/>
  <c r="Z188"/>
  <c r="X188" s="1"/>
  <c r="AQ186"/>
  <c r="AR186" s="1"/>
  <c r="AS186" s="1"/>
  <c r="AQ184"/>
  <c r="AR184" s="1"/>
  <c r="AS184" s="1"/>
  <c r="Z184"/>
  <c r="X184" s="1"/>
  <c r="AQ182"/>
  <c r="AR182" s="1"/>
  <c r="AS182" s="1"/>
  <c r="AQ180"/>
  <c r="AR180" s="1"/>
  <c r="AS180" s="1"/>
  <c r="AQ178"/>
  <c r="AR178" s="1"/>
  <c r="AS178" s="1"/>
  <c r="AQ176"/>
  <c r="AR176" s="1"/>
  <c r="AS176" s="1"/>
  <c r="AQ174"/>
  <c r="AR174" s="1"/>
  <c r="AS174" s="1"/>
  <c r="AQ172"/>
  <c r="AR172" s="1"/>
  <c r="AS172" s="1"/>
  <c r="AQ170"/>
  <c r="AR170" s="1"/>
  <c r="AS170" s="1"/>
  <c r="AQ168"/>
  <c r="AR168" s="1"/>
  <c r="AS168" s="1"/>
  <c r="AQ166"/>
  <c r="AR166" s="1"/>
  <c r="AS166" s="1"/>
  <c r="AQ164"/>
  <c r="AR164" s="1"/>
  <c r="AS164" s="1"/>
  <c r="AQ162"/>
  <c r="AR162" s="1"/>
  <c r="AS162" s="1"/>
  <c r="AQ160"/>
  <c r="AR160" s="1"/>
  <c r="AS160" s="1"/>
  <c r="AQ158"/>
  <c r="AR158" s="1"/>
  <c r="AS158" s="1"/>
  <c r="AQ155"/>
  <c r="AR155" s="1"/>
  <c r="AS155" s="1"/>
  <c r="Z149"/>
  <c r="X149" s="1"/>
  <c r="AQ149"/>
  <c r="AR149" s="1"/>
  <c r="AS149" s="1"/>
  <c r="AQ146"/>
  <c r="AR146" s="1"/>
  <c r="AS146" s="1"/>
  <c r="AQ128"/>
  <c r="AR128" s="1"/>
  <c r="AS128" s="1"/>
  <c r="Z125"/>
  <c r="M92" s="1"/>
  <c r="AQ125"/>
  <c r="AR125" s="1"/>
  <c r="AS125" s="1"/>
  <c r="AQ438"/>
  <c r="AR438" s="1"/>
  <c r="AS438" s="1"/>
  <c r="Z117"/>
  <c r="M84" s="1"/>
  <c r="AQ117"/>
  <c r="AR117" s="1"/>
  <c r="AS117" s="1"/>
  <c r="Z82"/>
  <c r="AQ82"/>
  <c r="AR82" s="1"/>
  <c r="AS82" s="1"/>
  <c r="AR519" i="41"/>
  <c r="AS519" s="1"/>
  <c r="AT519" s="1"/>
  <c r="AR510"/>
  <c r="AS510" s="1"/>
  <c r="AT510" s="1"/>
  <c r="AR364"/>
  <c r="AS364" s="1"/>
  <c r="AT364" s="1"/>
  <c r="AR354"/>
  <c r="AS354" s="1"/>
  <c r="AT354" s="1"/>
  <c r="AR330"/>
  <c r="AS330" s="1"/>
  <c r="AT330" s="1"/>
  <c r="AR321"/>
  <c r="AS321" s="1"/>
  <c r="AT321" s="1"/>
  <c r="AR298"/>
  <c r="AS298" s="1"/>
  <c r="AT298" s="1"/>
  <c r="AR289"/>
  <c r="AS289" s="1"/>
  <c r="AT289" s="1"/>
  <c r="AR266"/>
  <c r="AS266" s="1"/>
  <c r="AT266" s="1"/>
  <c r="AR257"/>
  <c r="AS257" s="1"/>
  <c r="AT257" s="1"/>
  <c r="AR234"/>
  <c r="AS234" s="1"/>
  <c r="AT234" s="1"/>
  <c r="AR225"/>
  <c r="AS225" s="1"/>
  <c r="AT225" s="1"/>
  <c r="AR202"/>
  <c r="AS202" s="1"/>
  <c r="AT202" s="1"/>
  <c r="AR193"/>
  <c r="AS193" s="1"/>
  <c r="AT193" s="1"/>
  <c r="AR170"/>
  <c r="AS170" s="1"/>
  <c r="AT170" s="1"/>
  <c r="AR161"/>
  <c r="AS161" s="1"/>
  <c r="AT161" s="1"/>
  <c r="AR138"/>
  <c r="AS138" s="1"/>
  <c r="AT138" s="1"/>
  <c r="AR81"/>
  <c r="AS81" s="1"/>
  <c r="AT81" s="1"/>
  <c r="AQ138" i="40"/>
  <c r="AR138" s="1"/>
  <c r="AS138" s="1"/>
  <c r="AR128" i="41"/>
  <c r="AS128" s="1"/>
  <c r="AT128" s="1"/>
  <c r="AR117"/>
  <c r="AS117" s="1"/>
  <c r="AT117" s="1"/>
  <c r="AQ545" i="40"/>
  <c r="AR545" s="1"/>
  <c r="AS545" s="1"/>
  <c r="AQ537"/>
  <c r="AR537" s="1"/>
  <c r="AS537" s="1"/>
  <c r="AQ529"/>
  <c r="AR529" s="1"/>
  <c r="AS529" s="1"/>
  <c r="AQ521"/>
  <c r="AR521" s="1"/>
  <c r="AS521" s="1"/>
  <c r="AQ513"/>
  <c r="AR513" s="1"/>
  <c r="AS513" s="1"/>
  <c r="AQ505"/>
  <c r="AR505" s="1"/>
  <c r="AS505" s="1"/>
  <c r="AQ501"/>
  <c r="AR501" s="1"/>
  <c r="AS501" s="1"/>
  <c r="AQ499"/>
  <c r="AR499" s="1"/>
  <c r="AS499" s="1"/>
  <c r="AQ497"/>
  <c r="AR497" s="1"/>
  <c r="AS497" s="1"/>
  <c r="AQ495"/>
  <c r="AR495" s="1"/>
  <c r="AS495" s="1"/>
  <c r="AQ493"/>
  <c r="AR493" s="1"/>
  <c r="AS493" s="1"/>
  <c r="AQ491"/>
  <c r="AR491" s="1"/>
  <c r="AS491" s="1"/>
  <c r="AQ489"/>
  <c r="AR489" s="1"/>
  <c r="AS489" s="1"/>
  <c r="AQ487"/>
  <c r="AR487" s="1"/>
  <c r="AS487" s="1"/>
  <c r="AQ485"/>
  <c r="AR485" s="1"/>
  <c r="AS485" s="1"/>
  <c r="AQ483"/>
  <c r="AR483" s="1"/>
  <c r="AS483" s="1"/>
  <c r="AQ481"/>
  <c r="AR481" s="1"/>
  <c r="AS481" s="1"/>
  <c r="AQ479"/>
  <c r="AR479" s="1"/>
  <c r="AS479" s="1"/>
  <c r="AQ477"/>
  <c r="AR477" s="1"/>
  <c r="AS477" s="1"/>
  <c r="AQ475"/>
  <c r="AR475" s="1"/>
  <c r="AS475" s="1"/>
  <c r="AQ473"/>
  <c r="AR473" s="1"/>
  <c r="AS473" s="1"/>
  <c r="AQ471"/>
  <c r="AR471" s="1"/>
  <c r="AS471" s="1"/>
  <c r="AQ469"/>
  <c r="AR469" s="1"/>
  <c r="AS469" s="1"/>
  <c r="AQ467"/>
  <c r="AR467" s="1"/>
  <c r="AS467" s="1"/>
  <c r="AQ465"/>
  <c r="AR465" s="1"/>
  <c r="AS465" s="1"/>
  <c r="AQ463"/>
  <c r="AR463" s="1"/>
  <c r="AS463" s="1"/>
  <c r="AQ461"/>
  <c r="AR461" s="1"/>
  <c r="AS461" s="1"/>
  <c r="AQ459"/>
  <c r="AR459" s="1"/>
  <c r="AS459" s="1"/>
  <c r="AQ457"/>
  <c r="AR457" s="1"/>
  <c r="AS457" s="1"/>
  <c r="AQ455"/>
  <c r="AR455" s="1"/>
  <c r="AS455" s="1"/>
  <c r="AQ453"/>
  <c r="AR453" s="1"/>
  <c r="AS453" s="1"/>
  <c r="AQ451"/>
  <c r="AR451" s="1"/>
  <c r="AS451" s="1"/>
  <c r="AQ449"/>
  <c r="AR449" s="1"/>
  <c r="AS449" s="1"/>
  <c r="AQ447"/>
  <c r="AR447" s="1"/>
  <c r="AS447" s="1"/>
  <c r="AQ444"/>
  <c r="AR444" s="1"/>
  <c r="AS444" s="1"/>
  <c r="AQ442"/>
  <c r="AR442" s="1"/>
  <c r="AS442" s="1"/>
  <c r="AQ436"/>
  <c r="AR436" s="1"/>
  <c r="AS436" s="1"/>
  <c r="AQ434"/>
  <c r="AR434" s="1"/>
  <c r="AS434" s="1"/>
  <c r="AQ431"/>
  <c r="AR431" s="1"/>
  <c r="AS431" s="1"/>
  <c r="AQ429"/>
  <c r="AR429" s="1"/>
  <c r="AS429" s="1"/>
  <c r="AQ427"/>
  <c r="AR427" s="1"/>
  <c r="AS427" s="1"/>
  <c r="AQ424"/>
  <c r="AR424" s="1"/>
  <c r="AS424" s="1"/>
  <c r="AQ418"/>
  <c r="AR418" s="1"/>
  <c r="AS418" s="1"/>
  <c r="AQ416"/>
  <c r="AR416" s="1"/>
  <c r="AS416" s="1"/>
  <c r="AQ414"/>
  <c r="AR414" s="1"/>
  <c r="AS414" s="1"/>
  <c r="AQ412"/>
  <c r="AR412" s="1"/>
  <c r="AS412" s="1"/>
  <c r="AQ410"/>
  <c r="AR410" s="1"/>
  <c r="AS410" s="1"/>
  <c r="AQ408"/>
  <c r="AR408" s="1"/>
  <c r="AS408" s="1"/>
  <c r="AQ406"/>
  <c r="AR406" s="1"/>
  <c r="AS406" s="1"/>
  <c r="AQ404"/>
  <c r="AR404" s="1"/>
  <c r="AS404" s="1"/>
  <c r="AQ402"/>
  <c r="AR402" s="1"/>
  <c r="AS402" s="1"/>
  <c r="AQ400"/>
  <c r="AR400" s="1"/>
  <c r="AS400" s="1"/>
  <c r="AQ398"/>
  <c r="AR398" s="1"/>
  <c r="AS398" s="1"/>
  <c r="AQ396"/>
  <c r="AR396" s="1"/>
  <c r="AS396" s="1"/>
  <c r="AQ393"/>
  <c r="AR393" s="1"/>
  <c r="AS393" s="1"/>
  <c r="AQ391"/>
  <c r="AR391" s="1"/>
  <c r="AS391" s="1"/>
  <c r="AQ389"/>
  <c r="AR389" s="1"/>
  <c r="AS389" s="1"/>
  <c r="AQ387"/>
  <c r="AR387" s="1"/>
  <c r="AS387" s="1"/>
  <c r="AQ385"/>
  <c r="AR385" s="1"/>
  <c r="AS385" s="1"/>
  <c r="AQ383"/>
  <c r="AR383" s="1"/>
  <c r="AS383" s="1"/>
  <c r="AQ381"/>
  <c r="AR381" s="1"/>
  <c r="AS381" s="1"/>
  <c r="AQ379"/>
  <c r="AR379" s="1"/>
  <c r="AS379" s="1"/>
  <c r="AQ377"/>
  <c r="AR377" s="1"/>
  <c r="AS377" s="1"/>
  <c r="AQ375"/>
  <c r="AR375" s="1"/>
  <c r="AS375" s="1"/>
  <c r="AQ373"/>
  <c r="AR373" s="1"/>
  <c r="AS373" s="1"/>
  <c r="AQ371"/>
  <c r="AR371" s="1"/>
  <c r="AS371" s="1"/>
  <c r="AQ369"/>
  <c r="AR369" s="1"/>
  <c r="AS369" s="1"/>
  <c r="AQ367"/>
  <c r="AR367" s="1"/>
  <c r="AS367" s="1"/>
  <c r="AQ365"/>
  <c r="AR365" s="1"/>
  <c r="AS365" s="1"/>
  <c r="AQ363"/>
  <c r="AR363" s="1"/>
  <c r="AS363" s="1"/>
  <c r="AQ361"/>
  <c r="AR361" s="1"/>
  <c r="AS361" s="1"/>
  <c r="AQ359"/>
  <c r="AR359" s="1"/>
  <c r="AS359" s="1"/>
  <c r="AQ357"/>
  <c r="AR357" s="1"/>
  <c r="AS357" s="1"/>
  <c r="AQ355"/>
  <c r="AR355" s="1"/>
  <c r="AS355" s="1"/>
  <c r="AQ353"/>
  <c r="AR353" s="1"/>
  <c r="AS353" s="1"/>
  <c r="AQ351"/>
  <c r="AR351" s="1"/>
  <c r="AS351" s="1"/>
  <c r="AQ349"/>
  <c r="AR349" s="1"/>
  <c r="AS349" s="1"/>
  <c r="AQ347"/>
  <c r="AR347" s="1"/>
  <c r="AS347" s="1"/>
  <c r="AQ344"/>
  <c r="AR344" s="1"/>
  <c r="AS344" s="1"/>
  <c r="AQ342"/>
  <c r="AR342" s="1"/>
  <c r="AS342" s="1"/>
  <c r="AQ340"/>
  <c r="AR340" s="1"/>
  <c r="AS340" s="1"/>
  <c r="AQ338"/>
  <c r="AR338" s="1"/>
  <c r="AS338" s="1"/>
  <c r="AQ336"/>
  <c r="AR336" s="1"/>
  <c r="AS336" s="1"/>
  <c r="AQ334"/>
  <c r="AR334" s="1"/>
  <c r="AS334" s="1"/>
  <c r="AQ332"/>
  <c r="AR332" s="1"/>
  <c r="AS332" s="1"/>
  <c r="AQ330"/>
  <c r="AR330" s="1"/>
  <c r="AS330" s="1"/>
  <c r="AQ328"/>
  <c r="AR328" s="1"/>
  <c r="AS328" s="1"/>
  <c r="AQ326"/>
  <c r="AR326" s="1"/>
  <c r="AS326" s="1"/>
  <c r="AQ324"/>
  <c r="AR324" s="1"/>
  <c r="AS324" s="1"/>
  <c r="AQ322"/>
  <c r="AR322" s="1"/>
  <c r="AS322" s="1"/>
  <c r="AQ320"/>
  <c r="AR320" s="1"/>
  <c r="AS320" s="1"/>
  <c r="AQ318"/>
  <c r="AR318" s="1"/>
  <c r="AS318" s="1"/>
  <c r="AQ316"/>
  <c r="AR316" s="1"/>
  <c r="AS316" s="1"/>
  <c r="AQ314"/>
  <c r="AR314" s="1"/>
  <c r="AS314" s="1"/>
  <c r="AQ312"/>
  <c r="AR312" s="1"/>
  <c r="AS312" s="1"/>
  <c r="AQ310"/>
  <c r="AR310" s="1"/>
  <c r="AS310" s="1"/>
  <c r="AQ308"/>
  <c r="AR308" s="1"/>
  <c r="AS308" s="1"/>
  <c r="AQ306"/>
  <c r="AR306" s="1"/>
  <c r="AS306" s="1"/>
  <c r="AQ304"/>
  <c r="AR304" s="1"/>
  <c r="AS304" s="1"/>
  <c r="AQ302"/>
  <c r="AR302" s="1"/>
  <c r="AS302" s="1"/>
  <c r="AQ300"/>
  <c r="AR300" s="1"/>
  <c r="AS300" s="1"/>
  <c r="AQ298"/>
  <c r="AR298" s="1"/>
  <c r="AS298" s="1"/>
  <c r="AQ296"/>
  <c r="AR296" s="1"/>
  <c r="AS296" s="1"/>
  <c r="AQ294"/>
  <c r="AR294" s="1"/>
  <c r="AS294" s="1"/>
  <c r="AQ292"/>
  <c r="AR292" s="1"/>
  <c r="AS292" s="1"/>
  <c r="AQ290"/>
  <c r="AR290" s="1"/>
  <c r="AS290" s="1"/>
  <c r="AQ288"/>
  <c r="AR288" s="1"/>
  <c r="AS288" s="1"/>
  <c r="AQ286"/>
  <c r="AR286" s="1"/>
  <c r="AS286" s="1"/>
  <c r="AQ284"/>
  <c r="AR284" s="1"/>
  <c r="AS284" s="1"/>
  <c r="AQ282"/>
  <c r="AR282" s="1"/>
  <c r="AS282" s="1"/>
  <c r="AQ280"/>
  <c r="AR280" s="1"/>
  <c r="AS280" s="1"/>
  <c r="AQ278"/>
  <c r="AR278" s="1"/>
  <c r="AS278" s="1"/>
  <c r="AQ276"/>
  <c r="AR276" s="1"/>
  <c r="AS276" s="1"/>
  <c r="AQ274"/>
  <c r="AR274" s="1"/>
  <c r="AS274" s="1"/>
  <c r="AQ272"/>
  <c r="AR272" s="1"/>
  <c r="AS272" s="1"/>
  <c r="AQ270"/>
  <c r="AR270" s="1"/>
  <c r="AS270" s="1"/>
  <c r="AQ268"/>
  <c r="AR268" s="1"/>
  <c r="AS268" s="1"/>
  <c r="AQ266"/>
  <c r="AR266" s="1"/>
  <c r="AS266" s="1"/>
  <c r="AQ264"/>
  <c r="AR264" s="1"/>
  <c r="AS264" s="1"/>
  <c r="AQ262"/>
  <c r="AR262" s="1"/>
  <c r="AS262" s="1"/>
  <c r="AQ260"/>
  <c r="AR260" s="1"/>
  <c r="AS260" s="1"/>
  <c r="AQ258"/>
  <c r="AR258" s="1"/>
  <c r="AS258" s="1"/>
  <c r="AQ256"/>
  <c r="AR256" s="1"/>
  <c r="AS256" s="1"/>
  <c r="AQ254"/>
  <c r="AR254" s="1"/>
  <c r="AS254" s="1"/>
  <c r="AQ252"/>
  <c r="AR252" s="1"/>
  <c r="AS252" s="1"/>
  <c r="AQ250"/>
  <c r="AR250" s="1"/>
  <c r="AS250" s="1"/>
  <c r="AQ248"/>
  <c r="AR248" s="1"/>
  <c r="AS248" s="1"/>
  <c r="AQ246"/>
  <c r="AR246" s="1"/>
  <c r="AS246" s="1"/>
  <c r="AQ244"/>
  <c r="AR244" s="1"/>
  <c r="AS244" s="1"/>
  <c r="AQ242"/>
  <c r="AR242" s="1"/>
  <c r="AS242" s="1"/>
  <c r="AQ240"/>
  <c r="AR240" s="1"/>
  <c r="AS240" s="1"/>
  <c r="AQ238"/>
  <c r="AR238" s="1"/>
  <c r="AS238" s="1"/>
  <c r="AQ236"/>
  <c r="AR236" s="1"/>
  <c r="AS236" s="1"/>
  <c r="AQ234"/>
  <c r="AR234" s="1"/>
  <c r="AS234" s="1"/>
  <c r="AQ232"/>
  <c r="AR232" s="1"/>
  <c r="AS232" s="1"/>
  <c r="AQ230"/>
  <c r="AR230" s="1"/>
  <c r="AS230" s="1"/>
  <c r="AQ228"/>
  <c r="AR228" s="1"/>
  <c r="AS228" s="1"/>
  <c r="AQ226"/>
  <c r="AR226" s="1"/>
  <c r="AS226" s="1"/>
  <c r="AQ224"/>
  <c r="AR224" s="1"/>
  <c r="AS224" s="1"/>
  <c r="AQ222"/>
  <c r="AR222" s="1"/>
  <c r="AS222" s="1"/>
  <c r="AQ220"/>
  <c r="AR220" s="1"/>
  <c r="AS220" s="1"/>
  <c r="AQ218"/>
  <c r="AR218" s="1"/>
  <c r="AS218" s="1"/>
  <c r="AQ216"/>
  <c r="AR216" s="1"/>
  <c r="AS216" s="1"/>
  <c r="Z156"/>
  <c r="X156" s="1"/>
  <c r="AQ156"/>
  <c r="AR156" s="1"/>
  <c r="AS156" s="1"/>
  <c r="AQ151"/>
  <c r="AR151" s="1"/>
  <c r="AS151" s="1"/>
  <c r="AQ134"/>
  <c r="AR134" s="1"/>
  <c r="AS134" s="1"/>
  <c r="Z127"/>
  <c r="M94" s="1"/>
  <c r="AQ127"/>
  <c r="AR127" s="1"/>
  <c r="AS127" s="1"/>
  <c r="Z124"/>
  <c r="M91" s="1"/>
  <c r="AQ124"/>
  <c r="AR124" s="1"/>
  <c r="AS124" s="1"/>
  <c r="AQ122"/>
  <c r="AR122" s="1"/>
  <c r="AS122" s="1"/>
  <c r="AQ121"/>
  <c r="AR121" s="1"/>
  <c r="AS121" s="1"/>
  <c r="AQ114"/>
  <c r="AR114" s="1"/>
  <c r="AS114" s="1"/>
  <c r="Z439"/>
  <c r="X439" s="1"/>
  <c r="AQ439"/>
  <c r="AR439" s="1"/>
  <c r="AS439" s="1"/>
  <c r="Z91"/>
  <c r="AQ91"/>
  <c r="AR91" s="1"/>
  <c r="AS91" s="1"/>
  <c r="Z97"/>
  <c r="AQ97"/>
  <c r="AR97" s="1"/>
  <c r="AS97" s="1"/>
  <c r="Z96"/>
  <c r="AQ96"/>
  <c r="AR96" s="1"/>
  <c r="AS96" s="1"/>
  <c r="AR511" i="41"/>
  <c r="AS511" s="1"/>
  <c r="AT511" s="1"/>
  <c r="AR403"/>
  <c r="AS403" s="1"/>
  <c r="AT403" s="1"/>
  <c r="AR355"/>
  <c r="AS355" s="1"/>
  <c r="AT355" s="1"/>
  <c r="AR346"/>
  <c r="AS346" s="1"/>
  <c r="AT346" s="1"/>
  <c r="AR322"/>
  <c r="AS322" s="1"/>
  <c r="AT322" s="1"/>
  <c r="AR313"/>
  <c r="AS313" s="1"/>
  <c r="AT313" s="1"/>
  <c r="AR290"/>
  <c r="AS290" s="1"/>
  <c r="AT290" s="1"/>
  <c r="AR281"/>
  <c r="AS281" s="1"/>
  <c r="AT281" s="1"/>
  <c r="AR258"/>
  <c r="AS258" s="1"/>
  <c r="AT258" s="1"/>
  <c r="AR249"/>
  <c r="AS249" s="1"/>
  <c r="AT249" s="1"/>
  <c r="AR226"/>
  <c r="AS226" s="1"/>
  <c r="AT226" s="1"/>
  <c r="AR217"/>
  <c r="AS217" s="1"/>
  <c r="AT217" s="1"/>
  <c r="AR194"/>
  <c r="AS194" s="1"/>
  <c r="AT194" s="1"/>
  <c r="AR185"/>
  <c r="AS185" s="1"/>
  <c r="AT185" s="1"/>
  <c r="AR162"/>
  <c r="AS162" s="1"/>
  <c r="AT162" s="1"/>
  <c r="AR153"/>
  <c r="AS153" s="1"/>
  <c r="AT153" s="1"/>
  <c r="Z139" i="40"/>
  <c r="M106" s="1"/>
  <c r="AQ139"/>
  <c r="AR139" s="1"/>
  <c r="AS139" s="1"/>
  <c r="AR127" i="41"/>
  <c r="AS127" s="1"/>
  <c r="AT127" s="1"/>
  <c r="AR115"/>
  <c r="AS115" s="1"/>
  <c r="AT115" s="1"/>
  <c r="AQ543" i="40"/>
  <c r="AR543" s="1"/>
  <c r="AS543" s="1"/>
  <c r="AQ535"/>
  <c r="AR535" s="1"/>
  <c r="AS535" s="1"/>
  <c r="AQ527"/>
  <c r="AR527" s="1"/>
  <c r="AS527" s="1"/>
  <c r="AQ519"/>
  <c r="AR519" s="1"/>
  <c r="AS519" s="1"/>
  <c r="AQ511"/>
  <c r="AR511" s="1"/>
  <c r="AS511" s="1"/>
  <c r="AQ79"/>
  <c r="AR79" s="1"/>
  <c r="AS79" s="1"/>
  <c r="AR125" i="41"/>
  <c r="AS125" s="1"/>
  <c r="AT125" s="1"/>
  <c r="Z542" i="40"/>
  <c r="X542" s="1"/>
  <c r="AQ542"/>
  <c r="AR542" s="1"/>
  <c r="AS542" s="1"/>
  <c r="Z536"/>
  <c r="X536" s="1"/>
  <c r="AQ536"/>
  <c r="AR536" s="1"/>
  <c r="AS536" s="1"/>
  <c r="Z530"/>
  <c r="X530" s="1"/>
  <c r="AQ530"/>
  <c r="AR530" s="1"/>
  <c r="AS530" s="1"/>
  <c r="Z524"/>
  <c r="X524" s="1"/>
  <c r="AQ524"/>
  <c r="AR524" s="1"/>
  <c r="AS524" s="1"/>
  <c r="Z518"/>
  <c r="X518" s="1"/>
  <c r="AQ518"/>
  <c r="AR518" s="1"/>
  <c r="AS518" s="1"/>
  <c r="Z512"/>
  <c r="X512" s="1"/>
  <c r="AQ512"/>
  <c r="AR512" s="1"/>
  <c r="AS512" s="1"/>
  <c r="Z506"/>
  <c r="X506" s="1"/>
  <c r="AQ506"/>
  <c r="AR506" s="1"/>
  <c r="AS506" s="1"/>
  <c r="Z500"/>
  <c r="X500" s="1"/>
  <c r="AQ500"/>
  <c r="AR500" s="1"/>
  <c r="AS500" s="1"/>
  <c r="Z494"/>
  <c r="X494" s="1"/>
  <c r="AQ494"/>
  <c r="AR494" s="1"/>
  <c r="AS494" s="1"/>
  <c r="Z488"/>
  <c r="X488" s="1"/>
  <c r="AQ488"/>
  <c r="AR488" s="1"/>
  <c r="AS488" s="1"/>
  <c r="Z482"/>
  <c r="X482" s="1"/>
  <c r="AQ482"/>
  <c r="AR482" s="1"/>
  <c r="AS482" s="1"/>
  <c r="Z476"/>
  <c r="X476" s="1"/>
  <c r="AQ476"/>
  <c r="AR476" s="1"/>
  <c r="AS476" s="1"/>
  <c r="Z470"/>
  <c r="X470" s="1"/>
  <c r="AQ470"/>
  <c r="AR470" s="1"/>
  <c r="AS470" s="1"/>
  <c r="Z464"/>
  <c r="X464" s="1"/>
  <c r="AQ464"/>
  <c r="AR464" s="1"/>
  <c r="AS464" s="1"/>
  <c r="Z458"/>
  <c r="X458" s="1"/>
  <c r="AQ458"/>
  <c r="AR458" s="1"/>
  <c r="AS458" s="1"/>
  <c r="Z452"/>
  <c r="X452" s="1"/>
  <c r="AQ452"/>
  <c r="AR452" s="1"/>
  <c r="AS452" s="1"/>
  <c r="Z446"/>
  <c r="X446" s="1"/>
  <c r="AQ446"/>
  <c r="AR446" s="1"/>
  <c r="AS446" s="1"/>
  <c r="Z437"/>
  <c r="X437" s="1"/>
  <c r="AQ437"/>
  <c r="AR437" s="1"/>
  <c r="AS437" s="1"/>
  <c r="Z433"/>
  <c r="X433" s="1"/>
  <c r="AQ433"/>
  <c r="AR433" s="1"/>
  <c r="AS433" s="1"/>
  <c r="Z428"/>
  <c r="X428" s="1"/>
  <c r="AQ428"/>
  <c r="AR428" s="1"/>
  <c r="AS428" s="1"/>
  <c r="Z419"/>
  <c r="X419" s="1"/>
  <c r="AQ419"/>
  <c r="AR419" s="1"/>
  <c r="AS419" s="1"/>
  <c r="Z415"/>
  <c r="X415" s="1"/>
  <c r="AQ415"/>
  <c r="AR415" s="1"/>
  <c r="AS415" s="1"/>
  <c r="Z411"/>
  <c r="X411" s="1"/>
  <c r="AQ411"/>
  <c r="AR411" s="1"/>
  <c r="AS411" s="1"/>
  <c r="Z407"/>
  <c r="X407" s="1"/>
  <c r="AQ407"/>
  <c r="AR407" s="1"/>
  <c r="AS407" s="1"/>
  <c r="Z403"/>
  <c r="X403" s="1"/>
  <c r="AQ403"/>
  <c r="AR403" s="1"/>
  <c r="AS403" s="1"/>
  <c r="Z399"/>
  <c r="X399" s="1"/>
  <c r="AQ399"/>
  <c r="AR399" s="1"/>
  <c r="AS399" s="1"/>
  <c r="Z394"/>
  <c r="X394" s="1"/>
  <c r="AQ394"/>
  <c r="AR394" s="1"/>
  <c r="AS394" s="1"/>
  <c r="Z390"/>
  <c r="X390" s="1"/>
  <c r="AQ390"/>
  <c r="AR390" s="1"/>
  <c r="AS390" s="1"/>
  <c r="Z386"/>
  <c r="X386" s="1"/>
  <c r="AQ386"/>
  <c r="AR386" s="1"/>
  <c r="AS386" s="1"/>
  <c r="Z382"/>
  <c r="X382" s="1"/>
  <c r="AQ382"/>
  <c r="AR382" s="1"/>
  <c r="AS382" s="1"/>
  <c r="Z378"/>
  <c r="X378" s="1"/>
  <c r="AQ378"/>
  <c r="AR378" s="1"/>
  <c r="AS378" s="1"/>
  <c r="Z374"/>
  <c r="X374" s="1"/>
  <c r="AQ374"/>
  <c r="AR374" s="1"/>
  <c r="AS374" s="1"/>
  <c r="Z372"/>
  <c r="X372" s="1"/>
  <c r="AQ372"/>
  <c r="AR372" s="1"/>
  <c r="AS372" s="1"/>
  <c r="Z370"/>
  <c r="X370" s="1"/>
  <c r="AQ370"/>
  <c r="AR370" s="1"/>
  <c r="AS370" s="1"/>
  <c r="Z368"/>
  <c r="X368" s="1"/>
  <c r="AQ368"/>
  <c r="AR368" s="1"/>
  <c r="AS368" s="1"/>
  <c r="Z366"/>
  <c r="X366" s="1"/>
  <c r="AQ366"/>
  <c r="AR366" s="1"/>
  <c r="AS366" s="1"/>
  <c r="Z364"/>
  <c r="X364" s="1"/>
  <c r="AQ364"/>
  <c r="AR364" s="1"/>
  <c r="AS364" s="1"/>
  <c r="Z362"/>
  <c r="X362" s="1"/>
  <c r="AQ362"/>
  <c r="AR362" s="1"/>
  <c r="AS362" s="1"/>
  <c r="Z360"/>
  <c r="X360" s="1"/>
  <c r="AQ360"/>
  <c r="AR360" s="1"/>
  <c r="AS360" s="1"/>
  <c r="Z358"/>
  <c r="X358" s="1"/>
  <c r="AQ358"/>
  <c r="AR358" s="1"/>
  <c r="AS358" s="1"/>
  <c r="Z356"/>
  <c r="X356" s="1"/>
  <c r="AQ356"/>
  <c r="AR356" s="1"/>
  <c r="AS356" s="1"/>
  <c r="Z354"/>
  <c r="X354" s="1"/>
  <c r="AQ354"/>
  <c r="AR354" s="1"/>
  <c r="AS354" s="1"/>
  <c r="Z352"/>
  <c r="X352" s="1"/>
  <c r="AQ352"/>
  <c r="AR352" s="1"/>
  <c r="AS352" s="1"/>
  <c r="Z350"/>
  <c r="X350" s="1"/>
  <c r="AQ350"/>
  <c r="AR350" s="1"/>
  <c r="AS350" s="1"/>
  <c r="Z348"/>
  <c r="X348" s="1"/>
  <c r="AQ348"/>
  <c r="AR348" s="1"/>
  <c r="AS348" s="1"/>
  <c r="Z346"/>
  <c r="X346" s="1"/>
  <c r="AQ346"/>
  <c r="AR346" s="1"/>
  <c r="AS346" s="1"/>
  <c r="Z343"/>
  <c r="X343" s="1"/>
  <c r="AQ343"/>
  <c r="AR343" s="1"/>
  <c r="AS343" s="1"/>
  <c r="Z341"/>
  <c r="X341" s="1"/>
  <c r="AQ341"/>
  <c r="AR341" s="1"/>
  <c r="AS341" s="1"/>
  <c r="Z339"/>
  <c r="X339" s="1"/>
  <c r="AQ339"/>
  <c r="AR339" s="1"/>
  <c r="AS339" s="1"/>
  <c r="Z337"/>
  <c r="X337" s="1"/>
  <c r="AQ337"/>
  <c r="AR337" s="1"/>
  <c r="AS337" s="1"/>
  <c r="Z335"/>
  <c r="X335" s="1"/>
  <c r="AQ335"/>
  <c r="AR335" s="1"/>
  <c r="AS335" s="1"/>
  <c r="Z333"/>
  <c r="X333" s="1"/>
  <c r="AQ333"/>
  <c r="AR333" s="1"/>
  <c r="AS333" s="1"/>
  <c r="Z331"/>
  <c r="X331" s="1"/>
  <c r="AQ331"/>
  <c r="AR331" s="1"/>
  <c r="AS331" s="1"/>
  <c r="Z329"/>
  <c r="X329" s="1"/>
  <c r="AQ329"/>
  <c r="AR329" s="1"/>
  <c r="AS329" s="1"/>
  <c r="Z327"/>
  <c r="X327" s="1"/>
  <c r="AQ327"/>
  <c r="AR327" s="1"/>
  <c r="AS327" s="1"/>
  <c r="Z325"/>
  <c r="X325" s="1"/>
  <c r="AQ325"/>
  <c r="AR325" s="1"/>
  <c r="AS325" s="1"/>
  <c r="Z323"/>
  <c r="X323" s="1"/>
  <c r="AQ323"/>
  <c r="AR323" s="1"/>
  <c r="AS323" s="1"/>
  <c r="Z319"/>
  <c r="X319" s="1"/>
  <c r="AQ319"/>
  <c r="AR319" s="1"/>
  <c r="AS319" s="1"/>
  <c r="Z315"/>
  <c r="X315" s="1"/>
  <c r="AQ315"/>
  <c r="AR315" s="1"/>
  <c r="AS315" s="1"/>
  <c r="Z311"/>
  <c r="X311" s="1"/>
  <c r="AQ311"/>
  <c r="AR311" s="1"/>
  <c r="AS311" s="1"/>
  <c r="Z307"/>
  <c r="X307" s="1"/>
  <c r="AQ307"/>
  <c r="AR307" s="1"/>
  <c r="AS307" s="1"/>
  <c r="Z303"/>
  <c r="X303" s="1"/>
  <c r="AQ303"/>
  <c r="AR303" s="1"/>
  <c r="AS303" s="1"/>
  <c r="Z299"/>
  <c r="X299" s="1"/>
  <c r="AQ299"/>
  <c r="AR299" s="1"/>
  <c r="AS299" s="1"/>
  <c r="Z295"/>
  <c r="X295" s="1"/>
  <c r="AQ295"/>
  <c r="AR295" s="1"/>
  <c r="AS295" s="1"/>
  <c r="Z291"/>
  <c r="X291" s="1"/>
  <c r="AQ291"/>
  <c r="AR291" s="1"/>
  <c r="AS291" s="1"/>
  <c r="Z287"/>
  <c r="X287" s="1"/>
  <c r="AQ287"/>
  <c r="AR287" s="1"/>
  <c r="AS287" s="1"/>
  <c r="Z283"/>
  <c r="X283" s="1"/>
  <c r="AQ283"/>
  <c r="AR283" s="1"/>
  <c r="AS283" s="1"/>
  <c r="Z279"/>
  <c r="X279" s="1"/>
  <c r="AQ279"/>
  <c r="AR279" s="1"/>
  <c r="AS279" s="1"/>
  <c r="Z275"/>
  <c r="X275" s="1"/>
  <c r="AQ275"/>
  <c r="AR275" s="1"/>
  <c r="AS275" s="1"/>
  <c r="Z271"/>
  <c r="X271" s="1"/>
  <c r="AQ271"/>
  <c r="AR271" s="1"/>
  <c r="AS271" s="1"/>
  <c r="Z267"/>
  <c r="X267" s="1"/>
  <c r="AQ267"/>
  <c r="AR267" s="1"/>
  <c r="AS267" s="1"/>
  <c r="Z263"/>
  <c r="X263" s="1"/>
  <c r="AQ263"/>
  <c r="AR263" s="1"/>
  <c r="AS263" s="1"/>
  <c r="Z259"/>
  <c r="X259" s="1"/>
  <c r="AQ259"/>
  <c r="AR259" s="1"/>
  <c r="AS259" s="1"/>
  <c r="Z255"/>
  <c r="X255" s="1"/>
  <c r="AQ255"/>
  <c r="AR255" s="1"/>
  <c r="AS255" s="1"/>
  <c r="Z251"/>
  <c r="X251" s="1"/>
  <c r="AQ251"/>
  <c r="AR251" s="1"/>
  <c r="AS251" s="1"/>
  <c r="Z247"/>
  <c r="X247" s="1"/>
  <c r="AQ247"/>
  <c r="AR247" s="1"/>
  <c r="AS247" s="1"/>
  <c r="Z243"/>
  <c r="X243" s="1"/>
  <c r="AQ243"/>
  <c r="AR243" s="1"/>
  <c r="AS243" s="1"/>
  <c r="Z239"/>
  <c r="X239" s="1"/>
  <c r="AQ239"/>
  <c r="AR239" s="1"/>
  <c r="AS239" s="1"/>
  <c r="Z235"/>
  <c r="X235" s="1"/>
  <c r="AQ235"/>
  <c r="AR235" s="1"/>
  <c r="AS235" s="1"/>
  <c r="Z231"/>
  <c r="X231" s="1"/>
  <c r="AQ231"/>
  <c r="AR231" s="1"/>
  <c r="AS231" s="1"/>
  <c r="Z227"/>
  <c r="X227" s="1"/>
  <c r="AQ227"/>
  <c r="AR227" s="1"/>
  <c r="AS227" s="1"/>
  <c r="Z223"/>
  <c r="X223" s="1"/>
  <c r="AQ223"/>
  <c r="AR223" s="1"/>
  <c r="AS223" s="1"/>
  <c r="Z219"/>
  <c r="X219" s="1"/>
  <c r="AQ219"/>
  <c r="AR219" s="1"/>
  <c r="AS219" s="1"/>
  <c r="Z215"/>
  <c r="X215" s="1"/>
  <c r="AQ215"/>
  <c r="AR215" s="1"/>
  <c r="AS215" s="1"/>
  <c r="AQ211"/>
  <c r="AR211" s="1"/>
  <c r="AS211" s="1"/>
  <c r="AQ207"/>
  <c r="AR207" s="1"/>
  <c r="AS207" s="1"/>
  <c r="AQ203"/>
  <c r="AR203" s="1"/>
  <c r="AS203" s="1"/>
  <c r="AQ199"/>
  <c r="AR199" s="1"/>
  <c r="AS199" s="1"/>
  <c r="AQ195"/>
  <c r="AR195" s="1"/>
  <c r="AS195" s="1"/>
  <c r="AQ193"/>
  <c r="AR193" s="1"/>
  <c r="AS193" s="1"/>
  <c r="AQ191"/>
  <c r="AR191" s="1"/>
  <c r="AS191" s="1"/>
  <c r="AQ189"/>
  <c r="AR189" s="1"/>
  <c r="AS189" s="1"/>
  <c r="AQ187"/>
  <c r="AR187" s="1"/>
  <c r="AS187" s="1"/>
  <c r="AQ185"/>
  <c r="AR185" s="1"/>
  <c r="AS185" s="1"/>
  <c r="AQ183"/>
  <c r="AR183" s="1"/>
  <c r="AS183" s="1"/>
  <c r="AQ181"/>
  <c r="AR181" s="1"/>
  <c r="AS181" s="1"/>
  <c r="AQ179"/>
  <c r="AR179" s="1"/>
  <c r="AS179" s="1"/>
  <c r="AQ177"/>
  <c r="AR177" s="1"/>
  <c r="AS177" s="1"/>
  <c r="AQ175"/>
  <c r="AR175" s="1"/>
  <c r="AS175" s="1"/>
  <c r="AQ173"/>
  <c r="AR173" s="1"/>
  <c r="AS173" s="1"/>
  <c r="AQ171"/>
  <c r="AR171" s="1"/>
  <c r="AS171" s="1"/>
  <c r="AQ169"/>
  <c r="AR169" s="1"/>
  <c r="AS169" s="1"/>
  <c r="AQ167"/>
  <c r="AR167" s="1"/>
  <c r="AS167" s="1"/>
  <c r="AQ165"/>
  <c r="AR165" s="1"/>
  <c r="AS165" s="1"/>
  <c r="AQ163"/>
  <c r="AR163" s="1"/>
  <c r="AS163" s="1"/>
  <c r="AQ161"/>
  <c r="AR161" s="1"/>
  <c r="AS161" s="1"/>
  <c r="AQ159"/>
  <c r="AR159" s="1"/>
  <c r="AS159" s="1"/>
  <c r="AQ157"/>
  <c r="AR157" s="1"/>
  <c r="AS157" s="1"/>
  <c r="AQ154"/>
  <c r="AR154" s="1"/>
  <c r="AS154" s="1"/>
  <c r="Z152"/>
  <c r="X152" s="1"/>
  <c r="AQ152"/>
  <c r="AR152" s="1"/>
  <c r="AS152" s="1"/>
  <c r="AQ147"/>
  <c r="AR147" s="1"/>
  <c r="AS147" s="1"/>
  <c r="Z137"/>
  <c r="M104" s="1"/>
  <c r="AQ137"/>
  <c r="AR137" s="1"/>
  <c r="AS137" s="1"/>
  <c r="AQ135"/>
  <c r="AR135" s="1"/>
  <c r="AS135" s="1"/>
  <c r="Z133"/>
  <c r="M100" s="1"/>
  <c r="AQ133"/>
  <c r="AR133" s="1"/>
  <c r="AS133" s="1"/>
  <c r="AQ119"/>
  <c r="AR119" s="1"/>
  <c r="AS119" s="1"/>
  <c r="Z440"/>
  <c r="X440" s="1"/>
  <c r="AQ440"/>
  <c r="AR440" s="1"/>
  <c r="AS440" s="1"/>
  <c r="AQ441"/>
  <c r="AR441" s="1"/>
  <c r="AS441" s="1"/>
  <c r="Z92"/>
  <c r="AQ92"/>
  <c r="AR92" s="1"/>
  <c r="AS92" s="1"/>
  <c r="Z105"/>
  <c r="AQ105"/>
  <c r="AR105" s="1"/>
  <c r="AS105" s="1"/>
  <c r="AR404" i="41"/>
  <c r="AS404" s="1"/>
  <c r="AT404" s="1"/>
  <c r="AR381"/>
  <c r="AS381" s="1"/>
  <c r="AT381" s="1"/>
  <c r="AR347"/>
  <c r="AS347" s="1"/>
  <c r="AT347" s="1"/>
  <c r="AR338"/>
  <c r="AS338" s="1"/>
  <c r="AT338" s="1"/>
  <c r="AR314"/>
  <c r="AS314" s="1"/>
  <c r="AT314" s="1"/>
  <c r="AR305"/>
  <c r="AS305" s="1"/>
  <c r="AT305" s="1"/>
  <c r="AR282"/>
  <c r="AS282" s="1"/>
  <c r="AT282" s="1"/>
  <c r="AR273"/>
  <c r="AS273" s="1"/>
  <c r="AT273" s="1"/>
  <c r="AR250"/>
  <c r="AS250" s="1"/>
  <c r="AT250" s="1"/>
  <c r="AR241"/>
  <c r="AS241" s="1"/>
  <c r="AT241" s="1"/>
  <c r="AR218"/>
  <c r="AS218" s="1"/>
  <c r="AT218" s="1"/>
  <c r="AR209"/>
  <c r="AS209" s="1"/>
  <c r="AT209" s="1"/>
  <c r="AR186"/>
  <c r="AS186" s="1"/>
  <c r="AT186" s="1"/>
  <c r="AR177"/>
  <c r="AS177" s="1"/>
  <c r="AT177" s="1"/>
  <c r="AR154"/>
  <c r="AS154" s="1"/>
  <c r="AT154" s="1"/>
  <c r="AR145"/>
  <c r="AS145" s="1"/>
  <c r="AT145" s="1"/>
  <c r="AR119"/>
  <c r="AS119" s="1"/>
  <c r="AT119" s="1"/>
  <c r="AR109"/>
  <c r="AS109" s="1"/>
  <c r="AT109" s="1"/>
  <c r="AQ539" i="40"/>
  <c r="AR539" s="1"/>
  <c r="AS539" s="1"/>
  <c r="AQ531"/>
  <c r="AR531" s="1"/>
  <c r="AS531" s="1"/>
  <c r="AQ523"/>
  <c r="AR523" s="1"/>
  <c r="AS523" s="1"/>
  <c r="AQ515"/>
  <c r="AR515" s="1"/>
  <c r="AS515" s="1"/>
  <c r="AQ507"/>
  <c r="AR507" s="1"/>
  <c r="AS507" s="1"/>
  <c r="Z140"/>
  <c r="M107" s="1"/>
  <c r="AQ140"/>
  <c r="AR140" s="1"/>
  <c r="AS140" s="1"/>
  <c r="Z145"/>
  <c r="X145" s="1"/>
  <c r="AQ145"/>
  <c r="AR145" s="1"/>
  <c r="AS145" s="1"/>
  <c r="Z540"/>
  <c r="X540" s="1"/>
  <c r="AQ540"/>
  <c r="AR540" s="1"/>
  <c r="AS540" s="1"/>
  <c r="Z534"/>
  <c r="X534" s="1"/>
  <c r="AQ534"/>
  <c r="AR534" s="1"/>
  <c r="AS534" s="1"/>
  <c r="Z528"/>
  <c r="X528" s="1"/>
  <c r="AQ528"/>
  <c r="AR528" s="1"/>
  <c r="AS528" s="1"/>
  <c r="Z522"/>
  <c r="X522" s="1"/>
  <c r="AQ522"/>
  <c r="AR522" s="1"/>
  <c r="AS522" s="1"/>
  <c r="Z516"/>
  <c r="X516" s="1"/>
  <c r="AQ516"/>
  <c r="AR516" s="1"/>
  <c r="AS516" s="1"/>
  <c r="Z510"/>
  <c r="X510" s="1"/>
  <c r="AQ510"/>
  <c r="AR510" s="1"/>
  <c r="AS510" s="1"/>
  <c r="Z504"/>
  <c r="X504" s="1"/>
  <c r="AQ504"/>
  <c r="AR504" s="1"/>
  <c r="AS504" s="1"/>
  <c r="Z498"/>
  <c r="X498" s="1"/>
  <c r="AQ498"/>
  <c r="AR498" s="1"/>
  <c r="AS498" s="1"/>
  <c r="Z492"/>
  <c r="X492" s="1"/>
  <c r="AQ492"/>
  <c r="AR492" s="1"/>
  <c r="AS492" s="1"/>
  <c r="Z486"/>
  <c r="X486" s="1"/>
  <c r="AQ486"/>
  <c r="AR486" s="1"/>
  <c r="AS486" s="1"/>
  <c r="Z480"/>
  <c r="X480" s="1"/>
  <c r="AQ480"/>
  <c r="AR480" s="1"/>
  <c r="AS480" s="1"/>
  <c r="Z474"/>
  <c r="X474" s="1"/>
  <c r="AQ474"/>
  <c r="AR474" s="1"/>
  <c r="AS474" s="1"/>
  <c r="Z468"/>
  <c r="X468" s="1"/>
  <c r="AQ468"/>
  <c r="AR468" s="1"/>
  <c r="AS468" s="1"/>
  <c r="Z462"/>
  <c r="X462" s="1"/>
  <c r="AQ462"/>
  <c r="AR462" s="1"/>
  <c r="AS462" s="1"/>
  <c r="Z456"/>
  <c r="X456" s="1"/>
  <c r="AQ456"/>
  <c r="AR456" s="1"/>
  <c r="AS456" s="1"/>
  <c r="Z450"/>
  <c r="X450" s="1"/>
  <c r="AQ450"/>
  <c r="AR450" s="1"/>
  <c r="AS450" s="1"/>
  <c r="Z443"/>
  <c r="X443" s="1"/>
  <c r="AQ443"/>
  <c r="AR443" s="1"/>
  <c r="AS443" s="1"/>
  <c r="Z435"/>
  <c r="X435" s="1"/>
  <c r="AQ435"/>
  <c r="AR435" s="1"/>
  <c r="AS435" s="1"/>
  <c r="Z430"/>
  <c r="X430" s="1"/>
  <c r="AQ430"/>
  <c r="AR430" s="1"/>
  <c r="AS430" s="1"/>
  <c r="Z425"/>
  <c r="X425" s="1"/>
  <c r="AQ425"/>
  <c r="AR425" s="1"/>
  <c r="AS425" s="1"/>
  <c r="Z417"/>
  <c r="X417" s="1"/>
  <c r="AQ417"/>
  <c r="AR417" s="1"/>
  <c r="AS417" s="1"/>
  <c r="Z413"/>
  <c r="X413" s="1"/>
  <c r="AQ413"/>
  <c r="AR413" s="1"/>
  <c r="AS413" s="1"/>
  <c r="Z409"/>
  <c r="X409" s="1"/>
  <c r="AQ409"/>
  <c r="AR409" s="1"/>
  <c r="AS409" s="1"/>
  <c r="Z405"/>
  <c r="X405" s="1"/>
  <c r="AQ405"/>
  <c r="AR405" s="1"/>
  <c r="AS405" s="1"/>
  <c r="Z401"/>
  <c r="X401" s="1"/>
  <c r="AQ401"/>
  <c r="AR401" s="1"/>
  <c r="AS401" s="1"/>
  <c r="Z397"/>
  <c r="X397" s="1"/>
  <c r="AQ397"/>
  <c r="AR397" s="1"/>
  <c r="AS397" s="1"/>
  <c r="Z392"/>
  <c r="X392" s="1"/>
  <c r="AQ392"/>
  <c r="AR392" s="1"/>
  <c r="AS392" s="1"/>
  <c r="Z388"/>
  <c r="X388" s="1"/>
  <c r="AQ388"/>
  <c r="AR388" s="1"/>
  <c r="AS388" s="1"/>
  <c r="Z384"/>
  <c r="X384" s="1"/>
  <c r="AQ384"/>
  <c r="AR384" s="1"/>
  <c r="AS384" s="1"/>
  <c r="Z380"/>
  <c r="X380" s="1"/>
  <c r="AQ380"/>
  <c r="AR380" s="1"/>
  <c r="AS380" s="1"/>
  <c r="Z376"/>
  <c r="X376" s="1"/>
  <c r="AQ376"/>
  <c r="AR376" s="1"/>
  <c r="AS376" s="1"/>
  <c r="Z321"/>
  <c r="X321" s="1"/>
  <c r="AQ321"/>
  <c r="AR321" s="1"/>
  <c r="AS321" s="1"/>
  <c r="Z317"/>
  <c r="X317" s="1"/>
  <c r="AQ317"/>
  <c r="AR317" s="1"/>
  <c r="AS317" s="1"/>
  <c r="Z313"/>
  <c r="X313" s="1"/>
  <c r="AQ313"/>
  <c r="AR313" s="1"/>
  <c r="AS313" s="1"/>
  <c r="Z309"/>
  <c r="X309" s="1"/>
  <c r="AQ309"/>
  <c r="AR309" s="1"/>
  <c r="AS309" s="1"/>
  <c r="Z305"/>
  <c r="X305" s="1"/>
  <c r="AQ305"/>
  <c r="AR305" s="1"/>
  <c r="AS305" s="1"/>
  <c r="Z301"/>
  <c r="X301" s="1"/>
  <c r="AQ301"/>
  <c r="AR301" s="1"/>
  <c r="AS301" s="1"/>
  <c r="Z297"/>
  <c r="X297" s="1"/>
  <c r="AQ297"/>
  <c r="AR297" s="1"/>
  <c r="AS297" s="1"/>
  <c r="Z293"/>
  <c r="X293" s="1"/>
  <c r="AQ293"/>
  <c r="AR293" s="1"/>
  <c r="AS293" s="1"/>
  <c r="Z289"/>
  <c r="X289" s="1"/>
  <c r="AQ289"/>
  <c r="AR289" s="1"/>
  <c r="AS289" s="1"/>
  <c r="Z285"/>
  <c r="X285" s="1"/>
  <c r="AQ285"/>
  <c r="AR285" s="1"/>
  <c r="AS285" s="1"/>
  <c r="Z281"/>
  <c r="X281" s="1"/>
  <c r="AQ281"/>
  <c r="AR281" s="1"/>
  <c r="AS281" s="1"/>
  <c r="Z277"/>
  <c r="X277" s="1"/>
  <c r="AQ277"/>
  <c r="AR277" s="1"/>
  <c r="AS277" s="1"/>
  <c r="Z273"/>
  <c r="X273" s="1"/>
  <c r="AQ273"/>
  <c r="AR273" s="1"/>
  <c r="AS273" s="1"/>
  <c r="Z269"/>
  <c r="X269" s="1"/>
  <c r="AQ269"/>
  <c r="AR269" s="1"/>
  <c r="AS269" s="1"/>
  <c r="Z265"/>
  <c r="X265" s="1"/>
  <c r="AQ265"/>
  <c r="AR265" s="1"/>
  <c r="AS265" s="1"/>
  <c r="Z261"/>
  <c r="X261" s="1"/>
  <c r="AQ261"/>
  <c r="AR261" s="1"/>
  <c r="AS261" s="1"/>
  <c r="Z257"/>
  <c r="X257" s="1"/>
  <c r="AQ257"/>
  <c r="AR257" s="1"/>
  <c r="AS257" s="1"/>
  <c r="Z253"/>
  <c r="X253" s="1"/>
  <c r="AQ253"/>
  <c r="AR253" s="1"/>
  <c r="AS253" s="1"/>
  <c r="Z249"/>
  <c r="X249" s="1"/>
  <c r="AQ249"/>
  <c r="AR249" s="1"/>
  <c r="AS249" s="1"/>
  <c r="Z245"/>
  <c r="X245" s="1"/>
  <c r="AQ245"/>
  <c r="AR245" s="1"/>
  <c r="AS245" s="1"/>
  <c r="Z241"/>
  <c r="X241" s="1"/>
  <c r="AQ241"/>
  <c r="AR241" s="1"/>
  <c r="AS241" s="1"/>
  <c r="Z237"/>
  <c r="X237" s="1"/>
  <c r="AQ237"/>
  <c r="AR237" s="1"/>
  <c r="AS237" s="1"/>
  <c r="Z233"/>
  <c r="X233" s="1"/>
  <c r="AQ233"/>
  <c r="AR233" s="1"/>
  <c r="AS233" s="1"/>
  <c r="Z229"/>
  <c r="X229" s="1"/>
  <c r="AQ229"/>
  <c r="AR229" s="1"/>
  <c r="AS229" s="1"/>
  <c r="Z225"/>
  <c r="X225" s="1"/>
  <c r="AQ225"/>
  <c r="AR225" s="1"/>
  <c r="AS225" s="1"/>
  <c r="Z221"/>
  <c r="X221" s="1"/>
  <c r="AQ221"/>
  <c r="AR221" s="1"/>
  <c r="AS221" s="1"/>
  <c r="Z217"/>
  <c r="X217" s="1"/>
  <c r="AQ217"/>
  <c r="AR217" s="1"/>
  <c r="AS217" s="1"/>
  <c r="AQ213"/>
  <c r="AR213" s="1"/>
  <c r="AS213" s="1"/>
  <c r="AQ209"/>
  <c r="AR209" s="1"/>
  <c r="AS209" s="1"/>
  <c r="AQ205"/>
  <c r="AR205" s="1"/>
  <c r="AS205" s="1"/>
  <c r="AQ201"/>
  <c r="AR201" s="1"/>
  <c r="AS201" s="1"/>
  <c r="AQ197"/>
  <c r="AR197" s="1"/>
  <c r="AS197" s="1"/>
  <c r="AQ113"/>
  <c r="AR113" s="1"/>
  <c r="AS113" s="1"/>
  <c r="AR124" i="41"/>
  <c r="AS124" s="1"/>
  <c r="AT124" s="1"/>
  <c r="AA122"/>
  <c r="N89" s="1"/>
  <c r="AR122"/>
  <c r="AS122" s="1"/>
  <c r="AT122" s="1"/>
  <c r="AA120"/>
  <c r="N87" s="1"/>
  <c r="AR120"/>
  <c r="AS120" s="1"/>
  <c r="AT120" s="1"/>
  <c r="AA118"/>
  <c r="N85" s="1"/>
  <c r="AR118"/>
  <c r="AS118" s="1"/>
  <c r="AT118" s="1"/>
  <c r="AA116"/>
  <c r="N83" s="1"/>
  <c r="AR116"/>
  <c r="AS116" s="1"/>
  <c r="AT116" s="1"/>
  <c r="AA114"/>
  <c r="N81" s="1"/>
  <c r="AR114"/>
  <c r="AS114" s="1"/>
  <c r="AT114" s="1"/>
  <c r="AA112"/>
  <c r="N79" s="1"/>
  <c r="AR112"/>
  <c r="AS112" s="1"/>
  <c r="AT112" s="1"/>
  <c r="Z153" i="40"/>
  <c r="X153" s="1"/>
  <c r="AQ153"/>
  <c r="AR153" s="1"/>
  <c r="AS153" s="1"/>
  <c r="AQ150"/>
  <c r="AR150" s="1"/>
  <c r="AS150" s="1"/>
  <c r="Z148"/>
  <c r="X148" s="1"/>
  <c r="AQ148"/>
  <c r="AR148" s="1"/>
  <c r="AS148" s="1"/>
  <c r="Z136"/>
  <c r="M103" s="1"/>
  <c r="AQ136"/>
  <c r="AR136" s="1"/>
  <c r="AS136" s="1"/>
  <c r="Z126"/>
  <c r="M93" s="1"/>
  <c r="AQ126"/>
  <c r="AR126" s="1"/>
  <c r="AS126" s="1"/>
  <c r="Z123"/>
  <c r="M90" s="1"/>
  <c r="AQ123"/>
  <c r="AR123" s="1"/>
  <c r="AS123" s="1"/>
  <c r="AR518" i="41"/>
  <c r="AS518" s="1"/>
  <c r="AT518" s="1"/>
  <c r="AR382"/>
  <c r="AS382" s="1"/>
  <c r="AT382" s="1"/>
  <c r="AR363"/>
  <c r="AS363" s="1"/>
  <c r="AT363" s="1"/>
  <c r="AR339"/>
  <c r="AS339" s="1"/>
  <c r="AT339" s="1"/>
  <c r="AR329"/>
  <c r="AS329" s="1"/>
  <c r="AT329" s="1"/>
  <c r="AR306"/>
  <c r="AS306" s="1"/>
  <c r="AT306" s="1"/>
  <c r="AR297"/>
  <c r="AS297" s="1"/>
  <c r="AT297" s="1"/>
  <c r="AR274"/>
  <c r="AS274" s="1"/>
  <c r="AT274" s="1"/>
  <c r="AR265"/>
  <c r="AS265" s="1"/>
  <c r="AT265" s="1"/>
  <c r="AR242"/>
  <c r="AS242" s="1"/>
  <c r="AT242" s="1"/>
  <c r="AR233"/>
  <c r="AS233" s="1"/>
  <c r="AT233" s="1"/>
  <c r="AR210"/>
  <c r="AS210" s="1"/>
  <c r="AT210" s="1"/>
  <c r="AR201"/>
  <c r="AS201" s="1"/>
  <c r="AT201" s="1"/>
  <c r="AR178"/>
  <c r="AS178" s="1"/>
  <c r="AT178" s="1"/>
  <c r="AR169"/>
  <c r="AS169" s="1"/>
  <c r="AT169" s="1"/>
  <c r="AR146"/>
  <c r="AS146" s="1"/>
  <c r="AT146" s="1"/>
  <c r="AR137"/>
  <c r="AS137" s="1"/>
  <c r="AT137" s="1"/>
  <c r="P92" i="40"/>
  <c r="S92"/>
  <c r="P105"/>
  <c r="S105"/>
  <c r="AQ101"/>
  <c r="AR101" s="1"/>
  <c r="AS101" s="1"/>
  <c r="AQ106"/>
  <c r="AR106" s="1"/>
  <c r="AS106" s="1"/>
  <c r="M1" i="41"/>
  <c r="Q1"/>
  <c r="W1"/>
  <c r="Y2"/>
  <c r="Y4"/>
  <c r="Y6"/>
  <c r="Y8"/>
  <c r="Y10"/>
  <c r="I12"/>
  <c r="I14"/>
  <c r="I16"/>
  <c r="I18"/>
  <c r="I20"/>
  <c r="I22"/>
  <c r="I24"/>
  <c r="I26"/>
  <c r="I28"/>
  <c r="I30"/>
  <c r="I32"/>
  <c r="I34"/>
  <c r="N1"/>
  <c r="S1"/>
  <c r="I2"/>
  <c r="I5"/>
  <c r="Y7"/>
  <c r="I10"/>
  <c r="Y12"/>
  <c r="I15"/>
  <c r="Y17"/>
  <c r="Y20"/>
  <c r="I23"/>
  <c r="Y25"/>
  <c r="Y28"/>
  <c r="I31"/>
  <c r="Y33"/>
  <c r="K1"/>
  <c r="P1"/>
  <c r="X1"/>
  <c r="Y3"/>
  <c r="I6"/>
  <c r="I9"/>
  <c r="I11"/>
  <c r="Y13"/>
  <c r="Y16"/>
  <c r="I19"/>
  <c r="Y21"/>
  <c r="Y24"/>
  <c r="I27"/>
  <c r="Y29"/>
  <c r="Y32"/>
  <c r="I35"/>
  <c r="AR523"/>
  <c r="AS523" s="1"/>
  <c r="AT523" s="1"/>
  <c r="AR515"/>
  <c r="AS515" s="1"/>
  <c r="AT515" s="1"/>
  <c r="AR513"/>
  <c r="AS513" s="1"/>
  <c r="AT513" s="1"/>
  <c r="AR407"/>
  <c r="AS407" s="1"/>
  <c r="AT407" s="1"/>
  <c r="AR397"/>
  <c r="AS397" s="1"/>
  <c r="AT397" s="1"/>
  <c r="AR394"/>
  <c r="AS394" s="1"/>
  <c r="AT394" s="1"/>
  <c r="AR367"/>
  <c r="AS367" s="1"/>
  <c r="AT367" s="1"/>
  <c r="AR360"/>
  <c r="AS360" s="1"/>
  <c r="AT360" s="1"/>
  <c r="AR357"/>
  <c r="AS357" s="1"/>
  <c r="AT357" s="1"/>
  <c r="AR350"/>
  <c r="AS350" s="1"/>
  <c r="AT350" s="1"/>
  <c r="AR343"/>
  <c r="AS343" s="1"/>
  <c r="AT343" s="1"/>
  <c r="AR341"/>
  <c r="AS341" s="1"/>
  <c r="AT341" s="1"/>
  <c r="AR334"/>
  <c r="AS334" s="1"/>
  <c r="AT334" s="1"/>
  <c r="AR326"/>
  <c r="AS326" s="1"/>
  <c r="AT326" s="1"/>
  <c r="AR324"/>
  <c r="AS324" s="1"/>
  <c r="AT324" s="1"/>
  <c r="AR317"/>
  <c r="AS317" s="1"/>
  <c r="AT317" s="1"/>
  <c r="AR310"/>
  <c r="AS310" s="1"/>
  <c r="AT310" s="1"/>
  <c r="AR308"/>
  <c r="AS308" s="1"/>
  <c r="AT308" s="1"/>
  <c r="AR301"/>
  <c r="AS301" s="1"/>
  <c r="AT301" s="1"/>
  <c r="AR294"/>
  <c r="AS294" s="1"/>
  <c r="AT294" s="1"/>
  <c r="AR292"/>
  <c r="AS292" s="1"/>
  <c r="AT292" s="1"/>
  <c r="AR285"/>
  <c r="AS285" s="1"/>
  <c r="AT285" s="1"/>
  <c r="AR278"/>
  <c r="AS278" s="1"/>
  <c r="AT278" s="1"/>
  <c r="AR276"/>
  <c r="AS276" s="1"/>
  <c r="AT276" s="1"/>
  <c r="AR269"/>
  <c r="AS269" s="1"/>
  <c r="AT269" s="1"/>
  <c r="AR262"/>
  <c r="AS262" s="1"/>
  <c r="AT262" s="1"/>
  <c r="AR260"/>
  <c r="AS260" s="1"/>
  <c r="AT260" s="1"/>
  <c r="AR253"/>
  <c r="AS253" s="1"/>
  <c r="AT253" s="1"/>
  <c r="AR246"/>
  <c r="AS246" s="1"/>
  <c r="AT246" s="1"/>
  <c r="AR244"/>
  <c r="AS244" s="1"/>
  <c r="AT244" s="1"/>
  <c r="AR237"/>
  <c r="AS237" s="1"/>
  <c r="AT237" s="1"/>
  <c r="AR230"/>
  <c r="AS230" s="1"/>
  <c r="AT230" s="1"/>
  <c r="AR228"/>
  <c r="AS228" s="1"/>
  <c r="AT228" s="1"/>
  <c r="AR221"/>
  <c r="AS221" s="1"/>
  <c r="AT221" s="1"/>
  <c r="AR214"/>
  <c r="AS214" s="1"/>
  <c r="AT214" s="1"/>
  <c r="AR212"/>
  <c r="AS212" s="1"/>
  <c r="AT212" s="1"/>
  <c r="AR205"/>
  <c r="AS205" s="1"/>
  <c r="AT205" s="1"/>
  <c r="AR198"/>
  <c r="AS198" s="1"/>
  <c r="AT198" s="1"/>
  <c r="AR196"/>
  <c r="AS196" s="1"/>
  <c r="AT196" s="1"/>
  <c r="AR189"/>
  <c r="AS189" s="1"/>
  <c r="AT189" s="1"/>
  <c r="AR182"/>
  <c r="AS182" s="1"/>
  <c r="AT182" s="1"/>
  <c r="AR180"/>
  <c r="AS180" s="1"/>
  <c r="AT180" s="1"/>
  <c r="AR173"/>
  <c r="AS173" s="1"/>
  <c r="AT173" s="1"/>
  <c r="AR166"/>
  <c r="AS166" s="1"/>
  <c r="AT166" s="1"/>
  <c r="AR164"/>
  <c r="AS164" s="1"/>
  <c r="AT164" s="1"/>
  <c r="AR157"/>
  <c r="AS157" s="1"/>
  <c r="AT157" s="1"/>
  <c r="AR150"/>
  <c r="AS150" s="1"/>
  <c r="AT150" s="1"/>
  <c r="AR148"/>
  <c r="AS148" s="1"/>
  <c r="AT148" s="1"/>
  <c r="AR141"/>
  <c r="AS141" s="1"/>
  <c r="AT141" s="1"/>
  <c r="AR134"/>
  <c r="AS134" s="1"/>
  <c r="AT134" s="1"/>
  <c r="AA67"/>
  <c r="AR67"/>
  <c r="AS67" s="1"/>
  <c r="AT67" s="1"/>
  <c r="AA76"/>
  <c r="AR76"/>
  <c r="AS76" s="1"/>
  <c r="AT76" s="1"/>
  <c r="AA79"/>
  <c r="AR79"/>
  <c r="AS79" s="1"/>
  <c r="AT79" s="1"/>
  <c r="AR88"/>
  <c r="AS88" s="1"/>
  <c r="AT88" s="1"/>
  <c r="AR89"/>
  <c r="AS89" s="1"/>
  <c r="AT89" s="1"/>
  <c r="AR69"/>
  <c r="AS69" s="1"/>
  <c r="AT69" s="1"/>
  <c r="AR392"/>
  <c r="AS392" s="1"/>
  <c r="AT392" s="1"/>
  <c r="AR390"/>
  <c r="AS390" s="1"/>
  <c r="AT390" s="1"/>
  <c r="AR388"/>
  <c r="AS388" s="1"/>
  <c r="AT388" s="1"/>
  <c r="AR386"/>
  <c r="AS386" s="1"/>
  <c r="AT386" s="1"/>
  <c r="AR384"/>
  <c r="AS384" s="1"/>
  <c r="AT384" s="1"/>
  <c r="AR378"/>
  <c r="AS378" s="1"/>
  <c r="AT378" s="1"/>
  <c r="AR376"/>
  <c r="AS376" s="1"/>
  <c r="AT376" s="1"/>
  <c r="AR374"/>
  <c r="AS374" s="1"/>
  <c r="AT374" s="1"/>
  <c r="AR372"/>
  <c r="AS372" s="1"/>
  <c r="AT372" s="1"/>
  <c r="AR370"/>
  <c r="AS370" s="1"/>
  <c r="AT370" s="1"/>
  <c r="AR500"/>
  <c r="AS500" s="1"/>
  <c r="AT500" s="1"/>
  <c r="AR498"/>
  <c r="AS498" s="1"/>
  <c r="AT498" s="1"/>
  <c r="AR502"/>
  <c r="AS502" s="1"/>
  <c r="AT502" s="1"/>
  <c r="AR506"/>
  <c r="AS506" s="1"/>
  <c r="AT506" s="1"/>
  <c r="AR501"/>
  <c r="AS501" s="1"/>
  <c r="AT501" s="1"/>
  <c r="AR525"/>
  <c r="AS525" s="1"/>
  <c r="AT525" s="1"/>
  <c r="AR529"/>
  <c r="AS529" s="1"/>
  <c r="AT529" s="1"/>
  <c r="AR532"/>
  <c r="AS532" s="1"/>
  <c r="AT532" s="1"/>
  <c r="AR530"/>
  <c r="AS530" s="1"/>
  <c r="AT530" s="1"/>
  <c r="AR521"/>
  <c r="AS521" s="1"/>
  <c r="AT521" s="1"/>
  <c r="AR477"/>
  <c r="AS477" s="1"/>
  <c r="AT477" s="1"/>
  <c r="AR509"/>
  <c r="AS509" s="1"/>
  <c r="AT509" s="1"/>
  <c r="AR474"/>
  <c r="AS474" s="1"/>
  <c r="AT474" s="1"/>
  <c r="T84"/>
  <c r="T79"/>
  <c r="AA86"/>
  <c r="DS5" i="44"/>
  <c r="DD35"/>
  <c r="DP7" s="1"/>
  <c r="DF32" i="45"/>
  <c r="DD30"/>
  <c r="DD32"/>
  <c r="M12" i="43"/>
  <c r="Q12"/>
  <c r="U12"/>
  <c r="Y12"/>
  <c r="AC12"/>
  <c r="AG12"/>
  <c r="K13"/>
  <c r="AG14"/>
  <c r="K15"/>
  <c r="K17"/>
  <c r="K18"/>
  <c r="K19"/>
  <c r="K20"/>
  <c r="AG22"/>
  <c r="AG24"/>
  <c r="W25"/>
  <c r="K26"/>
  <c r="W28"/>
  <c r="K29"/>
  <c r="AG39"/>
  <c r="K40"/>
  <c r="W41"/>
  <c r="AG42"/>
  <c r="K44"/>
  <c r="W45"/>
  <c r="AG46"/>
  <c r="L12"/>
  <c r="R12"/>
  <c r="W12"/>
  <c r="AB12"/>
  <c r="AG13"/>
  <c r="K14"/>
  <c r="AG16"/>
  <c r="W17"/>
  <c r="AG18"/>
  <c r="W20"/>
  <c r="AG21"/>
  <c r="AG23"/>
  <c r="K25"/>
  <c r="AG26"/>
  <c r="AG29"/>
  <c r="W31"/>
  <c r="W33"/>
  <c r="W35"/>
  <c r="W37"/>
  <c r="AG40"/>
  <c r="W42"/>
  <c r="W44"/>
  <c r="K46"/>
  <c r="DD2" i="44"/>
  <c r="DG2"/>
  <c r="DS3"/>
  <c r="DN7"/>
  <c r="CY15"/>
  <c r="DB7"/>
  <c r="DC7"/>
  <c r="DE18"/>
  <c r="P96" i="40"/>
  <c r="S96"/>
  <c r="S91"/>
  <c r="P91"/>
  <c r="T89" i="41"/>
  <c r="Q89"/>
  <c r="AR517"/>
  <c r="AS517" s="1"/>
  <c r="AT517" s="1"/>
  <c r="AA517"/>
  <c r="Y517" s="1"/>
  <c r="AR402"/>
  <c r="AS402" s="1"/>
  <c r="AT402" s="1"/>
  <c r="AA402"/>
  <c r="Y402" s="1"/>
  <c r="AR362"/>
  <c r="AS362" s="1"/>
  <c r="AT362" s="1"/>
  <c r="AA362"/>
  <c r="Y362" s="1"/>
  <c r="AR345"/>
  <c r="AS345" s="1"/>
  <c r="AT345" s="1"/>
  <c r="AA345"/>
  <c r="Y345" s="1"/>
  <c r="AR328"/>
  <c r="AS328" s="1"/>
  <c r="AT328" s="1"/>
  <c r="AA328"/>
  <c r="Y328" s="1"/>
  <c r="AR312"/>
  <c r="AS312" s="1"/>
  <c r="AT312" s="1"/>
  <c r="AA312"/>
  <c r="Y312" s="1"/>
  <c r="AR296"/>
  <c r="AS296" s="1"/>
  <c r="AT296" s="1"/>
  <c r="AA296"/>
  <c r="Y296" s="1"/>
  <c r="AR280"/>
  <c r="AS280" s="1"/>
  <c r="AT280" s="1"/>
  <c r="AA280"/>
  <c r="Y280" s="1"/>
  <c r="AR264"/>
  <c r="AS264" s="1"/>
  <c r="AT264" s="1"/>
  <c r="AA264"/>
  <c r="Y264" s="1"/>
  <c r="AR248"/>
  <c r="AS248" s="1"/>
  <c r="AT248" s="1"/>
  <c r="AA248"/>
  <c r="Y248" s="1"/>
  <c r="AR232"/>
  <c r="AS232" s="1"/>
  <c r="AT232" s="1"/>
  <c r="AA232"/>
  <c r="Y232" s="1"/>
  <c r="AR216"/>
  <c r="AS216" s="1"/>
  <c r="AT216" s="1"/>
  <c r="AA216"/>
  <c r="Y216" s="1"/>
  <c r="AR200"/>
  <c r="AS200" s="1"/>
  <c r="AT200" s="1"/>
  <c r="AA200"/>
  <c r="Y200" s="1"/>
  <c r="AR184"/>
  <c r="AS184" s="1"/>
  <c r="AT184" s="1"/>
  <c r="AA184"/>
  <c r="Y184" s="1"/>
  <c r="AR168"/>
  <c r="AS168" s="1"/>
  <c r="AT168" s="1"/>
  <c r="AA168"/>
  <c r="Y168" s="1"/>
  <c r="AR152"/>
  <c r="AS152" s="1"/>
  <c r="AT152" s="1"/>
  <c r="AA152"/>
  <c r="Y152" s="1"/>
  <c r="AR136"/>
  <c r="AS136" s="1"/>
  <c r="AT136" s="1"/>
  <c r="AA136"/>
  <c r="Y136" s="1"/>
  <c r="AR85"/>
  <c r="AS85" s="1"/>
  <c r="AT85" s="1"/>
  <c r="AA85"/>
  <c r="AR92"/>
  <c r="AS92" s="1"/>
  <c r="AT92" s="1"/>
  <c r="AA92"/>
  <c r="AR95"/>
  <c r="AS95" s="1"/>
  <c r="AT95" s="1"/>
  <c r="AA95"/>
  <c r="AR77"/>
  <c r="AS77" s="1"/>
  <c r="AT77" s="1"/>
  <c r="DL6" i="44"/>
  <c r="AG44" i="43"/>
  <c r="K42"/>
  <c r="K39"/>
  <c r="W38"/>
  <c r="AG37"/>
  <c r="AG36"/>
  <c r="K32"/>
  <c r="K31"/>
  <c r="W30"/>
  <c r="AG28"/>
  <c r="AG25"/>
  <c r="K21"/>
  <c r="AG20"/>
  <c r="AG19"/>
  <c r="AG17"/>
  <c r="K16"/>
  <c r="AG15"/>
  <c r="W14"/>
  <c r="AA12"/>
  <c r="T12"/>
  <c r="N12"/>
  <c r="AA416" i="41"/>
  <c r="Y416" s="1"/>
  <c r="AA369"/>
  <c r="Y369" s="1"/>
  <c r="AA352"/>
  <c r="Y352" s="1"/>
  <c r="AA336"/>
  <c r="Y336" s="1"/>
  <c r="AA319"/>
  <c r="Y319" s="1"/>
  <c r="AA303"/>
  <c r="Y303" s="1"/>
  <c r="AA287"/>
  <c r="Y287" s="1"/>
  <c r="AA271"/>
  <c r="Y271" s="1"/>
  <c r="AA255"/>
  <c r="Y255" s="1"/>
  <c r="AA239"/>
  <c r="Y239" s="1"/>
  <c r="AA223"/>
  <c r="Y223" s="1"/>
  <c r="AA207"/>
  <c r="Y207" s="1"/>
  <c r="AA191"/>
  <c r="Y191" s="1"/>
  <c r="AA175"/>
  <c r="Y175" s="1"/>
  <c r="AA159"/>
  <c r="Y159" s="1"/>
  <c r="AA143"/>
  <c r="Y143" s="1"/>
  <c r="AR86"/>
  <c r="AS86" s="1"/>
  <c r="AT86" s="1"/>
  <c r="T94"/>
  <c r="Q94"/>
  <c r="T85"/>
  <c r="Q85"/>
  <c r="T81"/>
  <c r="Q81"/>
  <c r="Q76"/>
  <c r="T76"/>
  <c r="AR533"/>
  <c r="AS533" s="1"/>
  <c r="AT533" s="1"/>
  <c r="AA533"/>
  <c r="Y533" s="1"/>
  <c r="AR514"/>
  <c r="AS514" s="1"/>
  <c r="AT514" s="1"/>
  <c r="AA514"/>
  <c r="Y514" s="1"/>
  <c r="AR410"/>
  <c r="AS410" s="1"/>
  <c r="AT410" s="1"/>
  <c r="AA410"/>
  <c r="Y410" s="1"/>
  <c r="AR406"/>
  <c r="AS406" s="1"/>
  <c r="AT406" s="1"/>
  <c r="AA406"/>
  <c r="Y406" s="1"/>
  <c r="AR396"/>
  <c r="AS396" s="1"/>
  <c r="AT396" s="1"/>
  <c r="AA396"/>
  <c r="Y396" s="1"/>
  <c r="AR368"/>
  <c r="AS368" s="1"/>
  <c r="AT368" s="1"/>
  <c r="AA368"/>
  <c r="Y368" s="1"/>
  <c r="AR366"/>
  <c r="AS366" s="1"/>
  <c r="AT366" s="1"/>
  <c r="AA366"/>
  <c r="Y366" s="1"/>
  <c r="AR359"/>
  <c r="AS359" s="1"/>
  <c r="AT359" s="1"/>
  <c r="AA359"/>
  <c r="Y359" s="1"/>
  <c r="AR351"/>
  <c r="AS351" s="1"/>
  <c r="AT351" s="1"/>
  <c r="AA351"/>
  <c r="Y351" s="1"/>
  <c r="AR349"/>
  <c r="AS349" s="1"/>
  <c r="AT349" s="1"/>
  <c r="AA349"/>
  <c r="Y349" s="1"/>
  <c r="AR342"/>
  <c r="AS342" s="1"/>
  <c r="AT342" s="1"/>
  <c r="AA342"/>
  <c r="Y342" s="1"/>
  <c r="AR335"/>
  <c r="AS335" s="1"/>
  <c r="AT335" s="1"/>
  <c r="AA335"/>
  <c r="Y335" s="1"/>
  <c r="AR332"/>
  <c r="AS332" s="1"/>
  <c r="AT332" s="1"/>
  <c r="AA332"/>
  <c r="Y332" s="1"/>
  <c r="AR325"/>
  <c r="AS325" s="1"/>
  <c r="AT325" s="1"/>
  <c r="AA325"/>
  <c r="Y325" s="1"/>
  <c r="AR318"/>
  <c r="AS318" s="1"/>
  <c r="AT318" s="1"/>
  <c r="AA318"/>
  <c r="Y318" s="1"/>
  <c r="AR316"/>
  <c r="AS316" s="1"/>
  <c r="AT316" s="1"/>
  <c r="AA316"/>
  <c r="Y316" s="1"/>
  <c r="AR309"/>
  <c r="AS309" s="1"/>
  <c r="AT309" s="1"/>
  <c r="AA309"/>
  <c r="Y309" s="1"/>
  <c r="AR302"/>
  <c r="AS302" s="1"/>
  <c r="AT302" s="1"/>
  <c r="AA302"/>
  <c r="Y302" s="1"/>
  <c r="AR300"/>
  <c r="AS300" s="1"/>
  <c r="AT300" s="1"/>
  <c r="AA300"/>
  <c r="Y300" s="1"/>
  <c r="AR293"/>
  <c r="AS293" s="1"/>
  <c r="AT293" s="1"/>
  <c r="AA293"/>
  <c r="Y293" s="1"/>
  <c r="AR286"/>
  <c r="AS286" s="1"/>
  <c r="AT286" s="1"/>
  <c r="AA286"/>
  <c r="Y286" s="1"/>
  <c r="AR284"/>
  <c r="AS284" s="1"/>
  <c r="AT284" s="1"/>
  <c r="AA284"/>
  <c r="Y284" s="1"/>
  <c r="AR277"/>
  <c r="AS277" s="1"/>
  <c r="AT277" s="1"/>
  <c r="AA277"/>
  <c r="Y277" s="1"/>
  <c r="AR270"/>
  <c r="AS270" s="1"/>
  <c r="AT270" s="1"/>
  <c r="AA270"/>
  <c r="Y270" s="1"/>
  <c r="AR268"/>
  <c r="AS268" s="1"/>
  <c r="AT268" s="1"/>
  <c r="AA268"/>
  <c r="Y268" s="1"/>
  <c r="AR261"/>
  <c r="AS261" s="1"/>
  <c r="AT261" s="1"/>
  <c r="AA261"/>
  <c r="Y261" s="1"/>
  <c r="AR254"/>
  <c r="AS254" s="1"/>
  <c r="AT254" s="1"/>
  <c r="AA254"/>
  <c r="Y254" s="1"/>
  <c r="AR252"/>
  <c r="AS252" s="1"/>
  <c r="AT252" s="1"/>
  <c r="AA252"/>
  <c r="Y252" s="1"/>
  <c r="AR245"/>
  <c r="AS245" s="1"/>
  <c r="AT245" s="1"/>
  <c r="AA245"/>
  <c r="Y245" s="1"/>
  <c r="AR238"/>
  <c r="AS238" s="1"/>
  <c r="AT238" s="1"/>
  <c r="AA238"/>
  <c r="Y238" s="1"/>
  <c r="AR236"/>
  <c r="AS236" s="1"/>
  <c r="AT236" s="1"/>
  <c r="AA236"/>
  <c r="Y236" s="1"/>
  <c r="AR229"/>
  <c r="AS229" s="1"/>
  <c r="AT229" s="1"/>
  <c r="AA229"/>
  <c r="Y229" s="1"/>
  <c r="AR222"/>
  <c r="AS222" s="1"/>
  <c r="AT222" s="1"/>
  <c r="AA222"/>
  <c r="Y222" s="1"/>
  <c r="AR220"/>
  <c r="AS220" s="1"/>
  <c r="AT220" s="1"/>
  <c r="AA220"/>
  <c r="Y220" s="1"/>
  <c r="AR213"/>
  <c r="AS213" s="1"/>
  <c r="AT213" s="1"/>
  <c r="AA213"/>
  <c r="Y213" s="1"/>
  <c r="AR206"/>
  <c r="AS206" s="1"/>
  <c r="AT206" s="1"/>
  <c r="AA206"/>
  <c r="Y206" s="1"/>
  <c r="AR204"/>
  <c r="AS204" s="1"/>
  <c r="AT204" s="1"/>
  <c r="AA204"/>
  <c r="Y204" s="1"/>
  <c r="AR197"/>
  <c r="AS197" s="1"/>
  <c r="AT197" s="1"/>
  <c r="AA197"/>
  <c r="Y197" s="1"/>
  <c r="AR190"/>
  <c r="AS190" s="1"/>
  <c r="AT190" s="1"/>
  <c r="AA190"/>
  <c r="Y190" s="1"/>
  <c r="AR188"/>
  <c r="AS188" s="1"/>
  <c r="AT188" s="1"/>
  <c r="AA188"/>
  <c r="Y188" s="1"/>
  <c r="AR181"/>
  <c r="AS181" s="1"/>
  <c r="AT181" s="1"/>
  <c r="AA181"/>
  <c r="Y181" s="1"/>
  <c r="AR174"/>
  <c r="AS174" s="1"/>
  <c r="AT174" s="1"/>
  <c r="AA174"/>
  <c r="Y174" s="1"/>
  <c r="AR172"/>
  <c r="AS172" s="1"/>
  <c r="AT172" s="1"/>
  <c r="AA172"/>
  <c r="Y172" s="1"/>
  <c r="AR165"/>
  <c r="AS165" s="1"/>
  <c r="AT165" s="1"/>
  <c r="AA165"/>
  <c r="Y165" s="1"/>
  <c r="AR158"/>
  <c r="AS158" s="1"/>
  <c r="AT158" s="1"/>
  <c r="AA158"/>
  <c r="Y158" s="1"/>
  <c r="AR156"/>
  <c r="AS156" s="1"/>
  <c r="AT156" s="1"/>
  <c r="AA156"/>
  <c r="Y156" s="1"/>
  <c r="AR149"/>
  <c r="AS149" s="1"/>
  <c r="AT149" s="1"/>
  <c r="AA149"/>
  <c r="Y149" s="1"/>
  <c r="AR142"/>
  <c r="AS142" s="1"/>
  <c r="AT142" s="1"/>
  <c r="AA142"/>
  <c r="Y142" s="1"/>
  <c r="AR140"/>
  <c r="AS140" s="1"/>
  <c r="AT140" s="1"/>
  <c r="AA140"/>
  <c r="Y140" s="1"/>
  <c r="R91"/>
  <c r="U91"/>
  <c r="AR94"/>
  <c r="AS94" s="1"/>
  <c r="AT94" s="1"/>
  <c r="AR68"/>
  <c r="AS68" s="1"/>
  <c r="AT68" s="1"/>
  <c r="AA68"/>
  <c r="AR389"/>
  <c r="AS389" s="1"/>
  <c r="AT389" s="1"/>
  <c r="AA389"/>
  <c r="Y389" s="1"/>
  <c r="AR385"/>
  <c r="AS385" s="1"/>
  <c r="AT385" s="1"/>
  <c r="AA385"/>
  <c r="Y385" s="1"/>
  <c r="AR377"/>
  <c r="AS377" s="1"/>
  <c r="AT377" s="1"/>
  <c r="AA377"/>
  <c r="Y377" s="1"/>
  <c r="AR373"/>
  <c r="AS373" s="1"/>
  <c r="AT373" s="1"/>
  <c r="AA373"/>
  <c r="Y373" s="1"/>
  <c r="AR358"/>
  <c r="AS358" s="1"/>
  <c r="AT358" s="1"/>
  <c r="AA358"/>
  <c r="Y358" s="1"/>
  <c r="AR503"/>
  <c r="AS503" s="1"/>
  <c r="AT503" s="1"/>
  <c r="AA503"/>
  <c r="Y503" s="1"/>
  <c r="AR504"/>
  <c r="AS504" s="1"/>
  <c r="AT504" s="1"/>
  <c r="AA504"/>
  <c r="Y504" s="1"/>
  <c r="AR524"/>
  <c r="AS524" s="1"/>
  <c r="AT524" s="1"/>
  <c r="AA524"/>
  <c r="Y524" s="1"/>
  <c r="AR531"/>
  <c r="AS531" s="1"/>
  <c r="AT531" s="1"/>
  <c r="AA531"/>
  <c r="Y531" s="1"/>
  <c r="AR478"/>
  <c r="AS478" s="1"/>
  <c r="AT478" s="1"/>
  <c r="AA478"/>
  <c r="Y478" s="1"/>
  <c r="AR475"/>
  <c r="AS475" s="1"/>
  <c r="AT475" s="1"/>
  <c r="AA475"/>
  <c r="Y475" s="1"/>
  <c r="AR522"/>
  <c r="AS522" s="1"/>
  <c r="AT522" s="1"/>
  <c r="AA522"/>
  <c r="Y522" s="1"/>
  <c r="CY11" i="44"/>
  <c r="DB3"/>
  <c r="DC3"/>
  <c r="DO7"/>
  <c r="DS4"/>
  <c r="CX2"/>
  <c r="DC2"/>
  <c r="CY10"/>
  <c r="AR505" i="41"/>
  <c r="AS505" s="1"/>
  <c r="AT505" s="1"/>
  <c r="AA505"/>
  <c r="Y505" s="1"/>
  <c r="AR380"/>
  <c r="AS380" s="1"/>
  <c r="AT380" s="1"/>
  <c r="AA380"/>
  <c r="Y380" s="1"/>
  <c r="AR353"/>
  <c r="AS353" s="1"/>
  <c r="AT353" s="1"/>
  <c r="AA353"/>
  <c r="Y353" s="1"/>
  <c r="AR337"/>
  <c r="AS337" s="1"/>
  <c r="AT337" s="1"/>
  <c r="AA337"/>
  <c r="Y337" s="1"/>
  <c r="AR320"/>
  <c r="AS320" s="1"/>
  <c r="AT320" s="1"/>
  <c r="AA320"/>
  <c r="Y320" s="1"/>
  <c r="AR304"/>
  <c r="AS304" s="1"/>
  <c r="AT304" s="1"/>
  <c r="AA304"/>
  <c r="Y304" s="1"/>
  <c r="AR288"/>
  <c r="AS288" s="1"/>
  <c r="AT288" s="1"/>
  <c r="AA288"/>
  <c r="Y288" s="1"/>
  <c r="AR272"/>
  <c r="AS272" s="1"/>
  <c r="AT272" s="1"/>
  <c r="AA272"/>
  <c r="Y272" s="1"/>
  <c r="AR256"/>
  <c r="AS256" s="1"/>
  <c r="AT256" s="1"/>
  <c r="AA256"/>
  <c r="Y256" s="1"/>
  <c r="AR240"/>
  <c r="AS240" s="1"/>
  <c r="AT240" s="1"/>
  <c r="AA240"/>
  <c r="Y240" s="1"/>
  <c r="AR224"/>
  <c r="AS224" s="1"/>
  <c r="AT224" s="1"/>
  <c r="AA224"/>
  <c r="Y224" s="1"/>
  <c r="AR208"/>
  <c r="AS208" s="1"/>
  <c r="AT208" s="1"/>
  <c r="AA208"/>
  <c r="Y208" s="1"/>
  <c r="AR192"/>
  <c r="AS192" s="1"/>
  <c r="AT192" s="1"/>
  <c r="AA192"/>
  <c r="Y192" s="1"/>
  <c r="AR176"/>
  <c r="AS176" s="1"/>
  <c r="AT176" s="1"/>
  <c r="AA176"/>
  <c r="Y176" s="1"/>
  <c r="AR160"/>
  <c r="AS160" s="1"/>
  <c r="AT160" s="1"/>
  <c r="AA160"/>
  <c r="Y160" s="1"/>
  <c r="AR144"/>
  <c r="AS144" s="1"/>
  <c r="AT144" s="1"/>
  <c r="AA144"/>
  <c r="Y144" s="1"/>
  <c r="AR80"/>
  <c r="AS80" s="1"/>
  <c r="AT80" s="1"/>
  <c r="AA80"/>
  <c r="AR82"/>
  <c r="AS82" s="1"/>
  <c r="AT82" s="1"/>
  <c r="AR83"/>
  <c r="AS83" s="1"/>
  <c r="AT83" s="1"/>
  <c r="AR391"/>
  <c r="AS391" s="1"/>
  <c r="AT391" s="1"/>
  <c r="AA391"/>
  <c r="Y391" s="1"/>
  <c r="AR101"/>
  <c r="AS101" s="1"/>
  <c r="AT101" s="1"/>
  <c r="AG45" i="43"/>
  <c r="W43"/>
  <c r="K41"/>
  <c r="K36"/>
  <c r="K35"/>
  <c r="W34"/>
  <c r="AG33"/>
  <c r="AG32"/>
  <c r="W27"/>
  <c r="K24"/>
  <c r="W23"/>
  <c r="K22"/>
  <c r="W13"/>
  <c r="AE12"/>
  <c r="X12"/>
  <c r="P12"/>
  <c r="CU43"/>
  <c r="DE2" i="44"/>
  <c r="DF29" i="45"/>
  <c r="T88" i="41"/>
  <c r="Y34"/>
  <c r="I29"/>
  <c r="Y23"/>
  <c r="Y18"/>
  <c r="I13"/>
  <c r="I8"/>
  <c r="I3"/>
  <c r="O1"/>
  <c r="AR133"/>
  <c r="AS133" s="1"/>
  <c r="AT133" s="1"/>
  <c r="AA516"/>
  <c r="Y516" s="1"/>
  <c r="AA400"/>
  <c r="Y400" s="1"/>
  <c r="AA361"/>
  <c r="Y361" s="1"/>
  <c r="AA344"/>
  <c r="Y344" s="1"/>
  <c r="AA327"/>
  <c r="Y327" s="1"/>
  <c r="AA311"/>
  <c r="Y311" s="1"/>
  <c r="AA295"/>
  <c r="Y295" s="1"/>
  <c r="AA279"/>
  <c r="Y279" s="1"/>
  <c r="AA263"/>
  <c r="Y263" s="1"/>
  <c r="AA247"/>
  <c r="Y247" s="1"/>
  <c r="AA231"/>
  <c r="Y231" s="1"/>
  <c r="AA215"/>
  <c r="Y215" s="1"/>
  <c r="AA199"/>
  <c r="Y199" s="1"/>
  <c r="AA183"/>
  <c r="Y183" s="1"/>
  <c r="AA167"/>
  <c r="Y167" s="1"/>
  <c r="AA151"/>
  <c r="Y151" s="1"/>
  <c r="AA135"/>
  <c r="Y135" s="1"/>
  <c r="AA111"/>
  <c r="N78" s="1"/>
  <c r="AA78"/>
  <c r="AA84"/>
  <c r="AR87"/>
  <c r="AS87" s="1"/>
  <c r="AT87" s="1"/>
  <c r="AR110"/>
  <c r="AS110" s="1"/>
  <c r="AT110" s="1"/>
  <c r="AR102"/>
  <c r="AS102" s="1"/>
  <c r="AT102" s="1"/>
  <c r="AC93"/>
  <c r="AD93" s="1"/>
  <c r="AE93" s="1"/>
  <c r="AF93" s="1"/>
  <c r="AG93" s="1"/>
  <c r="AH93" s="1"/>
  <c r="AI93" s="1"/>
  <c r="AJ93" s="1"/>
  <c r="AK93" s="1"/>
  <c r="AL93" s="1"/>
  <c r="AM93" s="1"/>
  <c r="AN93" s="1"/>
  <c r="AO93" s="1"/>
  <c r="AP93" s="1"/>
  <c r="AQ93" s="1"/>
  <c r="Y93"/>
  <c r="AA387"/>
  <c r="Y387" s="1"/>
  <c r="AA375"/>
  <c r="Y375" s="1"/>
  <c r="AA499"/>
  <c r="Y499" s="1"/>
  <c r="AA526"/>
  <c r="Y526" s="1"/>
  <c r="AA527"/>
  <c r="Y527" s="1"/>
  <c r="AA100"/>
  <c r="N12" i="44"/>
  <c r="R12"/>
  <c r="V12"/>
  <c r="Z12"/>
  <c r="AD12"/>
  <c r="K13"/>
  <c r="AG14"/>
  <c r="K15"/>
  <c r="W16"/>
  <c r="K18"/>
  <c r="AG20"/>
  <c r="AG21"/>
  <c r="AG22"/>
  <c r="W23"/>
  <c r="W24"/>
  <c r="W25"/>
  <c r="K27"/>
  <c r="K28"/>
  <c r="K29"/>
  <c r="AG30"/>
  <c r="K31"/>
  <c r="AG32"/>
  <c r="AG33"/>
  <c r="AG34"/>
  <c r="W35"/>
  <c r="W36"/>
  <c r="W37"/>
  <c r="W38"/>
  <c r="AG39"/>
  <c r="W40"/>
  <c r="AG41"/>
  <c r="K43"/>
  <c r="AG44"/>
  <c r="M12" i="45"/>
  <c r="Q12"/>
  <c r="U12"/>
  <c r="Z12"/>
  <c r="AD12"/>
  <c r="AH12"/>
  <c r="K13"/>
  <c r="AH14"/>
  <c r="AH15"/>
  <c r="X19"/>
  <c r="X20"/>
  <c r="K21"/>
  <c r="X23"/>
  <c r="K24"/>
  <c r="K26"/>
  <c r="AH27"/>
  <c r="X28"/>
  <c r="AH29"/>
  <c r="AH30"/>
  <c r="AH31"/>
  <c r="X32"/>
  <c r="K33"/>
  <c r="K34"/>
  <c r="AH36"/>
  <c r="X37"/>
  <c r="AH38"/>
  <c r="K39"/>
  <c r="X40"/>
  <c r="AH41"/>
  <c r="K43"/>
  <c r="AH44"/>
  <c r="K46"/>
  <c r="CZ35" i="44"/>
  <c r="CZ44" s="1"/>
  <c r="T86" i="41"/>
  <c r="AA379"/>
  <c r="Y379" s="1"/>
  <c r="AA371"/>
  <c r="Y371" s="1"/>
  <c r="AA507"/>
  <c r="Y507" s="1"/>
  <c r="AA528"/>
  <c r="Y528" s="1"/>
  <c r="AA480"/>
  <c r="Y480" s="1"/>
  <c r="AR100"/>
  <c r="AS100" s="1"/>
  <c r="AT100" s="1"/>
  <c r="AA123"/>
  <c r="N90" s="1"/>
  <c r="AR123"/>
  <c r="AS123" s="1"/>
  <c r="AT123" s="1"/>
  <c r="CX5" i="43"/>
  <c r="AU99" i="46"/>
  <c r="AU106"/>
  <c r="AU107" s="1"/>
  <c r="AU108" s="1"/>
  <c r="AU109" s="1"/>
  <c r="AU110" s="1"/>
  <c r="AU111" s="1"/>
  <c r="AU112" s="1"/>
  <c r="AU113" s="1"/>
  <c r="AU114" s="1"/>
  <c r="AU115" s="1"/>
  <c r="AU116" s="1"/>
  <c r="AU117" s="1"/>
  <c r="AU118" s="1"/>
  <c r="AU119" s="1"/>
  <c r="AU120" s="1"/>
  <c r="AU121" s="1"/>
  <c r="AU122" s="1"/>
  <c r="AU123" s="1"/>
  <c r="AU124" s="1"/>
  <c r="AU125" s="1"/>
  <c r="AU105"/>
  <c r="AU100"/>
  <c r="AU102"/>
  <c r="AU98"/>
  <c r="AA86" i="40"/>
  <c r="AA116"/>
  <c r="AB116" s="1"/>
  <c r="AC116" s="1"/>
  <c r="AD116" s="1"/>
  <c r="AE116" s="1"/>
  <c r="AF116" s="1"/>
  <c r="AG116" s="1"/>
  <c r="AH116" s="1"/>
  <c r="AI116" s="1"/>
  <c r="AJ116" s="1"/>
  <c r="AK116" s="1"/>
  <c r="AL116" s="1"/>
  <c r="AM116" s="1"/>
  <c r="AN116" s="1"/>
  <c r="AO116" s="1"/>
  <c r="AP116" s="1"/>
  <c r="AA115"/>
  <c r="AB115" s="1"/>
  <c r="AC115" s="1"/>
  <c r="AD115" s="1"/>
  <c r="AE115" s="1"/>
  <c r="AF115" s="1"/>
  <c r="AG115" s="1"/>
  <c r="AH115" s="1"/>
  <c r="AI115" s="1"/>
  <c r="AJ115" s="1"/>
  <c r="AK115" s="1"/>
  <c r="AL115" s="1"/>
  <c r="AM115" s="1"/>
  <c r="AN115" s="1"/>
  <c r="AO115" s="1"/>
  <c r="AP115" s="1"/>
  <c r="AA104"/>
  <c r="AA100"/>
  <c r="AA95"/>
  <c r="AA90"/>
  <c r="AA81"/>
  <c r="AA84"/>
  <c r="AA102"/>
  <c r="AA87"/>
  <c r="AA83"/>
  <c r="AA118"/>
  <c r="AB118" s="1"/>
  <c r="AA345"/>
  <c r="AB345" s="1"/>
  <c r="AC345" s="1"/>
  <c r="AD345" s="1"/>
  <c r="AE345" s="1"/>
  <c r="AF345" s="1"/>
  <c r="AG345" s="1"/>
  <c r="AH345" s="1"/>
  <c r="AI345" s="1"/>
  <c r="AJ345" s="1"/>
  <c r="AK345" s="1"/>
  <c r="AL345" s="1"/>
  <c r="AM345" s="1"/>
  <c r="AN345" s="1"/>
  <c r="AO345" s="1"/>
  <c r="AP345" s="1"/>
  <c r="AA445"/>
  <c r="AB445" s="1"/>
  <c r="AC445" s="1"/>
  <c r="AD445" s="1"/>
  <c r="AE445" s="1"/>
  <c r="AF445" s="1"/>
  <c r="AG445" s="1"/>
  <c r="AH445" s="1"/>
  <c r="AI445" s="1"/>
  <c r="AJ445" s="1"/>
  <c r="AK445" s="1"/>
  <c r="AL445" s="1"/>
  <c r="AM445" s="1"/>
  <c r="AN445" s="1"/>
  <c r="AO445" s="1"/>
  <c r="AP445" s="1"/>
  <c r="AA395"/>
  <c r="AB395" s="1"/>
  <c r="AC395" s="1"/>
  <c r="AD395" s="1"/>
  <c r="AE395" s="1"/>
  <c r="AF395" s="1"/>
  <c r="AG395" s="1"/>
  <c r="AH395" s="1"/>
  <c r="AI395" s="1"/>
  <c r="AJ395" s="1"/>
  <c r="AK395" s="1"/>
  <c r="AL395" s="1"/>
  <c r="AM395" s="1"/>
  <c r="AN395" s="1"/>
  <c r="AO395" s="1"/>
  <c r="AP395" s="1"/>
  <c r="AA420"/>
  <c r="AB420" s="1"/>
  <c r="AC420" s="1"/>
  <c r="AD420" s="1"/>
  <c r="AE420" s="1"/>
  <c r="AF420" s="1"/>
  <c r="AG420" s="1"/>
  <c r="AH420" s="1"/>
  <c r="AI420" s="1"/>
  <c r="AJ420" s="1"/>
  <c r="AK420" s="1"/>
  <c r="AL420" s="1"/>
  <c r="AM420" s="1"/>
  <c r="AN420" s="1"/>
  <c r="AO420" s="1"/>
  <c r="AP420" s="1"/>
  <c r="AA432"/>
  <c r="AB432" s="1"/>
  <c r="AC432" s="1"/>
  <c r="AD432" s="1"/>
  <c r="AE432" s="1"/>
  <c r="AF432" s="1"/>
  <c r="AG432" s="1"/>
  <c r="AH432" s="1"/>
  <c r="AI432" s="1"/>
  <c r="AJ432" s="1"/>
  <c r="AK432" s="1"/>
  <c r="AL432" s="1"/>
  <c r="AM432" s="1"/>
  <c r="AN432" s="1"/>
  <c r="AO432" s="1"/>
  <c r="AP432" s="1"/>
  <c r="AA426"/>
  <c r="AB426" s="1"/>
  <c r="AC426" s="1"/>
  <c r="AD426" s="1"/>
  <c r="AE426" s="1"/>
  <c r="AF426" s="1"/>
  <c r="AG426" s="1"/>
  <c r="AH426" s="1"/>
  <c r="AI426" s="1"/>
  <c r="AJ426" s="1"/>
  <c r="AK426" s="1"/>
  <c r="AL426" s="1"/>
  <c r="AM426" s="1"/>
  <c r="AN426" s="1"/>
  <c r="AO426" s="1"/>
  <c r="AP426" s="1"/>
  <c r="AA423"/>
  <c r="AB423" s="1"/>
  <c r="AC423" s="1"/>
  <c r="AD423" s="1"/>
  <c r="AE423" s="1"/>
  <c r="AF423" s="1"/>
  <c r="AG423" s="1"/>
  <c r="AH423" s="1"/>
  <c r="AI423" s="1"/>
  <c r="AJ423" s="1"/>
  <c r="AK423" s="1"/>
  <c r="AL423" s="1"/>
  <c r="AM423" s="1"/>
  <c r="AN423" s="1"/>
  <c r="AO423" s="1"/>
  <c r="AP423" s="1"/>
  <c r="AA421"/>
  <c r="AB421" s="1"/>
  <c r="AC421" s="1"/>
  <c r="AD421" s="1"/>
  <c r="AE421" s="1"/>
  <c r="AF421" s="1"/>
  <c r="AG421" s="1"/>
  <c r="AH421" s="1"/>
  <c r="AI421" s="1"/>
  <c r="AJ421" s="1"/>
  <c r="AK421" s="1"/>
  <c r="AL421" s="1"/>
  <c r="AM421" s="1"/>
  <c r="AN421" s="1"/>
  <c r="AO421" s="1"/>
  <c r="AP421" s="1"/>
  <c r="AA422"/>
  <c r="AB422" s="1"/>
  <c r="AC422" s="1"/>
  <c r="AD422" s="1"/>
  <c r="AE422" s="1"/>
  <c r="AF422" s="1"/>
  <c r="AG422" s="1"/>
  <c r="AH422" s="1"/>
  <c r="AI422" s="1"/>
  <c r="AJ422" s="1"/>
  <c r="AK422" s="1"/>
  <c r="AL422" s="1"/>
  <c r="AM422" s="1"/>
  <c r="AN422" s="1"/>
  <c r="AO422" s="1"/>
  <c r="AP422" s="1"/>
  <c r="AA85"/>
  <c r="AA94"/>
  <c r="AA107"/>
  <c r="AA103"/>
  <c r="AA99"/>
  <c r="AA98"/>
  <c r="AA93"/>
  <c r="AA89"/>
  <c r="AA88"/>
  <c r="AA120"/>
  <c r="AB120" s="1"/>
  <c r="AC120" s="1"/>
  <c r="AD120" s="1"/>
  <c r="AE120" s="1"/>
  <c r="AF120" s="1"/>
  <c r="AG120" s="1"/>
  <c r="AH120" s="1"/>
  <c r="AI120" s="1"/>
  <c r="AJ120" s="1"/>
  <c r="AK120" s="1"/>
  <c r="AL120" s="1"/>
  <c r="AM120" s="1"/>
  <c r="AN120" s="1"/>
  <c r="AO120" s="1"/>
  <c r="AP120" s="1"/>
  <c r="AA129"/>
  <c r="AB129" s="1"/>
  <c r="AC129" s="1"/>
  <c r="AD129" s="1"/>
  <c r="AE129" s="1"/>
  <c r="AF129" s="1"/>
  <c r="AG129" s="1"/>
  <c r="AH129" s="1"/>
  <c r="AI129" s="1"/>
  <c r="AJ129" s="1"/>
  <c r="AK129" s="1"/>
  <c r="AL129" s="1"/>
  <c r="AM129" s="1"/>
  <c r="AN129" s="1"/>
  <c r="AO129" s="1"/>
  <c r="AP129" s="1"/>
  <c r="AA130"/>
  <c r="AB130" s="1"/>
  <c r="AC130" s="1"/>
  <c r="AD130" s="1"/>
  <c r="AE130" s="1"/>
  <c r="AF130" s="1"/>
  <c r="AG130" s="1"/>
  <c r="AH130" s="1"/>
  <c r="AI130" s="1"/>
  <c r="AJ130" s="1"/>
  <c r="AK130" s="1"/>
  <c r="AL130" s="1"/>
  <c r="AM130" s="1"/>
  <c r="AN130" s="1"/>
  <c r="AO130" s="1"/>
  <c r="AP130" s="1"/>
  <c r="AA131"/>
  <c r="AB131" s="1"/>
  <c r="AC131" s="1"/>
  <c r="AD131" s="1"/>
  <c r="AE131" s="1"/>
  <c r="AF131" s="1"/>
  <c r="AG131" s="1"/>
  <c r="AH131" s="1"/>
  <c r="AI131" s="1"/>
  <c r="AJ131" s="1"/>
  <c r="AK131" s="1"/>
  <c r="AL131" s="1"/>
  <c r="AM131" s="1"/>
  <c r="AN131" s="1"/>
  <c r="AO131" s="1"/>
  <c r="AP131" s="1"/>
  <c r="AA132"/>
  <c r="AB132" s="1"/>
  <c r="AC132" s="1"/>
  <c r="AD132" s="1"/>
  <c r="AE132" s="1"/>
  <c r="AF132" s="1"/>
  <c r="AG132" s="1"/>
  <c r="AH132" s="1"/>
  <c r="AI132" s="1"/>
  <c r="AJ132" s="1"/>
  <c r="AK132" s="1"/>
  <c r="AL132" s="1"/>
  <c r="AM132" s="1"/>
  <c r="AN132" s="1"/>
  <c r="AO132" s="1"/>
  <c r="AP132" s="1"/>
  <c r="X106"/>
  <c r="J92" i="41"/>
  <c r="C93"/>
  <c r="CV45" i="43"/>
  <c r="DA7" s="1"/>
  <c r="BI308" i="47"/>
  <c r="BM308"/>
  <c r="BI300"/>
  <c r="BM300"/>
  <c r="BI292"/>
  <c r="BM292"/>
  <c r="BI284"/>
  <c r="BM284"/>
  <c r="BI276"/>
  <c r="BM276"/>
  <c r="BI268"/>
  <c r="BM268"/>
  <c r="BI260"/>
  <c r="BM260"/>
  <c r="BI252"/>
  <c r="BM252"/>
  <c r="BI244"/>
  <c r="BM244"/>
  <c r="BI236"/>
  <c r="BM236"/>
  <c r="BI228"/>
  <c r="BM228"/>
  <c r="BI220"/>
  <c r="BM220"/>
  <c r="BI212"/>
  <c r="BM212"/>
  <c r="BI204"/>
  <c r="BM204"/>
  <c r="BI196"/>
  <c r="BM196"/>
  <c r="BI188"/>
  <c r="BM188"/>
  <c r="BI180"/>
  <c r="BM180"/>
  <c r="BE9"/>
  <c r="BF40"/>
  <c r="BE41"/>
  <c r="BF44"/>
  <c r="BE45"/>
  <c r="BF48"/>
  <c r="BE49"/>
  <c r="BF52"/>
  <c r="BE53"/>
  <c r="BF56"/>
  <c r="BE57"/>
  <c r="BF60"/>
  <c r="BE61"/>
  <c r="BF64"/>
  <c r="BE65"/>
  <c r="BF68"/>
  <c r="BE69"/>
  <c r="BF72"/>
  <c r="BE73"/>
  <c r="BF76"/>
  <c r="BE77"/>
  <c r="BF80"/>
  <c r="BE81"/>
  <c r="BF84"/>
  <c r="BE85"/>
  <c r="BF88"/>
  <c r="BE89"/>
  <c r="BF92"/>
  <c r="BE93"/>
  <c r="BF96"/>
  <c r="BE97"/>
  <c r="BF100"/>
  <c r="BE101"/>
  <c r="BF104"/>
  <c r="BE105"/>
  <c r="BF108"/>
  <c r="BE109"/>
  <c r="BF112"/>
  <c r="BE113"/>
  <c r="BF116"/>
  <c r="BE117"/>
  <c r="BF120"/>
  <c r="BE121"/>
  <c r="BF124"/>
  <c r="BE125"/>
  <c r="BF128"/>
  <c r="BE129"/>
  <c r="BF132"/>
  <c r="BE133"/>
  <c r="BF136"/>
  <c r="BE137"/>
  <c r="BF140"/>
  <c r="BE141"/>
  <c r="BF144"/>
  <c r="BE145"/>
  <c r="BF148"/>
  <c r="BE149"/>
  <c r="BF152"/>
  <c r="BE153"/>
  <c r="BF156"/>
  <c r="BE157"/>
  <c r="BF160"/>
  <c r="BE161"/>
  <c r="BF164"/>
  <c r="BE165"/>
  <c r="BF168"/>
  <c r="BE169"/>
  <c r="BF172"/>
  <c r="BE173"/>
  <c r="BF176"/>
  <c r="BK1"/>
  <c r="BF2"/>
  <c r="BO2"/>
  <c r="BF6"/>
  <c r="AY12"/>
  <c r="BF39"/>
  <c r="BE40"/>
  <c r="BF43"/>
  <c r="BE44"/>
  <c r="BF47"/>
  <c r="BE48"/>
  <c r="BF51"/>
  <c r="BE52"/>
  <c r="BF55"/>
  <c r="BE56"/>
  <c r="BF59"/>
  <c r="BE60"/>
  <c r="BF63"/>
  <c r="BE64"/>
  <c r="BF67"/>
  <c r="BE68"/>
  <c r="BF71"/>
  <c r="BE72"/>
  <c r="BF75"/>
  <c r="BE76"/>
  <c r="BF79"/>
  <c r="BE80"/>
  <c r="BF83"/>
  <c r="BE84"/>
  <c r="BF87"/>
  <c r="BE88"/>
  <c r="BF91"/>
  <c r="BE92"/>
  <c r="BF95"/>
  <c r="BE96"/>
  <c r="BF99"/>
  <c r="BE100"/>
  <c r="BF103"/>
  <c r="BE104"/>
  <c r="BF107"/>
  <c r="BE108"/>
  <c r="BF111"/>
  <c r="BE112"/>
  <c r="BF115"/>
  <c r="BE116"/>
  <c r="BF118"/>
  <c r="BF119"/>
  <c r="BF122"/>
  <c r="BF123"/>
  <c r="BF126"/>
  <c r="BF127"/>
  <c r="BF130"/>
  <c r="BF131"/>
  <c r="BF134"/>
  <c r="BF135"/>
  <c r="BF138"/>
  <c r="BF139"/>
  <c r="BF142"/>
  <c r="BF143"/>
  <c r="BF146"/>
  <c r="BF147"/>
  <c r="BF150"/>
  <c r="BF151"/>
  <c r="BF154"/>
  <c r="BF155"/>
  <c r="BF158"/>
  <c r="BF159"/>
  <c r="BF162"/>
  <c r="BF163"/>
  <c r="BF166"/>
  <c r="BF167"/>
  <c r="BF170"/>
  <c r="BF171"/>
  <c r="BF174"/>
  <c r="BF175"/>
  <c r="BF178"/>
  <c r="BE179"/>
  <c r="BF182"/>
  <c r="BE183"/>
  <c r="BF186"/>
  <c r="BE187"/>
  <c r="BF190"/>
  <c r="BE191"/>
  <c r="BF194"/>
  <c r="BE195"/>
  <c r="BF198"/>
  <c r="BE199"/>
  <c r="BF202"/>
  <c r="BE203"/>
  <c r="BF206"/>
  <c r="BE207"/>
  <c r="BF210"/>
  <c r="BE211"/>
  <c r="BF214"/>
  <c r="BE215"/>
  <c r="BF218"/>
  <c r="BE219"/>
  <c r="BF222"/>
  <c r="BE223"/>
  <c r="BF226"/>
  <c r="BE227"/>
  <c r="BF230"/>
  <c r="BE231"/>
  <c r="BF234"/>
  <c r="BE235"/>
  <c r="BF238"/>
  <c r="BE239"/>
  <c r="BF242"/>
  <c r="BE243"/>
  <c r="BF246"/>
  <c r="BE247"/>
  <c r="BF250"/>
  <c r="BE251"/>
  <c r="BF254"/>
  <c r="BE255"/>
  <c r="BF258"/>
  <c r="BE259"/>
  <c r="BF262"/>
  <c r="BE263"/>
  <c r="BF266"/>
  <c r="BE267"/>
  <c r="BF270"/>
  <c r="BE271"/>
  <c r="BF274"/>
  <c r="BE275"/>
  <c r="BF278"/>
  <c r="BE279"/>
  <c r="BF282"/>
  <c r="BE283"/>
  <c r="BF286"/>
  <c r="BE287"/>
  <c r="BF290"/>
  <c r="BE291"/>
  <c r="BF294"/>
  <c r="BE295"/>
  <c r="BF298"/>
  <c r="BE299"/>
  <c r="BF302"/>
  <c r="BE303"/>
  <c r="BF306"/>
  <c r="BE307"/>
  <c r="BF1"/>
  <c r="BF42"/>
  <c r="BF46"/>
  <c r="BF50"/>
  <c r="BF54"/>
  <c r="BF58"/>
  <c r="BF62"/>
  <c r="BF66"/>
  <c r="BF70"/>
  <c r="BF74"/>
  <c r="BF78"/>
  <c r="BF82"/>
  <c r="BF86"/>
  <c r="BF90"/>
  <c r="BF94"/>
  <c r="BF98"/>
  <c r="BG98" s="1"/>
  <c r="BH98" s="1"/>
  <c r="BF102"/>
  <c r="BF106"/>
  <c r="BF110"/>
  <c r="BF114"/>
  <c r="BE118"/>
  <c r="BG118" s="1"/>
  <c r="BH118" s="1"/>
  <c r="BE119"/>
  <c r="BG119" s="1"/>
  <c r="BH119" s="1"/>
  <c r="BE120"/>
  <c r="BG120" s="1"/>
  <c r="BH120" s="1"/>
  <c r="BE122"/>
  <c r="BE123"/>
  <c r="BG123" s="1"/>
  <c r="BH123" s="1"/>
  <c r="BE124"/>
  <c r="BE126"/>
  <c r="BG126" s="1"/>
  <c r="BH126" s="1"/>
  <c r="BE127"/>
  <c r="BE128"/>
  <c r="BG128" s="1"/>
  <c r="BH128" s="1"/>
  <c r="BE130"/>
  <c r="BE131"/>
  <c r="BG131" s="1"/>
  <c r="BH131" s="1"/>
  <c r="BE132"/>
  <c r="BG132" s="1"/>
  <c r="BH132" s="1"/>
  <c r="BE134"/>
  <c r="BG134" s="1"/>
  <c r="BH134" s="1"/>
  <c r="BE135"/>
  <c r="BG135" s="1"/>
  <c r="BH135" s="1"/>
  <c r="BE136"/>
  <c r="BG136" s="1"/>
  <c r="BH136" s="1"/>
  <c r="BE138"/>
  <c r="BE139"/>
  <c r="BG139" s="1"/>
  <c r="BH139" s="1"/>
  <c r="BE140"/>
  <c r="BE142"/>
  <c r="BG142" s="1"/>
  <c r="BH142" s="1"/>
  <c r="BE143"/>
  <c r="BE144"/>
  <c r="BG144" s="1"/>
  <c r="BH144" s="1"/>
  <c r="BE146"/>
  <c r="BE147"/>
  <c r="BG147" s="1"/>
  <c r="BH147" s="1"/>
  <c r="BE148"/>
  <c r="BG148" s="1"/>
  <c r="BH148" s="1"/>
  <c r="BE150"/>
  <c r="BG150" s="1"/>
  <c r="BH150" s="1"/>
  <c r="BE151"/>
  <c r="BG151" s="1"/>
  <c r="BH151" s="1"/>
  <c r="BE152"/>
  <c r="BG152" s="1"/>
  <c r="BH152" s="1"/>
  <c r="BE154"/>
  <c r="BE155"/>
  <c r="BG155" s="1"/>
  <c r="BH155" s="1"/>
  <c r="BE156"/>
  <c r="BE158"/>
  <c r="BG158" s="1"/>
  <c r="BH158" s="1"/>
  <c r="BE159"/>
  <c r="BE160"/>
  <c r="BG160" s="1"/>
  <c r="BH160" s="1"/>
  <c r="BE162"/>
  <c r="BE163"/>
  <c r="BG163" s="1"/>
  <c r="BH163" s="1"/>
  <c r="BE164"/>
  <c r="BG164" s="1"/>
  <c r="BH164" s="1"/>
  <c r="BE166"/>
  <c r="BG166" s="1"/>
  <c r="BH166" s="1"/>
  <c r="BE167"/>
  <c r="BG167" s="1"/>
  <c r="BH167" s="1"/>
  <c r="BE168"/>
  <c r="BG168" s="1"/>
  <c r="BH168" s="1"/>
  <c r="BE170"/>
  <c r="BE171"/>
  <c r="BG171" s="1"/>
  <c r="BH171" s="1"/>
  <c r="BE172"/>
  <c r="BE174"/>
  <c r="BG174" s="1"/>
  <c r="BH174" s="1"/>
  <c r="BE175"/>
  <c r="BE176"/>
  <c r="BG176" s="1"/>
  <c r="BH176" s="1"/>
  <c r="BF177"/>
  <c r="BE178"/>
  <c r="BG178" s="1"/>
  <c r="BH178" s="1"/>
  <c r="BF181"/>
  <c r="BE182"/>
  <c r="BG182" s="1"/>
  <c r="BH182" s="1"/>
  <c r="BF185"/>
  <c r="BE186"/>
  <c r="BG186" s="1"/>
  <c r="BH186" s="1"/>
  <c r="BF189"/>
  <c r="BE190"/>
  <c r="BG190" s="1"/>
  <c r="BH190" s="1"/>
  <c r="BF193"/>
  <c r="BE194"/>
  <c r="BG194" s="1"/>
  <c r="BH194" s="1"/>
  <c r="BF197"/>
  <c r="BG197" s="1"/>
  <c r="BH197" s="1"/>
  <c r="BE198"/>
  <c r="BG198" s="1"/>
  <c r="BH198" s="1"/>
  <c r="BF201"/>
  <c r="BE202"/>
  <c r="BG202" s="1"/>
  <c r="BH202" s="1"/>
  <c r="BF205"/>
  <c r="BE206"/>
  <c r="BG206" s="1"/>
  <c r="BH206" s="1"/>
  <c r="BF209"/>
  <c r="BE210"/>
  <c r="BG210" s="1"/>
  <c r="BH210" s="1"/>
  <c r="BF213"/>
  <c r="BE214"/>
  <c r="BG214" s="1"/>
  <c r="BH214" s="1"/>
  <c r="BF217"/>
  <c r="BE218"/>
  <c r="BG218" s="1"/>
  <c r="BH218" s="1"/>
  <c r="BF221"/>
  <c r="BE222"/>
  <c r="BG222" s="1"/>
  <c r="BH222" s="1"/>
  <c r="BF225"/>
  <c r="BE226"/>
  <c r="BG226" s="1"/>
  <c r="BH226" s="1"/>
  <c r="BF229"/>
  <c r="BG229" s="1"/>
  <c r="BH229" s="1"/>
  <c r="BE230"/>
  <c r="BG230" s="1"/>
  <c r="BH230" s="1"/>
  <c r="BF233"/>
  <c r="BE234"/>
  <c r="BG234" s="1"/>
  <c r="BH234" s="1"/>
  <c r="BF237"/>
  <c r="BE238"/>
  <c r="BG238" s="1"/>
  <c r="BH238" s="1"/>
  <c r="BF241"/>
  <c r="BE242"/>
  <c r="BG242" s="1"/>
  <c r="BH242" s="1"/>
  <c r="BF245"/>
  <c r="BE246"/>
  <c r="BG246" s="1"/>
  <c r="BH246" s="1"/>
  <c r="BF249"/>
  <c r="BE250"/>
  <c r="BG250" s="1"/>
  <c r="BH250" s="1"/>
  <c r="BF253"/>
  <c r="BE254"/>
  <c r="BG254" s="1"/>
  <c r="BH254" s="1"/>
  <c r="BF257"/>
  <c r="BE258"/>
  <c r="BG258" s="1"/>
  <c r="BH258" s="1"/>
  <c r="BF261"/>
  <c r="BG261" s="1"/>
  <c r="BH261" s="1"/>
  <c r="BE262"/>
  <c r="BG262" s="1"/>
  <c r="BH262" s="1"/>
  <c r="BF265"/>
  <c r="BE266"/>
  <c r="BG266" s="1"/>
  <c r="BH266" s="1"/>
  <c r="BF269"/>
  <c r="BE270"/>
  <c r="BG270" s="1"/>
  <c r="BH270" s="1"/>
  <c r="BF273"/>
  <c r="BE274"/>
  <c r="BG274" s="1"/>
  <c r="BH274" s="1"/>
  <c r="BF277"/>
  <c r="BE278"/>
  <c r="BG278" s="1"/>
  <c r="BH278" s="1"/>
  <c r="BF281"/>
  <c r="BE282"/>
  <c r="BG282" s="1"/>
  <c r="BH282" s="1"/>
  <c r="BF285"/>
  <c r="BE286"/>
  <c r="BG286" s="1"/>
  <c r="BH286" s="1"/>
  <c r="BF289"/>
  <c r="BE290"/>
  <c r="BG290" s="1"/>
  <c r="BH290" s="1"/>
  <c r="BF293"/>
  <c r="BG293" s="1"/>
  <c r="BH293" s="1"/>
  <c r="BE294"/>
  <c r="BG294" s="1"/>
  <c r="BH294" s="1"/>
  <c r="BF297"/>
  <c r="BE298"/>
  <c r="BG298" s="1"/>
  <c r="BH298" s="1"/>
  <c r="BF301"/>
  <c r="BE302"/>
  <c r="BG302" s="1"/>
  <c r="BH302" s="1"/>
  <c r="BF305"/>
  <c r="BE306"/>
  <c r="BG306" s="1"/>
  <c r="BH306" s="1"/>
  <c r="BO1"/>
  <c r="BK2"/>
  <c r="BE6"/>
  <c r="AY11"/>
  <c r="BE39"/>
  <c r="BG39" s="1"/>
  <c r="BH39" s="1"/>
  <c r="BF41"/>
  <c r="BE43"/>
  <c r="BG43" s="1"/>
  <c r="BH43" s="1"/>
  <c r="BF45"/>
  <c r="BE47"/>
  <c r="BG47" s="1"/>
  <c r="BH47" s="1"/>
  <c r="BF49"/>
  <c r="BE51"/>
  <c r="BG51" s="1"/>
  <c r="BH51" s="1"/>
  <c r="BF53"/>
  <c r="BE55"/>
  <c r="BG55" s="1"/>
  <c r="BH55" s="1"/>
  <c r="BF57"/>
  <c r="BE59"/>
  <c r="BG59" s="1"/>
  <c r="BH59" s="1"/>
  <c r="BF61"/>
  <c r="BE63"/>
  <c r="BG63" s="1"/>
  <c r="BH63" s="1"/>
  <c r="BF65"/>
  <c r="BE67"/>
  <c r="BG67" s="1"/>
  <c r="BH67" s="1"/>
  <c r="BF69"/>
  <c r="BE71"/>
  <c r="BG71" s="1"/>
  <c r="BH71" s="1"/>
  <c r="BF73"/>
  <c r="BE75"/>
  <c r="BG75" s="1"/>
  <c r="BH75" s="1"/>
  <c r="BF77"/>
  <c r="BE79"/>
  <c r="BG79" s="1"/>
  <c r="BH79" s="1"/>
  <c r="BF81"/>
  <c r="BE83"/>
  <c r="BG83" s="1"/>
  <c r="BH83" s="1"/>
  <c r="BF85"/>
  <c r="BE87"/>
  <c r="BG87" s="1"/>
  <c r="BH87" s="1"/>
  <c r="BF89"/>
  <c r="BE91"/>
  <c r="BG91" s="1"/>
  <c r="BH91" s="1"/>
  <c r="BF93"/>
  <c r="BE95"/>
  <c r="BG95" s="1"/>
  <c r="BH95" s="1"/>
  <c r="BF97"/>
  <c r="BE99"/>
  <c r="BG99" s="1"/>
  <c r="BH99" s="1"/>
  <c r="BF101"/>
  <c r="BE103"/>
  <c r="BG103" s="1"/>
  <c r="BH103" s="1"/>
  <c r="BF105"/>
  <c r="BE107"/>
  <c r="BG107" s="1"/>
  <c r="BH107" s="1"/>
  <c r="BF109"/>
  <c r="BE111"/>
  <c r="BG111" s="1"/>
  <c r="BH111" s="1"/>
  <c r="BF113"/>
  <c r="BE115"/>
  <c r="BG115" s="1"/>
  <c r="BH115" s="1"/>
  <c r="BF117"/>
  <c r="BF121"/>
  <c r="BF125"/>
  <c r="BF129"/>
  <c r="BF133"/>
  <c r="BF137"/>
  <c r="BF141"/>
  <c r="BF145"/>
  <c r="BF149"/>
  <c r="BF153"/>
  <c r="BF157"/>
  <c r="BF161"/>
  <c r="BF165"/>
  <c r="BF169"/>
  <c r="BF173"/>
  <c r="BF179"/>
  <c r="BE180"/>
  <c r="BG180" s="1"/>
  <c r="BH180" s="1"/>
  <c r="BF183"/>
  <c r="BE184"/>
  <c r="BF187"/>
  <c r="BE188"/>
  <c r="BG188" s="1"/>
  <c r="BH188" s="1"/>
  <c r="BF191"/>
  <c r="BE192"/>
  <c r="BF195"/>
  <c r="BE196"/>
  <c r="BG196" s="1"/>
  <c r="BH196" s="1"/>
  <c r="BF199"/>
  <c r="BE200"/>
  <c r="BF203"/>
  <c r="BE204"/>
  <c r="BG204" s="1"/>
  <c r="BH204" s="1"/>
  <c r="BF207"/>
  <c r="BE208"/>
  <c r="BF211"/>
  <c r="BE212"/>
  <c r="BG212" s="1"/>
  <c r="BH212" s="1"/>
  <c r="BF215"/>
  <c r="BE216"/>
  <c r="BF219"/>
  <c r="BE220"/>
  <c r="BG220" s="1"/>
  <c r="BH220" s="1"/>
  <c r="BF223"/>
  <c r="BE224"/>
  <c r="BF227"/>
  <c r="BE228"/>
  <c r="BG228" s="1"/>
  <c r="BH228" s="1"/>
  <c r="BF231"/>
  <c r="BE232"/>
  <c r="BF235"/>
  <c r="BE236"/>
  <c r="BG236" s="1"/>
  <c r="BH236" s="1"/>
  <c r="BF239"/>
  <c r="BE240"/>
  <c r="BF243"/>
  <c r="BE244"/>
  <c r="BG244" s="1"/>
  <c r="BH244" s="1"/>
  <c r="BF247"/>
  <c r="BE248"/>
  <c r="BF251"/>
  <c r="BE252"/>
  <c r="BG252" s="1"/>
  <c r="BH252" s="1"/>
  <c r="BF255"/>
  <c r="BE256"/>
  <c r="BF259"/>
  <c r="BE260"/>
  <c r="BG260" s="1"/>
  <c r="BH260" s="1"/>
  <c r="BF263"/>
  <c r="BE264"/>
  <c r="BF267"/>
  <c r="BE268"/>
  <c r="BG268" s="1"/>
  <c r="BH268" s="1"/>
  <c r="BF271"/>
  <c r="BE272"/>
  <c r="BF275"/>
  <c r="BE276"/>
  <c r="BG276" s="1"/>
  <c r="BH276" s="1"/>
  <c r="BF279"/>
  <c r="BE280"/>
  <c r="BF283"/>
  <c r="BE284"/>
  <c r="BG284" s="1"/>
  <c r="BH284" s="1"/>
  <c r="BF287"/>
  <c r="BE288"/>
  <c r="BF291"/>
  <c r="BE292"/>
  <c r="BG292" s="1"/>
  <c r="BH292" s="1"/>
  <c r="BF295"/>
  <c r="BE296"/>
  <c r="BF299"/>
  <c r="BE300"/>
  <c r="BG300" s="1"/>
  <c r="BH300" s="1"/>
  <c r="BF303"/>
  <c r="BE304"/>
  <c r="BF307"/>
  <c r="BE308"/>
  <c r="BG308" s="1"/>
  <c r="BH308" s="1"/>
  <c r="AV100" i="46"/>
  <c r="AE36"/>
  <c r="AE35"/>
  <c r="AE34"/>
  <c r="AE33"/>
  <c r="AE32"/>
  <c r="AE31"/>
  <c r="Q30"/>
  <c r="V29"/>
  <c r="W28"/>
  <c r="Q27"/>
  <c r="Q26"/>
  <c r="Q25"/>
  <c r="Q24"/>
  <c r="V23"/>
  <c r="V22"/>
  <c r="V21"/>
  <c r="V20"/>
  <c r="V19"/>
  <c r="W18"/>
  <c r="AE17"/>
  <c r="Q16"/>
  <c r="V15"/>
  <c r="V14"/>
  <c r="V13"/>
  <c r="V12"/>
  <c r="V11"/>
  <c r="V10"/>
  <c r="V9"/>
  <c r="V8"/>
  <c r="V7"/>
  <c r="V6"/>
  <c r="V5"/>
  <c r="V4"/>
  <c r="V3"/>
  <c r="V2"/>
  <c r="AC1"/>
  <c r="Y1"/>
  <c r="U1"/>
  <c r="AG100"/>
  <c r="AG98"/>
  <c r="AG96"/>
  <c r="BG142"/>
  <c r="BG158"/>
  <c r="BG174"/>
  <c r="BG190"/>
  <c r="AI140"/>
  <c r="AB140" s="1"/>
  <c r="AC140" s="1"/>
  <c r="AD140" s="1"/>
  <c r="AI144"/>
  <c r="AB144" s="1"/>
  <c r="AC144" s="1"/>
  <c r="AD144" s="1"/>
  <c r="AI148"/>
  <c r="AB148" s="1"/>
  <c r="AC148" s="1"/>
  <c r="AD148" s="1"/>
  <c r="AI152"/>
  <c r="AB152" s="1"/>
  <c r="AC152" s="1"/>
  <c r="AD152" s="1"/>
  <c r="AI156"/>
  <c r="AB156" s="1"/>
  <c r="AC156" s="1"/>
  <c r="AD156" s="1"/>
  <c r="AI160"/>
  <c r="AB160" s="1"/>
  <c r="AC160" s="1"/>
  <c r="AD160" s="1"/>
  <c r="AI164"/>
  <c r="AB164" s="1"/>
  <c r="AC164" s="1"/>
  <c r="AD164" s="1"/>
  <c r="AI168"/>
  <c r="AB168" s="1"/>
  <c r="AC168" s="1"/>
  <c r="AD168" s="1"/>
  <c r="AI172"/>
  <c r="AB172" s="1"/>
  <c r="AC172" s="1"/>
  <c r="AD172" s="1"/>
  <c r="AI176"/>
  <c r="AB176" s="1"/>
  <c r="AC176" s="1"/>
  <c r="AD176" s="1"/>
  <c r="AI180"/>
  <c r="AB180" s="1"/>
  <c r="AC180" s="1"/>
  <c r="AD180" s="1"/>
  <c r="AI184"/>
  <c r="AB184" s="1"/>
  <c r="AC184" s="1"/>
  <c r="AD184" s="1"/>
  <c r="AI188"/>
  <c r="AB188" s="1"/>
  <c r="AC188" s="1"/>
  <c r="AD188" s="1"/>
  <c r="AI192"/>
  <c r="AB192" s="1"/>
  <c r="AC192" s="1"/>
  <c r="AD192" s="1"/>
  <c r="AI196"/>
  <c r="AB196" s="1"/>
  <c r="AC196" s="1"/>
  <c r="AD196" s="1"/>
  <c r="AI200"/>
  <c r="AB200" s="1"/>
  <c r="AC200" s="1"/>
  <c r="AD200" s="1"/>
  <c r="AI204"/>
  <c r="AB204" s="1"/>
  <c r="AC204" s="1"/>
  <c r="AD204" s="1"/>
  <c r="AI208"/>
  <c r="AB208" s="1"/>
  <c r="AC208" s="1"/>
  <c r="AD208" s="1"/>
  <c r="AI212"/>
  <c r="AB212" s="1"/>
  <c r="AC212" s="1"/>
  <c r="AD212" s="1"/>
  <c r="AI216"/>
  <c r="AB216" s="1"/>
  <c r="AC216" s="1"/>
  <c r="AD216" s="1"/>
  <c r="AI220"/>
  <c r="AB220" s="1"/>
  <c r="AC220" s="1"/>
  <c r="AD220" s="1"/>
  <c r="AI224"/>
  <c r="AB224" s="1"/>
  <c r="AC224" s="1"/>
  <c r="AD224" s="1"/>
  <c r="AI228"/>
  <c r="AB228" s="1"/>
  <c r="AC228" s="1"/>
  <c r="AD228" s="1"/>
  <c r="AI232"/>
  <c r="AB232" s="1"/>
  <c r="AC232" s="1"/>
  <c r="AD232" s="1"/>
  <c r="AI236"/>
  <c r="AB236" s="1"/>
  <c r="AC236" s="1"/>
  <c r="AD236" s="1"/>
  <c r="AI240"/>
  <c r="AB240" s="1"/>
  <c r="AC240" s="1"/>
  <c r="AD240" s="1"/>
  <c r="AI244"/>
  <c r="AB244" s="1"/>
  <c r="AC244" s="1"/>
  <c r="AD244" s="1"/>
  <c r="AI248"/>
  <c r="AB248" s="1"/>
  <c r="AC248" s="1"/>
  <c r="AD248" s="1"/>
  <c r="AI252"/>
  <c r="AB252" s="1"/>
  <c r="AC252" s="1"/>
  <c r="AD252" s="1"/>
  <c r="AI256"/>
  <c r="AB256" s="1"/>
  <c r="AC256" s="1"/>
  <c r="AD256" s="1"/>
  <c r="AI260"/>
  <c r="AB260" s="1"/>
  <c r="AC260" s="1"/>
  <c r="AD260" s="1"/>
  <c r="AI264"/>
  <c r="AB264" s="1"/>
  <c r="AC264" s="1"/>
  <c r="AD264" s="1"/>
  <c r="AI268"/>
  <c r="AB268" s="1"/>
  <c r="AC268" s="1"/>
  <c r="AD268" s="1"/>
  <c r="AI272"/>
  <c r="AB272" s="1"/>
  <c r="AC272" s="1"/>
  <c r="AD272" s="1"/>
  <c r="AI276"/>
  <c r="AB276" s="1"/>
  <c r="AC276" s="1"/>
  <c r="AD276" s="1"/>
  <c r="AI280"/>
  <c r="AB280" s="1"/>
  <c r="AC280" s="1"/>
  <c r="AD280" s="1"/>
  <c r="AI284"/>
  <c r="AB284" s="1"/>
  <c r="AC284" s="1"/>
  <c r="AD284" s="1"/>
  <c r="AI288"/>
  <c r="AB288" s="1"/>
  <c r="AC288" s="1"/>
  <c r="AD288" s="1"/>
  <c r="M16"/>
  <c r="BA143"/>
  <c r="BA138"/>
  <c r="BA135"/>
  <c r="BA130"/>
  <c r="BA127"/>
  <c r="BA122"/>
  <c r="BA119"/>
  <c r="BA114"/>
  <c r="BA111"/>
  <c r="BA106"/>
  <c r="BA103"/>
  <c r="BA98"/>
  <c r="BA95"/>
  <c r="BG301" i="47"/>
  <c r="BH301" s="1"/>
  <c r="BG285"/>
  <c r="BH285" s="1"/>
  <c r="BG277"/>
  <c r="BH277" s="1"/>
  <c r="BG269"/>
  <c r="BH269" s="1"/>
  <c r="BG253"/>
  <c r="BH253" s="1"/>
  <c r="BG245"/>
  <c r="BH245" s="1"/>
  <c r="BG237"/>
  <c r="BH237" s="1"/>
  <c r="BG221"/>
  <c r="BH221" s="1"/>
  <c r="BG213"/>
  <c r="BH213" s="1"/>
  <c r="BG205"/>
  <c r="BH205" s="1"/>
  <c r="BG189"/>
  <c r="BH189" s="1"/>
  <c r="BG181"/>
  <c r="BH181" s="1"/>
  <c r="BG114"/>
  <c r="BH114" s="1"/>
  <c r="BG82"/>
  <c r="BH82" s="1"/>
  <c r="BG66"/>
  <c r="BH66" s="1"/>
  <c r="BG50"/>
  <c r="BH50" s="1"/>
  <c r="J104" i="40"/>
  <c r="CY50" i="43"/>
  <c r="H17" s="1"/>
  <c r="DG5"/>
  <c r="CY51"/>
  <c r="H18" s="1"/>
  <c r="BH293" i="46"/>
  <c r="BI293" s="1"/>
  <c r="L283" s="1"/>
  <c r="BF293"/>
  <c r="M283" s="1"/>
  <c r="BH289"/>
  <c r="BI289" s="1"/>
  <c r="L279" s="1"/>
  <c r="BF289"/>
  <c r="M279" s="1"/>
  <c r="BH285"/>
  <c r="BI285" s="1"/>
  <c r="L275" s="1"/>
  <c r="BF285"/>
  <c r="M275" s="1"/>
  <c r="BH281"/>
  <c r="BI281" s="1"/>
  <c r="L271" s="1"/>
  <c r="BF281"/>
  <c r="M271" s="1"/>
  <c r="BH277"/>
  <c r="BI277" s="1"/>
  <c r="L267" s="1"/>
  <c r="BF277"/>
  <c r="M267" s="1"/>
  <c r="BH273"/>
  <c r="BI273" s="1"/>
  <c r="L263" s="1"/>
  <c r="BF273"/>
  <c r="M263" s="1"/>
  <c r="BH269"/>
  <c r="BI269" s="1"/>
  <c r="L259" s="1"/>
  <c r="BF269"/>
  <c r="M259" s="1"/>
  <c r="BH265"/>
  <c r="BI265" s="1"/>
  <c r="L255" s="1"/>
  <c r="BF265"/>
  <c r="M255" s="1"/>
  <c r="BH261"/>
  <c r="BI261" s="1"/>
  <c r="L251" s="1"/>
  <c r="BF261"/>
  <c r="M251" s="1"/>
  <c r="BH257"/>
  <c r="BI257" s="1"/>
  <c r="L247" s="1"/>
  <c r="BF257"/>
  <c r="M247" s="1"/>
  <c r="BH253"/>
  <c r="BI253" s="1"/>
  <c r="L243" s="1"/>
  <c r="BF253"/>
  <c r="M243" s="1"/>
  <c r="BH249"/>
  <c r="BI249" s="1"/>
  <c r="L239" s="1"/>
  <c r="BF249"/>
  <c r="M239" s="1"/>
  <c r="BH245"/>
  <c r="BI245" s="1"/>
  <c r="L235" s="1"/>
  <c r="BF245"/>
  <c r="M235" s="1"/>
  <c r="BH241"/>
  <c r="BI241" s="1"/>
  <c r="L231" s="1"/>
  <c r="BF241"/>
  <c r="M231" s="1"/>
  <c r="BH237"/>
  <c r="BI237" s="1"/>
  <c r="L227" s="1"/>
  <c r="BF237"/>
  <c r="M227" s="1"/>
  <c r="BH233"/>
  <c r="BI233" s="1"/>
  <c r="L223" s="1"/>
  <c r="BF233"/>
  <c r="M223" s="1"/>
  <c r="BH229"/>
  <c r="BI229" s="1"/>
  <c r="L219" s="1"/>
  <c r="BF229"/>
  <c r="M219" s="1"/>
  <c r="BH225"/>
  <c r="BI225" s="1"/>
  <c r="L215" s="1"/>
  <c r="BF225"/>
  <c r="M215" s="1"/>
  <c r="BH221"/>
  <c r="BI221" s="1"/>
  <c r="L211" s="1"/>
  <c r="BF221"/>
  <c r="M211" s="1"/>
  <c r="BH217"/>
  <c r="BI217" s="1"/>
  <c r="L207" s="1"/>
  <c r="BF217"/>
  <c r="M207" s="1"/>
  <c r="BH213"/>
  <c r="BI213" s="1"/>
  <c r="L203" s="1"/>
  <c r="BF213"/>
  <c r="M203" s="1"/>
  <c r="BH209"/>
  <c r="BI209" s="1"/>
  <c r="L199" s="1"/>
  <c r="BF209"/>
  <c r="M199" s="1"/>
  <c r="BH205"/>
  <c r="BI205" s="1"/>
  <c r="L195" s="1"/>
  <c r="BF205"/>
  <c r="M195" s="1"/>
  <c r="BH201"/>
  <c r="BI201" s="1"/>
  <c r="L191" s="1"/>
  <c r="BF201"/>
  <c r="M191" s="1"/>
  <c r="BH197"/>
  <c r="BI197" s="1"/>
  <c r="L187" s="1"/>
  <c r="BF197"/>
  <c r="M187" s="1"/>
  <c r="BD192"/>
  <c r="BG192"/>
  <c r="BD184"/>
  <c r="BG184"/>
  <c r="BD176"/>
  <c r="BG176"/>
  <c r="BD168"/>
  <c r="BG168"/>
  <c r="BD160"/>
  <c r="BG160"/>
  <c r="BD152"/>
  <c r="BG152"/>
  <c r="BD144"/>
  <c r="BG144"/>
  <c r="BD136"/>
  <c r="BG136"/>
  <c r="BD128"/>
  <c r="BG128"/>
  <c r="BD120"/>
  <c r="BG120"/>
  <c r="BH118" s="1"/>
  <c r="BI118" s="1"/>
  <c r="L108" s="1"/>
  <c r="BD112"/>
  <c r="BG112"/>
  <c r="BD104"/>
  <c r="BG104"/>
  <c r="BD96"/>
  <c r="AI104" s="1"/>
  <c r="BG96"/>
  <c r="AI293"/>
  <c r="AB293" s="1"/>
  <c r="AC293" s="1"/>
  <c r="AD293" s="1"/>
  <c r="AI291"/>
  <c r="AB291" s="1"/>
  <c r="AC291" s="1"/>
  <c r="AD291" s="1"/>
  <c r="AI289"/>
  <c r="AB289" s="1"/>
  <c r="AC289" s="1"/>
  <c r="AD289" s="1"/>
  <c r="AI287"/>
  <c r="AB287" s="1"/>
  <c r="AC287" s="1"/>
  <c r="AD287" s="1"/>
  <c r="AI285"/>
  <c r="AB285" s="1"/>
  <c r="AC285" s="1"/>
  <c r="AD285" s="1"/>
  <c r="AI283"/>
  <c r="AB283" s="1"/>
  <c r="AC283" s="1"/>
  <c r="AD283" s="1"/>
  <c r="AI281"/>
  <c r="AB281" s="1"/>
  <c r="AC281" s="1"/>
  <c r="AD281" s="1"/>
  <c r="AI279"/>
  <c r="AB279" s="1"/>
  <c r="AC279" s="1"/>
  <c r="AD279" s="1"/>
  <c r="AI277"/>
  <c r="AB277" s="1"/>
  <c r="AC277" s="1"/>
  <c r="AD277" s="1"/>
  <c r="AI275"/>
  <c r="AB275" s="1"/>
  <c r="AC275" s="1"/>
  <c r="AD275" s="1"/>
  <c r="AI273"/>
  <c r="AB273" s="1"/>
  <c r="AC273" s="1"/>
  <c r="AD273" s="1"/>
  <c r="AI271"/>
  <c r="AB271" s="1"/>
  <c r="AC271" s="1"/>
  <c r="AD271" s="1"/>
  <c r="AI269"/>
  <c r="AB269" s="1"/>
  <c r="AC269" s="1"/>
  <c r="AD269" s="1"/>
  <c r="AI267"/>
  <c r="AB267" s="1"/>
  <c r="AC267" s="1"/>
  <c r="AD267" s="1"/>
  <c r="AI265"/>
  <c r="AB265" s="1"/>
  <c r="AC265" s="1"/>
  <c r="AD265" s="1"/>
  <c r="AI263"/>
  <c r="AB263" s="1"/>
  <c r="AC263" s="1"/>
  <c r="AD263" s="1"/>
  <c r="AI261"/>
  <c r="AB261" s="1"/>
  <c r="AC261" s="1"/>
  <c r="AD261" s="1"/>
  <c r="AI259"/>
  <c r="AB259" s="1"/>
  <c r="AC259" s="1"/>
  <c r="AD259" s="1"/>
  <c r="AI257"/>
  <c r="AB257" s="1"/>
  <c r="AC257" s="1"/>
  <c r="AD257" s="1"/>
  <c r="AI255"/>
  <c r="AB255" s="1"/>
  <c r="AC255" s="1"/>
  <c r="AD255" s="1"/>
  <c r="AI253"/>
  <c r="AB253" s="1"/>
  <c r="AC253" s="1"/>
  <c r="AD253" s="1"/>
  <c r="AI251"/>
  <c r="AB251" s="1"/>
  <c r="AC251" s="1"/>
  <c r="AD251" s="1"/>
  <c r="AI249"/>
  <c r="AB249" s="1"/>
  <c r="AC249" s="1"/>
  <c r="AD249" s="1"/>
  <c r="AI247"/>
  <c r="AB247" s="1"/>
  <c r="AC247" s="1"/>
  <c r="AD247" s="1"/>
  <c r="AI245"/>
  <c r="AB245" s="1"/>
  <c r="AC245" s="1"/>
  <c r="AD245" s="1"/>
  <c r="AI243"/>
  <c r="AB243" s="1"/>
  <c r="AC243" s="1"/>
  <c r="AD243" s="1"/>
  <c r="AI241"/>
  <c r="AB241" s="1"/>
  <c r="AC241" s="1"/>
  <c r="AD241" s="1"/>
  <c r="AI239"/>
  <c r="AB239" s="1"/>
  <c r="AC239" s="1"/>
  <c r="AD239" s="1"/>
  <c r="AI237"/>
  <c r="AB237" s="1"/>
  <c r="AC237" s="1"/>
  <c r="AD237" s="1"/>
  <c r="AI235"/>
  <c r="AB235" s="1"/>
  <c r="AC235" s="1"/>
  <c r="AD235" s="1"/>
  <c r="AI233"/>
  <c r="AB233" s="1"/>
  <c r="AC233" s="1"/>
  <c r="AD233" s="1"/>
  <c r="AI231"/>
  <c r="AB231" s="1"/>
  <c r="AC231" s="1"/>
  <c r="AD231" s="1"/>
  <c r="AI229"/>
  <c r="AB229" s="1"/>
  <c r="AC229" s="1"/>
  <c r="AD229" s="1"/>
  <c r="AI227"/>
  <c r="AB227" s="1"/>
  <c r="AC227" s="1"/>
  <c r="AD227" s="1"/>
  <c r="AI225"/>
  <c r="AB225" s="1"/>
  <c r="AC225" s="1"/>
  <c r="AD225" s="1"/>
  <c r="AI223"/>
  <c r="AB223" s="1"/>
  <c r="AC223" s="1"/>
  <c r="AD223" s="1"/>
  <c r="AI221"/>
  <c r="AB221" s="1"/>
  <c r="AC221" s="1"/>
  <c r="AD221" s="1"/>
  <c r="AI219"/>
  <c r="AB219" s="1"/>
  <c r="AC219" s="1"/>
  <c r="AD219" s="1"/>
  <c r="AI217"/>
  <c r="AB217" s="1"/>
  <c r="AC217" s="1"/>
  <c r="AD217" s="1"/>
  <c r="AI215"/>
  <c r="AB215" s="1"/>
  <c r="AC215" s="1"/>
  <c r="AD215" s="1"/>
  <c r="AI213"/>
  <c r="AB213" s="1"/>
  <c r="AC213" s="1"/>
  <c r="AD213" s="1"/>
  <c r="AI211"/>
  <c r="AB211" s="1"/>
  <c r="AC211" s="1"/>
  <c r="AD211" s="1"/>
  <c r="AI209"/>
  <c r="AB209" s="1"/>
  <c r="AC209" s="1"/>
  <c r="AD209" s="1"/>
  <c r="AI207"/>
  <c r="AB207" s="1"/>
  <c r="AC207" s="1"/>
  <c r="AD207" s="1"/>
  <c r="AI205"/>
  <c r="AB205" s="1"/>
  <c r="AC205" s="1"/>
  <c r="AD205" s="1"/>
  <c r="AI203"/>
  <c r="AB203" s="1"/>
  <c r="AC203" s="1"/>
  <c r="AD203" s="1"/>
  <c r="AI201"/>
  <c r="AB201" s="1"/>
  <c r="AC201" s="1"/>
  <c r="AD201" s="1"/>
  <c r="AI199"/>
  <c r="AB199" s="1"/>
  <c r="AC199" s="1"/>
  <c r="AD199" s="1"/>
  <c r="AI197"/>
  <c r="AB197" s="1"/>
  <c r="AC197" s="1"/>
  <c r="AD197" s="1"/>
  <c r="AI195"/>
  <c r="AB195" s="1"/>
  <c r="AC195" s="1"/>
  <c r="AD195" s="1"/>
  <c r="AI193"/>
  <c r="AB193" s="1"/>
  <c r="AC193" s="1"/>
  <c r="AD193" s="1"/>
  <c r="AI191"/>
  <c r="AB191" s="1"/>
  <c r="AC191" s="1"/>
  <c r="AD191" s="1"/>
  <c r="AI189"/>
  <c r="AB189" s="1"/>
  <c r="AC189" s="1"/>
  <c r="AD189" s="1"/>
  <c r="AI187"/>
  <c r="AB187" s="1"/>
  <c r="AC187" s="1"/>
  <c r="AD187" s="1"/>
  <c r="AI185"/>
  <c r="AB185" s="1"/>
  <c r="AC185" s="1"/>
  <c r="AD185" s="1"/>
  <c r="AI183"/>
  <c r="AB183" s="1"/>
  <c r="AC183" s="1"/>
  <c r="AD183" s="1"/>
  <c r="AI181"/>
  <c r="AB181" s="1"/>
  <c r="AC181" s="1"/>
  <c r="AD181" s="1"/>
  <c r="AI179"/>
  <c r="AB179" s="1"/>
  <c r="AC179" s="1"/>
  <c r="AD179" s="1"/>
  <c r="AI177"/>
  <c r="AB177" s="1"/>
  <c r="AC177" s="1"/>
  <c r="AD177" s="1"/>
  <c r="AI175"/>
  <c r="AB175" s="1"/>
  <c r="AC175" s="1"/>
  <c r="AD175" s="1"/>
  <c r="AI173"/>
  <c r="AB173" s="1"/>
  <c r="AC173" s="1"/>
  <c r="AD173" s="1"/>
  <c r="AI171"/>
  <c r="AB171" s="1"/>
  <c r="AC171" s="1"/>
  <c r="AD171" s="1"/>
  <c r="AI169"/>
  <c r="AB169" s="1"/>
  <c r="AC169" s="1"/>
  <c r="AD169" s="1"/>
  <c r="AI167"/>
  <c r="AB167" s="1"/>
  <c r="AC167" s="1"/>
  <c r="AD167" s="1"/>
  <c r="AI165"/>
  <c r="AB165" s="1"/>
  <c r="AC165" s="1"/>
  <c r="AD165" s="1"/>
  <c r="AI163"/>
  <c r="AB163" s="1"/>
  <c r="AC163" s="1"/>
  <c r="AD163" s="1"/>
  <c r="AI161"/>
  <c r="AB161" s="1"/>
  <c r="AC161" s="1"/>
  <c r="AD161" s="1"/>
  <c r="AI159"/>
  <c r="AB159" s="1"/>
  <c r="AC159" s="1"/>
  <c r="AD159" s="1"/>
  <c r="AI157"/>
  <c r="AB157" s="1"/>
  <c r="AC157" s="1"/>
  <c r="AD157" s="1"/>
  <c r="AI155"/>
  <c r="AB155" s="1"/>
  <c r="AC155" s="1"/>
  <c r="AD155" s="1"/>
  <c r="AI153"/>
  <c r="AB153" s="1"/>
  <c r="AC153" s="1"/>
  <c r="AD153" s="1"/>
  <c r="AI151"/>
  <c r="AB151" s="1"/>
  <c r="AC151" s="1"/>
  <c r="AD151" s="1"/>
  <c r="AI149"/>
  <c r="AB149" s="1"/>
  <c r="AC149" s="1"/>
  <c r="AD149" s="1"/>
  <c r="AI147"/>
  <c r="AB147" s="1"/>
  <c r="AC147" s="1"/>
  <c r="AD147" s="1"/>
  <c r="AI145"/>
  <c r="AB145" s="1"/>
  <c r="AC145" s="1"/>
  <c r="AD145" s="1"/>
  <c r="AI143"/>
  <c r="AB143" s="1"/>
  <c r="AC143" s="1"/>
  <c r="AD143" s="1"/>
  <c r="AI141"/>
  <c r="AB141" s="1"/>
  <c r="AC141" s="1"/>
  <c r="AD141" s="1"/>
  <c r="AI139"/>
  <c r="AB139" s="1"/>
  <c r="AC139" s="1"/>
  <c r="AD139" s="1"/>
  <c r="AZ293"/>
  <c r="K283" s="1"/>
  <c r="BB293"/>
  <c r="BC293" s="1"/>
  <c r="J283" s="1"/>
  <c r="BA288"/>
  <c r="AX288"/>
  <c r="AZ285"/>
  <c r="K275" s="1"/>
  <c r="BB285"/>
  <c r="BC285" s="1"/>
  <c r="J275" s="1"/>
  <c r="BA280"/>
  <c r="AX280"/>
  <c r="AZ277"/>
  <c r="K267" s="1"/>
  <c r="BB277"/>
  <c r="BC277" s="1"/>
  <c r="J267" s="1"/>
  <c r="BA272"/>
  <c r="AX272"/>
  <c r="AZ269"/>
  <c r="K259" s="1"/>
  <c r="BB269"/>
  <c r="BC269" s="1"/>
  <c r="J259" s="1"/>
  <c r="BA264"/>
  <c r="AX264"/>
  <c r="AZ261"/>
  <c r="K251" s="1"/>
  <c r="BB261"/>
  <c r="BC261" s="1"/>
  <c r="J251" s="1"/>
  <c r="BA256"/>
  <c r="AX256"/>
  <c r="AZ253"/>
  <c r="K243" s="1"/>
  <c r="BB253"/>
  <c r="BC253" s="1"/>
  <c r="J243" s="1"/>
  <c r="BA248"/>
  <c r="AX248"/>
  <c r="AZ245"/>
  <c r="K235" s="1"/>
  <c r="BB245"/>
  <c r="BC245" s="1"/>
  <c r="J235" s="1"/>
  <c r="BA240"/>
  <c r="AX240"/>
  <c r="AZ237"/>
  <c r="K227" s="1"/>
  <c r="BB237"/>
  <c r="BC237" s="1"/>
  <c r="J227" s="1"/>
  <c r="BA232"/>
  <c r="AX232"/>
  <c r="AZ229"/>
  <c r="K219" s="1"/>
  <c r="BB229"/>
  <c r="BC229" s="1"/>
  <c r="J219" s="1"/>
  <c r="BA224"/>
  <c r="AX224"/>
  <c r="AZ221"/>
  <c r="K211" s="1"/>
  <c r="BB221"/>
  <c r="BC221" s="1"/>
  <c r="J211" s="1"/>
  <c r="BA216"/>
  <c r="AX216"/>
  <c r="AZ213"/>
  <c r="K203" s="1"/>
  <c r="BB213"/>
  <c r="BC213" s="1"/>
  <c r="J203" s="1"/>
  <c r="BA208"/>
  <c r="AX208"/>
  <c r="AZ205"/>
  <c r="K195" s="1"/>
  <c r="BB205"/>
  <c r="BC205" s="1"/>
  <c r="J195" s="1"/>
  <c r="BA200"/>
  <c r="AX200"/>
  <c r="AZ197"/>
  <c r="K187" s="1"/>
  <c r="BB197"/>
  <c r="BC197" s="1"/>
  <c r="J187" s="1"/>
  <c r="BA192"/>
  <c r="AX192"/>
  <c r="AZ189"/>
  <c r="K179" s="1"/>
  <c r="BB189"/>
  <c r="BC189" s="1"/>
  <c r="J179" s="1"/>
  <c r="BA184"/>
  <c r="AX184"/>
  <c r="AZ181"/>
  <c r="K171" s="1"/>
  <c r="BB181"/>
  <c r="BC181" s="1"/>
  <c r="J171" s="1"/>
  <c r="BA176"/>
  <c r="AX176"/>
  <c r="AZ173"/>
  <c r="K163" s="1"/>
  <c r="BB173"/>
  <c r="BC173" s="1"/>
  <c r="J163" s="1"/>
  <c r="BA168"/>
  <c r="AX168"/>
  <c r="AZ165"/>
  <c r="K155" s="1"/>
  <c r="BB165"/>
  <c r="BC165" s="1"/>
  <c r="J155" s="1"/>
  <c r="BA160"/>
  <c r="AX160"/>
  <c r="AZ157"/>
  <c r="K147" s="1"/>
  <c r="BB157"/>
  <c r="BC157" s="1"/>
  <c r="J147" s="1"/>
  <c r="BA152"/>
  <c r="AX152"/>
  <c r="AZ149"/>
  <c r="K139" s="1"/>
  <c r="BB149"/>
  <c r="BC149" s="1"/>
  <c r="J139" s="1"/>
  <c r="BA144"/>
  <c r="AX144"/>
  <c r="AZ141"/>
  <c r="K131" s="1"/>
  <c r="BA136"/>
  <c r="AX136"/>
  <c r="AZ133"/>
  <c r="K123" s="1"/>
  <c r="BA128"/>
  <c r="AX128"/>
  <c r="AZ125"/>
  <c r="K115" s="1"/>
  <c r="BA120"/>
  <c r="AX120"/>
  <c r="AZ117"/>
  <c r="K107" s="1"/>
  <c r="BA112"/>
  <c r="AX112"/>
  <c r="AZ109"/>
  <c r="K99" s="1"/>
  <c r="BA104"/>
  <c r="AX104"/>
  <c r="AZ101"/>
  <c r="K91" s="1"/>
  <c r="BA96"/>
  <c r="AX96"/>
  <c r="BG137"/>
  <c r="BG133"/>
  <c r="BG129"/>
  <c r="BG125"/>
  <c r="BG121"/>
  <c r="BG117"/>
  <c r="BG113"/>
  <c r="BG109"/>
  <c r="BG105"/>
  <c r="BG101"/>
  <c r="BG97"/>
  <c r="BA94"/>
  <c r="V95"/>
  <c r="V99"/>
  <c r="V103"/>
  <c r="V137"/>
  <c r="V141"/>
  <c r="V136"/>
  <c r="V140"/>
  <c r="V144"/>
  <c r="V138"/>
  <c r="V142"/>
  <c r="DL6" i="45"/>
  <c r="DS1"/>
  <c r="CX35"/>
  <c r="BB9" i="47"/>
  <c r="BA10" s="1"/>
  <c r="BC9"/>
  <c r="BG102"/>
  <c r="BH102" s="1"/>
  <c r="BG70"/>
  <c r="BH70" s="1"/>
  <c r="AB74" i="41"/>
  <c r="AB70"/>
  <c r="AB104"/>
  <c r="AC104" s="1"/>
  <c r="AB333"/>
  <c r="AC333" s="1"/>
  <c r="AD333" s="1"/>
  <c r="AE333" s="1"/>
  <c r="AF333" s="1"/>
  <c r="AG333" s="1"/>
  <c r="AH333" s="1"/>
  <c r="AI333" s="1"/>
  <c r="AJ333" s="1"/>
  <c r="AK333" s="1"/>
  <c r="AL333" s="1"/>
  <c r="AM333" s="1"/>
  <c r="AN333" s="1"/>
  <c r="AO333" s="1"/>
  <c r="AP333" s="1"/>
  <c r="AQ333" s="1"/>
  <c r="AB433"/>
  <c r="AC433" s="1"/>
  <c r="AD433" s="1"/>
  <c r="AE433" s="1"/>
  <c r="AF433" s="1"/>
  <c r="AG433" s="1"/>
  <c r="AH433" s="1"/>
  <c r="AI433" s="1"/>
  <c r="AJ433" s="1"/>
  <c r="AK433" s="1"/>
  <c r="AL433" s="1"/>
  <c r="AM433" s="1"/>
  <c r="AN433" s="1"/>
  <c r="AO433" s="1"/>
  <c r="AP433" s="1"/>
  <c r="AQ433" s="1"/>
  <c r="AB434"/>
  <c r="AC434" s="1"/>
  <c r="AD434" s="1"/>
  <c r="AE434" s="1"/>
  <c r="AF434" s="1"/>
  <c r="AG434" s="1"/>
  <c r="AH434" s="1"/>
  <c r="AI434" s="1"/>
  <c r="AJ434" s="1"/>
  <c r="AK434" s="1"/>
  <c r="AL434" s="1"/>
  <c r="AM434" s="1"/>
  <c r="AN434" s="1"/>
  <c r="AO434" s="1"/>
  <c r="AP434" s="1"/>
  <c r="AQ434" s="1"/>
  <c r="AB435"/>
  <c r="AC435" s="1"/>
  <c r="AD435" s="1"/>
  <c r="AE435" s="1"/>
  <c r="AF435" s="1"/>
  <c r="AG435" s="1"/>
  <c r="AH435" s="1"/>
  <c r="AI435" s="1"/>
  <c r="AJ435" s="1"/>
  <c r="AK435" s="1"/>
  <c r="AL435" s="1"/>
  <c r="AM435" s="1"/>
  <c r="AN435" s="1"/>
  <c r="AO435" s="1"/>
  <c r="AP435" s="1"/>
  <c r="AQ435" s="1"/>
  <c r="AB483"/>
  <c r="AC483" s="1"/>
  <c r="AD483" s="1"/>
  <c r="AE483" s="1"/>
  <c r="AF483" s="1"/>
  <c r="AG483" s="1"/>
  <c r="AH483" s="1"/>
  <c r="AI483" s="1"/>
  <c r="AJ483" s="1"/>
  <c r="AK483" s="1"/>
  <c r="AL483" s="1"/>
  <c r="AM483" s="1"/>
  <c r="AN483" s="1"/>
  <c r="AO483" s="1"/>
  <c r="AP483" s="1"/>
  <c r="AQ483" s="1"/>
  <c r="AB458"/>
  <c r="AC458" s="1"/>
  <c r="AD458" s="1"/>
  <c r="AE458" s="1"/>
  <c r="AF458" s="1"/>
  <c r="AG458" s="1"/>
  <c r="AH458" s="1"/>
  <c r="AI458" s="1"/>
  <c r="AJ458" s="1"/>
  <c r="AK458" s="1"/>
  <c r="AL458" s="1"/>
  <c r="AM458" s="1"/>
  <c r="AN458" s="1"/>
  <c r="AO458" s="1"/>
  <c r="AP458" s="1"/>
  <c r="AQ458" s="1"/>
  <c r="AB445"/>
  <c r="AC445" s="1"/>
  <c r="AD445" s="1"/>
  <c r="AE445" s="1"/>
  <c r="AF445" s="1"/>
  <c r="AG445" s="1"/>
  <c r="AH445" s="1"/>
  <c r="AI445" s="1"/>
  <c r="AJ445" s="1"/>
  <c r="AK445" s="1"/>
  <c r="AL445" s="1"/>
  <c r="AM445" s="1"/>
  <c r="AN445" s="1"/>
  <c r="AO445" s="1"/>
  <c r="AP445" s="1"/>
  <c r="AQ445" s="1"/>
  <c r="AB439"/>
  <c r="AC439" s="1"/>
  <c r="AD439" s="1"/>
  <c r="AE439" s="1"/>
  <c r="AF439" s="1"/>
  <c r="AG439" s="1"/>
  <c r="AH439" s="1"/>
  <c r="AI439" s="1"/>
  <c r="AJ439" s="1"/>
  <c r="AK439" s="1"/>
  <c r="AL439" s="1"/>
  <c r="AM439" s="1"/>
  <c r="AN439" s="1"/>
  <c r="AO439" s="1"/>
  <c r="AP439" s="1"/>
  <c r="AQ439" s="1"/>
  <c r="AB440"/>
  <c r="AC440" s="1"/>
  <c r="AD440" s="1"/>
  <c r="AE440" s="1"/>
  <c r="AF440" s="1"/>
  <c r="AG440" s="1"/>
  <c r="AH440" s="1"/>
  <c r="AI440" s="1"/>
  <c r="AJ440" s="1"/>
  <c r="AK440" s="1"/>
  <c r="AL440" s="1"/>
  <c r="AM440" s="1"/>
  <c r="AN440" s="1"/>
  <c r="AO440" s="1"/>
  <c r="AP440" s="1"/>
  <c r="AQ440" s="1"/>
  <c r="AB441"/>
  <c r="AC441" s="1"/>
  <c r="AD441" s="1"/>
  <c r="AE441" s="1"/>
  <c r="AF441" s="1"/>
  <c r="AG441" s="1"/>
  <c r="AH441" s="1"/>
  <c r="AI441" s="1"/>
  <c r="AJ441" s="1"/>
  <c r="AK441" s="1"/>
  <c r="AL441" s="1"/>
  <c r="AM441" s="1"/>
  <c r="AN441" s="1"/>
  <c r="AO441" s="1"/>
  <c r="AP441" s="1"/>
  <c r="AQ441" s="1"/>
  <c r="AB442"/>
  <c r="AC442" s="1"/>
  <c r="AD442" s="1"/>
  <c r="AE442" s="1"/>
  <c r="AF442" s="1"/>
  <c r="AG442" s="1"/>
  <c r="AH442" s="1"/>
  <c r="AI442" s="1"/>
  <c r="AJ442" s="1"/>
  <c r="AK442" s="1"/>
  <c r="AL442" s="1"/>
  <c r="AM442" s="1"/>
  <c r="AN442" s="1"/>
  <c r="AO442" s="1"/>
  <c r="AP442" s="1"/>
  <c r="AQ442" s="1"/>
  <c r="AB443"/>
  <c r="AC443" s="1"/>
  <c r="AD443" s="1"/>
  <c r="AE443" s="1"/>
  <c r="AF443" s="1"/>
  <c r="AG443" s="1"/>
  <c r="AH443" s="1"/>
  <c r="AI443" s="1"/>
  <c r="AJ443" s="1"/>
  <c r="AK443" s="1"/>
  <c r="AL443" s="1"/>
  <c r="AM443" s="1"/>
  <c r="AN443" s="1"/>
  <c r="AO443" s="1"/>
  <c r="AP443" s="1"/>
  <c r="AQ443" s="1"/>
  <c r="AB446"/>
  <c r="AC446" s="1"/>
  <c r="AD446" s="1"/>
  <c r="AE446" s="1"/>
  <c r="AF446" s="1"/>
  <c r="AG446" s="1"/>
  <c r="AH446" s="1"/>
  <c r="AI446" s="1"/>
  <c r="AJ446" s="1"/>
  <c r="AK446" s="1"/>
  <c r="AL446" s="1"/>
  <c r="AM446" s="1"/>
  <c r="AN446" s="1"/>
  <c r="AO446" s="1"/>
  <c r="AP446" s="1"/>
  <c r="AQ446" s="1"/>
  <c r="AB447"/>
  <c r="AC447" s="1"/>
  <c r="AD447" s="1"/>
  <c r="AE447" s="1"/>
  <c r="AF447" s="1"/>
  <c r="AG447" s="1"/>
  <c r="AH447" s="1"/>
  <c r="AI447" s="1"/>
  <c r="AJ447" s="1"/>
  <c r="AK447" s="1"/>
  <c r="AL447" s="1"/>
  <c r="AM447" s="1"/>
  <c r="AN447" s="1"/>
  <c r="AO447" s="1"/>
  <c r="AP447" s="1"/>
  <c r="AQ447" s="1"/>
  <c r="AB448"/>
  <c r="AC448" s="1"/>
  <c r="AD448" s="1"/>
  <c r="AE448" s="1"/>
  <c r="AF448" s="1"/>
  <c r="AG448" s="1"/>
  <c r="AH448" s="1"/>
  <c r="AI448" s="1"/>
  <c r="AJ448" s="1"/>
  <c r="AK448" s="1"/>
  <c r="AL448" s="1"/>
  <c r="AM448" s="1"/>
  <c r="AN448" s="1"/>
  <c r="AO448" s="1"/>
  <c r="AP448" s="1"/>
  <c r="AQ448" s="1"/>
  <c r="AB459"/>
  <c r="AC459" s="1"/>
  <c r="AD459" s="1"/>
  <c r="AE459" s="1"/>
  <c r="AF459" s="1"/>
  <c r="AG459" s="1"/>
  <c r="AH459" s="1"/>
  <c r="AI459" s="1"/>
  <c r="AJ459" s="1"/>
  <c r="AK459" s="1"/>
  <c r="AL459" s="1"/>
  <c r="AM459" s="1"/>
  <c r="AN459" s="1"/>
  <c r="AO459" s="1"/>
  <c r="AP459" s="1"/>
  <c r="AQ459" s="1"/>
  <c r="AB460"/>
  <c r="AC460" s="1"/>
  <c r="AD460" s="1"/>
  <c r="AE460" s="1"/>
  <c r="AF460" s="1"/>
  <c r="AG460" s="1"/>
  <c r="AH460" s="1"/>
  <c r="AI460" s="1"/>
  <c r="AJ460" s="1"/>
  <c r="AK460" s="1"/>
  <c r="AL460" s="1"/>
  <c r="AM460" s="1"/>
  <c r="AN460" s="1"/>
  <c r="AO460" s="1"/>
  <c r="AP460" s="1"/>
  <c r="AQ460" s="1"/>
  <c r="AB484"/>
  <c r="AC484" s="1"/>
  <c r="AD484" s="1"/>
  <c r="AE484" s="1"/>
  <c r="AF484" s="1"/>
  <c r="AG484" s="1"/>
  <c r="AH484" s="1"/>
  <c r="AI484" s="1"/>
  <c r="AJ484" s="1"/>
  <c r="AK484" s="1"/>
  <c r="AL484" s="1"/>
  <c r="AM484" s="1"/>
  <c r="AN484" s="1"/>
  <c r="AO484" s="1"/>
  <c r="AP484" s="1"/>
  <c r="AQ484" s="1"/>
  <c r="AB485"/>
  <c r="AC485" s="1"/>
  <c r="AD485" s="1"/>
  <c r="AE485" s="1"/>
  <c r="AF485" s="1"/>
  <c r="AG485" s="1"/>
  <c r="AH485" s="1"/>
  <c r="AI485" s="1"/>
  <c r="AJ485" s="1"/>
  <c r="AK485" s="1"/>
  <c r="AL485" s="1"/>
  <c r="AM485" s="1"/>
  <c r="AN485" s="1"/>
  <c r="AO485" s="1"/>
  <c r="AP485" s="1"/>
  <c r="AQ485" s="1"/>
  <c r="AB486"/>
  <c r="AC486" s="1"/>
  <c r="AD486" s="1"/>
  <c r="AE486" s="1"/>
  <c r="AF486" s="1"/>
  <c r="AG486" s="1"/>
  <c r="AH486" s="1"/>
  <c r="AI486" s="1"/>
  <c r="AJ486" s="1"/>
  <c r="AK486" s="1"/>
  <c r="AL486" s="1"/>
  <c r="AM486" s="1"/>
  <c r="AN486" s="1"/>
  <c r="AO486" s="1"/>
  <c r="AP486" s="1"/>
  <c r="AQ486" s="1"/>
  <c r="AB487"/>
  <c r="AC487" s="1"/>
  <c r="AD487" s="1"/>
  <c r="AE487" s="1"/>
  <c r="AF487" s="1"/>
  <c r="AG487" s="1"/>
  <c r="AH487" s="1"/>
  <c r="AI487" s="1"/>
  <c r="AJ487" s="1"/>
  <c r="AK487" s="1"/>
  <c r="AL487" s="1"/>
  <c r="AM487" s="1"/>
  <c r="AN487" s="1"/>
  <c r="AO487" s="1"/>
  <c r="AP487" s="1"/>
  <c r="AQ487" s="1"/>
  <c r="AB488"/>
  <c r="AC488" s="1"/>
  <c r="AD488" s="1"/>
  <c r="AE488" s="1"/>
  <c r="AF488" s="1"/>
  <c r="AG488" s="1"/>
  <c r="AH488" s="1"/>
  <c r="AI488" s="1"/>
  <c r="AJ488" s="1"/>
  <c r="AK488" s="1"/>
  <c r="AL488" s="1"/>
  <c r="AM488" s="1"/>
  <c r="AN488" s="1"/>
  <c r="AO488" s="1"/>
  <c r="AP488" s="1"/>
  <c r="AQ488" s="1"/>
  <c r="AB489"/>
  <c r="AC489" s="1"/>
  <c r="AD489" s="1"/>
  <c r="AE489" s="1"/>
  <c r="AF489" s="1"/>
  <c r="AG489" s="1"/>
  <c r="AH489" s="1"/>
  <c r="AI489" s="1"/>
  <c r="AJ489" s="1"/>
  <c r="AK489" s="1"/>
  <c r="AL489" s="1"/>
  <c r="AM489" s="1"/>
  <c r="AN489" s="1"/>
  <c r="AO489" s="1"/>
  <c r="AP489" s="1"/>
  <c r="AQ489" s="1"/>
  <c r="AB490"/>
  <c r="AC490" s="1"/>
  <c r="AD490" s="1"/>
  <c r="AE490" s="1"/>
  <c r="AF490" s="1"/>
  <c r="AG490" s="1"/>
  <c r="AH490" s="1"/>
  <c r="AI490" s="1"/>
  <c r="AJ490" s="1"/>
  <c r="AK490" s="1"/>
  <c r="AL490" s="1"/>
  <c r="AM490" s="1"/>
  <c r="AN490" s="1"/>
  <c r="AO490" s="1"/>
  <c r="AP490" s="1"/>
  <c r="AQ490" s="1"/>
  <c r="AB491"/>
  <c r="AC491" s="1"/>
  <c r="AD491" s="1"/>
  <c r="AE491" s="1"/>
  <c r="AF491" s="1"/>
  <c r="AG491" s="1"/>
  <c r="AH491" s="1"/>
  <c r="AI491" s="1"/>
  <c r="AJ491" s="1"/>
  <c r="AK491" s="1"/>
  <c r="AL491" s="1"/>
  <c r="AM491" s="1"/>
  <c r="AN491" s="1"/>
  <c r="AO491" s="1"/>
  <c r="AP491" s="1"/>
  <c r="AQ491" s="1"/>
  <c r="AB492"/>
  <c r="AC492" s="1"/>
  <c r="AD492" s="1"/>
  <c r="AE492" s="1"/>
  <c r="AF492" s="1"/>
  <c r="AG492" s="1"/>
  <c r="AH492" s="1"/>
  <c r="AI492" s="1"/>
  <c r="AJ492" s="1"/>
  <c r="AK492" s="1"/>
  <c r="AL492" s="1"/>
  <c r="AM492" s="1"/>
  <c r="AN492" s="1"/>
  <c r="AO492" s="1"/>
  <c r="AP492" s="1"/>
  <c r="AQ492" s="1"/>
  <c r="AB493"/>
  <c r="AC493" s="1"/>
  <c r="AD493" s="1"/>
  <c r="AE493" s="1"/>
  <c r="AF493" s="1"/>
  <c r="AG493" s="1"/>
  <c r="AH493" s="1"/>
  <c r="AI493" s="1"/>
  <c r="AJ493" s="1"/>
  <c r="AK493" s="1"/>
  <c r="AL493" s="1"/>
  <c r="AM493" s="1"/>
  <c r="AN493" s="1"/>
  <c r="AO493" s="1"/>
  <c r="AP493" s="1"/>
  <c r="AQ493" s="1"/>
  <c r="AB494"/>
  <c r="AC494" s="1"/>
  <c r="AD494" s="1"/>
  <c r="AE494" s="1"/>
  <c r="AF494" s="1"/>
  <c r="AG494" s="1"/>
  <c r="AH494" s="1"/>
  <c r="AI494" s="1"/>
  <c r="AJ494" s="1"/>
  <c r="AK494" s="1"/>
  <c r="AL494" s="1"/>
  <c r="AM494" s="1"/>
  <c r="AN494" s="1"/>
  <c r="AO494" s="1"/>
  <c r="AP494" s="1"/>
  <c r="AQ494" s="1"/>
  <c r="AB495"/>
  <c r="AC495" s="1"/>
  <c r="AD495" s="1"/>
  <c r="AE495" s="1"/>
  <c r="AF495" s="1"/>
  <c r="AG495" s="1"/>
  <c r="AH495" s="1"/>
  <c r="AI495" s="1"/>
  <c r="AJ495" s="1"/>
  <c r="AK495" s="1"/>
  <c r="AL495" s="1"/>
  <c r="AM495" s="1"/>
  <c r="AN495" s="1"/>
  <c r="AO495" s="1"/>
  <c r="AP495" s="1"/>
  <c r="AQ495" s="1"/>
  <c r="AB496"/>
  <c r="AC496" s="1"/>
  <c r="AD496" s="1"/>
  <c r="AE496" s="1"/>
  <c r="AF496" s="1"/>
  <c r="AG496" s="1"/>
  <c r="AH496" s="1"/>
  <c r="AI496" s="1"/>
  <c r="AJ496" s="1"/>
  <c r="AK496" s="1"/>
  <c r="AL496" s="1"/>
  <c r="AM496" s="1"/>
  <c r="AN496" s="1"/>
  <c r="AO496" s="1"/>
  <c r="AP496" s="1"/>
  <c r="AQ496" s="1"/>
  <c r="AB508"/>
  <c r="AC508" s="1"/>
  <c r="AD508" s="1"/>
  <c r="AE508" s="1"/>
  <c r="AF508" s="1"/>
  <c r="AG508" s="1"/>
  <c r="AH508" s="1"/>
  <c r="AI508" s="1"/>
  <c r="AJ508" s="1"/>
  <c r="AK508" s="1"/>
  <c r="AL508" s="1"/>
  <c r="AM508" s="1"/>
  <c r="AN508" s="1"/>
  <c r="AO508" s="1"/>
  <c r="AP508" s="1"/>
  <c r="AQ508" s="1"/>
  <c r="AB497"/>
  <c r="AC497" s="1"/>
  <c r="AD497" s="1"/>
  <c r="AE497" s="1"/>
  <c r="AF497" s="1"/>
  <c r="AG497" s="1"/>
  <c r="AH497" s="1"/>
  <c r="AI497" s="1"/>
  <c r="AJ497" s="1"/>
  <c r="AK497" s="1"/>
  <c r="AL497" s="1"/>
  <c r="AM497" s="1"/>
  <c r="AN497" s="1"/>
  <c r="AO497" s="1"/>
  <c r="AP497" s="1"/>
  <c r="AQ497" s="1"/>
  <c r="AB470"/>
  <c r="AC470" s="1"/>
  <c r="AD470" s="1"/>
  <c r="AE470" s="1"/>
  <c r="AF470" s="1"/>
  <c r="AG470" s="1"/>
  <c r="AH470" s="1"/>
  <c r="AI470" s="1"/>
  <c r="AJ470" s="1"/>
  <c r="AK470" s="1"/>
  <c r="AL470" s="1"/>
  <c r="AM470" s="1"/>
  <c r="AN470" s="1"/>
  <c r="AO470" s="1"/>
  <c r="AP470" s="1"/>
  <c r="AQ470" s="1"/>
  <c r="AB476"/>
  <c r="AC476" s="1"/>
  <c r="AD476" s="1"/>
  <c r="AE476" s="1"/>
  <c r="AF476" s="1"/>
  <c r="AG476" s="1"/>
  <c r="AH476" s="1"/>
  <c r="AI476" s="1"/>
  <c r="AJ476" s="1"/>
  <c r="AK476" s="1"/>
  <c r="AL476" s="1"/>
  <c r="AM476" s="1"/>
  <c r="AN476" s="1"/>
  <c r="AO476" s="1"/>
  <c r="AP476" s="1"/>
  <c r="AQ476" s="1"/>
  <c r="AB479"/>
  <c r="AC479" s="1"/>
  <c r="AD479" s="1"/>
  <c r="AE479" s="1"/>
  <c r="AF479" s="1"/>
  <c r="AG479" s="1"/>
  <c r="AH479" s="1"/>
  <c r="AI479" s="1"/>
  <c r="AJ479" s="1"/>
  <c r="AK479" s="1"/>
  <c r="AL479" s="1"/>
  <c r="AM479" s="1"/>
  <c r="AN479" s="1"/>
  <c r="AO479" s="1"/>
  <c r="AP479" s="1"/>
  <c r="AQ479" s="1"/>
  <c r="AB481"/>
  <c r="AC481" s="1"/>
  <c r="AD481" s="1"/>
  <c r="AE481" s="1"/>
  <c r="AF481" s="1"/>
  <c r="AG481" s="1"/>
  <c r="AH481" s="1"/>
  <c r="AI481" s="1"/>
  <c r="AJ481" s="1"/>
  <c r="AK481" s="1"/>
  <c r="AL481" s="1"/>
  <c r="AM481" s="1"/>
  <c r="AN481" s="1"/>
  <c r="AO481" s="1"/>
  <c r="AP481" s="1"/>
  <c r="AQ481" s="1"/>
  <c r="AB482"/>
  <c r="AC482" s="1"/>
  <c r="AD482" s="1"/>
  <c r="AE482" s="1"/>
  <c r="AF482" s="1"/>
  <c r="AG482" s="1"/>
  <c r="AH482" s="1"/>
  <c r="AI482" s="1"/>
  <c r="AJ482" s="1"/>
  <c r="AK482" s="1"/>
  <c r="AL482" s="1"/>
  <c r="AM482" s="1"/>
  <c r="AN482" s="1"/>
  <c r="AO482" s="1"/>
  <c r="AP482" s="1"/>
  <c r="AQ482" s="1"/>
  <c r="AB464"/>
  <c r="AC464" s="1"/>
  <c r="AD464" s="1"/>
  <c r="AE464" s="1"/>
  <c r="AF464" s="1"/>
  <c r="AG464" s="1"/>
  <c r="AH464" s="1"/>
  <c r="AI464" s="1"/>
  <c r="AJ464" s="1"/>
  <c r="AK464" s="1"/>
  <c r="AL464" s="1"/>
  <c r="AM464" s="1"/>
  <c r="AN464" s="1"/>
  <c r="AO464" s="1"/>
  <c r="AP464" s="1"/>
  <c r="AQ464" s="1"/>
  <c r="AB467"/>
  <c r="AC467" s="1"/>
  <c r="AD467" s="1"/>
  <c r="AE467" s="1"/>
  <c r="AF467" s="1"/>
  <c r="AG467" s="1"/>
  <c r="AH467" s="1"/>
  <c r="AI467" s="1"/>
  <c r="AJ467" s="1"/>
  <c r="AK467" s="1"/>
  <c r="AL467" s="1"/>
  <c r="AM467" s="1"/>
  <c r="AN467" s="1"/>
  <c r="AO467" s="1"/>
  <c r="AP467" s="1"/>
  <c r="AQ467" s="1"/>
  <c r="AB465"/>
  <c r="AC465" s="1"/>
  <c r="AD465" s="1"/>
  <c r="AE465" s="1"/>
  <c r="AF465" s="1"/>
  <c r="AG465" s="1"/>
  <c r="AH465" s="1"/>
  <c r="AI465" s="1"/>
  <c r="AJ465" s="1"/>
  <c r="AK465" s="1"/>
  <c r="AL465" s="1"/>
  <c r="AM465" s="1"/>
  <c r="AN465" s="1"/>
  <c r="AO465" s="1"/>
  <c r="AP465" s="1"/>
  <c r="AQ465" s="1"/>
  <c r="AB466"/>
  <c r="AC466" s="1"/>
  <c r="AD466" s="1"/>
  <c r="AE466" s="1"/>
  <c r="AF466" s="1"/>
  <c r="AG466" s="1"/>
  <c r="AH466" s="1"/>
  <c r="AI466" s="1"/>
  <c r="AJ466" s="1"/>
  <c r="AK466" s="1"/>
  <c r="AL466" s="1"/>
  <c r="AM466" s="1"/>
  <c r="AN466" s="1"/>
  <c r="AO466" s="1"/>
  <c r="AP466" s="1"/>
  <c r="AQ466" s="1"/>
  <c r="AB461"/>
  <c r="AC461" s="1"/>
  <c r="AD461" s="1"/>
  <c r="AE461" s="1"/>
  <c r="AF461" s="1"/>
  <c r="AG461" s="1"/>
  <c r="AH461" s="1"/>
  <c r="AI461" s="1"/>
  <c r="AJ461" s="1"/>
  <c r="AK461" s="1"/>
  <c r="AL461" s="1"/>
  <c r="AM461" s="1"/>
  <c r="AN461" s="1"/>
  <c r="AO461" s="1"/>
  <c r="AP461" s="1"/>
  <c r="AQ461" s="1"/>
  <c r="AB462"/>
  <c r="AC462" s="1"/>
  <c r="AD462" s="1"/>
  <c r="AE462" s="1"/>
  <c r="AF462" s="1"/>
  <c r="AG462" s="1"/>
  <c r="AH462" s="1"/>
  <c r="AI462" s="1"/>
  <c r="AJ462" s="1"/>
  <c r="AK462" s="1"/>
  <c r="AL462" s="1"/>
  <c r="AM462" s="1"/>
  <c r="AN462" s="1"/>
  <c r="AO462" s="1"/>
  <c r="AP462" s="1"/>
  <c r="AQ462" s="1"/>
  <c r="AB107"/>
  <c r="AC107" s="1"/>
  <c r="AB71"/>
  <c r="AB103"/>
  <c r="AC103" s="1"/>
  <c r="AB463"/>
  <c r="AC463" s="1"/>
  <c r="AD463" s="1"/>
  <c r="AE463" s="1"/>
  <c r="AF463" s="1"/>
  <c r="AG463" s="1"/>
  <c r="AH463" s="1"/>
  <c r="AI463" s="1"/>
  <c r="AJ463" s="1"/>
  <c r="AK463" s="1"/>
  <c r="AL463" s="1"/>
  <c r="AM463" s="1"/>
  <c r="AN463" s="1"/>
  <c r="AO463" s="1"/>
  <c r="AP463" s="1"/>
  <c r="AQ463" s="1"/>
  <c r="AB383"/>
  <c r="AC383" s="1"/>
  <c r="AD383" s="1"/>
  <c r="AE383" s="1"/>
  <c r="AF383" s="1"/>
  <c r="AG383" s="1"/>
  <c r="AH383" s="1"/>
  <c r="AI383" s="1"/>
  <c r="AJ383" s="1"/>
  <c r="AK383" s="1"/>
  <c r="AL383" s="1"/>
  <c r="AM383" s="1"/>
  <c r="AN383" s="1"/>
  <c r="AO383" s="1"/>
  <c r="AP383" s="1"/>
  <c r="AQ383" s="1"/>
  <c r="AB408"/>
  <c r="AC408" s="1"/>
  <c r="AD408" s="1"/>
  <c r="AE408" s="1"/>
  <c r="AF408" s="1"/>
  <c r="AG408" s="1"/>
  <c r="AH408" s="1"/>
  <c r="AI408" s="1"/>
  <c r="AJ408" s="1"/>
  <c r="AK408" s="1"/>
  <c r="AL408" s="1"/>
  <c r="AM408" s="1"/>
  <c r="AN408" s="1"/>
  <c r="AO408" s="1"/>
  <c r="AP408" s="1"/>
  <c r="AQ408" s="1"/>
  <c r="AB420"/>
  <c r="AC420" s="1"/>
  <c r="AD420" s="1"/>
  <c r="AE420" s="1"/>
  <c r="AF420" s="1"/>
  <c r="AG420" s="1"/>
  <c r="AH420" s="1"/>
  <c r="AI420" s="1"/>
  <c r="AJ420" s="1"/>
  <c r="AK420" s="1"/>
  <c r="AL420" s="1"/>
  <c r="AM420" s="1"/>
  <c r="AN420" s="1"/>
  <c r="AO420" s="1"/>
  <c r="AP420" s="1"/>
  <c r="AQ420" s="1"/>
  <c r="AB414"/>
  <c r="AC414" s="1"/>
  <c r="AD414" s="1"/>
  <c r="AE414" s="1"/>
  <c r="AF414" s="1"/>
  <c r="AG414" s="1"/>
  <c r="AH414" s="1"/>
  <c r="AI414" s="1"/>
  <c r="AJ414" s="1"/>
  <c r="AK414" s="1"/>
  <c r="AL414" s="1"/>
  <c r="AM414" s="1"/>
  <c r="AN414" s="1"/>
  <c r="AO414" s="1"/>
  <c r="AP414" s="1"/>
  <c r="AQ414" s="1"/>
  <c r="AB415"/>
  <c r="AC415" s="1"/>
  <c r="AD415" s="1"/>
  <c r="AE415" s="1"/>
  <c r="AF415" s="1"/>
  <c r="AG415" s="1"/>
  <c r="AH415" s="1"/>
  <c r="AI415" s="1"/>
  <c r="AJ415" s="1"/>
  <c r="AK415" s="1"/>
  <c r="AL415" s="1"/>
  <c r="AM415" s="1"/>
  <c r="AN415" s="1"/>
  <c r="AO415" s="1"/>
  <c r="AP415" s="1"/>
  <c r="AQ415" s="1"/>
  <c r="AB417"/>
  <c r="AC417" s="1"/>
  <c r="AD417" s="1"/>
  <c r="AE417" s="1"/>
  <c r="AF417" s="1"/>
  <c r="AG417" s="1"/>
  <c r="AH417" s="1"/>
  <c r="AI417" s="1"/>
  <c r="AJ417" s="1"/>
  <c r="AK417" s="1"/>
  <c r="AL417" s="1"/>
  <c r="AM417" s="1"/>
  <c r="AN417" s="1"/>
  <c r="AO417" s="1"/>
  <c r="AP417" s="1"/>
  <c r="AQ417" s="1"/>
  <c r="AB418"/>
  <c r="AC418" s="1"/>
  <c r="AD418" s="1"/>
  <c r="AE418" s="1"/>
  <c r="AF418" s="1"/>
  <c r="AG418" s="1"/>
  <c r="AH418" s="1"/>
  <c r="AI418" s="1"/>
  <c r="AJ418" s="1"/>
  <c r="AK418" s="1"/>
  <c r="AL418" s="1"/>
  <c r="AM418" s="1"/>
  <c r="AN418" s="1"/>
  <c r="AO418" s="1"/>
  <c r="AP418" s="1"/>
  <c r="AQ418" s="1"/>
  <c r="AB419"/>
  <c r="AC419" s="1"/>
  <c r="AD419" s="1"/>
  <c r="AE419" s="1"/>
  <c r="AF419" s="1"/>
  <c r="AG419" s="1"/>
  <c r="AH419" s="1"/>
  <c r="AI419" s="1"/>
  <c r="AJ419" s="1"/>
  <c r="AK419" s="1"/>
  <c r="AL419" s="1"/>
  <c r="AM419" s="1"/>
  <c r="AN419" s="1"/>
  <c r="AO419" s="1"/>
  <c r="AP419" s="1"/>
  <c r="AQ419" s="1"/>
  <c r="AB421"/>
  <c r="AC421" s="1"/>
  <c r="AD421" s="1"/>
  <c r="AE421" s="1"/>
  <c r="AF421" s="1"/>
  <c r="AG421" s="1"/>
  <c r="AH421" s="1"/>
  <c r="AI421" s="1"/>
  <c r="AJ421" s="1"/>
  <c r="AK421" s="1"/>
  <c r="AL421" s="1"/>
  <c r="AM421" s="1"/>
  <c r="AN421" s="1"/>
  <c r="AO421" s="1"/>
  <c r="AP421" s="1"/>
  <c r="AQ421" s="1"/>
  <c r="AB422"/>
  <c r="AC422" s="1"/>
  <c r="AD422" s="1"/>
  <c r="AE422" s="1"/>
  <c r="AF422" s="1"/>
  <c r="AG422" s="1"/>
  <c r="AH422" s="1"/>
  <c r="AI422" s="1"/>
  <c r="AJ422" s="1"/>
  <c r="AK422" s="1"/>
  <c r="AL422" s="1"/>
  <c r="AM422" s="1"/>
  <c r="AN422" s="1"/>
  <c r="AO422" s="1"/>
  <c r="AP422" s="1"/>
  <c r="AQ422" s="1"/>
  <c r="AB423"/>
  <c r="AC423" s="1"/>
  <c r="AD423" s="1"/>
  <c r="AE423" s="1"/>
  <c r="AF423" s="1"/>
  <c r="AG423" s="1"/>
  <c r="AH423" s="1"/>
  <c r="AI423" s="1"/>
  <c r="AJ423" s="1"/>
  <c r="AK423" s="1"/>
  <c r="AL423" s="1"/>
  <c r="AM423" s="1"/>
  <c r="AN423" s="1"/>
  <c r="AO423" s="1"/>
  <c r="AP423" s="1"/>
  <c r="AQ423" s="1"/>
  <c r="AB426"/>
  <c r="AC426" s="1"/>
  <c r="AD426" s="1"/>
  <c r="AE426" s="1"/>
  <c r="AF426" s="1"/>
  <c r="AG426" s="1"/>
  <c r="AH426" s="1"/>
  <c r="AI426" s="1"/>
  <c r="AJ426" s="1"/>
  <c r="AK426" s="1"/>
  <c r="AL426" s="1"/>
  <c r="AM426" s="1"/>
  <c r="AN426" s="1"/>
  <c r="AO426" s="1"/>
  <c r="AP426" s="1"/>
  <c r="AQ426" s="1"/>
  <c r="AB73"/>
  <c r="AB106"/>
  <c r="AC106" s="1"/>
  <c r="AB424"/>
  <c r="AC424" s="1"/>
  <c r="AD424" s="1"/>
  <c r="AE424" s="1"/>
  <c r="AF424" s="1"/>
  <c r="AG424" s="1"/>
  <c r="AH424" s="1"/>
  <c r="AI424" s="1"/>
  <c r="AJ424" s="1"/>
  <c r="AK424" s="1"/>
  <c r="AL424" s="1"/>
  <c r="AM424" s="1"/>
  <c r="AN424" s="1"/>
  <c r="AO424" s="1"/>
  <c r="AP424" s="1"/>
  <c r="AQ424" s="1"/>
  <c r="AB425"/>
  <c r="AC425" s="1"/>
  <c r="AD425" s="1"/>
  <c r="AE425" s="1"/>
  <c r="AF425" s="1"/>
  <c r="AG425" s="1"/>
  <c r="AH425" s="1"/>
  <c r="AI425" s="1"/>
  <c r="AJ425" s="1"/>
  <c r="AK425" s="1"/>
  <c r="AL425" s="1"/>
  <c r="AM425" s="1"/>
  <c r="AN425" s="1"/>
  <c r="AO425" s="1"/>
  <c r="AP425" s="1"/>
  <c r="AQ425" s="1"/>
  <c r="AB395"/>
  <c r="AC395" s="1"/>
  <c r="AD395" s="1"/>
  <c r="AE395" s="1"/>
  <c r="AF395" s="1"/>
  <c r="AG395" s="1"/>
  <c r="AH395" s="1"/>
  <c r="AI395" s="1"/>
  <c r="AJ395" s="1"/>
  <c r="AK395" s="1"/>
  <c r="AL395" s="1"/>
  <c r="AM395" s="1"/>
  <c r="AN395" s="1"/>
  <c r="AO395" s="1"/>
  <c r="AP395" s="1"/>
  <c r="AQ395" s="1"/>
  <c r="AB401"/>
  <c r="AC401" s="1"/>
  <c r="AD401" s="1"/>
  <c r="AE401" s="1"/>
  <c r="AF401" s="1"/>
  <c r="AG401" s="1"/>
  <c r="AH401" s="1"/>
  <c r="AI401" s="1"/>
  <c r="AJ401" s="1"/>
  <c r="AK401" s="1"/>
  <c r="AL401" s="1"/>
  <c r="AM401" s="1"/>
  <c r="AN401" s="1"/>
  <c r="AO401" s="1"/>
  <c r="AP401" s="1"/>
  <c r="AQ401" s="1"/>
  <c r="AB398"/>
  <c r="AC398" s="1"/>
  <c r="AD398" s="1"/>
  <c r="AE398" s="1"/>
  <c r="AF398" s="1"/>
  <c r="AG398" s="1"/>
  <c r="AH398" s="1"/>
  <c r="AI398" s="1"/>
  <c r="AJ398" s="1"/>
  <c r="AK398" s="1"/>
  <c r="AL398" s="1"/>
  <c r="AM398" s="1"/>
  <c r="AN398" s="1"/>
  <c r="AO398" s="1"/>
  <c r="AP398" s="1"/>
  <c r="AQ398" s="1"/>
  <c r="AB399"/>
  <c r="AC399" s="1"/>
  <c r="AD399" s="1"/>
  <c r="AE399" s="1"/>
  <c r="AF399" s="1"/>
  <c r="AG399" s="1"/>
  <c r="AH399" s="1"/>
  <c r="AI399" s="1"/>
  <c r="AJ399" s="1"/>
  <c r="AK399" s="1"/>
  <c r="AL399" s="1"/>
  <c r="AM399" s="1"/>
  <c r="AN399" s="1"/>
  <c r="AO399" s="1"/>
  <c r="AP399" s="1"/>
  <c r="AQ399" s="1"/>
  <c r="AB409"/>
  <c r="AC409" s="1"/>
  <c r="AD409" s="1"/>
  <c r="AE409" s="1"/>
  <c r="AF409" s="1"/>
  <c r="AG409" s="1"/>
  <c r="AH409" s="1"/>
  <c r="AI409" s="1"/>
  <c r="AJ409" s="1"/>
  <c r="AK409" s="1"/>
  <c r="AL409" s="1"/>
  <c r="AM409" s="1"/>
  <c r="AN409" s="1"/>
  <c r="AO409" s="1"/>
  <c r="AP409" s="1"/>
  <c r="AQ409" s="1"/>
  <c r="AB411"/>
  <c r="AC411" s="1"/>
  <c r="AD411" s="1"/>
  <c r="AE411" s="1"/>
  <c r="AF411" s="1"/>
  <c r="AG411" s="1"/>
  <c r="AH411" s="1"/>
  <c r="AI411" s="1"/>
  <c r="AJ411" s="1"/>
  <c r="AK411" s="1"/>
  <c r="AL411" s="1"/>
  <c r="AM411" s="1"/>
  <c r="AN411" s="1"/>
  <c r="AO411" s="1"/>
  <c r="AP411" s="1"/>
  <c r="AQ411" s="1"/>
  <c r="AB412"/>
  <c r="AC412" s="1"/>
  <c r="AD412" s="1"/>
  <c r="AE412" s="1"/>
  <c r="AF412" s="1"/>
  <c r="AG412" s="1"/>
  <c r="AH412" s="1"/>
  <c r="AI412" s="1"/>
  <c r="AJ412" s="1"/>
  <c r="AK412" s="1"/>
  <c r="AL412" s="1"/>
  <c r="AM412" s="1"/>
  <c r="AN412" s="1"/>
  <c r="AO412" s="1"/>
  <c r="AP412" s="1"/>
  <c r="AQ412" s="1"/>
  <c r="AB413"/>
  <c r="AC413" s="1"/>
  <c r="AD413" s="1"/>
  <c r="AE413" s="1"/>
  <c r="AF413" s="1"/>
  <c r="AG413" s="1"/>
  <c r="AH413" s="1"/>
  <c r="AI413" s="1"/>
  <c r="AJ413" s="1"/>
  <c r="AK413" s="1"/>
  <c r="AL413" s="1"/>
  <c r="AM413" s="1"/>
  <c r="AN413" s="1"/>
  <c r="AO413" s="1"/>
  <c r="AP413" s="1"/>
  <c r="AQ413" s="1"/>
  <c r="AB427"/>
  <c r="AC427" s="1"/>
  <c r="AD427" s="1"/>
  <c r="AE427" s="1"/>
  <c r="AF427" s="1"/>
  <c r="AG427" s="1"/>
  <c r="AH427" s="1"/>
  <c r="AI427" s="1"/>
  <c r="AJ427" s="1"/>
  <c r="AK427" s="1"/>
  <c r="AL427" s="1"/>
  <c r="AM427" s="1"/>
  <c r="AN427" s="1"/>
  <c r="AO427" s="1"/>
  <c r="AP427" s="1"/>
  <c r="AQ427" s="1"/>
  <c r="AB428"/>
  <c r="AC428" s="1"/>
  <c r="AD428" s="1"/>
  <c r="AE428" s="1"/>
  <c r="AF428" s="1"/>
  <c r="AG428" s="1"/>
  <c r="AH428" s="1"/>
  <c r="AI428" s="1"/>
  <c r="AJ428" s="1"/>
  <c r="AK428" s="1"/>
  <c r="AL428" s="1"/>
  <c r="AM428" s="1"/>
  <c r="AN428" s="1"/>
  <c r="AO428" s="1"/>
  <c r="AP428" s="1"/>
  <c r="AQ428" s="1"/>
  <c r="AB429"/>
  <c r="AC429" s="1"/>
  <c r="AD429" s="1"/>
  <c r="AE429" s="1"/>
  <c r="AF429" s="1"/>
  <c r="AG429" s="1"/>
  <c r="AH429" s="1"/>
  <c r="AI429" s="1"/>
  <c r="AJ429" s="1"/>
  <c r="AK429" s="1"/>
  <c r="AL429" s="1"/>
  <c r="AM429" s="1"/>
  <c r="AN429" s="1"/>
  <c r="AO429" s="1"/>
  <c r="AP429" s="1"/>
  <c r="AQ429" s="1"/>
  <c r="AB430"/>
  <c r="AC430" s="1"/>
  <c r="AD430" s="1"/>
  <c r="AE430" s="1"/>
  <c r="AF430" s="1"/>
  <c r="AG430" s="1"/>
  <c r="AH430" s="1"/>
  <c r="AI430" s="1"/>
  <c r="AJ430" s="1"/>
  <c r="AK430" s="1"/>
  <c r="AL430" s="1"/>
  <c r="AM430" s="1"/>
  <c r="AN430" s="1"/>
  <c r="AO430" s="1"/>
  <c r="AP430" s="1"/>
  <c r="AQ430" s="1"/>
  <c r="AB431"/>
  <c r="AC431" s="1"/>
  <c r="AD431" s="1"/>
  <c r="AE431" s="1"/>
  <c r="AF431" s="1"/>
  <c r="AG431" s="1"/>
  <c r="AH431" s="1"/>
  <c r="AI431" s="1"/>
  <c r="AJ431" s="1"/>
  <c r="AK431" s="1"/>
  <c r="AL431" s="1"/>
  <c r="AM431" s="1"/>
  <c r="AN431" s="1"/>
  <c r="AO431" s="1"/>
  <c r="AP431" s="1"/>
  <c r="AQ431" s="1"/>
  <c r="AB432"/>
  <c r="AC432" s="1"/>
  <c r="AD432" s="1"/>
  <c r="AE432" s="1"/>
  <c r="AF432" s="1"/>
  <c r="AG432" s="1"/>
  <c r="AH432" s="1"/>
  <c r="AI432" s="1"/>
  <c r="AJ432" s="1"/>
  <c r="AK432" s="1"/>
  <c r="AL432" s="1"/>
  <c r="AM432" s="1"/>
  <c r="AN432" s="1"/>
  <c r="AO432" s="1"/>
  <c r="AP432" s="1"/>
  <c r="AQ432" s="1"/>
  <c r="AB436"/>
  <c r="AC436" s="1"/>
  <c r="AD436" s="1"/>
  <c r="AE436" s="1"/>
  <c r="AF436" s="1"/>
  <c r="AG436" s="1"/>
  <c r="AH436" s="1"/>
  <c r="AI436" s="1"/>
  <c r="AJ436" s="1"/>
  <c r="AK436" s="1"/>
  <c r="AL436" s="1"/>
  <c r="AM436" s="1"/>
  <c r="AN436" s="1"/>
  <c r="AO436" s="1"/>
  <c r="AP436" s="1"/>
  <c r="AQ436" s="1"/>
  <c r="AB437"/>
  <c r="AC437" s="1"/>
  <c r="AD437" s="1"/>
  <c r="AE437" s="1"/>
  <c r="AF437" s="1"/>
  <c r="AG437" s="1"/>
  <c r="AH437" s="1"/>
  <c r="AI437" s="1"/>
  <c r="AJ437" s="1"/>
  <c r="AK437" s="1"/>
  <c r="AL437" s="1"/>
  <c r="AM437" s="1"/>
  <c r="AN437" s="1"/>
  <c r="AO437" s="1"/>
  <c r="AP437" s="1"/>
  <c r="AQ437" s="1"/>
  <c r="AB438"/>
  <c r="AC438" s="1"/>
  <c r="AD438" s="1"/>
  <c r="AE438" s="1"/>
  <c r="AF438" s="1"/>
  <c r="AG438" s="1"/>
  <c r="AH438" s="1"/>
  <c r="AI438" s="1"/>
  <c r="AJ438" s="1"/>
  <c r="AK438" s="1"/>
  <c r="AL438" s="1"/>
  <c r="AM438" s="1"/>
  <c r="AN438" s="1"/>
  <c r="AO438" s="1"/>
  <c r="AP438" s="1"/>
  <c r="AQ438" s="1"/>
  <c r="AB444"/>
  <c r="AC444" s="1"/>
  <c r="AD444" s="1"/>
  <c r="AE444" s="1"/>
  <c r="AF444" s="1"/>
  <c r="AG444" s="1"/>
  <c r="AH444" s="1"/>
  <c r="AI444" s="1"/>
  <c r="AJ444" s="1"/>
  <c r="AK444" s="1"/>
  <c r="AL444" s="1"/>
  <c r="AM444" s="1"/>
  <c r="AN444" s="1"/>
  <c r="AO444" s="1"/>
  <c r="AP444" s="1"/>
  <c r="AQ444" s="1"/>
  <c r="AB455"/>
  <c r="AC455" s="1"/>
  <c r="AD455" s="1"/>
  <c r="AE455" s="1"/>
  <c r="AF455" s="1"/>
  <c r="AG455" s="1"/>
  <c r="AH455" s="1"/>
  <c r="AI455" s="1"/>
  <c r="AJ455" s="1"/>
  <c r="AK455" s="1"/>
  <c r="AL455" s="1"/>
  <c r="AM455" s="1"/>
  <c r="AN455" s="1"/>
  <c r="AO455" s="1"/>
  <c r="AP455" s="1"/>
  <c r="AQ455" s="1"/>
  <c r="AB468"/>
  <c r="AC468" s="1"/>
  <c r="AD468" s="1"/>
  <c r="AE468" s="1"/>
  <c r="AF468" s="1"/>
  <c r="AG468" s="1"/>
  <c r="AH468" s="1"/>
  <c r="AI468" s="1"/>
  <c r="AJ468" s="1"/>
  <c r="AK468" s="1"/>
  <c r="AL468" s="1"/>
  <c r="AM468" s="1"/>
  <c r="AN468" s="1"/>
  <c r="AO468" s="1"/>
  <c r="AP468" s="1"/>
  <c r="AQ468" s="1"/>
  <c r="AB469"/>
  <c r="AC469" s="1"/>
  <c r="AD469" s="1"/>
  <c r="AE469" s="1"/>
  <c r="AF469" s="1"/>
  <c r="AG469" s="1"/>
  <c r="AH469" s="1"/>
  <c r="AI469" s="1"/>
  <c r="AJ469" s="1"/>
  <c r="AK469" s="1"/>
  <c r="AL469" s="1"/>
  <c r="AM469" s="1"/>
  <c r="AN469" s="1"/>
  <c r="AO469" s="1"/>
  <c r="AP469" s="1"/>
  <c r="AQ469" s="1"/>
  <c r="AB105"/>
  <c r="AC105" s="1"/>
  <c r="AD105" s="1"/>
  <c r="AE105" s="1"/>
  <c r="AF105" s="1"/>
  <c r="AG105" s="1"/>
  <c r="AH105" s="1"/>
  <c r="AI105" s="1"/>
  <c r="AJ105" s="1"/>
  <c r="AK105" s="1"/>
  <c r="AL105" s="1"/>
  <c r="AM105" s="1"/>
  <c r="AN105" s="1"/>
  <c r="AO105" s="1"/>
  <c r="AP105" s="1"/>
  <c r="AQ105" s="1"/>
  <c r="AB471"/>
  <c r="AC471" s="1"/>
  <c r="AD471" s="1"/>
  <c r="AE471" s="1"/>
  <c r="AF471" s="1"/>
  <c r="AG471" s="1"/>
  <c r="AH471" s="1"/>
  <c r="AI471" s="1"/>
  <c r="AJ471" s="1"/>
  <c r="AK471" s="1"/>
  <c r="AL471" s="1"/>
  <c r="AM471" s="1"/>
  <c r="AN471" s="1"/>
  <c r="AO471" s="1"/>
  <c r="AP471" s="1"/>
  <c r="AQ471" s="1"/>
  <c r="AB472"/>
  <c r="AC472" s="1"/>
  <c r="AD472" s="1"/>
  <c r="AE472" s="1"/>
  <c r="AF472" s="1"/>
  <c r="AG472" s="1"/>
  <c r="AH472" s="1"/>
  <c r="AI472" s="1"/>
  <c r="AJ472" s="1"/>
  <c r="AK472" s="1"/>
  <c r="AL472" s="1"/>
  <c r="AM472" s="1"/>
  <c r="AN472" s="1"/>
  <c r="AO472" s="1"/>
  <c r="AP472" s="1"/>
  <c r="AQ472" s="1"/>
  <c r="AB473"/>
  <c r="AC473" s="1"/>
  <c r="AD473" s="1"/>
  <c r="AE473" s="1"/>
  <c r="AF473" s="1"/>
  <c r="AG473" s="1"/>
  <c r="AH473" s="1"/>
  <c r="AI473" s="1"/>
  <c r="AJ473" s="1"/>
  <c r="AK473" s="1"/>
  <c r="AL473" s="1"/>
  <c r="AM473" s="1"/>
  <c r="AN473" s="1"/>
  <c r="AO473" s="1"/>
  <c r="AP473" s="1"/>
  <c r="AQ473" s="1"/>
  <c r="AB451"/>
  <c r="AC451" s="1"/>
  <c r="AD451" s="1"/>
  <c r="AE451" s="1"/>
  <c r="AF451" s="1"/>
  <c r="AG451" s="1"/>
  <c r="AH451" s="1"/>
  <c r="AI451" s="1"/>
  <c r="AJ451" s="1"/>
  <c r="AK451" s="1"/>
  <c r="AL451" s="1"/>
  <c r="AM451" s="1"/>
  <c r="AN451" s="1"/>
  <c r="AO451" s="1"/>
  <c r="AP451" s="1"/>
  <c r="AQ451" s="1"/>
  <c r="AB454"/>
  <c r="AC454" s="1"/>
  <c r="AD454" s="1"/>
  <c r="AE454" s="1"/>
  <c r="AF454" s="1"/>
  <c r="AG454" s="1"/>
  <c r="AH454" s="1"/>
  <c r="AI454" s="1"/>
  <c r="AJ454" s="1"/>
  <c r="AK454" s="1"/>
  <c r="AL454" s="1"/>
  <c r="AM454" s="1"/>
  <c r="AN454" s="1"/>
  <c r="AO454" s="1"/>
  <c r="AP454" s="1"/>
  <c r="AQ454" s="1"/>
  <c r="AB456"/>
  <c r="AC456" s="1"/>
  <c r="AD456" s="1"/>
  <c r="AE456" s="1"/>
  <c r="AF456" s="1"/>
  <c r="AG456" s="1"/>
  <c r="AH456" s="1"/>
  <c r="AI456" s="1"/>
  <c r="AJ456" s="1"/>
  <c r="AK456" s="1"/>
  <c r="AL456" s="1"/>
  <c r="AM456" s="1"/>
  <c r="AN456" s="1"/>
  <c r="AO456" s="1"/>
  <c r="AP456" s="1"/>
  <c r="AQ456" s="1"/>
  <c r="AB457"/>
  <c r="AC457" s="1"/>
  <c r="AD457" s="1"/>
  <c r="AE457" s="1"/>
  <c r="AF457" s="1"/>
  <c r="AG457" s="1"/>
  <c r="AH457" s="1"/>
  <c r="AI457" s="1"/>
  <c r="AJ457" s="1"/>
  <c r="AK457" s="1"/>
  <c r="AL457" s="1"/>
  <c r="AM457" s="1"/>
  <c r="AN457" s="1"/>
  <c r="AO457" s="1"/>
  <c r="AP457" s="1"/>
  <c r="AQ457" s="1"/>
  <c r="AB452"/>
  <c r="AC452" s="1"/>
  <c r="AD452" s="1"/>
  <c r="AE452" s="1"/>
  <c r="AF452" s="1"/>
  <c r="AG452" s="1"/>
  <c r="AH452" s="1"/>
  <c r="AI452" s="1"/>
  <c r="AJ452" s="1"/>
  <c r="AK452" s="1"/>
  <c r="AL452" s="1"/>
  <c r="AM452" s="1"/>
  <c r="AN452" s="1"/>
  <c r="AO452" s="1"/>
  <c r="AP452" s="1"/>
  <c r="AQ452" s="1"/>
  <c r="AB453"/>
  <c r="AC453" s="1"/>
  <c r="AD453" s="1"/>
  <c r="AE453" s="1"/>
  <c r="AF453" s="1"/>
  <c r="AG453" s="1"/>
  <c r="AH453" s="1"/>
  <c r="AI453" s="1"/>
  <c r="AJ453" s="1"/>
  <c r="AK453" s="1"/>
  <c r="AL453" s="1"/>
  <c r="AM453" s="1"/>
  <c r="AN453" s="1"/>
  <c r="AO453" s="1"/>
  <c r="AP453" s="1"/>
  <c r="AQ453" s="1"/>
  <c r="AB449"/>
  <c r="AC449" s="1"/>
  <c r="AD449" s="1"/>
  <c r="AE449" s="1"/>
  <c r="AF449" s="1"/>
  <c r="AG449" s="1"/>
  <c r="AH449" s="1"/>
  <c r="AI449" s="1"/>
  <c r="AJ449" s="1"/>
  <c r="AK449" s="1"/>
  <c r="AL449" s="1"/>
  <c r="AM449" s="1"/>
  <c r="AN449" s="1"/>
  <c r="AO449" s="1"/>
  <c r="AP449" s="1"/>
  <c r="AQ449" s="1"/>
  <c r="AB450"/>
  <c r="AC450" s="1"/>
  <c r="AD450" s="1"/>
  <c r="AE450" s="1"/>
  <c r="AF450" s="1"/>
  <c r="AG450" s="1"/>
  <c r="AH450" s="1"/>
  <c r="AI450" s="1"/>
  <c r="AJ450" s="1"/>
  <c r="AK450" s="1"/>
  <c r="AL450" s="1"/>
  <c r="AM450" s="1"/>
  <c r="AN450" s="1"/>
  <c r="AO450" s="1"/>
  <c r="AP450" s="1"/>
  <c r="AQ450" s="1"/>
  <c r="AB72"/>
  <c r="AB75"/>
  <c r="C105" i="40"/>
  <c r="DG3" i="43"/>
  <c r="CY49"/>
  <c r="DD7"/>
  <c r="CY45"/>
  <c r="CW45"/>
  <c r="CW42" s="1"/>
  <c r="AI98" i="46"/>
  <c r="AB98" s="1"/>
  <c r="AI114"/>
  <c r="AI130"/>
  <c r="AB130" s="1"/>
  <c r="AI138"/>
  <c r="AB138" s="1"/>
  <c r="AC138" s="1"/>
  <c r="AD138" s="1"/>
  <c r="AI142"/>
  <c r="AB142" s="1"/>
  <c r="AC142" s="1"/>
  <c r="AD142" s="1"/>
  <c r="AI146"/>
  <c r="AB146" s="1"/>
  <c r="AC146" s="1"/>
  <c r="AD146" s="1"/>
  <c r="AI150"/>
  <c r="AB150" s="1"/>
  <c r="AC150" s="1"/>
  <c r="AD150" s="1"/>
  <c r="AI154"/>
  <c r="AB154" s="1"/>
  <c r="AC154" s="1"/>
  <c r="AD154" s="1"/>
  <c r="AI158"/>
  <c r="AB158" s="1"/>
  <c r="AC158" s="1"/>
  <c r="AD158" s="1"/>
  <c r="AI162"/>
  <c r="AB162" s="1"/>
  <c r="AC162" s="1"/>
  <c r="AD162" s="1"/>
  <c r="AI166"/>
  <c r="AB166" s="1"/>
  <c r="AC166" s="1"/>
  <c r="AD166" s="1"/>
  <c r="AI170"/>
  <c r="AB170" s="1"/>
  <c r="AC170" s="1"/>
  <c r="AD170" s="1"/>
  <c r="AI174"/>
  <c r="AB174" s="1"/>
  <c r="AC174" s="1"/>
  <c r="AD174" s="1"/>
  <c r="AI178"/>
  <c r="AB178" s="1"/>
  <c r="AC178" s="1"/>
  <c r="AD178" s="1"/>
  <c r="AI182"/>
  <c r="AB182" s="1"/>
  <c r="AC182" s="1"/>
  <c r="AD182" s="1"/>
  <c r="AI186"/>
  <c r="AB186" s="1"/>
  <c r="AC186" s="1"/>
  <c r="AD186" s="1"/>
  <c r="AI190"/>
  <c r="AB190" s="1"/>
  <c r="AC190" s="1"/>
  <c r="AD190" s="1"/>
  <c r="AI194"/>
  <c r="AB194" s="1"/>
  <c r="AC194" s="1"/>
  <c r="AD194" s="1"/>
  <c r="AI198"/>
  <c r="AB198" s="1"/>
  <c r="AC198" s="1"/>
  <c r="AD198" s="1"/>
  <c r="AI202"/>
  <c r="AB202" s="1"/>
  <c r="AC202" s="1"/>
  <c r="AD202" s="1"/>
  <c r="AI206"/>
  <c r="AB206" s="1"/>
  <c r="AC206" s="1"/>
  <c r="AD206" s="1"/>
  <c r="AI210"/>
  <c r="AB210" s="1"/>
  <c r="AC210" s="1"/>
  <c r="AD210" s="1"/>
  <c r="AI214"/>
  <c r="AB214" s="1"/>
  <c r="AC214" s="1"/>
  <c r="AD214" s="1"/>
  <c r="AI218"/>
  <c r="AB218" s="1"/>
  <c r="AC218" s="1"/>
  <c r="AD218" s="1"/>
  <c r="AI222"/>
  <c r="AB222" s="1"/>
  <c r="AC222" s="1"/>
  <c r="AD222" s="1"/>
  <c r="AI226"/>
  <c r="AB226" s="1"/>
  <c r="AC226" s="1"/>
  <c r="AD226" s="1"/>
  <c r="AI230"/>
  <c r="AB230" s="1"/>
  <c r="AC230" s="1"/>
  <c r="AD230" s="1"/>
  <c r="AI234"/>
  <c r="AB234" s="1"/>
  <c r="AC234" s="1"/>
  <c r="AD234" s="1"/>
  <c r="AI238"/>
  <c r="AB238" s="1"/>
  <c r="AC238" s="1"/>
  <c r="AD238" s="1"/>
  <c r="AI242"/>
  <c r="AB242" s="1"/>
  <c r="AC242" s="1"/>
  <c r="AD242" s="1"/>
  <c r="AI246"/>
  <c r="AB246" s="1"/>
  <c r="AC246" s="1"/>
  <c r="AD246" s="1"/>
  <c r="AI250"/>
  <c r="AB250" s="1"/>
  <c r="AC250" s="1"/>
  <c r="AD250" s="1"/>
  <c r="AI254"/>
  <c r="AB254" s="1"/>
  <c r="AC254" s="1"/>
  <c r="AD254" s="1"/>
  <c r="AI258"/>
  <c r="AB258" s="1"/>
  <c r="AC258" s="1"/>
  <c r="AD258" s="1"/>
  <c r="AI262"/>
  <c r="AB262" s="1"/>
  <c r="AC262" s="1"/>
  <c r="AD262" s="1"/>
  <c r="AI266"/>
  <c r="AB266" s="1"/>
  <c r="AC266" s="1"/>
  <c r="AD266" s="1"/>
  <c r="AI270"/>
  <c r="AB270" s="1"/>
  <c r="AC270" s="1"/>
  <c r="AD270" s="1"/>
  <c r="AI274"/>
  <c r="AB274" s="1"/>
  <c r="AC274" s="1"/>
  <c r="AD274" s="1"/>
  <c r="AI278"/>
  <c r="AB278" s="1"/>
  <c r="AC278" s="1"/>
  <c r="AD278" s="1"/>
  <c r="AI282"/>
  <c r="AB282" s="1"/>
  <c r="AC282" s="1"/>
  <c r="AD282" s="1"/>
  <c r="AI286"/>
  <c r="AB286" s="1"/>
  <c r="AC286" s="1"/>
  <c r="AD286" s="1"/>
  <c r="AI290"/>
  <c r="AB290" s="1"/>
  <c r="AC290" s="1"/>
  <c r="AD290" s="1"/>
  <c r="V139"/>
  <c r="BA142"/>
  <c r="BB141" s="1"/>
  <c r="BC141" s="1"/>
  <c r="J131" s="1"/>
  <c r="BA139"/>
  <c r="BA134"/>
  <c r="BB133" s="1"/>
  <c r="BC133" s="1"/>
  <c r="J123" s="1"/>
  <c r="BA131"/>
  <c r="BA126"/>
  <c r="BB125" s="1"/>
  <c r="BC125" s="1"/>
  <c r="J115" s="1"/>
  <c r="BA123"/>
  <c r="BA118"/>
  <c r="BB117" s="1"/>
  <c r="BC117" s="1"/>
  <c r="J107" s="1"/>
  <c r="BA115"/>
  <c r="BA110"/>
  <c r="BB109" s="1"/>
  <c r="BC109" s="1"/>
  <c r="J99" s="1"/>
  <c r="BA107"/>
  <c r="BA102"/>
  <c r="BB101" s="1"/>
  <c r="BC101" s="1"/>
  <c r="J91" s="1"/>
  <c r="BA99"/>
  <c r="V97"/>
  <c r="BE305" i="47"/>
  <c r="BG305" s="1"/>
  <c r="BH305" s="1"/>
  <c r="BF304"/>
  <c r="BE297"/>
  <c r="BG297" s="1"/>
  <c r="BH297" s="1"/>
  <c r="BF296"/>
  <c r="BE289"/>
  <c r="BG289" s="1"/>
  <c r="BH289" s="1"/>
  <c r="BF288"/>
  <c r="BE281"/>
  <c r="BG281" s="1"/>
  <c r="BH281" s="1"/>
  <c r="BF280"/>
  <c r="BE273"/>
  <c r="BG273" s="1"/>
  <c r="BH273" s="1"/>
  <c r="BF272"/>
  <c r="BE265"/>
  <c r="BG265" s="1"/>
  <c r="BH265" s="1"/>
  <c r="BF264"/>
  <c r="BE257"/>
  <c r="BG257" s="1"/>
  <c r="BH257" s="1"/>
  <c r="BF256"/>
  <c r="BE249"/>
  <c r="BG249" s="1"/>
  <c r="BH249" s="1"/>
  <c r="BF248"/>
  <c r="BE241"/>
  <c r="BG241" s="1"/>
  <c r="BH241" s="1"/>
  <c r="BF240"/>
  <c r="BE233"/>
  <c r="BG233" s="1"/>
  <c r="BH233" s="1"/>
  <c r="BF232"/>
  <c r="BE225"/>
  <c r="BG225" s="1"/>
  <c r="BH225" s="1"/>
  <c r="BF224"/>
  <c r="BE217"/>
  <c r="BG217" s="1"/>
  <c r="BH217" s="1"/>
  <c r="BF216"/>
  <c r="BE209"/>
  <c r="BG209" s="1"/>
  <c r="BH209" s="1"/>
  <c r="BF208"/>
  <c r="BE201"/>
  <c r="BG201" s="1"/>
  <c r="BH201" s="1"/>
  <c r="BF200"/>
  <c r="BE193"/>
  <c r="BG193" s="1"/>
  <c r="BH193" s="1"/>
  <c r="BF192"/>
  <c r="BE185"/>
  <c r="BG185" s="1"/>
  <c r="BH185" s="1"/>
  <c r="BF184"/>
  <c r="BE177"/>
  <c r="BG177" s="1"/>
  <c r="BH177" s="1"/>
  <c r="BE106"/>
  <c r="BG106" s="1"/>
  <c r="BH106" s="1"/>
  <c r="BE90"/>
  <c r="BG90" s="1"/>
  <c r="BH90" s="1"/>
  <c r="BE74"/>
  <c r="BG74" s="1"/>
  <c r="BH74" s="1"/>
  <c r="BE58"/>
  <c r="BG58" s="1"/>
  <c r="BH58" s="1"/>
  <c r="BE42"/>
  <c r="BG42" s="1"/>
  <c r="BH42" s="1"/>
  <c r="J103" i="40"/>
  <c r="CX35" i="43"/>
  <c r="G18"/>
  <c r="I16"/>
  <c r="CZ45"/>
  <c r="DE7"/>
  <c r="CZ51"/>
  <c r="CZ34" s="1"/>
  <c r="CZ52"/>
  <c r="I19" s="1"/>
  <c r="BH290" i="46"/>
  <c r="BI290" s="1"/>
  <c r="L280" s="1"/>
  <c r="BF290"/>
  <c r="M280" s="1"/>
  <c r="BH282"/>
  <c r="BI282" s="1"/>
  <c r="L272" s="1"/>
  <c r="BF282"/>
  <c r="M272" s="1"/>
  <c r="BH274"/>
  <c r="BI274" s="1"/>
  <c r="L264" s="1"/>
  <c r="BF274"/>
  <c r="M264" s="1"/>
  <c r="BH266"/>
  <c r="BI266" s="1"/>
  <c r="L256" s="1"/>
  <c r="BF266"/>
  <c r="M256" s="1"/>
  <c r="BH258"/>
  <c r="BI258" s="1"/>
  <c r="L248" s="1"/>
  <c r="BF258"/>
  <c r="M248" s="1"/>
  <c r="BH250"/>
  <c r="BI250" s="1"/>
  <c r="L240" s="1"/>
  <c r="BF250"/>
  <c r="M240" s="1"/>
  <c r="BH242"/>
  <c r="BI242" s="1"/>
  <c r="L232" s="1"/>
  <c r="BF242"/>
  <c r="M232" s="1"/>
  <c r="BH234"/>
  <c r="BI234" s="1"/>
  <c r="L224" s="1"/>
  <c r="BF234"/>
  <c r="M224" s="1"/>
  <c r="BH226"/>
  <c r="BI226" s="1"/>
  <c r="L216" s="1"/>
  <c r="BF226"/>
  <c r="M216" s="1"/>
  <c r="BH218"/>
  <c r="BI218" s="1"/>
  <c r="L208" s="1"/>
  <c r="BF218"/>
  <c r="M208" s="1"/>
  <c r="BH210"/>
  <c r="BI210" s="1"/>
  <c r="L200" s="1"/>
  <c r="BF210"/>
  <c r="M200" s="1"/>
  <c r="BH202"/>
  <c r="BI202" s="1"/>
  <c r="L192" s="1"/>
  <c r="BF202"/>
  <c r="M192" s="1"/>
  <c r="BH194"/>
  <c r="BI194" s="1"/>
  <c r="L184" s="1"/>
  <c r="BF194"/>
  <c r="M184" s="1"/>
  <c r="BD188"/>
  <c r="BG188"/>
  <c r="BD180"/>
  <c r="BG180"/>
  <c r="BD172"/>
  <c r="BG172"/>
  <c r="BD164"/>
  <c r="BG164"/>
  <c r="BD156"/>
  <c r="BG156"/>
  <c r="BD148"/>
  <c r="BG148"/>
  <c r="BD140"/>
  <c r="BG140"/>
  <c r="BD132"/>
  <c r="BG132"/>
  <c r="BH126" s="1"/>
  <c r="BI126" s="1"/>
  <c r="L116" s="1"/>
  <c r="BD124"/>
  <c r="BG124"/>
  <c r="BD116"/>
  <c r="BG116"/>
  <c r="BH110" s="1"/>
  <c r="BI110" s="1"/>
  <c r="L100" s="1"/>
  <c r="BD108"/>
  <c r="AI102" s="1"/>
  <c r="BG108"/>
  <c r="BD100"/>
  <c r="AI94" s="1"/>
  <c r="AB94" s="1"/>
  <c r="BG100"/>
  <c r="BH95" s="1"/>
  <c r="BI95" s="1"/>
  <c r="L85" s="1"/>
  <c r="AO116"/>
  <c r="AO117" s="1"/>
  <c r="AO118"/>
  <c r="BA292"/>
  <c r="AX292"/>
  <c r="AZ289"/>
  <c r="K279" s="1"/>
  <c r="BB289"/>
  <c r="BC289" s="1"/>
  <c r="J279" s="1"/>
  <c r="BA284"/>
  <c r="AX284"/>
  <c r="AZ281"/>
  <c r="K271" s="1"/>
  <c r="BB281"/>
  <c r="BC281" s="1"/>
  <c r="J271" s="1"/>
  <c r="BA276"/>
  <c r="AX276"/>
  <c r="AZ273"/>
  <c r="K263" s="1"/>
  <c r="BB273"/>
  <c r="BC273" s="1"/>
  <c r="J263" s="1"/>
  <c r="BA268"/>
  <c r="AX268"/>
  <c r="AZ265"/>
  <c r="K255" s="1"/>
  <c r="BB265"/>
  <c r="BC265" s="1"/>
  <c r="J255" s="1"/>
  <c r="BA260"/>
  <c r="AX260"/>
  <c r="AZ257"/>
  <c r="K247" s="1"/>
  <c r="BB257"/>
  <c r="BC257" s="1"/>
  <c r="J247" s="1"/>
  <c r="BA252"/>
  <c r="AX252"/>
  <c r="AZ249"/>
  <c r="K239" s="1"/>
  <c r="BB249"/>
  <c r="BC249" s="1"/>
  <c r="J239" s="1"/>
  <c r="BA244"/>
  <c r="AX244"/>
  <c r="AZ241"/>
  <c r="K231" s="1"/>
  <c r="BB241"/>
  <c r="BC241" s="1"/>
  <c r="J231" s="1"/>
  <c r="BA236"/>
  <c r="AX236"/>
  <c r="AZ233"/>
  <c r="K223" s="1"/>
  <c r="BB233"/>
  <c r="BC233" s="1"/>
  <c r="J223" s="1"/>
  <c r="BA228"/>
  <c r="AX228"/>
  <c r="AZ225"/>
  <c r="K215" s="1"/>
  <c r="BB225"/>
  <c r="BC225" s="1"/>
  <c r="J215" s="1"/>
  <c r="BA220"/>
  <c r="AX220"/>
  <c r="AZ217"/>
  <c r="K207" s="1"/>
  <c r="BB217"/>
  <c r="BC217" s="1"/>
  <c r="J207" s="1"/>
  <c r="BA212"/>
  <c r="AX212"/>
  <c r="AZ209"/>
  <c r="K199" s="1"/>
  <c r="BB209"/>
  <c r="BC209" s="1"/>
  <c r="J199" s="1"/>
  <c r="BA204"/>
  <c r="AX204"/>
  <c r="AZ201"/>
  <c r="K191" s="1"/>
  <c r="BB201"/>
  <c r="BC201" s="1"/>
  <c r="J191" s="1"/>
  <c r="BA196"/>
  <c r="AX196"/>
  <c r="AZ193"/>
  <c r="K183" s="1"/>
  <c r="BB193"/>
  <c r="BC193" s="1"/>
  <c r="J183" s="1"/>
  <c r="BA188"/>
  <c r="AX188"/>
  <c r="AZ185"/>
  <c r="K175" s="1"/>
  <c r="BB185"/>
  <c r="BC185" s="1"/>
  <c r="J175" s="1"/>
  <c r="BA180"/>
  <c r="AX180"/>
  <c r="AZ177"/>
  <c r="K167" s="1"/>
  <c r="BB177"/>
  <c r="BC177" s="1"/>
  <c r="J167" s="1"/>
  <c r="BA172"/>
  <c r="AX172"/>
  <c r="AZ169"/>
  <c r="K159" s="1"/>
  <c r="BB169"/>
  <c r="BC169" s="1"/>
  <c r="J159" s="1"/>
  <c r="BA164"/>
  <c r="AX164"/>
  <c r="AZ161"/>
  <c r="K151" s="1"/>
  <c r="BB161"/>
  <c r="BC161" s="1"/>
  <c r="J151" s="1"/>
  <c r="BA156"/>
  <c r="AX156"/>
  <c r="AZ153"/>
  <c r="K143" s="1"/>
  <c r="BB153"/>
  <c r="BC153" s="1"/>
  <c r="J143" s="1"/>
  <c r="BA148"/>
  <c r="AX148"/>
  <c r="AZ145"/>
  <c r="K135" s="1"/>
  <c r="BB145"/>
  <c r="BC145" s="1"/>
  <c r="J135" s="1"/>
  <c r="BA140"/>
  <c r="AX140"/>
  <c r="BA132"/>
  <c r="AX132"/>
  <c r="BA124"/>
  <c r="AX124"/>
  <c r="BA116"/>
  <c r="AX116"/>
  <c r="BA108"/>
  <c r="AX108"/>
  <c r="Y95" s="1"/>
  <c r="Q95" s="1"/>
  <c r="BA100"/>
  <c r="AX100"/>
  <c r="Y98" s="1"/>
  <c r="Q98" s="1"/>
  <c r="DS3" i="45"/>
  <c r="CZ45"/>
  <c r="H18" s="1"/>
  <c r="CZ35"/>
  <c r="DN7" s="1"/>
  <c r="W36" i="46"/>
  <c r="W35"/>
  <c r="W34"/>
  <c r="W33"/>
  <c r="W32"/>
  <c r="W31"/>
  <c r="AE30"/>
  <c r="Q29"/>
  <c r="V28"/>
  <c r="AE27"/>
  <c r="AE26"/>
  <c r="AE25"/>
  <c r="AE24"/>
  <c r="Q23"/>
  <c r="Q22"/>
  <c r="Q21"/>
  <c r="Q20"/>
  <c r="Q19"/>
  <c r="V18"/>
  <c r="W17"/>
  <c r="AE16"/>
  <c r="Q15"/>
  <c r="Q14"/>
  <c r="Q13"/>
  <c r="Q12"/>
  <c r="Q11"/>
  <c r="Q10"/>
  <c r="Q9"/>
  <c r="Q8"/>
  <c r="Q7"/>
  <c r="Q6"/>
  <c r="Q5"/>
  <c r="Q4"/>
  <c r="Q3"/>
  <c r="Q2"/>
  <c r="AB1"/>
  <c r="X1"/>
  <c r="AO118" i="40"/>
  <c r="AP118" s="1"/>
  <c r="AK118"/>
  <c r="AL118" s="1"/>
  <c r="AM118" s="1"/>
  <c r="AN118" s="1"/>
  <c r="AG118"/>
  <c r="AH118" s="1"/>
  <c r="AI118" s="1"/>
  <c r="AJ118" s="1"/>
  <c r="AC118"/>
  <c r="AD118" s="1"/>
  <c r="AE118" s="1"/>
  <c r="AF118" s="1"/>
  <c r="AB108" i="41"/>
  <c r="AC108" s="1"/>
  <c r="AD108" s="1"/>
  <c r="AE108" s="1"/>
  <c r="AF108" s="1"/>
  <c r="AG108" s="1"/>
  <c r="AH108" s="1"/>
  <c r="AI108" s="1"/>
  <c r="AJ108" s="1"/>
  <c r="AK108" s="1"/>
  <c r="AL108" s="1"/>
  <c r="AM108" s="1"/>
  <c r="AN108" s="1"/>
  <c r="AO108" s="1"/>
  <c r="AP108" s="1"/>
  <c r="AQ108" s="1"/>
  <c r="AB90"/>
  <c r="CZ6" i="43"/>
  <c r="BF291" i="46"/>
  <c r="M281" s="1"/>
  <c r="BF283"/>
  <c r="M273" s="1"/>
  <c r="BF275"/>
  <c r="M265" s="1"/>
  <c r="BF267"/>
  <c r="M257" s="1"/>
  <c r="BF259"/>
  <c r="M249" s="1"/>
  <c r="BF251"/>
  <c r="M241" s="1"/>
  <c r="BF243"/>
  <c r="M233" s="1"/>
  <c r="BF235"/>
  <c r="M225" s="1"/>
  <c r="BF227"/>
  <c r="M217" s="1"/>
  <c r="BF219"/>
  <c r="M209" s="1"/>
  <c r="BF211"/>
  <c r="M201" s="1"/>
  <c r="BF203"/>
  <c r="M193" s="1"/>
  <c r="BF195"/>
  <c r="M185" s="1"/>
  <c r="BG94"/>
  <c r="BG288"/>
  <c r="BG286"/>
  <c r="BG280"/>
  <c r="BG278"/>
  <c r="BG272"/>
  <c r="BG270"/>
  <c r="BG264"/>
  <c r="BG262"/>
  <c r="BG256"/>
  <c r="BG254"/>
  <c r="BG248"/>
  <c r="BG246"/>
  <c r="BG240"/>
  <c r="BG238"/>
  <c r="BG232"/>
  <c r="BG230"/>
  <c r="BG224"/>
  <c r="BG222"/>
  <c r="BG216"/>
  <c r="BG214"/>
  <c r="BG208"/>
  <c r="BG206"/>
  <c r="BG200"/>
  <c r="BG198"/>
  <c r="V143"/>
  <c r="AZ286"/>
  <c r="K276" s="1"/>
  <c r="AZ278"/>
  <c r="K268" s="1"/>
  <c r="AZ270"/>
  <c r="K260" s="1"/>
  <c r="AZ262"/>
  <c r="K252" s="1"/>
  <c r="AZ254"/>
  <c r="K244" s="1"/>
  <c r="AZ246"/>
  <c r="K236" s="1"/>
  <c r="AZ238"/>
  <c r="K228" s="1"/>
  <c r="AZ230"/>
  <c r="K220" s="1"/>
  <c r="AZ222"/>
  <c r="K212" s="1"/>
  <c r="AZ214"/>
  <c r="K204" s="1"/>
  <c r="AZ206"/>
  <c r="K196" s="1"/>
  <c r="AZ198"/>
  <c r="K188" s="1"/>
  <c r="AZ190"/>
  <c r="K180" s="1"/>
  <c r="AZ182"/>
  <c r="K172" s="1"/>
  <c r="AZ174"/>
  <c r="K164" s="1"/>
  <c r="AZ166"/>
  <c r="K156" s="1"/>
  <c r="AZ158"/>
  <c r="K148" s="1"/>
  <c r="AZ150"/>
  <c r="K140" s="1"/>
  <c r="BA137"/>
  <c r="BA129"/>
  <c r="BA121"/>
  <c r="BA113"/>
  <c r="BA105"/>
  <c r="BA97"/>
  <c r="V101"/>
  <c r="V94"/>
  <c r="BE110" i="47"/>
  <c r="BG110" s="1"/>
  <c r="BH110" s="1"/>
  <c r="BE94"/>
  <c r="BG94" s="1"/>
  <c r="BH94" s="1"/>
  <c r="BE78"/>
  <c r="BG78" s="1"/>
  <c r="BH78" s="1"/>
  <c r="BE62"/>
  <c r="BG62" s="1"/>
  <c r="BH62" s="1"/>
  <c r="BE46"/>
  <c r="BG46" s="1"/>
  <c r="BH46" s="1"/>
  <c r="BB5"/>
  <c r="B8"/>
  <c r="BA7"/>
  <c r="BD11" i="49"/>
  <c r="BD12"/>
  <c r="BD7"/>
  <c r="BD8"/>
  <c r="BK10" i="50"/>
  <c r="K14" s="1"/>
  <c r="BN6"/>
  <c r="BN8" s="1"/>
  <c r="BK9"/>
  <c r="M14" s="1"/>
  <c r="V100" i="46"/>
  <c r="V96"/>
  <c r="DS2" i="45"/>
  <c r="DS4"/>
  <c r="BN38" i="47"/>
  <c r="BJ38"/>
  <c r="BN19"/>
  <c r="BJ19"/>
  <c r="BN16"/>
  <c r="BJ16"/>
  <c r="BN15"/>
  <c r="BJ15"/>
  <c r="BN14"/>
  <c r="BJ14"/>
  <c r="BN13"/>
  <c r="BJ13"/>
  <c r="AY207" i="51"/>
  <c r="AY191"/>
  <c r="AY175"/>
  <c r="AY159"/>
  <c r="AY143"/>
  <c r="AY127"/>
  <c r="AY111"/>
  <c r="AY95"/>
  <c r="AY79"/>
  <c r="AY63"/>
  <c r="BD13" i="49"/>
  <c r="BD14"/>
  <c r="BD9"/>
  <c r="BD10"/>
  <c r="DO210" i="53"/>
  <c r="DM210"/>
  <c r="DN210" s="1"/>
  <c r="DO194"/>
  <c r="DM194"/>
  <c r="DN194" s="1"/>
  <c r="DO178"/>
  <c r="DM178"/>
  <c r="DN178" s="1"/>
  <c r="DS8"/>
  <c r="BJ11" i="47"/>
  <c r="BN11"/>
  <c r="BJ17"/>
  <c r="BN17"/>
  <c r="BJ20"/>
  <c r="BN20"/>
  <c r="BJ40"/>
  <c r="BN40"/>
  <c r="BJ44"/>
  <c r="BN44"/>
  <c r="BJ48"/>
  <c r="BN48"/>
  <c r="BJ52"/>
  <c r="BN52"/>
  <c r="BJ56"/>
  <c r="BN56"/>
  <c r="BJ60"/>
  <c r="BN60"/>
  <c r="BJ64"/>
  <c r="BN64"/>
  <c r="BJ68"/>
  <c r="BN68"/>
  <c r="BJ72"/>
  <c r="BN72"/>
  <c r="BJ76"/>
  <c r="BN76"/>
  <c r="BJ80"/>
  <c r="BN80"/>
  <c r="BJ84"/>
  <c r="BN84"/>
  <c r="BJ88"/>
  <c r="BN88"/>
  <c r="BJ92"/>
  <c r="BN92"/>
  <c r="BJ96"/>
  <c r="BN96"/>
  <c r="BJ100"/>
  <c r="BN100"/>
  <c r="BJ104"/>
  <c r="BN104"/>
  <c r="BJ108"/>
  <c r="BN108"/>
  <c r="BJ112"/>
  <c r="BN112"/>
  <c r="BJ116"/>
  <c r="BN116"/>
  <c r="BJ120"/>
  <c r="BN120"/>
  <c r="BJ124"/>
  <c r="BN124"/>
  <c r="BJ128"/>
  <c r="BN128"/>
  <c r="BJ132"/>
  <c r="BN132"/>
  <c r="BJ136"/>
  <c r="BN136"/>
  <c r="BJ140"/>
  <c r="BN140"/>
  <c r="BJ144"/>
  <c r="BN144"/>
  <c r="BJ148"/>
  <c r="BN148"/>
  <c r="BJ152"/>
  <c r="BN152"/>
  <c r="BJ156"/>
  <c r="BN156"/>
  <c r="BJ160"/>
  <c r="BN160"/>
  <c r="BJ164"/>
  <c r="BN164"/>
  <c r="BJ168"/>
  <c r="BN168"/>
  <c r="BJ172"/>
  <c r="BN172"/>
  <c r="BJ176"/>
  <c r="BJ39"/>
  <c r="BN39"/>
  <c r="BJ43"/>
  <c r="BN43"/>
  <c r="BJ47"/>
  <c r="BN47"/>
  <c r="BJ51"/>
  <c r="BN51"/>
  <c r="BJ55"/>
  <c r="BN55"/>
  <c r="BJ59"/>
  <c r="BN59"/>
  <c r="BJ63"/>
  <c r="BN63"/>
  <c r="BJ67"/>
  <c r="BN67"/>
  <c r="BJ71"/>
  <c r="BN71"/>
  <c r="BJ75"/>
  <c r="BN75"/>
  <c r="BJ79"/>
  <c r="BN79"/>
  <c r="BJ83"/>
  <c r="BN83"/>
  <c r="BJ87"/>
  <c r="BN87"/>
  <c r="BJ91"/>
  <c r="BN91"/>
  <c r="BJ95"/>
  <c r="BN95"/>
  <c r="BJ99"/>
  <c r="BN99"/>
  <c r="BJ103"/>
  <c r="BN103"/>
  <c r="BJ107"/>
  <c r="BN107"/>
  <c r="BJ111"/>
  <c r="BN111"/>
  <c r="BJ115"/>
  <c r="BN115"/>
  <c r="AD1" i="50"/>
  <c r="AH1"/>
  <c r="AB2"/>
  <c r="AJ3"/>
  <c r="AB4"/>
  <c r="AB7"/>
  <c r="AJ8"/>
  <c r="AB12"/>
  <c r="AJ15"/>
  <c r="AB16"/>
  <c r="AB23"/>
  <c r="AJ24"/>
  <c r="AJ25"/>
  <c r="AB26"/>
  <c r="AJ31"/>
  <c r="AB32"/>
  <c r="AJ34"/>
  <c r="AJ37"/>
  <c r="AC1"/>
  <c r="AG1"/>
  <c r="AB3"/>
  <c r="AJ6"/>
  <c r="AB8"/>
  <c r="AJ10"/>
  <c r="AJ14"/>
  <c r="AB15"/>
  <c r="AJ17"/>
  <c r="AJ18"/>
  <c r="AJ20"/>
  <c r="AJ21"/>
  <c r="AB24"/>
  <c r="AB25"/>
  <c r="AJ28"/>
  <c r="AJ30"/>
  <c r="AB31"/>
  <c r="AB34"/>
  <c r="AJ36"/>
  <c r="AB37"/>
  <c r="AF1"/>
  <c r="AJ4"/>
  <c r="AB6"/>
  <c r="AJ13"/>
  <c r="AE1"/>
  <c r="AJ2"/>
  <c r="AJ7"/>
  <c r="AJ9"/>
  <c r="AB13"/>
  <c r="AB14"/>
  <c r="AB18"/>
  <c r="AJ19"/>
  <c r="AJ22"/>
  <c r="AJ23"/>
  <c r="AJ29"/>
  <c r="AJ32"/>
  <c r="AJ33"/>
  <c r="AI1"/>
  <c r="AB5"/>
  <c r="AB11"/>
  <c r="AJ12"/>
  <c r="AB17"/>
  <c r="AB20"/>
  <c r="AB27"/>
  <c r="AB28"/>
  <c r="AB35"/>
  <c r="AB36"/>
  <c r="AX22" i="51"/>
  <c r="AX23"/>
  <c r="AX24"/>
  <c r="AX25"/>
  <c r="AX26"/>
  <c r="AX27"/>
  <c r="AX28"/>
  <c r="AX29"/>
  <c r="AX36"/>
  <c r="AY37"/>
  <c r="AX39"/>
  <c r="AX41"/>
  <c r="AX43"/>
  <c r="AX45"/>
  <c r="AX47"/>
  <c r="AX49"/>
  <c r="AX51"/>
  <c r="AX53"/>
  <c r="AX55"/>
  <c r="AX57"/>
  <c r="AX59"/>
  <c r="AX61"/>
  <c r="AX63"/>
  <c r="AX65"/>
  <c r="AX67"/>
  <c r="AX69"/>
  <c r="AX71"/>
  <c r="AX73"/>
  <c r="AX75"/>
  <c r="AX77"/>
  <c r="AX79"/>
  <c r="AX81"/>
  <c r="AX83"/>
  <c r="AX85"/>
  <c r="AX87"/>
  <c r="AX89"/>
  <c r="AX91"/>
  <c r="AX93"/>
  <c r="AX95"/>
  <c r="AX97"/>
  <c r="AX99"/>
  <c r="AX101"/>
  <c r="AX103"/>
  <c r="AX105"/>
  <c r="AX107"/>
  <c r="AX109"/>
  <c r="AX111"/>
  <c r="AX113"/>
  <c r="AX115"/>
  <c r="AX117"/>
  <c r="AX119"/>
  <c r="AX121"/>
  <c r="AX123"/>
  <c r="AX125"/>
  <c r="AX127"/>
  <c r="AX129"/>
  <c r="AX131"/>
  <c r="AX133"/>
  <c r="AX135"/>
  <c r="AX137"/>
  <c r="AX139"/>
  <c r="AX141"/>
  <c r="AX143"/>
  <c r="AX145"/>
  <c r="AX147"/>
  <c r="AX149"/>
  <c r="AX151"/>
  <c r="AX153"/>
  <c r="AX155"/>
  <c r="AX157"/>
  <c r="AX159"/>
  <c r="AX161"/>
  <c r="AX163"/>
  <c r="AX165"/>
  <c r="AX167"/>
  <c r="AX169"/>
  <c r="AX171"/>
  <c r="AX173"/>
  <c r="AX175"/>
  <c r="AX177"/>
  <c r="AX179"/>
  <c r="AX181"/>
  <c r="AX183"/>
  <c r="AX185"/>
  <c r="AX187"/>
  <c r="AX189"/>
  <c r="AX191"/>
  <c r="AX193"/>
  <c r="AX195"/>
  <c r="AX197"/>
  <c r="AX199"/>
  <c r="AX201"/>
  <c r="AX203"/>
  <c r="AX205"/>
  <c r="AX207"/>
  <c r="AX209"/>
  <c r="AX211"/>
  <c r="AX213"/>
  <c r="AX215"/>
  <c r="AX217"/>
  <c r="AX219"/>
  <c r="J8"/>
  <c r="AX37"/>
  <c r="AY38"/>
  <c r="AY40"/>
  <c r="AY42"/>
  <c r="AY44"/>
  <c r="AY46"/>
  <c r="AY48"/>
  <c r="AY50"/>
  <c r="AY52"/>
  <c r="AY54"/>
  <c r="AY56"/>
  <c r="AY58"/>
  <c r="AY60"/>
  <c r="AY62"/>
  <c r="AY64"/>
  <c r="AY66"/>
  <c r="AY68"/>
  <c r="AY70"/>
  <c r="AY72"/>
  <c r="AY74"/>
  <c r="AY76"/>
  <c r="AY78"/>
  <c r="AY80"/>
  <c r="AY82"/>
  <c r="AY84"/>
  <c r="AY86"/>
  <c r="AY88"/>
  <c r="AY90"/>
  <c r="AY92"/>
  <c r="AY94"/>
  <c r="AY96"/>
  <c r="AY98"/>
  <c r="AY100"/>
  <c r="AY102"/>
  <c r="AY104"/>
  <c r="AY106"/>
  <c r="AY108"/>
  <c r="AY110"/>
  <c r="AY112"/>
  <c r="AY114"/>
  <c r="AY116"/>
  <c r="AY118"/>
  <c r="AY120"/>
  <c r="AY122"/>
  <c r="AY124"/>
  <c r="AY126"/>
  <c r="AY128"/>
  <c r="AY130"/>
  <c r="AY132"/>
  <c r="AY134"/>
  <c r="AY136"/>
  <c r="AY138"/>
  <c r="AY140"/>
  <c r="AY142"/>
  <c r="AY144"/>
  <c r="AY146"/>
  <c r="AY148"/>
  <c r="AY150"/>
  <c r="AY152"/>
  <c r="AY154"/>
  <c r="AY156"/>
  <c r="AY158"/>
  <c r="AY160"/>
  <c r="AY162"/>
  <c r="AY164"/>
  <c r="AY166"/>
  <c r="AY168"/>
  <c r="AY170"/>
  <c r="AY172"/>
  <c r="AY174"/>
  <c r="AY176"/>
  <c r="AY178"/>
  <c r="AY180"/>
  <c r="AY182"/>
  <c r="AY184"/>
  <c r="AY186"/>
  <c r="AY188"/>
  <c r="AY190"/>
  <c r="AY192"/>
  <c r="AY194"/>
  <c r="AY196"/>
  <c r="AY198"/>
  <c r="AY200"/>
  <c r="AY202"/>
  <c r="AY204"/>
  <c r="AY206"/>
  <c r="AY208"/>
  <c r="AY210"/>
  <c r="AY212"/>
  <c r="AY214"/>
  <c r="AY216"/>
  <c r="AY218"/>
  <c r="AY220"/>
  <c r="AY24"/>
  <c r="AY28"/>
  <c r="F30"/>
  <c r="AY30"/>
  <c r="AY31"/>
  <c r="AY32"/>
  <c r="AY33"/>
  <c r="AY34"/>
  <c r="AY35"/>
  <c r="AY41"/>
  <c r="AY45"/>
  <c r="AY49"/>
  <c r="AY53"/>
  <c r="AY57"/>
  <c r="AY61"/>
  <c r="AY65"/>
  <c r="AY69"/>
  <c r="AY73"/>
  <c r="AY77"/>
  <c r="AY81"/>
  <c r="AY85"/>
  <c r="AY89"/>
  <c r="AY93"/>
  <c r="AY97"/>
  <c r="AY101"/>
  <c r="AY105"/>
  <c r="AY109"/>
  <c r="AY113"/>
  <c r="AY117"/>
  <c r="AY121"/>
  <c r="AY125"/>
  <c r="AY129"/>
  <c r="AY133"/>
  <c r="AY137"/>
  <c r="AY141"/>
  <c r="AY145"/>
  <c r="AY149"/>
  <c r="AY153"/>
  <c r="AY157"/>
  <c r="AY161"/>
  <c r="AY165"/>
  <c r="AY169"/>
  <c r="AY173"/>
  <c r="AY177"/>
  <c r="AY181"/>
  <c r="AY185"/>
  <c r="AY189"/>
  <c r="AY193"/>
  <c r="AY197"/>
  <c r="AY201"/>
  <c r="AY205"/>
  <c r="AY209"/>
  <c r="AY213"/>
  <c r="AY217"/>
  <c r="AY25"/>
  <c r="AY29"/>
  <c r="AX30"/>
  <c r="AX31"/>
  <c r="AX32"/>
  <c r="AX33"/>
  <c r="AX34"/>
  <c r="AX35"/>
  <c r="AX40"/>
  <c r="AX44"/>
  <c r="AX48"/>
  <c r="AX52"/>
  <c r="AX56"/>
  <c r="AX60"/>
  <c r="AX64"/>
  <c r="AX68"/>
  <c r="AX72"/>
  <c r="AX76"/>
  <c r="AX80"/>
  <c r="AX84"/>
  <c r="AX88"/>
  <c r="AX92"/>
  <c r="AX96"/>
  <c r="AX100"/>
  <c r="AX104"/>
  <c r="AX108"/>
  <c r="AX112"/>
  <c r="AX116"/>
  <c r="AX120"/>
  <c r="AX124"/>
  <c r="AX128"/>
  <c r="AX132"/>
  <c r="AX136"/>
  <c r="AX140"/>
  <c r="AX144"/>
  <c r="AX148"/>
  <c r="AX152"/>
  <c r="AX156"/>
  <c r="AX160"/>
  <c r="AX164"/>
  <c r="AX168"/>
  <c r="AX172"/>
  <c r="AX176"/>
  <c r="AX180"/>
  <c r="AX184"/>
  <c r="AX188"/>
  <c r="AX192"/>
  <c r="AX196"/>
  <c r="AX200"/>
  <c r="AX204"/>
  <c r="AX208"/>
  <c r="AX212"/>
  <c r="AX216"/>
  <c r="AX220"/>
  <c r="AY23"/>
  <c r="AY27"/>
  <c r="AX38"/>
  <c r="AX42"/>
  <c r="AX46"/>
  <c r="AX50"/>
  <c r="AX54"/>
  <c r="AX58"/>
  <c r="AX62"/>
  <c r="AX66"/>
  <c r="AX70"/>
  <c r="AX74"/>
  <c r="AX78"/>
  <c r="AX82"/>
  <c r="AX86"/>
  <c r="AX90"/>
  <c r="AX94"/>
  <c r="AX98"/>
  <c r="AX102"/>
  <c r="AX106"/>
  <c r="AX110"/>
  <c r="AX114"/>
  <c r="AX118"/>
  <c r="AX122"/>
  <c r="AX126"/>
  <c r="AX130"/>
  <c r="AX134"/>
  <c r="AX138"/>
  <c r="AX142"/>
  <c r="AX146"/>
  <c r="AX150"/>
  <c r="AX154"/>
  <c r="AX158"/>
  <c r="AX162"/>
  <c r="AX166"/>
  <c r="AX170"/>
  <c r="AX174"/>
  <c r="AX178"/>
  <c r="AX182"/>
  <c r="AX186"/>
  <c r="AX190"/>
  <c r="AX194"/>
  <c r="AX198"/>
  <c r="AX202"/>
  <c r="AX206"/>
  <c r="AX210"/>
  <c r="AX214"/>
  <c r="AX218"/>
  <c r="BI27" i="52"/>
  <c r="BJ27" s="1"/>
  <c r="BL27" s="1"/>
  <c r="BN27" s="1"/>
  <c r="P17" s="1"/>
  <c r="P21" s="1"/>
  <c r="BJ4" s="1"/>
  <c r="BI29"/>
  <c r="BJ29" s="1"/>
  <c r="BL29" s="1"/>
  <c r="BS6"/>
  <c r="BS7"/>
  <c r="BS8"/>
  <c r="BS10"/>
  <c r="BS19"/>
  <c r="BI21"/>
  <c r="BS25"/>
  <c r="BS31"/>
  <c r="BS34"/>
  <c r="BS35"/>
  <c r="BS40"/>
  <c r="DO23" i="53"/>
  <c r="DM23"/>
  <c r="DN23" s="1"/>
  <c r="V102" i="46"/>
  <c r="V98"/>
  <c r="DO199" i="53"/>
  <c r="DM199"/>
  <c r="DN199" s="1"/>
  <c r="DO183"/>
  <c r="DM183"/>
  <c r="DN183" s="1"/>
  <c r="DO167"/>
  <c r="DM167"/>
  <c r="DN167" s="1"/>
  <c r="DO58"/>
  <c r="DM58"/>
  <c r="DN58" s="1"/>
  <c r="DO46"/>
  <c r="DM46"/>
  <c r="DN46" s="1"/>
  <c r="K16" i="46"/>
  <c r="K17"/>
  <c r="AB29" i="50"/>
  <c r="AB21"/>
  <c r="AB19"/>
  <c r="AJ16"/>
  <c r="AJ11"/>
  <c r="AB9"/>
  <c r="AJ5"/>
  <c r="AJ1"/>
  <c r="AY219" i="51"/>
  <c r="AY203"/>
  <c r="AY187"/>
  <c r="AY171"/>
  <c r="AY155"/>
  <c r="AY139"/>
  <c r="AY123"/>
  <c r="AY107"/>
  <c r="AY91"/>
  <c r="AY75"/>
  <c r="AY59"/>
  <c r="AY43"/>
  <c r="AY36"/>
  <c r="AY26"/>
  <c r="AW7" i="49"/>
  <c r="AW15"/>
  <c r="AW16"/>
  <c r="BM11" i="50"/>
  <c r="BK17"/>
  <c r="BM2"/>
  <c r="BS11" i="52"/>
  <c r="BS12"/>
  <c r="BS17"/>
  <c r="BS28"/>
  <c r="BS30"/>
  <c r="Y9"/>
  <c r="H9" s="1"/>
  <c r="BS14"/>
  <c r="BS15"/>
  <c r="BS16"/>
  <c r="BS18"/>
  <c r="BS23"/>
  <c r="BS24"/>
  <c r="BS27"/>
  <c r="O31"/>
  <c r="R35"/>
  <c r="BS36"/>
  <c r="DO158" i="53"/>
  <c r="DM158"/>
  <c r="DN158" s="1"/>
  <c r="DO142"/>
  <c r="DM142"/>
  <c r="DN142" s="1"/>
  <c r="DO126"/>
  <c r="DM126"/>
  <c r="DN126" s="1"/>
  <c r="DO110"/>
  <c r="DM110"/>
  <c r="DN110" s="1"/>
  <c r="DO94"/>
  <c r="DM94"/>
  <c r="DN94" s="1"/>
  <c r="DO78"/>
  <c r="DM78"/>
  <c r="DN78" s="1"/>
  <c r="AZ4" i="51"/>
  <c r="DM197" i="53"/>
  <c r="DN197" s="1"/>
  <c r="DM181"/>
  <c r="DN181" s="1"/>
  <c r="DM165"/>
  <c r="DN165" s="1"/>
  <c r="DM160"/>
  <c r="DN160" s="1"/>
  <c r="DM144"/>
  <c r="DN144" s="1"/>
  <c r="DM128"/>
  <c r="DN128" s="1"/>
  <c r="DM112"/>
  <c r="DN112" s="1"/>
  <c r="DM96"/>
  <c r="DN96" s="1"/>
  <c r="DM80"/>
  <c r="DN80" s="1"/>
  <c r="DM64"/>
  <c r="DN64" s="1"/>
  <c r="DM25"/>
  <c r="DN25" s="1"/>
  <c r="BA16" i="49"/>
  <c r="BD15" s="1"/>
  <c r="AV17"/>
  <c r="AY2"/>
  <c r="I11" s="1"/>
  <c r="I15" s="1"/>
  <c r="E15" s="1"/>
  <c r="AY3"/>
  <c r="G11" s="1"/>
  <c r="DO150" i="53"/>
  <c r="DM150"/>
  <c r="DN150" s="1"/>
  <c r="DO134"/>
  <c r="DM134"/>
  <c r="DN134" s="1"/>
  <c r="DO118"/>
  <c r="DM118"/>
  <c r="DN118" s="1"/>
  <c r="DO102"/>
  <c r="DM102"/>
  <c r="DN102" s="1"/>
  <c r="DO86"/>
  <c r="DM86"/>
  <c r="DN86" s="1"/>
  <c r="DO70"/>
  <c r="DM70"/>
  <c r="DN70" s="1"/>
  <c r="F8" i="50"/>
  <c r="BL7"/>
  <c r="BS20" i="52"/>
  <c r="BS4"/>
  <c r="BI3"/>
  <c r="BS2"/>
  <c r="BM1"/>
  <c r="DM309" i="53"/>
  <c r="DN309" s="1"/>
  <c r="DM304"/>
  <c r="DN304" s="1"/>
  <c r="DM301"/>
  <c r="DN301" s="1"/>
  <c r="DM296"/>
  <c r="DN296" s="1"/>
  <c r="DM293"/>
  <c r="DN293" s="1"/>
  <c r="DM288"/>
  <c r="DN288" s="1"/>
  <c r="DM285"/>
  <c r="DN285" s="1"/>
  <c r="DM280"/>
  <c r="DN280" s="1"/>
  <c r="DM277"/>
  <c r="DN277" s="1"/>
  <c r="DM272"/>
  <c r="DN272" s="1"/>
  <c r="DM269"/>
  <c r="DN269" s="1"/>
  <c r="DM264"/>
  <c r="DN264" s="1"/>
  <c r="DM261"/>
  <c r="DN261" s="1"/>
  <c r="DM256"/>
  <c r="DN256" s="1"/>
  <c r="DM253"/>
  <c r="DN253" s="1"/>
  <c r="DM248"/>
  <c r="DN248" s="1"/>
  <c r="DM245"/>
  <c r="DN245" s="1"/>
  <c r="DM240"/>
  <c r="DN240" s="1"/>
  <c r="DM237"/>
  <c r="DN237" s="1"/>
  <c r="DM232"/>
  <c r="DN232" s="1"/>
  <c r="DM229"/>
  <c r="DN229" s="1"/>
  <c r="DM224"/>
  <c r="DN224" s="1"/>
  <c r="DM221"/>
  <c r="DN221" s="1"/>
  <c r="DM216"/>
  <c r="DN216" s="1"/>
  <c r="DM213"/>
  <c r="DN213" s="1"/>
  <c r="DM204"/>
  <c r="DN204" s="1"/>
  <c r="DM188"/>
  <c r="DN188" s="1"/>
  <c r="DM172"/>
  <c r="DN172" s="1"/>
  <c r="DM159"/>
  <c r="DN159" s="1"/>
  <c r="DM143"/>
  <c r="DN143" s="1"/>
  <c r="DM127"/>
  <c r="DN127" s="1"/>
  <c r="DM111"/>
  <c r="DN111" s="1"/>
  <c r="DM95"/>
  <c r="DN95" s="1"/>
  <c r="DM79"/>
  <c r="DN79" s="1"/>
  <c r="DM63"/>
  <c r="DN63" s="1"/>
  <c r="DM55"/>
  <c r="DN55" s="1"/>
  <c r="DM47"/>
  <c r="DN47" s="1"/>
  <c r="G15" i="49"/>
  <c r="N1"/>
  <c r="BA4"/>
  <c r="AW14"/>
  <c r="AW12"/>
  <c r="AW10"/>
  <c r="AW8"/>
  <c r="BS39" i="52"/>
  <c r="BS37"/>
  <c r="BS32"/>
  <c r="J31"/>
  <c r="J33" s="1"/>
  <c r="BS29"/>
  <c r="BS26"/>
  <c r="BS21"/>
  <c r="C22"/>
  <c r="J24" s="1"/>
  <c r="BS3"/>
  <c r="DM307" i="53"/>
  <c r="DN307" s="1"/>
  <c r="DM306"/>
  <c r="DN306" s="1"/>
  <c r="DM299"/>
  <c r="DN299" s="1"/>
  <c r="DM298"/>
  <c r="DN298" s="1"/>
  <c r="DM291"/>
  <c r="DN291" s="1"/>
  <c r="DM290"/>
  <c r="DN290" s="1"/>
  <c r="DM283"/>
  <c r="DN283" s="1"/>
  <c r="DM282"/>
  <c r="DN282" s="1"/>
  <c r="DM275"/>
  <c r="DN275" s="1"/>
  <c r="DM274"/>
  <c r="DN274" s="1"/>
  <c r="DM267"/>
  <c r="DN267" s="1"/>
  <c r="DM266"/>
  <c r="DN266" s="1"/>
  <c r="DM259"/>
  <c r="DN259" s="1"/>
  <c r="DM258"/>
  <c r="DN258" s="1"/>
  <c r="DM251"/>
  <c r="DN251" s="1"/>
  <c r="DM250"/>
  <c r="DN250" s="1"/>
  <c r="DM243"/>
  <c r="DN243" s="1"/>
  <c r="DM242"/>
  <c r="DN242" s="1"/>
  <c r="DM235"/>
  <c r="DN235" s="1"/>
  <c r="DM234"/>
  <c r="DN234" s="1"/>
  <c r="DM227"/>
  <c r="DN227" s="1"/>
  <c r="DM226"/>
  <c r="DN226" s="1"/>
  <c r="DM219"/>
  <c r="DN219" s="1"/>
  <c r="DM218"/>
  <c r="DN218" s="1"/>
  <c r="DM209"/>
  <c r="DN209" s="1"/>
  <c r="DM208"/>
  <c r="DN208" s="1"/>
  <c r="DM203"/>
  <c r="DN203" s="1"/>
  <c r="DM198"/>
  <c r="DN198" s="1"/>
  <c r="DM193"/>
  <c r="DN193" s="1"/>
  <c r="DM192"/>
  <c r="DN192" s="1"/>
  <c r="DM187"/>
  <c r="DN187" s="1"/>
  <c r="DM182"/>
  <c r="DN182" s="1"/>
  <c r="DM177"/>
  <c r="DN177" s="1"/>
  <c r="DM176"/>
  <c r="DN176" s="1"/>
  <c r="DM171"/>
  <c r="DN171" s="1"/>
  <c r="DM166"/>
  <c r="DN166" s="1"/>
  <c r="DM162"/>
  <c r="DN162" s="1"/>
  <c r="DM161"/>
  <c r="DN161" s="1"/>
  <c r="DM146"/>
  <c r="DN146" s="1"/>
  <c r="DM145"/>
  <c r="DN145" s="1"/>
  <c r="DM130"/>
  <c r="DN130" s="1"/>
  <c r="DM129"/>
  <c r="DN129" s="1"/>
  <c r="DM114"/>
  <c r="DN114" s="1"/>
  <c r="DM113"/>
  <c r="DN113" s="1"/>
  <c r="DM98"/>
  <c r="DN98" s="1"/>
  <c r="DM97"/>
  <c r="DN97" s="1"/>
  <c r="DM82"/>
  <c r="DN82" s="1"/>
  <c r="DM81"/>
  <c r="DN81" s="1"/>
  <c r="DM66"/>
  <c r="DN66" s="1"/>
  <c r="DM65"/>
  <c r="DN65" s="1"/>
  <c r="DM62"/>
  <c r="DN62" s="1"/>
  <c r="DD63"/>
  <c r="DB57"/>
  <c r="BR21" i="50"/>
  <c r="BR20"/>
  <c r="BR18"/>
  <c r="BR16"/>
  <c r="BR12"/>
  <c r="BR8"/>
  <c r="BR4"/>
  <c r="BI25" i="52"/>
  <c r="DM164" i="53"/>
  <c r="DN164" s="1"/>
  <c r="DM156"/>
  <c r="DN156" s="1"/>
  <c r="DM148"/>
  <c r="DN148" s="1"/>
  <c r="DM140"/>
  <c r="DN140" s="1"/>
  <c r="DM132"/>
  <c r="DN132" s="1"/>
  <c r="DM124"/>
  <c r="DN124" s="1"/>
  <c r="DM116"/>
  <c r="DN116" s="1"/>
  <c r="DM108"/>
  <c r="DN108" s="1"/>
  <c r="DM100"/>
  <c r="DN100" s="1"/>
  <c r="DM92"/>
  <c r="DN92" s="1"/>
  <c r="DM84"/>
  <c r="DN84" s="1"/>
  <c r="DM76"/>
  <c r="DN76" s="1"/>
  <c r="DM68"/>
  <c r="DN68" s="1"/>
  <c r="DM53"/>
  <c r="DN53" s="1"/>
  <c r="DM52"/>
  <c r="DN52" s="1"/>
  <c r="DM41"/>
  <c r="DN41" s="1"/>
  <c r="DC44"/>
  <c r="DC46" s="1"/>
  <c r="DM40"/>
  <c r="DN40" s="1"/>
  <c r="DC42"/>
  <c r="DC43" s="1"/>
  <c r="DM26"/>
  <c r="DN26" s="1"/>
  <c r="DM24"/>
  <c r="DN24" s="1"/>
  <c r="DM60"/>
  <c r="DN60" s="1"/>
  <c r="DM42"/>
  <c r="DN42" s="1"/>
  <c r="DM36"/>
  <c r="DN36" s="1"/>
  <c r="G13"/>
  <c r="G17"/>
  <c r="DJ15" s="1"/>
  <c r="DL15" s="1"/>
  <c r="DO15" s="1"/>
  <c r="G21"/>
  <c r="DJ19" s="1"/>
  <c r="DL19" s="1"/>
  <c r="DO19" s="1"/>
  <c r="G25"/>
  <c r="G29"/>
  <c r="G33"/>
  <c r="G37"/>
  <c r="G41"/>
  <c r="G45"/>
  <c r="G49"/>
  <c r="G53"/>
  <c r="G57"/>
  <c r="G61"/>
  <c r="G65"/>
  <c r="G69"/>
  <c r="G73"/>
  <c r="G77"/>
  <c r="G81"/>
  <c r="G85"/>
  <c r="G89"/>
  <c r="G93"/>
  <c r="G97"/>
  <c r="G101"/>
  <c r="G105"/>
  <c r="G109"/>
  <c r="C7"/>
  <c r="B10"/>
  <c r="G311"/>
  <c r="G307"/>
  <c r="G303"/>
  <c r="G299"/>
  <c r="G295"/>
  <c r="G291"/>
  <c r="G287"/>
  <c r="G283"/>
  <c r="G279"/>
  <c r="G275"/>
  <c r="G271"/>
  <c r="G267"/>
  <c r="G263"/>
  <c r="G259"/>
  <c r="G255"/>
  <c r="G251"/>
  <c r="G247"/>
  <c r="G243"/>
  <c r="G239"/>
  <c r="G235"/>
  <c r="G231"/>
  <c r="G227"/>
  <c r="G223"/>
  <c r="G219"/>
  <c r="G215"/>
  <c r="G211"/>
  <c r="G207"/>
  <c r="G203"/>
  <c r="G199"/>
  <c r="G195"/>
  <c r="G191"/>
  <c r="G187"/>
  <c r="G183"/>
  <c r="G179"/>
  <c r="G175"/>
  <c r="G171"/>
  <c r="G167"/>
  <c r="G163"/>
  <c r="G159"/>
  <c r="G155"/>
  <c r="G151"/>
  <c r="G147"/>
  <c r="G143"/>
  <c r="G139"/>
  <c r="G135"/>
  <c r="G131"/>
  <c r="G127"/>
  <c r="G123"/>
  <c r="G119"/>
  <c r="G115"/>
  <c r="G111"/>
  <c r="G106"/>
  <c r="G100"/>
  <c r="G95"/>
  <c r="G90"/>
  <c r="G84"/>
  <c r="G79"/>
  <c r="G74"/>
  <c r="G68"/>
  <c r="G63"/>
  <c r="G58"/>
  <c r="G52"/>
  <c r="G47"/>
  <c r="G42"/>
  <c r="G36"/>
  <c r="G31"/>
  <c r="G26"/>
  <c r="G20"/>
  <c r="DJ18" s="1"/>
  <c r="DL18" s="1"/>
  <c r="DO18" s="1"/>
  <c r="G15"/>
  <c r="DJ13" s="1"/>
  <c r="DL13" s="1"/>
  <c r="DO13" s="1"/>
  <c r="G312"/>
  <c r="G308"/>
  <c r="G304"/>
  <c r="G300"/>
  <c r="G296"/>
  <c r="G292"/>
  <c r="G288"/>
  <c r="G284"/>
  <c r="G280"/>
  <c r="G276"/>
  <c r="G272"/>
  <c r="G268"/>
  <c r="G264"/>
  <c r="G260"/>
  <c r="G256"/>
  <c r="G252"/>
  <c r="G248"/>
  <c r="G244"/>
  <c r="G240"/>
  <c r="G236"/>
  <c r="G232"/>
  <c r="G228"/>
  <c r="G224"/>
  <c r="G220"/>
  <c r="G216"/>
  <c r="G212"/>
  <c r="G208"/>
  <c r="G204"/>
  <c r="G200"/>
  <c r="G196"/>
  <c r="G192"/>
  <c r="G188"/>
  <c r="G184"/>
  <c r="G180"/>
  <c r="G176"/>
  <c r="G172"/>
  <c r="G168"/>
  <c r="G164"/>
  <c r="G160"/>
  <c r="G156"/>
  <c r="G152"/>
  <c r="G148"/>
  <c r="G144"/>
  <c r="G140"/>
  <c r="G136"/>
  <c r="G132"/>
  <c r="G128"/>
  <c r="G124"/>
  <c r="G120"/>
  <c r="G116"/>
  <c r="G112"/>
  <c r="G107"/>
  <c r="G102"/>
  <c r="G96"/>
  <c r="G91"/>
  <c r="G86"/>
  <c r="G80"/>
  <c r="G75"/>
  <c r="G70"/>
  <c r="G64"/>
  <c r="G59"/>
  <c r="G54"/>
  <c r="G48"/>
  <c r="G43"/>
  <c r="G38"/>
  <c r="G32"/>
  <c r="G27"/>
  <c r="G22"/>
  <c r="DJ20" s="1"/>
  <c r="DL20" s="1"/>
  <c r="DO20" s="1"/>
  <c r="G16"/>
  <c r="DJ14" s="1"/>
  <c r="DL14" s="1"/>
  <c r="DO14" s="1"/>
  <c r="AD106" i="41"/>
  <c r="AE106" s="1"/>
  <c r="AF106" s="1"/>
  <c r="AG106" s="1"/>
  <c r="AH106" s="1"/>
  <c r="AI106" s="1"/>
  <c r="AJ106" s="1"/>
  <c r="AK106" s="1"/>
  <c r="AL106" s="1"/>
  <c r="AM106" s="1"/>
  <c r="AN106" s="1"/>
  <c r="AO106" s="1"/>
  <c r="AP106" s="1"/>
  <c r="AQ106" s="1"/>
  <c r="AF104"/>
  <c r="AG104" s="1"/>
  <c r="AD104"/>
  <c r="AE104" s="1"/>
  <c r="AH104"/>
  <c r="AI104" s="1"/>
  <c r="AJ104" s="1"/>
  <c r="AK104" s="1"/>
  <c r="AL104" s="1"/>
  <c r="AM104" s="1"/>
  <c r="AN104" s="1"/>
  <c r="AO104" s="1"/>
  <c r="AP104" s="1"/>
  <c r="AQ104" s="1"/>
  <c r="AD107"/>
  <c r="AE107" s="1"/>
  <c r="AF107" s="1"/>
  <c r="AG107" s="1"/>
  <c r="AH107" s="1"/>
  <c r="AI107" s="1"/>
  <c r="AJ107" s="1"/>
  <c r="AK107" s="1"/>
  <c r="AL107" s="1"/>
  <c r="AM107" s="1"/>
  <c r="AN107" s="1"/>
  <c r="AO107" s="1"/>
  <c r="AP107" s="1"/>
  <c r="AQ107" s="1"/>
  <c r="AD103"/>
  <c r="AE103" s="1"/>
  <c r="AF103" s="1"/>
  <c r="AG103" s="1"/>
  <c r="AH103" s="1"/>
  <c r="AI103" s="1"/>
  <c r="AJ103" s="1"/>
  <c r="AK103" s="1"/>
  <c r="AL103" s="1"/>
  <c r="AM103" s="1"/>
  <c r="AN103" s="1"/>
  <c r="AO103" s="1"/>
  <c r="AP103" s="1"/>
  <c r="AQ103" s="1"/>
  <c r="E12"/>
  <c r="E7" i="40"/>
  <c r="BG112" i="47" l="1"/>
  <c r="BH112" s="1"/>
  <c r="BG104"/>
  <c r="BH104" s="1"/>
  <c r="BG96"/>
  <c r="BH96" s="1"/>
  <c r="BG88"/>
  <c r="BH88" s="1"/>
  <c r="BG80"/>
  <c r="BH80" s="1"/>
  <c r="BG72"/>
  <c r="BH72" s="1"/>
  <c r="BG64"/>
  <c r="BH64" s="1"/>
  <c r="BG56"/>
  <c r="BH56" s="1"/>
  <c r="BG48"/>
  <c r="BH48" s="1"/>
  <c r="BG40"/>
  <c r="BH40" s="1"/>
  <c r="AO112" i="46"/>
  <c r="AO113" s="1"/>
  <c r="L26"/>
  <c r="N26" s="1"/>
  <c r="L22"/>
  <c r="N25"/>
  <c r="BG173" i="47"/>
  <c r="BH173" s="1"/>
  <c r="BG165"/>
  <c r="BH165" s="1"/>
  <c r="BG157"/>
  <c r="BH157" s="1"/>
  <c r="BG149"/>
  <c r="BH149" s="1"/>
  <c r="BG141"/>
  <c r="BH141" s="1"/>
  <c r="BG133"/>
  <c r="BH133" s="1"/>
  <c r="BG125"/>
  <c r="BH125" s="1"/>
  <c r="BG117"/>
  <c r="BH117" s="1"/>
  <c r="BG109"/>
  <c r="BH109" s="1"/>
  <c r="BG101"/>
  <c r="BH101" s="1"/>
  <c r="BG93"/>
  <c r="BH93" s="1"/>
  <c r="BG85"/>
  <c r="BH85" s="1"/>
  <c r="BG77"/>
  <c r="BH77" s="1"/>
  <c r="BG69"/>
  <c r="BH69" s="1"/>
  <c r="BG61"/>
  <c r="BH61" s="1"/>
  <c r="BG53"/>
  <c r="BH53" s="1"/>
  <c r="BG45"/>
  <c r="BH45" s="1"/>
  <c r="AA1" i="52"/>
  <c r="BG175" i="47"/>
  <c r="BH175" s="1"/>
  <c r="BG159"/>
  <c r="BH159" s="1"/>
  <c r="BG143"/>
  <c r="BH143" s="1"/>
  <c r="BG127"/>
  <c r="BH127" s="1"/>
  <c r="BG161"/>
  <c r="BH161" s="1"/>
  <c r="BG145"/>
  <c r="BH145" s="1"/>
  <c r="BG129"/>
  <c r="BH129" s="1"/>
  <c r="BG113"/>
  <c r="BH113" s="1"/>
  <c r="BG105"/>
  <c r="BH105" s="1"/>
  <c r="BG97"/>
  <c r="BH97" s="1"/>
  <c r="BG89"/>
  <c r="BH89" s="1"/>
  <c r="BG81"/>
  <c r="BH81" s="1"/>
  <c r="BG73"/>
  <c r="BH73" s="1"/>
  <c r="BG65"/>
  <c r="BH65" s="1"/>
  <c r="BG57"/>
  <c r="BH57" s="1"/>
  <c r="BG49"/>
  <c r="BH49" s="1"/>
  <c r="BG41"/>
  <c r="BH41" s="1"/>
  <c r="AR107" i="41"/>
  <c r="AS107" s="1"/>
  <c r="AT107" s="1"/>
  <c r="AA104"/>
  <c r="N71" s="1"/>
  <c r="AR104"/>
  <c r="AS104" s="1"/>
  <c r="AT104" s="1"/>
  <c r="AB102" i="46"/>
  <c r="AK102"/>
  <c r="AJ102"/>
  <c r="AA106" i="41"/>
  <c r="N73" s="1"/>
  <c r="AR106"/>
  <c r="AS106" s="1"/>
  <c r="AT106" s="1"/>
  <c r="AR103"/>
  <c r="AS103" s="1"/>
  <c r="AT103" s="1"/>
  <c r="AB104" i="46"/>
  <c r="AJ104"/>
  <c r="AK104"/>
  <c r="D19" i="44"/>
  <c r="AA108" i="41"/>
  <c r="N75" s="1"/>
  <c r="AR108"/>
  <c r="AS108" s="1"/>
  <c r="AT108" s="1"/>
  <c r="AA449"/>
  <c r="Y449" s="1"/>
  <c r="AR449"/>
  <c r="AS449" s="1"/>
  <c r="AT449" s="1"/>
  <c r="AR456"/>
  <c r="AS456" s="1"/>
  <c r="AT456" s="1"/>
  <c r="AR472"/>
  <c r="AS472" s="1"/>
  <c r="AT472" s="1"/>
  <c r="AR468"/>
  <c r="AS468" s="1"/>
  <c r="AT468" s="1"/>
  <c r="AA468"/>
  <c r="Y468" s="1"/>
  <c r="AR437"/>
  <c r="AS437" s="1"/>
  <c r="AT437" s="1"/>
  <c r="AA437"/>
  <c r="Y437" s="1"/>
  <c r="AR430"/>
  <c r="AS430" s="1"/>
  <c r="AT430" s="1"/>
  <c r="AR413"/>
  <c r="AS413" s="1"/>
  <c r="AT413" s="1"/>
  <c r="AR399"/>
  <c r="AS399" s="1"/>
  <c r="AT399" s="1"/>
  <c r="AR425"/>
  <c r="AS425" s="1"/>
  <c r="AT425" s="1"/>
  <c r="AR426"/>
  <c r="AS426" s="1"/>
  <c r="AT426" s="1"/>
  <c r="AR419"/>
  <c r="AS419" s="1"/>
  <c r="AT419" s="1"/>
  <c r="AR414"/>
  <c r="AS414" s="1"/>
  <c r="AT414" s="1"/>
  <c r="AR463"/>
  <c r="AS463" s="1"/>
  <c r="AT463" s="1"/>
  <c r="AR462"/>
  <c r="AS462" s="1"/>
  <c r="AT462" s="1"/>
  <c r="AR467"/>
  <c r="AS467" s="1"/>
  <c r="AT467" s="1"/>
  <c r="AR479"/>
  <c r="AS479" s="1"/>
  <c r="AT479" s="1"/>
  <c r="AR508"/>
  <c r="AS508" s="1"/>
  <c r="AT508" s="1"/>
  <c r="AR493"/>
  <c r="AS493" s="1"/>
  <c r="AT493" s="1"/>
  <c r="AR489"/>
  <c r="AS489" s="1"/>
  <c r="AT489" s="1"/>
  <c r="AR485"/>
  <c r="AS485" s="1"/>
  <c r="AT485" s="1"/>
  <c r="AR448"/>
  <c r="AS448" s="1"/>
  <c r="AT448" s="1"/>
  <c r="AR442"/>
  <c r="AS442" s="1"/>
  <c r="AT442" s="1"/>
  <c r="AR445"/>
  <c r="AS445" s="1"/>
  <c r="AT445" s="1"/>
  <c r="AR434"/>
  <c r="AS434" s="1"/>
  <c r="AT434" s="1"/>
  <c r="AC70"/>
  <c r="AD70" s="1"/>
  <c r="AE70" s="1"/>
  <c r="AF70" s="1"/>
  <c r="AG70" s="1"/>
  <c r="AH70" s="1"/>
  <c r="AI70" s="1"/>
  <c r="AJ70" s="1"/>
  <c r="AK70" s="1"/>
  <c r="AL70" s="1"/>
  <c r="AM70" s="1"/>
  <c r="AN70" s="1"/>
  <c r="AO70" s="1"/>
  <c r="AP70" s="1"/>
  <c r="AQ70" s="1"/>
  <c r="Y70"/>
  <c r="BD9" i="47"/>
  <c r="DS8" i="45"/>
  <c r="DE9" s="1"/>
  <c r="DC2"/>
  <c r="DE13"/>
  <c r="DB2"/>
  <c r="CX2"/>
  <c r="CY10"/>
  <c r="BB94" i="46"/>
  <c r="BC94" s="1"/>
  <c r="J84" s="1"/>
  <c r="AZ94"/>
  <c r="BH109"/>
  <c r="BI109" s="1"/>
  <c r="L99" s="1"/>
  <c r="BF109"/>
  <c r="M99" s="1"/>
  <c r="BH125"/>
  <c r="BI125" s="1"/>
  <c r="L115" s="1"/>
  <c r="BF125"/>
  <c r="M115" s="1"/>
  <c r="BB106"/>
  <c r="BC106" s="1"/>
  <c r="J96" s="1"/>
  <c r="AZ106"/>
  <c r="K96" s="1"/>
  <c r="BB122"/>
  <c r="BC122" s="1"/>
  <c r="J112" s="1"/>
  <c r="AZ122"/>
  <c r="K112" s="1"/>
  <c r="BB138"/>
  <c r="BC138" s="1"/>
  <c r="J128" s="1"/>
  <c r="AZ138"/>
  <c r="K128" s="1"/>
  <c r="BF190"/>
  <c r="M180" s="1"/>
  <c r="BH190"/>
  <c r="BI190" s="1"/>
  <c r="L180" s="1"/>
  <c r="BI307" i="47"/>
  <c r="BM307"/>
  <c r="BI299"/>
  <c r="BM299"/>
  <c r="BI291"/>
  <c r="BM291"/>
  <c r="BI283"/>
  <c r="BM283"/>
  <c r="BI275"/>
  <c r="BM275"/>
  <c r="BI267"/>
  <c r="BM267"/>
  <c r="BI259"/>
  <c r="BM259"/>
  <c r="BI251"/>
  <c r="BM251"/>
  <c r="BI243"/>
  <c r="BM243"/>
  <c r="BI235"/>
  <c r="BM235"/>
  <c r="BI227"/>
  <c r="BM227"/>
  <c r="BI219"/>
  <c r="BM219"/>
  <c r="BI211"/>
  <c r="BM211"/>
  <c r="BI203"/>
  <c r="BM203"/>
  <c r="BI195"/>
  <c r="BM195"/>
  <c r="BI187"/>
  <c r="BM187"/>
  <c r="BI179"/>
  <c r="BM179"/>
  <c r="BI161"/>
  <c r="BM161"/>
  <c r="BI145"/>
  <c r="BM145"/>
  <c r="BI129"/>
  <c r="BM129"/>
  <c r="BI102"/>
  <c r="BM102"/>
  <c r="BI86"/>
  <c r="BM86"/>
  <c r="BI70"/>
  <c r="BM70"/>
  <c r="BI54"/>
  <c r="BM54"/>
  <c r="BI302"/>
  <c r="BM302"/>
  <c r="BI294"/>
  <c r="BM294"/>
  <c r="BI286"/>
  <c r="BM286"/>
  <c r="BI278"/>
  <c r="BM278"/>
  <c r="BI270"/>
  <c r="BM270"/>
  <c r="BI262"/>
  <c r="BM262"/>
  <c r="BI254"/>
  <c r="BM254"/>
  <c r="BI246"/>
  <c r="BM246"/>
  <c r="BI238"/>
  <c r="BM238"/>
  <c r="BI230"/>
  <c r="BM230"/>
  <c r="BI222"/>
  <c r="BM222"/>
  <c r="BI214"/>
  <c r="BM214"/>
  <c r="BI206"/>
  <c r="BM206"/>
  <c r="BI198"/>
  <c r="BM198"/>
  <c r="BI190"/>
  <c r="BM190"/>
  <c r="BI182"/>
  <c r="BM182"/>
  <c r="BI174"/>
  <c r="BM174"/>
  <c r="BI166"/>
  <c r="BM166"/>
  <c r="BI158"/>
  <c r="BM158"/>
  <c r="BI150"/>
  <c r="BM150"/>
  <c r="BI142"/>
  <c r="BM142"/>
  <c r="BI134"/>
  <c r="BM134"/>
  <c r="BI126"/>
  <c r="BM126"/>
  <c r="BI118"/>
  <c r="BM118"/>
  <c r="BI115"/>
  <c r="BM115"/>
  <c r="BI107"/>
  <c r="BM107"/>
  <c r="BI99"/>
  <c r="BM99"/>
  <c r="BI91"/>
  <c r="BM91"/>
  <c r="BI83"/>
  <c r="BM83"/>
  <c r="BI75"/>
  <c r="BM75"/>
  <c r="BI67"/>
  <c r="BM67"/>
  <c r="BI59"/>
  <c r="BM59"/>
  <c r="BI51"/>
  <c r="BM51"/>
  <c r="BI43"/>
  <c r="BM43"/>
  <c r="AQ132" i="40"/>
  <c r="AR132" s="1"/>
  <c r="AS132" s="1"/>
  <c r="Z132"/>
  <c r="M99" s="1"/>
  <c r="AQ120"/>
  <c r="AR120" s="1"/>
  <c r="AS120" s="1"/>
  <c r="Z120"/>
  <c r="M87" s="1"/>
  <c r="AB98"/>
  <c r="AC98" s="1"/>
  <c r="AD98" s="1"/>
  <c r="AE98" s="1"/>
  <c r="AF98" s="1"/>
  <c r="AG98" s="1"/>
  <c r="AH98" s="1"/>
  <c r="AI98" s="1"/>
  <c r="AJ98" s="1"/>
  <c r="AK98" s="1"/>
  <c r="AL98" s="1"/>
  <c r="AM98" s="1"/>
  <c r="AN98" s="1"/>
  <c r="AO98" s="1"/>
  <c r="AP98" s="1"/>
  <c r="X98"/>
  <c r="X94"/>
  <c r="AB94"/>
  <c r="AC94" s="1"/>
  <c r="AD94" s="1"/>
  <c r="AE94" s="1"/>
  <c r="AF94" s="1"/>
  <c r="AG94" s="1"/>
  <c r="AH94" s="1"/>
  <c r="AI94" s="1"/>
  <c r="AJ94" s="1"/>
  <c r="AK94" s="1"/>
  <c r="AL94" s="1"/>
  <c r="AM94" s="1"/>
  <c r="AN94" s="1"/>
  <c r="AO94" s="1"/>
  <c r="AP94" s="1"/>
  <c r="AQ423"/>
  <c r="AR423" s="1"/>
  <c r="AS423" s="1"/>
  <c r="AQ395"/>
  <c r="AR395" s="1"/>
  <c r="AS395" s="1"/>
  <c r="AB83"/>
  <c r="AC83" s="1"/>
  <c r="AD83" s="1"/>
  <c r="AE83" s="1"/>
  <c r="AF83" s="1"/>
  <c r="AG83" s="1"/>
  <c r="AH83" s="1"/>
  <c r="AI83" s="1"/>
  <c r="AJ83" s="1"/>
  <c r="AK83" s="1"/>
  <c r="AL83" s="1"/>
  <c r="AM83" s="1"/>
  <c r="AN83" s="1"/>
  <c r="AO83" s="1"/>
  <c r="AP83" s="1"/>
  <c r="X83"/>
  <c r="AB81"/>
  <c r="AC81" s="1"/>
  <c r="AD81" s="1"/>
  <c r="AE81" s="1"/>
  <c r="AF81" s="1"/>
  <c r="AG81" s="1"/>
  <c r="AH81" s="1"/>
  <c r="AI81" s="1"/>
  <c r="AJ81" s="1"/>
  <c r="AK81" s="1"/>
  <c r="AL81" s="1"/>
  <c r="AM81" s="1"/>
  <c r="AN81" s="1"/>
  <c r="AO81" s="1"/>
  <c r="AP81" s="1"/>
  <c r="X81"/>
  <c r="AB104"/>
  <c r="AC104" s="1"/>
  <c r="AD104" s="1"/>
  <c r="AE104" s="1"/>
  <c r="AF104" s="1"/>
  <c r="AG104" s="1"/>
  <c r="AH104" s="1"/>
  <c r="AI104" s="1"/>
  <c r="AJ104" s="1"/>
  <c r="AK104" s="1"/>
  <c r="AL104" s="1"/>
  <c r="AM104" s="1"/>
  <c r="AN104" s="1"/>
  <c r="AO104" s="1"/>
  <c r="AP104" s="1"/>
  <c r="X104"/>
  <c r="Q93" i="41"/>
  <c r="T93"/>
  <c r="U84"/>
  <c r="R84"/>
  <c r="DB5" i="44"/>
  <c r="DE16"/>
  <c r="CX5"/>
  <c r="DC5"/>
  <c r="CY13"/>
  <c r="R95" i="41"/>
  <c r="U95"/>
  <c r="U85"/>
  <c r="R85"/>
  <c r="DE7" i="44"/>
  <c r="DE46"/>
  <c r="DG7"/>
  <c r="DD7"/>
  <c r="R76" i="41"/>
  <c r="U76"/>
  <c r="Q92" i="40"/>
  <c r="T92"/>
  <c r="Q96"/>
  <c r="T96"/>
  <c r="T91"/>
  <c r="Q91"/>
  <c r="Q82"/>
  <c r="Q77" s="1"/>
  <c r="O77" s="1"/>
  <c r="T82"/>
  <c r="Y94" i="46"/>
  <c r="Q94" s="1"/>
  <c r="AI97"/>
  <c r="AB97" s="1"/>
  <c r="AI105"/>
  <c r="AI113"/>
  <c r="AI121"/>
  <c r="AI129"/>
  <c r="AI137"/>
  <c r="AB137" s="1"/>
  <c r="AC137" s="1"/>
  <c r="AD137" s="1"/>
  <c r="Y103"/>
  <c r="Q103" s="1"/>
  <c r="Y111"/>
  <c r="Y119"/>
  <c r="Y127"/>
  <c r="Y135"/>
  <c r="Q135" s="1"/>
  <c r="Y143"/>
  <c r="Q143" s="1"/>
  <c r="DB7" i="43"/>
  <c r="AI124" i="46"/>
  <c r="AI108"/>
  <c r="Y140"/>
  <c r="Q140" s="1"/>
  <c r="Y124"/>
  <c r="Y108"/>
  <c r="DD44" i="44"/>
  <c r="DB44"/>
  <c r="Z454" i="40"/>
  <c r="X454" s="1"/>
  <c r="Z466"/>
  <c r="X466" s="1"/>
  <c r="Z478"/>
  <c r="X478" s="1"/>
  <c r="G9" i="53"/>
  <c r="G10"/>
  <c r="DJ11"/>
  <c r="DL11" s="1"/>
  <c r="DO11" s="1"/>
  <c r="DC48"/>
  <c r="DC49"/>
  <c r="AP107" i="46"/>
  <c r="AO107"/>
  <c r="AS95" s="1"/>
  <c r="AS96" s="1"/>
  <c r="AS97" s="1"/>
  <c r="AX3" i="51"/>
  <c r="AW16"/>
  <c r="BB4"/>
  <c r="DB3" i="45"/>
  <c r="DC3"/>
  <c r="DE14"/>
  <c r="CY11"/>
  <c r="CX3"/>
  <c r="AZ121" i="46"/>
  <c r="K111" s="1"/>
  <c r="BB121"/>
  <c r="BC121" s="1"/>
  <c r="J111" s="1"/>
  <c r="BH200"/>
  <c r="BI200" s="1"/>
  <c r="L190" s="1"/>
  <c r="BF200"/>
  <c r="M190" s="1"/>
  <c r="BH216"/>
  <c r="BI216" s="1"/>
  <c r="L206" s="1"/>
  <c r="BF216"/>
  <c r="M206" s="1"/>
  <c r="BH232"/>
  <c r="BI232" s="1"/>
  <c r="L222" s="1"/>
  <c r="BF232"/>
  <c r="M222" s="1"/>
  <c r="BH248"/>
  <c r="BI248" s="1"/>
  <c r="L238" s="1"/>
  <c r="BF248"/>
  <c r="M238" s="1"/>
  <c r="BH264"/>
  <c r="BI264" s="1"/>
  <c r="L254" s="1"/>
  <c r="BF264"/>
  <c r="M254" s="1"/>
  <c r="BH280"/>
  <c r="BI280" s="1"/>
  <c r="L270" s="1"/>
  <c r="BF280"/>
  <c r="M270" s="1"/>
  <c r="DJ7" i="53"/>
  <c r="DO7"/>
  <c r="DQ7" s="1"/>
  <c r="DU6"/>
  <c r="DY5"/>
  <c r="BI6" i="52"/>
  <c r="BM7"/>
  <c r="BI7"/>
  <c r="BI18"/>
  <c r="BI10" s="1"/>
  <c r="BA17" i="49"/>
  <c r="BD16" s="1"/>
  <c r="AV18"/>
  <c r="BK22" i="50"/>
  <c r="BK23"/>
  <c r="BK21"/>
  <c r="BK24"/>
  <c r="AO106" i="46"/>
  <c r="AP106"/>
  <c r="AE1" i="52"/>
  <c r="AI1"/>
  <c r="AI3"/>
  <c r="AI4"/>
  <c r="AI5"/>
  <c r="AA6"/>
  <c r="AI7"/>
  <c r="AI8"/>
  <c r="AA9"/>
  <c r="AA10"/>
  <c r="AI11"/>
  <c r="AI13"/>
  <c r="AA14"/>
  <c r="AA15"/>
  <c r="AA16"/>
  <c r="AA18"/>
  <c r="AA20"/>
  <c r="AA22"/>
  <c r="AI26"/>
  <c r="AA27"/>
  <c r="AA30"/>
  <c r="AI32"/>
  <c r="AA34"/>
  <c r="AI36"/>
  <c r="AI37"/>
  <c r="AD1"/>
  <c r="AH1"/>
  <c r="AI2"/>
  <c r="AA3"/>
  <c r="AA4"/>
  <c r="AA5"/>
  <c r="AA7"/>
  <c r="AA8"/>
  <c r="AA11"/>
  <c r="AA13"/>
  <c r="AI19"/>
  <c r="AI23"/>
  <c r="AI24"/>
  <c r="AA26"/>
  <c r="AI29"/>
  <c r="AI31"/>
  <c r="AA32"/>
  <c r="AA36"/>
  <c r="AA37"/>
  <c r="AC1"/>
  <c r="AA2"/>
  <c r="AA19"/>
  <c r="AI20"/>
  <c r="AA23"/>
  <c r="AA24"/>
  <c r="AI25"/>
  <c r="AI28"/>
  <c r="AA31"/>
  <c r="AI33"/>
  <c r="AI35"/>
  <c r="AB1"/>
  <c r="AI6"/>
  <c r="AI9"/>
  <c r="AI10"/>
  <c r="AI14"/>
  <c r="AI15"/>
  <c r="AI16"/>
  <c r="AA25"/>
  <c r="AA28"/>
  <c r="AA33"/>
  <c r="AI34"/>
  <c r="AA35"/>
  <c r="AF1"/>
  <c r="AA12"/>
  <c r="AA17"/>
  <c r="AI18"/>
  <c r="AA21"/>
  <c r="AI27"/>
  <c r="AI30"/>
  <c r="AG1"/>
  <c r="AI22"/>
  <c r="AA29"/>
  <c r="AI12"/>
  <c r="AI17"/>
  <c r="AI21"/>
  <c r="DC5" i="45"/>
  <c r="DE16"/>
  <c r="DB5"/>
  <c r="CX5"/>
  <c r="CY13"/>
  <c r="K18" i="50"/>
  <c r="BL18" s="1"/>
  <c r="AZ113" i="46"/>
  <c r="K103" s="1"/>
  <c r="BB113"/>
  <c r="BC113" s="1"/>
  <c r="J103" s="1"/>
  <c r="BH198"/>
  <c r="BI198" s="1"/>
  <c r="L188" s="1"/>
  <c r="BF198"/>
  <c r="M188" s="1"/>
  <c r="BH214"/>
  <c r="BI214" s="1"/>
  <c r="L204" s="1"/>
  <c r="BF214"/>
  <c r="M204" s="1"/>
  <c r="BH230"/>
  <c r="BI230" s="1"/>
  <c r="L220" s="1"/>
  <c r="BF230"/>
  <c r="M220" s="1"/>
  <c r="BH246"/>
  <c r="BI246" s="1"/>
  <c r="L236" s="1"/>
  <c r="BF246"/>
  <c r="M236" s="1"/>
  <c r="BH262"/>
  <c r="BI262" s="1"/>
  <c r="L252" s="1"/>
  <c r="BF262"/>
  <c r="M252" s="1"/>
  <c r="BH278"/>
  <c r="BI278" s="1"/>
  <c r="L268" s="1"/>
  <c r="BF278"/>
  <c r="M268" s="1"/>
  <c r="BH94"/>
  <c r="BI94" s="1"/>
  <c r="L84" s="1"/>
  <c r="BF94"/>
  <c r="AA457" i="41"/>
  <c r="Y457" s="1"/>
  <c r="AR457"/>
  <c r="AS457" s="1"/>
  <c r="AT457" s="1"/>
  <c r="AR438"/>
  <c r="AS438" s="1"/>
  <c r="AT438" s="1"/>
  <c r="AR409"/>
  <c r="AS409" s="1"/>
  <c r="AT409" s="1"/>
  <c r="AR395"/>
  <c r="AS395" s="1"/>
  <c r="AT395" s="1"/>
  <c r="AC73"/>
  <c r="AD73" s="1"/>
  <c r="AE73" s="1"/>
  <c r="AF73" s="1"/>
  <c r="AG73" s="1"/>
  <c r="AH73" s="1"/>
  <c r="AI73" s="1"/>
  <c r="AJ73" s="1"/>
  <c r="AK73" s="1"/>
  <c r="AL73" s="1"/>
  <c r="AM73" s="1"/>
  <c r="AN73" s="1"/>
  <c r="AO73" s="1"/>
  <c r="AP73" s="1"/>
  <c r="AQ73" s="1"/>
  <c r="Y73"/>
  <c r="AR421"/>
  <c r="AS421" s="1"/>
  <c r="AT421" s="1"/>
  <c r="AR415"/>
  <c r="AS415" s="1"/>
  <c r="AT415" s="1"/>
  <c r="AR383"/>
  <c r="AS383" s="1"/>
  <c r="AT383" s="1"/>
  <c r="AR465"/>
  <c r="AS465" s="1"/>
  <c r="AT465" s="1"/>
  <c r="AR481"/>
  <c r="AS481" s="1"/>
  <c r="AT481" s="1"/>
  <c r="AR497"/>
  <c r="AS497" s="1"/>
  <c r="AT497" s="1"/>
  <c r="AR494"/>
  <c r="AS494" s="1"/>
  <c r="AT494" s="1"/>
  <c r="AR490"/>
  <c r="AS490" s="1"/>
  <c r="AT490" s="1"/>
  <c r="AR486"/>
  <c r="AS486" s="1"/>
  <c r="AT486" s="1"/>
  <c r="AR459"/>
  <c r="AS459" s="1"/>
  <c r="AT459" s="1"/>
  <c r="AR443"/>
  <c r="AS443" s="1"/>
  <c r="AT443" s="1"/>
  <c r="AR439"/>
  <c r="AS439" s="1"/>
  <c r="AT439" s="1"/>
  <c r="AR435"/>
  <c r="AS435" s="1"/>
  <c r="AT435" s="1"/>
  <c r="DA45" i="45"/>
  <c r="CW34"/>
  <c r="CY45"/>
  <c r="DL7"/>
  <c r="BH105" i="46"/>
  <c r="BI105" s="1"/>
  <c r="L95" s="1"/>
  <c r="BF105"/>
  <c r="M95" s="1"/>
  <c r="BH121"/>
  <c r="BI121" s="1"/>
  <c r="L111" s="1"/>
  <c r="BF121"/>
  <c r="M111" s="1"/>
  <c r="BH137"/>
  <c r="BI137" s="1"/>
  <c r="L127" s="1"/>
  <c r="BF137"/>
  <c r="M127" s="1"/>
  <c r="BH96"/>
  <c r="BI96" s="1"/>
  <c r="L86" s="1"/>
  <c r="BF96"/>
  <c r="M86" s="1"/>
  <c r="BH112"/>
  <c r="BI112" s="1"/>
  <c r="L102" s="1"/>
  <c r="BH111"/>
  <c r="BI111" s="1"/>
  <c r="L101" s="1"/>
  <c r="BF112"/>
  <c r="M102" s="1"/>
  <c r="BH128"/>
  <c r="BI128" s="1"/>
  <c r="L118" s="1"/>
  <c r="BH127"/>
  <c r="BI127" s="1"/>
  <c r="L117" s="1"/>
  <c r="BF128"/>
  <c r="M118" s="1"/>
  <c r="BH144"/>
  <c r="BI144" s="1"/>
  <c r="L134" s="1"/>
  <c r="BF144"/>
  <c r="M134" s="1"/>
  <c r="BH160"/>
  <c r="BI160" s="1"/>
  <c r="L150" s="1"/>
  <c r="BF160"/>
  <c r="M150" s="1"/>
  <c r="BH176"/>
  <c r="BI176" s="1"/>
  <c r="L166" s="1"/>
  <c r="BF176"/>
  <c r="M166" s="1"/>
  <c r="BH192"/>
  <c r="BI192" s="1"/>
  <c r="L182" s="1"/>
  <c r="BF192"/>
  <c r="M182" s="1"/>
  <c r="CY17" i="43"/>
  <c r="CW10"/>
  <c r="DB17"/>
  <c r="CX17"/>
  <c r="DA17" s="1"/>
  <c r="CV25"/>
  <c r="AZ103" i="46"/>
  <c r="K93" s="1"/>
  <c r="BB103"/>
  <c r="BC103" s="1"/>
  <c r="J93" s="1"/>
  <c r="AZ119"/>
  <c r="K109" s="1"/>
  <c r="BB119"/>
  <c r="BC119" s="1"/>
  <c r="J109" s="1"/>
  <c r="AZ135"/>
  <c r="K125" s="1"/>
  <c r="BB135"/>
  <c r="BC135" s="1"/>
  <c r="J125" s="1"/>
  <c r="BF142"/>
  <c r="M132" s="1"/>
  <c r="BH142"/>
  <c r="BI142" s="1"/>
  <c r="L132" s="1"/>
  <c r="BI165" i="47"/>
  <c r="BM165"/>
  <c r="BI149"/>
  <c r="BM149"/>
  <c r="BI133"/>
  <c r="BM133"/>
  <c r="BI117"/>
  <c r="BM117"/>
  <c r="BI109"/>
  <c r="BM109"/>
  <c r="BI101"/>
  <c r="BM101"/>
  <c r="BI93"/>
  <c r="BM93"/>
  <c r="BI85"/>
  <c r="BM85"/>
  <c r="BI77"/>
  <c r="BM77"/>
  <c r="BI69"/>
  <c r="BM69"/>
  <c r="BI61"/>
  <c r="BM61"/>
  <c r="BI53"/>
  <c r="BM53"/>
  <c r="BI45"/>
  <c r="BM45"/>
  <c r="BI305"/>
  <c r="BM305"/>
  <c r="BI297"/>
  <c r="BM297"/>
  <c r="BI289"/>
  <c r="BM289"/>
  <c r="BI281"/>
  <c r="BM281"/>
  <c r="BI273"/>
  <c r="BM273"/>
  <c r="BI265"/>
  <c r="BM265"/>
  <c r="BI257"/>
  <c r="BM257"/>
  <c r="BI249"/>
  <c r="BM249"/>
  <c r="BI241"/>
  <c r="BM241"/>
  <c r="BI233"/>
  <c r="BM233"/>
  <c r="BI225"/>
  <c r="BM225"/>
  <c r="BI217"/>
  <c r="BM217"/>
  <c r="BI209"/>
  <c r="BM209"/>
  <c r="BI201"/>
  <c r="BM201"/>
  <c r="BI193"/>
  <c r="BM193"/>
  <c r="BI185"/>
  <c r="BM185"/>
  <c r="BI177"/>
  <c r="BM177"/>
  <c r="BI106"/>
  <c r="BM106"/>
  <c r="BI90"/>
  <c r="BM90"/>
  <c r="BI74"/>
  <c r="BM74"/>
  <c r="BI58"/>
  <c r="BM58"/>
  <c r="BI42"/>
  <c r="BM42"/>
  <c r="BI175"/>
  <c r="BM175"/>
  <c r="BI167"/>
  <c r="BM167"/>
  <c r="BI159"/>
  <c r="BM159"/>
  <c r="BI151"/>
  <c r="BM151"/>
  <c r="BI143"/>
  <c r="BM143"/>
  <c r="BI135"/>
  <c r="BM135"/>
  <c r="BI127"/>
  <c r="BM127"/>
  <c r="BI119"/>
  <c r="BM119"/>
  <c r="BM176"/>
  <c r="BI176"/>
  <c r="BM168"/>
  <c r="BI168"/>
  <c r="BM160"/>
  <c r="BI160"/>
  <c r="BM152"/>
  <c r="BI152"/>
  <c r="BM144"/>
  <c r="BI144"/>
  <c r="BM136"/>
  <c r="BI136"/>
  <c r="BM128"/>
  <c r="BI128"/>
  <c r="BM120"/>
  <c r="BI120"/>
  <c r="BI112"/>
  <c r="BM112"/>
  <c r="BI104"/>
  <c r="BM104"/>
  <c r="BI96"/>
  <c r="BM96"/>
  <c r="BI88"/>
  <c r="BM88"/>
  <c r="BI80"/>
  <c r="BM80"/>
  <c r="BI72"/>
  <c r="BM72"/>
  <c r="BI64"/>
  <c r="BM64"/>
  <c r="BI56"/>
  <c r="BM56"/>
  <c r="BI48"/>
  <c r="BM48"/>
  <c r="BI40"/>
  <c r="BM40"/>
  <c r="P106" i="40"/>
  <c r="S106"/>
  <c r="AQ129"/>
  <c r="AR129" s="1"/>
  <c r="AS129" s="1"/>
  <c r="Z129"/>
  <c r="M96" s="1"/>
  <c r="AB93"/>
  <c r="AC93" s="1"/>
  <c r="AD93" s="1"/>
  <c r="AE93" s="1"/>
  <c r="AF93" s="1"/>
  <c r="AG93" s="1"/>
  <c r="AH93" s="1"/>
  <c r="AI93" s="1"/>
  <c r="AJ93" s="1"/>
  <c r="AK93" s="1"/>
  <c r="AL93" s="1"/>
  <c r="AM93" s="1"/>
  <c r="AN93" s="1"/>
  <c r="AO93" s="1"/>
  <c r="AP93" s="1"/>
  <c r="X93"/>
  <c r="AB107"/>
  <c r="AC107" s="1"/>
  <c r="AD107" s="1"/>
  <c r="AE107" s="1"/>
  <c r="AF107" s="1"/>
  <c r="AG107" s="1"/>
  <c r="AH107" s="1"/>
  <c r="AI107" s="1"/>
  <c r="AJ107" s="1"/>
  <c r="AK107" s="1"/>
  <c r="AL107" s="1"/>
  <c r="AM107" s="1"/>
  <c r="AN107" s="1"/>
  <c r="AO107" s="1"/>
  <c r="AP107" s="1"/>
  <c r="X107"/>
  <c r="AQ421"/>
  <c r="AR421" s="1"/>
  <c r="AS421" s="1"/>
  <c r="AQ420"/>
  <c r="AR420" s="1"/>
  <c r="AS420" s="1"/>
  <c r="AB84"/>
  <c r="AC84" s="1"/>
  <c r="AD84" s="1"/>
  <c r="AE84" s="1"/>
  <c r="AF84" s="1"/>
  <c r="AG84" s="1"/>
  <c r="AH84" s="1"/>
  <c r="AI84" s="1"/>
  <c r="AJ84" s="1"/>
  <c r="AK84" s="1"/>
  <c r="AL84" s="1"/>
  <c r="AM84" s="1"/>
  <c r="AN84" s="1"/>
  <c r="AO84" s="1"/>
  <c r="AP84" s="1"/>
  <c r="X84"/>
  <c r="AB100"/>
  <c r="AC100" s="1"/>
  <c r="AD100" s="1"/>
  <c r="AE100" s="1"/>
  <c r="AF100" s="1"/>
  <c r="AG100" s="1"/>
  <c r="AH100" s="1"/>
  <c r="AI100" s="1"/>
  <c r="AJ100" s="1"/>
  <c r="AK100" s="1"/>
  <c r="AL100" s="1"/>
  <c r="AM100" s="1"/>
  <c r="AN100" s="1"/>
  <c r="AO100" s="1"/>
  <c r="AP100" s="1"/>
  <c r="X100"/>
  <c r="AB86"/>
  <c r="AC86" s="1"/>
  <c r="AD86" s="1"/>
  <c r="AE86" s="1"/>
  <c r="AF86" s="1"/>
  <c r="AG86" s="1"/>
  <c r="AH86" s="1"/>
  <c r="AI86" s="1"/>
  <c r="AJ86" s="1"/>
  <c r="AK86" s="1"/>
  <c r="AL86" s="1"/>
  <c r="AM86" s="1"/>
  <c r="AN86" s="1"/>
  <c r="AO86" s="1"/>
  <c r="AP86" s="1"/>
  <c r="X86"/>
  <c r="CX24" i="43"/>
  <c r="CX23"/>
  <c r="CY24"/>
  <c r="DB29" s="1"/>
  <c r="CY23"/>
  <c r="CX29"/>
  <c r="CX31"/>
  <c r="S5" s="1"/>
  <c r="DO11"/>
  <c r="CV13"/>
  <c r="DD13"/>
  <c r="DO13"/>
  <c r="CV15"/>
  <c r="DD15"/>
  <c r="CV17"/>
  <c r="DD17"/>
  <c r="CV18"/>
  <c r="DD18"/>
  <c r="DO24"/>
  <c r="DO27"/>
  <c r="CX30"/>
  <c r="R2" s="1"/>
  <c r="CX26"/>
  <c r="DB23" s="1"/>
  <c r="CY31"/>
  <c r="Q5" s="1"/>
  <c r="DO14"/>
  <c r="DO17"/>
  <c r="DO20"/>
  <c r="DO21"/>
  <c r="DO22"/>
  <c r="DO25"/>
  <c r="DO28"/>
  <c r="CY25"/>
  <c r="CV14"/>
  <c r="CY22"/>
  <c r="DJ28"/>
  <c r="DO29"/>
  <c r="DO30"/>
  <c r="DO37"/>
  <c r="CY29"/>
  <c r="CY26"/>
  <c r="DC23" s="1"/>
  <c r="DO12"/>
  <c r="DO26"/>
  <c r="DD29"/>
  <c r="DO33"/>
  <c r="DO34"/>
  <c r="CV16"/>
  <c r="DD16"/>
  <c r="DO31"/>
  <c r="DO32"/>
  <c r="CX25"/>
  <c r="DD14"/>
  <c r="DO18"/>
  <c r="DO19"/>
  <c r="CX22"/>
  <c r="DO23"/>
  <c r="DO35"/>
  <c r="DO36"/>
  <c r="DE45" i="44"/>
  <c r="DI7"/>
  <c r="DB6"/>
  <c r="DC6"/>
  <c r="CX6"/>
  <c r="DE17"/>
  <c r="CY14"/>
  <c r="R31" i="52"/>
  <c r="BO27"/>
  <c r="R17" s="1"/>
  <c r="R21" s="1"/>
  <c r="BG54" i="47"/>
  <c r="BH54" s="1"/>
  <c r="AI103" i="46"/>
  <c r="AI111"/>
  <c r="AI119"/>
  <c r="AI127"/>
  <c r="AI135"/>
  <c r="AB135" s="1"/>
  <c r="Y101"/>
  <c r="Q101" s="1"/>
  <c r="Y109"/>
  <c r="Y117"/>
  <c r="Y125"/>
  <c r="Y133"/>
  <c r="Y141"/>
  <c r="Q141" s="1"/>
  <c r="AI128"/>
  <c r="AI112"/>
  <c r="AI96"/>
  <c r="AB96" s="1"/>
  <c r="Y128"/>
  <c r="Y112"/>
  <c r="Y96"/>
  <c r="Q96" s="1"/>
  <c r="BG172" i="47"/>
  <c r="BH172" s="1"/>
  <c r="BG162"/>
  <c r="BH162" s="1"/>
  <c r="BG156"/>
  <c r="BH156" s="1"/>
  <c r="BG146"/>
  <c r="BH146" s="1"/>
  <c r="BG140"/>
  <c r="BH140" s="1"/>
  <c r="BG130"/>
  <c r="BH130" s="1"/>
  <c r="BG124"/>
  <c r="BH124" s="1"/>
  <c r="BG303"/>
  <c r="BH303" s="1"/>
  <c r="BG295"/>
  <c r="BH295" s="1"/>
  <c r="BG287"/>
  <c r="BH287" s="1"/>
  <c r="BG279"/>
  <c r="BH279" s="1"/>
  <c r="BG271"/>
  <c r="BH271" s="1"/>
  <c r="BG263"/>
  <c r="BH263" s="1"/>
  <c r="BG255"/>
  <c r="BH255" s="1"/>
  <c r="BG247"/>
  <c r="BH247" s="1"/>
  <c r="BG239"/>
  <c r="BH239" s="1"/>
  <c r="BG231"/>
  <c r="BH231" s="1"/>
  <c r="BG223"/>
  <c r="BH223" s="1"/>
  <c r="BG215"/>
  <c r="BH215" s="1"/>
  <c r="BG207"/>
  <c r="BH207" s="1"/>
  <c r="BG199"/>
  <c r="BH199" s="1"/>
  <c r="BG191"/>
  <c r="BH191" s="1"/>
  <c r="BG183"/>
  <c r="BH183" s="1"/>
  <c r="BG116"/>
  <c r="BH116" s="1"/>
  <c r="BG108"/>
  <c r="BH108" s="1"/>
  <c r="BG100"/>
  <c r="BH100" s="1"/>
  <c r="BG92"/>
  <c r="BH92" s="1"/>
  <c r="BG84"/>
  <c r="BH84" s="1"/>
  <c r="BG76"/>
  <c r="BH76" s="1"/>
  <c r="BG68"/>
  <c r="BH68" s="1"/>
  <c r="BG60"/>
  <c r="BH60" s="1"/>
  <c r="BG52"/>
  <c r="BH52" s="1"/>
  <c r="BG44"/>
  <c r="BH44" s="1"/>
  <c r="Y144" i="46"/>
  <c r="Q144" s="1"/>
  <c r="R144" s="1"/>
  <c r="S144" s="1"/>
  <c r="AA102" i="41"/>
  <c r="AA87"/>
  <c r="AA101"/>
  <c r="AA83"/>
  <c r="AA94"/>
  <c r="AA77"/>
  <c r="AA509"/>
  <c r="Y509" s="1"/>
  <c r="AA521"/>
  <c r="Y521" s="1"/>
  <c r="AA532"/>
  <c r="Y532" s="1"/>
  <c r="AA525"/>
  <c r="Y525" s="1"/>
  <c r="AA506"/>
  <c r="Y506" s="1"/>
  <c r="AA498"/>
  <c r="Y498" s="1"/>
  <c r="AA370"/>
  <c r="Y370" s="1"/>
  <c r="AA374"/>
  <c r="Y374" s="1"/>
  <c r="AA378"/>
  <c r="Y378" s="1"/>
  <c r="AA386"/>
  <c r="Y386" s="1"/>
  <c r="AA390"/>
  <c r="Y390" s="1"/>
  <c r="AA69"/>
  <c r="AA88"/>
  <c r="AA134"/>
  <c r="Y134" s="1"/>
  <c r="AA148"/>
  <c r="Y148" s="1"/>
  <c r="AA157"/>
  <c r="Y157" s="1"/>
  <c r="AA166"/>
  <c r="Y166" s="1"/>
  <c r="AA180"/>
  <c r="Y180" s="1"/>
  <c r="AA189"/>
  <c r="Y189" s="1"/>
  <c r="AA198"/>
  <c r="Y198" s="1"/>
  <c r="AA212"/>
  <c r="Y212" s="1"/>
  <c r="AA221"/>
  <c r="Y221" s="1"/>
  <c r="AA230"/>
  <c r="Y230" s="1"/>
  <c r="AA244"/>
  <c r="Y244" s="1"/>
  <c r="AA253"/>
  <c r="Y253" s="1"/>
  <c r="AA262"/>
  <c r="Y262" s="1"/>
  <c r="AA276"/>
  <c r="Y276" s="1"/>
  <c r="AA285"/>
  <c r="Y285" s="1"/>
  <c r="AA294"/>
  <c r="Y294" s="1"/>
  <c r="AA308"/>
  <c r="Y308" s="1"/>
  <c r="AA317"/>
  <c r="Y317" s="1"/>
  <c r="AA326"/>
  <c r="Y326" s="1"/>
  <c r="AA341"/>
  <c r="Y341" s="1"/>
  <c r="AA350"/>
  <c r="Y350" s="1"/>
  <c r="AA360"/>
  <c r="Y360" s="1"/>
  <c r="AA394"/>
  <c r="Y394" s="1"/>
  <c r="AA407"/>
  <c r="Y407" s="1"/>
  <c r="AA515"/>
  <c r="Y515" s="1"/>
  <c r="Z106" i="40"/>
  <c r="AA137" i="41"/>
  <c r="Y137" s="1"/>
  <c r="AA169"/>
  <c r="Y169" s="1"/>
  <c r="AA201"/>
  <c r="Y201" s="1"/>
  <c r="AA233"/>
  <c r="Y233" s="1"/>
  <c r="AA265"/>
  <c r="Y265" s="1"/>
  <c r="AA297"/>
  <c r="Y297" s="1"/>
  <c r="AA329"/>
  <c r="Y329" s="1"/>
  <c r="AA363"/>
  <c r="Y363" s="1"/>
  <c r="AA518"/>
  <c r="Y518" s="1"/>
  <c r="Z113" i="40"/>
  <c r="Z201"/>
  <c r="X201" s="1"/>
  <c r="Z209"/>
  <c r="X209" s="1"/>
  <c r="Z507"/>
  <c r="X507" s="1"/>
  <c r="Z523"/>
  <c r="X523" s="1"/>
  <c r="Z539"/>
  <c r="X539" s="1"/>
  <c r="AA119" i="41"/>
  <c r="N86" s="1"/>
  <c r="AA154"/>
  <c r="Y154" s="1"/>
  <c r="AA186"/>
  <c r="Y186" s="1"/>
  <c r="AA218"/>
  <c r="Y218" s="1"/>
  <c r="AA250"/>
  <c r="Y250" s="1"/>
  <c r="AA282"/>
  <c r="Y282" s="1"/>
  <c r="AA314"/>
  <c r="Y314" s="1"/>
  <c r="AA347"/>
  <c r="Y347" s="1"/>
  <c r="AA404"/>
  <c r="Y404" s="1"/>
  <c r="Z157" i="40"/>
  <c r="X157" s="1"/>
  <c r="Z161"/>
  <c r="X161" s="1"/>
  <c r="Z165"/>
  <c r="X165" s="1"/>
  <c r="Z169"/>
  <c r="X169" s="1"/>
  <c r="Z173"/>
  <c r="X173" s="1"/>
  <c r="Z177"/>
  <c r="X177" s="1"/>
  <c r="Z181"/>
  <c r="X181" s="1"/>
  <c r="Z185"/>
  <c r="X185" s="1"/>
  <c r="Z189"/>
  <c r="X189" s="1"/>
  <c r="Z193"/>
  <c r="X193" s="1"/>
  <c r="Z199"/>
  <c r="X199" s="1"/>
  <c r="Z207"/>
  <c r="X207" s="1"/>
  <c r="AA125" i="41"/>
  <c r="N92" s="1"/>
  <c r="Z511" i="40"/>
  <c r="X511" s="1"/>
  <c r="Z527"/>
  <c r="X527" s="1"/>
  <c r="Z543"/>
  <c r="X543" s="1"/>
  <c r="AA127" i="41"/>
  <c r="N94" s="1"/>
  <c r="AA153"/>
  <c r="Y153" s="1"/>
  <c r="AA185"/>
  <c r="Y185" s="1"/>
  <c r="AA217"/>
  <c r="Y217" s="1"/>
  <c r="AA249"/>
  <c r="Y249" s="1"/>
  <c r="AA281"/>
  <c r="Y281" s="1"/>
  <c r="AA313"/>
  <c r="Y313" s="1"/>
  <c r="AA346"/>
  <c r="Y346" s="1"/>
  <c r="AA403"/>
  <c r="Y403" s="1"/>
  <c r="Z114" i="40"/>
  <c r="Z122"/>
  <c r="M89" s="1"/>
  <c r="Z151"/>
  <c r="X151" s="1"/>
  <c r="Z216"/>
  <c r="X216" s="1"/>
  <c r="Z220"/>
  <c r="X220" s="1"/>
  <c r="Z224"/>
  <c r="X224" s="1"/>
  <c r="Z228"/>
  <c r="X228" s="1"/>
  <c r="Z232"/>
  <c r="X232" s="1"/>
  <c r="Z236"/>
  <c r="X236" s="1"/>
  <c r="Z240"/>
  <c r="X240" s="1"/>
  <c r="Z244"/>
  <c r="X244" s="1"/>
  <c r="Z248"/>
  <c r="X248" s="1"/>
  <c r="Z252"/>
  <c r="X252" s="1"/>
  <c r="Z256"/>
  <c r="X256" s="1"/>
  <c r="Z260"/>
  <c r="X260" s="1"/>
  <c r="Z264"/>
  <c r="X264" s="1"/>
  <c r="Z268"/>
  <c r="X268" s="1"/>
  <c r="Z272"/>
  <c r="X272" s="1"/>
  <c r="Z276"/>
  <c r="X276" s="1"/>
  <c r="Z280"/>
  <c r="X280" s="1"/>
  <c r="Z284"/>
  <c r="X284" s="1"/>
  <c r="Z288"/>
  <c r="X288" s="1"/>
  <c r="Z292"/>
  <c r="X292" s="1"/>
  <c r="Z296"/>
  <c r="X296" s="1"/>
  <c r="Z300"/>
  <c r="X300" s="1"/>
  <c r="Z304"/>
  <c r="X304" s="1"/>
  <c r="Z308"/>
  <c r="X308" s="1"/>
  <c r="Z312"/>
  <c r="X312" s="1"/>
  <c r="Z316"/>
  <c r="X316" s="1"/>
  <c r="Z320"/>
  <c r="X320" s="1"/>
  <c r="Z324"/>
  <c r="X324" s="1"/>
  <c r="Z328"/>
  <c r="X328" s="1"/>
  <c r="Z332"/>
  <c r="X332" s="1"/>
  <c r="Z336"/>
  <c r="X336" s="1"/>
  <c r="Z340"/>
  <c r="X340" s="1"/>
  <c r="Z344"/>
  <c r="X344" s="1"/>
  <c r="Z349"/>
  <c r="X349" s="1"/>
  <c r="Z353"/>
  <c r="X353" s="1"/>
  <c r="Z357"/>
  <c r="X357" s="1"/>
  <c r="Z361"/>
  <c r="X361" s="1"/>
  <c r="Z365"/>
  <c r="X365" s="1"/>
  <c r="Z369"/>
  <c r="X369" s="1"/>
  <c r="Z373"/>
  <c r="X373" s="1"/>
  <c r="Z377"/>
  <c r="X377" s="1"/>
  <c r="Z381"/>
  <c r="X381" s="1"/>
  <c r="Z385"/>
  <c r="X385" s="1"/>
  <c r="Z389"/>
  <c r="X389" s="1"/>
  <c r="Z393"/>
  <c r="X393" s="1"/>
  <c r="Z398"/>
  <c r="X398" s="1"/>
  <c r="Z402"/>
  <c r="X402" s="1"/>
  <c r="Z406"/>
  <c r="X406" s="1"/>
  <c r="Z410"/>
  <c r="X410" s="1"/>
  <c r="Z414"/>
  <c r="X414" s="1"/>
  <c r="Z418"/>
  <c r="X418" s="1"/>
  <c r="Z427"/>
  <c r="X427" s="1"/>
  <c r="Z431"/>
  <c r="X431" s="1"/>
  <c r="Z436"/>
  <c r="X436" s="1"/>
  <c r="Z444"/>
  <c r="X444" s="1"/>
  <c r="Z449"/>
  <c r="X449" s="1"/>
  <c r="Z453"/>
  <c r="X453" s="1"/>
  <c r="Z457"/>
  <c r="X457" s="1"/>
  <c r="Z461"/>
  <c r="X461" s="1"/>
  <c r="Z465"/>
  <c r="X465" s="1"/>
  <c r="Z469"/>
  <c r="X469" s="1"/>
  <c r="Z473"/>
  <c r="X473" s="1"/>
  <c r="Z477"/>
  <c r="X477" s="1"/>
  <c r="Z481"/>
  <c r="X481" s="1"/>
  <c r="Z485"/>
  <c r="X485" s="1"/>
  <c r="Z489"/>
  <c r="X489" s="1"/>
  <c r="Z493"/>
  <c r="X493" s="1"/>
  <c r="Z497"/>
  <c r="X497" s="1"/>
  <c r="Z501"/>
  <c r="X501" s="1"/>
  <c r="Z513"/>
  <c r="X513" s="1"/>
  <c r="Z529"/>
  <c r="X529" s="1"/>
  <c r="Z545"/>
  <c r="X545" s="1"/>
  <c r="AA128" i="41"/>
  <c r="N95" s="1"/>
  <c r="AA81"/>
  <c r="AA161"/>
  <c r="Y161" s="1"/>
  <c r="AA193"/>
  <c r="Y193" s="1"/>
  <c r="AA225"/>
  <c r="Y225" s="1"/>
  <c r="AA257"/>
  <c r="Y257" s="1"/>
  <c r="AA289"/>
  <c r="Y289" s="1"/>
  <c r="AA321"/>
  <c r="Y321" s="1"/>
  <c r="AA354"/>
  <c r="Y354" s="1"/>
  <c r="AA510"/>
  <c r="Y510" s="1"/>
  <c r="Z438" i="40"/>
  <c r="X438" s="1"/>
  <c r="Z128"/>
  <c r="M95" s="1"/>
  <c r="Z158"/>
  <c r="X158" s="1"/>
  <c r="Z162"/>
  <c r="X162" s="1"/>
  <c r="Z166"/>
  <c r="X166" s="1"/>
  <c r="Z170"/>
  <c r="X170" s="1"/>
  <c r="Z174"/>
  <c r="X174" s="1"/>
  <c r="Z178"/>
  <c r="X178" s="1"/>
  <c r="Z182"/>
  <c r="X182" s="1"/>
  <c r="Z186"/>
  <c r="X186" s="1"/>
  <c r="Z190"/>
  <c r="X190" s="1"/>
  <c r="Z194"/>
  <c r="X194" s="1"/>
  <c r="Z198"/>
  <c r="X198" s="1"/>
  <c r="Z202"/>
  <c r="X202" s="1"/>
  <c r="Z206"/>
  <c r="X206" s="1"/>
  <c r="AA126" i="41"/>
  <c r="N93" s="1"/>
  <c r="Z509" i="40"/>
  <c r="X509" s="1"/>
  <c r="Z525"/>
  <c r="X525" s="1"/>
  <c r="Z541"/>
  <c r="X541" s="1"/>
  <c r="AA121" i="41"/>
  <c r="N88" s="1"/>
  <c r="O1" i="49"/>
  <c r="S1"/>
  <c r="T2"/>
  <c r="N4"/>
  <c r="T6"/>
  <c r="T8"/>
  <c r="T9"/>
  <c r="T10"/>
  <c r="T11"/>
  <c r="T12"/>
  <c r="T13"/>
  <c r="T14"/>
  <c r="T28"/>
  <c r="N29"/>
  <c r="N30"/>
  <c r="N31"/>
  <c r="N32"/>
  <c r="N33"/>
  <c r="N34"/>
  <c r="N35"/>
  <c r="N36"/>
  <c r="R1"/>
  <c r="N2"/>
  <c r="N6"/>
  <c r="N8"/>
  <c r="N9"/>
  <c r="N10"/>
  <c r="N11"/>
  <c r="N12"/>
  <c r="N13"/>
  <c r="N14"/>
  <c r="T15"/>
  <c r="T16"/>
  <c r="T17"/>
  <c r="T18"/>
  <c r="T19"/>
  <c r="T20"/>
  <c r="T21"/>
  <c r="T22"/>
  <c r="T23"/>
  <c r="T24"/>
  <c r="T25"/>
  <c r="T26"/>
  <c r="T27"/>
  <c r="N28"/>
  <c r="N37"/>
  <c r="T1"/>
  <c r="T7"/>
  <c r="T30"/>
  <c r="T32"/>
  <c r="T34"/>
  <c r="N38"/>
  <c r="Q1"/>
  <c r="N7"/>
  <c r="N15"/>
  <c r="N16"/>
  <c r="N17"/>
  <c r="N18"/>
  <c r="N19"/>
  <c r="N20"/>
  <c r="N21"/>
  <c r="N22"/>
  <c r="N23"/>
  <c r="N24"/>
  <c r="N25"/>
  <c r="N26"/>
  <c r="N27"/>
  <c r="N3"/>
  <c r="N5"/>
  <c r="P1"/>
  <c r="T5"/>
  <c r="T29"/>
  <c r="T33"/>
  <c r="T3"/>
  <c r="T4"/>
  <c r="T31"/>
  <c r="T35"/>
  <c r="BO29" i="52"/>
  <c r="BN29"/>
  <c r="AA450" i="41"/>
  <c r="Y450" s="1"/>
  <c r="AR450"/>
  <c r="AS450" s="1"/>
  <c r="AT450" s="1"/>
  <c r="AR469"/>
  <c r="AS469" s="1"/>
  <c r="AT469" s="1"/>
  <c r="AR427"/>
  <c r="AS427" s="1"/>
  <c r="AT427" s="1"/>
  <c r="C100" i="40"/>
  <c r="Q76"/>
  <c r="AP120" i="46"/>
  <c r="AO121"/>
  <c r="AP119"/>
  <c r="BH108"/>
  <c r="BI108" s="1"/>
  <c r="L98" s="1"/>
  <c r="BH107"/>
  <c r="BI107" s="1"/>
  <c r="L97" s="1"/>
  <c r="BH106"/>
  <c r="BI106" s="1"/>
  <c r="L96" s="1"/>
  <c r="BF108"/>
  <c r="M98" s="1"/>
  <c r="BH124"/>
  <c r="BI124" s="1"/>
  <c r="L114" s="1"/>
  <c r="BH123"/>
  <c r="BI123" s="1"/>
  <c r="L113" s="1"/>
  <c r="BH122"/>
  <c r="BI122" s="1"/>
  <c r="L112" s="1"/>
  <c r="BF124"/>
  <c r="M114" s="1"/>
  <c r="BH140"/>
  <c r="BI140" s="1"/>
  <c r="L130" s="1"/>
  <c r="BF140"/>
  <c r="M130" s="1"/>
  <c r="BH156"/>
  <c r="BI156" s="1"/>
  <c r="L146" s="1"/>
  <c r="BF156"/>
  <c r="M146" s="1"/>
  <c r="BH172"/>
  <c r="BI172" s="1"/>
  <c r="L162" s="1"/>
  <c r="BF172"/>
  <c r="M162" s="1"/>
  <c r="BH188"/>
  <c r="BI188" s="1"/>
  <c r="L178" s="1"/>
  <c r="BF188"/>
  <c r="M178" s="1"/>
  <c r="AZ99"/>
  <c r="K89" s="1"/>
  <c r="BB99"/>
  <c r="BC99" s="1"/>
  <c r="J89" s="1"/>
  <c r="AZ115"/>
  <c r="K105" s="1"/>
  <c r="BB115"/>
  <c r="BC115" s="1"/>
  <c r="J105" s="1"/>
  <c r="AZ131"/>
  <c r="K121" s="1"/>
  <c r="BB131"/>
  <c r="BC131" s="1"/>
  <c r="J121" s="1"/>
  <c r="CW43" i="43"/>
  <c r="CW44"/>
  <c r="AC72" i="41"/>
  <c r="AD72" s="1"/>
  <c r="AE72" s="1"/>
  <c r="AF72" s="1"/>
  <c r="AG72" s="1"/>
  <c r="AH72" s="1"/>
  <c r="AI72" s="1"/>
  <c r="AJ72" s="1"/>
  <c r="AK72" s="1"/>
  <c r="AL72" s="1"/>
  <c r="AM72" s="1"/>
  <c r="AN72" s="1"/>
  <c r="AO72" s="1"/>
  <c r="AP72" s="1"/>
  <c r="AQ72" s="1"/>
  <c r="Y72"/>
  <c r="AR105"/>
  <c r="AS105" s="1"/>
  <c r="AT105" s="1"/>
  <c r="AR432"/>
  <c r="AS432" s="1"/>
  <c r="AT432" s="1"/>
  <c r="AA432"/>
  <c r="Y432" s="1"/>
  <c r="AR411"/>
  <c r="AS411" s="1"/>
  <c r="AT411" s="1"/>
  <c r="AA411"/>
  <c r="Y411" s="1"/>
  <c r="AR422"/>
  <c r="AS422" s="1"/>
  <c r="AT422" s="1"/>
  <c r="AA422"/>
  <c r="Y422" s="1"/>
  <c r="AR408"/>
  <c r="AS408" s="1"/>
  <c r="AT408" s="1"/>
  <c r="AA408"/>
  <c r="Y408" s="1"/>
  <c r="AC71"/>
  <c r="AD71" s="1"/>
  <c r="AE71" s="1"/>
  <c r="AF71" s="1"/>
  <c r="AG71" s="1"/>
  <c r="AH71" s="1"/>
  <c r="AI71" s="1"/>
  <c r="AJ71" s="1"/>
  <c r="AK71" s="1"/>
  <c r="AL71" s="1"/>
  <c r="AM71" s="1"/>
  <c r="AN71" s="1"/>
  <c r="AO71" s="1"/>
  <c r="AP71" s="1"/>
  <c r="AQ71" s="1"/>
  <c r="Y71"/>
  <c r="AR482"/>
  <c r="AS482" s="1"/>
  <c r="AT482" s="1"/>
  <c r="AA482"/>
  <c r="Y482" s="1"/>
  <c r="AR470"/>
  <c r="AS470" s="1"/>
  <c r="AT470" s="1"/>
  <c r="AR495"/>
  <c r="AS495" s="1"/>
  <c r="AT495" s="1"/>
  <c r="AA495"/>
  <c r="Y495" s="1"/>
  <c r="AR491"/>
  <c r="AS491" s="1"/>
  <c r="AT491" s="1"/>
  <c r="AR487"/>
  <c r="AS487" s="1"/>
  <c r="AT487" s="1"/>
  <c r="AA487"/>
  <c r="Y487" s="1"/>
  <c r="AR460"/>
  <c r="AS460" s="1"/>
  <c r="AT460" s="1"/>
  <c r="AR446"/>
  <c r="AS446" s="1"/>
  <c r="AT446" s="1"/>
  <c r="AA446"/>
  <c r="Y446" s="1"/>
  <c r="AR440"/>
  <c r="AS440" s="1"/>
  <c r="AT440" s="1"/>
  <c r="AR483"/>
  <c r="AS483" s="1"/>
  <c r="AT483" s="1"/>
  <c r="AR333"/>
  <c r="AS333" s="1"/>
  <c r="AT333" s="1"/>
  <c r="DL8" i="45"/>
  <c r="BH101" i="46"/>
  <c r="BI101" s="1"/>
  <c r="L91" s="1"/>
  <c r="BF101"/>
  <c r="M91" s="1"/>
  <c r="BH117"/>
  <c r="BI117" s="1"/>
  <c r="L107" s="1"/>
  <c r="BF117"/>
  <c r="M107" s="1"/>
  <c r="BH133"/>
  <c r="BI133" s="1"/>
  <c r="L123" s="1"/>
  <c r="BF133"/>
  <c r="M123" s="1"/>
  <c r="BB98"/>
  <c r="BC98" s="1"/>
  <c r="J88" s="1"/>
  <c r="AZ98"/>
  <c r="K88" s="1"/>
  <c r="BB114"/>
  <c r="BC114" s="1"/>
  <c r="J104" s="1"/>
  <c r="AZ114"/>
  <c r="K104" s="1"/>
  <c r="BB130"/>
  <c r="BC130" s="1"/>
  <c r="J120" s="1"/>
  <c r="AZ130"/>
  <c r="K120" s="1"/>
  <c r="BF158"/>
  <c r="M148" s="1"/>
  <c r="BH158"/>
  <c r="BI158" s="1"/>
  <c r="L148" s="1"/>
  <c r="BI303" i="47"/>
  <c r="BM303"/>
  <c r="BI295"/>
  <c r="BM295"/>
  <c r="BI287"/>
  <c r="BM287"/>
  <c r="BI279"/>
  <c r="BM279"/>
  <c r="BI271"/>
  <c r="BM271"/>
  <c r="BI263"/>
  <c r="BM263"/>
  <c r="BI255"/>
  <c r="BM255"/>
  <c r="BI247"/>
  <c r="BM247"/>
  <c r="BI239"/>
  <c r="BM239"/>
  <c r="BI231"/>
  <c r="BM231"/>
  <c r="BI223"/>
  <c r="BM223"/>
  <c r="BI215"/>
  <c r="BM215"/>
  <c r="BI207"/>
  <c r="BM207"/>
  <c r="BI199"/>
  <c r="BM199"/>
  <c r="BI191"/>
  <c r="BM191"/>
  <c r="BI183"/>
  <c r="BM183"/>
  <c r="BI169"/>
  <c r="BM169"/>
  <c r="BI153"/>
  <c r="BM153"/>
  <c r="BI137"/>
  <c r="BM137"/>
  <c r="BI121"/>
  <c r="BM121"/>
  <c r="BI110"/>
  <c r="BM110"/>
  <c r="BI94"/>
  <c r="BM94"/>
  <c r="BI78"/>
  <c r="BM78"/>
  <c r="BI62"/>
  <c r="BM62"/>
  <c r="BI46"/>
  <c r="BM46"/>
  <c r="BI306"/>
  <c r="BM306"/>
  <c r="BI298"/>
  <c r="BM298"/>
  <c r="BI290"/>
  <c r="BM290"/>
  <c r="BI282"/>
  <c r="BM282"/>
  <c r="BI274"/>
  <c r="BM274"/>
  <c r="BI266"/>
  <c r="BM266"/>
  <c r="BI258"/>
  <c r="BM258"/>
  <c r="BI250"/>
  <c r="BM250"/>
  <c r="BI242"/>
  <c r="BM242"/>
  <c r="BI234"/>
  <c r="BM234"/>
  <c r="BI226"/>
  <c r="BM226"/>
  <c r="BI218"/>
  <c r="BM218"/>
  <c r="BI210"/>
  <c r="BM210"/>
  <c r="BI202"/>
  <c r="BM202"/>
  <c r="BI194"/>
  <c r="BM194"/>
  <c r="BI186"/>
  <c r="BM186"/>
  <c r="BI178"/>
  <c r="BM178"/>
  <c r="BI170"/>
  <c r="BM170"/>
  <c r="BI162"/>
  <c r="BM162"/>
  <c r="BI154"/>
  <c r="BM154"/>
  <c r="BI146"/>
  <c r="BM146"/>
  <c r="BI138"/>
  <c r="BM138"/>
  <c r="BI130"/>
  <c r="BM130"/>
  <c r="BI122"/>
  <c r="BM122"/>
  <c r="BI111"/>
  <c r="BM111"/>
  <c r="BI103"/>
  <c r="BM103"/>
  <c r="BI95"/>
  <c r="BM95"/>
  <c r="BI87"/>
  <c r="BM87"/>
  <c r="BI79"/>
  <c r="BM79"/>
  <c r="BI71"/>
  <c r="BM71"/>
  <c r="BI63"/>
  <c r="BM63"/>
  <c r="BI55"/>
  <c r="BM55"/>
  <c r="BI47"/>
  <c r="BM47"/>
  <c r="BI39"/>
  <c r="BM39"/>
  <c r="CU52" i="43"/>
  <c r="CY28" s="1"/>
  <c r="CV42"/>
  <c r="J93" i="41"/>
  <c r="C94"/>
  <c r="AQ130" i="40"/>
  <c r="AR130" s="1"/>
  <c r="AS130" s="1"/>
  <c r="X89"/>
  <c r="AB89"/>
  <c r="AC89" s="1"/>
  <c r="AD89" s="1"/>
  <c r="AE89" s="1"/>
  <c r="AF89" s="1"/>
  <c r="AG89" s="1"/>
  <c r="AH89" s="1"/>
  <c r="AI89" s="1"/>
  <c r="AJ89" s="1"/>
  <c r="AK89" s="1"/>
  <c r="AL89" s="1"/>
  <c r="AM89" s="1"/>
  <c r="AN89" s="1"/>
  <c r="AO89" s="1"/>
  <c r="AP89" s="1"/>
  <c r="AB103"/>
  <c r="AC103" s="1"/>
  <c r="AD103" s="1"/>
  <c r="AE103" s="1"/>
  <c r="AF103" s="1"/>
  <c r="AG103" s="1"/>
  <c r="AH103" s="1"/>
  <c r="AI103" s="1"/>
  <c r="AJ103" s="1"/>
  <c r="AK103" s="1"/>
  <c r="AL103" s="1"/>
  <c r="AM103" s="1"/>
  <c r="AN103" s="1"/>
  <c r="AO103" s="1"/>
  <c r="AP103" s="1"/>
  <c r="X103"/>
  <c r="Z422"/>
  <c r="X422" s="1"/>
  <c r="AQ422"/>
  <c r="AR422" s="1"/>
  <c r="AS422" s="1"/>
  <c r="Z432"/>
  <c r="X432" s="1"/>
  <c r="AQ432"/>
  <c r="AR432" s="1"/>
  <c r="AS432" s="1"/>
  <c r="AQ345"/>
  <c r="AR345" s="1"/>
  <c r="AS345" s="1"/>
  <c r="AB102"/>
  <c r="AC102" s="1"/>
  <c r="AD102" s="1"/>
  <c r="AE102" s="1"/>
  <c r="AF102" s="1"/>
  <c r="AG102" s="1"/>
  <c r="AH102" s="1"/>
  <c r="AI102" s="1"/>
  <c r="AJ102" s="1"/>
  <c r="AK102" s="1"/>
  <c r="AL102" s="1"/>
  <c r="AM102" s="1"/>
  <c r="AN102" s="1"/>
  <c r="AO102" s="1"/>
  <c r="AP102" s="1"/>
  <c r="X102"/>
  <c r="AB95"/>
  <c r="AC95" s="1"/>
  <c r="AD95" s="1"/>
  <c r="AE95" s="1"/>
  <c r="AF95" s="1"/>
  <c r="AG95" s="1"/>
  <c r="AH95" s="1"/>
  <c r="AI95" s="1"/>
  <c r="AJ95" s="1"/>
  <c r="AK95" s="1"/>
  <c r="AL95" s="1"/>
  <c r="AM95" s="1"/>
  <c r="AN95" s="1"/>
  <c r="AO95" s="1"/>
  <c r="AP95" s="1"/>
  <c r="X95"/>
  <c r="AQ116"/>
  <c r="AR116" s="1"/>
  <c r="AS116" s="1"/>
  <c r="DA44" i="44"/>
  <c r="CY34"/>
  <c r="DL7"/>
  <c r="DL8" s="1"/>
  <c r="CZ41" s="1"/>
  <c r="DC44"/>
  <c r="DE44"/>
  <c r="DD35" i="45"/>
  <c r="DD33"/>
  <c r="DF35"/>
  <c r="DF33"/>
  <c r="DF30"/>
  <c r="U80" i="41"/>
  <c r="R80"/>
  <c r="DE3" i="44"/>
  <c r="DA46"/>
  <c r="DD3"/>
  <c r="DG3"/>
  <c r="R92" i="41"/>
  <c r="U92"/>
  <c r="CY12" i="44"/>
  <c r="DC4"/>
  <c r="CX4"/>
  <c r="DB4"/>
  <c r="DB8" s="1"/>
  <c r="DE15"/>
  <c r="U86" i="41"/>
  <c r="R86"/>
  <c r="U79"/>
  <c r="R79"/>
  <c r="T105" i="40"/>
  <c r="Q105"/>
  <c r="T97"/>
  <c r="Q97"/>
  <c r="O33" i="52"/>
  <c r="R33" s="1"/>
  <c r="AZ1" i="51"/>
  <c r="AI122" i="46"/>
  <c r="AI106"/>
  <c r="Y142"/>
  <c r="Q142" s="1"/>
  <c r="R142" s="1"/>
  <c r="S142" s="1"/>
  <c r="Y126"/>
  <c r="Y110"/>
  <c r="CX45" i="45"/>
  <c r="AI101" i="46"/>
  <c r="AB101" s="1"/>
  <c r="AI109"/>
  <c r="AI117"/>
  <c r="AI125"/>
  <c r="AI133"/>
  <c r="AB133" s="1"/>
  <c r="Y99"/>
  <c r="Q99" s="1"/>
  <c r="Y107"/>
  <c r="Y115"/>
  <c r="Y123"/>
  <c r="Y131"/>
  <c r="Y139"/>
  <c r="Q139" s="1"/>
  <c r="AI132"/>
  <c r="AB132" s="1"/>
  <c r="AI116"/>
  <c r="AI100"/>
  <c r="AB100" s="1"/>
  <c r="Y132"/>
  <c r="Y116"/>
  <c r="Y100"/>
  <c r="Q100" s="1"/>
  <c r="BG169" i="47"/>
  <c r="BH169" s="1"/>
  <c r="BG153"/>
  <c r="BH153" s="1"/>
  <c r="BG137"/>
  <c r="BH137" s="1"/>
  <c r="BG121"/>
  <c r="BH121" s="1"/>
  <c r="Z80" i="40"/>
  <c r="Z448"/>
  <c r="X448" s="1"/>
  <c r="Z460"/>
  <c r="X460" s="1"/>
  <c r="Z472"/>
  <c r="X472" s="1"/>
  <c r="Z484"/>
  <c r="X484" s="1"/>
  <c r="Z496"/>
  <c r="X496" s="1"/>
  <c r="AQ118"/>
  <c r="AR118" s="1"/>
  <c r="AS118" s="1"/>
  <c r="DB4" i="45"/>
  <c r="DC4"/>
  <c r="DE15"/>
  <c r="CX4"/>
  <c r="CY12"/>
  <c r="BH100" i="46"/>
  <c r="BI100" s="1"/>
  <c r="L90" s="1"/>
  <c r="BH99"/>
  <c r="BI99" s="1"/>
  <c r="L89" s="1"/>
  <c r="BH98"/>
  <c r="BI98" s="1"/>
  <c r="L88" s="1"/>
  <c r="BF100"/>
  <c r="M90" s="1"/>
  <c r="BH116"/>
  <c r="BI116" s="1"/>
  <c r="L106" s="1"/>
  <c r="BH115"/>
  <c r="BI115" s="1"/>
  <c r="L105" s="1"/>
  <c r="BH114"/>
  <c r="BI114" s="1"/>
  <c r="L104" s="1"/>
  <c r="BF116"/>
  <c r="M106" s="1"/>
  <c r="BH132"/>
  <c r="BI132" s="1"/>
  <c r="L122" s="1"/>
  <c r="BH131"/>
  <c r="BI131" s="1"/>
  <c r="L121" s="1"/>
  <c r="BH130"/>
  <c r="BI130" s="1"/>
  <c r="L120" s="1"/>
  <c r="BF132"/>
  <c r="M122" s="1"/>
  <c r="BH148"/>
  <c r="BI148" s="1"/>
  <c r="L138" s="1"/>
  <c r="BF148"/>
  <c r="M138" s="1"/>
  <c r="BH164"/>
  <c r="BI164" s="1"/>
  <c r="L154" s="1"/>
  <c r="BF164"/>
  <c r="M154" s="1"/>
  <c r="BH180"/>
  <c r="BI180" s="1"/>
  <c r="L170" s="1"/>
  <c r="BF180"/>
  <c r="M170" s="1"/>
  <c r="AZ107"/>
  <c r="K97" s="1"/>
  <c r="BB107"/>
  <c r="BC107" s="1"/>
  <c r="J97" s="1"/>
  <c r="AZ123"/>
  <c r="K113" s="1"/>
  <c r="BB123"/>
  <c r="BC123" s="1"/>
  <c r="J113" s="1"/>
  <c r="AZ139"/>
  <c r="K129" s="1"/>
  <c r="BB139"/>
  <c r="BC139" s="1"/>
  <c r="J129" s="1"/>
  <c r="AB114"/>
  <c r="AK114"/>
  <c r="AJ114"/>
  <c r="J105" i="40"/>
  <c r="C106"/>
  <c r="AZ100" i="46"/>
  <c r="K90" s="1"/>
  <c r="BB100"/>
  <c r="BC100" s="1"/>
  <c r="J90" s="1"/>
  <c r="AZ116"/>
  <c r="K106" s="1"/>
  <c r="BB116"/>
  <c r="BC116" s="1"/>
  <c r="J106" s="1"/>
  <c r="AZ132"/>
  <c r="K122" s="1"/>
  <c r="BB132"/>
  <c r="BC132" s="1"/>
  <c r="J122" s="1"/>
  <c r="AO119"/>
  <c r="AO120"/>
  <c r="AO122" s="1"/>
  <c r="I18" i="43"/>
  <c r="CZ35"/>
  <c r="BI192" i="47"/>
  <c r="BM192"/>
  <c r="BI208"/>
  <c r="BM208"/>
  <c r="BI224"/>
  <c r="BM224"/>
  <c r="BI240"/>
  <c r="BM240"/>
  <c r="BI256"/>
  <c r="BM256"/>
  <c r="BI272"/>
  <c r="BM272"/>
  <c r="BI288"/>
  <c r="BM288"/>
  <c r="BI304"/>
  <c r="BM304"/>
  <c r="BB102" i="46"/>
  <c r="BC102" s="1"/>
  <c r="J92" s="1"/>
  <c r="AZ102"/>
  <c r="K92" s="1"/>
  <c r="BB118"/>
  <c r="BC118" s="1"/>
  <c r="J108" s="1"/>
  <c r="AZ118"/>
  <c r="K108" s="1"/>
  <c r="BB134"/>
  <c r="BC134" s="1"/>
  <c r="J124" s="1"/>
  <c r="AZ134"/>
  <c r="K124" s="1"/>
  <c r="CV23" i="43"/>
  <c r="CX15"/>
  <c r="DA15" s="1"/>
  <c r="CW8"/>
  <c r="AA473" i="41"/>
  <c r="Y473" s="1"/>
  <c r="AR473"/>
  <c r="AS473" s="1"/>
  <c r="AT473" s="1"/>
  <c r="AR431"/>
  <c r="AS431" s="1"/>
  <c r="AT431" s="1"/>
  <c r="F16" i="53"/>
  <c r="F20"/>
  <c r="F24"/>
  <c r="F28"/>
  <c r="I28" s="1"/>
  <c r="F32"/>
  <c r="I32" s="1"/>
  <c r="F36"/>
  <c r="I36" s="1"/>
  <c r="F40"/>
  <c r="I40" s="1"/>
  <c r="F44"/>
  <c r="I44" s="1"/>
  <c r="F48"/>
  <c r="I48" s="1"/>
  <c r="F52"/>
  <c r="I52" s="1"/>
  <c r="F56"/>
  <c r="I56" s="1"/>
  <c r="F60"/>
  <c r="I60" s="1"/>
  <c r="F64"/>
  <c r="I64" s="1"/>
  <c r="F68"/>
  <c r="I68" s="1"/>
  <c r="F72"/>
  <c r="I72" s="1"/>
  <c r="F76"/>
  <c r="I76" s="1"/>
  <c r="F80"/>
  <c r="I80" s="1"/>
  <c r="F84"/>
  <c r="I84" s="1"/>
  <c r="F88"/>
  <c r="I88" s="1"/>
  <c r="F92"/>
  <c r="I92" s="1"/>
  <c r="F96"/>
  <c r="I96" s="1"/>
  <c r="F100"/>
  <c r="I100" s="1"/>
  <c r="F104"/>
  <c r="I104" s="1"/>
  <c r="F108"/>
  <c r="I108" s="1"/>
  <c r="F112"/>
  <c r="I112" s="1"/>
  <c r="F116"/>
  <c r="I116" s="1"/>
  <c r="F120"/>
  <c r="I120" s="1"/>
  <c r="F124"/>
  <c r="I124" s="1"/>
  <c r="F128"/>
  <c r="I128" s="1"/>
  <c r="F132"/>
  <c r="I132" s="1"/>
  <c r="F136"/>
  <c r="I136" s="1"/>
  <c r="F140"/>
  <c r="I140" s="1"/>
  <c r="F144"/>
  <c r="I144" s="1"/>
  <c r="F148"/>
  <c r="I148" s="1"/>
  <c r="F152"/>
  <c r="I152" s="1"/>
  <c r="F156"/>
  <c r="I156" s="1"/>
  <c r="F160"/>
  <c r="I160" s="1"/>
  <c r="F14"/>
  <c r="F18"/>
  <c r="F22"/>
  <c r="F26"/>
  <c r="I26" s="1"/>
  <c r="F30"/>
  <c r="I30" s="1"/>
  <c r="F34"/>
  <c r="I34" s="1"/>
  <c r="F38"/>
  <c r="I38" s="1"/>
  <c r="F42"/>
  <c r="I42" s="1"/>
  <c r="F46"/>
  <c r="I46" s="1"/>
  <c r="F50"/>
  <c r="I50" s="1"/>
  <c r="F54"/>
  <c r="I54" s="1"/>
  <c r="F58"/>
  <c r="I58" s="1"/>
  <c r="F62"/>
  <c r="I62" s="1"/>
  <c r="F66"/>
  <c r="I66" s="1"/>
  <c r="F70"/>
  <c r="I70" s="1"/>
  <c r="F74"/>
  <c r="I74" s="1"/>
  <c r="F78"/>
  <c r="I78" s="1"/>
  <c r="F82"/>
  <c r="I82" s="1"/>
  <c r="F86"/>
  <c r="I86" s="1"/>
  <c r="F90"/>
  <c r="I90" s="1"/>
  <c r="F94"/>
  <c r="I94" s="1"/>
  <c r="F98"/>
  <c r="I98" s="1"/>
  <c r="F102"/>
  <c r="I102" s="1"/>
  <c r="F106"/>
  <c r="I106" s="1"/>
  <c r="F110"/>
  <c r="I110" s="1"/>
  <c r="F114"/>
  <c r="I114" s="1"/>
  <c r="F118"/>
  <c r="I118" s="1"/>
  <c r="F122"/>
  <c r="I122" s="1"/>
  <c r="F126"/>
  <c r="I126" s="1"/>
  <c r="F130"/>
  <c r="I130" s="1"/>
  <c r="F134"/>
  <c r="I134" s="1"/>
  <c r="F138"/>
  <c r="I138" s="1"/>
  <c r="F142"/>
  <c r="I142" s="1"/>
  <c r="F146"/>
  <c r="I146" s="1"/>
  <c r="F150"/>
  <c r="I150" s="1"/>
  <c r="F154"/>
  <c r="I154" s="1"/>
  <c r="F158"/>
  <c r="I158" s="1"/>
  <c r="F162"/>
  <c r="I162" s="1"/>
  <c r="F166"/>
  <c r="I166" s="1"/>
  <c r="F170"/>
  <c r="I170" s="1"/>
  <c r="F174"/>
  <c r="I174" s="1"/>
  <c r="F178"/>
  <c r="I178" s="1"/>
  <c r="F182"/>
  <c r="I182" s="1"/>
  <c r="F186"/>
  <c r="I186" s="1"/>
  <c r="F190"/>
  <c r="I190" s="1"/>
  <c r="F194"/>
  <c r="I194" s="1"/>
  <c r="F198"/>
  <c r="I198" s="1"/>
  <c r="F202"/>
  <c r="I202" s="1"/>
  <c r="F206"/>
  <c r="I206" s="1"/>
  <c r="F210"/>
  <c r="I210" s="1"/>
  <c r="F214"/>
  <c r="I214" s="1"/>
  <c r="F218"/>
  <c r="I218" s="1"/>
  <c r="F222"/>
  <c r="I222" s="1"/>
  <c r="F226"/>
  <c r="I226" s="1"/>
  <c r="F230"/>
  <c r="I230" s="1"/>
  <c r="F234"/>
  <c r="I234" s="1"/>
  <c r="F238"/>
  <c r="I238" s="1"/>
  <c r="F242"/>
  <c r="I242" s="1"/>
  <c r="F246"/>
  <c r="I246" s="1"/>
  <c r="F250"/>
  <c r="I250" s="1"/>
  <c r="F254"/>
  <c r="I254" s="1"/>
  <c r="F258"/>
  <c r="I258" s="1"/>
  <c r="F262"/>
  <c r="I262" s="1"/>
  <c r="F266"/>
  <c r="I266" s="1"/>
  <c r="F270"/>
  <c r="I270" s="1"/>
  <c r="F274"/>
  <c r="I274" s="1"/>
  <c r="F278"/>
  <c r="I278" s="1"/>
  <c r="F282"/>
  <c r="I282" s="1"/>
  <c r="F286"/>
  <c r="I286" s="1"/>
  <c r="F290"/>
  <c r="I290" s="1"/>
  <c r="F294"/>
  <c r="I294" s="1"/>
  <c r="F298"/>
  <c r="I298" s="1"/>
  <c r="F302"/>
  <c r="I302" s="1"/>
  <c r="F306"/>
  <c r="I306" s="1"/>
  <c r="F310"/>
  <c r="I310" s="1"/>
  <c r="F19"/>
  <c r="F27"/>
  <c r="I27" s="1"/>
  <c r="F35"/>
  <c r="I35" s="1"/>
  <c r="F43"/>
  <c r="I43" s="1"/>
  <c r="F51"/>
  <c r="I51" s="1"/>
  <c r="F59"/>
  <c r="I59" s="1"/>
  <c r="F67"/>
  <c r="I67" s="1"/>
  <c r="F75"/>
  <c r="I75" s="1"/>
  <c r="F83"/>
  <c r="I83" s="1"/>
  <c r="F91"/>
  <c r="I91" s="1"/>
  <c r="F99"/>
  <c r="I99" s="1"/>
  <c r="F107"/>
  <c r="I107" s="1"/>
  <c r="F115"/>
  <c r="I115" s="1"/>
  <c r="F123"/>
  <c r="I123" s="1"/>
  <c r="F131"/>
  <c r="I131" s="1"/>
  <c r="F139"/>
  <c r="I139" s="1"/>
  <c r="F147"/>
  <c r="I147" s="1"/>
  <c r="F155"/>
  <c r="I155" s="1"/>
  <c r="F163"/>
  <c r="I163" s="1"/>
  <c r="F168"/>
  <c r="I168" s="1"/>
  <c r="F173"/>
  <c r="I173" s="1"/>
  <c r="F179"/>
  <c r="I179" s="1"/>
  <c r="F184"/>
  <c r="I184" s="1"/>
  <c r="F189"/>
  <c r="I189" s="1"/>
  <c r="F195"/>
  <c r="I195" s="1"/>
  <c r="F200"/>
  <c r="I200" s="1"/>
  <c r="F205"/>
  <c r="I205" s="1"/>
  <c r="F211"/>
  <c r="I211" s="1"/>
  <c r="F216"/>
  <c r="I216" s="1"/>
  <c r="F221"/>
  <c r="I221" s="1"/>
  <c r="F227"/>
  <c r="I227" s="1"/>
  <c r="F232"/>
  <c r="I232" s="1"/>
  <c r="F237"/>
  <c r="I237" s="1"/>
  <c r="F243"/>
  <c r="I243" s="1"/>
  <c r="F248"/>
  <c r="I248" s="1"/>
  <c r="F253"/>
  <c r="I253" s="1"/>
  <c r="F259"/>
  <c r="I259" s="1"/>
  <c r="F264"/>
  <c r="I264" s="1"/>
  <c r="F269"/>
  <c r="I269" s="1"/>
  <c r="F275"/>
  <c r="I275" s="1"/>
  <c r="F280"/>
  <c r="I280" s="1"/>
  <c r="F285"/>
  <c r="I285" s="1"/>
  <c r="F291"/>
  <c r="I291" s="1"/>
  <c r="F296"/>
  <c r="I296" s="1"/>
  <c r="F301"/>
  <c r="I301" s="1"/>
  <c r="F307"/>
  <c r="I307" s="1"/>
  <c r="F312"/>
  <c r="I312" s="1"/>
  <c r="F17"/>
  <c r="F25"/>
  <c r="I25" s="1"/>
  <c r="F33"/>
  <c r="I33" s="1"/>
  <c r="F41"/>
  <c r="I41" s="1"/>
  <c r="F49"/>
  <c r="I49" s="1"/>
  <c r="F57"/>
  <c r="I57" s="1"/>
  <c r="F65"/>
  <c r="I65" s="1"/>
  <c r="F73"/>
  <c r="I73" s="1"/>
  <c r="F81"/>
  <c r="I81" s="1"/>
  <c r="F89"/>
  <c r="I89" s="1"/>
  <c r="F97"/>
  <c r="I97" s="1"/>
  <c r="F105"/>
  <c r="I105" s="1"/>
  <c r="F113"/>
  <c r="I113" s="1"/>
  <c r="F121"/>
  <c r="I121" s="1"/>
  <c r="F129"/>
  <c r="I129" s="1"/>
  <c r="F137"/>
  <c r="I137" s="1"/>
  <c r="F145"/>
  <c r="I145" s="1"/>
  <c r="F153"/>
  <c r="I153" s="1"/>
  <c r="F161"/>
  <c r="I161" s="1"/>
  <c r="F167"/>
  <c r="I167" s="1"/>
  <c r="F172"/>
  <c r="I172" s="1"/>
  <c r="F177"/>
  <c r="I177" s="1"/>
  <c r="F183"/>
  <c r="I183" s="1"/>
  <c r="F188"/>
  <c r="I188" s="1"/>
  <c r="F193"/>
  <c r="I193" s="1"/>
  <c r="F199"/>
  <c r="I199" s="1"/>
  <c r="F204"/>
  <c r="I204" s="1"/>
  <c r="F209"/>
  <c r="I209" s="1"/>
  <c r="F215"/>
  <c r="I215" s="1"/>
  <c r="F220"/>
  <c r="I220" s="1"/>
  <c r="F225"/>
  <c r="I225" s="1"/>
  <c r="F231"/>
  <c r="I231" s="1"/>
  <c r="F236"/>
  <c r="I236" s="1"/>
  <c r="F241"/>
  <c r="I241" s="1"/>
  <c r="F247"/>
  <c r="I247" s="1"/>
  <c r="F252"/>
  <c r="I252" s="1"/>
  <c r="F257"/>
  <c r="I257" s="1"/>
  <c r="F263"/>
  <c r="I263" s="1"/>
  <c r="F268"/>
  <c r="I268" s="1"/>
  <c r="F273"/>
  <c r="I273" s="1"/>
  <c r="F279"/>
  <c r="I279" s="1"/>
  <c r="F284"/>
  <c r="I284" s="1"/>
  <c r="F289"/>
  <c r="I289" s="1"/>
  <c r="F295"/>
  <c r="I295" s="1"/>
  <c r="F300"/>
  <c r="I300" s="1"/>
  <c r="F305"/>
  <c r="I305" s="1"/>
  <c r="F311"/>
  <c r="I311" s="1"/>
  <c r="F15"/>
  <c r="F23"/>
  <c r="F31"/>
  <c r="I31" s="1"/>
  <c r="F39"/>
  <c r="I39" s="1"/>
  <c r="F47"/>
  <c r="I47" s="1"/>
  <c r="F55"/>
  <c r="I55" s="1"/>
  <c r="F63"/>
  <c r="I63" s="1"/>
  <c r="F71"/>
  <c r="I71" s="1"/>
  <c r="F79"/>
  <c r="I79" s="1"/>
  <c r="F87"/>
  <c r="I87" s="1"/>
  <c r="F95"/>
  <c r="I95" s="1"/>
  <c r="F103"/>
  <c r="I103" s="1"/>
  <c r="F111"/>
  <c r="I111" s="1"/>
  <c r="F119"/>
  <c r="I119" s="1"/>
  <c r="F127"/>
  <c r="I127" s="1"/>
  <c r="F135"/>
  <c r="I135" s="1"/>
  <c r="F143"/>
  <c r="I143" s="1"/>
  <c r="F151"/>
  <c r="I151" s="1"/>
  <c r="F159"/>
  <c r="I159" s="1"/>
  <c r="F165"/>
  <c r="I165" s="1"/>
  <c r="F171"/>
  <c r="I171" s="1"/>
  <c r="F176"/>
  <c r="I176" s="1"/>
  <c r="F181"/>
  <c r="I181" s="1"/>
  <c r="F187"/>
  <c r="I187" s="1"/>
  <c r="F192"/>
  <c r="I192" s="1"/>
  <c r="F197"/>
  <c r="I197" s="1"/>
  <c r="F203"/>
  <c r="I203" s="1"/>
  <c r="F208"/>
  <c r="I208" s="1"/>
  <c r="F213"/>
  <c r="I213" s="1"/>
  <c r="F219"/>
  <c r="I219" s="1"/>
  <c r="F224"/>
  <c r="I224" s="1"/>
  <c r="F229"/>
  <c r="I229" s="1"/>
  <c r="F235"/>
  <c r="I235" s="1"/>
  <c r="F240"/>
  <c r="I240" s="1"/>
  <c r="F245"/>
  <c r="I245" s="1"/>
  <c r="F251"/>
  <c r="I251" s="1"/>
  <c r="F256"/>
  <c r="I256" s="1"/>
  <c r="F261"/>
  <c r="I261" s="1"/>
  <c r="F267"/>
  <c r="I267" s="1"/>
  <c r="F272"/>
  <c r="I272" s="1"/>
  <c r="F277"/>
  <c r="I277" s="1"/>
  <c r="F283"/>
  <c r="I283" s="1"/>
  <c r="F288"/>
  <c r="I288" s="1"/>
  <c r="F293"/>
  <c r="I293" s="1"/>
  <c r="F299"/>
  <c r="I299" s="1"/>
  <c r="F304"/>
  <c r="I304" s="1"/>
  <c r="F309"/>
  <c r="I309" s="1"/>
  <c r="F13"/>
  <c r="F21"/>
  <c r="F29"/>
  <c r="I29" s="1"/>
  <c r="F37"/>
  <c r="I37" s="1"/>
  <c r="F45"/>
  <c r="I45" s="1"/>
  <c r="F53"/>
  <c r="I53" s="1"/>
  <c r="F61"/>
  <c r="I61" s="1"/>
  <c r="F69"/>
  <c r="I69" s="1"/>
  <c r="F77"/>
  <c r="I77" s="1"/>
  <c r="F85"/>
  <c r="I85" s="1"/>
  <c r="F93"/>
  <c r="I93" s="1"/>
  <c r="F101"/>
  <c r="I101" s="1"/>
  <c r="F109"/>
  <c r="I109" s="1"/>
  <c r="F117"/>
  <c r="I117" s="1"/>
  <c r="F125"/>
  <c r="I125" s="1"/>
  <c r="F133"/>
  <c r="I133" s="1"/>
  <c r="F141"/>
  <c r="I141" s="1"/>
  <c r="F149"/>
  <c r="I149" s="1"/>
  <c r="F157"/>
  <c r="I157" s="1"/>
  <c r="F164"/>
  <c r="I164" s="1"/>
  <c r="F169"/>
  <c r="I169" s="1"/>
  <c r="F175"/>
  <c r="I175" s="1"/>
  <c r="F180"/>
  <c r="I180" s="1"/>
  <c r="F185"/>
  <c r="I185" s="1"/>
  <c r="F191"/>
  <c r="I191" s="1"/>
  <c r="F196"/>
  <c r="I196" s="1"/>
  <c r="F201"/>
  <c r="I201" s="1"/>
  <c r="F207"/>
  <c r="I207" s="1"/>
  <c r="F212"/>
  <c r="I212" s="1"/>
  <c r="F217"/>
  <c r="I217" s="1"/>
  <c r="F223"/>
  <c r="I223" s="1"/>
  <c r="F228"/>
  <c r="I228" s="1"/>
  <c r="F233"/>
  <c r="I233" s="1"/>
  <c r="F239"/>
  <c r="I239" s="1"/>
  <c r="F244"/>
  <c r="I244" s="1"/>
  <c r="F249"/>
  <c r="I249" s="1"/>
  <c r="F255"/>
  <c r="I255" s="1"/>
  <c r="F260"/>
  <c r="I260" s="1"/>
  <c r="F265"/>
  <c r="I265" s="1"/>
  <c r="F271"/>
  <c r="I271" s="1"/>
  <c r="F276"/>
  <c r="I276" s="1"/>
  <c r="F281"/>
  <c r="I281" s="1"/>
  <c r="F287"/>
  <c r="I287" s="1"/>
  <c r="F292"/>
  <c r="I292" s="1"/>
  <c r="F297"/>
  <c r="I297" s="1"/>
  <c r="F303"/>
  <c r="I303" s="1"/>
  <c r="F308"/>
  <c r="I308" s="1"/>
  <c r="DC31"/>
  <c r="BL20" i="52"/>
  <c r="BL22" s="1"/>
  <c r="BI23"/>
  <c r="BI24"/>
  <c r="AZ105" i="46"/>
  <c r="K95" s="1"/>
  <c r="BB105"/>
  <c r="BC105" s="1"/>
  <c r="J95" s="1"/>
  <c r="AZ137"/>
  <c r="K127" s="1"/>
  <c r="BB137"/>
  <c r="BC137" s="1"/>
  <c r="J127" s="1"/>
  <c r="BH208"/>
  <c r="BI208" s="1"/>
  <c r="L198" s="1"/>
  <c r="BF208"/>
  <c r="M198" s="1"/>
  <c r="BH224"/>
  <c r="BI224" s="1"/>
  <c r="L214" s="1"/>
  <c r="BF224"/>
  <c r="M214" s="1"/>
  <c r="BH240"/>
  <c r="BI240" s="1"/>
  <c r="L230" s="1"/>
  <c r="BF240"/>
  <c r="M230" s="1"/>
  <c r="BH256"/>
  <c r="BI256" s="1"/>
  <c r="L246" s="1"/>
  <c r="BF256"/>
  <c r="M246" s="1"/>
  <c r="BH272"/>
  <c r="BI272" s="1"/>
  <c r="L262" s="1"/>
  <c r="BF272"/>
  <c r="M262" s="1"/>
  <c r="BH288"/>
  <c r="BI288" s="1"/>
  <c r="L278" s="1"/>
  <c r="BF288"/>
  <c r="M278" s="1"/>
  <c r="AC90" i="41"/>
  <c r="AD90" s="1"/>
  <c r="AE90" s="1"/>
  <c r="AF90" s="1"/>
  <c r="AG90" s="1"/>
  <c r="AH90" s="1"/>
  <c r="AI90" s="1"/>
  <c r="AJ90" s="1"/>
  <c r="AK90" s="1"/>
  <c r="AL90" s="1"/>
  <c r="AM90" s="1"/>
  <c r="AN90" s="1"/>
  <c r="AO90" s="1"/>
  <c r="AP90" s="1"/>
  <c r="AQ90" s="1"/>
  <c r="Y90"/>
  <c r="AR452"/>
  <c r="AS452" s="1"/>
  <c r="AT452" s="1"/>
  <c r="AR451"/>
  <c r="AS451" s="1"/>
  <c r="AT451" s="1"/>
  <c r="AR444"/>
  <c r="AS444" s="1"/>
  <c r="AT444" s="1"/>
  <c r="AA444"/>
  <c r="Y444" s="1"/>
  <c r="AR428"/>
  <c r="AS428" s="1"/>
  <c r="AT428" s="1"/>
  <c r="AA428"/>
  <c r="Y428" s="1"/>
  <c r="AR401"/>
  <c r="AS401" s="1"/>
  <c r="AT401" s="1"/>
  <c r="AA401"/>
  <c r="Y401" s="1"/>
  <c r="AR417"/>
  <c r="AS417" s="1"/>
  <c r="AT417" s="1"/>
  <c r="AA417"/>
  <c r="Y417" s="1"/>
  <c r="AR466"/>
  <c r="AS466" s="1"/>
  <c r="AT466" s="1"/>
  <c r="AA466"/>
  <c r="Y466" s="1"/>
  <c r="C89"/>
  <c r="R64"/>
  <c r="BL9" i="50"/>
  <c r="W14" s="1"/>
  <c r="BL10"/>
  <c r="U14" s="1"/>
  <c r="BI16" i="52"/>
  <c r="BI28"/>
  <c r="BJ28" s="1"/>
  <c r="BL28" s="1"/>
  <c r="BJ21"/>
  <c r="BI30"/>
  <c r="BJ30" s="1"/>
  <c r="BL30" s="1"/>
  <c r="BI4"/>
  <c r="BM4" i="50"/>
  <c r="BM5" s="1"/>
  <c r="M18"/>
  <c r="AZ97" i="46"/>
  <c r="K87" s="1"/>
  <c r="BB97"/>
  <c r="BC97" s="1"/>
  <c r="J87" s="1"/>
  <c r="AZ129"/>
  <c r="K119" s="1"/>
  <c r="BB129"/>
  <c r="BC129" s="1"/>
  <c r="J119" s="1"/>
  <c r="BH206"/>
  <c r="BI206" s="1"/>
  <c r="L196" s="1"/>
  <c r="BF206"/>
  <c r="M196" s="1"/>
  <c r="BH222"/>
  <c r="BI222" s="1"/>
  <c r="L212" s="1"/>
  <c r="BF222"/>
  <c r="M212" s="1"/>
  <c r="BH238"/>
  <c r="BI238" s="1"/>
  <c r="L228" s="1"/>
  <c r="BF238"/>
  <c r="M228" s="1"/>
  <c r="BH254"/>
  <c r="BI254" s="1"/>
  <c r="L244" s="1"/>
  <c r="BF254"/>
  <c r="M244" s="1"/>
  <c r="BH270"/>
  <c r="BI270" s="1"/>
  <c r="L260" s="1"/>
  <c r="BF270"/>
  <c r="M260" s="1"/>
  <c r="BH286"/>
  <c r="BI286" s="1"/>
  <c r="L276" s="1"/>
  <c r="BF286"/>
  <c r="M276" s="1"/>
  <c r="AZ108"/>
  <c r="K98" s="1"/>
  <c r="BB108"/>
  <c r="BC108" s="1"/>
  <c r="J98" s="1"/>
  <c r="AZ124"/>
  <c r="K114" s="1"/>
  <c r="BB124"/>
  <c r="BC124" s="1"/>
  <c r="J114" s="1"/>
  <c r="AZ140"/>
  <c r="K130" s="1"/>
  <c r="BB140"/>
  <c r="BC140" s="1"/>
  <c r="J130" s="1"/>
  <c r="AZ148"/>
  <c r="K138" s="1"/>
  <c r="BB148"/>
  <c r="BC148" s="1"/>
  <c r="J138" s="1"/>
  <c r="AZ156"/>
  <c r="K146" s="1"/>
  <c r="BB156"/>
  <c r="BC156" s="1"/>
  <c r="J146" s="1"/>
  <c r="AZ164"/>
  <c r="K154" s="1"/>
  <c r="BB164"/>
  <c r="BC164" s="1"/>
  <c r="J154" s="1"/>
  <c r="AZ172"/>
  <c r="K162" s="1"/>
  <c r="BB172"/>
  <c r="BC172" s="1"/>
  <c r="J162" s="1"/>
  <c r="AZ180"/>
  <c r="K170" s="1"/>
  <c r="BB180"/>
  <c r="BC180" s="1"/>
  <c r="J170" s="1"/>
  <c r="AZ188"/>
  <c r="K178" s="1"/>
  <c r="BB188"/>
  <c r="BC188" s="1"/>
  <c r="J178" s="1"/>
  <c r="AZ196"/>
  <c r="K186" s="1"/>
  <c r="BB196"/>
  <c r="BC196" s="1"/>
  <c r="J186" s="1"/>
  <c r="AZ204"/>
  <c r="K194" s="1"/>
  <c r="BB204"/>
  <c r="BC204" s="1"/>
  <c r="J194" s="1"/>
  <c r="AZ212"/>
  <c r="K202" s="1"/>
  <c r="BB212"/>
  <c r="BC212" s="1"/>
  <c r="J202" s="1"/>
  <c r="AZ220"/>
  <c r="K210" s="1"/>
  <c r="BB220"/>
  <c r="BC220" s="1"/>
  <c r="J210" s="1"/>
  <c r="AZ228"/>
  <c r="K218" s="1"/>
  <c r="BB228"/>
  <c r="BC228" s="1"/>
  <c r="J218" s="1"/>
  <c r="AZ236"/>
  <c r="K226" s="1"/>
  <c r="BB236"/>
  <c r="BC236" s="1"/>
  <c r="J226" s="1"/>
  <c r="AZ244"/>
  <c r="K234" s="1"/>
  <c r="BB244"/>
  <c r="BC244" s="1"/>
  <c r="J234" s="1"/>
  <c r="AZ252"/>
  <c r="K242" s="1"/>
  <c r="BB252"/>
  <c r="BC252" s="1"/>
  <c r="J242" s="1"/>
  <c r="AZ260"/>
  <c r="K250" s="1"/>
  <c r="BB260"/>
  <c r="BC260" s="1"/>
  <c r="J250" s="1"/>
  <c r="AZ268"/>
  <c r="K258" s="1"/>
  <c r="BB268"/>
  <c r="BC268" s="1"/>
  <c r="J258" s="1"/>
  <c r="AZ276"/>
  <c r="K266" s="1"/>
  <c r="BB276"/>
  <c r="BC276" s="1"/>
  <c r="J266" s="1"/>
  <c r="AZ284"/>
  <c r="K274" s="1"/>
  <c r="BB284"/>
  <c r="BC284" s="1"/>
  <c r="J274" s="1"/>
  <c r="AZ292"/>
  <c r="K282" s="1"/>
  <c r="BB292"/>
  <c r="BC292" s="1"/>
  <c r="J282" s="1"/>
  <c r="BI184" i="47"/>
  <c r="BM184"/>
  <c r="BI200"/>
  <c r="BM200"/>
  <c r="BI216"/>
  <c r="BM216"/>
  <c r="BI232"/>
  <c r="BM232"/>
  <c r="BI248"/>
  <c r="BM248"/>
  <c r="BI264"/>
  <c r="BM264"/>
  <c r="BI280"/>
  <c r="BM280"/>
  <c r="BI296"/>
  <c r="BM296"/>
  <c r="BB110" i="46"/>
  <c r="BC110" s="1"/>
  <c r="J100" s="1"/>
  <c r="AZ110"/>
  <c r="K100" s="1"/>
  <c r="BB126"/>
  <c r="BC126" s="1"/>
  <c r="J116" s="1"/>
  <c r="AZ126"/>
  <c r="K116" s="1"/>
  <c r="BB142"/>
  <c r="BC142" s="1"/>
  <c r="J132" s="1"/>
  <c r="AZ142"/>
  <c r="K132" s="1"/>
  <c r="CY35" i="43"/>
  <c r="H16"/>
  <c r="CY36"/>
  <c r="CY34"/>
  <c r="AC75" i="41"/>
  <c r="AD75" s="1"/>
  <c r="AE75" s="1"/>
  <c r="AF75" s="1"/>
  <c r="AG75" s="1"/>
  <c r="AH75" s="1"/>
  <c r="AI75" s="1"/>
  <c r="AJ75" s="1"/>
  <c r="AK75" s="1"/>
  <c r="AL75" s="1"/>
  <c r="AM75" s="1"/>
  <c r="AN75" s="1"/>
  <c r="AO75" s="1"/>
  <c r="AP75" s="1"/>
  <c r="AQ75" s="1"/>
  <c r="Y75"/>
  <c r="AR453"/>
  <c r="AS453" s="1"/>
  <c r="AT453" s="1"/>
  <c r="AR454"/>
  <c r="AS454" s="1"/>
  <c r="AT454" s="1"/>
  <c r="AR471"/>
  <c r="AS471" s="1"/>
  <c r="AT471" s="1"/>
  <c r="AR455"/>
  <c r="AS455" s="1"/>
  <c r="AT455" s="1"/>
  <c r="AA455"/>
  <c r="Y455" s="1"/>
  <c r="AR436"/>
  <c r="AS436" s="1"/>
  <c r="AT436" s="1"/>
  <c r="AA436"/>
  <c r="Y436" s="1"/>
  <c r="AR429"/>
  <c r="AS429" s="1"/>
  <c r="AT429" s="1"/>
  <c r="AA429"/>
  <c r="Y429" s="1"/>
  <c r="AR412"/>
  <c r="AS412" s="1"/>
  <c r="AT412" s="1"/>
  <c r="AA412"/>
  <c r="Y412" s="1"/>
  <c r="AR398"/>
  <c r="AS398" s="1"/>
  <c r="AT398" s="1"/>
  <c r="AA398"/>
  <c r="Y398" s="1"/>
  <c r="AR424"/>
  <c r="AS424" s="1"/>
  <c r="AT424" s="1"/>
  <c r="AA424"/>
  <c r="Y424" s="1"/>
  <c r="AR423"/>
  <c r="AS423" s="1"/>
  <c r="AT423" s="1"/>
  <c r="AA423"/>
  <c r="Y423" s="1"/>
  <c r="AR418"/>
  <c r="AS418" s="1"/>
  <c r="AT418" s="1"/>
  <c r="AA418"/>
  <c r="Y418" s="1"/>
  <c r="AR420"/>
  <c r="AS420" s="1"/>
  <c r="AT420" s="1"/>
  <c r="AA420"/>
  <c r="Y420" s="1"/>
  <c r="AR461"/>
  <c r="AS461" s="1"/>
  <c r="AT461" s="1"/>
  <c r="AA461"/>
  <c r="Y461" s="1"/>
  <c r="AR464"/>
  <c r="AS464" s="1"/>
  <c r="AT464" s="1"/>
  <c r="AA464"/>
  <c r="Y464" s="1"/>
  <c r="AR476"/>
  <c r="AS476" s="1"/>
  <c r="AT476" s="1"/>
  <c r="AA476"/>
  <c r="Y476" s="1"/>
  <c r="AR496"/>
  <c r="AS496" s="1"/>
  <c r="AT496" s="1"/>
  <c r="AR492"/>
  <c r="AS492" s="1"/>
  <c r="AT492" s="1"/>
  <c r="AA492"/>
  <c r="Y492" s="1"/>
  <c r="AR488"/>
  <c r="AS488" s="1"/>
  <c r="AT488" s="1"/>
  <c r="AR484"/>
  <c r="AS484" s="1"/>
  <c r="AT484" s="1"/>
  <c r="AA484"/>
  <c r="Y484" s="1"/>
  <c r="AR447"/>
  <c r="AS447" s="1"/>
  <c r="AT447" s="1"/>
  <c r="AR441"/>
  <c r="AS441" s="1"/>
  <c r="AT441" s="1"/>
  <c r="AA441"/>
  <c r="Y441" s="1"/>
  <c r="AR458"/>
  <c r="AS458" s="1"/>
  <c r="AT458" s="1"/>
  <c r="AR433"/>
  <c r="AS433" s="1"/>
  <c r="AT433" s="1"/>
  <c r="AA433"/>
  <c r="Y433" s="1"/>
  <c r="AC74"/>
  <c r="AD74" s="1"/>
  <c r="AE74" s="1"/>
  <c r="AF74" s="1"/>
  <c r="AG74" s="1"/>
  <c r="AH74" s="1"/>
  <c r="AI74" s="1"/>
  <c r="AJ74" s="1"/>
  <c r="AK74" s="1"/>
  <c r="AL74" s="1"/>
  <c r="AM74" s="1"/>
  <c r="AN74" s="1"/>
  <c r="AO74" s="1"/>
  <c r="AP74" s="1"/>
  <c r="AQ74" s="1"/>
  <c r="Y74"/>
  <c r="BB10" i="47"/>
  <c r="BA11" s="1"/>
  <c r="BC10"/>
  <c r="BH97" i="46"/>
  <c r="BI97" s="1"/>
  <c r="L87" s="1"/>
  <c r="BF97"/>
  <c r="M87" s="1"/>
  <c r="BH113"/>
  <c r="BI113" s="1"/>
  <c r="L103" s="1"/>
  <c r="BF113"/>
  <c r="M103" s="1"/>
  <c r="BH129"/>
  <c r="BI129" s="1"/>
  <c r="L119" s="1"/>
  <c r="BF129"/>
  <c r="M119" s="1"/>
  <c r="AZ96"/>
  <c r="K86" s="1"/>
  <c r="BB96"/>
  <c r="BC96" s="1"/>
  <c r="J86" s="1"/>
  <c r="AZ104"/>
  <c r="K94" s="1"/>
  <c r="BB104"/>
  <c r="BC104" s="1"/>
  <c r="J94" s="1"/>
  <c r="AZ112"/>
  <c r="K102" s="1"/>
  <c r="BB112"/>
  <c r="BC112" s="1"/>
  <c r="J102" s="1"/>
  <c r="AZ120"/>
  <c r="K110" s="1"/>
  <c r="BB120"/>
  <c r="BC120" s="1"/>
  <c r="J110" s="1"/>
  <c r="AZ128"/>
  <c r="K118" s="1"/>
  <c r="BB128"/>
  <c r="BC128" s="1"/>
  <c r="J118" s="1"/>
  <c r="AZ136"/>
  <c r="K126" s="1"/>
  <c r="BB136"/>
  <c r="BC136" s="1"/>
  <c r="J126" s="1"/>
  <c r="AZ144"/>
  <c r="K134" s="1"/>
  <c r="BB144"/>
  <c r="BC144" s="1"/>
  <c r="J134" s="1"/>
  <c r="AZ152"/>
  <c r="K142" s="1"/>
  <c r="BB152"/>
  <c r="BC152" s="1"/>
  <c r="J142" s="1"/>
  <c r="AZ160"/>
  <c r="K150" s="1"/>
  <c r="BB160"/>
  <c r="BC160" s="1"/>
  <c r="J150" s="1"/>
  <c r="AZ168"/>
  <c r="K158" s="1"/>
  <c r="BB168"/>
  <c r="BC168" s="1"/>
  <c r="J158" s="1"/>
  <c r="AZ176"/>
  <c r="K166" s="1"/>
  <c r="BB176"/>
  <c r="BC176" s="1"/>
  <c r="J166" s="1"/>
  <c r="AZ184"/>
  <c r="K174" s="1"/>
  <c r="BB184"/>
  <c r="BC184" s="1"/>
  <c r="J174" s="1"/>
  <c r="AZ192"/>
  <c r="K182" s="1"/>
  <c r="BB192"/>
  <c r="BC192" s="1"/>
  <c r="J182" s="1"/>
  <c r="AZ200"/>
  <c r="K190" s="1"/>
  <c r="BB200"/>
  <c r="BC200" s="1"/>
  <c r="J190" s="1"/>
  <c r="AZ208"/>
  <c r="K198" s="1"/>
  <c r="BB208"/>
  <c r="BC208" s="1"/>
  <c r="J198" s="1"/>
  <c r="AZ216"/>
  <c r="K206" s="1"/>
  <c r="BB216"/>
  <c r="BC216" s="1"/>
  <c r="J206" s="1"/>
  <c r="AZ224"/>
  <c r="K214" s="1"/>
  <c r="BB224"/>
  <c r="BC224" s="1"/>
  <c r="J214" s="1"/>
  <c r="AZ232"/>
  <c r="K222" s="1"/>
  <c r="BB232"/>
  <c r="BC232" s="1"/>
  <c r="J222" s="1"/>
  <c r="AZ240"/>
  <c r="K230" s="1"/>
  <c r="BB240"/>
  <c r="BC240" s="1"/>
  <c r="J230" s="1"/>
  <c r="AZ248"/>
  <c r="K238" s="1"/>
  <c r="BB248"/>
  <c r="BC248" s="1"/>
  <c r="J238" s="1"/>
  <c r="AZ256"/>
  <c r="K246" s="1"/>
  <c r="BB256"/>
  <c r="BC256" s="1"/>
  <c r="J246" s="1"/>
  <c r="AZ264"/>
  <c r="K254" s="1"/>
  <c r="BB264"/>
  <c r="BC264" s="1"/>
  <c r="J254" s="1"/>
  <c r="AZ272"/>
  <c r="K262" s="1"/>
  <c r="BB272"/>
  <c r="BC272" s="1"/>
  <c r="J262" s="1"/>
  <c r="AZ280"/>
  <c r="K270" s="1"/>
  <c r="BB280"/>
  <c r="BC280" s="1"/>
  <c r="J270" s="1"/>
  <c r="AZ288"/>
  <c r="K278" s="1"/>
  <c r="BB288"/>
  <c r="BC288" s="1"/>
  <c r="J278" s="1"/>
  <c r="BH104"/>
  <c r="BI104" s="1"/>
  <c r="L94" s="1"/>
  <c r="BH103"/>
  <c r="BI103" s="1"/>
  <c r="L93" s="1"/>
  <c r="BF104"/>
  <c r="M94" s="1"/>
  <c r="BH120"/>
  <c r="BI120" s="1"/>
  <c r="L110" s="1"/>
  <c r="BH119"/>
  <c r="BI119" s="1"/>
  <c r="L109" s="1"/>
  <c r="BF120"/>
  <c r="M110" s="1"/>
  <c r="BH136"/>
  <c r="BI136" s="1"/>
  <c r="L126" s="1"/>
  <c r="BH135"/>
  <c r="BI135" s="1"/>
  <c r="L125" s="1"/>
  <c r="BF136"/>
  <c r="M126" s="1"/>
  <c r="BH152"/>
  <c r="BI152" s="1"/>
  <c r="L142" s="1"/>
  <c r="BF152"/>
  <c r="M142" s="1"/>
  <c r="BH168"/>
  <c r="BI168" s="1"/>
  <c r="L158" s="1"/>
  <c r="BF168"/>
  <c r="M158" s="1"/>
  <c r="BH184"/>
  <c r="BI184" s="1"/>
  <c r="L174" s="1"/>
  <c r="BF184"/>
  <c r="M174" s="1"/>
  <c r="AZ95"/>
  <c r="K85" s="1"/>
  <c r="BB95"/>
  <c r="BC95" s="1"/>
  <c r="J85" s="1"/>
  <c r="AZ111"/>
  <c r="K101" s="1"/>
  <c r="BB111"/>
  <c r="BC111" s="1"/>
  <c r="J101" s="1"/>
  <c r="AZ127"/>
  <c r="K117" s="1"/>
  <c r="BB127"/>
  <c r="BC127" s="1"/>
  <c r="J117" s="1"/>
  <c r="AZ143"/>
  <c r="K133" s="1"/>
  <c r="BB143"/>
  <c r="BC143" s="1"/>
  <c r="J133" s="1"/>
  <c r="BF174"/>
  <c r="M164" s="1"/>
  <c r="BH174"/>
  <c r="BI174" s="1"/>
  <c r="L164" s="1"/>
  <c r="BI173" i="47"/>
  <c r="BM173"/>
  <c r="BI157"/>
  <c r="BM157"/>
  <c r="BI141"/>
  <c r="BM141"/>
  <c r="BI125"/>
  <c r="BM125"/>
  <c r="BI113"/>
  <c r="BM113"/>
  <c r="BI105"/>
  <c r="BM105"/>
  <c r="BI97"/>
  <c r="BM97"/>
  <c r="BI89"/>
  <c r="BM89"/>
  <c r="BI81"/>
  <c r="BM81"/>
  <c r="BI73"/>
  <c r="BM73"/>
  <c r="BI65"/>
  <c r="BM65"/>
  <c r="BI57"/>
  <c r="BM57"/>
  <c r="BI49"/>
  <c r="BM49"/>
  <c r="BI41"/>
  <c r="BM41"/>
  <c r="BI301"/>
  <c r="BM301"/>
  <c r="BI293"/>
  <c r="BM293"/>
  <c r="BI285"/>
  <c r="BM285"/>
  <c r="BI277"/>
  <c r="BM277"/>
  <c r="BI269"/>
  <c r="BM269"/>
  <c r="BI261"/>
  <c r="BM261"/>
  <c r="BI253"/>
  <c r="BM253"/>
  <c r="BI245"/>
  <c r="BM245"/>
  <c r="BI237"/>
  <c r="BM237"/>
  <c r="BI229"/>
  <c r="BM229"/>
  <c r="BI221"/>
  <c r="BM221"/>
  <c r="BI213"/>
  <c r="BM213"/>
  <c r="BI205"/>
  <c r="BM205"/>
  <c r="BI197"/>
  <c r="BM197"/>
  <c r="BI189"/>
  <c r="BM189"/>
  <c r="BI181"/>
  <c r="BM181"/>
  <c r="BI114"/>
  <c r="BM114"/>
  <c r="BI98"/>
  <c r="BM98"/>
  <c r="BI82"/>
  <c r="BM82"/>
  <c r="BI66"/>
  <c r="BM66"/>
  <c r="BI50"/>
  <c r="BM50"/>
  <c r="BI171"/>
  <c r="BM171"/>
  <c r="BI163"/>
  <c r="BM163"/>
  <c r="BI155"/>
  <c r="BM155"/>
  <c r="BI147"/>
  <c r="BM147"/>
  <c r="BI139"/>
  <c r="BM139"/>
  <c r="BI131"/>
  <c r="BM131"/>
  <c r="BI123"/>
  <c r="BM123"/>
  <c r="BM172"/>
  <c r="BI172"/>
  <c r="BM164"/>
  <c r="BI164"/>
  <c r="BM156"/>
  <c r="BI156"/>
  <c r="BM148"/>
  <c r="BI148"/>
  <c r="BM140"/>
  <c r="BI140"/>
  <c r="BM132"/>
  <c r="BI132"/>
  <c r="BM124"/>
  <c r="BI124"/>
  <c r="BI116"/>
  <c r="BM116"/>
  <c r="BI108"/>
  <c r="BM108"/>
  <c r="BI100"/>
  <c r="BM100"/>
  <c r="BI92"/>
  <c r="BM92"/>
  <c r="BI84"/>
  <c r="BM84"/>
  <c r="BI76"/>
  <c r="BM76"/>
  <c r="BI68"/>
  <c r="BM68"/>
  <c r="BI60"/>
  <c r="BM60"/>
  <c r="BI52"/>
  <c r="BM52"/>
  <c r="BI44"/>
  <c r="BM44"/>
  <c r="AQ131" i="40"/>
  <c r="AR131" s="1"/>
  <c r="AS131" s="1"/>
  <c r="AB88"/>
  <c r="AC88" s="1"/>
  <c r="AD88" s="1"/>
  <c r="AE88" s="1"/>
  <c r="AF88" s="1"/>
  <c r="AG88" s="1"/>
  <c r="AH88" s="1"/>
  <c r="AI88" s="1"/>
  <c r="AJ88" s="1"/>
  <c r="AK88" s="1"/>
  <c r="AL88" s="1"/>
  <c r="AM88" s="1"/>
  <c r="AN88" s="1"/>
  <c r="AO88" s="1"/>
  <c r="AP88" s="1"/>
  <c r="X88"/>
  <c r="AB99"/>
  <c r="AC99" s="1"/>
  <c r="AD99" s="1"/>
  <c r="AE99" s="1"/>
  <c r="AF99" s="1"/>
  <c r="AG99" s="1"/>
  <c r="AH99" s="1"/>
  <c r="AI99" s="1"/>
  <c r="AJ99" s="1"/>
  <c r="AK99" s="1"/>
  <c r="AL99" s="1"/>
  <c r="AM99" s="1"/>
  <c r="AN99" s="1"/>
  <c r="AO99" s="1"/>
  <c r="AP99" s="1"/>
  <c r="X99"/>
  <c r="AB85"/>
  <c r="AC85" s="1"/>
  <c r="AD85" s="1"/>
  <c r="AE85" s="1"/>
  <c r="AF85" s="1"/>
  <c r="AG85" s="1"/>
  <c r="AH85" s="1"/>
  <c r="AI85" s="1"/>
  <c r="AJ85" s="1"/>
  <c r="AK85" s="1"/>
  <c r="AL85" s="1"/>
  <c r="AM85" s="1"/>
  <c r="AN85" s="1"/>
  <c r="AO85" s="1"/>
  <c r="AP85" s="1"/>
  <c r="X85"/>
  <c r="Z426"/>
  <c r="X426" s="1"/>
  <c r="AQ426"/>
  <c r="AR426" s="1"/>
  <c r="AS426" s="1"/>
  <c r="Z445"/>
  <c r="X445" s="1"/>
  <c r="AQ445"/>
  <c r="AR445" s="1"/>
  <c r="AS445" s="1"/>
  <c r="AB87"/>
  <c r="AC87" s="1"/>
  <c r="AD87" s="1"/>
  <c r="AE87" s="1"/>
  <c r="AF87" s="1"/>
  <c r="AG87" s="1"/>
  <c r="AH87" s="1"/>
  <c r="AI87" s="1"/>
  <c r="AJ87" s="1"/>
  <c r="AK87" s="1"/>
  <c r="AL87" s="1"/>
  <c r="AM87" s="1"/>
  <c r="AN87" s="1"/>
  <c r="AO87" s="1"/>
  <c r="AP87" s="1"/>
  <c r="X87"/>
  <c r="AB90"/>
  <c r="AC90" s="1"/>
  <c r="AD90" s="1"/>
  <c r="AE90" s="1"/>
  <c r="AF90" s="1"/>
  <c r="AG90" s="1"/>
  <c r="AH90" s="1"/>
  <c r="AI90" s="1"/>
  <c r="AJ90" s="1"/>
  <c r="AK90" s="1"/>
  <c r="AL90" s="1"/>
  <c r="AM90" s="1"/>
  <c r="AN90" s="1"/>
  <c r="AO90" s="1"/>
  <c r="AP90" s="1"/>
  <c r="X90"/>
  <c r="AQ115"/>
  <c r="AR115" s="1"/>
  <c r="AS115" s="1"/>
  <c r="AA93" i="41"/>
  <c r="AR93"/>
  <c r="AS93" s="1"/>
  <c r="AT93" s="1"/>
  <c r="U78"/>
  <c r="R78"/>
  <c r="CZ45" i="44"/>
  <c r="DC8"/>
  <c r="DI2"/>
  <c r="DA45"/>
  <c r="DI3"/>
  <c r="Y134" i="46"/>
  <c r="Y118"/>
  <c r="Y102"/>
  <c r="Q102" s="1"/>
  <c r="CZ36" i="43"/>
  <c r="AI95" i="46"/>
  <c r="AB95" s="1"/>
  <c r="AI134"/>
  <c r="AB134" s="1"/>
  <c r="AI118"/>
  <c r="Y138"/>
  <c r="Q138" s="1"/>
  <c r="R138" s="1"/>
  <c r="S138" s="1"/>
  <c r="Y122"/>
  <c r="Y106"/>
  <c r="AW17" i="49"/>
  <c r="BL9" i="52"/>
  <c r="CZ8" i="43"/>
  <c r="DB25" s="1"/>
  <c r="CZ42" i="45"/>
  <c r="DF15" s="1"/>
  <c r="AI126" i="46"/>
  <c r="AI110"/>
  <c r="Y130"/>
  <c r="Y114"/>
  <c r="BG86" i="47"/>
  <c r="BH86" s="1"/>
  <c r="AI99" i="46"/>
  <c r="AB99" s="1"/>
  <c r="AI107"/>
  <c r="AI115"/>
  <c r="AI123"/>
  <c r="AI131"/>
  <c r="AB131" s="1"/>
  <c r="Y97"/>
  <c r="Q97" s="1"/>
  <c r="Y105"/>
  <c r="Y113"/>
  <c r="Y121"/>
  <c r="Y129"/>
  <c r="Y137"/>
  <c r="Q137" s="1"/>
  <c r="R137" s="1"/>
  <c r="S137" s="1"/>
  <c r="CW52" i="43"/>
  <c r="AI136" i="46"/>
  <c r="AB136" s="1"/>
  <c r="AC136" s="1"/>
  <c r="AD136" s="1"/>
  <c r="AI120"/>
  <c r="Y136"/>
  <c r="Q136" s="1"/>
  <c r="R136" s="1"/>
  <c r="S136" s="1"/>
  <c r="Y120"/>
  <c r="Y104"/>
  <c r="BG304" i="47"/>
  <c r="BH304" s="1"/>
  <c r="BG296"/>
  <c r="BH296" s="1"/>
  <c r="BG288"/>
  <c r="BH288" s="1"/>
  <c r="BG280"/>
  <c r="BH280" s="1"/>
  <c r="BG272"/>
  <c r="BH272" s="1"/>
  <c r="BG264"/>
  <c r="BH264" s="1"/>
  <c r="BG256"/>
  <c r="BH256" s="1"/>
  <c r="BG248"/>
  <c r="BH248" s="1"/>
  <c r="BG240"/>
  <c r="BH240" s="1"/>
  <c r="BG232"/>
  <c r="BH232" s="1"/>
  <c r="BG224"/>
  <c r="BH224" s="1"/>
  <c r="BG216"/>
  <c r="BH216" s="1"/>
  <c r="BG208"/>
  <c r="BH208" s="1"/>
  <c r="BG200"/>
  <c r="BH200" s="1"/>
  <c r="BG192"/>
  <c r="BH192" s="1"/>
  <c r="BG184"/>
  <c r="BH184" s="1"/>
  <c r="BG170"/>
  <c r="BH170" s="1"/>
  <c r="BG154"/>
  <c r="BH154" s="1"/>
  <c r="BG138"/>
  <c r="BH138" s="1"/>
  <c r="BG122"/>
  <c r="BH122" s="1"/>
  <c r="BG307"/>
  <c r="BH307" s="1"/>
  <c r="BG299"/>
  <c r="BH299" s="1"/>
  <c r="BG291"/>
  <c r="BH291" s="1"/>
  <c r="BG283"/>
  <c r="BH283" s="1"/>
  <c r="BG275"/>
  <c r="BH275" s="1"/>
  <c r="BG267"/>
  <c r="BH267" s="1"/>
  <c r="BG259"/>
  <c r="BH259" s="1"/>
  <c r="BG251"/>
  <c r="BH251" s="1"/>
  <c r="BG243"/>
  <c r="BH243" s="1"/>
  <c r="BG235"/>
  <c r="BH235" s="1"/>
  <c r="BG227"/>
  <c r="BH227" s="1"/>
  <c r="BG219"/>
  <c r="BH219" s="1"/>
  <c r="BG211"/>
  <c r="BH211" s="1"/>
  <c r="BG203"/>
  <c r="BH203" s="1"/>
  <c r="BG195"/>
  <c r="BH195" s="1"/>
  <c r="BG187"/>
  <c r="BH187" s="1"/>
  <c r="BG179"/>
  <c r="BH179" s="1"/>
  <c r="CV52" i="43"/>
  <c r="CX28" s="1"/>
  <c r="BH134" i="46"/>
  <c r="BI134" s="1"/>
  <c r="L124" s="1"/>
  <c r="BH102"/>
  <c r="BI102" s="1"/>
  <c r="L92" s="1"/>
  <c r="AA110" i="41"/>
  <c r="N77" s="1"/>
  <c r="AA133"/>
  <c r="Y133" s="1"/>
  <c r="AA82"/>
  <c r="AA474"/>
  <c r="Y474" s="1"/>
  <c r="AA477"/>
  <c r="Y477" s="1"/>
  <c r="AA530"/>
  <c r="Y530" s="1"/>
  <c r="AA529"/>
  <c r="Y529" s="1"/>
  <c r="AA501"/>
  <c r="Y501" s="1"/>
  <c r="AA502"/>
  <c r="Y502" s="1"/>
  <c r="AA500"/>
  <c r="Y500" s="1"/>
  <c r="AA372"/>
  <c r="Y372" s="1"/>
  <c r="AA376"/>
  <c r="Y376" s="1"/>
  <c r="AA384"/>
  <c r="Y384" s="1"/>
  <c r="AA388"/>
  <c r="Y388" s="1"/>
  <c r="AA392"/>
  <c r="Y392" s="1"/>
  <c r="AA89"/>
  <c r="AA141"/>
  <c r="Y141" s="1"/>
  <c r="AA150"/>
  <c r="Y150" s="1"/>
  <c r="AA164"/>
  <c r="Y164" s="1"/>
  <c r="AA173"/>
  <c r="Y173" s="1"/>
  <c r="AA182"/>
  <c r="Y182" s="1"/>
  <c r="AA196"/>
  <c r="Y196" s="1"/>
  <c r="AA205"/>
  <c r="Y205" s="1"/>
  <c r="AA214"/>
  <c r="Y214" s="1"/>
  <c r="AA228"/>
  <c r="Y228" s="1"/>
  <c r="AA237"/>
  <c r="Y237" s="1"/>
  <c r="AA246"/>
  <c r="Y246" s="1"/>
  <c r="AA260"/>
  <c r="Y260" s="1"/>
  <c r="AA269"/>
  <c r="Y269" s="1"/>
  <c r="AA278"/>
  <c r="Y278" s="1"/>
  <c r="AA292"/>
  <c r="Y292" s="1"/>
  <c r="AA301"/>
  <c r="Y301" s="1"/>
  <c r="AA310"/>
  <c r="Y310" s="1"/>
  <c r="AA324"/>
  <c r="Y324" s="1"/>
  <c r="AA334"/>
  <c r="Y334" s="1"/>
  <c r="AA343"/>
  <c r="Y343" s="1"/>
  <c r="AA357"/>
  <c r="Y357" s="1"/>
  <c r="AA367"/>
  <c r="Y367" s="1"/>
  <c r="AA397"/>
  <c r="Y397" s="1"/>
  <c r="AA513"/>
  <c r="Y513" s="1"/>
  <c r="AA523"/>
  <c r="Y523" s="1"/>
  <c r="Z101" i="40"/>
  <c r="AA146" i="41"/>
  <c r="Y146" s="1"/>
  <c r="AA178"/>
  <c r="Y178" s="1"/>
  <c r="AA210"/>
  <c r="Y210" s="1"/>
  <c r="AA242"/>
  <c r="Y242" s="1"/>
  <c r="AA274"/>
  <c r="Y274" s="1"/>
  <c r="AA306"/>
  <c r="Y306" s="1"/>
  <c r="AA339"/>
  <c r="Y339" s="1"/>
  <c r="AA382"/>
  <c r="Y382" s="1"/>
  <c r="Z150" i="40"/>
  <c r="X150" s="1"/>
  <c r="AA124" i="41"/>
  <c r="N91" s="1"/>
  <c r="Z197" i="40"/>
  <c r="X197" s="1"/>
  <c r="Z205"/>
  <c r="X205" s="1"/>
  <c r="Z213"/>
  <c r="X213" s="1"/>
  <c r="Z515"/>
  <c r="X515" s="1"/>
  <c r="Z531"/>
  <c r="X531" s="1"/>
  <c r="AA109" i="41"/>
  <c r="N76" s="1"/>
  <c r="AA145"/>
  <c r="Y145" s="1"/>
  <c r="AA177"/>
  <c r="Y177" s="1"/>
  <c r="AA209"/>
  <c r="Y209" s="1"/>
  <c r="AA241"/>
  <c r="Y241" s="1"/>
  <c r="AA273"/>
  <c r="Y273" s="1"/>
  <c r="AA305"/>
  <c r="Y305" s="1"/>
  <c r="AA338"/>
  <c r="Y338" s="1"/>
  <c r="AA381"/>
  <c r="Y381" s="1"/>
  <c r="Z441" i="40"/>
  <c r="X441" s="1"/>
  <c r="Z119"/>
  <c r="M86" s="1"/>
  <c r="Z135"/>
  <c r="M102" s="1"/>
  <c r="Z147"/>
  <c r="X147" s="1"/>
  <c r="Z154"/>
  <c r="X154" s="1"/>
  <c r="Z159"/>
  <c r="X159" s="1"/>
  <c r="Z163"/>
  <c r="X163" s="1"/>
  <c r="Z167"/>
  <c r="X167" s="1"/>
  <c r="Z171"/>
  <c r="X171" s="1"/>
  <c r="Z175"/>
  <c r="X175" s="1"/>
  <c r="Z179"/>
  <c r="X179" s="1"/>
  <c r="Z183"/>
  <c r="X183" s="1"/>
  <c r="Z187"/>
  <c r="X187" s="1"/>
  <c r="Z191"/>
  <c r="X191" s="1"/>
  <c r="Z195"/>
  <c r="X195" s="1"/>
  <c r="Z203"/>
  <c r="X203" s="1"/>
  <c r="Z211"/>
  <c r="X211" s="1"/>
  <c r="Z79"/>
  <c r="Z519"/>
  <c r="X519" s="1"/>
  <c r="Z535"/>
  <c r="X535" s="1"/>
  <c r="AA115" i="41"/>
  <c r="N82" s="1"/>
  <c r="AA162"/>
  <c r="Y162" s="1"/>
  <c r="AA194"/>
  <c r="Y194" s="1"/>
  <c r="AA226"/>
  <c r="Y226" s="1"/>
  <c r="AA258"/>
  <c r="Y258" s="1"/>
  <c r="AA290"/>
  <c r="Y290" s="1"/>
  <c r="AA322"/>
  <c r="Y322" s="1"/>
  <c r="AA355"/>
  <c r="Y355" s="1"/>
  <c r="AA511"/>
  <c r="Y511" s="1"/>
  <c r="Z121" i="40"/>
  <c r="M88" s="1"/>
  <c r="Z134"/>
  <c r="M101" s="1"/>
  <c r="Z218"/>
  <c r="X218" s="1"/>
  <c r="Z222"/>
  <c r="X222" s="1"/>
  <c r="Z226"/>
  <c r="X226" s="1"/>
  <c r="Z230"/>
  <c r="X230" s="1"/>
  <c r="Z234"/>
  <c r="X234" s="1"/>
  <c r="Z238"/>
  <c r="X238" s="1"/>
  <c r="Z242"/>
  <c r="X242" s="1"/>
  <c r="Z246"/>
  <c r="X246" s="1"/>
  <c r="Z250"/>
  <c r="X250" s="1"/>
  <c r="Z254"/>
  <c r="X254" s="1"/>
  <c r="Z258"/>
  <c r="X258" s="1"/>
  <c r="Z262"/>
  <c r="X262" s="1"/>
  <c r="Z266"/>
  <c r="X266" s="1"/>
  <c r="Z270"/>
  <c r="X270" s="1"/>
  <c r="Z274"/>
  <c r="X274" s="1"/>
  <c r="Z278"/>
  <c r="X278" s="1"/>
  <c r="Z282"/>
  <c r="X282" s="1"/>
  <c r="Z286"/>
  <c r="X286" s="1"/>
  <c r="Z290"/>
  <c r="X290" s="1"/>
  <c r="Z294"/>
  <c r="X294" s="1"/>
  <c r="Z298"/>
  <c r="X298" s="1"/>
  <c r="Z302"/>
  <c r="X302" s="1"/>
  <c r="Z306"/>
  <c r="X306" s="1"/>
  <c r="Z310"/>
  <c r="X310" s="1"/>
  <c r="Z314"/>
  <c r="X314" s="1"/>
  <c r="Z318"/>
  <c r="X318" s="1"/>
  <c r="Z322"/>
  <c r="X322" s="1"/>
  <c r="Z326"/>
  <c r="X326" s="1"/>
  <c r="Z330"/>
  <c r="X330" s="1"/>
  <c r="Z334"/>
  <c r="X334" s="1"/>
  <c r="Z338"/>
  <c r="X338" s="1"/>
  <c r="Z342"/>
  <c r="X342" s="1"/>
  <c r="Z347"/>
  <c r="X347" s="1"/>
  <c r="Z351"/>
  <c r="X351" s="1"/>
  <c r="Z355"/>
  <c r="X355" s="1"/>
  <c r="Z359"/>
  <c r="X359" s="1"/>
  <c r="Z363"/>
  <c r="X363" s="1"/>
  <c r="Z367"/>
  <c r="X367" s="1"/>
  <c r="Z371"/>
  <c r="X371" s="1"/>
  <c r="Z375"/>
  <c r="X375" s="1"/>
  <c r="Z379"/>
  <c r="X379" s="1"/>
  <c r="Z383"/>
  <c r="X383" s="1"/>
  <c r="Z387"/>
  <c r="X387" s="1"/>
  <c r="Z391"/>
  <c r="X391" s="1"/>
  <c r="Z396"/>
  <c r="X396" s="1"/>
  <c r="Z400"/>
  <c r="X400" s="1"/>
  <c r="Z404"/>
  <c r="X404" s="1"/>
  <c r="Z408"/>
  <c r="X408" s="1"/>
  <c r="Z412"/>
  <c r="X412" s="1"/>
  <c r="Z416"/>
  <c r="X416" s="1"/>
  <c r="Z424"/>
  <c r="X424" s="1"/>
  <c r="Z429"/>
  <c r="X429" s="1"/>
  <c r="Z434"/>
  <c r="X434" s="1"/>
  <c r="Z442"/>
  <c r="X442" s="1"/>
  <c r="Z447"/>
  <c r="X447" s="1"/>
  <c r="Z451"/>
  <c r="X451" s="1"/>
  <c r="Z455"/>
  <c r="X455" s="1"/>
  <c r="Z459"/>
  <c r="X459" s="1"/>
  <c r="Z463"/>
  <c r="X463" s="1"/>
  <c r="Z467"/>
  <c r="X467" s="1"/>
  <c r="Z471"/>
  <c r="X471" s="1"/>
  <c r="Z475"/>
  <c r="X475" s="1"/>
  <c r="Z479"/>
  <c r="X479" s="1"/>
  <c r="Z483"/>
  <c r="X483" s="1"/>
  <c r="Z487"/>
  <c r="X487" s="1"/>
  <c r="Z491"/>
  <c r="X491" s="1"/>
  <c r="Z495"/>
  <c r="X495" s="1"/>
  <c r="Z499"/>
  <c r="X499" s="1"/>
  <c r="Z505"/>
  <c r="X505" s="1"/>
  <c r="Z521"/>
  <c r="X521" s="1"/>
  <c r="Z537"/>
  <c r="X537" s="1"/>
  <c r="AA117" i="41"/>
  <c r="N84" s="1"/>
  <c r="Z138" i="40"/>
  <c r="M105" s="1"/>
  <c r="AA138" i="41"/>
  <c r="Y138" s="1"/>
  <c r="AA170"/>
  <c r="Y170" s="1"/>
  <c r="AA202"/>
  <c r="Y202" s="1"/>
  <c r="AA234"/>
  <c r="Y234" s="1"/>
  <c r="AA266"/>
  <c r="Y266" s="1"/>
  <c r="AA298"/>
  <c r="Y298" s="1"/>
  <c r="AA330"/>
  <c r="Y330" s="1"/>
  <c r="AA364"/>
  <c r="Y364" s="1"/>
  <c r="AA519"/>
  <c r="Y519" s="1"/>
  <c r="Z146" i="40"/>
  <c r="X146" s="1"/>
  <c r="Z155"/>
  <c r="X155" s="1"/>
  <c r="Z160"/>
  <c r="X160" s="1"/>
  <c r="Z164"/>
  <c r="X164" s="1"/>
  <c r="Z168"/>
  <c r="X168" s="1"/>
  <c r="Z172"/>
  <c r="X172" s="1"/>
  <c r="Z176"/>
  <c r="X176" s="1"/>
  <c r="Z180"/>
  <c r="X180" s="1"/>
  <c r="Z503"/>
  <c r="X503" s="1"/>
  <c r="Z517"/>
  <c r="X517" s="1"/>
  <c r="Z533"/>
  <c r="X533" s="1"/>
  <c r="AA113" i="41"/>
  <c r="N80" s="1"/>
  <c r="L23" i="46" l="1"/>
  <c r="AW102"/>
  <c r="AP122"/>
  <c r="AO123" s="1"/>
  <c r="DB52" i="44"/>
  <c r="CZ42"/>
  <c r="D17" s="1"/>
  <c r="D16"/>
  <c r="DF13"/>
  <c r="CZ43"/>
  <c r="P33" i="52"/>
  <c r="K33"/>
  <c r="BH34" s="1"/>
  <c r="DB27" i="43"/>
  <c r="DC25"/>
  <c r="DB26"/>
  <c r="DE29"/>
  <c r="U3"/>
  <c r="AQ87" i="40"/>
  <c r="AR87" s="1"/>
  <c r="AS87" s="1"/>
  <c r="AQ90"/>
  <c r="AR90" s="1"/>
  <c r="AS90" s="1"/>
  <c r="Z85"/>
  <c r="AQ85"/>
  <c r="AR85" s="1"/>
  <c r="AS85" s="1"/>
  <c r="AQ88"/>
  <c r="AR88" s="1"/>
  <c r="AS88" s="1"/>
  <c r="T74" i="41"/>
  <c r="Q74"/>
  <c r="T75"/>
  <c r="Q75"/>
  <c r="M20" i="50"/>
  <c r="BL17"/>
  <c r="U18"/>
  <c r="BM18" s="1"/>
  <c r="BK15"/>
  <c r="F9" i="53"/>
  <c r="F10"/>
  <c r="DJ6" s="1"/>
  <c r="DI11"/>
  <c r="I13"/>
  <c r="DI16"/>
  <c r="DK16" s="1"/>
  <c r="DM16" s="1"/>
  <c r="DN16" s="1"/>
  <c r="I18"/>
  <c r="I24"/>
  <c r="DI22"/>
  <c r="DK22" s="1"/>
  <c r="DM22" s="1"/>
  <c r="DN22" s="1"/>
  <c r="J106" i="40"/>
  <c r="C107"/>
  <c r="DA15" i="45"/>
  <c r="CZ15"/>
  <c r="Q132" i="46"/>
  <c r="AA132"/>
  <c r="Z132"/>
  <c r="Z107"/>
  <c r="Q107"/>
  <c r="AA107"/>
  <c r="AB117"/>
  <c r="AJ117"/>
  <c r="AK117"/>
  <c r="Q110"/>
  <c r="Z110"/>
  <c r="AA110"/>
  <c r="AB122"/>
  <c r="AK122"/>
  <c r="AJ122"/>
  <c r="DI4" i="44"/>
  <c r="DJ4" s="1"/>
  <c r="DB45"/>
  <c r="DE41"/>
  <c r="I19"/>
  <c r="DA41"/>
  <c r="E19"/>
  <c r="AQ95" i="40"/>
  <c r="AR95" s="1"/>
  <c r="AS95" s="1"/>
  <c r="S89"/>
  <c r="P89"/>
  <c r="AR71" i="41"/>
  <c r="AS71" s="1"/>
  <c r="AT71" s="1"/>
  <c r="AA72"/>
  <c r="AR72"/>
  <c r="AS72" s="1"/>
  <c r="AT72" s="1"/>
  <c r="U77"/>
  <c r="R77"/>
  <c r="U87"/>
  <c r="R87"/>
  <c r="Q133" i="46"/>
  <c r="AA133"/>
  <c r="Z133"/>
  <c r="AK111"/>
  <c r="AB111"/>
  <c r="AJ111"/>
  <c r="K31" i="52"/>
  <c r="P31"/>
  <c r="DD6" i="44"/>
  <c r="DE6"/>
  <c r="DG6"/>
  <c r="DH6" s="1"/>
  <c r="DD46"/>
  <c r="DH18" i="43"/>
  <c r="DI18"/>
  <c r="DG18"/>
  <c r="DE18"/>
  <c r="DJ18"/>
  <c r="DF18"/>
  <c r="DH13"/>
  <c r="DI13"/>
  <c r="DE13"/>
  <c r="DG13"/>
  <c r="DF13"/>
  <c r="DJ13"/>
  <c r="AQ100" i="40"/>
  <c r="AR100" s="1"/>
  <c r="AS100" s="1"/>
  <c r="AQ107"/>
  <c r="AR107" s="1"/>
  <c r="AS107" s="1"/>
  <c r="AH96" i="46"/>
  <c r="AF96" s="1"/>
  <c r="AH98"/>
  <c r="AF98" s="1"/>
  <c r="AH100"/>
  <c r="AF100" s="1"/>
  <c r="AH102"/>
  <c r="AG102" s="1"/>
  <c r="AH104"/>
  <c r="AG104" s="1"/>
  <c r="AH106"/>
  <c r="AG106" s="1"/>
  <c r="AH108"/>
  <c r="AG108" s="1"/>
  <c r="AH110"/>
  <c r="AG110" s="1"/>
  <c r="AH112"/>
  <c r="AG112" s="1"/>
  <c r="AH114"/>
  <c r="AG114" s="1"/>
  <c r="AH116"/>
  <c r="AG116" s="1"/>
  <c r="AH118"/>
  <c r="AG118" s="1"/>
  <c r="AH120"/>
  <c r="AG120" s="1"/>
  <c r="AH122"/>
  <c r="AG122" s="1"/>
  <c r="AH124"/>
  <c r="AG124" s="1"/>
  <c r="AH126"/>
  <c r="AG126" s="1"/>
  <c r="AH128"/>
  <c r="AG128" s="1"/>
  <c r="AH130"/>
  <c r="AF130" s="1"/>
  <c r="AH132"/>
  <c r="AF132" s="1"/>
  <c r="AH134"/>
  <c r="AF134" s="1"/>
  <c r="AH136"/>
  <c r="AF136" s="1"/>
  <c r="AH94"/>
  <c r="AF94" s="1"/>
  <c r="AH95"/>
  <c r="AF95" s="1"/>
  <c r="AH97"/>
  <c r="AF97" s="1"/>
  <c r="AH99"/>
  <c r="AF99" s="1"/>
  <c r="AH101"/>
  <c r="AF101" s="1"/>
  <c r="AH103"/>
  <c r="AG103" s="1"/>
  <c r="AH105"/>
  <c r="AG105" s="1"/>
  <c r="AH107"/>
  <c r="AG107" s="1"/>
  <c r="AH109"/>
  <c r="AG109" s="1"/>
  <c r="AH111"/>
  <c r="AG111" s="1"/>
  <c r="AH113"/>
  <c r="AG113" s="1"/>
  <c r="AH115"/>
  <c r="AG115" s="1"/>
  <c r="AH117"/>
  <c r="AG117" s="1"/>
  <c r="AH119"/>
  <c r="AG119" s="1"/>
  <c r="AH121"/>
  <c r="AG121" s="1"/>
  <c r="AH123"/>
  <c r="AG123" s="1"/>
  <c r="AH125"/>
  <c r="AG125" s="1"/>
  <c r="AH127"/>
  <c r="AG127" s="1"/>
  <c r="AH129"/>
  <c r="AG129" s="1"/>
  <c r="AH131"/>
  <c r="AF131" s="1"/>
  <c r="AH133"/>
  <c r="AF133" s="1"/>
  <c r="AH135"/>
  <c r="AF135" s="1"/>
  <c r="AH137"/>
  <c r="AF137" s="1"/>
  <c r="M84"/>
  <c r="BA18" i="49"/>
  <c r="BD17" s="1"/>
  <c r="AV19"/>
  <c r="AW18"/>
  <c r="DI3" i="45"/>
  <c r="CY46"/>
  <c r="Q108" i="46"/>
  <c r="AA108"/>
  <c r="Z108"/>
  <c r="AB124"/>
  <c r="AC124" s="1"/>
  <c r="AD124" s="1"/>
  <c r="AJ124"/>
  <c r="AK124"/>
  <c r="Z127"/>
  <c r="Q127"/>
  <c r="AA127"/>
  <c r="AB105"/>
  <c r="AJ105"/>
  <c r="AK105"/>
  <c r="AQ104" i="40"/>
  <c r="AR104" s="1"/>
  <c r="AS104" s="1"/>
  <c r="Z104"/>
  <c r="AQ83"/>
  <c r="AR83" s="1"/>
  <c r="AS83" s="1"/>
  <c r="AQ98"/>
  <c r="AR98" s="1"/>
  <c r="AS98" s="1"/>
  <c r="Z98"/>
  <c r="DC8" i="45"/>
  <c r="DI2"/>
  <c r="CX46"/>
  <c r="AA458" i="41"/>
  <c r="Y458" s="1"/>
  <c r="AA447"/>
  <c r="Y447" s="1"/>
  <c r="AA488"/>
  <c r="Y488" s="1"/>
  <c r="AA496"/>
  <c r="Y496" s="1"/>
  <c r="R139" i="46"/>
  <c r="S139" s="1"/>
  <c r="Z345" i="40"/>
  <c r="X345" s="1"/>
  <c r="AA469" i="41"/>
  <c r="Y469" s="1"/>
  <c r="Z420" i="40"/>
  <c r="X420" s="1"/>
  <c r="AA435" i="41"/>
  <c r="Y435" s="1"/>
  <c r="AA443"/>
  <c r="Y443" s="1"/>
  <c r="AA486"/>
  <c r="Y486" s="1"/>
  <c r="AA494"/>
  <c r="Y494" s="1"/>
  <c r="AA481"/>
  <c r="Y481" s="1"/>
  <c r="AA383"/>
  <c r="Y383" s="1"/>
  <c r="AA421"/>
  <c r="Y421" s="1"/>
  <c r="AA395"/>
  <c r="Y395" s="1"/>
  <c r="AA438"/>
  <c r="Y438" s="1"/>
  <c r="BK4" i="50"/>
  <c r="BK5" s="1"/>
  <c r="Z423" i="40"/>
  <c r="X423" s="1"/>
  <c r="AA434" i="41"/>
  <c r="Y434" s="1"/>
  <c r="AA442"/>
  <c r="Y442" s="1"/>
  <c r="AA485"/>
  <c r="Y485" s="1"/>
  <c r="AA493"/>
  <c r="Y493" s="1"/>
  <c r="AA479"/>
  <c r="Y479" s="1"/>
  <c r="AA462"/>
  <c r="Y462" s="1"/>
  <c r="AA414"/>
  <c r="Y414" s="1"/>
  <c r="AA426"/>
  <c r="Y426" s="1"/>
  <c r="AA399"/>
  <c r="Y399" s="1"/>
  <c r="AA430"/>
  <c r="Y430" s="1"/>
  <c r="AA103"/>
  <c r="AA107"/>
  <c r="BD10" i="47"/>
  <c r="BE10"/>
  <c r="Q104" i="46"/>
  <c r="AA104"/>
  <c r="Z104"/>
  <c r="Q121"/>
  <c r="AA121"/>
  <c r="Z121"/>
  <c r="AB110"/>
  <c r="AK110"/>
  <c r="AJ110"/>
  <c r="Q106"/>
  <c r="Z106"/>
  <c r="AA106"/>
  <c r="Q118"/>
  <c r="Z118"/>
  <c r="AA118"/>
  <c r="U93" i="41"/>
  <c r="R93"/>
  <c r="U89"/>
  <c r="R89"/>
  <c r="AB120" i="46"/>
  <c r="AJ120"/>
  <c r="AK120"/>
  <c r="Q129"/>
  <c r="AA129"/>
  <c r="Z129"/>
  <c r="AK107"/>
  <c r="AB107"/>
  <c r="AJ107"/>
  <c r="Q130"/>
  <c r="Z130"/>
  <c r="AA130"/>
  <c r="AB118"/>
  <c r="AK118"/>
  <c r="AJ118"/>
  <c r="P90" i="40"/>
  <c r="S90"/>
  <c r="S85"/>
  <c r="P85"/>
  <c r="P88"/>
  <c r="S88"/>
  <c r="BC11" i="47"/>
  <c r="BB11"/>
  <c r="BA12" s="1"/>
  <c r="BO30" i="52"/>
  <c r="BO36" s="1"/>
  <c r="BO38" s="1"/>
  <c r="BN30"/>
  <c r="BN36" s="1"/>
  <c r="BN38" s="1"/>
  <c r="C15" s="1"/>
  <c r="AR90" i="41"/>
  <c r="AS90" s="1"/>
  <c r="AT90" s="1"/>
  <c r="DI19" i="53"/>
  <c r="DK19" s="1"/>
  <c r="DM19" s="1"/>
  <c r="DN19" s="1"/>
  <c r="I21"/>
  <c r="DI13"/>
  <c r="DK13" s="1"/>
  <c r="DM13" s="1"/>
  <c r="DN13" s="1"/>
  <c r="I15"/>
  <c r="I22"/>
  <c r="DI20"/>
  <c r="DK20" s="1"/>
  <c r="DM20" s="1"/>
  <c r="DN20" s="1"/>
  <c r="DD4" i="45"/>
  <c r="DG4"/>
  <c r="DH4" s="1"/>
  <c r="CZ47"/>
  <c r="DE4"/>
  <c r="Q116" i="46"/>
  <c r="AA116"/>
  <c r="Z116"/>
  <c r="Z115"/>
  <c r="Q115"/>
  <c r="AA115"/>
  <c r="AB125"/>
  <c r="AJ125"/>
  <c r="AK125"/>
  <c r="CX42" i="45"/>
  <c r="G18"/>
  <c r="AB106" i="46"/>
  <c r="AK106"/>
  <c r="AJ106"/>
  <c r="S95" i="40"/>
  <c r="P95"/>
  <c r="AQ89"/>
  <c r="AR89" s="1"/>
  <c r="AS89" s="1"/>
  <c r="J94" i="41"/>
  <c r="C95"/>
  <c r="D19" i="43"/>
  <c r="CU49"/>
  <c r="T71" i="41"/>
  <c r="Q71"/>
  <c r="Q72"/>
  <c r="T72"/>
  <c r="U81"/>
  <c r="R81"/>
  <c r="R88"/>
  <c r="U88"/>
  <c r="Q128" i="46"/>
  <c r="AA128"/>
  <c r="Z128"/>
  <c r="Q109"/>
  <c r="AA109"/>
  <c r="Z109"/>
  <c r="AK119"/>
  <c r="AB119"/>
  <c r="AJ119"/>
  <c r="R23" i="52"/>
  <c r="BJ3"/>
  <c r="DI6" i="44"/>
  <c r="DJ6" s="1"/>
  <c r="DD45"/>
  <c r="DF14" i="43"/>
  <c r="DJ14"/>
  <c r="DG14"/>
  <c r="DE14"/>
  <c r="DI14"/>
  <c r="DH14"/>
  <c r="DG16"/>
  <c r="DF16"/>
  <c r="DI16"/>
  <c r="DE16"/>
  <c r="DJ16"/>
  <c r="DH16"/>
  <c r="DH17"/>
  <c r="DG17"/>
  <c r="DI17"/>
  <c r="DE17"/>
  <c r="DJ17"/>
  <c r="DF17"/>
  <c r="S3"/>
  <c r="DP13"/>
  <c r="DP14" s="1"/>
  <c r="P100" i="40"/>
  <c r="S100"/>
  <c r="S107"/>
  <c r="P107"/>
  <c r="H26" i="45"/>
  <c r="DA42"/>
  <c r="AR73" i="41"/>
  <c r="AS73" s="1"/>
  <c r="AT73" s="1"/>
  <c r="DI5" i="45"/>
  <c r="DJ5" s="1"/>
  <c r="DA46"/>
  <c r="DH32"/>
  <c r="AX8" i="51"/>
  <c r="BB3" s="1"/>
  <c r="AZ2"/>
  <c r="AZ3"/>
  <c r="H19" i="44"/>
  <c r="DD41"/>
  <c r="AB108" i="46"/>
  <c r="AJ108"/>
  <c r="AK108"/>
  <c r="AB113"/>
  <c r="AJ113"/>
  <c r="AK113"/>
  <c r="P104" i="40"/>
  <c r="S104"/>
  <c r="P83"/>
  <c r="S83"/>
  <c r="P98"/>
  <c r="S98"/>
  <c r="AR70" i="41"/>
  <c r="AS70" s="1"/>
  <c r="AT70" s="1"/>
  <c r="AC131" i="46"/>
  <c r="AD131" s="1"/>
  <c r="AC134"/>
  <c r="AD134" s="1"/>
  <c r="DJ3" i="44"/>
  <c r="AC130" i="46"/>
  <c r="AD130" s="1"/>
  <c r="AA471" i="41"/>
  <c r="Y471" s="1"/>
  <c r="AA453"/>
  <c r="Y453" s="1"/>
  <c r="AA451"/>
  <c r="Y451" s="1"/>
  <c r="AA431"/>
  <c r="Y431" s="1"/>
  <c r="AC132" i="46"/>
  <c r="AD132" s="1"/>
  <c r="AA333" i="41"/>
  <c r="Y333" s="1"/>
  <c r="AA440"/>
  <c r="Y440" s="1"/>
  <c r="AA460"/>
  <c r="Y460" s="1"/>
  <c r="AA491"/>
  <c r="Y491" s="1"/>
  <c r="AA470"/>
  <c r="Y470" s="1"/>
  <c r="R141" i="46"/>
  <c r="S141" s="1"/>
  <c r="BI8" i="52"/>
  <c r="R135" i="46"/>
  <c r="S135" s="1"/>
  <c r="AA472" i="41"/>
  <c r="Y472" s="1"/>
  <c r="BN28" i="52"/>
  <c r="W17" s="1"/>
  <c r="W21" s="1"/>
  <c r="BK4" s="1"/>
  <c r="BO28"/>
  <c r="Y17" s="1"/>
  <c r="Y21" s="1"/>
  <c r="Q90" i="41"/>
  <c r="T90"/>
  <c r="DI21" i="53"/>
  <c r="DK21" s="1"/>
  <c r="DM21" s="1"/>
  <c r="DN21" s="1"/>
  <c r="I23"/>
  <c r="I17"/>
  <c r="DI15"/>
  <c r="DK15" s="1"/>
  <c r="DM15" s="1"/>
  <c r="DN15" s="1"/>
  <c r="DI17"/>
  <c r="DK17" s="1"/>
  <c r="DM17" s="1"/>
  <c r="DN17" s="1"/>
  <c r="I19"/>
  <c r="I16"/>
  <c r="DI14"/>
  <c r="DK14" s="1"/>
  <c r="DM14" s="1"/>
  <c r="DN14" s="1"/>
  <c r="AB116" i="46"/>
  <c r="AJ116"/>
  <c r="AK116"/>
  <c r="Z123"/>
  <c r="Q123"/>
  <c r="AA123"/>
  <c r="DD4" i="44"/>
  <c r="DD8" s="1"/>
  <c r="DG4"/>
  <c r="DE4"/>
  <c r="DB46"/>
  <c r="AQ102" i="40"/>
  <c r="AR102" s="1"/>
  <c r="AS102" s="1"/>
  <c r="AQ103"/>
  <c r="AR103" s="1"/>
  <c r="AS103" s="1"/>
  <c r="CV43" i="43"/>
  <c r="CV44"/>
  <c r="U83" i="41"/>
  <c r="R83"/>
  <c r="Q112" i="46"/>
  <c r="AA112"/>
  <c r="Z112"/>
  <c r="AB128"/>
  <c r="AJ128"/>
  <c r="AK128"/>
  <c r="Q117"/>
  <c r="AA117"/>
  <c r="Z117"/>
  <c r="AK127"/>
  <c r="AB127"/>
  <c r="AJ127"/>
  <c r="DG28" i="43"/>
  <c r="Q3"/>
  <c r="DP11"/>
  <c r="DP12" s="1"/>
  <c r="AQ86" i="40"/>
  <c r="AR86" s="1"/>
  <c r="AS86" s="1"/>
  <c r="Z86"/>
  <c r="AQ84"/>
  <c r="AR84" s="1"/>
  <c r="AS84" s="1"/>
  <c r="AQ93"/>
  <c r="AR93" s="1"/>
  <c r="AS93" s="1"/>
  <c r="Z93"/>
  <c r="Q73" i="41"/>
  <c r="T73"/>
  <c r="DH29" i="45"/>
  <c r="DJ5" i="53"/>
  <c r="DQ11"/>
  <c r="DQ12"/>
  <c r="DQ13"/>
  <c r="DQ14"/>
  <c r="DQ15"/>
  <c r="DQ16"/>
  <c r="DQ17"/>
  <c r="DQ18"/>
  <c r="DQ19"/>
  <c r="DQ20"/>
  <c r="DQ21"/>
  <c r="DQ22"/>
  <c r="EB11"/>
  <c r="ED11" s="1"/>
  <c r="EB13"/>
  <c r="ED13" s="1"/>
  <c r="EB15"/>
  <c r="ED15" s="1"/>
  <c r="EB17"/>
  <c r="ED17" s="1"/>
  <c r="EB19"/>
  <c r="ED19" s="1"/>
  <c r="EB21"/>
  <c r="ED21" s="1"/>
  <c r="EB23"/>
  <c r="ED23" s="1"/>
  <c r="EB25"/>
  <c r="ED25" s="1"/>
  <c r="EB27"/>
  <c r="ED27" s="1"/>
  <c r="EB29"/>
  <c r="ED29" s="1"/>
  <c r="EB31"/>
  <c r="ED31" s="1"/>
  <c r="EB33"/>
  <c r="ED33" s="1"/>
  <c r="EB35"/>
  <c r="ED35" s="1"/>
  <c r="EB37"/>
  <c r="ED37" s="1"/>
  <c r="EB39"/>
  <c r="ED39" s="1"/>
  <c r="EB41"/>
  <c r="ED41" s="1"/>
  <c r="EB43"/>
  <c r="ED43" s="1"/>
  <c r="EB45"/>
  <c r="ED45" s="1"/>
  <c r="EB47"/>
  <c r="ED47" s="1"/>
  <c r="EB49"/>
  <c r="ED49" s="1"/>
  <c r="EB51"/>
  <c r="ED51" s="1"/>
  <c r="EB53"/>
  <c r="ED53" s="1"/>
  <c r="EB55"/>
  <c r="ED55" s="1"/>
  <c r="EB57"/>
  <c r="ED57" s="1"/>
  <c r="EB59"/>
  <c r="ED59" s="1"/>
  <c r="EB61"/>
  <c r="ED61" s="1"/>
  <c r="EB63"/>
  <c r="ED63" s="1"/>
  <c r="EB65"/>
  <c r="ED65" s="1"/>
  <c r="EB67"/>
  <c r="ED67" s="1"/>
  <c r="EB69"/>
  <c r="ED69" s="1"/>
  <c r="EB71"/>
  <c r="ED71" s="1"/>
  <c r="EB73"/>
  <c r="ED73" s="1"/>
  <c r="EB75"/>
  <c r="ED75" s="1"/>
  <c r="EB77"/>
  <c r="ED77" s="1"/>
  <c r="EB79"/>
  <c r="ED79" s="1"/>
  <c r="EB81"/>
  <c r="ED81" s="1"/>
  <c r="EB83"/>
  <c r="ED83" s="1"/>
  <c r="EB85"/>
  <c r="ED85" s="1"/>
  <c r="EB87"/>
  <c r="ED87" s="1"/>
  <c r="EB89"/>
  <c r="ED89" s="1"/>
  <c r="EB91"/>
  <c r="ED91" s="1"/>
  <c r="EB93"/>
  <c r="ED93" s="1"/>
  <c r="EB95"/>
  <c r="ED95" s="1"/>
  <c r="EB97"/>
  <c r="ED97" s="1"/>
  <c r="EB99"/>
  <c r="ED99" s="1"/>
  <c r="EB101"/>
  <c r="ED101" s="1"/>
  <c r="EB103"/>
  <c r="ED103" s="1"/>
  <c r="EB105"/>
  <c r="ED105" s="1"/>
  <c r="EB107"/>
  <c r="ED107" s="1"/>
  <c r="EB109"/>
  <c r="ED109" s="1"/>
  <c r="EB111"/>
  <c r="ED111" s="1"/>
  <c r="EB113"/>
  <c r="ED113" s="1"/>
  <c r="EB115"/>
  <c r="ED115" s="1"/>
  <c r="EB117"/>
  <c r="ED117" s="1"/>
  <c r="EB119"/>
  <c r="ED119" s="1"/>
  <c r="EB121"/>
  <c r="ED121" s="1"/>
  <c r="EB123"/>
  <c r="ED123" s="1"/>
  <c r="EB125"/>
  <c r="ED125" s="1"/>
  <c r="EB127"/>
  <c r="ED127" s="1"/>
  <c r="EB129"/>
  <c r="ED129" s="1"/>
  <c r="EB131"/>
  <c r="ED131" s="1"/>
  <c r="EB133"/>
  <c r="ED133" s="1"/>
  <c r="EB135"/>
  <c r="ED135" s="1"/>
  <c r="EB137"/>
  <c r="ED137" s="1"/>
  <c r="EB139"/>
  <c r="ED139" s="1"/>
  <c r="EB141"/>
  <c r="ED141" s="1"/>
  <c r="EB143"/>
  <c r="ED143" s="1"/>
  <c r="EB145"/>
  <c r="ED145" s="1"/>
  <c r="EB147"/>
  <c r="ED147" s="1"/>
  <c r="EB149"/>
  <c r="ED149" s="1"/>
  <c r="EB151"/>
  <c r="ED151" s="1"/>
  <c r="EB153"/>
  <c r="ED153" s="1"/>
  <c r="EB155"/>
  <c r="ED155" s="1"/>
  <c r="EB157"/>
  <c r="ED157" s="1"/>
  <c r="EB159"/>
  <c r="ED159" s="1"/>
  <c r="EB161"/>
  <c r="ED161" s="1"/>
  <c r="EB163"/>
  <c r="ED163" s="1"/>
  <c r="EB165"/>
  <c r="ED165" s="1"/>
  <c r="EB167"/>
  <c r="ED167" s="1"/>
  <c r="EB169"/>
  <c r="ED169" s="1"/>
  <c r="EB171"/>
  <c r="ED171" s="1"/>
  <c r="EB173"/>
  <c r="ED173" s="1"/>
  <c r="EB175"/>
  <c r="ED175" s="1"/>
  <c r="EB177"/>
  <c r="ED177" s="1"/>
  <c r="EB179"/>
  <c r="ED179" s="1"/>
  <c r="EB181"/>
  <c r="ED181" s="1"/>
  <c r="EB183"/>
  <c r="ED183" s="1"/>
  <c r="EB185"/>
  <c r="ED185" s="1"/>
  <c r="EB187"/>
  <c r="ED187" s="1"/>
  <c r="EB189"/>
  <c r="ED189" s="1"/>
  <c r="EB191"/>
  <c r="ED191" s="1"/>
  <c r="EB193"/>
  <c r="ED193" s="1"/>
  <c r="EB195"/>
  <c r="ED195" s="1"/>
  <c r="EB197"/>
  <c r="ED197" s="1"/>
  <c r="EB199"/>
  <c r="ED199" s="1"/>
  <c r="EB201"/>
  <c r="ED201" s="1"/>
  <c r="EB203"/>
  <c r="ED203" s="1"/>
  <c r="EB205"/>
  <c r="ED205" s="1"/>
  <c r="EB207"/>
  <c r="ED207" s="1"/>
  <c r="EB209"/>
  <c r="ED209" s="1"/>
  <c r="EB211"/>
  <c r="ED211" s="1"/>
  <c r="DY11"/>
  <c r="DD14"/>
  <c r="EC14"/>
  <c r="DY15"/>
  <c r="EC16"/>
  <c r="DY17"/>
  <c r="DY18"/>
  <c r="DY19"/>
  <c r="EC20"/>
  <c r="DP23"/>
  <c r="DQ26"/>
  <c r="DY26"/>
  <c r="DQ27"/>
  <c r="DY27"/>
  <c r="EC28"/>
  <c r="DQ29"/>
  <c r="DY29"/>
  <c r="DQ30"/>
  <c r="DY30"/>
  <c r="EC31"/>
  <c r="EC32"/>
  <c r="EC33"/>
  <c r="EC34"/>
  <c r="DP37"/>
  <c r="DP38"/>
  <c r="DP39"/>
  <c r="EC43"/>
  <c r="DQ44"/>
  <c r="DY44"/>
  <c r="DP45"/>
  <c r="DD54"/>
  <c r="DE59" s="1"/>
  <c r="DP46"/>
  <c r="EC48"/>
  <c r="EC49"/>
  <c r="EC50"/>
  <c r="DP51"/>
  <c r="DQ52"/>
  <c r="DY52"/>
  <c r="EC54"/>
  <c r="DP55"/>
  <c r="DQ56"/>
  <c r="DY56"/>
  <c r="EC58"/>
  <c r="DQ60"/>
  <c r="DY60"/>
  <c r="DQ62"/>
  <c r="DY62"/>
  <c r="DP63"/>
  <c r="DQ64"/>
  <c r="DY64"/>
  <c r="EC66"/>
  <c r="DP67"/>
  <c r="DQ68"/>
  <c r="DY68"/>
  <c r="EC70"/>
  <c r="DP71"/>
  <c r="DQ72"/>
  <c r="DY72"/>
  <c r="EC74"/>
  <c r="DP75"/>
  <c r="DQ76"/>
  <c r="DY76"/>
  <c r="EC78"/>
  <c r="DP79"/>
  <c r="DQ80"/>
  <c r="DY80"/>
  <c r="EC82"/>
  <c r="DP83"/>
  <c r="DQ84"/>
  <c r="DY84"/>
  <c r="EC86"/>
  <c r="DP87"/>
  <c r="DQ88"/>
  <c r="DY88"/>
  <c r="EC90"/>
  <c r="DP91"/>
  <c r="DQ92"/>
  <c r="DY92"/>
  <c r="EC94"/>
  <c r="DP95"/>
  <c r="DQ96"/>
  <c r="DY96"/>
  <c r="EC98"/>
  <c r="DP99"/>
  <c r="DQ100"/>
  <c r="DY100"/>
  <c r="EC102"/>
  <c r="DP103"/>
  <c r="DQ104"/>
  <c r="DY104"/>
  <c r="EC106"/>
  <c r="DP107"/>
  <c r="DQ108"/>
  <c r="DY108"/>
  <c r="EC110"/>
  <c r="DP111"/>
  <c r="DQ112"/>
  <c r="DY112"/>
  <c r="EC114"/>
  <c r="DP115"/>
  <c r="DQ116"/>
  <c r="DY116"/>
  <c r="EC118"/>
  <c r="DP119"/>
  <c r="DQ120"/>
  <c r="DY120"/>
  <c r="EC122"/>
  <c r="DP123"/>
  <c r="DQ124"/>
  <c r="DY124"/>
  <c r="EC126"/>
  <c r="DP127"/>
  <c r="DQ128"/>
  <c r="DY128"/>
  <c r="EC130"/>
  <c r="DP131"/>
  <c r="DQ132"/>
  <c r="DY132"/>
  <c r="EC134"/>
  <c r="DP135"/>
  <c r="DQ136"/>
  <c r="DY136"/>
  <c r="EC138"/>
  <c r="DP139"/>
  <c r="DQ140"/>
  <c r="DY140"/>
  <c r="EC142"/>
  <c r="DP143"/>
  <c r="DQ144"/>
  <c r="DY144"/>
  <c r="EC146"/>
  <c r="DP147"/>
  <c r="DQ148"/>
  <c r="DY148"/>
  <c r="EC150"/>
  <c r="DP151"/>
  <c r="DQ152"/>
  <c r="DY152"/>
  <c r="EC154"/>
  <c r="DP155"/>
  <c r="DQ156"/>
  <c r="DY156"/>
  <c r="EC158"/>
  <c r="DP159"/>
  <c r="DQ160"/>
  <c r="DY160"/>
  <c r="EC162"/>
  <c r="DP163"/>
  <c r="DP12"/>
  <c r="DP13"/>
  <c r="DP14"/>
  <c r="DP15"/>
  <c r="DP16"/>
  <c r="DP17"/>
  <c r="DP18"/>
  <c r="DP19"/>
  <c r="DP20"/>
  <c r="DP21"/>
  <c r="DP22"/>
  <c r="DX12"/>
  <c r="DZ12" s="1"/>
  <c r="DX14"/>
  <c r="DZ14" s="1"/>
  <c r="DX16"/>
  <c r="DZ16" s="1"/>
  <c r="DX18"/>
  <c r="DZ18" s="1"/>
  <c r="DX20"/>
  <c r="DZ20" s="1"/>
  <c r="DX22"/>
  <c r="DZ22" s="1"/>
  <c r="DX24"/>
  <c r="DZ24" s="1"/>
  <c r="DX26"/>
  <c r="DZ26" s="1"/>
  <c r="DX28"/>
  <c r="DZ28" s="1"/>
  <c r="DX30"/>
  <c r="DZ30" s="1"/>
  <c r="DX32"/>
  <c r="DZ32" s="1"/>
  <c r="DX34"/>
  <c r="DZ34" s="1"/>
  <c r="DX36"/>
  <c r="DZ36" s="1"/>
  <c r="DX38"/>
  <c r="DZ38" s="1"/>
  <c r="DX40"/>
  <c r="DZ40" s="1"/>
  <c r="DX42"/>
  <c r="DZ42" s="1"/>
  <c r="DX44"/>
  <c r="DZ44" s="1"/>
  <c r="DX46"/>
  <c r="DZ46" s="1"/>
  <c r="DX48"/>
  <c r="DZ48" s="1"/>
  <c r="DX50"/>
  <c r="DZ50" s="1"/>
  <c r="DX52"/>
  <c r="DZ52" s="1"/>
  <c r="DX54"/>
  <c r="DZ54" s="1"/>
  <c r="DX56"/>
  <c r="DZ56" s="1"/>
  <c r="DX58"/>
  <c r="DZ58" s="1"/>
  <c r="DX60"/>
  <c r="DZ60" s="1"/>
  <c r="DX62"/>
  <c r="DZ62" s="1"/>
  <c r="DX64"/>
  <c r="DZ64" s="1"/>
  <c r="DX66"/>
  <c r="DZ66" s="1"/>
  <c r="DX68"/>
  <c r="DZ68" s="1"/>
  <c r="DX70"/>
  <c r="DZ70" s="1"/>
  <c r="DX72"/>
  <c r="DZ72" s="1"/>
  <c r="DX74"/>
  <c r="DZ74" s="1"/>
  <c r="DX76"/>
  <c r="DZ76" s="1"/>
  <c r="DX78"/>
  <c r="DZ78" s="1"/>
  <c r="DX80"/>
  <c r="DZ80" s="1"/>
  <c r="DX82"/>
  <c r="DZ82" s="1"/>
  <c r="DX84"/>
  <c r="DZ84" s="1"/>
  <c r="DX86"/>
  <c r="DZ86" s="1"/>
  <c r="DX88"/>
  <c r="DZ88" s="1"/>
  <c r="DX90"/>
  <c r="DZ90" s="1"/>
  <c r="DX92"/>
  <c r="DZ92" s="1"/>
  <c r="DX94"/>
  <c r="DZ94" s="1"/>
  <c r="DX96"/>
  <c r="DZ96" s="1"/>
  <c r="DX98"/>
  <c r="DZ98" s="1"/>
  <c r="DX100"/>
  <c r="DZ100" s="1"/>
  <c r="DX102"/>
  <c r="DZ102" s="1"/>
  <c r="DX104"/>
  <c r="DZ104" s="1"/>
  <c r="DX106"/>
  <c r="DZ106" s="1"/>
  <c r="DX108"/>
  <c r="DZ108" s="1"/>
  <c r="DX110"/>
  <c r="DZ110" s="1"/>
  <c r="DX112"/>
  <c r="DZ112" s="1"/>
  <c r="DX114"/>
  <c r="DZ114" s="1"/>
  <c r="DX116"/>
  <c r="DZ116" s="1"/>
  <c r="DX118"/>
  <c r="DZ118" s="1"/>
  <c r="DX120"/>
  <c r="DZ120" s="1"/>
  <c r="DX122"/>
  <c r="DZ122" s="1"/>
  <c r="DX124"/>
  <c r="DZ124" s="1"/>
  <c r="DX126"/>
  <c r="DZ126" s="1"/>
  <c r="DX128"/>
  <c r="DZ128" s="1"/>
  <c r="DX130"/>
  <c r="DZ130" s="1"/>
  <c r="DX132"/>
  <c r="DZ132" s="1"/>
  <c r="DX134"/>
  <c r="DZ134" s="1"/>
  <c r="DX136"/>
  <c r="DZ136" s="1"/>
  <c r="DX138"/>
  <c r="DZ138" s="1"/>
  <c r="DX140"/>
  <c r="DZ140" s="1"/>
  <c r="DX142"/>
  <c r="DZ142" s="1"/>
  <c r="DX144"/>
  <c r="DZ144" s="1"/>
  <c r="DX146"/>
  <c r="DZ146" s="1"/>
  <c r="DX148"/>
  <c r="DZ148" s="1"/>
  <c r="DX150"/>
  <c r="DZ150" s="1"/>
  <c r="DX152"/>
  <c r="DZ152" s="1"/>
  <c r="DX154"/>
  <c r="DZ154" s="1"/>
  <c r="DX156"/>
  <c r="DZ156" s="1"/>
  <c r="DX158"/>
  <c r="DZ158" s="1"/>
  <c r="DX160"/>
  <c r="DZ160" s="1"/>
  <c r="DX162"/>
  <c r="DZ162" s="1"/>
  <c r="DX164"/>
  <c r="DZ164" s="1"/>
  <c r="DX166"/>
  <c r="DZ166" s="1"/>
  <c r="DX168"/>
  <c r="DZ168" s="1"/>
  <c r="DX170"/>
  <c r="DZ170" s="1"/>
  <c r="DX172"/>
  <c r="DZ172" s="1"/>
  <c r="DX174"/>
  <c r="DZ174" s="1"/>
  <c r="DX176"/>
  <c r="DZ176" s="1"/>
  <c r="DX178"/>
  <c r="DZ178" s="1"/>
  <c r="DX180"/>
  <c r="DZ180" s="1"/>
  <c r="DX182"/>
  <c r="DZ182" s="1"/>
  <c r="DX184"/>
  <c r="DZ184" s="1"/>
  <c r="DX186"/>
  <c r="DZ186" s="1"/>
  <c r="DX188"/>
  <c r="DZ188" s="1"/>
  <c r="DX190"/>
  <c r="DZ190" s="1"/>
  <c r="DX192"/>
  <c r="DZ192" s="1"/>
  <c r="DX194"/>
  <c r="DZ194" s="1"/>
  <c r="DX196"/>
  <c r="DZ196" s="1"/>
  <c r="DX198"/>
  <c r="DZ198" s="1"/>
  <c r="DX200"/>
  <c r="DZ200" s="1"/>
  <c r="DX202"/>
  <c r="DZ202" s="1"/>
  <c r="DX204"/>
  <c r="DZ204" s="1"/>
  <c r="DX206"/>
  <c r="DZ206" s="1"/>
  <c r="DX208"/>
  <c r="DZ208" s="1"/>
  <c r="DX210"/>
  <c r="DZ210" s="1"/>
  <c r="DY12"/>
  <c r="DY13"/>
  <c r="EC21"/>
  <c r="DY22"/>
  <c r="EC23"/>
  <c r="DQ24"/>
  <c r="DY24"/>
  <c r="DQ25"/>
  <c r="DY25"/>
  <c r="DP26"/>
  <c r="DP27"/>
  <c r="DP29"/>
  <c r="DP30"/>
  <c r="DQ35"/>
  <c r="DY35"/>
  <c r="DQ36"/>
  <c r="DY36"/>
  <c r="EC37"/>
  <c r="EC38"/>
  <c r="EC39"/>
  <c r="DQ40"/>
  <c r="DY40"/>
  <c r="DQ41"/>
  <c r="DY41"/>
  <c r="DQ42"/>
  <c r="DY42"/>
  <c r="DP44"/>
  <c r="EC45"/>
  <c r="EC46"/>
  <c r="DQ47"/>
  <c r="DY47"/>
  <c r="DE57"/>
  <c r="DE63" s="1"/>
  <c r="EC51"/>
  <c r="DP52"/>
  <c r="DQ53"/>
  <c r="DY53"/>
  <c r="W40"/>
  <c r="DX13"/>
  <c r="DZ13" s="1"/>
  <c r="DX17"/>
  <c r="DZ17" s="1"/>
  <c r="DX21"/>
  <c r="DZ21" s="1"/>
  <c r="DX25"/>
  <c r="DZ25" s="1"/>
  <c r="DX29"/>
  <c r="DZ29" s="1"/>
  <c r="DX33"/>
  <c r="DZ33" s="1"/>
  <c r="DX37"/>
  <c r="DZ37" s="1"/>
  <c r="DX41"/>
  <c r="DZ41" s="1"/>
  <c r="DX45"/>
  <c r="DZ45" s="1"/>
  <c r="DX49"/>
  <c r="DZ49" s="1"/>
  <c r="DX53"/>
  <c r="DZ53" s="1"/>
  <c r="DX57"/>
  <c r="DZ57" s="1"/>
  <c r="DX61"/>
  <c r="DZ61" s="1"/>
  <c r="DX65"/>
  <c r="DZ65" s="1"/>
  <c r="DX69"/>
  <c r="DZ69" s="1"/>
  <c r="DX73"/>
  <c r="DZ73" s="1"/>
  <c r="DX77"/>
  <c r="DZ77" s="1"/>
  <c r="DX81"/>
  <c r="DZ81" s="1"/>
  <c r="DX85"/>
  <c r="DZ85" s="1"/>
  <c r="DX89"/>
  <c r="DZ89" s="1"/>
  <c r="DX93"/>
  <c r="DZ93" s="1"/>
  <c r="DX97"/>
  <c r="DZ97" s="1"/>
  <c r="DX101"/>
  <c r="DZ101" s="1"/>
  <c r="DX105"/>
  <c r="DZ105" s="1"/>
  <c r="DX109"/>
  <c r="DZ109" s="1"/>
  <c r="DX113"/>
  <c r="DZ113" s="1"/>
  <c r="DX117"/>
  <c r="DZ117" s="1"/>
  <c r="DX121"/>
  <c r="DZ121" s="1"/>
  <c r="DX125"/>
  <c r="DZ125" s="1"/>
  <c r="DX129"/>
  <c r="DZ129" s="1"/>
  <c r="DX133"/>
  <c r="DZ133" s="1"/>
  <c r="DX137"/>
  <c r="DZ137" s="1"/>
  <c r="DX141"/>
  <c r="DZ141" s="1"/>
  <c r="DX145"/>
  <c r="DZ145" s="1"/>
  <c r="DX149"/>
  <c r="DZ149" s="1"/>
  <c r="DX153"/>
  <c r="DZ153" s="1"/>
  <c r="DX157"/>
  <c r="DZ157" s="1"/>
  <c r="DX161"/>
  <c r="DZ161" s="1"/>
  <c r="DX165"/>
  <c r="DZ165" s="1"/>
  <c r="DX169"/>
  <c r="DZ169" s="1"/>
  <c r="DX173"/>
  <c r="DZ173" s="1"/>
  <c r="DX177"/>
  <c r="DZ177" s="1"/>
  <c r="DX181"/>
  <c r="DZ181" s="1"/>
  <c r="DX185"/>
  <c r="DZ185" s="1"/>
  <c r="DX189"/>
  <c r="DZ189" s="1"/>
  <c r="DX193"/>
  <c r="DZ193" s="1"/>
  <c r="DX197"/>
  <c r="DZ197" s="1"/>
  <c r="DX201"/>
  <c r="DZ201" s="1"/>
  <c r="DX205"/>
  <c r="DZ205" s="1"/>
  <c r="DX209"/>
  <c r="DZ209" s="1"/>
  <c r="EC13"/>
  <c r="DY14"/>
  <c r="EC15"/>
  <c r="EC17"/>
  <c r="DQ23"/>
  <c r="DP25"/>
  <c r="DY28"/>
  <c r="DQ32"/>
  <c r="DY33"/>
  <c r="EC35"/>
  <c r="EC44"/>
  <c r="DQ46"/>
  <c r="DD57"/>
  <c r="DE62" s="1"/>
  <c r="DY49"/>
  <c r="DY51"/>
  <c r="DQ54"/>
  <c r="EC55"/>
  <c r="DQ59"/>
  <c r="EC59"/>
  <c r="DP60"/>
  <c r="DP61"/>
  <c r="DY61"/>
  <c r="DP66"/>
  <c r="DY66"/>
  <c r="DQ67"/>
  <c r="EC68"/>
  <c r="DQ69"/>
  <c r="EC69"/>
  <c r="DP74"/>
  <c r="DY74"/>
  <c r="DQ75"/>
  <c r="EC76"/>
  <c r="DQ77"/>
  <c r="EC77"/>
  <c r="DP82"/>
  <c r="DY82"/>
  <c r="DQ83"/>
  <c r="EC84"/>
  <c r="DQ85"/>
  <c r="EC85"/>
  <c r="DP90"/>
  <c r="DY90"/>
  <c r="DQ91"/>
  <c r="EC92"/>
  <c r="DQ93"/>
  <c r="EC93"/>
  <c r="DP98"/>
  <c r="DY98"/>
  <c r="DQ99"/>
  <c r="EC100"/>
  <c r="DQ101"/>
  <c r="EC101"/>
  <c r="DP106"/>
  <c r="DY106"/>
  <c r="DQ107"/>
  <c r="EC108"/>
  <c r="DQ109"/>
  <c r="EC109"/>
  <c r="DP114"/>
  <c r="DY114"/>
  <c r="DQ115"/>
  <c r="EC116"/>
  <c r="DQ117"/>
  <c r="EC117"/>
  <c r="DP122"/>
  <c r="DY122"/>
  <c r="DQ123"/>
  <c r="EC124"/>
  <c r="DQ125"/>
  <c r="EC125"/>
  <c r="DP130"/>
  <c r="DY130"/>
  <c r="DQ131"/>
  <c r="EC132"/>
  <c r="DQ133"/>
  <c r="EC133"/>
  <c r="DP138"/>
  <c r="DY138"/>
  <c r="DQ139"/>
  <c r="EC140"/>
  <c r="DQ141"/>
  <c r="EC141"/>
  <c r="DP146"/>
  <c r="DY146"/>
  <c r="DQ147"/>
  <c r="EC148"/>
  <c r="DQ149"/>
  <c r="EC149"/>
  <c r="DP154"/>
  <c r="DY154"/>
  <c r="DQ155"/>
  <c r="EC156"/>
  <c r="DQ157"/>
  <c r="EC157"/>
  <c r="DP162"/>
  <c r="DY162"/>
  <c r="DQ163"/>
  <c r="DQ164"/>
  <c r="DY164"/>
  <c r="EC166"/>
  <c r="DP167"/>
  <c r="DQ168"/>
  <c r="DY168"/>
  <c r="EC170"/>
  <c r="DP171"/>
  <c r="DQ172"/>
  <c r="DY172"/>
  <c r="EC174"/>
  <c r="DP175"/>
  <c r="DQ176"/>
  <c r="DY176"/>
  <c r="EC178"/>
  <c r="DP179"/>
  <c r="DQ180"/>
  <c r="DY180"/>
  <c r="EC182"/>
  <c r="DP183"/>
  <c r="DQ184"/>
  <c r="DY184"/>
  <c r="EC186"/>
  <c r="DP187"/>
  <c r="DQ188"/>
  <c r="DY188"/>
  <c r="EC190"/>
  <c r="DP191"/>
  <c r="DQ192"/>
  <c r="DY192"/>
  <c r="EC194"/>
  <c r="DP195"/>
  <c r="DQ196"/>
  <c r="DY196"/>
  <c r="EC198"/>
  <c r="DP199"/>
  <c r="DQ200"/>
  <c r="DY200"/>
  <c r="EC202"/>
  <c r="DP203"/>
  <c r="DQ204"/>
  <c r="DY204"/>
  <c r="EC206"/>
  <c r="DP207"/>
  <c r="DQ208"/>
  <c r="DY208"/>
  <c r="EC210"/>
  <c r="DP211"/>
  <c r="DQ212"/>
  <c r="DP213"/>
  <c r="DQ216"/>
  <c r="DP217"/>
  <c r="DQ220"/>
  <c r="DP221"/>
  <c r="DQ224"/>
  <c r="DP225"/>
  <c r="DQ228"/>
  <c r="DP229"/>
  <c r="DQ232"/>
  <c r="DP233"/>
  <c r="DQ236"/>
  <c r="DP237"/>
  <c r="DQ240"/>
  <c r="DP241"/>
  <c r="DQ244"/>
  <c r="DP245"/>
  <c r="DQ248"/>
  <c r="DP249"/>
  <c r="DQ252"/>
  <c r="DP253"/>
  <c r="DQ256"/>
  <c r="DP257"/>
  <c r="DQ260"/>
  <c r="DP261"/>
  <c r="DQ264"/>
  <c r="DP265"/>
  <c r="DQ268"/>
  <c r="DP269"/>
  <c r="DQ272"/>
  <c r="DP273"/>
  <c r="DQ276"/>
  <c r="DP277"/>
  <c r="DQ280"/>
  <c r="DP281"/>
  <c r="DQ284"/>
  <c r="DP285"/>
  <c r="DQ288"/>
  <c r="DP289"/>
  <c r="DQ292"/>
  <c r="DP293"/>
  <c r="DQ296"/>
  <c r="DP297"/>
  <c r="DQ300"/>
  <c r="DP301"/>
  <c r="DQ304"/>
  <c r="DP305"/>
  <c r="DQ308"/>
  <c r="DP309"/>
  <c r="DP11"/>
  <c r="EB14"/>
  <c r="ED14" s="1"/>
  <c r="EB18"/>
  <c r="ED18" s="1"/>
  <c r="EB22"/>
  <c r="ED22" s="1"/>
  <c r="EB26"/>
  <c r="ED26" s="1"/>
  <c r="EB30"/>
  <c r="ED30" s="1"/>
  <c r="EB34"/>
  <c r="ED34" s="1"/>
  <c r="EB38"/>
  <c r="ED38" s="1"/>
  <c r="EB42"/>
  <c r="ED42" s="1"/>
  <c r="EB46"/>
  <c r="ED46" s="1"/>
  <c r="EB50"/>
  <c r="ED50" s="1"/>
  <c r="EB54"/>
  <c r="ED54" s="1"/>
  <c r="EB58"/>
  <c r="ED58" s="1"/>
  <c r="EB62"/>
  <c r="ED62" s="1"/>
  <c r="EB66"/>
  <c r="ED66" s="1"/>
  <c r="EB70"/>
  <c r="ED70" s="1"/>
  <c r="EB74"/>
  <c r="ED74" s="1"/>
  <c r="EB78"/>
  <c r="ED78" s="1"/>
  <c r="EB82"/>
  <c r="ED82" s="1"/>
  <c r="EB86"/>
  <c r="ED86" s="1"/>
  <c r="EB90"/>
  <c r="ED90" s="1"/>
  <c r="EB94"/>
  <c r="ED94" s="1"/>
  <c r="EB98"/>
  <c r="ED98" s="1"/>
  <c r="EB102"/>
  <c r="ED102" s="1"/>
  <c r="EB106"/>
  <c r="ED106" s="1"/>
  <c r="EB110"/>
  <c r="ED110" s="1"/>
  <c r="EB114"/>
  <c r="ED114" s="1"/>
  <c r="EB118"/>
  <c r="ED118" s="1"/>
  <c r="EB122"/>
  <c r="ED122" s="1"/>
  <c r="EB126"/>
  <c r="ED126" s="1"/>
  <c r="EB130"/>
  <c r="ED130" s="1"/>
  <c r="EB134"/>
  <c r="ED134" s="1"/>
  <c r="EB138"/>
  <c r="ED138" s="1"/>
  <c r="EB142"/>
  <c r="ED142" s="1"/>
  <c r="EB146"/>
  <c r="ED146" s="1"/>
  <c r="EB150"/>
  <c r="ED150" s="1"/>
  <c r="EB154"/>
  <c r="ED154" s="1"/>
  <c r="EB158"/>
  <c r="ED158" s="1"/>
  <c r="EB162"/>
  <c r="ED162" s="1"/>
  <c r="EB166"/>
  <c r="ED166" s="1"/>
  <c r="EB170"/>
  <c r="ED170" s="1"/>
  <c r="EB174"/>
  <c r="ED174" s="1"/>
  <c r="EB178"/>
  <c r="ED178" s="1"/>
  <c r="EB182"/>
  <c r="ED182" s="1"/>
  <c r="EB186"/>
  <c r="ED186" s="1"/>
  <c r="EB190"/>
  <c r="ED190" s="1"/>
  <c r="EB194"/>
  <c r="ED194" s="1"/>
  <c r="EB198"/>
  <c r="ED198" s="1"/>
  <c r="EB202"/>
  <c r="ED202" s="1"/>
  <c r="EB206"/>
  <c r="ED206" s="1"/>
  <c r="EB210"/>
  <c r="ED210" s="1"/>
  <c r="DY16"/>
  <c r="EC25"/>
  <c r="EC30"/>
  <c r="DQ31"/>
  <c r="DP32"/>
  <c r="DQ34"/>
  <c r="DP36"/>
  <c r="DQ37"/>
  <c r="DQ38"/>
  <c r="DQ39"/>
  <c r="DP42"/>
  <c r="DQ43"/>
  <c r="DQ45"/>
  <c r="DP47"/>
  <c r="DQ48"/>
  <c r="DQ50"/>
  <c r="DP54"/>
  <c r="DY54"/>
  <c r="DQ55"/>
  <c r="EC56"/>
  <c r="DQ57"/>
  <c r="EC57"/>
  <c r="DP59"/>
  <c r="DY59"/>
  <c r="EC63"/>
  <c r="DY67"/>
  <c r="DP68"/>
  <c r="DP69"/>
  <c r="DY69"/>
  <c r="DQ70"/>
  <c r="EC71"/>
  <c r="DY75"/>
  <c r="DP76"/>
  <c r="DP77"/>
  <c r="DY77"/>
  <c r="DQ78"/>
  <c r="EC79"/>
  <c r="DY83"/>
  <c r="DP84"/>
  <c r="DP85"/>
  <c r="DY85"/>
  <c r="DQ86"/>
  <c r="EC87"/>
  <c r="DY91"/>
  <c r="DP92"/>
  <c r="DP93"/>
  <c r="DY93"/>
  <c r="DQ94"/>
  <c r="EC95"/>
  <c r="DY99"/>
  <c r="DP100"/>
  <c r="DP101"/>
  <c r="DY101"/>
  <c r="DQ102"/>
  <c r="EC103"/>
  <c r="DY107"/>
  <c r="DP108"/>
  <c r="DP109"/>
  <c r="DY109"/>
  <c r="DQ110"/>
  <c r="EC111"/>
  <c r="DY115"/>
  <c r="DP116"/>
  <c r="DP117"/>
  <c r="DY117"/>
  <c r="DQ118"/>
  <c r="EC119"/>
  <c r="DY123"/>
  <c r="DP124"/>
  <c r="DP125"/>
  <c r="DY125"/>
  <c r="DQ126"/>
  <c r="EC127"/>
  <c r="DY131"/>
  <c r="DP132"/>
  <c r="DP133"/>
  <c r="DY133"/>
  <c r="DQ134"/>
  <c r="EC135"/>
  <c r="DY139"/>
  <c r="DP140"/>
  <c r="DP141"/>
  <c r="DY141"/>
  <c r="DQ142"/>
  <c r="EC143"/>
  <c r="DY147"/>
  <c r="DP148"/>
  <c r="DP149"/>
  <c r="DY149"/>
  <c r="DQ150"/>
  <c r="EC151"/>
  <c r="DY155"/>
  <c r="DP156"/>
  <c r="DP157"/>
  <c r="DY157"/>
  <c r="DQ158"/>
  <c r="EC159"/>
  <c r="DY163"/>
  <c r="DP164"/>
  <c r="DQ165"/>
  <c r="DY165"/>
  <c r="EC167"/>
  <c r="DP168"/>
  <c r="DQ169"/>
  <c r="DY169"/>
  <c r="EC171"/>
  <c r="DP172"/>
  <c r="DQ173"/>
  <c r="DY173"/>
  <c r="EC175"/>
  <c r="DP176"/>
  <c r="DQ177"/>
  <c r="DY177"/>
  <c r="EC179"/>
  <c r="DP180"/>
  <c r="DQ181"/>
  <c r="DY181"/>
  <c r="EC183"/>
  <c r="DP184"/>
  <c r="DQ185"/>
  <c r="DY185"/>
  <c r="EC187"/>
  <c r="DP188"/>
  <c r="DQ189"/>
  <c r="DY189"/>
  <c r="EC191"/>
  <c r="DP192"/>
  <c r="DQ193"/>
  <c r="DY193"/>
  <c r="EC195"/>
  <c r="DP196"/>
  <c r="DQ197"/>
  <c r="DY197"/>
  <c r="EC199"/>
  <c r="DP200"/>
  <c r="DQ201"/>
  <c r="DY201"/>
  <c r="EC203"/>
  <c r="DP204"/>
  <c r="DQ205"/>
  <c r="DY205"/>
  <c r="EC207"/>
  <c r="DP208"/>
  <c r="DQ209"/>
  <c r="DY209"/>
  <c r="EC211"/>
  <c r="DP212"/>
  <c r="DQ215"/>
  <c r="DP216"/>
  <c r="DQ219"/>
  <c r="DP220"/>
  <c r="DQ223"/>
  <c r="DP224"/>
  <c r="DQ227"/>
  <c r="DP228"/>
  <c r="DQ231"/>
  <c r="DP232"/>
  <c r="DQ235"/>
  <c r="DP236"/>
  <c r="DQ239"/>
  <c r="DP240"/>
  <c r="DQ243"/>
  <c r="DP244"/>
  <c r="DQ247"/>
  <c r="DP248"/>
  <c r="DQ251"/>
  <c r="DP252"/>
  <c r="DQ255"/>
  <c r="DP256"/>
  <c r="DQ259"/>
  <c r="DP260"/>
  <c r="DQ263"/>
  <c r="DP264"/>
  <c r="DQ267"/>
  <c r="DP268"/>
  <c r="DQ271"/>
  <c r="DP272"/>
  <c r="DQ275"/>
  <c r="DP276"/>
  <c r="DQ279"/>
  <c r="DP280"/>
  <c r="DQ283"/>
  <c r="DP284"/>
  <c r="DQ287"/>
  <c r="DP288"/>
  <c r="DQ291"/>
  <c r="DP292"/>
  <c r="DQ295"/>
  <c r="DP296"/>
  <c r="DQ299"/>
  <c r="DP300"/>
  <c r="DQ303"/>
  <c r="DP304"/>
  <c r="DQ307"/>
  <c r="DP308"/>
  <c r="DX11"/>
  <c r="DZ11" s="1"/>
  <c r="DX19"/>
  <c r="DZ19" s="1"/>
  <c r="DX27"/>
  <c r="DZ27" s="1"/>
  <c r="DX35"/>
  <c r="DZ35" s="1"/>
  <c r="DX43"/>
  <c r="DZ43" s="1"/>
  <c r="DX51"/>
  <c r="DZ51" s="1"/>
  <c r="DX59"/>
  <c r="DZ59" s="1"/>
  <c r="DX67"/>
  <c r="DZ67" s="1"/>
  <c r="DX75"/>
  <c r="DZ75" s="1"/>
  <c r="DX83"/>
  <c r="DZ83" s="1"/>
  <c r="DX91"/>
  <c r="DZ91" s="1"/>
  <c r="DX99"/>
  <c r="DZ99" s="1"/>
  <c r="DX107"/>
  <c r="DZ107" s="1"/>
  <c r="DX115"/>
  <c r="DZ115" s="1"/>
  <c r="DX123"/>
  <c r="DZ123" s="1"/>
  <c r="DX131"/>
  <c r="DZ131" s="1"/>
  <c r="DX139"/>
  <c r="DZ139" s="1"/>
  <c r="DX147"/>
  <c r="DZ147" s="1"/>
  <c r="DX155"/>
  <c r="DZ155" s="1"/>
  <c r="DX163"/>
  <c r="DZ163" s="1"/>
  <c r="DX171"/>
  <c r="DZ171" s="1"/>
  <c r="DX179"/>
  <c r="DZ179" s="1"/>
  <c r="DX187"/>
  <c r="DZ187" s="1"/>
  <c r="DX195"/>
  <c r="DZ195" s="1"/>
  <c r="DX203"/>
  <c r="DZ203" s="1"/>
  <c r="DX211"/>
  <c r="DZ211" s="1"/>
  <c r="EC11"/>
  <c r="DP24"/>
  <c r="EC27"/>
  <c r="DY31"/>
  <c r="DP34"/>
  <c r="DY38"/>
  <c r="DP41"/>
  <c r="EC42"/>
  <c r="DY43"/>
  <c r="DP48"/>
  <c r="DQ49"/>
  <c r="DY55"/>
  <c r="DP56"/>
  <c r="DP58"/>
  <c r="EC60"/>
  <c r="EC61"/>
  <c r="DY65"/>
  <c r="DY71"/>
  <c r="EC72"/>
  <c r="DP73"/>
  <c r="DY81"/>
  <c r="DY87"/>
  <c r="EC88"/>
  <c r="DP89"/>
  <c r="DY97"/>
  <c r="DY103"/>
  <c r="EC104"/>
  <c r="DP105"/>
  <c r="DY113"/>
  <c r="DY119"/>
  <c r="EC120"/>
  <c r="DP121"/>
  <c r="DY129"/>
  <c r="DY135"/>
  <c r="EC136"/>
  <c r="DP137"/>
  <c r="DY145"/>
  <c r="DY151"/>
  <c r="EC152"/>
  <c r="DP153"/>
  <c r="DY161"/>
  <c r="DP165"/>
  <c r="DY166"/>
  <c r="EC168"/>
  <c r="EC169"/>
  <c r="DY171"/>
  <c r="DQ174"/>
  <c r="DP178"/>
  <c r="DQ179"/>
  <c r="DP181"/>
  <c r="DY182"/>
  <c r="EC184"/>
  <c r="EC185"/>
  <c r="DY187"/>
  <c r="DQ190"/>
  <c r="DP194"/>
  <c r="DQ195"/>
  <c r="DP197"/>
  <c r="DY198"/>
  <c r="EC200"/>
  <c r="EC201"/>
  <c r="DY203"/>
  <c r="DQ206"/>
  <c r="DP210"/>
  <c r="DQ211"/>
  <c r="DQ214"/>
  <c r="DQ222"/>
  <c r="DQ230"/>
  <c r="DQ238"/>
  <c r="DQ246"/>
  <c r="DQ254"/>
  <c r="DQ262"/>
  <c r="DQ270"/>
  <c r="DQ278"/>
  <c r="DQ286"/>
  <c r="DQ294"/>
  <c r="DQ302"/>
  <c r="DQ310"/>
  <c r="EB16"/>
  <c r="ED16" s="1"/>
  <c r="EB24"/>
  <c r="ED24" s="1"/>
  <c r="EB32"/>
  <c r="ED32" s="1"/>
  <c r="EB40"/>
  <c r="ED40" s="1"/>
  <c r="EB48"/>
  <c r="ED48" s="1"/>
  <c r="EB56"/>
  <c r="ED56" s="1"/>
  <c r="EB64"/>
  <c r="ED64" s="1"/>
  <c r="EB72"/>
  <c r="ED72" s="1"/>
  <c r="EB80"/>
  <c r="ED80" s="1"/>
  <c r="EB88"/>
  <c r="ED88" s="1"/>
  <c r="EB96"/>
  <c r="ED96" s="1"/>
  <c r="EB104"/>
  <c r="ED104" s="1"/>
  <c r="EB112"/>
  <c r="ED112" s="1"/>
  <c r="EB120"/>
  <c r="ED120" s="1"/>
  <c r="EB128"/>
  <c r="ED128" s="1"/>
  <c r="EB136"/>
  <c r="ED136" s="1"/>
  <c r="EB144"/>
  <c r="ED144" s="1"/>
  <c r="EB152"/>
  <c r="ED152" s="1"/>
  <c r="EB160"/>
  <c r="ED160" s="1"/>
  <c r="EB168"/>
  <c r="ED168" s="1"/>
  <c r="EB176"/>
  <c r="ED176" s="1"/>
  <c r="EB184"/>
  <c r="ED184" s="1"/>
  <c r="EB192"/>
  <c r="ED192" s="1"/>
  <c r="EB200"/>
  <c r="ED200" s="1"/>
  <c r="EB208"/>
  <c r="ED208" s="1"/>
  <c r="EC12"/>
  <c r="EC19"/>
  <c r="DY20"/>
  <c r="EC22"/>
  <c r="DP31"/>
  <c r="DY32"/>
  <c r="EC40"/>
  <c r="DP43"/>
  <c r="DE54"/>
  <c r="DE60" s="1"/>
  <c r="DP49"/>
  <c r="DY50"/>
  <c r="DQ51"/>
  <c r="EC53"/>
  <c r="DP57"/>
  <c r="DP64"/>
  <c r="DQ65"/>
  <c r="EC67"/>
  <c r="DY70"/>
  <c r="DQ71"/>
  <c r="EC73"/>
  <c r="DQ74"/>
  <c r="DP78"/>
  <c r="DP80"/>
  <c r="DQ81"/>
  <c r="EC83"/>
  <c r="DY86"/>
  <c r="DQ87"/>
  <c r="EC89"/>
  <c r="DQ90"/>
  <c r="DP94"/>
  <c r="DP96"/>
  <c r="DQ97"/>
  <c r="EC99"/>
  <c r="DY102"/>
  <c r="DQ103"/>
  <c r="EC105"/>
  <c r="DQ106"/>
  <c r="DP110"/>
  <c r="DP112"/>
  <c r="DQ113"/>
  <c r="EC115"/>
  <c r="DY118"/>
  <c r="DQ119"/>
  <c r="EC121"/>
  <c r="DQ122"/>
  <c r="DP126"/>
  <c r="DP128"/>
  <c r="DQ129"/>
  <c r="EC131"/>
  <c r="DY134"/>
  <c r="DQ135"/>
  <c r="EC137"/>
  <c r="DQ138"/>
  <c r="DP142"/>
  <c r="DP144"/>
  <c r="DQ145"/>
  <c r="EC147"/>
  <c r="DY150"/>
  <c r="DQ151"/>
  <c r="EC153"/>
  <c r="DQ154"/>
  <c r="DP158"/>
  <c r="DP160"/>
  <c r="DQ161"/>
  <c r="EC163"/>
  <c r="EC164"/>
  <c r="EC165"/>
  <c r="DY167"/>
  <c r="DQ170"/>
  <c r="DP174"/>
  <c r="DQ175"/>
  <c r="DP177"/>
  <c r="DY178"/>
  <c r="EC180"/>
  <c r="EC181"/>
  <c r="DY183"/>
  <c r="DQ186"/>
  <c r="DP190"/>
  <c r="DQ191"/>
  <c r="DP193"/>
  <c r="DY194"/>
  <c r="EC196"/>
  <c r="EC197"/>
  <c r="DY199"/>
  <c r="DQ202"/>
  <c r="DP206"/>
  <c r="DQ207"/>
  <c r="DP209"/>
  <c r="DY210"/>
  <c r="DP214"/>
  <c r="DQ217"/>
  <c r="DP219"/>
  <c r="DP222"/>
  <c r="DQ225"/>
  <c r="DP227"/>
  <c r="DP230"/>
  <c r="DQ233"/>
  <c r="DP235"/>
  <c r="DP238"/>
  <c r="DQ241"/>
  <c r="DP243"/>
  <c r="DP246"/>
  <c r="DQ249"/>
  <c r="DP251"/>
  <c r="DP254"/>
  <c r="DQ257"/>
  <c r="DP259"/>
  <c r="DP262"/>
  <c r="DQ265"/>
  <c r="DP267"/>
  <c r="DP270"/>
  <c r="DQ273"/>
  <c r="DP275"/>
  <c r="DP278"/>
  <c r="DQ281"/>
  <c r="DP283"/>
  <c r="DP286"/>
  <c r="DQ289"/>
  <c r="DP291"/>
  <c r="DP294"/>
  <c r="DQ297"/>
  <c r="DP299"/>
  <c r="DP302"/>
  <c r="DQ305"/>
  <c r="DP307"/>
  <c r="DP310"/>
  <c r="EB12"/>
  <c r="ED12" s="1"/>
  <c r="EB20"/>
  <c r="ED20" s="1"/>
  <c r="EB28"/>
  <c r="ED28" s="1"/>
  <c r="EB36"/>
  <c r="ED36" s="1"/>
  <c r="EB44"/>
  <c r="ED44" s="1"/>
  <c r="EB52"/>
  <c r="ED52" s="1"/>
  <c r="EB60"/>
  <c r="ED60" s="1"/>
  <c r="EB68"/>
  <c r="ED68" s="1"/>
  <c r="EB76"/>
  <c r="ED76" s="1"/>
  <c r="EB84"/>
  <c r="ED84" s="1"/>
  <c r="EB92"/>
  <c r="ED92" s="1"/>
  <c r="EB100"/>
  <c r="ED100" s="1"/>
  <c r="EB108"/>
  <c r="ED108" s="1"/>
  <c r="EB116"/>
  <c r="ED116" s="1"/>
  <c r="EB124"/>
  <c r="ED124" s="1"/>
  <c r="EB132"/>
  <c r="ED132" s="1"/>
  <c r="EB140"/>
  <c r="ED140" s="1"/>
  <c r="EB148"/>
  <c r="ED148" s="1"/>
  <c r="EB156"/>
  <c r="ED156" s="1"/>
  <c r="EB164"/>
  <c r="ED164" s="1"/>
  <c r="EB172"/>
  <c r="ED172" s="1"/>
  <c r="EB180"/>
  <c r="ED180" s="1"/>
  <c r="EB188"/>
  <c r="ED188" s="1"/>
  <c r="EB196"/>
  <c r="ED196" s="1"/>
  <c r="EB204"/>
  <c r="ED204" s="1"/>
  <c r="DY21"/>
  <c r="DY23"/>
  <c r="EC24"/>
  <c r="DP28"/>
  <c r="DP33"/>
  <c r="DY34"/>
  <c r="DP35"/>
  <c r="DY39"/>
  <c r="EC41"/>
  <c r="DY46"/>
  <c r="EC47"/>
  <c r="DY48"/>
  <c r="EC52"/>
  <c r="DY57"/>
  <c r="DQ58"/>
  <c r="EC62"/>
  <c r="DQ63"/>
  <c r="EC65"/>
  <c r="DQ66"/>
  <c r="DP70"/>
  <c r="DP72"/>
  <c r="DQ73"/>
  <c r="EC75"/>
  <c r="DY78"/>
  <c r="DQ79"/>
  <c r="EC81"/>
  <c r="DQ82"/>
  <c r="DP86"/>
  <c r="DP88"/>
  <c r="DQ89"/>
  <c r="EC91"/>
  <c r="DY94"/>
  <c r="DQ95"/>
  <c r="EC97"/>
  <c r="DQ98"/>
  <c r="DP102"/>
  <c r="DP104"/>
  <c r="DQ105"/>
  <c r="EC107"/>
  <c r="DY110"/>
  <c r="DQ111"/>
  <c r="EC113"/>
  <c r="DQ114"/>
  <c r="DP118"/>
  <c r="DP120"/>
  <c r="DQ121"/>
  <c r="EC123"/>
  <c r="DY126"/>
  <c r="DQ127"/>
  <c r="EC129"/>
  <c r="DQ130"/>
  <c r="DP134"/>
  <c r="DP136"/>
  <c r="DQ137"/>
  <c r="EC139"/>
  <c r="DY142"/>
  <c r="DQ143"/>
  <c r="EC145"/>
  <c r="DQ146"/>
  <c r="DP150"/>
  <c r="DP152"/>
  <c r="DQ153"/>
  <c r="EC155"/>
  <c r="DY158"/>
  <c r="DQ159"/>
  <c r="EC161"/>
  <c r="DQ162"/>
  <c r="DP166"/>
  <c r="DQ167"/>
  <c r="DP169"/>
  <c r="DY170"/>
  <c r="EC172"/>
  <c r="EC173"/>
  <c r="DY175"/>
  <c r="DQ178"/>
  <c r="DP182"/>
  <c r="DQ183"/>
  <c r="DP185"/>
  <c r="DY186"/>
  <c r="EC188"/>
  <c r="EC189"/>
  <c r="DY191"/>
  <c r="DQ194"/>
  <c r="DP198"/>
  <c r="DQ199"/>
  <c r="DP201"/>
  <c r="DY202"/>
  <c r="EC204"/>
  <c r="EC205"/>
  <c r="DY207"/>
  <c r="DQ210"/>
  <c r="DQ213"/>
  <c r="DP215"/>
  <c r="DP218"/>
  <c r="DQ221"/>
  <c r="DP223"/>
  <c r="DP226"/>
  <c r="DQ229"/>
  <c r="DP231"/>
  <c r="DP234"/>
  <c r="DQ237"/>
  <c r="DP239"/>
  <c r="DP242"/>
  <c r="DQ245"/>
  <c r="DP247"/>
  <c r="DP250"/>
  <c r="DQ253"/>
  <c r="DP255"/>
  <c r="DP258"/>
  <c r="DQ261"/>
  <c r="DP263"/>
  <c r="DP266"/>
  <c r="DQ269"/>
  <c r="DP271"/>
  <c r="DP274"/>
  <c r="DQ277"/>
  <c r="DP279"/>
  <c r="DP282"/>
  <c r="DQ285"/>
  <c r="DP287"/>
  <c r="DP290"/>
  <c r="DQ293"/>
  <c r="DP295"/>
  <c r="DP298"/>
  <c r="DQ301"/>
  <c r="DP303"/>
  <c r="DP306"/>
  <c r="DQ309"/>
  <c r="DX23"/>
  <c r="DZ23" s="1"/>
  <c r="DX55"/>
  <c r="DZ55" s="1"/>
  <c r="DX87"/>
  <c r="DZ87" s="1"/>
  <c r="DX119"/>
  <c r="DZ119" s="1"/>
  <c r="DX151"/>
  <c r="DZ151" s="1"/>
  <c r="DX183"/>
  <c r="DZ183" s="1"/>
  <c r="EC29"/>
  <c r="DP40"/>
  <c r="DY73"/>
  <c r="DY111"/>
  <c r="EC112"/>
  <c r="DP113"/>
  <c r="DY137"/>
  <c r="DQ171"/>
  <c r="DP173"/>
  <c r="DQ187"/>
  <c r="DP189"/>
  <c r="DQ203"/>
  <c r="DP205"/>
  <c r="DQ226"/>
  <c r="DQ258"/>
  <c r="DQ290"/>
  <c r="DX15"/>
  <c r="DZ15" s="1"/>
  <c r="DX47"/>
  <c r="DZ47" s="1"/>
  <c r="DX79"/>
  <c r="DZ79" s="1"/>
  <c r="DX111"/>
  <c r="DZ111" s="1"/>
  <c r="DX143"/>
  <c r="DZ143" s="1"/>
  <c r="DX175"/>
  <c r="DZ175" s="1"/>
  <c r="DX207"/>
  <c r="DZ207" s="1"/>
  <c r="DY95"/>
  <c r="EC96"/>
  <c r="DP97"/>
  <c r="DY121"/>
  <c r="DY159"/>
  <c r="EC160"/>
  <c r="DP161"/>
  <c r="DQ166"/>
  <c r="EC177"/>
  <c r="DQ182"/>
  <c r="EC193"/>
  <c r="DQ198"/>
  <c r="EC209"/>
  <c r="DQ218"/>
  <c r="DQ250"/>
  <c r="DQ282"/>
  <c r="DX39"/>
  <c r="DZ39" s="1"/>
  <c r="DX71"/>
  <c r="DZ71" s="1"/>
  <c r="DX103"/>
  <c r="DZ103" s="1"/>
  <c r="DX135"/>
  <c r="DZ135" s="1"/>
  <c r="DX167"/>
  <c r="DZ167" s="1"/>
  <c r="DX199"/>
  <c r="DZ199" s="1"/>
  <c r="EC18"/>
  <c r="DQ28"/>
  <c r="EC36"/>
  <c r="DY37"/>
  <c r="DY45"/>
  <c r="DP53"/>
  <c r="DP62"/>
  <c r="DY79"/>
  <c r="EC80"/>
  <c r="DP81"/>
  <c r="DY105"/>
  <c r="DY143"/>
  <c r="EC144"/>
  <c r="DP145"/>
  <c r="DY174"/>
  <c r="EC176"/>
  <c r="DY179"/>
  <c r="DY190"/>
  <c r="EC192"/>
  <c r="DY195"/>
  <c r="DY206"/>
  <c r="EC208"/>
  <c r="DY211"/>
  <c r="DQ242"/>
  <c r="DQ274"/>
  <c r="DQ306"/>
  <c r="DX31"/>
  <c r="DZ31" s="1"/>
  <c r="DX63"/>
  <c r="DZ63" s="1"/>
  <c r="DX95"/>
  <c r="DZ95" s="1"/>
  <c r="DX127"/>
  <c r="DZ127" s="1"/>
  <c r="DX159"/>
  <c r="DZ159" s="1"/>
  <c r="DX191"/>
  <c r="DZ191" s="1"/>
  <c r="EC26"/>
  <c r="DQ33"/>
  <c r="DP50"/>
  <c r="DY58"/>
  <c r="DQ61"/>
  <c r="DY63"/>
  <c r="EC64"/>
  <c r="DP65"/>
  <c r="DY89"/>
  <c r="DY127"/>
  <c r="EC128"/>
  <c r="DP129"/>
  <c r="DY153"/>
  <c r="DP170"/>
  <c r="DP186"/>
  <c r="DP202"/>
  <c r="DQ234"/>
  <c r="DQ266"/>
  <c r="DQ298"/>
  <c r="DG3" i="45"/>
  <c r="DD3"/>
  <c r="DE3"/>
  <c r="CY47"/>
  <c r="F19" i="44"/>
  <c r="DB41"/>
  <c r="Z111" i="46"/>
  <c r="Q111"/>
  <c r="AA111"/>
  <c r="AB121"/>
  <c r="AJ121"/>
  <c r="AK121"/>
  <c r="DI5" i="44"/>
  <c r="DJ5" s="1"/>
  <c r="DC45"/>
  <c r="DC46"/>
  <c r="DD5"/>
  <c r="DG5"/>
  <c r="DE5"/>
  <c r="AQ81" i="40"/>
  <c r="AR81" s="1"/>
  <c r="AS81" s="1"/>
  <c r="Z81"/>
  <c r="P94"/>
  <c r="S94"/>
  <c r="DB8" i="45"/>
  <c r="DD2"/>
  <c r="DD8" s="1"/>
  <c r="DA9" s="1"/>
  <c r="DG2"/>
  <c r="CX47"/>
  <c r="DE2"/>
  <c r="BF9" i="47"/>
  <c r="Q70" i="41"/>
  <c r="Q65" s="1"/>
  <c r="T70"/>
  <c r="AC133" i="46"/>
  <c r="AD133" s="1"/>
  <c r="BI34" i="52"/>
  <c r="AA105" i="41"/>
  <c r="N72" s="1"/>
  <c r="AA427"/>
  <c r="Y427" s="1"/>
  <c r="Z421" i="40"/>
  <c r="X421" s="1"/>
  <c r="AA439" i="41"/>
  <c r="Y439" s="1"/>
  <c r="AA459"/>
  <c r="Y459" s="1"/>
  <c r="AA490"/>
  <c r="Y490" s="1"/>
  <c r="AA497"/>
  <c r="Y497" s="1"/>
  <c r="AA465"/>
  <c r="Y465" s="1"/>
  <c r="AA415"/>
  <c r="Y415" s="1"/>
  <c r="AA409"/>
  <c r="Y409" s="1"/>
  <c r="BI11" i="52"/>
  <c r="BI9"/>
  <c r="R140" i="46"/>
  <c r="S140" s="1"/>
  <c r="R143"/>
  <c r="S143" s="1"/>
  <c r="Z395" i="40"/>
  <c r="X395" s="1"/>
  <c r="AA445" i="41"/>
  <c r="Y445" s="1"/>
  <c r="AA448"/>
  <c r="Y448" s="1"/>
  <c r="AA489"/>
  <c r="Y489" s="1"/>
  <c r="AA508"/>
  <c r="Y508" s="1"/>
  <c r="AA467"/>
  <c r="Y467" s="1"/>
  <c r="AA463"/>
  <c r="Y463" s="1"/>
  <c r="AA419"/>
  <c r="Y419" s="1"/>
  <c r="AA425"/>
  <c r="Y425" s="1"/>
  <c r="AA413"/>
  <c r="Y413" s="1"/>
  <c r="E19" i="43"/>
  <c r="CV49"/>
  <c r="Q105" i="46"/>
  <c r="R101" s="1"/>
  <c r="S101" s="1"/>
  <c r="AA105"/>
  <c r="Z105"/>
  <c r="AK115"/>
  <c r="AB115"/>
  <c r="AJ115"/>
  <c r="Q114"/>
  <c r="Z114"/>
  <c r="AA114"/>
  <c r="H15" i="45"/>
  <c r="DB54"/>
  <c r="CZ43"/>
  <c r="H16" s="1"/>
  <c r="CZ44"/>
  <c r="H17" s="1"/>
  <c r="AQ99" i="40"/>
  <c r="AR99" s="1"/>
  <c r="AS99" s="1"/>
  <c r="T101"/>
  <c r="Q101"/>
  <c r="U82" i="41"/>
  <c r="R82"/>
  <c r="Q120" i="46"/>
  <c r="AA120"/>
  <c r="Z120"/>
  <c r="F19" i="43"/>
  <c r="CW49"/>
  <c r="Q113" i="46"/>
  <c r="AA113"/>
  <c r="Z113"/>
  <c r="AK123"/>
  <c r="AB123"/>
  <c r="AC123" s="1"/>
  <c r="AD123" s="1"/>
  <c r="AJ123"/>
  <c r="AB126"/>
  <c r="AK126"/>
  <c r="AJ126"/>
  <c r="Q122"/>
  <c r="Z122"/>
  <c r="AA122"/>
  <c r="Q134"/>
  <c r="R134" s="1"/>
  <c r="S134" s="1"/>
  <c r="Z134"/>
  <c r="AA134"/>
  <c r="S87" i="40"/>
  <c r="P87"/>
  <c r="S99"/>
  <c r="P99"/>
  <c r="AR74" i="41"/>
  <c r="AS74" s="1"/>
  <c r="AT74" s="1"/>
  <c r="AA74"/>
  <c r="AR75"/>
  <c r="AS75" s="1"/>
  <c r="AT75" s="1"/>
  <c r="BJ23" i="52"/>
  <c r="BJ24"/>
  <c r="W18" i="50"/>
  <c r="BK14"/>
  <c r="DI12" i="53"/>
  <c r="DK12" s="1"/>
  <c r="DM12" s="1"/>
  <c r="DN12" s="1"/>
  <c r="I14"/>
  <c r="I20"/>
  <c r="DI18"/>
  <c r="DK18" s="1"/>
  <c r="DM18" s="1"/>
  <c r="DN18" s="1"/>
  <c r="DI4" i="45"/>
  <c r="CZ46"/>
  <c r="Z131" i="46"/>
  <c r="Q131"/>
  <c r="AA131"/>
  <c r="AB109"/>
  <c r="AC99" s="1"/>
  <c r="AD99" s="1"/>
  <c r="AJ109"/>
  <c r="AK109"/>
  <c r="Q126"/>
  <c r="Z126"/>
  <c r="AA126"/>
  <c r="G19" i="44"/>
  <c r="DC41"/>
  <c r="P102" i="40"/>
  <c r="S102"/>
  <c r="S103"/>
  <c r="P103"/>
  <c r="CZ41" i="45"/>
  <c r="CX41"/>
  <c r="CY41"/>
  <c r="DA41"/>
  <c r="T106" i="40"/>
  <c r="Q106"/>
  <c r="U94" i="41"/>
  <c r="R94"/>
  <c r="AB112" i="46"/>
  <c r="AC112" s="1"/>
  <c r="AD112" s="1"/>
  <c r="AJ112"/>
  <c r="AK112"/>
  <c r="Q125"/>
  <c r="AA125"/>
  <c r="Z125"/>
  <c r="AK103"/>
  <c r="AB103"/>
  <c r="AC94" s="1"/>
  <c r="AD94" s="1"/>
  <c r="AJ103"/>
  <c r="AJ90" s="1"/>
  <c r="DH15" i="43"/>
  <c r="DE15"/>
  <c r="DI15"/>
  <c r="DF15"/>
  <c r="P86" i="40"/>
  <c r="S86"/>
  <c r="P84"/>
  <c r="S84"/>
  <c r="P93"/>
  <c r="S93"/>
  <c r="G26" i="45"/>
  <c r="CY42"/>
  <c r="DD5"/>
  <c r="DG5"/>
  <c r="DH5" s="1"/>
  <c r="DA47"/>
  <c r="DE5"/>
  <c r="AX16" i="51"/>
  <c r="Q124" i="46"/>
  <c r="AA124"/>
  <c r="Z124"/>
  <c r="Z119"/>
  <c r="Q119"/>
  <c r="AA119"/>
  <c r="AB129"/>
  <c r="AC129" s="1"/>
  <c r="AD129" s="1"/>
  <c r="AJ129"/>
  <c r="AK129"/>
  <c r="AQ94" i="40"/>
  <c r="AR94" s="1"/>
  <c r="AS94" s="1"/>
  <c r="W104" i="46"/>
  <c r="V104" s="1"/>
  <c r="W106"/>
  <c r="V106" s="1"/>
  <c r="W108"/>
  <c r="V108" s="1"/>
  <c r="W110"/>
  <c r="V110" s="1"/>
  <c r="W112"/>
  <c r="V112" s="1"/>
  <c r="W114"/>
  <c r="V114" s="1"/>
  <c r="W116"/>
  <c r="V116" s="1"/>
  <c r="W118"/>
  <c r="V118" s="1"/>
  <c r="W120"/>
  <c r="V120" s="1"/>
  <c r="W122"/>
  <c r="V122" s="1"/>
  <c r="W124"/>
  <c r="V124" s="1"/>
  <c r="W126"/>
  <c r="V126" s="1"/>
  <c r="W128"/>
  <c r="V128" s="1"/>
  <c r="W130"/>
  <c r="V130" s="1"/>
  <c r="W132"/>
  <c r="V132" s="1"/>
  <c r="W134"/>
  <c r="V134" s="1"/>
  <c r="W107"/>
  <c r="V107" s="1"/>
  <c r="W115"/>
  <c r="V115" s="1"/>
  <c r="W123"/>
  <c r="V123" s="1"/>
  <c r="W131"/>
  <c r="V131" s="1"/>
  <c r="W97"/>
  <c r="U97" s="1"/>
  <c r="W101"/>
  <c r="U101" s="1"/>
  <c r="W137"/>
  <c r="U137" s="1"/>
  <c r="W105"/>
  <c r="V105" s="1"/>
  <c r="W113"/>
  <c r="V113" s="1"/>
  <c r="W121"/>
  <c r="V121" s="1"/>
  <c r="W129"/>
  <c r="V129" s="1"/>
  <c r="W96"/>
  <c r="U96" s="1"/>
  <c r="W100"/>
  <c r="U100" s="1"/>
  <c r="W136"/>
  <c r="U136" s="1"/>
  <c r="W138"/>
  <c r="U138" s="1"/>
  <c r="W140"/>
  <c r="U140" s="1"/>
  <c r="W142"/>
  <c r="U142" s="1"/>
  <c r="W144"/>
  <c r="U144" s="1"/>
  <c r="W111"/>
  <c r="V111" s="1"/>
  <c r="W119"/>
  <c r="V119" s="1"/>
  <c r="W127"/>
  <c r="V127" s="1"/>
  <c r="W95"/>
  <c r="U95" s="1"/>
  <c r="W99"/>
  <c r="U99" s="1"/>
  <c r="W103"/>
  <c r="U103" s="1"/>
  <c r="W109"/>
  <c r="V109" s="1"/>
  <c r="W117"/>
  <c r="V117" s="1"/>
  <c r="W125"/>
  <c r="V125" s="1"/>
  <c r="W133"/>
  <c r="V133" s="1"/>
  <c r="W94"/>
  <c r="U94" s="1"/>
  <c r="W98"/>
  <c r="U98" s="1"/>
  <c r="W102"/>
  <c r="U102" s="1"/>
  <c r="W139"/>
  <c r="U139" s="1"/>
  <c r="W141"/>
  <c r="U141" s="1"/>
  <c r="W143"/>
  <c r="U143" s="1"/>
  <c r="K84"/>
  <c r="W135"/>
  <c r="U135" s="1"/>
  <c r="DE29" i="45"/>
  <c r="DG30"/>
  <c r="DE30"/>
  <c r="O2"/>
  <c r="DG33"/>
  <c r="DD40" s="1"/>
  <c r="DE33"/>
  <c r="DF38"/>
  <c r="DG32"/>
  <c r="DG29"/>
  <c r="DE32"/>
  <c r="Z115" i="40"/>
  <c r="Z131"/>
  <c r="M98" s="1"/>
  <c r="AA454" i="41"/>
  <c r="Y454" s="1"/>
  <c r="AA452"/>
  <c r="Y452" s="1"/>
  <c r="AC114" i="46"/>
  <c r="AD114" s="1"/>
  <c r="Z118" i="40"/>
  <c r="DH3" i="44"/>
  <c r="Z116" i="40"/>
  <c r="M83" s="1"/>
  <c r="Z130"/>
  <c r="M97" s="1"/>
  <c r="AA483" i="41"/>
  <c r="Y483" s="1"/>
  <c r="R96" i="46"/>
  <c r="S96" s="1"/>
  <c r="AC135"/>
  <c r="AD135" s="1"/>
  <c r="DB22" i="43"/>
  <c r="DB24" s="1"/>
  <c r="AA456" i="41"/>
  <c r="Y456" s="1"/>
  <c r="R98" i="46"/>
  <c r="S98" s="1"/>
  <c r="L25" l="1"/>
  <c r="L24"/>
  <c r="AO126"/>
  <c r="AO127"/>
  <c r="AP127" s="1"/>
  <c r="AK96"/>
  <c r="AK99"/>
  <c r="AK95"/>
  <c r="AK98"/>
  <c r="AK100"/>
  <c r="AK101"/>
  <c r="AK94"/>
  <c r="AK97"/>
  <c r="DA9" i="44"/>
  <c r="DB10"/>
  <c r="DC10"/>
  <c r="BA19" i="49"/>
  <c r="AV20"/>
  <c r="AW19"/>
  <c r="E16" i="44"/>
  <c r="DF14"/>
  <c r="DA43"/>
  <c r="DA42"/>
  <c r="E17" s="1"/>
  <c r="DB53"/>
  <c r="J107" i="40"/>
  <c r="C108"/>
  <c r="DK11" i="53"/>
  <c r="DM11" s="1"/>
  <c r="DN11" s="1"/>
  <c r="DI9"/>
  <c r="DI8"/>
  <c r="Q85" i="40"/>
  <c r="D92" s="1"/>
  <c r="T85"/>
  <c r="E91"/>
  <c r="G96" s="1"/>
  <c r="DO6" i="53"/>
  <c r="DH2"/>
  <c r="DD20"/>
  <c r="DD26" s="1"/>
  <c r="C8"/>
  <c r="DC24"/>
  <c r="BK3" i="52"/>
  <c r="Y23"/>
  <c r="DB56" i="44"/>
  <c r="H16"/>
  <c r="DD42"/>
  <c r="H17" s="1"/>
  <c r="DD43"/>
  <c r="DF17"/>
  <c r="DA43" i="45"/>
  <c r="H24" s="1"/>
  <c r="H23"/>
  <c r="DB55"/>
  <c r="DA44"/>
  <c r="H25" s="1"/>
  <c r="DF16"/>
  <c r="DB52"/>
  <c r="CX43"/>
  <c r="G16" s="1"/>
  <c r="CX44"/>
  <c r="G17" s="1"/>
  <c r="G15"/>
  <c r="DF13"/>
  <c r="BD11" i="47"/>
  <c r="BE11"/>
  <c r="N74" i="41"/>
  <c r="E79"/>
  <c r="F79" s="1"/>
  <c r="P35" i="52"/>
  <c r="BI33"/>
  <c r="D11" i="50"/>
  <c r="BK26"/>
  <c r="BL15"/>
  <c r="D15" s="1"/>
  <c r="V90" i="46"/>
  <c r="R123"/>
  <c r="S123" s="1"/>
  <c r="AC116"/>
  <c r="AD116" s="1"/>
  <c r="AJ89"/>
  <c r="R127"/>
  <c r="S127" s="1"/>
  <c r="R110"/>
  <c r="S110" s="1"/>
  <c r="AC104"/>
  <c r="AD104" s="1"/>
  <c r="DH2" i="45"/>
  <c r="DZ8" i="53"/>
  <c r="Z103" i="40"/>
  <c r="R97" i="46"/>
  <c r="S97" s="1"/>
  <c r="AA70" i="41"/>
  <c r="AC113" i="46"/>
  <c r="AD113" s="1"/>
  <c r="Z89" i="40"/>
  <c r="AC125" i="46"/>
  <c r="AD125" s="1"/>
  <c r="BO32" i="52"/>
  <c r="R130" i="46"/>
  <c r="S130" s="1"/>
  <c r="R118"/>
  <c r="S118" s="1"/>
  <c r="R104"/>
  <c r="S104" s="1"/>
  <c r="AC96"/>
  <c r="AD96" s="1"/>
  <c r="R108"/>
  <c r="S108" s="1"/>
  <c r="BD18" i="49"/>
  <c r="AE90" i="46"/>
  <c r="Z107" i="40"/>
  <c r="AC117" i="46"/>
  <c r="AD117" s="1"/>
  <c r="Z87" i="40"/>
  <c r="R95" i="46"/>
  <c r="S95" s="1"/>
  <c r="CY43" i="45"/>
  <c r="G24" s="1"/>
  <c r="CY44"/>
  <c r="G25" s="1"/>
  <c r="G23"/>
  <c r="DB53"/>
  <c r="DF14"/>
  <c r="E80" i="41"/>
  <c r="G85" s="1"/>
  <c r="U74"/>
  <c r="R74"/>
  <c r="D81" s="1"/>
  <c r="DG16" i="45"/>
  <c r="DH13"/>
  <c r="DH14"/>
  <c r="DH15"/>
  <c r="DH16"/>
  <c r="DG18"/>
  <c r="DC14"/>
  <c r="DC15"/>
  <c r="DJ15" s="1"/>
  <c r="DC16"/>
  <c r="DJ16" s="1"/>
  <c r="DG17"/>
  <c r="DH17"/>
  <c r="DH18"/>
  <c r="DG14"/>
  <c r="DG15"/>
  <c r="DC17"/>
  <c r="DC13"/>
  <c r="DC18"/>
  <c r="DJ18" s="1"/>
  <c r="J95" i="41"/>
  <c r="C96"/>
  <c r="N70"/>
  <c r="N65" s="1"/>
  <c r="S64"/>
  <c r="K35" i="52"/>
  <c r="BH33"/>
  <c r="J37"/>
  <c r="R72" i="41"/>
  <c r="U72"/>
  <c r="DC29" i="43"/>
  <c r="DF29"/>
  <c r="CZ29" i="44"/>
  <c r="CZ31"/>
  <c r="D18"/>
  <c r="CZ30"/>
  <c r="M85" i="40"/>
  <c r="E90"/>
  <c r="F90" s="1"/>
  <c r="AZ17" i="51"/>
  <c r="AZ16"/>
  <c r="BM17" i="50"/>
  <c r="W20"/>
  <c r="F11"/>
  <c r="BL14"/>
  <c r="F15" s="1"/>
  <c r="BK25"/>
  <c r="CU51" i="43"/>
  <c r="D16"/>
  <c r="CU50"/>
  <c r="CY13"/>
  <c r="DB13"/>
  <c r="CY27"/>
  <c r="BC12" i="47"/>
  <c r="BB12"/>
  <c r="BA13" s="1"/>
  <c r="BF10"/>
  <c r="BG10" s="1"/>
  <c r="BH10" s="1"/>
  <c r="Q98" i="40"/>
  <c r="T98"/>
  <c r="T104"/>
  <c r="Q104"/>
  <c r="DE42" i="44"/>
  <c r="I17" s="1"/>
  <c r="DE43"/>
  <c r="I18" s="1"/>
  <c r="I16"/>
  <c r="DB57"/>
  <c r="DF18"/>
  <c r="AC101" i="46"/>
  <c r="AD101" s="1"/>
  <c r="AC118"/>
  <c r="AD118" s="1"/>
  <c r="AC120"/>
  <c r="AD120" s="1"/>
  <c r="R121"/>
  <c r="S121" s="1"/>
  <c r="DJ2" i="45"/>
  <c r="AC102" i="46"/>
  <c r="AD102" s="1"/>
  <c r="AC97"/>
  <c r="AD97" s="1"/>
  <c r="DD42" i="45"/>
  <c r="DD44" s="1"/>
  <c r="R131" i="46"/>
  <c r="S131" s="1"/>
  <c r="AA75" i="41"/>
  <c r="AC126" i="46"/>
  <c r="AD126" s="1"/>
  <c r="Z99" i="40"/>
  <c r="R114" i="46"/>
  <c r="S114" s="1"/>
  <c r="R94"/>
  <c r="S94" s="1"/>
  <c r="R100"/>
  <c r="S100" s="1"/>
  <c r="AC121"/>
  <c r="AD121" s="1"/>
  <c r="R103"/>
  <c r="S103" s="1"/>
  <c r="R102"/>
  <c r="S102" s="1"/>
  <c r="AJ91"/>
  <c r="AC108"/>
  <c r="AD108" s="1"/>
  <c r="AC119"/>
  <c r="AD119" s="1"/>
  <c r="R109"/>
  <c r="S109" s="1"/>
  <c r="BN32" i="52"/>
  <c r="R106" i="46"/>
  <c r="S106" s="1"/>
  <c r="AC105"/>
  <c r="AD105" s="1"/>
  <c r="AC111"/>
  <c r="AD111" s="1"/>
  <c r="R133"/>
  <c r="S133" s="1"/>
  <c r="BL34" i="50"/>
  <c r="R76" i="40"/>
  <c r="M82"/>
  <c r="M77" s="1"/>
  <c r="DG36" i="45"/>
  <c r="DE38" s="1"/>
  <c r="DG35"/>
  <c r="Y49" i="53"/>
  <c r="DD19"/>
  <c r="DD29" s="1"/>
  <c r="DD18"/>
  <c r="DD28" s="1"/>
  <c r="DC19"/>
  <c r="DC29" s="1"/>
  <c r="DC18"/>
  <c r="DC28" s="1"/>
  <c r="Q93" i="40"/>
  <c r="T93"/>
  <c r="Q86"/>
  <c r="T86"/>
  <c r="DI28" i="43"/>
  <c r="DK28"/>
  <c r="DE36" i="45"/>
  <c r="DE35"/>
  <c r="DB54" i="44"/>
  <c r="F16"/>
  <c r="DB43"/>
  <c r="DB42"/>
  <c r="F17" s="1"/>
  <c r="DF15"/>
  <c r="AC103" i="46"/>
  <c r="AD103" s="1"/>
  <c r="AC98"/>
  <c r="AD98" s="1"/>
  <c r="G16" i="44"/>
  <c r="DB55"/>
  <c r="DC43"/>
  <c r="DC42"/>
  <c r="G17" s="1"/>
  <c r="DF16"/>
  <c r="F16" i="43"/>
  <c r="CW50"/>
  <c r="F17" s="1"/>
  <c r="CW51"/>
  <c r="F18" s="1"/>
  <c r="CY15"/>
  <c r="DG15" s="1"/>
  <c r="DB15"/>
  <c r="DJ15" s="1"/>
  <c r="E16"/>
  <c r="CV50"/>
  <c r="E17" s="1"/>
  <c r="DB14"/>
  <c r="CV51"/>
  <c r="E18" s="1"/>
  <c r="CY14"/>
  <c r="CX27"/>
  <c r="BI9" i="47"/>
  <c r="BM9"/>
  <c r="BG9"/>
  <c r="BH9" s="1"/>
  <c r="DH4" i="44"/>
  <c r="DH2"/>
  <c r="Z91" i="46"/>
  <c r="Z89"/>
  <c r="Z90"/>
  <c r="DL3" i="53"/>
  <c r="DH5"/>
  <c r="DP2"/>
  <c r="DK3"/>
  <c r="DP3"/>
  <c r="DH4"/>
  <c r="DJ4"/>
  <c r="CZ13" i="44"/>
  <c r="DA13"/>
  <c r="AC109" i="46"/>
  <c r="AD109" s="1"/>
  <c r="R113"/>
  <c r="S113" s="1"/>
  <c r="AC115"/>
  <c r="AD115" s="1"/>
  <c r="R105"/>
  <c r="S105" s="1"/>
  <c r="R111"/>
  <c r="S111" s="1"/>
  <c r="R112"/>
  <c r="S112" s="1"/>
  <c r="R122"/>
  <c r="S122" s="1"/>
  <c r="DH5" i="44"/>
  <c r="DH3" i="45"/>
  <c r="AC100" i="46"/>
  <c r="AD100" s="1"/>
  <c r="DJ2" i="44"/>
  <c r="U40" i="53"/>
  <c r="ED8"/>
  <c r="Z84" i="40"/>
  <c r="AC127" i="46"/>
  <c r="AD127" s="1"/>
  <c r="R117"/>
  <c r="S117" s="1"/>
  <c r="R99"/>
  <c r="S99" s="1"/>
  <c r="AC95"/>
  <c r="AD95" s="1"/>
  <c r="Z94" i="40"/>
  <c r="R119" i="46"/>
  <c r="S119" s="1"/>
  <c r="R124"/>
  <c r="S124" s="1"/>
  <c r="R125"/>
  <c r="S125" s="1"/>
  <c r="R126"/>
  <c r="S126" s="1"/>
  <c r="DJ4" i="45"/>
  <c r="R120" i="46"/>
  <c r="S120" s="1"/>
  <c r="DB10" i="45"/>
  <c r="AC128" i="46"/>
  <c r="AD128" s="1"/>
  <c r="Z102" i="40"/>
  <c r="AA73" i="41"/>
  <c r="R128" i="46"/>
  <c r="S128" s="1"/>
  <c r="AC106"/>
  <c r="AD106" s="1"/>
  <c r="R115"/>
  <c r="S115" s="1"/>
  <c r="R116"/>
  <c r="S116" s="1"/>
  <c r="AA90" i="41"/>
  <c r="AC107" i="46"/>
  <c r="AD107" s="1"/>
  <c r="R129"/>
  <c r="S129" s="1"/>
  <c r="AC110"/>
  <c r="AD110" s="1"/>
  <c r="DC10" i="45"/>
  <c r="Z83" i="40"/>
  <c r="DJ3" i="45"/>
  <c r="Z100" i="40"/>
  <c r="AA71" i="41"/>
  <c r="Z95" i="40"/>
  <c r="AC122" i="46"/>
  <c r="AD122" s="1"/>
  <c r="R107"/>
  <c r="S107" s="1"/>
  <c r="R132"/>
  <c r="S132" s="1"/>
  <c r="BL33" i="50"/>
  <c r="Z88" i="40"/>
  <c r="Z90"/>
  <c r="BH35" i="52" l="1"/>
  <c r="AS99" i="46"/>
  <c r="AS100" s="1"/>
  <c r="AP126"/>
  <c r="DD46" i="45"/>
  <c r="DE46"/>
  <c r="BI10" i="47"/>
  <c r="BM10"/>
  <c r="BB17" i="51"/>
  <c r="BB19" s="1"/>
  <c r="BC17"/>
  <c r="BC19" s="1"/>
  <c r="B14" s="1"/>
  <c r="AB3" i="43"/>
  <c r="DH24"/>
  <c r="DH23"/>
  <c r="DC30"/>
  <c r="Z3" s="1"/>
  <c r="DC31"/>
  <c r="X3" s="1"/>
  <c r="J96" i="41"/>
  <c r="C97"/>
  <c r="D92"/>
  <c r="DK16" i="45"/>
  <c r="DM16"/>
  <c r="DL16"/>
  <c r="DA14"/>
  <c r="CZ14"/>
  <c r="Q107" i="40"/>
  <c r="T107"/>
  <c r="BO34" i="52"/>
  <c r="BJ18" s="1"/>
  <c r="J16" s="1"/>
  <c r="BM4"/>
  <c r="J12"/>
  <c r="U70" i="41"/>
  <c r="R70"/>
  <c r="R65" s="1"/>
  <c r="P65" s="1"/>
  <c r="CZ14" i="44"/>
  <c r="DA14"/>
  <c r="DH3" i="53"/>
  <c r="DO2"/>
  <c r="I8"/>
  <c r="DB30" i="44"/>
  <c r="F18"/>
  <c r="DB29"/>
  <c r="DB31"/>
  <c r="BD12" i="47"/>
  <c r="BE12"/>
  <c r="DE21" i="43"/>
  <c r="D17"/>
  <c r="DF21"/>
  <c r="BB16" i="51"/>
  <c r="J17" s="1"/>
  <c r="J21" s="1"/>
  <c r="BC16"/>
  <c r="L17" s="1"/>
  <c r="L21" s="1"/>
  <c r="DI21" i="43"/>
  <c r="DI24"/>
  <c r="DI23"/>
  <c r="G90" i="41"/>
  <c r="G78"/>
  <c r="DA29" i="44"/>
  <c r="DA31"/>
  <c r="E18"/>
  <c r="DA30"/>
  <c r="DE56"/>
  <c r="DC54"/>
  <c r="DI54" s="1"/>
  <c r="DC57"/>
  <c r="DE57" s="1"/>
  <c r="DC53"/>
  <c r="DE53" s="1"/>
  <c r="DI57"/>
  <c r="DI53"/>
  <c r="DC56"/>
  <c r="DI56" s="1"/>
  <c r="DC55"/>
  <c r="DI55" s="1"/>
  <c r="DC52"/>
  <c r="DI52" s="1"/>
  <c r="Q95" i="40"/>
  <c r="T95"/>
  <c r="Q83"/>
  <c r="T83"/>
  <c r="Q94"/>
  <c r="T94"/>
  <c r="AA94" i="46"/>
  <c r="AA97"/>
  <c r="AA101"/>
  <c r="AA96"/>
  <c r="AA100"/>
  <c r="AA99"/>
  <c r="AA103"/>
  <c r="AA95"/>
  <c r="AA98"/>
  <c r="AA102"/>
  <c r="CZ16" i="44"/>
  <c r="DA16"/>
  <c r="R75" i="41"/>
  <c r="U75"/>
  <c r="BB13" i="47"/>
  <c r="BA14" s="1"/>
  <c r="BC13"/>
  <c r="BQ26" i="50"/>
  <c r="BQ28"/>
  <c r="BQ32"/>
  <c r="BQ34"/>
  <c r="BQ40"/>
  <c r="BQ27"/>
  <c r="BQ35"/>
  <c r="BQ5"/>
  <c r="BQ2"/>
  <c r="BQ9"/>
  <c r="BQ29"/>
  <c r="BQ33"/>
  <c r="BQ39"/>
  <c r="BQ13"/>
  <c r="BQ7"/>
  <c r="BQ23"/>
  <c r="BQ24"/>
  <c r="BQ10"/>
  <c r="BQ31"/>
  <c r="BQ6"/>
  <c r="BQ25"/>
  <c r="BQ11"/>
  <c r="BQ38"/>
  <c r="BQ30"/>
  <c r="BQ36"/>
  <c r="BQ37"/>
  <c r="BQ14"/>
  <c r="BQ3"/>
  <c r="BQ17"/>
  <c r="BQ19"/>
  <c r="BQ22"/>
  <c r="BQ15"/>
  <c r="BQ4"/>
  <c r="BQ20"/>
  <c r="BQ8"/>
  <c r="BQ16"/>
  <c r="BQ21"/>
  <c r="BQ12"/>
  <c r="BQ18"/>
  <c r="Q87" i="40"/>
  <c r="T87"/>
  <c r="Q89"/>
  <c r="T89"/>
  <c r="T103"/>
  <c r="Q103"/>
  <c r="DA13" i="45"/>
  <c r="CZ13"/>
  <c r="DQ6" i="53"/>
  <c r="DS6" s="1"/>
  <c r="L2" s="1"/>
  <c r="DQ5"/>
  <c r="DS5" s="1"/>
  <c r="N2" s="1"/>
  <c r="J108" i="40"/>
  <c r="C109"/>
  <c r="DJ55" i="44"/>
  <c r="DJ57"/>
  <c r="DN54"/>
  <c r="DD54"/>
  <c r="DJ56"/>
  <c r="DJ52"/>
  <c r="DD55"/>
  <c r="DN56"/>
  <c r="DD53"/>
  <c r="DN53" s="1"/>
  <c r="DN52"/>
  <c r="DD56"/>
  <c r="DJ54"/>
  <c r="DN55"/>
  <c r="DD52"/>
  <c r="DD57"/>
  <c r="DN57" s="1"/>
  <c r="DE47" i="45"/>
  <c r="F17" i="50"/>
  <c r="DF43" i="45"/>
  <c r="DF31" i="43"/>
  <c r="DJ14" i="45"/>
  <c r="DD24" i="53"/>
  <c r="DC23"/>
  <c r="T90" i="40"/>
  <c r="Q90"/>
  <c r="T100"/>
  <c r="Q100"/>
  <c r="R73" i="41"/>
  <c r="U73"/>
  <c r="AA137" i="46"/>
  <c r="AA141"/>
  <c r="AA136"/>
  <c r="AA140"/>
  <c r="AA144"/>
  <c r="AA135"/>
  <c r="AA139"/>
  <c r="AA143"/>
  <c r="AA138"/>
  <c r="AA142"/>
  <c r="DC31" i="44"/>
  <c r="G18"/>
  <c r="Q99" i="40"/>
  <c r="T99"/>
  <c r="BF11" i="47"/>
  <c r="BG11" s="1"/>
  <c r="BH11" s="1"/>
  <c r="DA17" i="44"/>
  <c r="CZ17"/>
  <c r="Q4" i="53"/>
  <c r="DU7"/>
  <c r="DD10"/>
  <c r="EH6"/>
  <c r="Z39"/>
  <c r="DC8"/>
  <c r="DD8"/>
  <c r="J90" i="40"/>
  <c r="C96" s="1"/>
  <c r="E96"/>
  <c r="BA20" i="49"/>
  <c r="BD19" s="1"/>
  <c r="AV21"/>
  <c r="AW20"/>
  <c r="DC13" i="44"/>
  <c r="DH14"/>
  <c r="DC15"/>
  <c r="DH16"/>
  <c r="DC17"/>
  <c r="DG18"/>
  <c r="DG13"/>
  <c r="DH17"/>
  <c r="DH18"/>
  <c r="DC14"/>
  <c r="DJ14" s="1"/>
  <c r="DH15"/>
  <c r="DC16"/>
  <c r="DH13"/>
  <c r="DG15"/>
  <c r="DG16"/>
  <c r="DG14"/>
  <c r="DG17"/>
  <c r="DC18"/>
  <c r="DJ18" s="1"/>
  <c r="R71" i="41"/>
  <c r="U71"/>
  <c r="DD52" i="45"/>
  <c r="DD54"/>
  <c r="DD57"/>
  <c r="DJ57" s="1"/>
  <c r="DN53"/>
  <c r="DJ53"/>
  <c r="DD55"/>
  <c r="DN55" s="1"/>
  <c r="DN52"/>
  <c r="DJ52"/>
  <c r="DJ55"/>
  <c r="DN54"/>
  <c r="DJ54"/>
  <c r="DD53"/>
  <c r="DD56"/>
  <c r="DJ56" s="1"/>
  <c r="R90" i="41"/>
  <c r="U90"/>
  <c r="DC52" i="45"/>
  <c r="DC55"/>
  <c r="DE55" s="1"/>
  <c r="DC57"/>
  <c r="DE57" s="1"/>
  <c r="DI52"/>
  <c r="DE52"/>
  <c r="DC54"/>
  <c r="DE54" s="1"/>
  <c r="DC56"/>
  <c r="DI56" s="1"/>
  <c r="DE56"/>
  <c r="DC53"/>
  <c r="DE53" s="1"/>
  <c r="Q84" i="40"/>
  <c r="T84"/>
  <c r="CZ18" i="44"/>
  <c r="DA18"/>
  <c r="J39" i="52"/>
  <c r="P37"/>
  <c r="DM18" i="45"/>
  <c r="DK18"/>
  <c r="DL18"/>
  <c r="E85" i="41"/>
  <c r="J79" s="1"/>
  <c r="C85" s="1"/>
  <c r="K38" i="46"/>
  <c r="K34"/>
  <c r="K35"/>
  <c r="K39"/>
  <c r="K37"/>
  <c r="AO90" s="1"/>
  <c r="DA16" i="45"/>
  <c r="CZ16"/>
  <c r="Q88" i="40"/>
  <c r="T88"/>
  <c r="Q102"/>
  <c r="T102"/>
  <c r="DV14" i="53"/>
  <c r="DV16"/>
  <c r="DV20"/>
  <c r="DV28"/>
  <c r="DV31"/>
  <c r="DV32"/>
  <c r="DV33"/>
  <c r="DV34"/>
  <c r="DV43"/>
  <c r="DV48"/>
  <c r="DV49"/>
  <c r="DV50"/>
  <c r="DV54"/>
  <c r="DV58"/>
  <c r="DV66"/>
  <c r="DV70"/>
  <c r="DV74"/>
  <c r="DV78"/>
  <c r="DV82"/>
  <c r="DV86"/>
  <c r="DV90"/>
  <c r="DV94"/>
  <c r="DV98"/>
  <c r="DV102"/>
  <c r="DV106"/>
  <c r="DV110"/>
  <c r="DV114"/>
  <c r="DV118"/>
  <c r="DV122"/>
  <c r="DV126"/>
  <c r="DV130"/>
  <c r="DV134"/>
  <c r="DV138"/>
  <c r="DV142"/>
  <c r="DV146"/>
  <c r="DV150"/>
  <c r="DV154"/>
  <c r="DV158"/>
  <c r="DV162"/>
  <c r="DV21"/>
  <c r="DV23"/>
  <c r="DV37"/>
  <c r="DV38"/>
  <c r="DV39"/>
  <c r="DV45"/>
  <c r="DV46"/>
  <c r="DV51"/>
  <c r="DV12"/>
  <c r="DV19"/>
  <c r="DV27"/>
  <c r="DV29"/>
  <c r="DV36"/>
  <c r="DV42"/>
  <c r="DV47"/>
  <c r="DV56"/>
  <c r="DV57"/>
  <c r="DV63"/>
  <c r="DV71"/>
  <c r="DV79"/>
  <c r="DV87"/>
  <c r="DV95"/>
  <c r="DV103"/>
  <c r="DV111"/>
  <c r="DV119"/>
  <c r="DV127"/>
  <c r="DV135"/>
  <c r="DV143"/>
  <c r="DV151"/>
  <c r="DV159"/>
  <c r="DV166"/>
  <c r="DV170"/>
  <c r="DV174"/>
  <c r="DV178"/>
  <c r="DV182"/>
  <c r="DV186"/>
  <c r="DV190"/>
  <c r="DV194"/>
  <c r="DV198"/>
  <c r="DV202"/>
  <c r="DV206"/>
  <c r="DV210"/>
  <c r="DV11"/>
  <c r="DV18"/>
  <c r="DV22"/>
  <c r="DV24"/>
  <c r="DV26"/>
  <c r="DV40"/>
  <c r="DV41"/>
  <c r="DV52"/>
  <c r="DV53"/>
  <c r="DV62"/>
  <c r="DV64"/>
  <c r="DV65"/>
  <c r="DV72"/>
  <c r="DV73"/>
  <c r="DV80"/>
  <c r="DV81"/>
  <c r="DV88"/>
  <c r="DV89"/>
  <c r="DV96"/>
  <c r="DV97"/>
  <c r="DV104"/>
  <c r="DV105"/>
  <c r="DV112"/>
  <c r="DV113"/>
  <c r="DV120"/>
  <c r="DV121"/>
  <c r="DV128"/>
  <c r="DV129"/>
  <c r="DV136"/>
  <c r="DV137"/>
  <c r="DV144"/>
  <c r="DV145"/>
  <c r="DV152"/>
  <c r="DV153"/>
  <c r="DV160"/>
  <c r="DV161"/>
  <c r="DV167"/>
  <c r="DV171"/>
  <c r="DV175"/>
  <c r="DV179"/>
  <c r="DV183"/>
  <c r="DV187"/>
  <c r="DV191"/>
  <c r="DV195"/>
  <c r="DV199"/>
  <c r="DV203"/>
  <c r="DV207"/>
  <c r="DV211"/>
  <c r="DV13"/>
  <c r="DV15"/>
  <c r="DV68"/>
  <c r="DV69"/>
  <c r="DV75"/>
  <c r="DV84"/>
  <c r="DV85"/>
  <c r="DV91"/>
  <c r="DV100"/>
  <c r="DV101"/>
  <c r="DV107"/>
  <c r="DV116"/>
  <c r="DV117"/>
  <c r="DV123"/>
  <c r="DV132"/>
  <c r="DV133"/>
  <c r="DV139"/>
  <c r="DV148"/>
  <c r="DV149"/>
  <c r="DV155"/>
  <c r="DV176"/>
  <c r="DV177"/>
  <c r="DV192"/>
  <c r="DV193"/>
  <c r="DV208"/>
  <c r="DV209"/>
  <c r="DV25"/>
  <c r="DV30"/>
  <c r="DV44"/>
  <c r="DV55"/>
  <c r="DV60"/>
  <c r="DV61"/>
  <c r="DV172"/>
  <c r="DV173"/>
  <c r="DV188"/>
  <c r="DV189"/>
  <c r="DV204"/>
  <c r="DV205"/>
  <c r="DV17"/>
  <c r="DV164"/>
  <c r="DV165"/>
  <c r="DV180"/>
  <c r="DV181"/>
  <c r="DV196"/>
  <c r="DV197"/>
  <c r="DV67"/>
  <c r="DV92"/>
  <c r="DV125"/>
  <c r="DV131"/>
  <c r="DV156"/>
  <c r="DV168"/>
  <c r="DV169"/>
  <c r="DV184"/>
  <c r="DV185"/>
  <c r="DV200"/>
  <c r="DV201"/>
  <c r="DV59"/>
  <c r="DV76"/>
  <c r="DV109"/>
  <c r="DV115"/>
  <c r="DV140"/>
  <c r="DV93"/>
  <c r="DV99"/>
  <c r="DV124"/>
  <c r="DV157"/>
  <c r="DV163"/>
  <c r="DV35"/>
  <c r="DV77"/>
  <c r="DV83"/>
  <c r="DV108"/>
  <c r="DV141"/>
  <c r="DV147"/>
  <c r="CZ15" i="44"/>
  <c r="DA15"/>
  <c r="G101" i="40"/>
  <c r="G89"/>
  <c r="H12" i="52"/>
  <c r="BM5"/>
  <c r="BN34"/>
  <c r="BJ19" s="1"/>
  <c r="H16" s="1"/>
  <c r="C11" s="1"/>
  <c r="C12" s="1"/>
  <c r="AK131" i="46"/>
  <c r="AK135"/>
  <c r="AK130"/>
  <c r="AK89" s="1"/>
  <c r="R90" s="1"/>
  <c r="AK134"/>
  <c r="AK132"/>
  <c r="AK136"/>
  <c r="AK137"/>
  <c r="AK133"/>
  <c r="D18" i="43"/>
  <c r="DE22"/>
  <c r="DF22"/>
  <c r="DI22" s="1"/>
  <c r="DM15" i="45"/>
  <c r="DK15"/>
  <c r="DL15"/>
  <c r="M35" i="46"/>
  <c r="M39"/>
  <c r="M37"/>
  <c r="AP90" s="1"/>
  <c r="M34"/>
  <c r="M38"/>
  <c r="DD31" i="44"/>
  <c r="H18"/>
  <c r="CW34" i="43"/>
  <c r="DD47" i="45"/>
  <c r="AS101" i="46"/>
  <c r="AS102" s="1"/>
  <c r="AS103" s="1"/>
  <c r="CW35" i="43"/>
  <c r="DA20" i="44"/>
  <c r="DD21" s="1"/>
  <c r="CW36" i="43"/>
  <c r="DF30"/>
  <c r="DJ17" i="45"/>
  <c r="DD23" i="53"/>
  <c r="DF53" i="45" l="1"/>
  <c r="DG53" s="1"/>
  <c r="DH53"/>
  <c r="DN27" i="44"/>
  <c r="DN26"/>
  <c r="DM26"/>
  <c r="DM27"/>
  <c r="DK32"/>
  <c r="DL32"/>
  <c r="DL33"/>
  <c r="DK33"/>
  <c r="DM57" i="45"/>
  <c r="DK57"/>
  <c r="DL57" s="1"/>
  <c r="DL28" i="44"/>
  <c r="DK29"/>
  <c r="DL29"/>
  <c r="DK28"/>
  <c r="DF54" i="45"/>
  <c r="DG54" s="1"/>
  <c r="DH54" s="1"/>
  <c r="DH55"/>
  <c r="DF55"/>
  <c r="DG55" s="1"/>
  <c r="DM56"/>
  <c r="DK56"/>
  <c r="DL56" s="1"/>
  <c r="DL30" i="44"/>
  <c r="DL31"/>
  <c r="DK30"/>
  <c r="DK31"/>
  <c r="DF53"/>
  <c r="DG53" s="1"/>
  <c r="DH53"/>
  <c r="D93" i="41"/>
  <c r="E93" s="1"/>
  <c r="F94" s="1"/>
  <c r="D94"/>
  <c r="E94" s="1"/>
  <c r="F95" s="1"/>
  <c r="D95"/>
  <c r="E95" s="1"/>
  <c r="D96"/>
  <c r="E96" s="1"/>
  <c r="DL32" i="45"/>
  <c r="DK33"/>
  <c r="DK32"/>
  <c r="DL33"/>
  <c r="DH57"/>
  <c r="DF57"/>
  <c r="DG57" s="1"/>
  <c r="DN31"/>
  <c r="DN30"/>
  <c r="DM31"/>
  <c r="DM30"/>
  <c r="DM34" i="44"/>
  <c r="DM35"/>
  <c r="DN35"/>
  <c r="DN34"/>
  <c r="DK25"/>
  <c r="DK24"/>
  <c r="DL24"/>
  <c r="DL25"/>
  <c r="D103" i="40"/>
  <c r="E103" s="1"/>
  <c r="D104"/>
  <c r="E104" s="1"/>
  <c r="D105"/>
  <c r="E105" s="1"/>
  <c r="F106" s="1"/>
  <c r="D106"/>
  <c r="E106" s="1"/>
  <c r="D107"/>
  <c r="E107" s="1"/>
  <c r="EA12" i="53"/>
  <c r="EA13"/>
  <c r="DW21"/>
  <c r="EA22"/>
  <c r="DW23"/>
  <c r="EA24"/>
  <c r="EA25"/>
  <c r="EA35"/>
  <c r="EA36"/>
  <c r="DW37"/>
  <c r="DW38"/>
  <c r="DW39"/>
  <c r="EA40"/>
  <c r="EA41"/>
  <c r="EA42"/>
  <c r="DW45"/>
  <c r="DW46"/>
  <c r="EA47"/>
  <c r="DC57"/>
  <c r="DW51"/>
  <c r="EA53"/>
  <c r="DW55"/>
  <c r="EA57"/>
  <c r="EA59"/>
  <c r="EA61"/>
  <c r="DW63"/>
  <c r="EA65"/>
  <c r="DW67"/>
  <c r="EA69"/>
  <c r="DW71"/>
  <c r="EA73"/>
  <c r="DW75"/>
  <c r="EA77"/>
  <c r="DW79"/>
  <c r="EA81"/>
  <c r="DW83"/>
  <c r="EA85"/>
  <c r="DW87"/>
  <c r="EA89"/>
  <c r="DW91"/>
  <c r="EA93"/>
  <c r="DW95"/>
  <c r="EA97"/>
  <c r="DW99"/>
  <c r="EA101"/>
  <c r="DW103"/>
  <c r="EA105"/>
  <c r="DW107"/>
  <c r="EA109"/>
  <c r="DW111"/>
  <c r="EA113"/>
  <c r="DW115"/>
  <c r="EA117"/>
  <c r="DW119"/>
  <c r="EA121"/>
  <c r="DW123"/>
  <c r="EA125"/>
  <c r="DW127"/>
  <c r="EA129"/>
  <c r="DW131"/>
  <c r="EA133"/>
  <c r="DW135"/>
  <c r="EA137"/>
  <c r="DW139"/>
  <c r="EA141"/>
  <c r="DW143"/>
  <c r="EA145"/>
  <c r="DW147"/>
  <c r="EA149"/>
  <c r="DW151"/>
  <c r="EA153"/>
  <c r="DW155"/>
  <c r="EA157"/>
  <c r="DW159"/>
  <c r="EA161"/>
  <c r="DW163"/>
  <c r="DW11"/>
  <c r="EA14"/>
  <c r="DW15"/>
  <c r="EA16"/>
  <c r="DW17"/>
  <c r="DW18"/>
  <c r="DW19"/>
  <c r="EA20"/>
  <c r="DW26"/>
  <c r="DW27"/>
  <c r="EA28"/>
  <c r="DW29"/>
  <c r="DW30"/>
  <c r="EA31"/>
  <c r="EA32"/>
  <c r="EA33"/>
  <c r="EA34"/>
  <c r="EA43"/>
  <c r="DW44"/>
  <c r="DC54"/>
  <c r="EA48"/>
  <c r="EA49"/>
  <c r="EA50"/>
  <c r="DW52"/>
  <c r="EA11"/>
  <c r="EA18"/>
  <c r="DW20"/>
  <c r="DW22"/>
  <c r="DW24"/>
  <c r="EA26"/>
  <c r="DW31"/>
  <c r="DW34"/>
  <c r="DW40"/>
  <c r="DW41"/>
  <c r="DW43"/>
  <c r="DW48"/>
  <c r="DW50"/>
  <c r="EA52"/>
  <c r="DW53"/>
  <c r="EA54"/>
  <c r="DW58"/>
  <c r="EA60"/>
  <c r="DW62"/>
  <c r="DW64"/>
  <c r="DW65"/>
  <c r="EA67"/>
  <c r="DW72"/>
  <c r="DW73"/>
  <c r="EA75"/>
  <c r="DW80"/>
  <c r="DW81"/>
  <c r="EA83"/>
  <c r="DW88"/>
  <c r="DW89"/>
  <c r="EA91"/>
  <c r="DW96"/>
  <c r="DW97"/>
  <c r="EA99"/>
  <c r="DW104"/>
  <c r="DW105"/>
  <c r="EA107"/>
  <c r="DW112"/>
  <c r="DW113"/>
  <c r="EA115"/>
  <c r="DW120"/>
  <c r="DW121"/>
  <c r="EA123"/>
  <c r="DW128"/>
  <c r="DW129"/>
  <c r="EA131"/>
  <c r="DW136"/>
  <c r="DW137"/>
  <c r="EA139"/>
  <c r="DW144"/>
  <c r="DW145"/>
  <c r="EA147"/>
  <c r="DW152"/>
  <c r="DW153"/>
  <c r="EA155"/>
  <c r="DW160"/>
  <c r="DW161"/>
  <c r="EA163"/>
  <c r="EA165"/>
  <c r="DW167"/>
  <c r="EA169"/>
  <c r="DW171"/>
  <c r="EA173"/>
  <c r="DW175"/>
  <c r="EA177"/>
  <c r="DW179"/>
  <c r="EA181"/>
  <c r="DW183"/>
  <c r="EA185"/>
  <c r="DW187"/>
  <c r="EA189"/>
  <c r="DW191"/>
  <c r="EA193"/>
  <c r="DW195"/>
  <c r="EA197"/>
  <c r="DW199"/>
  <c r="EA201"/>
  <c r="DW203"/>
  <c r="EA205"/>
  <c r="DW207"/>
  <c r="EA209"/>
  <c r="DW211"/>
  <c r="DW13"/>
  <c r="DW14"/>
  <c r="EA15"/>
  <c r="EA17"/>
  <c r="EA23"/>
  <c r="DW28"/>
  <c r="DW33"/>
  <c r="DW35"/>
  <c r="EA44"/>
  <c r="EA46"/>
  <c r="DW49"/>
  <c r="EA55"/>
  <c r="DW60"/>
  <c r="DW61"/>
  <c r="DW66"/>
  <c r="EA68"/>
  <c r="EA70"/>
  <c r="DW74"/>
  <c r="EA76"/>
  <c r="EA78"/>
  <c r="DW82"/>
  <c r="EA84"/>
  <c r="EA86"/>
  <c r="DW90"/>
  <c r="EA92"/>
  <c r="EA94"/>
  <c r="DW98"/>
  <c r="EA100"/>
  <c r="EA102"/>
  <c r="DW106"/>
  <c r="EA108"/>
  <c r="EA110"/>
  <c r="DW114"/>
  <c r="EA116"/>
  <c r="EA118"/>
  <c r="DW122"/>
  <c r="EA124"/>
  <c r="EA126"/>
  <c r="DW130"/>
  <c r="EA132"/>
  <c r="EA134"/>
  <c r="DW138"/>
  <c r="EA140"/>
  <c r="EA142"/>
  <c r="DW146"/>
  <c r="EA148"/>
  <c r="EA150"/>
  <c r="DW154"/>
  <c r="EA156"/>
  <c r="EA158"/>
  <c r="DW162"/>
  <c r="DW164"/>
  <c r="EA166"/>
  <c r="DW168"/>
  <c r="EA170"/>
  <c r="DW172"/>
  <c r="EA174"/>
  <c r="DW176"/>
  <c r="EA178"/>
  <c r="DW180"/>
  <c r="EA182"/>
  <c r="DW184"/>
  <c r="EA186"/>
  <c r="DW188"/>
  <c r="EA190"/>
  <c r="DW192"/>
  <c r="EA194"/>
  <c r="DW196"/>
  <c r="EA198"/>
  <c r="DW200"/>
  <c r="EA202"/>
  <c r="DW204"/>
  <c r="EA206"/>
  <c r="DW208"/>
  <c r="EA210"/>
  <c r="DW16"/>
  <c r="DW25"/>
  <c r="EA30"/>
  <c r="DW47"/>
  <c r="EA51"/>
  <c r="DW57"/>
  <c r="EA62"/>
  <c r="DW78"/>
  <c r="DW94"/>
  <c r="DW110"/>
  <c r="DW126"/>
  <c r="DW142"/>
  <c r="DW158"/>
  <c r="EA167"/>
  <c r="DW170"/>
  <c r="EA172"/>
  <c r="DW173"/>
  <c r="EA183"/>
  <c r="DW186"/>
  <c r="EA188"/>
  <c r="DW189"/>
  <c r="EA199"/>
  <c r="DW202"/>
  <c r="EA204"/>
  <c r="DW205"/>
  <c r="EA27"/>
  <c r="EA37"/>
  <c r="DW42"/>
  <c r="EA45"/>
  <c r="EA58"/>
  <c r="DW59"/>
  <c r="EA63"/>
  <c r="EA66"/>
  <c r="EA72"/>
  <c r="DW76"/>
  <c r="DW77"/>
  <c r="EA79"/>
  <c r="EA82"/>
  <c r="EA88"/>
  <c r="DW92"/>
  <c r="DW93"/>
  <c r="EA95"/>
  <c r="EA98"/>
  <c r="EA104"/>
  <c r="DW108"/>
  <c r="DW109"/>
  <c r="EA111"/>
  <c r="EA114"/>
  <c r="EA120"/>
  <c r="DW124"/>
  <c r="DW125"/>
  <c r="EA127"/>
  <c r="EA130"/>
  <c r="EA136"/>
  <c r="DW140"/>
  <c r="DW141"/>
  <c r="EA143"/>
  <c r="EA146"/>
  <c r="EA152"/>
  <c r="DW156"/>
  <c r="DW157"/>
  <c r="EA159"/>
  <c r="EA162"/>
  <c r="DW166"/>
  <c r="EA168"/>
  <c r="DW169"/>
  <c r="EA179"/>
  <c r="DW182"/>
  <c r="EA184"/>
  <c r="DW185"/>
  <c r="EA195"/>
  <c r="DW198"/>
  <c r="EA200"/>
  <c r="DW201"/>
  <c r="EA211"/>
  <c r="EA29"/>
  <c r="DW36"/>
  <c r="EA38"/>
  <c r="DW56"/>
  <c r="EA64"/>
  <c r="DW68"/>
  <c r="DW69"/>
  <c r="EA71"/>
  <c r="EA74"/>
  <c r="EA80"/>
  <c r="DW84"/>
  <c r="DW85"/>
  <c r="EA87"/>
  <c r="EA90"/>
  <c r="EA96"/>
  <c r="DW100"/>
  <c r="DW101"/>
  <c r="EA103"/>
  <c r="EA106"/>
  <c r="EA112"/>
  <c r="DW116"/>
  <c r="DW117"/>
  <c r="EA119"/>
  <c r="EA122"/>
  <c r="EA128"/>
  <c r="DW132"/>
  <c r="DW133"/>
  <c r="EA135"/>
  <c r="EA138"/>
  <c r="EA144"/>
  <c r="DW148"/>
  <c r="DW149"/>
  <c r="EA151"/>
  <c r="EA154"/>
  <c r="EA160"/>
  <c r="EA171"/>
  <c r="DW174"/>
  <c r="EA176"/>
  <c r="DW177"/>
  <c r="EA187"/>
  <c r="DW190"/>
  <c r="EA192"/>
  <c r="DW193"/>
  <c r="EA203"/>
  <c r="DW206"/>
  <c r="EA208"/>
  <c r="DW209"/>
  <c r="EA19"/>
  <c r="EA39"/>
  <c r="DW118"/>
  <c r="DW32"/>
  <c r="EA56"/>
  <c r="DW102"/>
  <c r="EA164"/>
  <c r="DW165"/>
  <c r="DW178"/>
  <c r="EA180"/>
  <c r="DW181"/>
  <c r="DW194"/>
  <c r="EA196"/>
  <c r="DW197"/>
  <c r="DW210"/>
  <c r="EA21"/>
  <c r="DW54"/>
  <c r="DW86"/>
  <c r="DW150"/>
  <c r="EA175"/>
  <c r="EA191"/>
  <c r="EA207"/>
  <c r="DW12"/>
  <c r="DW70"/>
  <c r="DW134"/>
  <c r="DU8"/>
  <c r="DX6"/>
  <c r="BB14" i="47"/>
  <c r="BA15" s="1"/>
  <c r="BC14"/>
  <c r="DM25" i="45"/>
  <c r="DN24"/>
  <c r="DM24"/>
  <c r="DN25"/>
  <c r="BI11" i="47"/>
  <c r="BM11"/>
  <c r="DM14" i="45"/>
  <c r="DK14"/>
  <c r="DL14"/>
  <c r="DL26" i="44"/>
  <c r="DL27"/>
  <c r="DK26"/>
  <c r="DK27"/>
  <c r="BR5" i="52"/>
  <c r="BR13"/>
  <c r="BR22"/>
  <c r="BR9"/>
  <c r="BR33"/>
  <c r="BR38"/>
  <c r="BR4"/>
  <c r="BR14"/>
  <c r="BR27"/>
  <c r="BR36"/>
  <c r="BR30"/>
  <c r="BR37"/>
  <c r="BR24"/>
  <c r="BR29"/>
  <c r="BR19"/>
  <c r="BR21"/>
  <c r="BR3"/>
  <c r="BR7"/>
  <c r="BR8"/>
  <c r="BR26"/>
  <c r="BR32"/>
  <c r="BR17"/>
  <c r="BR10"/>
  <c r="BR34"/>
  <c r="BR11"/>
  <c r="BR12"/>
  <c r="BR16"/>
  <c r="BR18"/>
  <c r="BR31"/>
  <c r="BR2"/>
  <c r="BR35"/>
  <c r="BR25"/>
  <c r="BR28"/>
  <c r="BR40"/>
  <c r="BR23"/>
  <c r="BR15"/>
  <c r="BR20"/>
  <c r="BR39"/>
  <c r="BR6"/>
  <c r="DD30" i="44"/>
  <c r="DI54" i="45"/>
  <c r="DI53"/>
  <c r="DI55"/>
  <c r="DN56"/>
  <c r="DJ17" i="44"/>
  <c r="DJ13"/>
  <c r="DC29"/>
  <c r="DJ53"/>
  <c r="DJ58" s="1"/>
  <c r="AA89" i="46"/>
  <c r="R89" s="1"/>
  <c r="DE52" i="44"/>
  <c r="DM17" i="45"/>
  <c r="DK17"/>
  <c r="DL17"/>
  <c r="AP89" i="46"/>
  <c r="AV91"/>
  <c r="DK22" i="43"/>
  <c r="DH22"/>
  <c r="DK57" i="44"/>
  <c r="DL57" s="1"/>
  <c r="DM57"/>
  <c r="AT106" i="46"/>
  <c r="AV106" s="1"/>
  <c r="AT110"/>
  <c r="AV110" s="1"/>
  <c r="AT114"/>
  <c r="AV114" s="1"/>
  <c r="AT118"/>
  <c r="AV118" s="1"/>
  <c r="AT122"/>
  <c r="AV122" s="1"/>
  <c r="AT105"/>
  <c r="AV105" s="1"/>
  <c r="AT107"/>
  <c r="AV107" s="1"/>
  <c r="AT111"/>
  <c r="AV111" s="1"/>
  <c r="AT115"/>
  <c r="AV115" s="1"/>
  <c r="AT119"/>
  <c r="AV119" s="1"/>
  <c r="AT123"/>
  <c r="AV123" s="1"/>
  <c r="AT109"/>
  <c r="AV109" s="1"/>
  <c r="AT117"/>
  <c r="AV117" s="1"/>
  <c r="AT125"/>
  <c r="AV125" s="1"/>
  <c r="AS110"/>
  <c r="AS112"/>
  <c r="AS114"/>
  <c r="AS116"/>
  <c r="AS118"/>
  <c r="AS120"/>
  <c r="AS122"/>
  <c r="AS124"/>
  <c r="AT108"/>
  <c r="AV108" s="1"/>
  <c r="AT116"/>
  <c r="AV116" s="1"/>
  <c r="AT124"/>
  <c r="AV124" s="1"/>
  <c r="AS106"/>
  <c r="AS108"/>
  <c r="AT113"/>
  <c r="AV113" s="1"/>
  <c r="AT121"/>
  <c r="AV121" s="1"/>
  <c r="AT112"/>
  <c r="AV112" s="1"/>
  <c r="AT120"/>
  <c r="AV120" s="1"/>
  <c r="AS107"/>
  <c r="AS109"/>
  <c r="AS117"/>
  <c r="AS125"/>
  <c r="AS115"/>
  <c r="AS123"/>
  <c r="AS105"/>
  <c r="AS111"/>
  <c r="AS119"/>
  <c r="AS121"/>
  <c r="AS113"/>
  <c r="DE60" i="45"/>
  <c r="DE58"/>
  <c r="DF52"/>
  <c r="DG52" s="1"/>
  <c r="DH52" s="1"/>
  <c r="DM28"/>
  <c r="DN29"/>
  <c r="DM29"/>
  <c r="DN28"/>
  <c r="DJ60"/>
  <c r="DK55" s="1"/>
  <c r="DL55" s="1"/>
  <c r="DM55" s="1"/>
  <c r="DJ58"/>
  <c r="DM52"/>
  <c r="DK52"/>
  <c r="DL52" s="1"/>
  <c r="DK53"/>
  <c r="DL53" s="1"/>
  <c r="DM53" s="1"/>
  <c r="DL18" i="44"/>
  <c r="DK18"/>
  <c r="DM18"/>
  <c r="DM14"/>
  <c r="DL14"/>
  <c r="DK14"/>
  <c r="BA21" i="49"/>
  <c r="BD20" s="1"/>
  <c r="AV22"/>
  <c r="AW21"/>
  <c r="DN32" i="44"/>
  <c r="DN33"/>
  <c r="DM32"/>
  <c r="DM33"/>
  <c r="DK56"/>
  <c r="DL56" s="1"/>
  <c r="DM56"/>
  <c r="DK55"/>
  <c r="DL55" s="1"/>
  <c r="DM55"/>
  <c r="H21" i="51"/>
  <c r="B10"/>
  <c r="B11" s="1"/>
  <c r="DK21" i="43"/>
  <c r="DM11" s="1"/>
  <c r="DH21"/>
  <c r="BF12" i="47"/>
  <c r="BG12" s="1"/>
  <c r="BH12" s="1"/>
  <c r="DJ15" i="44"/>
  <c r="DD29"/>
  <c r="DI57" i="45"/>
  <c r="DC30" i="44"/>
  <c r="D108" i="40"/>
  <c r="E108" s="1"/>
  <c r="DA20" i="45"/>
  <c r="DD21" s="1"/>
  <c r="DE55" i="44"/>
  <c r="DE54"/>
  <c r="AO89" i="46"/>
  <c r="AV89"/>
  <c r="AV90" s="1"/>
  <c r="L40"/>
  <c r="AW95"/>
  <c r="DH56" i="45"/>
  <c r="DF56"/>
  <c r="DG56" s="1"/>
  <c r="DK54"/>
  <c r="DL54" s="1"/>
  <c r="DM54"/>
  <c r="DL34" i="44"/>
  <c r="DK35"/>
  <c r="DK34"/>
  <c r="DL35"/>
  <c r="DF56"/>
  <c r="DG56" s="1"/>
  <c r="DH56"/>
  <c r="D97" i="41"/>
  <c r="E97" s="1"/>
  <c r="J97"/>
  <c r="C98"/>
  <c r="DL24" i="45"/>
  <c r="DK25"/>
  <c r="DK24"/>
  <c r="DL25"/>
  <c r="DN27"/>
  <c r="DN26"/>
  <c r="DM27"/>
  <c r="DM26"/>
  <c r="DN31" i="44"/>
  <c r="DN30"/>
  <c r="DM31"/>
  <c r="DM30"/>
  <c r="DM24"/>
  <c r="DN24"/>
  <c r="DM25"/>
  <c r="DN25"/>
  <c r="DN29"/>
  <c r="DM28"/>
  <c r="DN28"/>
  <c r="DM29"/>
  <c r="D109" i="40"/>
  <c r="E109" s="1"/>
  <c r="J109"/>
  <c r="C110"/>
  <c r="BD13" i="47"/>
  <c r="BE13"/>
  <c r="DQ3" i="53"/>
  <c r="DQ2"/>
  <c r="AE3" i="43"/>
  <c r="AC3"/>
  <c r="DN57" i="45"/>
  <c r="DJ16" i="44"/>
  <c r="J18" i="52"/>
  <c r="E92" i="41"/>
  <c r="F93" s="1"/>
  <c r="DN58" i="44" l="1"/>
  <c r="DM62"/>
  <c r="DM63" s="1"/>
  <c r="DN59"/>
  <c r="DN37" s="1"/>
  <c r="DN60"/>
  <c r="DN38" s="1"/>
  <c r="DM40"/>
  <c r="DM37"/>
  <c r="DM38" s="1"/>
  <c r="DM41"/>
  <c r="DH58" i="45"/>
  <c r="DM34"/>
  <c r="DM35"/>
  <c r="DN34"/>
  <c r="DN35"/>
  <c r="DK15" i="44"/>
  <c r="DL15"/>
  <c r="DM15"/>
  <c r="DM12" i="43"/>
  <c r="DI58" i="45"/>
  <c r="DH62"/>
  <c r="DH63" s="1"/>
  <c r="DK41"/>
  <c r="DK37"/>
  <c r="DK38" s="1"/>
  <c r="DK40"/>
  <c r="DI59"/>
  <c r="DL37" s="1"/>
  <c r="DI60"/>
  <c r="DL38" s="1"/>
  <c r="DH61"/>
  <c r="R88" i="46"/>
  <c r="R91"/>
  <c r="DF55" i="44"/>
  <c r="DG55" s="1"/>
  <c r="DH55" s="1"/>
  <c r="DL34" i="45"/>
  <c r="DK35"/>
  <c r="DL35"/>
  <c r="DK34"/>
  <c r="DF52" i="44"/>
  <c r="DG52" s="1"/>
  <c r="DE58"/>
  <c r="DH52"/>
  <c r="DE60"/>
  <c r="DF57" s="1"/>
  <c r="DG57" s="1"/>
  <c r="DH57" s="1"/>
  <c r="DK13"/>
  <c r="DM13"/>
  <c r="DL13"/>
  <c r="DK26" i="45"/>
  <c r="DL26"/>
  <c r="DL27"/>
  <c r="DK27"/>
  <c r="BD14" i="47"/>
  <c r="BE14"/>
  <c r="DJ60" i="44"/>
  <c r="F108" i="40"/>
  <c r="F104"/>
  <c r="F96" i="41"/>
  <c r="G93"/>
  <c r="D98"/>
  <c r="E98" s="1"/>
  <c r="J98"/>
  <c r="C99"/>
  <c r="DM53" i="44"/>
  <c r="DK53"/>
  <c r="DL53" s="1"/>
  <c r="DM32" i="45"/>
  <c r="DM33"/>
  <c r="DN33"/>
  <c r="DN32"/>
  <c r="G106" i="40"/>
  <c r="G94" i="41"/>
  <c r="DM16" i="44"/>
  <c r="DL16"/>
  <c r="DK16"/>
  <c r="DK17"/>
  <c r="DL17"/>
  <c r="DM17"/>
  <c r="DK29" i="45"/>
  <c r="DL28"/>
  <c r="DL29"/>
  <c r="DK28"/>
  <c r="BB15" i="47"/>
  <c r="BA16" s="1"/>
  <c r="BC15"/>
  <c r="G95" i="41"/>
  <c r="D110" i="40"/>
  <c r="E110" s="1"/>
  <c r="J110"/>
  <c r="C111"/>
  <c r="BF13" i="47"/>
  <c r="AU92" i="46"/>
  <c r="AU94"/>
  <c r="AU89"/>
  <c r="AU90"/>
  <c r="AU91"/>
  <c r="DH54" i="44"/>
  <c r="DF54"/>
  <c r="DG54" s="1"/>
  <c r="BI12" i="47"/>
  <c r="BM12"/>
  <c r="BA22" i="49"/>
  <c r="BD21" s="1"/>
  <c r="AV23"/>
  <c r="AW22"/>
  <c r="DN58" i="45"/>
  <c r="DN60"/>
  <c r="DN38" s="1"/>
  <c r="DM40"/>
  <c r="DN41"/>
  <c r="DM37"/>
  <c r="DM38" s="1"/>
  <c r="DM41"/>
  <c r="DM62"/>
  <c r="DM63" s="1"/>
  <c r="DN40"/>
  <c r="DN59"/>
  <c r="DN37" s="1"/>
  <c r="AV94" i="46"/>
  <c r="AV92"/>
  <c r="DL30" i="45"/>
  <c r="DK30"/>
  <c r="DL31"/>
  <c r="DK31"/>
  <c r="W41" i="53"/>
  <c r="Y41"/>
  <c r="F109" i="40"/>
  <c r="DM58" i="45"/>
  <c r="DM61" s="1"/>
  <c r="DM64" s="1"/>
  <c r="BG13" i="47"/>
  <c r="BH13" s="1"/>
  <c r="F107" i="40"/>
  <c r="F105"/>
  <c r="F97" i="41"/>
  <c r="AG8" i="45" l="1"/>
  <c r="DJ47"/>
  <c r="BF14" i="47"/>
  <c r="DO58" i="45"/>
  <c r="AA11"/>
  <c r="AA9" s="1"/>
  <c r="DL43"/>
  <c r="DK43"/>
  <c r="DI48"/>
  <c r="S3"/>
  <c r="AA7" i="44"/>
  <c r="Z8"/>
  <c r="DI47"/>
  <c r="G105" i="40"/>
  <c r="G109"/>
  <c r="G107"/>
  <c r="D111"/>
  <c r="E111" s="1"/>
  <c r="J111"/>
  <c r="C112"/>
  <c r="G97" i="41"/>
  <c r="AA8" i="45"/>
  <c r="AA6" s="1"/>
  <c r="DI47"/>
  <c r="DG13" s="1"/>
  <c r="DJ13" s="1"/>
  <c r="DM66"/>
  <c r="AC8" s="1"/>
  <c r="DM65"/>
  <c r="AE8" s="1"/>
  <c r="Q3"/>
  <c r="BI13" i="47"/>
  <c r="BM13"/>
  <c r="BC16"/>
  <c r="BB16"/>
  <c r="BA17" s="1"/>
  <c r="G104" i="40"/>
  <c r="DK54" i="44"/>
  <c r="DL54" s="1"/>
  <c r="DM54" s="1"/>
  <c r="DK52"/>
  <c r="DL52" s="1"/>
  <c r="DM52" s="1"/>
  <c r="R86" i="46"/>
  <c r="S86" s="1"/>
  <c r="S88" s="1"/>
  <c r="T89" s="1"/>
  <c r="R87"/>
  <c r="S87" s="1"/>
  <c r="N42"/>
  <c r="DN15" i="43"/>
  <c r="DM15"/>
  <c r="DN40" i="44"/>
  <c r="DN41"/>
  <c r="DH58"/>
  <c r="DL41" i="45"/>
  <c r="DL40"/>
  <c r="D99" i="41"/>
  <c r="E99" s="1"/>
  <c r="J99"/>
  <c r="C100"/>
  <c r="G108" i="40"/>
  <c r="DH62" i="44"/>
  <c r="DH63" s="1"/>
  <c r="DK37"/>
  <c r="DK38" s="1"/>
  <c r="DH61"/>
  <c r="DL40"/>
  <c r="DK41"/>
  <c r="DI58"/>
  <c r="DK40"/>
  <c r="DL41"/>
  <c r="DI60"/>
  <c r="DL38" s="1"/>
  <c r="DI59"/>
  <c r="DL37" s="1"/>
  <c r="BA23" i="49"/>
  <c r="BD22" s="1"/>
  <c r="AV24"/>
  <c r="AW23"/>
  <c r="BD15" i="47"/>
  <c r="BE15"/>
  <c r="G96" i="41"/>
  <c r="T86" i="46"/>
  <c r="BG14" i="47"/>
  <c r="BH14" s="1"/>
  <c r="DH64" i="45"/>
  <c r="DH66" s="1"/>
  <c r="AC11" s="1"/>
  <c r="DM13" i="43"/>
  <c r="DM14" s="1"/>
  <c r="AW94" i="46" l="1"/>
  <c r="L41"/>
  <c r="BB17" i="47"/>
  <c r="BA18" s="1"/>
  <c r="BC17"/>
  <c r="DO62" i="45"/>
  <c r="DR20"/>
  <c r="CU50" s="1"/>
  <c r="DR22"/>
  <c r="CU52" s="1"/>
  <c r="DR24"/>
  <c r="CU54" s="1"/>
  <c r="DR26"/>
  <c r="CU56" s="1"/>
  <c r="DR28"/>
  <c r="CU58" s="1"/>
  <c r="DR30"/>
  <c r="CU60" s="1"/>
  <c r="DR32"/>
  <c r="CU62" s="1"/>
  <c r="DR34"/>
  <c r="CU64" s="1"/>
  <c r="DR36"/>
  <c r="CU66" s="1"/>
  <c r="DR38"/>
  <c r="CU68" s="1"/>
  <c r="DP16"/>
  <c r="DR19"/>
  <c r="CU49" s="1"/>
  <c r="DR21"/>
  <c r="CU51" s="1"/>
  <c r="DR23"/>
  <c r="CU53" s="1"/>
  <c r="DR25"/>
  <c r="CU55" s="1"/>
  <c r="DR27"/>
  <c r="CU57" s="1"/>
  <c r="DR29"/>
  <c r="CU59" s="1"/>
  <c r="DR31"/>
  <c r="CU61" s="1"/>
  <c r="DR33"/>
  <c r="CU63" s="1"/>
  <c r="DR35"/>
  <c r="CU65" s="1"/>
  <c r="DR37"/>
  <c r="CU67" s="1"/>
  <c r="DR18"/>
  <c r="CU48" s="1"/>
  <c r="DO63"/>
  <c r="V3"/>
  <c r="DO61"/>
  <c r="DR11"/>
  <c r="DR13"/>
  <c r="DR14"/>
  <c r="DN47"/>
  <c r="DR12"/>
  <c r="DS13"/>
  <c r="DS14" s="1"/>
  <c r="DS11"/>
  <c r="DS12" s="1"/>
  <c r="S2"/>
  <c r="Q2"/>
  <c r="R2" s="1"/>
  <c r="BF15" i="47"/>
  <c r="BA24" i="49"/>
  <c r="AV25"/>
  <c r="AW24"/>
  <c r="F98" i="41"/>
  <c r="DM20" i="43"/>
  <c r="DM22"/>
  <c r="DM26"/>
  <c r="DM29"/>
  <c r="DM30"/>
  <c r="DM31"/>
  <c r="DM32"/>
  <c r="DM33"/>
  <c r="DM34"/>
  <c r="DM35"/>
  <c r="DM36"/>
  <c r="DM37"/>
  <c r="DM19"/>
  <c r="DM24"/>
  <c r="DM25"/>
  <c r="DM17"/>
  <c r="DM18"/>
  <c r="DM27"/>
  <c r="DM28"/>
  <c r="DM21"/>
  <c r="DM23"/>
  <c r="DN18"/>
  <c r="DN30"/>
  <c r="DN29"/>
  <c r="DN37"/>
  <c r="DN36"/>
  <c r="DN32"/>
  <c r="DN33"/>
  <c r="DN34"/>
  <c r="DN27"/>
  <c r="DN20"/>
  <c r="DN17"/>
  <c r="DN25"/>
  <c r="DN31"/>
  <c r="DN21"/>
  <c r="DN23"/>
  <c r="DN35"/>
  <c r="DN28"/>
  <c r="DN24"/>
  <c r="DN19"/>
  <c r="DN22"/>
  <c r="DN26"/>
  <c r="AA10" i="44"/>
  <c r="DL43"/>
  <c r="DO58"/>
  <c r="DH65"/>
  <c r="AD11" s="1"/>
  <c r="DK43"/>
  <c r="DI48"/>
  <c r="Z11"/>
  <c r="DH66"/>
  <c r="AB11" s="1"/>
  <c r="D100" i="41"/>
  <c r="E100" s="1"/>
  <c r="J100"/>
  <c r="C101"/>
  <c r="DM13" i="45"/>
  <c r="DK13"/>
  <c r="DL13"/>
  <c r="D112" i="40"/>
  <c r="E112" s="1"/>
  <c r="J112"/>
  <c r="C113"/>
  <c r="T87" i="46"/>
  <c r="T88" s="1"/>
  <c r="N43" s="1"/>
  <c r="BD23" i="49"/>
  <c r="DM58" i="44"/>
  <c r="DM61" s="1"/>
  <c r="DM64" s="1"/>
  <c r="DJ48" i="45"/>
  <c r="AG11"/>
  <c r="BD16" i="47"/>
  <c r="BE16"/>
  <c r="F110" i="40"/>
  <c r="BI14" i="47"/>
  <c r="BM14"/>
  <c r="DH64" i="44"/>
  <c r="DH65" i="45"/>
  <c r="AE11" s="1"/>
  <c r="BB18" i="47" l="1"/>
  <c r="BA19" s="1"/>
  <c r="BC18"/>
  <c r="G110" i="40"/>
  <c r="AF8" i="44"/>
  <c r="DJ47"/>
  <c r="DM65"/>
  <c r="AD8" s="1"/>
  <c r="DM66"/>
  <c r="AB8" s="1"/>
  <c r="D113" i="40"/>
  <c r="E113" s="1"/>
  <c r="J113"/>
  <c r="C114"/>
  <c r="F99" i="41"/>
  <c r="DP21" i="43"/>
  <c r="DQ21"/>
  <c r="DQ32"/>
  <c r="DP32"/>
  <c r="BD17" i="47"/>
  <c r="BE17"/>
  <c r="DP19" i="43"/>
  <c r="DQ19"/>
  <c r="DP23"/>
  <c r="DQ23"/>
  <c r="DQ17"/>
  <c r="DP17"/>
  <c r="DQ33"/>
  <c r="DP33"/>
  <c r="DQ29"/>
  <c r="DP29"/>
  <c r="G98" i="41"/>
  <c r="BA25" i="49"/>
  <c r="BD24" s="1"/>
  <c r="AV26"/>
  <c r="AW25"/>
  <c r="BF16" i="47"/>
  <c r="BG16" s="1"/>
  <c r="BH16" s="1"/>
  <c r="DQ26" i="43"/>
  <c r="DP26"/>
  <c r="DQ28"/>
  <c r="DP28"/>
  <c r="DQ31"/>
  <c r="DP31"/>
  <c r="DQ27"/>
  <c r="DP27"/>
  <c r="DQ36"/>
  <c r="DP36"/>
  <c r="DP18"/>
  <c r="DQ18"/>
  <c r="BI15" i="47"/>
  <c r="BM15"/>
  <c r="DO64" i="45"/>
  <c r="DO67"/>
  <c r="DP24" i="43"/>
  <c r="DQ24"/>
  <c r="DQ20"/>
  <c r="DP20"/>
  <c r="DQ30"/>
  <c r="DP30"/>
  <c r="AF11" i="44"/>
  <c r="DJ48"/>
  <c r="F111" i="40"/>
  <c r="D101" i="41"/>
  <c r="E101" s="1"/>
  <c r="J101"/>
  <c r="C102"/>
  <c r="Q3" i="44"/>
  <c r="DO62"/>
  <c r="S5"/>
  <c r="DS11"/>
  <c r="DS12" s="1"/>
  <c r="DR13"/>
  <c r="DR18"/>
  <c r="DR22"/>
  <c r="DR23"/>
  <c r="DR24"/>
  <c r="DR34"/>
  <c r="DR35"/>
  <c r="DR36"/>
  <c r="DR37"/>
  <c r="U3"/>
  <c r="DO63"/>
  <c r="DR14"/>
  <c r="DR31"/>
  <c r="DN47"/>
  <c r="S2"/>
  <c r="DS13"/>
  <c r="DS14" s="1"/>
  <c r="DR12"/>
  <c r="DR19"/>
  <c r="DR25"/>
  <c r="DR30"/>
  <c r="S3"/>
  <c r="DO61"/>
  <c r="Q5"/>
  <c r="DR28"/>
  <c r="DR11"/>
  <c r="DR17"/>
  <c r="DR20"/>
  <c r="DR21"/>
  <c r="DR29"/>
  <c r="DR32"/>
  <c r="DR33"/>
  <c r="DR26"/>
  <c r="DR27"/>
  <c r="Q2"/>
  <c r="DQ22" i="43"/>
  <c r="DP22"/>
  <c r="DQ35"/>
  <c r="DP35"/>
  <c r="DQ25"/>
  <c r="DP25"/>
  <c r="DQ34"/>
  <c r="DP34"/>
  <c r="DQ37"/>
  <c r="DP37"/>
  <c r="L43" i="46"/>
  <c r="L42"/>
  <c r="BG15" i="47"/>
  <c r="BH15" s="1"/>
  <c r="F100" i="41" l="1"/>
  <c r="AC3" i="45"/>
  <c r="DM43"/>
  <c r="CZ19"/>
  <c r="CZ21" s="1"/>
  <c r="DD22" s="1"/>
  <c r="DP11" s="1"/>
  <c r="DO66"/>
  <c r="Y3" s="1"/>
  <c r="DO65"/>
  <c r="AA3" s="1"/>
  <c r="DA19"/>
  <c r="BF17" i="47"/>
  <c r="D114" i="40"/>
  <c r="E114" s="1"/>
  <c r="J114"/>
  <c r="C115"/>
  <c r="BA26" i="49"/>
  <c r="AV27"/>
  <c r="AW26"/>
  <c r="DO67" i="44"/>
  <c r="DO64"/>
  <c r="BI16" i="47"/>
  <c r="BM16"/>
  <c r="BC19"/>
  <c r="BB19"/>
  <c r="BA20" s="1"/>
  <c r="BD25" i="49"/>
  <c r="BG17" i="47"/>
  <c r="BH17" s="1"/>
  <c r="G111" i="40"/>
  <c r="D102" i="41"/>
  <c r="E102" s="1"/>
  <c r="J102"/>
  <c r="C103"/>
  <c r="G99"/>
  <c r="F112" i="40"/>
  <c r="BD18" i="47"/>
  <c r="BE18"/>
  <c r="DO47" i="45"/>
  <c r="BF18" i="47" l="1"/>
  <c r="BG18" s="1"/>
  <c r="BH18" s="1"/>
  <c r="BC20"/>
  <c r="BB20"/>
  <c r="BA21" s="1"/>
  <c r="DO47" i="44"/>
  <c r="AB3"/>
  <c r="DM43"/>
  <c r="DA19"/>
  <c r="CZ19"/>
  <c r="CZ21" s="1"/>
  <c r="DD22" s="1"/>
  <c r="DP11" s="1"/>
  <c r="DO66"/>
  <c r="X3" s="1"/>
  <c r="DO65"/>
  <c r="Z3" s="1"/>
  <c r="BA27" i="49"/>
  <c r="BD26" s="1"/>
  <c r="AV28"/>
  <c r="AW27"/>
  <c r="F113" i="40"/>
  <c r="AG3" i="45"/>
  <c r="AC4"/>
  <c r="F101" i="41"/>
  <c r="D115" i="40"/>
  <c r="E115" s="1"/>
  <c r="J115"/>
  <c r="C116"/>
  <c r="DP12" i="45"/>
  <c r="DP13" s="1"/>
  <c r="DP14" s="1"/>
  <c r="G100" i="41"/>
  <c r="G112" i="40"/>
  <c r="D103" i="41"/>
  <c r="E103" s="1"/>
  <c r="J103"/>
  <c r="C104"/>
  <c r="BD19" i="47"/>
  <c r="BE19"/>
  <c r="BI17"/>
  <c r="BM17"/>
  <c r="D104" i="41" l="1"/>
  <c r="E104" s="1"/>
  <c r="J104"/>
  <c r="C105"/>
  <c r="D116" i="40"/>
  <c r="E116" s="1"/>
  <c r="J116"/>
  <c r="C117"/>
  <c r="BB21" i="47"/>
  <c r="BA22" s="1"/>
  <c r="BC21"/>
  <c r="G101" i="41"/>
  <c r="G113" i="40"/>
  <c r="BA28" i="49"/>
  <c r="BD27" s="1"/>
  <c r="AV29"/>
  <c r="AW28"/>
  <c r="BF19" i="47"/>
  <c r="F102" i="41"/>
  <c r="F114" i="40"/>
  <c r="AF3" i="44"/>
  <c r="AD3"/>
  <c r="BI18" i="47"/>
  <c r="BM18"/>
  <c r="DP15" i="45"/>
  <c r="DQ15"/>
  <c r="DP12" i="44"/>
  <c r="BD20" i="47"/>
  <c r="BE20"/>
  <c r="BF20" l="1"/>
  <c r="DQ32" i="45"/>
  <c r="DQ26"/>
  <c r="DQ21"/>
  <c r="DP26"/>
  <c r="DP31"/>
  <c r="DP19"/>
  <c r="DP36"/>
  <c r="DP20"/>
  <c r="DP30"/>
  <c r="DQ27"/>
  <c r="DQ24"/>
  <c r="DQ18"/>
  <c r="DQ34"/>
  <c r="DQ29"/>
  <c r="DQ25"/>
  <c r="DP35"/>
  <c r="DQ30"/>
  <c r="DQ37"/>
  <c r="DP29"/>
  <c r="DP22"/>
  <c r="DP28"/>
  <c r="DP21"/>
  <c r="DP38"/>
  <c r="DQ28"/>
  <c r="DQ22"/>
  <c r="DQ38"/>
  <c r="DQ33"/>
  <c r="DP25"/>
  <c r="DP37"/>
  <c r="DP27"/>
  <c r="DP18"/>
  <c r="DP34"/>
  <c r="DP23"/>
  <c r="DP32"/>
  <c r="DP33"/>
  <c r="DP24"/>
  <c r="DQ23"/>
  <c r="DQ20"/>
  <c r="DQ36"/>
  <c r="DQ35"/>
  <c r="DQ19"/>
  <c r="DQ31"/>
  <c r="G102" i="41"/>
  <c r="F103"/>
  <c r="G114" i="40"/>
  <c r="BI19" i="47"/>
  <c r="BM19"/>
  <c r="BA29" i="49"/>
  <c r="BD28" s="1"/>
  <c r="AV30"/>
  <c r="AW29"/>
  <c r="D117" i="40"/>
  <c r="E117" s="1"/>
  <c r="J117"/>
  <c r="C118"/>
  <c r="BB22" i="47"/>
  <c r="BA23" s="1"/>
  <c r="BC22"/>
  <c r="D105" i="41"/>
  <c r="E105" s="1"/>
  <c r="J105"/>
  <c r="C106"/>
  <c r="BG20" i="47"/>
  <c r="BH20" s="1"/>
  <c r="BG19"/>
  <c r="BH19" s="1"/>
  <c r="DP13" i="44"/>
  <c r="DP14" s="1"/>
  <c r="DP15" s="1"/>
  <c r="BD21" i="47"/>
  <c r="BE21"/>
  <c r="F115" i="40"/>
  <c r="DP25" i="44" l="1"/>
  <c r="DQ30"/>
  <c r="DQ21"/>
  <c r="DQ29"/>
  <c r="DQ35"/>
  <c r="DP29"/>
  <c r="DP34"/>
  <c r="DQ34"/>
  <c r="DQ23"/>
  <c r="DP35"/>
  <c r="DQ37"/>
  <c r="DP17"/>
  <c r="DP23"/>
  <c r="DQ20"/>
  <c r="DP36"/>
  <c r="DQ31"/>
  <c r="DP31"/>
  <c r="DQ24"/>
  <c r="DQ28"/>
  <c r="DQ19"/>
  <c r="DP26"/>
  <c r="DP33"/>
  <c r="DQ18"/>
  <c r="DQ33"/>
  <c r="DP27"/>
  <c r="DP28"/>
  <c r="DP20"/>
  <c r="DP30"/>
  <c r="DQ17"/>
  <c r="DQ27"/>
  <c r="DP18"/>
  <c r="DQ25"/>
  <c r="DQ32"/>
  <c r="DP21"/>
  <c r="DP32"/>
  <c r="DP24"/>
  <c r="DP37"/>
  <c r="DP19"/>
  <c r="DQ22"/>
  <c r="DQ26"/>
  <c r="DP22"/>
  <c r="DQ36"/>
  <c r="BF21" i="47"/>
  <c r="F104" i="41"/>
  <c r="G103"/>
  <c r="DS36" i="45"/>
  <c r="CV66" s="1"/>
  <c r="DT36"/>
  <c r="DS33"/>
  <c r="CV63" s="1"/>
  <c r="DT33"/>
  <c r="DS25"/>
  <c r="CV55" s="1"/>
  <c r="DT25"/>
  <c r="DS24"/>
  <c r="CV54" s="1"/>
  <c r="DT24"/>
  <c r="DS21"/>
  <c r="CV51" s="1"/>
  <c r="DT21"/>
  <c r="D118" i="40"/>
  <c r="E118" s="1"/>
  <c r="J118"/>
  <c r="C119"/>
  <c r="AV31" i="49"/>
  <c r="BA30"/>
  <c r="AW30"/>
  <c r="DS35" i="45"/>
  <c r="CV65" s="1"/>
  <c r="DT35"/>
  <c r="DS28"/>
  <c r="CV58" s="1"/>
  <c r="DT28"/>
  <c r="DS18"/>
  <c r="CV48" s="1"/>
  <c r="DT18"/>
  <c r="BI20" i="47"/>
  <c r="BM20"/>
  <c r="D106" i="41"/>
  <c r="E106" s="1"/>
  <c r="J106"/>
  <c r="C107"/>
  <c r="BB23" i="47"/>
  <c r="BA24" s="1"/>
  <c r="BC23"/>
  <c r="DS19" i="45"/>
  <c r="CV49" s="1"/>
  <c r="DT19"/>
  <c r="DS23"/>
  <c r="CV53" s="1"/>
  <c r="DT23"/>
  <c r="DS22"/>
  <c r="CV52" s="1"/>
  <c r="DT22"/>
  <c r="DS30"/>
  <c r="CV60" s="1"/>
  <c r="DT30"/>
  <c r="DS34"/>
  <c r="CV64" s="1"/>
  <c r="DT34"/>
  <c r="DS32"/>
  <c r="CV62" s="1"/>
  <c r="DT32"/>
  <c r="BG21" i="47"/>
  <c r="BH21" s="1"/>
  <c r="DQ15" i="44"/>
  <c r="G115" i="40"/>
  <c r="BD22" i="47"/>
  <c r="BE22"/>
  <c r="F116" i="40"/>
  <c r="DS31" i="45"/>
  <c r="CV61" s="1"/>
  <c r="DT31"/>
  <c r="DS20"/>
  <c r="CV50" s="1"/>
  <c r="DT20"/>
  <c r="DS38"/>
  <c r="CV68" s="1"/>
  <c r="DT38"/>
  <c r="DS37"/>
  <c r="CV67" s="1"/>
  <c r="DT37"/>
  <c r="DS29"/>
  <c r="CV59" s="1"/>
  <c r="DT29"/>
  <c r="DS27"/>
  <c r="CV57" s="1"/>
  <c r="DT27"/>
  <c r="DS26"/>
  <c r="CV56" s="1"/>
  <c r="DT26"/>
  <c r="BD29" i="49"/>
  <c r="BF22" i="47" l="1"/>
  <c r="BC24"/>
  <c r="BB24"/>
  <c r="BA25" s="1"/>
  <c r="D119" i="40"/>
  <c r="E119" s="1"/>
  <c r="J119"/>
  <c r="C120"/>
  <c r="DS32" i="44"/>
  <c r="DT32"/>
  <c r="DS17"/>
  <c r="DT17"/>
  <c r="DS23"/>
  <c r="DT23"/>
  <c r="DS35"/>
  <c r="DT35"/>
  <c r="F105" i="41"/>
  <c r="G104"/>
  <c r="DT27" i="44"/>
  <c r="DS27"/>
  <c r="DS20"/>
  <c r="DT20"/>
  <c r="DT30"/>
  <c r="DS30"/>
  <c r="BA31" i="49"/>
  <c r="BD30" s="1"/>
  <c r="AV32"/>
  <c r="AW31"/>
  <c r="F117" i="40"/>
  <c r="DS22" i="44"/>
  <c r="DT22"/>
  <c r="DS18"/>
  <c r="DT18"/>
  <c r="DS28"/>
  <c r="DT28"/>
  <c r="DT37"/>
  <c r="DS37"/>
  <c r="DS21"/>
  <c r="DT21"/>
  <c r="BG22" i="47"/>
  <c r="BH22" s="1"/>
  <c r="BD23"/>
  <c r="BE23"/>
  <c r="DT36" i="44"/>
  <c r="DS36"/>
  <c r="DT24"/>
  <c r="DS24"/>
  <c r="G116" i="40"/>
  <c r="D107" i="41"/>
  <c r="E107" s="1"/>
  <c r="J107"/>
  <c r="C108"/>
  <c r="BI21" i="47"/>
  <c r="BM21"/>
  <c r="DS26" i="44"/>
  <c r="DT26"/>
  <c r="DT25"/>
  <c r="DS25"/>
  <c r="DS33"/>
  <c r="DT33"/>
  <c r="DS19"/>
  <c r="DT19"/>
  <c r="DS31"/>
  <c r="DT31"/>
  <c r="DS34"/>
  <c r="DT34"/>
  <c r="DS29"/>
  <c r="DT29"/>
  <c r="G105" i="41" l="1"/>
  <c r="D108"/>
  <c r="E108" s="1"/>
  <c r="J108"/>
  <c r="C109"/>
  <c r="BI22" i="47"/>
  <c r="BM22"/>
  <c r="D120" i="40"/>
  <c r="E120" s="1"/>
  <c r="J120"/>
  <c r="C121"/>
  <c r="BD24" i="47"/>
  <c r="BE24"/>
  <c r="F118" i="40"/>
  <c r="G117"/>
  <c r="F106" i="41"/>
  <c r="BF23" i="47"/>
  <c r="AV33" i="49"/>
  <c r="BA32"/>
  <c r="BD31" s="1"/>
  <c r="AW32"/>
  <c r="BB25" i="47"/>
  <c r="BA26" s="1"/>
  <c r="BC25"/>
  <c r="D109" i="41" l="1"/>
  <c r="E109" s="1"/>
  <c r="J109"/>
  <c r="C110"/>
  <c r="BB26" i="47"/>
  <c r="BA27" s="1"/>
  <c r="BC26"/>
  <c r="D121" i="40"/>
  <c r="E121" s="1"/>
  <c r="J121"/>
  <c r="C122"/>
  <c r="BF24" i="47"/>
  <c r="BG24" s="1"/>
  <c r="BH24" s="1"/>
  <c r="F107" i="41"/>
  <c r="BI23" i="47"/>
  <c r="BM23"/>
  <c r="BD25"/>
  <c r="BE25"/>
  <c r="BA33" i="49"/>
  <c r="BD32" s="1"/>
  <c r="AV34"/>
  <c r="AW33"/>
  <c r="G106" i="41"/>
  <c r="G118" i="40"/>
  <c r="F119"/>
  <c r="BG23" i="47"/>
  <c r="BH23" s="1"/>
  <c r="BD33" i="49" l="1"/>
  <c r="BF25" i="47"/>
  <c r="BG25" s="1"/>
  <c r="BH25" s="1"/>
  <c r="F108" i="41"/>
  <c r="BI24" i="47"/>
  <c r="BM24"/>
  <c r="F120" i="40"/>
  <c r="D110" i="41"/>
  <c r="E110" s="1"/>
  <c r="J110"/>
  <c r="C111"/>
  <c r="AV35" i="49"/>
  <c r="BA34"/>
  <c r="AW34"/>
  <c r="BD26" i="47"/>
  <c r="BE26"/>
  <c r="G119" i="40"/>
  <c r="G107" i="41"/>
  <c r="D122" i="40"/>
  <c r="E122" s="1"/>
  <c r="J122"/>
  <c r="C123"/>
  <c r="BC27" i="47"/>
  <c r="BB27"/>
  <c r="BA28" s="1"/>
  <c r="BC28" l="1"/>
  <c r="BB28"/>
  <c r="BA29" s="1"/>
  <c r="BF26"/>
  <c r="F109" i="41"/>
  <c r="D123" i="40"/>
  <c r="E123" s="1"/>
  <c r="J123"/>
  <c r="C124"/>
  <c r="BA35" i="49"/>
  <c r="BD34" s="1"/>
  <c r="AV36"/>
  <c r="AW35"/>
  <c r="BI25" i="47"/>
  <c r="BM25"/>
  <c r="F121" i="40"/>
  <c r="G120"/>
  <c r="G108" i="41"/>
  <c r="BD27" i="47"/>
  <c r="BE27"/>
  <c r="D111" i="41"/>
  <c r="E111" s="1"/>
  <c r="J111"/>
  <c r="C112"/>
  <c r="BG26" i="47"/>
  <c r="BH26" s="1"/>
  <c r="F110" i="41" l="1"/>
  <c r="G121" i="40"/>
  <c r="D124"/>
  <c r="E124" s="1"/>
  <c r="J124"/>
  <c r="C125"/>
  <c r="BF27" i="47"/>
  <c r="F122" i="40"/>
  <c r="BD28" i="47"/>
  <c r="BE28"/>
  <c r="G109" i="41"/>
  <c r="BB29" i="47"/>
  <c r="BA30" s="1"/>
  <c r="BC29"/>
  <c r="D112" i="41"/>
  <c r="E112" s="1"/>
  <c r="J112"/>
  <c r="C113"/>
  <c r="AV37" i="49"/>
  <c r="BA36"/>
  <c r="BD35" s="1"/>
  <c r="AW36"/>
  <c r="BI26" i="47"/>
  <c r="BM26"/>
  <c r="D113" i="41" l="1"/>
  <c r="E113" s="1"/>
  <c r="J113"/>
  <c r="C114"/>
  <c r="BD29" i="47"/>
  <c r="BE29"/>
  <c r="G110" i="41"/>
  <c r="F111"/>
  <c r="G122" i="40"/>
  <c r="D125"/>
  <c r="E125" s="1"/>
  <c r="J125"/>
  <c r="C126"/>
  <c r="BB30" i="47"/>
  <c r="BA31" s="1"/>
  <c r="BC30"/>
  <c r="BI27"/>
  <c r="BM27"/>
  <c r="F123" i="40"/>
  <c r="AV38" i="49"/>
  <c r="BA37"/>
  <c r="AW37"/>
  <c r="BF28" i="47"/>
  <c r="BG27"/>
  <c r="BH27" s="1"/>
  <c r="BD37" i="49" l="1"/>
  <c r="BD30" i="47"/>
  <c r="BE30"/>
  <c r="G111" i="41"/>
  <c r="BI28" i="47"/>
  <c r="BM28"/>
  <c r="BF29"/>
  <c r="BB31"/>
  <c r="BA32" s="1"/>
  <c r="BC31"/>
  <c r="F124" i="40"/>
  <c r="F112" i="41"/>
  <c r="G123" i="40"/>
  <c r="BA38" i="49"/>
  <c r="AV39"/>
  <c r="AW38"/>
  <c r="D126" i="40"/>
  <c r="E126" s="1"/>
  <c r="J126"/>
  <c r="C127"/>
  <c r="D114" i="41"/>
  <c r="E114" s="1"/>
  <c r="J114"/>
  <c r="C115"/>
  <c r="BG28" i="47"/>
  <c r="BH28" s="1"/>
  <c r="BD36" i="49"/>
  <c r="D115" i="41" l="1"/>
  <c r="E115" s="1"/>
  <c r="J115"/>
  <c r="C116"/>
  <c r="G112"/>
  <c r="BF30" i="47"/>
  <c r="BG30" s="1"/>
  <c r="BH30" s="1"/>
  <c r="BD31"/>
  <c r="BE31"/>
  <c r="D127" i="40"/>
  <c r="E127" s="1"/>
  <c r="J127"/>
  <c r="C128"/>
  <c r="AV40" i="49"/>
  <c r="BA39"/>
  <c r="BD38" s="1"/>
  <c r="AW39"/>
  <c r="F113" i="41"/>
  <c r="G124" i="40"/>
  <c r="BI29" i="47"/>
  <c r="BM29"/>
  <c r="F125" i="40"/>
  <c r="BC32" i="47"/>
  <c r="BB32"/>
  <c r="BA33" s="1"/>
  <c r="BG29"/>
  <c r="BH29" s="1"/>
  <c r="G125" i="40" l="1"/>
  <c r="D128"/>
  <c r="E128" s="1"/>
  <c r="J128"/>
  <c r="C129"/>
  <c r="BD32" i="47"/>
  <c r="BE32"/>
  <c r="BB33"/>
  <c r="BA34" s="1"/>
  <c r="BC33"/>
  <c r="F126" i="40"/>
  <c r="BI30" i="47"/>
  <c r="BM30"/>
  <c r="D116" i="41"/>
  <c r="E116" s="1"/>
  <c r="J116"/>
  <c r="C117"/>
  <c r="BF31" i="47"/>
  <c r="F114" i="41"/>
  <c r="BA40" i="49"/>
  <c r="AV41"/>
  <c r="AW40"/>
  <c r="G113" i="41"/>
  <c r="BD39" i="49"/>
  <c r="D117" i="41" l="1"/>
  <c r="E117" s="1"/>
  <c r="J117"/>
  <c r="C118"/>
  <c r="BB34" i="47"/>
  <c r="BA35" s="1"/>
  <c r="BC34"/>
  <c r="D129" i="40"/>
  <c r="E129" s="1"/>
  <c r="J129"/>
  <c r="C130"/>
  <c r="BF32" i="47"/>
  <c r="BG32" s="1"/>
  <c r="BH32" s="1"/>
  <c r="F115" i="41"/>
  <c r="F127" i="40"/>
  <c r="G114" i="41"/>
  <c r="BD33" i="47"/>
  <c r="BE33"/>
  <c r="BI31"/>
  <c r="BM31"/>
  <c r="AV42" i="49"/>
  <c r="BA41"/>
  <c r="BD40" s="1"/>
  <c r="AW41"/>
  <c r="G126" i="40"/>
  <c r="BG31" i="47"/>
  <c r="BH31" s="1"/>
  <c r="BF33" l="1"/>
  <c r="BG33" s="1"/>
  <c r="BH33" s="1"/>
  <c r="BI32"/>
  <c r="BM32"/>
  <c r="F128" i="40"/>
  <c r="D118" i="41"/>
  <c r="E118" s="1"/>
  <c r="J118"/>
  <c r="C119"/>
  <c r="BD34" i="47"/>
  <c r="BE34"/>
  <c r="F116" i="41"/>
  <c r="BA42" i="49"/>
  <c r="AV43"/>
  <c r="AW42"/>
  <c r="G127" i="40"/>
  <c r="G115" i="41"/>
  <c r="D130" i="40"/>
  <c r="E130" s="1"/>
  <c r="J130"/>
  <c r="C131"/>
  <c r="BC35" i="47"/>
  <c r="BB35"/>
  <c r="BA36" s="1"/>
  <c r="BD41" i="49"/>
  <c r="BF34" i="47" l="1"/>
  <c r="BG34" s="1"/>
  <c r="BH34" s="1"/>
  <c r="F117" i="41"/>
  <c r="D119"/>
  <c r="E119" s="1"/>
  <c r="J119"/>
  <c r="C120"/>
  <c r="D131" i="40"/>
  <c r="E131" s="1"/>
  <c r="J131"/>
  <c r="C132"/>
  <c r="AV44" i="49"/>
  <c r="BA43"/>
  <c r="AW43"/>
  <c r="G128" i="40"/>
  <c r="BI33" i="47"/>
  <c r="BM33"/>
  <c r="BD35"/>
  <c r="BE35"/>
  <c r="G116" i="41"/>
  <c r="BC36" i="47"/>
  <c r="BB36"/>
  <c r="BA37" s="1"/>
  <c r="F129" i="40"/>
  <c r="BD42" i="49"/>
  <c r="BD36" i="47" l="1"/>
  <c r="BE36"/>
  <c r="BB37"/>
  <c r="BA38" s="1"/>
  <c r="BC37"/>
  <c r="F118" i="41"/>
  <c r="D132" i="40"/>
  <c r="E132" s="1"/>
  <c r="J132"/>
  <c r="C133"/>
  <c r="BI34" i="47"/>
  <c r="BM34"/>
  <c r="G129" i="40"/>
  <c r="BA44" i="49"/>
  <c r="BD43" s="1"/>
  <c r="AV45"/>
  <c r="AW44"/>
  <c r="D120" i="41"/>
  <c r="E120" s="1"/>
  <c r="J120"/>
  <c r="C121"/>
  <c r="BF35" i="47"/>
  <c r="BG35" s="1"/>
  <c r="BH35" s="1"/>
  <c r="F130" i="40"/>
  <c r="G117" i="41"/>
  <c r="D121" l="1"/>
  <c r="E121" s="1"/>
  <c r="J121"/>
  <c r="C122"/>
  <c r="AV46" i="49"/>
  <c r="BA45"/>
  <c r="BD44" s="1"/>
  <c r="AW45"/>
  <c r="BD37" i="47"/>
  <c r="BE37"/>
  <c r="F119" i="41"/>
  <c r="G118"/>
  <c r="BF36" i="47"/>
  <c r="BG36" s="1"/>
  <c r="BH36" s="1"/>
  <c r="G130" i="40"/>
  <c r="D133"/>
  <c r="E133" s="1"/>
  <c r="J133"/>
  <c r="C134"/>
  <c r="BI35" i="47"/>
  <c r="BM35"/>
  <c r="F131" i="40"/>
  <c r="BB38" i="47"/>
  <c r="BC38"/>
  <c r="BD38" l="1"/>
  <c r="BE38"/>
  <c r="BC7"/>
  <c r="BC6"/>
  <c r="F132" i="40"/>
  <c r="F120" i="41"/>
  <c r="BI36" i="47"/>
  <c r="BM36"/>
  <c r="G131" i="40"/>
  <c r="D134"/>
  <c r="E134" s="1"/>
  <c r="J134"/>
  <c r="C135"/>
  <c r="D122" i="41"/>
  <c r="E122" s="1"/>
  <c r="J122"/>
  <c r="C123"/>
  <c r="BD45" i="49"/>
  <c r="G119" i="41"/>
  <c r="BF37" i="47"/>
  <c r="BA46" i="49"/>
  <c r="AV47"/>
  <c r="AW46"/>
  <c r="BF38" i="47" l="1"/>
  <c r="BG38" s="1"/>
  <c r="BH38" s="1"/>
  <c r="BD6"/>
  <c r="BS38" s="1"/>
  <c r="BD7"/>
  <c r="BP4" s="1"/>
  <c r="D123" i="41"/>
  <c r="E123" s="1"/>
  <c r="J123"/>
  <c r="C124"/>
  <c r="G132" i="40"/>
  <c r="BI37" i="47"/>
  <c r="BM37"/>
  <c r="F121" i="41"/>
  <c r="G120"/>
  <c r="BR9" i="47"/>
  <c r="BR10"/>
  <c r="BR11"/>
  <c r="BR12"/>
  <c r="BR13"/>
  <c r="BR14"/>
  <c r="BR15"/>
  <c r="BR16"/>
  <c r="BR17"/>
  <c r="BR18"/>
  <c r="BR19"/>
  <c r="BR20"/>
  <c r="BR21"/>
  <c r="BR22"/>
  <c r="BR23"/>
  <c r="BR24"/>
  <c r="BR25"/>
  <c r="BR26"/>
  <c r="BR27"/>
  <c r="BR28"/>
  <c r="BR29"/>
  <c r="BR30"/>
  <c r="BR31"/>
  <c r="BR32"/>
  <c r="BR33"/>
  <c r="BR34"/>
  <c r="BR35"/>
  <c r="BR36"/>
  <c r="BR37"/>
  <c r="F133" i="40"/>
  <c r="AV48" i="49"/>
  <c r="BA47"/>
  <c r="BD46" s="1"/>
  <c r="AW47"/>
  <c r="D135" i="40"/>
  <c r="E135" s="1"/>
  <c r="J135"/>
  <c r="C136"/>
  <c r="BR38" i="47"/>
  <c r="BG37"/>
  <c r="BH37" s="1"/>
  <c r="F122" i="41" l="1"/>
  <c r="D136" i="40"/>
  <c r="E136" s="1"/>
  <c r="J136"/>
  <c r="C137"/>
  <c r="G121" i="41"/>
  <c r="BI38" i="47"/>
  <c r="BM38"/>
  <c r="G133" i="40"/>
  <c r="D124" i="41"/>
  <c r="E124" s="1"/>
  <c r="J124"/>
  <c r="C125"/>
  <c r="BS9" i="47"/>
  <c r="BS10"/>
  <c r="BS11"/>
  <c r="BS12"/>
  <c r="BT12" s="1"/>
  <c r="BS13"/>
  <c r="BS14"/>
  <c r="BS15"/>
  <c r="BS16"/>
  <c r="BT16" s="1"/>
  <c r="BS17"/>
  <c r="BT17" s="1"/>
  <c r="BS18"/>
  <c r="BS19"/>
  <c r="BS20"/>
  <c r="BS21"/>
  <c r="BS22"/>
  <c r="BS23"/>
  <c r="BS24"/>
  <c r="BT24" s="1"/>
  <c r="BS25"/>
  <c r="BT25" s="1"/>
  <c r="BS26"/>
  <c r="BS27"/>
  <c r="BS28"/>
  <c r="BT28" s="1"/>
  <c r="BS29"/>
  <c r="BT29" s="1"/>
  <c r="BS30"/>
  <c r="BS31"/>
  <c r="BS32"/>
  <c r="BT32" s="1"/>
  <c r="BS33"/>
  <c r="BS34"/>
  <c r="BS35"/>
  <c r="BS36"/>
  <c r="BS37"/>
  <c r="BT37" s="1"/>
  <c r="BT21"/>
  <c r="BT13"/>
  <c r="BT34"/>
  <c r="BT26"/>
  <c r="BT18"/>
  <c r="BT10"/>
  <c r="BT38"/>
  <c r="BT35"/>
  <c r="BT31"/>
  <c r="BT27"/>
  <c r="BT23"/>
  <c r="BT19"/>
  <c r="BT15"/>
  <c r="BT11"/>
  <c r="F134" i="40"/>
  <c r="BA48" i="49"/>
  <c r="BD47" s="1"/>
  <c r="AV49"/>
  <c r="AW48"/>
  <c r="BT33" i="47"/>
  <c r="BT9"/>
  <c r="BT30"/>
  <c r="BT22"/>
  <c r="BT14"/>
  <c r="BT36"/>
  <c r="BT20"/>
  <c r="G134" i="40" l="1"/>
  <c r="D137"/>
  <c r="E137" s="1"/>
  <c r="J137"/>
  <c r="C138"/>
  <c r="D125" i="41"/>
  <c r="E125" s="1"/>
  <c r="J125"/>
  <c r="C126"/>
  <c r="G122"/>
  <c r="F135" i="40"/>
  <c r="BS1" i="47"/>
  <c r="AV50" i="49"/>
  <c r="BA49"/>
  <c r="BD48" s="1"/>
  <c r="AW49"/>
  <c r="F123" i="41"/>
  <c r="D138" i="40" l="1"/>
  <c r="E138" s="1"/>
  <c r="J138"/>
  <c r="C139"/>
  <c r="BA50" i="49"/>
  <c r="BD49" s="1"/>
  <c r="AV51"/>
  <c r="AW50"/>
  <c r="F136" i="40"/>
  <c r="BS3" i="47"/>
  <c r="BS2"/>
  <c r="BD3" s="1"/>
  <c r="BS5"/>
  <c r="F124" i="41"/>
  <c r="G123"/>
  <c r="G135" i="40"/>
  <c r="D126" i="41"/>
  <c r="E126" s="1"/>
  <c r="J126"/>
  <c r="C127"/>
  <c r="D127" l="1"/>
  <c r="E127" s="1"/>
  <c r="J127"/>
  <c r="C128"/>
  <c r="G136" i="40"/>
  <c r="F125" i="41"/>
  <c r="BN1" i="47"/>
  <c r="BN2" s="1"/>
  <c r="J13"/>
  <c r="AX17" s="1"/>
  <c r="AY17"/>
  <c r="BD5"/>
  <c r="AY10"/>
  <c r="N1"/>
  <c r="D139" i="40"/>
  <c r="E139" s="1"/>
  <c r="J139"/>
  <c r="C140"/>
  <c r="F137"/>
  <c r="G124" i="41"/>
  <c r="BE1" i="47"/>
  <c r="BS4"/>
  <c r="BE2" s="1"/>
  <c r="AV52" i="49"/>
  <c r="BA51"/>
  <c r="AW51"/>
  <c r="BJ1" i="47"/>
  <c r="BS6"/>
  <c r="BJ2" s="1"/>
  <c r="BD50" i="49"/>
  <c r="O1" i="47" l="1"/>
  <c r="S1"/>
  <c r="W1"/>
  <c r="N2"/>
  <c r="Z3"/>
  <c r="Z5"/>
  <c r="W6"/>
  <c r="W11"/>
  <c r="N12"/>
  <c r="Z13"/>
  <c r="Z14"/>
  <c r="Z15"/>
  <c r="Z16"/>
  <c r="Z17"/>
  <c r="Z19"/>
  <c r="Z20"/>
  <c r="Z21"/>
  <c r="Z22"/>
  <c r="Z23"/>
  <c r="Z24"/>
  <c r="Z25"/>
  <c r="Z26"/>
  <c r="Z27"/>
  <c r="Z28"/>
  <c r="Z29"/>
  <c r="Z30"/>
  <c r="Z31"/>
  <c r="Z32"/>
  <c r="Z33"/>
  <c r="Z34"/>
  <c r="Z35"/>
  <c r="Z36"/>
  <c r="R1"/>
  <c r="V1"/>
  <c r="Z1"/>
  <c r="W3"/>
  <c r="Z4"/>
  <c r="W5"/>
  <c r="N6"/>
  <c r="Z7"/>
  <c r="Z8"/>
  <c r="Z9"/>
  <c r="Z10"/>
  <c r="N11"/>
  <c r="W13"/>
  <c r="W14"/>
  <c r="W15"/>
  <c r="W16"/>
  <c r="W17"/>
  <c r="Z18"/>
  <c r="W19"/>
  <c r="W20"/>
  <c r="W21"/>
  <c r="W22"/>
  <c r="W23"/>
  <c r="W24"/>
  <c r="W25"/>
  <c r="W26"/>
  <c r="W27"/>
  <c r="W28"/>
  <c r="W29"/>
  <c r="W30"/>
  <c r="W31"/>
  <c r="W32"/>
  <c r="W33"/>
  <c r="W34"/>
  <c r="W35"/>
  <c r="W36"/>
  <c r="Z37"/>
  <c r="U1"/>
  <c r="Z2"/>
  <c r="N3"/>
  <c r="Z6"/>
  <c r="W7"/>
  <c r="W9"/>
  <c r="Z11"/>
  <c r="N18"/>
  <c r="N21"/>
  <c r="N22"/>
  <c r="N23"/>
  <c r="N24"/>
  <c r="N25"/>
  <c r="N26"/>
  <c r="N27"/>
  <c r="N28"/>
  <c r="N29"/>
  <c r="N30"/>
  <c r="N31"/>
  <c r="N32"/>
  <c r="N33"/>
  <c r="N34"/>
  <c r="N35"/>
  <c r="N36"/>
  <c r="N37"/>
  <c r="T1"/>
  <c r="W2"/>
  <c r="N7"/>
  <c r="N9"/>
  <c r="W10"/>
  <c r="P1"/>
  <c r="X1"/>
  <c r="N4"/>
  <c r="N5"/>
  <c r="N8"/>
  <c r="W12"/>
  <c r="N13"/>
  <c r="N14"/>
  <c r="N15"/>
  <c r="N16"/>
  <c r="N17"/>
  <c r="W18"/>
  <c r="N20"/>
  <c r="W8"/>
  <c r="N19"/>
  <c r="Y1"/>
  <c r="Q1"/>
  <c r="W4"/>
  <c r="Z12"/>
  <c r="N10"/>
  <c r="F126" i="41"/>
  <c r="F138" i="40"/>
  <c r="AY19" i="47"/>
  <c r="AY20"/>
  <c r="BA52" i="49"/>
  <c r="BD51" s="1"/>
  <c r="AV53"/>
  <c r="AW52"/>
  <c r="G125" i="41"/>
  <c r="D128"/>
  <c r="E128" s="1"/>
  <c r="J128"/>
  <c r="C129"/>
  <c r="BG1" i="47"/>
  <c r="BG2"/>
  <c r="G137" i="40"/>
  <c r="BL1" i="47"/>
  <c r="BL2"/>
  <c r="D140" i="40"/>
  <c r="E140" s="1"/>
  <c r="J140"/>
  <c r="C141"/>
  <c r="BP2" i="47"/>
  <c r="BP1"/>
  <c r="G126" i="41" l="1"/>
  <c r="D141" i="40"/>
  <c r="E141" s="1"/>
  <c r="J141"/>
  <c r="C142"/>
  <c r="G138"/>
  <c r="F139"/>
  <c r="D129" i="41"/>
  <c r="E129" s="1"/>
  <c r="J129"/>
  <c r="C130"/>
  <c r="F127"/>
  <c r="AV54" i="49"/>
  <c r="BA53"/>
  <c r="BD52" s="1"/>
  <c r="AW53"/>
  <c r="G139" i="40" l="1"/>
  <c r="G127" i="41"/>
  <c r="BA54" i="49"/>
  <c r="BD53" s="1"/>
  <c r="AV55"/>
  <c r="AW54"/>
  <c r="F140" i="40"/>
  <c r="D142"/>
  <c r="E142" s="1"/>
  <c r="J142"/>
  <c r="C143"/>
  <c r="F128" i="41"/>
  <c r="D130"/>
  <c r="E130" s="1"/>
  <c r="J130"/>
  <c r="C131"/>
  <c r="D143" i="40" l="1"/>
  <c r="E143" s="1"/>
  <c r="J143"/>
  <c r="C144"/>
  <c r="G140"/>
  <c r="G128" i="41"/>
  <c r="F141" i="40"/>
  <c r="AV56" i="49"/>
  <c r="BA55"/>
  <c r="BD54" s="1"/>
  <c r="AW55"/>
  <c r="D131" i="41"/>
  <c r="E131" s="1"/>
  <c r="J131"/>
  <c r="C132"/>
  <c r="F129"/>
  <c r="G141" i="40" l="1"/>
  <c r="F130" i="41"/>
  <c r="D144" i="40"/>
  <c r="E144" s="1"/>
  <c r="J144"/>
  <c r="C145"/>
  <c r="F142"/>
  <c r="G129" i="41"/>
  <c r="BA56" i="49"/>
  <c r="BD55" s="1"/>
  <c r="AV57"/>
  <c r="AW56"/>
  <c r="D132" i="41"/>
  <c r="E132" s="1"/>
  <c r="J132"/>
  <c r="C133"/>
  <c r="F143" i="40" l="1"/>
  <c r="D133" i="41"/>
  <c r="E133" s="1"/>
  <c r="J133"/>
  <c r="C134"/>
  <c r="AV58" i="49"/>
  <c r="BA57"/>
  <c r="AW57"/>
  <c r="D145" i="40"/>
  <c r="E145" s="1"/>
  <c r="J145"/>
  <c r="C146"/>
  <c r="G142"/>
  <c r="F131" i="41"/>
  <c r="G130"/>
  <c r="BD56" i="49"/>
  <c r="F144" i="40" l="1"/>
  <c r="BA58" i="49"/>
  <c r="AV59"/>
  <c r="AW58"/>
  <c r="F132" i="41"/>
  <c r="D134"/>
  <c r="E134" s="1"/>
  <c r="J134"/>
  <c r="C135"/>
  <c r="G143" i="40"/>
  <c r="G131" i="41"/>
  <c r="D146" i="40"/>
  <c r="E146" s="1"/>
  <c r="J146"/>
  <c r="C147"/>
  <c r="BD57" i="49"/>
  <c r="BD58" l="1"/>
  <c r="G144" i="40"/>
  <c r="D135" i="41"/>
  <c r="E135" s="1"/>
  <c r="J135"/>
  <c r="C136"/>
  <c r="F133"/>
  <c r="AV60" i="49"/>
  <c r="BA59"/>
  <c r="AW59"/>
  <c r="D147" i="40"/>
  <c r="E147" s="1"/>
  <c r="J147"/>
  <c r="C148"/>
  <c r="F145"/>
  <c r="G132" i="41"/>
  <c r="F146" i="40" l="1"/>
  <c r="BA60" i="49"/>
  <c r="AV61"/>
  <c r="AW60"/>
  <c r="D136" i="41"/>
  <c r="E136" s="1"/>
  <c r="J136"/>
  <c r="C137"/>
  <c r="D148" i="40"/>
  <c r="E148" s="1"/>
  <c r="J148"/>
  <c r="C149"/>
  <c r="BD59" i="49"/>
  <c r="G145" i="40"/>
  <c r="G133" i="41"/>
  <c r="F134"/>
  <c r="D137" l="1"/>
  <c r="E137" s="1"/>
  <c r="J137"/>
  <c r="C138"/>
  <c r="AV62" i="49"/>
  <c r="BA61"/>
  <c r="AW61"/>
  <c r="F147" i="40"/>
  <c r="G146"/>
  <c r="F135" i="41"/>
  <c r="G134"/>
  <c r="D149" i="40"/>
  <c r="E149" s="1"/>
  <c r="J149"/>
  <c r="C150"/>
  <c r="BD61" i="49" l="1"/>
  <c r="G135" i="41"/>
  <c r="G147" i="40"/>
  <c r="D150"/>
  <c r="E150" s="1"/>
  <c r="J150"/>
  <c r="C151"/>
  <c r="D138" i="41"/>
  <c r="E138" s="1"/>
  <c r="J138"/>
  <c r="C139"/>
  <c r="BD60" i="49"/>
  <c r="F148" i="40"/>
  <c r="F136" i="41"/>
  <c r="BA62" i="49"/>
  <c r="AV63"/>
  <c r="AW62"/>
  <c r="F137" i="41" l="1"/>
  <c r="F149" i="40"/>
  <c r="AV64" i="49"/>
  <c r="BA63"/>
  <c r="BD62" s="1"/>
  <c r="AW63"/>
  <c r="D139" i="41"/>
  <c r="E139" s="1"/>
  <c r="J139"/>
  <c r="C140"/>
  <c r="G148" i="40"/>
  <c r="G136" i="41"/>
  <c r="J151" i="40"/>
  <c r="D151"/>
  <c r="E151" s="1"/>
  <c r="C152"/>
  <c r="BD63" i="49" l="1"/>
  <c r="F150" i="40"/>
  <c r="D152"/>
  <c r="E152" s="1"/>
  <c r="J152"/>
  <c r="C153"/>
  <c r="G137" i="41"/>
  <c r="D140"/>
  <c r="E140" s="1"/>
  <c r="J140"/>
  <c r="C141"/>
  <c r="F138"/>
  <c r="BA64" i="49"/>
  <c r="AV65"/>
  <c r="AW64"/>
  <c r="G149" i="40"/>
  <c r="G138" i="41" l="1"/>
  <c r="D153" i="40"/>
  <c r="E153" s="1"/>
  <c r="J153"/>
  <c r="C154"/>
  <c r="D141" i="41"/>
  <c r="E141" s="1"/>
  <c r="J141"/>
  <c r="C142"/>
  <c r="G150" i="40"/>
  <c r="F139" i="41"/>
  <c r="AV66" i="49"/>
  <c r="BA65"/>
  <c r="BD64" s="1"/>
  <c r="AW65"/>
  <c r="F151" i="40"/>
  <c r="BD65" i="49" l="1"/>
  <c r="D154" i="40"/>
  <c r="E154" s="1"/>
  <c r="J154"/>
  <c r="C155"/>
  <c r="F140" i="41"/>
  <c r="F152" i="40"/>
  <c r="BA66" i="49"/>
  <c r="AV67"/>
  <c r="AW66"/>
  <c r="G151" i="40"/>
  <c r="G139" i="41"/>
  <c r="D142"/>
  <c r="E142" s="1"/>
  <c r="J142"/>
  <c r="C143"/>
  <c r="F141" l="1"/>
  <c r="F153" i="40"/>
  <c r="D143" i="41"/>
  <c r="E143" s="1"/>
  <c r="J143"/>
  <c r="C144"/>
  <c r="AV68" i="49"/>
  <c r="BA67"/>
  <c r="BD66" s="1"/>
  <c r="AW67"/>
  <c r="G140" i="41"/>
  <c r="G152" i="40"/>
  <c r="D155"/>
  <c r="E155" s="1"/>
  <c r="J155"/>
  <c r="C156"/>
  <c r="G141" i="41" l="1"/>
  <c r="D144"/>
  <c r="E144" s="1"/>
  <c r="J144"/>
  <c r="C145"/>
  <c r="BD67" i="49"/>
  <c r="F142" i="41"/>
  <c r="D156" i="40"/>
  <c r="E156" s="1"/>
  <c r="J156"/>
  <c r="C157"/>
  <c r="F154"/>
  <c r="BA68" i="49"/>
  <c r="AV69"/>
  <c r="AW68"/>
  <c r="G153" i="40"/>
  <c r="G154" l="1"/>
  <c r="D145" i="41"/>
  <c r="E145" s="1"/>
  <c r="J145"/>
  <c r="C146"/>
  <c r="D157" i="40"/>
  <c r="E157" s="1"/>
  <c r="J157"/>
  <c r="C158"/>
  <c r="F143" i="41"/>
  <c r="F155" i="40"/>
  <c r="AV70" i="49"/>
  <c r="BA69"/>
  <c r="BD68" s="1"/>
  <c r="AW69"/>
  <c r="G142" i="41"/>
  <c r="G143" l="1"/>
  <c r="F144"/>
  <c r="BA70" i="49"/>
  <c r="BD69" s="1"/>
  <c r="AV71"/>
  <c r="AW70"/>
  <c r="D146" i="41"/>
  <c r="E146" s="1"/>
  <c r="J146"/>
  <c r="C147"/>
  <c r="F156" i="40"/>
  <c r="G155"/>
  <c r="D158"/>
  <c r="E158" s="1"/>
  <c r="J158"/>
  <c r="C159"/>
  <c r="G156" l="1"/>
  <c r="D159"/>
  <c r="E159" s="1"/>
  <c r="J159"/>
  <c r="C160"/>
  <c r="D147" i="41"/>
  <c r="E147" s="1"/>
  <c r="J147"/>
  <c r="C148"/>
  <c r="AV72" i="49"/>
  <c r="BA71"/>
  <c r="BD70" s="1"/>
  <c r="AW71"/>
  <c r="F145" i="41"/>
  <c r="F157" i="40"/>
  <c r="G144" i="41"/>
  <c r="BA72" i="49" l="1"/>
  <c r="BD71" s="1"/>
  <c r="AV73"/>
  <c r="AW72"/>
  <c r="G145" i="41"/>
  <c r="F158" i="40"/>
  <c r="D160"/>
  <c r="E160" s="1"/>
  <c r="J160"/>
  <c r="C161"/>
  <c r="F146" i="41"/>
  <c r="G157" i="40"/>
  <c r="D148" i="41"/>
  <c r="E148" s="1"/>
  <c r="J148"/>
  <c r="C149"/>
  <c r="G146" l="1"/>
  <c r="D149"/>
  <c r="E149" s="1"/>
  <c r="J149"/>
  <c r="C150"/>
  <c r="D161" i="40"/>
  <c r="E161" s="1"/>
  <c r="J161"/>
  <c r="C162"/>
  <c r="AV74" i="49"/>
  <c r="BA73"/>
  <c r="BD72" s="1"/>
  <c r="AW73"/>
  <c r="F159" i="40"/>
  <c r="F147" i="41"/>
  <c r="G158" i="40"/>
  <c r="D150" i="41" l="1"/>
  <c r="E150" s="1"/>
  <c r="J150"/>
  <c r="C151"/>
  <c r="G159" i="40"/>
  <c r="F148" i="41"/>
  <c r="BA74" i="49"/>
  <c r="BD73" s="1"/>
  <c r="AV75"/>
  <c r="AW74"/>
  <c r="F160" i="40"/>
  <c r="G147" i="41"/>
  <c r="D162" i="40"/>
  <c r="E162" s="1"/>
  <c r="J162"/>
  <c r="C163"/>
  <c r="G160" l="1"/>
  <c r="D163"/>
  <c r="E163" s="1"/>
  <c r="J163"/>
  <c r="C164"/>
  <c r="AV76" i="49"/>
  <c r="BA75"/>
  <c r="AW75"/>
  <c r="G148" i="41"/>
  <c r="D151"/>
  <c r="E151" s="1"/>
  <c r="J151"/>
  <c r="C152"/>
  <c r="F149"/>
  <c r="F161" i="40"/>
  <c r="BD74" i="49"/>
  <c r="G161" i="40" l="1"/>
  <c r="F162"/>
  <c r="D164"/>
  <c r="E164" s="1"/>
  <c r="J164"/>
  <c r="C165"/>
  <c r="D152" i="41"/>
  <c r="E152" s="1"/>
  <c r="J152"/>
  <c r="C153"/>
  <c r="BA76" i="49"/>
  <c r="BD75" s="1"/>
  <c r="AV77"/>
  <c r="AW76"/>
  <c r="G149" i="41"/>
  <c r="F150"/>
  <c r="AV78" i="49" l="1"/>
  <c r="BA77"/>
  <c r="AW77"/>
  <c r="G150" i="41"/>
  <c r="D153"/>
  <c r="E153" s="1"/>
  <c r="J153"/>
  <c r="C154"/>
  <c r="D165" i="40"/>
  <c r="E165" s="1"/>
  <c r="J165"/>
  <c r="C166"/>
  <c r="BD76" i="49"/>
  <c r="F163" i="40"/>
  <c r="F151" i="41"/>
  <c r="G162" i="40"/>
  <c r="G151" i="41" l="1"/>
  <c r="D154"/>
  <c r="E154" s="1"/>
  <c r="J154"/>
  <c r="C155"/>
  <c r="BA78" i="49"/>
  <c r="BD77" s="1"/>
  <c r="AV79"/>
  <c r="AW78"/>
  <c r="F152" i="41"/>
  <c r="F164" i="40"/>
  <c r="G163"/>
  <c r="D166"/>
  <c r="E166" s="1"/>
  <c r="J166"/>
  <c r="C167"/>
  <c r="D155" i="41" l="1"/>
  <c r="E155" s="1"/>
  <c r="J155"/>
  <c r="C156"/>
  <c r="D167" i="40"/>
  <c r="E167" s="1"/>
  <c r="J167"/>
  <c r="C168"/>
  <c r="F153" i="41"/>
  <c r="F165" i="40"/>
  <c r="G164"/>
  <c r="G152" i="41"/>
  <c r="AV80" i="49"/>
  <c r="BA79"/>
  <c r="BD78" s="1"/>
  <c r="AW79"/>
  <c r="F154" i="41" l="1"/>
  <c r="G165" i="40"/>
  <c r="D168"/>
  <c r="E168" s="1"/>
  <c r="J168"/>
  <c r="C169"/>
  <c r="BA80" i="49"/>
  <c r="BD79" s="1"/>
  <c r="AV81"/>
  <c r="AW80"/>
  <c r="D156" i="41"/>
  <c r="E156" s="1"/>
  <c r="J156"/>
  <c r="C157"/>
  <c r="G153"/>
  <c r="F166" i="40"/>
  <c r="F167" l="1"/>
  <c r="G166"/>
  <c r="AV82" i="49"/>
  <c r="BA81"/>
  <c r="BD80" s="1"/>
  <c r="AW81"/>
  <c r="G154" i="41"/>
  <c r="D169" i="40"/>
  <c r="E169" s="1"/>
  <c r="J169"/>
  <c r="C170"/>
  <c r="D157" i="41"/>
  <c r="E157" s="1"/>
  <c r="J157"/>
  <c r="C158"/>
  <c r="F155"/>
  <c r="D170" i="40" l="1"/>
  <c r="E170" s="1"/>
  <c r="J170"/>
  <c r="C171"/>
  <c r="BA82" i="49"/>
  <c r="BD81" s="1"/>
  <c r="AV83"/>
  <c r="AW82"/>
  <c r="G155" i="41"/>
  <c r="F168" i="40"/>
  <c r="F156" i="41"/>
  <c r="G167" i="40"/>
  <c r="D158" i="41"/>
  <c r="E158" s="1"/>
  <c r="J158"/>
  <c r="C159"/>
  <c r="F169" i="40" l="1"/>
  <c r="D159" i="41"/>
  <c r="E159" s="1"/>
  <c r="J159"/>
  <c r="C160"/>
  <c r="D171" i="40"/>
  <c r="E171" s="1"/>
  <c r="J171"/>
  <c r="C172"/>
  <c r="F157" i="41"/>
  <c r="G156"/>
  <c r="AV84" i="49"/>
  <c r="BA83"/>
  <c r="BD82" s="1"/>
  <c r="AW83"/>
  <c r="G168" i="40"/>
  <c r="BA84" i="49" l="1"/>
  <c r="AV85"/>
  <c r="AW84"/>
  <c r="F170" i="40"/>
  <c r="F158" i="41"/>
  <c r="BD83" i="49"/>
  <c r="D160" i="41"/>
  <c r="E160" s="1"/>
  <c r="J160"/>
  <c r="C161"/>
  <c r="G157"/>
  <c r="G169" i="40"/>
  <c r="D172"/>
  <c r="E172" s="1"/>
  <c r="J172"/>
  <c r="C173"/>
  <c r="F171" l="1"/>
  <c r="F159" i="41"/>
  <c r="G170" i="40"/>
  <c r="D173"/>
  <c r="E173" s="1"/>
  <c r="J173"/>
  <c r="C174"/>
  <c r="AV86" i="49"/>
  <c r="BA85"/>
  <c r="BD84" s="1"/>
  <c r="AW85"/>
  <c r="D161" i="41"/>
  <c r="E161" s="1"/>
  <c r="J161"/>
  <c r="C162"/>
  <c r="G158"/>
  <c r="F160" l="1"/>
  <c r="BA86" i="49"/>
  <c r="AV87"/>
  <c r="AW86"/>
  <c r="F172" i="40"/>
  <c r="D174"/>
  <c r="E174" s="1"/>
  <c r="J174"/>
  <c r="C175"/>
  <c r="G171"/>
  <c r="D162" i="41"/>
  <c r="E162" s="1"/>
  <c r="J162"/>
  <c r="C163"/>
  <c r="G159"/>
  <c r="BD85" i="49"/>
  <c r="BD86" l="1"/>
  <c r="F161" i="41"/>
  <c r="G160"/>
  <c r="D175" i="40"/>
  <c r="E175" s="1"/>
  <c r="J175"/>
  <c r="C176"/>
  <c r="F173"/>
  <c r="AV88" i="49"/>
  <c r="BA87"/>
  <c r="AW87"/>
  <c r="D163" i="41"/>
  <c r="E163" s="1"/>
  <c r="J163"/>
  <c r="C164"/>
  <c r="G172" i="40"/>
  <c r="D164" i="41" l="1"/>
  <c r="E164" s="1"/>
  <c r="J164"/>
  <c r="C165"/>
  <c r="G173" i="40"/>
  <c r="F174"/>
  <c r="F162" i="41"/>
  <c r="BA88" i="49"/>
  <c r="BD87" s="1"/>
  <c r="AV89"/>
  <c r="AW88"/>
  <c r="G161" i="41"/>
  <c r="D176" i="40"/>
  <c r="E176" s="1"/>
  <c r="J176"/>
  <c r="C177"/>
  <c r="G162" i="41" l="1"/>
  <c r="J177" i="40"/>
  <c r="D177"/>
  <c r="E177" s="1"/>
  <c r="C178"/>
  <c r="G174"/>
  <c r="D165" i="41"/>
  <c r="E165" s="1"/>
  <c r="J165"/>
  <c r="C166"/>
  <c r="F163"/>
  <c r="F175" i="40"/>
  <c r="AV90" i="49"/>
  <c r="BA89"/>
  <c r="BD88" s="1"/>
  <c r="AW89"/>
  <c r="D178" i="40" l="1"/>
  <c r="E178" s="1"/>
  <c r="J178"/>
  <c r="C179"/>
  <c r="G175"/>
  <c r="D166" i="41"/>
  <c r="E166" s="1"/>
  <c r="J166"/>
  <c r="C167"/>
  <c r="BA90" i="49"/>
  <c r="BD89" s="1"/>
  <c r="AV91"/>
  <c r="AW90"/>
  <c r="G163" i="41"/>
  <c r="F164"/>
  <c r="F176" i="40"/>
  <c r="F165" i="41" l="1"/>
  <c r="AV92" i="49"/>
  <c r="BA91"/>
  <c r="BD90" s="1"/>
  <c r="AW91"/>
  <c r="D179" i="40"/>
  <c r="E179" s="1"/>
  <c r="J179"/>
  <c r="C180"/>
  <c r="F177"/>
  <c r="G176"/>
  <c r="G164" i="41"/>
  <c r="D167"/>
  <c r="E167" s="1"/>
  <c r="J167"/>
  <c r="C168"/>
  <c r="D180" i="40" l="1"/>
  <c r="E180" s="1"/>
  <c r="J180"/>
  <c r="C181"/>
  <c r="D168" i="41"/>
  <c r="E168" s="1"/>
  <c r="J168"/>
  <c r="C169"/>
  <c r="G177" i="40"/>
  <c r="F178"/>
  <c r="BA92" i="49"/>
  <c r="BD91" s="1"/>
  <c r="AV93"/>
  <c r="AW92"/>
  <c r="G165" i="41"/>
  <c r="F166"/>
  <c r="F179" i="40" l="1"/>
  <c r="G178"/>
  <c r="D169" i="41"/>
  <c r="E169" s="1"/>
  <c r="J169"/>
  <c r="C170"/>
  <c r="J181" i="40"/>
  <c r="D181"/>
  <c r="E181" s="1"/>
  <c r="C182"/>
  <c r="AV94" i="49"/>
  <c r="BA93"/>
  <c r="BD92" s="1"/>
  <c r="AW93"/>
  <c r="G166" i="41"/>
  <c r="F167"/>
  <c r="F168" l="1"/>
  <c r="D182" i="40"/>
  <c r="E182" s="1"/>
  <c r="J182"/>
  <c r="C183"/>
  <c r="G179"/>
  <c r="F180"/>
  <c r="G167" i="41"/>
  <c r="BA94" i="49"/>
  <c r="BD93" s="1"/>
  <c r="AV95"/>
  <c r="AW94"/>
  <c r="D170" i="41"/>
  <c r="E170" s="1"/>
  <c r="J170"/>
  <c r="C171"/>
  <c r="G180" i="40" l="1"/>
  <c r="D171" i="41"/>
  <c r="E171" s="1"/>
  <c r="J171"/>
  <c r="C172"/>
  <c r="F181" i="40"/>
  <c r="F169" i="41"/>
  <c r="D183" i="40"/>
  <c r="E183" s="1"/>
  <c r="J183"/>
  <c r="C184"/>
  <c r="G168" i="41"/>
  <c r="AV96" i="49"/>
  <c r="BA95"/>
  <c r="BD94" s="1"/>
  <c r="AW95"/>
  <c r="D172" i="41" l="1"/>
  <c r="E172" s="1"/>
  <c r="J172"/>
  <c r="C173"/>
  <c r="F182" i="40"/>
  <c r="G181"/>
  <c r="F170" i="41"/>
  <c r="G169"/>
  <c r="BA96" i="49"/>
  <c r="BD95" s="1"/>
  <c r="AV97"/>
  <c r="AW96"/>
  <c r="D184" i="40"/>
  <c r="E184" s="1"/>
  <c r="J184"/>
  <c r="C185"/>
  <c r="F171" i="41" l="1"/>
  <c r="J185" i="40"/>
  <c r="D185"/>
  <c r="E185" s="1"/>
  <c r="C186"/>
  <c r="AV98" i="49"/>
  <c r="BA97"/>
  <c r="AW97"/>
  <c r="D173" i="41"/>
  <c r="E173" s="1"/>
  <c r="J173"/>
  <c r="C174"/>
  <c r="G170"/>
  <c r="G182" i="40"/>
  <c r="F183"/>
  <c r="BD96" i="49"/>
  <c r="F172" i="41" l="1"/>
  <c r="BA98" i="49"/>
  <c r="AV99"/>
  <c r="AW98"/>
  <c r="G171" i="41"/>
  <c r="D186" i="40"/>
  <c r="E186" s="1"/>
  <c r="J186"/>
  <c r="C187"/>
  <c r="G183"/>
  <c r="D174" i="41"/>
  <c r="E174" s="1"/>
  <c r="J174"/>
  <c r="C175"/>
  <c r="F184" i="40"/>
  <c r="BD97" i="49"/>
  <c r="BD98" l="1"/>
  <c r="F173" i="41"/>
  <c r="G172"/>
  <c r="D187" i="40"/>
  <c r="E187" s="1"/>
  <c r="J187"/>
  <c r="C188"/>
  <c r="F185"/>
  <c r="AV100" i="49"/>
  <c r="BA99"/>
  <c r="AW99"/>
  <c r="G184" i="40"/>
  <c r="D175" i="41"/>
  <c r="E175" s="1"/>
  <c r="J175"/>
  <c r="C176"/>
  <c r="G185" i="40" l="1"/>
  <c r="D176" i="41"/>
  <c r="E176" s="1"/>
  <c r="J176"/>
  <c r="C177"/>
  <c r="BA100" i="49"/>
  <c r="BD99" s="1"/>
  <c r="AV101"/>
  <c r="AW100"/>
  <c r="G173" i="41"/>
  <c r="F174"/>
  <c r="F186" i="40"/>
  <c r="D188"/>
  <c r="E188" s="1"/>
  <c r="J188"/>
  <c r="C189"/>
  <c r="G174" i="41" l="1"/>
  <c r="D177"/>
  <c r="E177" s="1"/>
  <c r="J177"/>
  <c r="C178"/>
  <c r="G186" i="40"/>
  <c r="F175" i="41"/>
  <c r="D189" i="40"/>
  <c r="E189" s="1"/>
  <c r="J189"/>
  <c r="C190"/>
  <c r="F187"/>
  <c r="AV102" i="49"/>
  <c r="BA101"/>
  <c r="BD100" s="1"/>
  <c r="AW101"/>
  <c r="D178" i="41" l="1"/>
  <c r="E178" s="1"/>
  <c r="J178"/>
  <c r="C179"/>
  <c r="G187" i="40"/>
  <c r="BA102" i="49"/>
  <c r="BD101" s="1"/>
  <c r="AV103"/>
  <c r="AW102"/>
  <c r="F176" i="41"/>
  <c r="G175"/>
  <c r="F188" i="40"/>
  <c r="D190"/>
  <c r="E190" s="1"/>
  <c r="J190"/>
  <c r="C191"/>
  <c r="F177" i="41" l="1"/>
  <c r="G188" i="40"/>
  <c r="G176" i="41"/>
  <c r="D179"/>
  <c r="E179" s="1"/>
  <c r="J179"/>
  <c r="C180"/>
  <c r="D191" i="40"/>
  <c r="E191" s="1"/>
  <c r="J191"/>
  <c r="C192"/>
  <c r="F189"/>
  <c r="AV104" i="49"/>
  <c r="BA103"/>
  <c r="BD102" s="1"/>
  <c r="AW103"/>
  <c r="D180" i="41" l="1"/>
  <c r="E180" s="1"/>
  <c r="J180"/>
  <c r="C181"/>
  <c r="F190" i="40"/>
  <c r="F178" i="41"/>
  <c r="G189" i="40"/>
  <c r="G177" i="41"/>
  <c r="BA104" i="49"/>
  <c r="BD103" s="1"/>
  <c r="AV105"/>
  <c r="AW104"/>
  <c r="D192" i="40"/>
  <c r="E192" s="1"/>
  <c r="J192"/>
  <c r="C193"/>
  <c r="G190" l="1"/>
  <c r="J193"/>
  <c r="D193"/>
  <c r="E193" s="1"/>
  <c r="C194"/>
  <c r="AV106" i="49"/>
  <c r="BA105"/>
  <c r="AW105"/>
  <c r="G178" i="41"/>
  <c r="D181"/>
  <c r="E181" s="1"/>
  <c r="J181"/>
  <c r="C182"/>
  <c r="F179"/>
  <c r="F191" i="40"/>
  <c r="BD104" i="49"/>
  <c r="D194" i="40" l="1"/>
  <c r="E194" s="1"/>
  <c r="J194"/>
  <c r="C195"/>
  <c r="G191"/>
  <c r="D182" i="41"/>
  <c r="E182" s="1"/>
  <c r="J182"/>
  <c r="C183"/>
  <c r="BA106" i="49"/>
  <c r="BD105" s="1"/>
  <c r="AV107"/>
  <c r="AW106"/>
  <c r="G179" i="41"/>
  <c r="F180"/>
  <c r="F192" i="40"/>
  <c r="F181" i="41" l="1"/>
  <c r="AV108" i="49"/>
  <c r="BA107"/>
  <c r="BD106" s="1"/>
  <c r="AW107"/>
  <c r="D195" i="40"/>
  <c r="E195" s="1"/>
  <c r="J195"/>
  <c r="C196"/>
  <c r="F193"/>
  <c r="G192"/>
  <c r="G180" i="41"/>
  <c r="D183"/>
  <c r="E183" s="1"/>
  <c r="J183"/>
  <c r="C184"/>
  <c r="D196" i="40" l="1"/>
  <c r="E196" s="1"/>
  <c r="J196"/>
  <c r="C197"/>
  <c r="G181" i="41"/>
  <c r="G193" i="40"/>
  <c r="F194"/>
  <c r="BA108" i="49"/>
  <c r="BD107" s="1"/>
  <c r="AV109"/>
  <c r="AW108"/>
  <c r="D184" i="41"/>
  <c r="E184" s="1"/>
  <c r="J184"/>
  <c r="C185"/>
  <c r="F182"/>
  <c r="F195" i="40" l="1"/>
  <c r="G182" i="41"/>
  <c r="J197" i="40"/>
  <c r="D197"/>
  <c r="E197" s="1"/>
  <c r="C198"/>
  <c r="G194"/>
  <c r="F183" i="41"/>
  <c r="D185"/>
  <c r="E185" s="1"/>
  <c r="J185"/>
  <c r="C186"/>
  <c r="AV110" i="49"/>
  <c r="BA109"/>
  <c r="BD108" s="1"/>
  <c r="AW109"/>
  <c r="F196" i="40" l="1"/>
  <c r="G195"/>
  <c r="BA110" i="49"/>
  <c r="BD109" s="1"/>
  <c r="AV111"/>
  <c r="AW110"/>
  <c r="G183" i="41"/>
  <c r="D198" i="40"/>
  <c r="E198" s="1"/>
  <c r="J198"/>
  <c r="C199"/>
  <c r="D186" i="41"/>
  <c r="E186" s="1"/>
  <c r="J186"/>
  <c r="C187"/>
  <c r="F184"/>
  <c r="D199" i="40" l="1"/>
  <c r="E199" s="1"/>
  <c r="J199"/>
  <c r="C200"/>
  <c r="F185" i="41"/>
  <c r="F197" i="40"/>
  <c r="AV112" i="49"/>
  <c r="BA111"/>
  <c r="BD110" s="1"/>
  <c r="AW111"/>
  <c r="G184" i="41"/>
  <c r="G196" i="40"/>
  <c r="D187" i="41"/>
  <c r="E187" s="1"/>
  <c r="J187"/>
  <c r="C188"/>
  <c r="F198" i="40" l="1"/>
  <c r="D188" i="41"/>
  <c r="E188" s="1"/>
  <c r="J188"/>
  <c r="C189"/>
  <c r="G197" i="40"/>
  <c r="D200"/>
  <c r="E200" s="1"/>
  <c r="J200"/>
  <c r="C201"/>
  <c r="G185" i="41"/>
  <c r="F186"/>
  <c r="BA112" i="49"/>
  <c r="BD111" s="1"/>
  <c r="AV113"/>
  <c r="AW112"/>
  <c r="D189" i="41" l="1"/>
  <c r="E189" s="1"/>
  <c r="J189"/>
  <c r="C190"/>
  <c r="G198" i="40"/>
  <c r="G186" i="41"/>
  <c r="F187"/>
  <c r="AV114" i="49"/>
  <c r="BA113"/>
  <c r="AW113"/>
  <c r="J201" i="40"/>
  <c r="D201"/>
  <c r="E201" s="1"/>
  <c r="C202"/>
  <c r="F199"/>
  <c r="BD112" i="49"/>
  <c r="G187" i="41" l="1"/>
  <c r="F200" i="40"/>
  <c r="D190" i="41"/>
  <c r="E190" s="1"/>
  <c r="J190"/>
  <c r="C191"/>
  <c r="F188"/>
  <c r="G199" i="40"/>
  <c r="BA114" i="49"/>
  <c r="BD113" s="1"/>
  <c r="AV115"/>
  <c r="AW114"/>
  <c r="D202" i="40"/>
  <c r="E202" s="1"/>
  <c r="J202"/>
  <c r="C203"/>
  <c r="F189" i="41" l="1"/>
  <c r="D203" i="40"/>
  <c r="E203" s="1"/>
  <c r="J203"/>
  <c r="C204"/>
  <c r="AV116" i="49"/>
  <c r="BA115"/>
  <c r="AW115"/>
  <c r="D191" i="41"/>
  <c r="E191" s="1"/>
  <c r="J191"/>
  <c r="C192"/>
  <c r="G188"/>
  <c r="F201" i="40"/>
  <c r="G200"/>
  <c r="BD114" i="49"/>
  <c r="D204" i="40" l="1"/>
  <c r="E204" s="1"/>
  <c r="J204"/>
  <c r="C205"/>
  <c r="G189" i="41"/>
  <c r="F202" i="40"/>
  <c r="F190" i="41"/>
  <c r="BA116" i="49"/>
  <c r="AV117"/>
  <c r="AW116"/>
  <c r="G201" i="40"/>
  <c r="D192" i="41"/>
  <c r="E192" s="1"/>
  <c r="J192"/>
  <c r="C193"/>
  <c r="BD115" i="49"/>
  <c r="G190" i="41" l="1"/>
  <c r="D193"/>
  <c r="E193" s="1"/>
  <c r="J193"/>
  <c r="C194"/>
  <c r="G202" i="40"/>
  <c r="D205"/>
  <c r="E205" s="1"/>
  <c r="J205"/>
  <c r="C206"/>
  <c r="F203"/>
  <c r="F191" i="41"/>
  <c r="AV118" i="49"/>
  <c r="BA117"/>
  <c r="BD116" s="1"/>
  <c r="AW117"/>
  <c r="D194" i="41" l="1"/>
  <c r="E194" s="1"/>
  <c r="J194"/>
  <c r="C195"/>
  <c r="D206" i="40"/>
  <c r="E206" s="1"/>
  <c r="J206"/>
  <c r="C207"/>
  <c r="BA118" i="49"/>
  <c r="BD117" s="1"/>
  <c r="AV119"/>
  <c r="AW118"/>
  <c r="F192" i="41"/>
  <c r="G191"/>
  <c r="G203" i="40"/>
  <c r="F204"/>
  <c r="F193" i="41" l="1"/>
  <c r="G204" i="40"/>
  <c r="D207"/>
  <c r="E207" s="1"/>
  <c r="J207"/>
  <c r="C208"/>
  <c r="D195" i="41"/>
  <c r="E195" s="1"/>
  <c r="J195"/>
  <c r="C196"/>
  <c r="AV120" i="49"/>
  <c r="BA119"/>
  <c r="AW119"/>
  <c r="G192" i="41"/>
  <c r="F205" i="40"/>
  <c r="BD119" i="49" l="1"/>
  <c r="F194" i="41"/>
  <c r="F206" i="40"/>
  <c r="D196" i="41"/>
  <c r="E196" s="1"/>
  <c r="J196"/>
  <c r="C197"/>
  <c r="G193"/>
  <c r="G205" i="40"/>
  <c r="BA120" i="49"/>
  <c r="AV121"/>
  <c r="AW120"/>
  <c r="D208" i="40"/>
  <c r="E208" s="1"/>
  <c r="J208"/>
  <c r="C209"/>
  <c r="BD118" i="49"/>
  <c r="F195" i="41" l="1"/>
  <c r="J209" i="40"/>
  <c r="D209"/>
  <c r="E209" s="1"/>
  <c r="C210"/>
  <c r="AV122" i="49"/>
  <c r="BA121"/>
  <c r="BD120" s="1"/>
  <c r="AW121"/>
  <c r="G194" i="41"/>
  <c r="F207" i="40"/>
  <c r="G206"/>
  <c r="D197" i="41"/>
  <c r="E197" s="1"/>
  <c r="J197"/>
  <c r="C198"/>
  <c r="D210" i="40" l="1"/>
  <c r="E210" s="1"/>
  <c r="J210"/>
  <c r="C211"/>
  <c r="D198" i="41"/>
  <c r="E198" s="1"/>
  <c r="J198"/>
  <c r="C199"/>
  <c r="BA122" i="49"/>
  <c r="BD121" s="1"/>
  <c r="AV123"/>
  <c r="AW122"/>
  <c r="G195" i="41"/>
  <c r="G207" i="40"/>
  <c r="F196" i="41"/>
  <c r="F208" i="40"/>
  <c r="AV124" i="49" l="1"/>
  <c r="BA123"/>
  <c r="AW123"/>
  <c r="G208" i="40"/>
  <c r="D199" i="41"/>
  <c r="E199" s="1"/>
  <c r="J199"/>
  <c r="C200"/>
  <c r="D211" i="40"/>
  <c r="E211" s="1"/>
  <c r="J211"/>
  <c r="C212"/>
  <c r="BD122" i="49"/>
  <c r="F209" i="40"/>
  <c r="G196" i="41"/>
  <c r="F197"/>
  <c r="D200" l="1"/>
  <c r="E200" s="1"/>
  <c r="J200"/>
  <c r="C201"/>
  <c r="BA124" i="49"/>
  <c r="BD123" s="1"/>
  <c r="AV125"/>
  <c r="AW124"/>
  <c r="G197" i="41"/>
  <c r="F198"/>
  <c r="F210" i="40"/>
  <c r="G209"/>
  <c r="D212"/>
  <c r="E212" s="1"/>
  <c r="J212"/>
  <c r="C213"/>
  <c r="F211" l="1"/>
  <c r="G210"/>
  <c r="AV126" i="49"/>
  <c r="BA125"/>
  <c r="BD124" s="1"/>
  <c r="AW125"/>
  <c r="J213" i="40"/>
  <c r="D213"/>
  <c r="E213" s="1"/>
  <c r="C214"/>
  <c r="D201" i="41"/>
  <c r="E201" s="1"/>
  <c r="J201"/>
  <c r="C202"/>
  <c r="F199"/>
  <c r="G198"/>
  <c r="BD125" i="49" l="1"/>
  <c r="F212" i="40"/>
  <c r="G211"/>
  <c r="D214"/>
  <c r="E214" s="1"/>
  <c r="J214"/>
  <c r="C215"/>
  <c r="BA126" i="49"/>
  <c r="AV127"/>
  <c r="AW126"/>
  <c r="D202" i="41"/>
  <c r="E202" s="1"/>
  <c r="J202"/>
  <c r="C203"/>
  <c r="G199"/>
  <c r="F200"/>
  <c r="F201" l="1"/>
  <c r="F213" i="40"/>
  <c r="G200" i="41"/>
  <c r="D203"/>
  <c r="E203" s="1"/>
  <c r="J203"/>
  <c r="C204"/>
  <c r="AV128" i="49"/>
  <c r="BA127"/>
  <c r="BD126" s="1"/>
  <c r="AW127"/>
  <c r="G212" i="40"/>
  <c r="D215"/>
  <c r="E215" s="1"/>
  <c r="J215"/>
  <c r="C216"/>
  <c r="BA128" i="49" l="1"/>
  <c r="BD127" s="1"/>
  <c r="AV129"/>
  <c r="AW128"/>
  <c r="F202" i="41"/>
  <c r="D204"/>
  <c r="E204" s="1"/>
  <c r="J204"/>
  <c r="C205"/>
  <c r="D216" i="40"/>
  <c r="E216" s="1"/>
  <c r="J216"/>
  <c r="C217"/>
  <c r="G201" i="41"/>
  <c r="F214" i="40"/>
  <c r="G213"/>
  <c r="D205" i="41" l="1"/>
  <c r="E205" s="1"/>
  <c r="J205"/>
  <c r="C206"/>
  <c r="G202"/>
  <c r="F203"/>
  <c r="AV130" i="49"/>
  <c r="BA129"/>
  <c r="BD128" s="1"/>
  <c r="AW129"/>
  <c r="F215" i="40"/>
  <c r="G214"/>
  <c r="J217"/>
  <c r="D217"/>
  <c r="E217" s="1"/>
  <c r="C218"/>
  <c r="F216" l="1"/>
  <c r="F204" i="41"/>
  <c r="G203"/>
  <c r="D206"/>
  <c r="E206" s="1"/>
  <c r="J206"/>
  <c r="C207"/>
  <c r="G215" i="40"/>
  <c r="D218"/>
  <c r="E218" s="1"/>
  <c r="J218"/>
  <c r="C219"/>
  <c r="BA130" i="49"/>
  <c r="BD129" s="1"/>
  <c r="AV131"/>
  <c r="AW130"/>
  <c r="BD130" l="1"/>
  <c r="G216" i="40"/>
  <c r="F205" i="41"/>
  <c r="AV132" i="49"/>
  <c r="BA131"/>
  <c r="AW131"/>
  <c r="D207" i="41"/>
  <c r="E207" s="1"/>
  <c r="J207"/>
  <c r="C208"/>
  <c r="D219" i="40"/>
  <c r="E219" s="1"/>
  <c r="J219"/>
  <c r="C220"/>
  <c r="F217"/>
  <c r="G204" i="41"/>
  <c r="F218" i="40" l="1"/>
  <c r="F206" i="41"/>
  <c r="D220" i="40"/>
  <c r="E220" s="1"/>
  <c r="J220"/>
  <c r="C221"/>
  <c r="G217"/>
  <c r="G205" i="41"/>
  <c r="BA132" i="49"/>
  <c r="BD131" s="1"/>
  <c r="AV133"/>
  <c r="AW132"/>
  <c r="D208" i="41"/>
  <c r="E208" s="1"/>
  <c r="J208"/>
  <c r="C209"/>
  <c r="F219" i="40" l="1"/>
  <c r="D209" i="41"/>
  <c r="E209" s="1"/>
  <c r="J209"/>
  <c r="C210"/>
  <c r="AV134" i="49"/>
  <c r="BA133"/>
  <c r="AW133"/>
  <c r="G218" i="40"/>
  <c r="D221"/>
  <c r="E221" s="1"/>
  <c r="J221"/>
  <c r="C222"/>
  <c r="F207" i="41"/>
  <c r="G206"/>
  <c r="BD132" i="49"/>
  <c r="BA134" l="1"/>
  <c r="BD133" s="1"/>
  <c r="AV135"/>
  <c r="AW134"/>
  <c r="F208" i="41"/>
  <c r="D210"/>
  <c r="E210" s="1"/>
  <c r="J210"/>
  <c r="C211"/>
  <c r="D222" i="40"/>
  <c r="E222" s="1"/>
  <c r="J222"/>
  <c r="C223"/>
  <c r="G219"/>
  <c r="G207" i="41"/>
  <c r="F220" i="40"/>
  <c r="D211" i="41" l="1"/>
  <c r="E211" s="1"/>
  <c r="J211"/>
  <c r="C212"/>
  <c r="F221" i="40"/>
  <c r="F209" i="41"/>
  <c r="AV136" i="49"/>
  <c r="BA135"/>
  <c r="BD134" s="1"/>
  <c r="AW135"/>
  <c r="G220" i="40"/>
  <c r="G208" i="41"/>
  <c r="D223" i="40"/>
  <c r="E223" s="1"/>
  <c r="J223"/>
  <c r="C224"/>
  <c r="G221" l="1"/>
  <c r="D224"/>
  <c r="E224" s="1"/>
  <c r="J224"/>
  <c r="C225"/>
  <c r="G209" i="41"/>
  <c r="D212"/>
  <c r="E212" s="1"/>
  <c r="J212"/>
  <c r="C213"/>
  <c r="F210"/>
  <c r="F222" i="40"/>
  <c r="BA136" i="49"/>
  <c r="BD135" s="1"/>
  <c r="AV137"/>
  <c r="AW136"/>
  <c r="G222" i="40" l="1"/>
  <c r="F223"/>
  <c r="G210" i="41"/>
  <c r="J225" i="40"/>
  <c r="D225"/>
  <c r="E225" s="1"/>
  <c r="C226"/>
  <c r="AV138" i="49"/>
  <c r="BA137"/>
  <c r="AW137"/>
  <c r="D213" i="41"/>
  <c r="E213" s="1"/>
  <c r="J213"/>
  <c r="C214"/>
  <c r="F211"/>
  <c r="BD136" i="49"/>
  <c r="F212" i="41" l="1"/>
  <c r="BA138" i="49"/>
  <c r="BD137" s="1"/>
  <c r="AV139"/>
  <c r="AW138"/>
  <c r="D226" i="40"/>
  <c r="E226" s="1"/>
  <c r="J226"/>
  <c r="C227"/>
  <c r="G211" i="41"/>
  <c r="D214"/>
  <c r="E214" s="1"/>
  <c r="J214"/>
  <c r="C215"/>
  <c r="F224" i="40"/>
  <c r="G223"/>
  <c r="D227" l="1"/>
  <c r="E227" s="1"/>
  <c r="J227"/>
  <c r="C228"/>
  <c r="AV140" i="49"/>
  <c r="BA139"/>
  <c r="BD138" s="1"/>
  <c r="AW139"/>
  <c r="G212" i="41"/>
  <c r="F225" i="40"/>
  <c r="D215" i="41"/>
  <c r="E215" s="1"/>
  <c r="J215"/>
  <c r="C216"/>
  <c r="G224" i="40"/>
  <c r="F213" i="41"/>
  <c r="F214" l="1"/>
  <c r="G225" i="40"/>
  <c r="D228"/>
  <c r="E228" s="1"/>
  <c r="J228"/>
  <c r="C229"/>
  <c r="F226"/>
  <c r="G213" i="41"/>
  <c r="D216"/>
  <c r="E216" s="1"/>
  <c r="J216"/>
  <c r="C217"/>
  <c r="BA140" i="49"/>
  <c r="BD139" s="1"/>
  <c r="AV141"/>
  <c r="AW140"/>
  <c r="F227" i="40" l="1"/>
  <c r="G226"/>
  <c r="D217" i="41"/>
  <c r="E217" s="1"/>
  <c r="J217"/>
  <c r="C218"/>
  <c r="J229" i="40"/>
  <c r="D229"/>
  <c r="E229" s="1"/>
  <c r="C230"/>
  <c r="F215" i="41"/>
  <c r="AV142" i="49"/>
  <c r="BA141"/>
  <c r="BD140" s="1"/>
  <c r="AW141"/>
  <c r="G214" i="41"/>
  <c r="BA142" i="49" l="1"/>
  <c r="BD141" s="1"/>
  <c r="AV143"/>
  <c r="AW142"/>
  <c r="F216" i="41"/>
  <c r="G227" i="40"/>
  <c r="D218" i="41"/>
  <c r="E218" s="1"/>
  <c r="J218"/>
  <c r="C219"/>
  <c r="F228" i="40"/>
  <c r="D230"/>
  <c r="E230" s="1"/>
  <c r="J230"/>
  <c r="C231"/>
  <c r="G215" i="41"/>
  <c r="F217" l="1"/>
  <c r="F229" i="40"/>
  <c r="D219" i="41"/>
  <c r="E219" s="1"/>
  <c r="J219"/>
  <c r="C220"/>
  <c r="AV144" i="49"/>
  <c r="BA143"/>
  <c r="BD142" s="1"/>
  <c r="AW143"/>
  <c r="D231" i="40"/>
  <c r="E231" s="1"/>
  <c r="J231"/>
  <c r="C232"/>
  <c r="G228"/>
  <c r="G216" i="41"/>
  <c r="D232" i="40" l="1"/>
  <c r="E232" s="1"/>
  <c r="J232"/>
  <c r="C233"/>
  <c r="G217" i="41"/>
  <c r="D220"/>
  <c r="E220" s="1"/>
  <c r="J220"/>
  <c r="C221"/>
  <c r="BD143" i="49"/>
  <c r="F218" i="41"/>
  <c r="F230" i="40"/>
  <c r="BA144" i="49"/>
  <c r="AV145"/>
  <c r="AW144"/>
  <c r="G229" i="40"/>
  <c r="F231" l="1"/>
  <c r="G218" i="41"/>
  <c r="J233" i="40"/>
  <c r="D233"/>
  <c r="E233" s="1"/>
  <c r="C234"/>
  <c r="G230"/>
  <c r="F219" i="41"/>
  <c r="AV146" i="49"/>
  <c r="BA145"/>
  <c r="BD144" s="1"/>
  <c r="AW145"/>
  <c r="D221" i="41"/>
  <c r="E221" s="1"/>
  <c r="J221"/>
  <c r="C222"/>
  <c r="F232" i="40" l="1"/>
  <c r="G231"/>
  <c r="G219" i="41"/>
  <c r="D234" i="40"/>
  <c r="E234" s="1"/>
  <c r="J234"/>
  <c r="C235"/>
  <c r="D222" i="41"/>
  <c r="E222" s="1"/>
  <c r="J222"/>
  <c r="C223"/>
  <c r="F220"/>
  <c r="BA146" i="49"/>
  <c r="AV147"/>
  <c r="AW146"/>
  <c r="BD145"/>
  <c r="AV148" l="1"/>
  <c r="BA147"/>
  <c r="BD146" s="1"/>
  <c r="AW147"/>
  <c r="D235" i="40"/>
  <c r="E235" s="1"/>
  <c r="J235"/>
  <c r="C236"/>
  <c r="F221" i="41"/>
  <c r="F233" i="40"/>
  <c r="G220" i="41"/>
  <c r="G232" i="40"/>
  <c r="D223" i="41"/>
  <c r="E223" s="1"/>
  <c r="J223"/>
  <c r="C224"/>
  <c r="G221" l="1"/>
  <c r="BA148" i="49"/>
  <c r="AV149"/>
  <c r="AW148"/>
  <c r="G233" i="40"/>
  <c r="D236"/>
  <c r="E236" s="1"/>
  <c r="J236"/>
  <c r="C237"/>
  <c r="BD147" i="49"/>
  <c r="F234" i="40"/>
  <c r="D224" i="41"/>
  <c r="E224" s="1"/>
  <c r="J224"/>
  <c r="C225"/>
  <c r="F222"/>
  <c r="BD148" i="49" l="1"/>
  <c r="F235" i="40"/>
  <c r="G234"/>
  <c r="F223" i="41"/>
  <c r="D237" i="40"/>
  <c r="E237" s="1"/>
  <c r="J237"/>
  <c r="C238"/>
  <c r="D225" i="41"/>
  <c r="E225" s="1"/>
  <c r="J225"/>
  <c r="C226"/>
  <c r="AV150" i="49"/>
  <c r="BA149"/>
  <c r="AW149"/>
  <c r="G222" i="41"/>
  <c r="D226" l="1"/>
  <c r="E226" s="1"/>
  <c r="J226"/>
  <c r="C227"/>
  <c r="F224"/>
  <c r="G223"/>
  <c r="G235" i="40"/>
  <c r="BA150" i="49"/>
  <c r="AV151"/>
  <c r="AW150"/>
  <c r="D238" i="40"/>
  <c r="E238" s="1"/>
  <c r="J238"/>
  <c r="C239"/>
  <c r="F236"/>
  <c r="BD149" i="49"/>
  <c r="F225" i="41" l="1"/>
  <c r="G236" i="40"/>
  <c r="D227" i="41"/>
  <c r="E227" s="1"/>
  <c r="J227"/>
  <c r="C228"/>
  <c r="G224"/>
  <c r="F237" i="40"/>
  <c r="D239"/>
  <c r="E239" s="1"/>
  <c r="J239"/>
  <c r="C240"/>
  <c r="AV152" i="49"/>
  <c r="BA151"/>
  <c r="BD150" s="1"/>
  <c r="AW151"/>
  <c r="F226" i="41" l="1"/>
  <c r="D240" i="40"/>
  <c r="E240" s="1"/>
  <c r="J240"/>
  <c r="C241"/>
  <c r="G225" i="41"/>
  <c r="BA152" i="49"/>
  <c r="BD151" s="1"/>
  <c r="AV153"/>
  <c r="AW152"/>
  <c r="G237" i="40"/>
  <c r="D228" i="41"/>
  <c r="E228" s="1"/>
  <c r="J228"/>
  <c r="C229"/>
  <c r="F238" i="40"/>
  <c r="J241" l="1"/>
  <c r="D241"/>
  <c r="E241" s="1"/>
  <c r="C242"/>
  <c r="G238"/>
  <c r="G226" i="41"/>
  <c r="F239" i="40"/>
  <c r="F227" i="41"/>
  <c r="AV154" i="49"/>
  <c r="BA153"/>
  <c r="AW153"/>
  <c r="D229" i="41"/>
  <c r="E229" s="1"/>
  <c r="J229"/>
  <c r="C230"/>
  <c r="G239" i="40" l="1"/>
  <c r="D230" i="41"/>
  <c r="E230" s="1"/>
  <c r="J230"/>
  <c r="C231"/>
  <c r="F240" i="40"/>
  <c r="G227" i="41"/>
  <c r="D242" i="40"/>
  <c r="E242" s="1"/>
  <c r="J242"/>
  <c r="C243"/>
  <c r="BD152" i="49"/>
  <c r="F228" i="41"/>
  <c r="BA154" i="49"/>
  <c r="BD153" s="1"/>
  <c r="AV155"/>
  <c r="AW154"/>
  <c r="D231" i="41" l="1"/>
  <c r="E231" s="1"/>
  <c r="J231"/>
  <c r="C232"/>
  <c r="AV156" i="49"/>
  <c r="BA155"/>
  <c r="BD154" s="1"/>
  <c r="AW155"/>
  <c r="F241" i="40"/>
  <c r="D243"/>
  <c r="E243" s="1"/>
  <c r="J243"/>
  <c r="C244"/>
  <c r="G228" i="41"/>
  <c r="G240" i="40"/>
  <c r="F229" i="41"/>
  <c r="G241" i="40" l="1"/>
  <c r="F230" i="41"/>
  <c r="G229"/>
  <c r="D232"/>
  <c r="E232" s="1"/>
  <c r="J232"/>
  <c r="C233"/>
  <c r="F242" i="40"/>
  <c r="D244"/>
  <c r="E244" s="1"/>
  <c r="J244"/>
  <c r="C245"/>
  <c r="BA156" i="49"/>
  <c r="BD155" s="1"/>
  <c r="AV157"/>
  <c r="AW156"/>
  <c r="F243" i="40" l="1"/>
  <c r="AV158" i="49"/>
  <c r="BA157"/>
  <c r="AW157"/>
  <c r="F231" i="41"/>
  <c r="D233"/>
  <c r="E233" s="1"/>
  <c r="J233"/>
  <c r="C234"/>
  <c r="J245" i="40"/>
  <c r="D245"/>
  <c r="E245" s="1"/>
  <c r="C246"/>
  <c r="G242"/>
  <c r="G230" i="41"/>
  <c r="BD156" i="49"/>
  <c r="F244" i="40" l="1"/>
  <c r="D246"/>
  <c r="E246" s="1"/>
  <c r="J246"/>
  <c r="C247"/>
  <c r="G243"/>
  <c r="D234" i="41"/>
  <c r="E234" s="1"/>
  <c r="J234"/>
  <c r="C235"/>
  <c r="BA158" i="49"/>
  <c r="BD157" s="1"/>
  <c r="AV159"/>
  <c r="AW158"/>
  <c r="F232" i="41"/>
  <c r="G231"/>
  <c r="BD158" i="49" l="1"/>
  <c r="D247" i="40"/>
  <c r="E247" s="1"/>
  <c r="J247"/>
  <c r="C248"/>
  <c r="G244"/>
  <c r="F245"/>
  <c r="AV160" i="49"/>
  <c r="BA159"/>
  <c r="AW159"/>
  <c r="D235" i="41"/>
  <c r="E235" s="1"/>
  <c r="J235"/>
  <c r="C236"/>
  <c r="G232"/>
  <c r="F233"/>
  <c r="BD159" i="49" l="1"/>
  <c r="F234" i="41"/>
  <c r="G233"/>
  <c r="D236"/>
  <c r="E236" s="1"/>
  <c r="J236"/>
  <c r="C237"/>
  <c r="BA160" i="49"/>
  <c r="AV161"/>
  <c r="AW160"/>
  <c r="F246" i="40"/>
  <c r="G245"/>
  <c r="D248"/>
  <c r="E248" s="1"/>
  <c r="J248"/>
  <c r="C249"/>
  <c r="G246" l="1"/>
  <c r="J249"/>
  <c r="D249"/>
  <c r="E249" s="1"/>
  <c r="C250"/>
  <c r="AV162" i="49"/>
  <c r="BA161"/>
  <c r="BD160" s="1"/>
  <c r="AW161"/>
  <c r="G234" i="41"/>
  <c r="F247" i="40"/>
  <c r="F235" i="41"/>
  <c r="D237"/>
  <c r="E237" s="1"/>
  <c r="J237"/>
  <c r="C238"/>
  <c r="G247" i="40" l="1"/>
  <c r="D250"/>
  <c r="E250" s="1"/>
  <c r="J250"/>
  <c r="C251"/>
  <c r="D238" i="41"/>
  <c r="E238" s="1"/>
  <c r="J238"/>
  <c r="C239"/>
  <c r="BA162" i="49"/>
  <c r="BD161" s="1"/>
  <c r="AV163"/>
  <c r="AW162"/>
  <c r="G235" i="41"/>
  <c r="F236"/>
  <c r="F248" i="40"/>
  <c r="D251" l="1"/>
  <c r="E251" s="1"/>
  <c r="J251"/>
  <c r="C252"/>
  <c r="G248"/>
  <c r="F249"/>
  <c r="F237" i="41"/>
  <c r="AV164" i="49"/>
  <c r="BA163"/>
  <c r="BD162" s="1"/>
  <c r="AW163"/>
  <c r="G236" i="41"/>
  <c r="D239"/>
  <c r="E239" s="1"/>
  <c r="J239"/>
  <c r="C240"/>
  <c r="G237" l="1"/>
  <c r="D240"/>
  <c r="E240" s="1"/>
  <c r="J240"/>
  <c r="C241"/>
  <c r="BA164" i="49"/>
  <c r="AV165"/>
  <c r="AW164"/>
  <c r="G249" i="40"/>
  <c r="D252"/>
  <c r="E252" s="1"/>
  <c r="J252"/>
  <c r="C253"/>
  <c r="F250"/>
  <c r="F238" i="41"/>
  <c r="BD163" i="49"/>
  <c r="D241" i="41" l="1"/>
  <c r="E241" s="1"/>
  <c r="J241"/>
  <c r="C242"/>
  <c r="D253" i="40"/>
  <c r="E253" s="1"/>
  <c r="J253"/>
  <c r="C254"/>
  <c r="F239" i="41"/>
  <c r="G238"/>
  <c r="G250" i="40"/>
  <c r="F251"/>
  <c r="AV166" i="49"/>
  <c r="BA165"/>
  <c r="BD164" s="1"/>
  <c r="AW165"/>
  <c r="F240" i="41" l="1"/>
  <c r="G251" i="40"/>
  <c r="D254"/>
  <c r="E254" s="1"/>
  <c r="J254"/>
  <c r="C255"/>
  <c r="BA166" i="49"/>
  <c r="BD165" s="1"/>
  <c r="AV167"/>
  <c r="AW166"/>
  <c r="D242" i="41"/>
  <c r="E242" s="1"/>
  <c r="J242"/>
  <c r="C243"/>
  <c r="G239"/>
  <c r="F252" i="40"/>
  <c r="F253" l="1"/>
  <c r="G252"/>
  <c r="D243" i="41"/>
  <c r="E243" s="1"/>
  <c r="J243"/>
  <c r="C244"/>
  <c r="AV168" i="49"/>
  <c r="BA167"/>
  <c r="BD166" s="1"/>
  <c r="AW167"/>
  <c r="G240" i="41"/>
  <c r="D255" i="40"/>
  <c r="E255" s="1"/>
  <c r="J255"/>
  <c r="C256"/>
  <c r="F241" i="41"/>
  <c r="F242" l="1"/>
  <c r="G241"/>
  <c r="G253" i="40"/>
  <c r="D244" i="41"/>
  <c r="E244" s="1"/>
  <c r="J244"/>
  <c r="C245"/>
  <c r="F254" i="40"/>
  <c r="D256"/>
  <c r="E256" s="1"/>
  <c r="J256"/>
  <c r="C257"/>
  <c r="BA168" i="49"/>
  <c r="AV169"/>
  <c r="AW168"/>
  <c r="BD167"/>
  <c r="AV170" l="1"/>
  <c r="BA169"/>
  <c r="AW169"/>
  <c r="J257" i="40"/>
  <c r="D257"/>
  <c r="E257" s="1"/>
  <c r="C258"/>
  <c r="G242" i="41"/>
  <c r="G254" i="40"/>
  <c r="F243" i="41"/>
  <c r="BD168" i="49"/>
  <c r="D245" i="41"/>
  <c r="E245" s="1"/>
  <c r="J245"/>
  <c r="C246"/>
  <c r="F255" i="40"/>
  <c r="BD169" i="49" l="1"/>
  <c r="D246" i="41"/>
  <c r="E246" s="1"/>
  <c r="J246"/>
  <c r="C247"/>
  <c r="F256" i="40"/>
  <c r="F244" i="41"/>
  <c r="D258" i="40"/>
  <c r="E258" s="1"/>
  <c r="J258"/>
  <c r="C259"/>
  <c r="G243" i="41"/>
  <c r="BA170" i="49"/>
  <c r="AV171"/>
  <c r="AW170"/>
  <c r="G255" i="40"/>
  <c r="G256" l="1"/>
  <c r="D259"/>
  <c r="E259" s="1"/>
  <c r="J259"/>
  <c r="C260"/>
  <c r="F257"/>
  <c r="F245" i="41"/>
  <c r="AV172" i="49"/>
  <c r="BA171"/>
  <c r="BD170" s="1"/>
  <c r="AW171"/>
  <c r="G244" i="41"/>
  <c r="D247"/>
  <c r="E247" s="1"/>
  <c r="J247"/>
  <c r="C248"/>
  <c r="G245" l="1"/>
  <c r="BA172" i="49"/>
  <c r="AV173"/>
  <c r="AW172"/>
  <c r="G257" i="40"/>
  <c r="F258"/>
  <c r="D260"/>
  <c r="E260" s="1"/>
  <c r="J260"/>
  <c r="C261"/>
  <c r="D248" i="41"/>
  <c r="E248" s="1"/>
  <c r="J248"/>
  <c r="C249"/>
  <c r="F246"/>
  <c r="BD171" i="49"/>
  <c r="BD172" l="1"/>
  <c r="J261" i="40"/>
  <c r="D261"/>
  <c r="E261" s="1"/>
  <c r="C262"/>
  <c r="F247" i="41"/>
  <c r="F259" i="40"/>
  <c r="AV174" i="49"/>
  <c r="BA173"/>
  <c r="AW173"/>
  <c r="G246" i="41"/>
  <c r="G258" i="40"/>
  <c r="D249" i="41"/>
  <c r="E249" s="1"/>
  <c r="J249"/>
  <c r="C250"/>
  <c r="BD173" i="49" l="1"/>
  <c r="D250" i="41"/>
  <c r="E250" s="1"/>
  <c r="J250"/>
  <c r="C251"/>
  <c r="F260" i="40"/>
  <c r="F248" i="41"/>
  <c r="BA174" i="49"/>
  <c r="AV175"/>
  <c r="AW174"/>
  <c r="G247" i="41"/>
  <c r="G259" i="40"/>
  <c r="D262"/>
  <c r="E262" s="1"/>
  <c r="J262"/>
  <c r="C263"/>
  <c r="F249" i="41" l="1"/>
  <c r="D263" i="40"/>
  <c r="E263" s="1"/>
  <c r="J263"/>
  <c r="C264"/>
  <c r="AV176" i="49"/>
  <c r="BA175"/>
  <c r="BD174" s="1"/>
  <c r="AW175"/>
  <c r="F261" i="40"/>
  <c r="G260"/>
  <c r="G248" i="41"/>
  <c r="D251"/>
  <c r="E251" s="1"/>
  <c r="J251"/>
  <c r="C252"/>
  <c r="BA176" i="49" l="1"/>
  <c r="BD175" s="1"/>
  <c r="AV177"/>
  <c r="AW176"/>
  <c r="F262" i="40"/>
  <c r="D264"/>
  <c r="E264" s="1"/>
  <c r="J264"/>
  <c r="C265"/>
  <c r="D252" i="41"/>
  <c r="E252" s="1"/>
  <c r="J252"/>
  <c r="C253"/>
  <c r="G249"/>
  <c r="G261" i="40"/>
  <c r="F250" i="41"/>
  <c r="J265" i="40" l="1"/>
  <c r="D265"/>
  <c r="E265" s="1"/>
  <c r="C266"/>
  <c r="G250" i="41"/>
  <c r="G262" i="40"/>
  <c r="F263"/>
  <c r="AV178" i="49"/>
  <c r="BA177"/>
  <c r="BD176" s="1"/>
  <c r="AW177"/>
  <c r="F251" i="41"/>
  <c r="D253"/>
  <c r="E253" s="1"/>
  <c r="J253"/>
  <c r="C254"/>
  <c r="G263" i="40" l="1"/>
  <c r="D254" i="41"/>
  <c r="E254" s="1"/>
  <c r="J254"/>
  <c r="C255"/>
  <c r="F264" i="40"/>
  <c r="G251" i="41"/>
  <c r="D266" i="40"/>
  <c r="E266" s="1"/>
  <c r="J266"/>
  <c r="C267"/>
  <c r="BA178" i="49"/>
  <c r="BD177" s="1"/>
  <c r="AV179"/>
  <c r="AW178"/>
  <c r="F252" i="41"/>
  <c r="F265" i="40" l="1"/>
  <c r="AV180" i="49"/>
  <c r="BA179"/>
  <c r="BD178" s="1"/>
  <c r="AW179"/>
  <c r="F253" i="41"/>
  <c r="D255"/>
  <c r="E255" s="1"/>
  <c r="J255"/>
  <c r="C256"/>
  <c r="G252"/>
  <c r="G264" i="40"/>
  <c r="D267"/>
  <c r="E267" s="1"/>
  <c r="J267"/>
  <c r="C268"/>
  <c r="D268" l="1"/>
  <c r="E268" s="1"/>
  <c r="J268"/>
  <c r="C269"/>
  <c r="G265"/>
  <c r="D256" i="41"/>
  <c r="E256" s="1"/>
  <c r="J256"/>
  <c r="C257"/>
  <c r="BA180" i="49"/>
  <c r="BD179" s="1"/>
  <c r="AV181"/>
  <c r="AW180"/>
  <c r="F254" i="41"/>
  <c r="F266" i="40"/>
  <c r="G253" i="41"/>
  <c r="F255" l="1"/>
  <c r="AV182" i="49"/>
  <c r="BA181"/>
  <c r="BD180" s="1"/>
  <c r="AW181"/>
  <c r="D269" i="40"/>
  <c r="E269" s="1"/>
  <c r="J269"/>
  <c r="C270"/>
  <c r="F267"/>
  <c r="G254" i="41"/>
  <c r="G266" i="40"/>
  <c r="D257" i="41"/>
  <c r="E257" s="1"/>
  <c r="J257"/>
  <c r="C258"/>
  <c r="D270" i="40" l="1"/>
  <c r="E270" s="1"/>
  <c r="J270"/>
  <c r="C271"/>
  <c r="G267"/>
  <c r="F268"/>
  <c r="BA182" i="49"/>
  <c r="BD181" s="1"/>
  <c r="AV183"/>
  <c r="AW182"/>
  <c r="D258" i="41"/>
  <c r="E258" s="1"/>
  <c r="J258"/>
  <c r="C259"/>
  <c r="G255"/>
  <c r="F256"/>
  <c r="F269" i="40" l="1"/>
  <c r="D259" i="41"/>
  <c r="E259" s="1"/>
  <c r="J259"/>
  <c r="C260"/>
  <c r="AV184" i="49"/>
  <c r="BA183"/>
  <c r="AW183"/>
  <c r="G268" i="40"/>
  <c r="D271"/>
  <c r="E271" s="1"/>
  <c r="J271"/>
  <c r="C272"/>
  <c r="G256" i="41"/>
  <c r="F257"/>
  <c r="BD182" i="49"/>
  <c r="D260" i="41" l="1"/>
  <c r="E260" s="1"/>
  <c r="J260"/>
  <c r="C261"/>
  <c r="G257"/>
  <c r="G269" i="40"/>
  <c r="F258" i="41"/>
  <c r="D272" i="40"/>
  <c r="E272" s="1"/>
  <c r="J272"/>
  <c r="C273"/>
  <c r="BA184" i="49"/>
  <c r="BD183" s="1"/>
  <c r="AV185"/>
  <c r="AW184"/>
  <c r="F270" i="40"/>
  <c r="G258" i="41" l="1"/>
  <c r="F271" i="40"/>
  <c r="AV186" i="49"/>
  <c r="BA185"/>
  <c r="BD184" s="1"/>
  <c r="AW185"/>
  <c r="D261" i="41"/>
  <c r="E261" s="1"/>
  <c r="J261"/>
  <c r="C262"/>
  <c r="F259"/>
  <c r="G270" i="40"/>
  <c r="J273"/>
  <c r="D273"/>
  <c r="E273" s="1"/>
  <c r="C274"/>
  <c r="F272" l="1"/>
  <c r="G259" i="41"/>
  <c r="BA186" i="49"/>
  <c r="BD185" s="1"/>
  <c r="AV187"/>
  <c r="AW186"/>
  <c r="D274" i="40"/>
  <c r="E274" s="1"/>
  <c r="J274"/>
  <c r="C275"/>
  <c r="D262" i="41"/>
  <c r="E262" s="1"/>
  <c r="J262"/>
  <c r="C263"/>
  <c r="F260"/>
  <c r="G271" i="40"/>
  <c r="G260" i="41" l="1"/>
  <c r="D263"/>
  <c r="E263" s="1"/>
  <c r="J263"/>
  <c r="C264"/>
  <c r="G272" i="40"/>
  <c r="D275"/>
  <c r="E275" s="1"/>
  <c r="J275"/>
  <c r="C276"/>
  <c r="AV188" i="49"/>
  <c r="BA187"/>
  <c r="BD186" s="1"/>
  <c r="AW187"/>
  <c r="F273" i="40"/>
  <c r="F261" i="41"/>
  <c r="G261" l="1"/>
  <c r="D276" i="40"/>
  <c r="E276" s="1"/>
  <c r="J276"/>
  <c r="C277"/>
  <c r="BA188" i="49"/>
  <c r="BD187" s="1"/>
  <c r="AV189"/>
  <c r="AW188"/>
  <c r="F262" i="41"/>
  <c r="D264"/>
  <c r="E264" s="1"/>
  <c r="J264"/>
  <c r="C265"/>
  <c r="G273" i="40"/>
  <c r="F274"/>
  <c r="J277" l="1"/>
  <c r="D277"/>
  <c r="E277" s="1"/>
  <c r="C278"/>
  <c r="F275"/>
  <c r="G274"/>
  <c r="D265" i="41"/>
  <c r="E265" s="1"/>
  <c r="J265"/>
  <c r="C266"/>
  <c r="G262"/>
  <c r="F263"/>
  <c r="AV190" i="49"/>
  <c r="BA189"/>
  <c r="BD188" s="1"/>
  <c r="AW189"/>
  <c r="D266" i="41" l="1"/>
  <c r="E266" s="1"/>
  <c r="J266"/>
  <c r="C267"/>
  <c r="F276" i="40"/>
  <c r="BA190" i="49"/>
  <c r="BD189" s="1"/>
  <c r="AV191"/>
  <c r="AW190"/>
  <c r="D278" i="40"/>
  <c r="E278" s="1"/>
  <c r="J278"/>
  <c r="C279"/>
  <c r="G275"/>
  <c r="G263" i="41"/>
  <c r="F264"/>
  <c r="G276" i="40" l="1"/>
  <c r="F277"/>
  <c r="D267" i="41"/>
  <c r="E267" s="1"/>
  <c r="J267"/>
  <c r="C268"/>
  <c r="F265"/>
  <c r="G264"/>
  <c r="D279" i="40"/>
  <c r="E279" s="1"/>
  <c r="J279"/>
  <c r="C280"/>
  <c r="AV192" i="49"/>
  <c r="BA191"/>
  <c r="BD190" s="1"/>
  <c r="AW191"/>
  <c r="F266" i="41" l="1"/>
  <c r="D280" i="40"/>
  <c r="E280" s="1"/>
  <c r="J280"/>
  <c r="C281"/>
  <c r="BA192" i="49"/>
  <c r="BD191" s="1"/>
  <c r="AV193"/>
  <c r="AW192"/>
  <c r="D268" i="41"/>
  <c r="E268" s="1"/>
  <c r="J268"/>
  <c r="C269"/>
  <c r="G265"/>
  <c r="F278" i="40"/>
  <c r="G277"/>
  <c r="F267" i="41" l="1"/>
  <c r="F279" i="40"/>
  <c r="J281"/>
  <c r="D281"/>
  <c r="E281" s="1"/>
  <c r="C282"/>
  <c r="G266" i="41"/>
  <c r="G278" i="40"/>
  <c r="D269" i="41"/>
  <c r="E269" s="1"/>
  <c r="J269"/>
  <c r="C270"/>
  <c r="AV194" i="49"/>
  <c r="BA193"/>
  <c r="BD192" s="1"/>
  <c r="AW193"/>
  <c r="D270" i="41" l="1"/>
  <c r="E270" s="1"/>
  <c r="J270"/>
  <c r="C271"/>
  <c r="F280" i="40"/>
  <c r="G267" i="41"/>
  <c r="BA194" i="49"/>
  <c r="BD193" s="1"/>
  <c r="AV195"/>
  <c r="AW194"/>
  <c r="D282" i="40"/>
  <c r="E282" s="1"/>
  <c r="J282"/>
  <c r="C283"/>
  <c r="F268" i="41"/>
  <c r="G279" i="40"/>
  <c r="F269" i="41" l="1"/>
  <c r="D283" i="40"/>
  <c r="E283" s="1"/>
  <c r="J283"/>
  <c r="C284"/>
  <c r="AV196" i="49"/>
  <c r="BA195"/>
  <c r="AW195"/>
  <c r="D271" i="41"/>
  <c r="E271" s="1"/>
  <c r="J271"/>
  <c r="C272"/>
  <c r="G280" i="40"/>
  <c r="G268" i="41"/>
  <c r="F281" i="40"/>
  <c r="BD194" i="49"/>
  <c r="D284" i="40" l="1"/>
  <c r="E284" s="1"/>
  <c r="J284"/>
  <c r="C285"/>
  <c r="G281"/>
  <c r="G269" i="41"/>
  <c r="F282" i="40"/>
  <c r="F270" i="41"/>
  <c r="BA196" i="49"/>
  <c r="BD195" s="1"/>
  <c r="AV197"/>
  <c r="AW196"/>
  <c r="D272" i="41"/>
  <c r="E272" s="1"/>
  <c r="J272"/>
  <c r="C273"/>
  <c r="F283" i="40" l="1"/>
  <c r="D273" i="41"/>
  <c r="E273" s="1"/>
  <c r="J273"/>
  <c r="C274"/>
  <c r="G282" i="40"/>
  <c r="AV198" i="49"/>
  <c r="BA197"/>
  <c r="BD196" s="1"/>
  <c r="AW197"/>
  <c r="G270" i="41"/>
  <c r="D285" i="40"/>
  <c r="E285" s="1"/>
  <c r="J285"/>
  <c r="C286"/>
  <c r="F271" i="41"/>
  <c r="D274" l="1"/>
  <c r="E274" s="1"/>
  <c r="J274"/>
  <c r="C275"/>
  <c r="F284" i="40"/>
  <c r="G283"/>
  <c r="F272" i="41"/>
  <c r="G271"/>
  <c r="D286" i="40"/>
  <c r="E286" s="1"/>
  <c r="J286"/>
  <c r="C287"/>
  <c r="BA198" i="49"/>
  <c r="BD197" s="1"/>
  <c r="AV199"/>
  <c r="AW198"/>
  <c r="F285" i="40" l="1"/>
  <c r="G284"/>
  <c r="AV200" i="49"/>
  <c r="BA199"/>
  <c r="BD198" s="1"/>
  <c r="AW199"/>
  <c r="D287" i="40"/>
  <c r="E287" s="1"/>
  <c r="J287"/>
  <c r="C288"/>
  <c r="D275" i="41"/>
  <c r="E275" s="1"/>
  <c r="J275"/>
  <c r="C276"/>
  <c r="F273"/>
  <c r="G272"/>
  <c r="D276" l="1"/>
  <c r="E276" s="1"/>
  <c r="J276"/>
  <c r="C277"/>
  <c r="G285" i="40"/>
  <c r="D288"/>
  <c r="E288" s="1"/>
  <c r="J288"/>
  <c r="C289"/>
  <c r="F286"/>
  <c r="BA200" i="49"/>
  <c r="BD199" s="1"/>
  <c r="AV201"/>
  <c r="AW200"/>
  <c r="G273" i="41"/>
  <c r="F274"/>
  <c r="J289" i="40" l="1"/>
  <c r="D289"/>
  <c r="E289" s="1"/>
  <c r="C290"/>
  <c r="F275" i="41"/>
  <c r="F287" i="40"/>
  <c r="AV202" i="49"/>
  <c r="BA201"/>
  <c r="AW201"/>
  <c r="G274" i="41"/>
  <c r="G286" i="40"/>
  <c r="D277" i="41"/>
  <c r="E277" s="1"/>
  <c r="J277"/>
  <c r="C278"/>
  <c r="BD201" i="49" l="1"/>
  <c r="D278" i="41"/>
  <c r="E278" s="1"/>
  <c r="J278"/>
  <c r="C279"/>
  <c r="F288" i="40"/>
  <c r="G287"/>
  <c r="D290"/>
  <c r="E290" s="1"/>
  <c r="J290"/>
  <c r="C291"/>
  <c r="BD200" i="49"/>
  <c r="G275" i="41"/>
  <c r="F276"/>
  <c r="BA202" i="49"/>
  <c r="AV203"/>
  <c r="AW202"/>
  <c r="F289" i="40" l="1"/>
  <c r="F277" i="41"/>
  <c r="AV204" i="49"/>
  <c r="BA203"/>
  <c r="BD202" s="1"/>
  <c r="AW203"/>
  <c r="D291" i="40"/>
  <c r="E291" s="1"/>
  <c r="J291"/>
  <c r="C292"/>
  <c r="G288"/>
  <c r="G276" i="41"/>
  <c r="D279"/>
  <c r="E279" s="1"/>
  <c r="J279"/>
  <c r="C280"/>
  <c r="D280" l="1"/>
  <c r="E280" s="1"/>
  <c r="J280"/>
  <c r="C281"/>
  <c r="G289" i="40"/>
  <c r="D292"/>
  <c r="E292" s="1"/>
  <c r="J292"/>
  <c r="C293"/>
  <c r="F290"/>
  <c r="BA204" i="49"/>
  <c r="BD203" s="1"/>
  <c r="AV205"/>
  <c r="AW204"/>
  <c r="F278" i="41"/>
  <c r="G277"/>
  <c r="G278" l="1"/>
  <c r="J293" i="40"/>
  <c r="D293"/>
  <c r="E293" s="1"/>
  <c r="C294"/>
  <c r="F279" i="41"/>
  <c r="F291" i="40"/>
  <c r="AV206" i="49"/>
  <c r="BA205"/>
  <c r="AW205"/>
  <c r="G290" i="40"/>
  <c r="D281" i="41"/>
  <c r="E281" s="1"/>
  <c r="J281"/>
  <c r="C282"/>
  <c r="BD204" i="49"/>
  <c r="G291" i="40" l="1"/>
  <c r="D294"/>
  <c r="E294" s="1"/>
  <c r="J294"/>
  <c r="C295"/>
  <c r="D282" i="41"/>
  <c r="E282" s="1"/>
  <c r="J282"/>
  <c r="C283"/>
  <c r="BA206" i="49"/>
  <c r="BD205" s="1"/>
  <c r="AV207"/>
  <c r="AW206"/>
  <c r="G279" i="41"/>
  <c r="F280"/>
  <c r="F292" i="40"/>
  <c r="D295" l="1"/>
  <c r="E295" s="1"/>
  <c r="J295"/>
  <c r="C296"/>
  <c r="F281" i="41"/>
  <c r="F293" i="40"/>
  <c r="G292"/>
  <c r="AV208" i="49"/>
  <c r="BA207"/>
  <c r="BD206" s="1"/>
  <c r="AW207"/>
  <c r="G280" i="41"/>
  <c r="D283"/>
  <c r="E283" s="1"/>
  <c r="J283"/>
  <c r="C284"/>
  <c r="G281" l="1"/>
  <c r="D284"/>
  <c r="E284" s="1"/>
  <c r="J284"/>
  <c r="C285"/>
  <c r="BA208" i="49"/>
  <c r="AV209"/>
  <c r="AW208"/>
  <c r="G293" i="40"/>
  <c r="D296"/>
  <c r="E296" s="1"/>
  <c r="J296"/>
  <c r="C297"/>
  <c r="F294"/>
  <c r="F282" i="41"/>
  <c r="BD207" i="49"/>
  <c r="G282" i="41" l="1"/>
  <c r="J297" i="40"/>
  <c r="D297"/>
  <c r="E297" s="1"/>
  <c r="C298"/>
  <c r="F283" i="41"/>
  <c r="D285"/>
  <c r="E285" s="1"/>
  <c r="J285"/>
  <c r="C286"/>
  <c r="G294" i="40"/>
  <c r="F295"/>
  <c r="AV210" i="49"/>
  <c r="BA209"/>
  <c r="BD208" s="1"/>
  <c r="AW209"/>
  <c r="D298" i="40" l="1"/>
  <c r="E298" s="1"/>
  <c r="J298"/>
  <c r="C299"/>
  <c r="G295"/>
  <c r="D286" i="41"/>
  <c r="E286" s="1"/>
  <c r="J286"/>
  <c r="C287"/>
  <c r="BA210" i="49"/>
  <c r="BD209" s="1"/>
  <c r="AV211"/>
  <c r="AW210"/>
  <c r="G283" i="41"/>
  <c r="F284"/>
  <c r="F296" i="40"/>
  <c r="F285" i="41" l="1"/>
  <c r="AV212" i="49"/>
  <c r="BA211"/>
  <c r="BD210" s="1"/>
  <c r="AW211"/>
  <c r="D299" i="40"/>
  <c r="E299" s="1"/>
  <c r="J299"/>
  <c r="C300"/>
  <c r="F297"/>
  <c r="G296"/>
  <c r="G284" i="41"/>
  <c r="D287"/>
  <c r="E287" s="1"/>
  <c r="J287"/>
  <c r="C288"/>
  <c r="D300" i="40" l="1"/>
  <c r="E300" s="1"/>
  <c r="J300"/>
  <c r="C301"/>
  <c r="G285" i="41"/>
  <c r="G297" i="40"/>
  <c r="F298"/>
  <c r="BA212" i="49"/>
  <c r="BD211" s="1"/>
  <c r="AV213"/>
  <c r="AW212"/>
  <c r="D288" i="41"/>
  <c r="E288" s="1"/>
  <c r="J288"/>
  <c r="C289"/>
  <c r="F286"/>
  <c r="F299" i="40" l="1"/>
  <c r="G286" i="41"/>
  <c r="D301" i="40"/>
  <c r="E301" s="1"/>
  <c r="J301"/>
  <c r="C302"/>
  <c r="G298"/>
  <c r="F287" i="41"/>
  <c r="D289"/>
  <c r="E289" s="1"/>
  <c r="J289"/>
  <c r="C290"/>
  <c r="AV214" i="49"/>
  <c r="BA213"/>
  <c r="BD212" s="1"/>
  <c r="AW213"/>
  <c r="D290" i="41" l="1"/>
  <c r="E290" s="1"/>
  <c r="J290"/>
  <c r="C291"/>
  <c r="G299" i="40"/>
  <c r="BA214" i="49"/>
  <c r="BD213" s="1"/>
  <c r="AV215"/>
  <c r="AW214"/>
  <c r="G287" i="41"/>
  <c r="D302" i="40"/>
  <c r="E302" s="1"/>
  <c r="J302"/>
  <c r="C303"/>
  <c r="F300"/>
  <c r="F288" i="41"/>
  <c r="F289" l="1"/>
  <c r="D303" i="40"/>
  <c r="E303" s="1"/>
  <c r="J303"/>
  <c r="C304"/>
  <c r="G288" i="41"/>
  <c r="D291"/>
  <c r="E291" s="1"/>
  <c r="J291"/>
  <c r="C292"/>
  <c r="G300" i="40"/>
  <c r="F301"/>
  <c r="AV216" i="49"/>
  <c r="BA215"/>
  <c r="BD214" s="1"/>
  <c r="AW215"/>
  <c r="D304" i="40" l="1"/>
  <c r="E304" s="1"/>
  <c r="J304"/>
  <c r="C305"/>
  <c r="G301"/>
  <c r="D292" i="41"/>
  <c r="E292" s="1"/>
  <c r="J292"/>
  <c r="C293"/>
  <c r="G289"/>
  <c r="BA216" i="49"/>
  <c r="AV217"/>
  <c r="AW216"/>
  <c r="F302" i="40"/>
  <c r="BD215" i="49"/>
  <c r="F290" i="41"/>
  <c r="BD216" i="49" l="1"/>
  <c r="F303" i="40"/>
  <c r="G290" i="41"/>
  <c r="J305" i="40"/>
  <c r="D305"/>
  <c r="E305" s="1"/>
  <c r="C306"/>
  <c r="AV218" i="49"/>
  <c r="BA217"/>
  <c r="AW217"/>
  <c r="F291" i="41"/>
  <c r="G302" i="40"/>
  <c r="D293" i="41"/>
  <c r="E293" s="1"/>
  <c r="J293"/>
  <c r="C294"/>
  <c r="G291" l="1"/>
  <c r="F304" i="40"/>
  <c r="G303"/>
  <c r="F292" i="41"/>
  <c r="BA218" i="49"/>
  <c r="BD217" s="1"/>
  <c r="AV219"/>
  <c r="AW218"/>
  <c r="D294" i="41"/>
  <c r="E294" s="1"/>
  <c r="J294"/>
  <c r="C295"/>
  <c r="D306" i="40"/>
  <c r="E306" s="1"/>
  <c r="J306"/>
  <c r="C307"/>
  <c r="F293" i="41" l="1"/>
  <c r="D307" i="40"/>
  <c r="E307" s="1"/>
  <c r="J307"/>
  <c r="C308"/>
  <c r="D295" i="41"/>
  <c r="E295" s="1"/>
  <c r="J295"/>
  <c r="C296"/>
  <c r="AV220" i="49"/>
  <c r="BA219"/>
  <c r="BD218" s="1"/>
  <c r="AW219"/>
  <c r="F305" i="40"/>
  <c r="G292" i="41"/>
  <c r="G304" i="40"/>
  <c r="F294" i="41" l="1"/>
  <c r="G293"/>
  <c r="F306" i="40"/>
  <c r="BA220" i="49"/>
  <c r="AV221"/>
  <c r="AW220"/>
  <c r="D308" i="40"/>
  <c r="E308" s="1"/>
  <c r="J308"/>
  <c r="C309"/>
  <c r="G305"/>
  <c r="D296" i="41"/>
  <c r="E296" s="1"/>
  <c r="J296"/>
  <c r="C297"/>
  <c r="BD219" i="49"/>
  <c r="J309" i="40" l="1"/>
  <c r="D309"/>
  <c r="E309" s="1"/>
  <c r="C310"/>
  <c r="AV222" i="49"/>
  <c r="BA221"/>
  <c r="AW221"/>
  <c r="D297" i="41"/>
  <c r="E297" s="1"/>
  <c r="J297"/>
  <c r="C298"/>
  <c r="G306" i="40"/>
  <c r="G294" i="41"/>
  <c r="F307" i="40"/>
  <c r="BD220" i="49"/>
  <c r="F295" i="41"/>
  <c r="D298" l="1"/>
  <c r="E298" s="1"/>
  <c r="J298"/>
  <c r="C299"/>
  <c r="F308" i="40"/>
  <c r="G295" i="41"/>
  <c r="D310" i="40"/>
  <c r="E310" s="1"/>
  <c r="J310"/>
  <c r="C311"/>
  <c r="G307"/>
  <c r="F296" i="41"/>
  <c r="BA222" i="49"/>
  <c r="BD221" s="1"/>
  <c r="AV223"/>
  <c r="AW222"/>
  <c r="F297" i="41" l="1"/>
  <c r="G308" i="40"/>
  <c r="G296" i="41"/>
  <c r="D311" i="40"/>
  <c r="E311" s="1"/>
  <c r="J311"/>
  <c r="C312"/>
  <c r="AV224" i="49"/>
  <c r="BA223"/>
  <c r="AW223"/>
  <c r="D299" i="41"/>
  <c r="E299" s="1"/>
  <c r="J299"/>
  <c r="C300"/>
  <c r="BD222" i="49"/>
  <c r="F309" i="40"/>
  <c r="D312" l="1"/>
  <c r="E312" s="1"/>
  <c r="J312"/>
  <c r="C313"/>
  <c r="F298" i="41"/>
  <c r="BA224" i="49"/>
  <c r="AV225"/>
  <c r="AW224"/>
  <c r="G297" i="41"/>
  <c r="F310" i="40"/>
  <c r="G309"/>
  <c r="D300" i="41"/>
  <c r="E300" s="1"/>
  <c r="J300"/>
  <c r="C301"/>
  <c r="BD223" i="49"/>
  <c r="F311" i="40" l="1"/>
  <c r="D301" i="41"/>
  <c r="E301" s="1"/>
  <c r="J301"/>
  <c r="C302"/>
  <c r="G310" i="40"/>
  <c r="G298" i="41"/>
  <c r="J313" i="40"/>
  <c r="D313"/>
  <c r="E313" s="1"/>
  <c r="C314"/>
  <c r="F299" i="41"/>
  <c r="AV226" i="49"/>
  <c r="BA225"/>
  <c r="BD224" s="1"/>
  <c r="AW225"/>
  <c r="BA226" l="1"/>
  <c r="BD225" s="1"/>
  <c r="AV227"/>
  <c r="AW226"/>
  <c r="D314" i="40"/>
  <c r="E314" s="1"/>
  <c r="J314"/>
  <c r="C315"/>
  <c r="D302" i="41"/>
  <c r="E302" s="1"/>
  <c r="J302"/>
  <c r="C303"/>
  <c r="G299"/>
  <c r="G311" i="40"/>
  <c r="F312"/>
  <c r="F300" i="41"/>
  <c r="G312" i="40" l="1"/>
  <c r="D303" i="41"/>
  <c r="E303" s="1"/>
  <c r="J303"/>
  <c r="C304"/>
  <c r="G300"/>
  <c r="D315" i="40"/>
  <c r="E315" s="1"/>
  <c r="J315"/>
  <c r="C316"/>
  <c r="AV228" i="49"/>
  <c r="BA227"/>
  <c r="BD226" s="1"/>
  <c r="AW227"/>
  <c r="F313" i="40"/>
  <c r="F301" i="41"/>
  <c r="F314" i="40" l="1"/>
  <c r="D304" i="41"/>
  <c r="E304" s="1"/>
  <c r="J304"/>
  <c r="C305"/>
  <c r="G301"/>
  <c r="G313" i="40"/>
  <c r="D316"/>
  <c r="E316" s="1"/>
  <c r="J316"/>
  <c r="C317"/>
  <c r="BA228" i="49"/>
  <c r="BD227" s="1"/>
  <c r="AV229"/>
  <c r="AW228"/>
  <c r="F302" i="41"/>
  <c r="AV230" i="49" l="1"/>
  <c r="BA229"/>
  <c r="AW229"/>
  <c r="D317" i="40"/>
  <c r="E317" s="1"/>
  <c r="J317"/>
  <c r="C318"/>
  <c r="G302" i="41"/>
  <c r="G314" i="40"/>
  <c r="D305" i="41"/>
  <c r="E305" s="1"/>
  <c r="J305"/>
  <c r="C306"/>
  <c r="BD228" i="49"/>
  <c r="F315" i="40"/>
  <c r="F303" i="41"/>
  <c r="G303" l="1"/>
  <c r="F316" i="40"/>
  <c r="BA230" i="49"/>
  <c r="BD229" s="1"/>
  <c r="AV231"/>
  <c r="AW230"/>
  <c r="D318" i="40"/>
  <c r="E318" s="1"/>
  <c r="J318"/>
  <c r="C319"/>
  <c r="G315"/>
  <c r="D306" i="41"/>
  <c r="E306" s="1"/>
  <c r="J306"/>
  <c r="C307"/>
  <c r="F304"/>
  <c r="F317" i="40" l="1"/>
  <c r="F305" i="41"/>
  <c r="G304"/>
  <c r="D319" i="40"/>
  <c r="E319" s="1"/>
  <c r="J319"/>
  <c r="C320"/>
  <c r="AV232" i="49"/>
  <c r="BA231"/>
  <c r="BD230" s="1"/>
  <c r="AW231"/>
  <c r="D307" i="41"/>
  <c r="E307" s="1"/>
  <c r="J307"/>
  <c r="C308"/>
  <c r="G316" i="40"/>
  <c r="F306" i="41" l="1"/>
  <c r="BA232" i="49"/>
  <c r="AV233"/>
  <c r="AW232"/>
  <c r="D308" i="41"/>
  <c r="E308" s="1"/>
  <c r="J308"/>
  <c r="C309"/>
  <c r="G305"/>
  <c r="BD231" i="49"/>
  <c r="G317" i="40"/>
  <c r="D320"/>
  <c r="E320" s="1"/>
  <c r="J320"/>
  <c r="C321"/>
  <c r="F318"/>
  <c r="F319" l="1"/>
  <c r="J321"/>
  <c r="D321"/>
  <c r="E321" s="1"/>
  <c r="C322"/>
  <c r="D309" i="41"/>
  <c r="E309" s="1"/>
  <c r="J309"/>
  <c r="C310"/>
  <c r="AV234" i="49"/>
  <c r="BA233"/>
  <c r="BD232" s="1"/>
  <c r="AW233"/>
  <c r="G318" i="40"/>
  <c r="G306" i="41"/>
  <c r="F307"/>
  <c r="G307" l="1"/>
  <c r="D310"/>
  <c r="E310" s="1"/>
  <c r="J310"/>
  <c r="C311"/>
  <c r="BA234" i="49"/>
  <c r="AV235"/>
  <c r="AW234"/>
  <c r="D322" i="40"/>
  <c r="E322" s="1"/>
  <c r="J322"/>
  <c r="C323"/>
  <c r="F308" i="41"/>
  <c r="G319" i="40"/>
  <c r="F320"/>
  <c r="BD233" i="49"/>
  <c r="G320" i="40" l="1"/>
  <c r="D311" i="41"/>
  <c r="E311" s="1"/>
  <c r="J311"/>
  <c r="C312"/>
  <c r="G308"/>
  <c r="F321" i="40"/>
  <c r="F309" i="41"/>
  <c r="D323" i="40"/>
  <c r="E323" s="1"/>
  <c r="J323"/>
  <c r="C324"/>
  <c r="AV236" i="49"/>
  <c r="BA235"/>
  <c r="BD234" s="1"/>
  <c r="AW235"/>
  <c r="F322" i="40" l="1"/>
  <c r="BA236" i="49"/>
  <c r="AV237"/>
  <c r="AW236"/>
  <c r="G321" i="40"/>
  <c r="D312" i="41"/>
  <c r="E312" s="1"/>
  <c r="J312"/>
  <c r="C313"/>
  <c r="BD235" i="49"/>
  <c r="D324" i="40"/>
  <c r="E324" s="1"/>
  <c r="J324"/>
  <c r="C325"/>
  <c r="G309" i="41"/>
  <c r="F310"/>
  <c r="F311" l="1"/>
  <c r="AV238" i="49"/>
  <c r="BA237"/>
  <c r="BD236" s="1"/>
  <c r="AW237"/>
  <c r="F323" i="40"/>
  <c r="G322"/>
  <c r="G310" i="41"/>
  <c r="J325" i="40"/>
  <c r="D325"/>
  <c r="E325" s="1"/>
  <c r="C326"/>
  <c r="D313" i="41"/>
  <c r="E313" s="1"/>
  <c r="J313"/>
  <c r="C314"/>
  <c r="F324" i="40" l="1"/>
  <c r="G311" i="41"/>
  <c r="D314"/>
  <c r="E314" s="1"/>
  <c r="J314"/>
  <c r="C315"/>
  <c r="D326" i="40"/>
  <c r="E326" s="1"/>
  <c r="J326"/>
  <c r="C327"/>
  <c r="BA238" i="49"/>
  <c r="BD237" s="1"/>
  <c r="AV239"/>
  <c r="AW238"/>
  <c r="F312" i="41"/>
  <c r="G323" i="40"/>
  <c r="F313" i="41" l="1"/>
  <c r="D327" i="40"/>
  <c r="E327" s="1"/>
  <c r="J327"/>
  <c r="C328"/>
  <c r="G324"/>
  <c r="D315" i="41"/>
  <c r="E315" s="1"/>
  <c r="J315"/>
  <c r="C316"/>
  <c r="AV240" i="49"/>
  <c r="BA239"/>
  <c r="BD238" s="1"/>
  <c r="AW239"/>
  <c r="G312" i="41"/>
  <c r="F325" i="40"/>
  <c r="D328" l="1"/>
  <c r="E328" s="1"/>
  <c r="J328"/>
  <c r="C329"/>
  <c r="G325"/>
  <c r="D316" i="41"/>
  <c r="E316" s="1"/>
  <c r="J316"/>
  <c r="C317"/>
  <c r="G313"/>
  <c r="F314"/>
  <c r="BA240" i="49"/>
  <c r="BD239" s="1"/>
  <c r="AV241"/>
  <c r="AW240"/>
  <c r="F326" i="40"/>
  <c r="G314" i="41" l="1"/>
  <c r="F315"/>
  <c r="J329" i="40"/>
  <c r="D329"/>
  <c r="E329" s="1"/>
  <c r="C330"/>
  <c r="F327"/>
  <c r="G326"/>
  <c r="AV242" i="49"/>
  <c r="BA241"/>
  <c r="BD240" s="1"/>
  <c r="AW241"/>
  <c r="D317" i="41"/>
  <c r="E317" s="1"/>
  <c r="J317"/>
  <c r="C318"/>
  <c r="F328" i="40" l="1"/>
  <c r="D330"/>
  <c r="E330" s="1"/>
  <c r="J330"/>
  <c r="C331"/>
  <c r="G327"/>
  <c r="D318" i="41"/>
  <c r="E318" s="1"/>
  <c r="J318"/>
  <c r="C319"/>
  <c r="F316"/>
  <c r="BA242" i="49"/>
  <c r="BD241" s="1"/>
  <c r="AV243"/>
  <c r="AW242"/>
  <c r="G315" i="41"/>
  <c r="D319" l="1"/>
  <c r="E319" s="1"/>
  <c r="J319"/>
  <c r="C320"/>
  <c r="F329" i="40"/>
  <c r="D331"/>
  <c r="E331" s="1"/>
  <c r="J331"/>
  <c r="C332"/>
  <c r="G328"/>
  <c r="AV244" i="49"/>
  <c r="BA243"/>
  <c r="BD242" s="1"/>
  <c r="AW243"/>
  <c r="G316" i="41"/>
  <c r="F317"/>
  <c r="G329" i="40" l="1"/>
  <c r="F330"/>
  <c r="BA244" i="49"/>
  <c r="BD243" s="1"/>
  <c r="AV245"/>
  <c r="AW244"/>
  <c r="D320" i="41"/>
  <c r="E320" s="1"/>
  <c r="J320"/>
  <c r="C321"/>
  <c r="F318"/>
  <c r="G317"/>
  <c r="D332" i="40"/>
  <c r="E332" s="1"/>
  <c r="J332"/>
  <c r="C333"/>
  <c r="F319" i="41" l="1"/>
  <c r="D333" i="40"/>
  <c r="E333" s="1"/>
  <c r="J333"/>
  <c r="C334"/>
  <c r="D321" i="41"/>
  <c r="E321" s="1"/>
  <c r="J321"/>
  <c r="C322"/>
  <c r="AV246" i="49"/>
  <c r="BA245"/>
  <c r="BD244" s="1"/>
  <c r="AW245"/>
  <c r="G318" i="41"/>
  <c r="F331" i="40"/>
  <c r="G330"/>
  <c r="BA246" i="49" l="1"/>
  <c r="BD245" s="1"/>
  <c r="AV247"/>
  <c r="AW246"/>
  <c r="D334" i="40"/>
  <c r="E334" s="1"/>
  <c r="J334"/>
  <c r="C335"/>
  <c r="F320" i="41"/>
  <c r="F332" i="40"/>
  <c r="G319" i="41"/>
  <c r="G331" i="40"/>
  <c r="D322" i="41"/>
  <c r="E322" s="1"/>
  <c r="J322"/>
  <c r="C323"/>
  <c r="F333" i="40" l="1"/>
  <c r="D323" i="41"/>
  <c r="E323" s="1"/>
  <c r="J323"/>
  <c r="C324"/>
  <c r="G332" i="40"/>
  <c r="D335"/>
  <c r="E335" s="1"/>
  <c r="J335"/>
  <c r="C336"/>
  <c r="AV248" i="49"/>
  <c r="BA247"/>
  <c r="BD246" s="1"/>
  <c r="AW247"/>
  <c r="G320" i="41"/>
  <c r="F321"/>
  <c r="D336" i="40" l="1"/>
  <c r="E336" s="1"/>
  <c r="J336"/>
  <c r="C337"/>
  <c r="G333"/>
  <c r="BA248" i="49"/>
  <c r="BD247" s="1"/>
  <c r="AV249"/>
  <c r="AW248"/>
  <c r="F322" i="41"/>
  <c r="D324"/>
  <c r="E324" s="1"/>
  <c r="J324"/>
  <c r="C325"/>
  <c r="G321"/>
  <c r="F334" i="40"/>
  <c r="F335" l="1"/>
  <c r="D325" i="41"/>
  <c r="E325" s="1"/>
  <c r="J325"/>
  <c r="C326"/>
  <c r="G322"/>
  <c r="J337" i="40"/>
  <c r="D337"/>
  <c r="E337" s="1"/>
  <c r="C338"/>
  <c r="G334"/>
  <c r="F323" i="41"/>
  <c r="AV250" i="49"/>
  <c r="BA249"/>
  <c r="BD248" s="1"/>
  <c r="AW249"/>
  <c r="F336" i="40" l="1"/>
  <c r="D326" i="41"/>
  <c r="E326" s="1"/>
  <c r="J326"/>
  <c r="C327"/>
  <c r="D338" i="40"/>
  <c r="E338" s="1"/>
  <c r="J338"/>
  <c r="C339"/>
  <c r="F324" i="41"/>
  <c r="G323"/>
  <c r="G335" i="40"/>
  <c r="BA250" i="49"/>
  <c r="BD249" s="1"/>
  <c r="AV251"/>
  <c r="AW250"/>
  <c r="F337" i="40" l="1"/>
  <c r="G336"/>
  <c r="F325" i="41"/>
  <c r="AV252" i="49"/>
  <c r="BA251"/>
  <c r="AW251"/>
  <c r="D327" i="41"/>
  <c r="E327" s="1"/>
  <c r="J327"/>
  <c r="C328"/>
  <c r="G324"/>
  <c r="D339" i="40"/>
  <c r="E339" s="1"/>
  <c r="J339"/>
  <c r="C340"/>
  <c r="F338" l="1"/>
  <c r="D328" i="41"/>
  <c r="E328" s="1"/>
  <c r="J328"/>
  <c r="C329"/>
  <c r="D340" i="40"/>
  <c r="E340" s="1"/>
  <c r="J340"/>
  <c r="C341"/>
  <c r="G325" i="41"/>
  <c r="G337" i="40"/>
  <c r="BD250" i="49"/>
  <c r="F326" i="41"/>
  <c r="BA252" i="49"/>
  <c r="BD251" s="1"/>
  <c r="AV253"/>
  <c r="AW252"/>
  <c r="J341" i="40" l="1"/>
  <c r="D341"/>
  <c r="E341" s="1"/>
  <c r="C342"/>
  <c r="D329" i="41"/>
  <c r="E329" s="1"/>
  <c r="J329"/>
  <c r="C330"/>
  <c r="F339" i="40"/>
  <c r="G338"/>
  <c r="AV254" i="49"/>
  <c r="BA253"/>
  <c r="BD252" s="1"/>
  <c r="AW253"/>
  <c r="G326" i="41"/>
  <c r="F327"/>
  <c r="G327" l="1"/>
  <c r="F340" i="40"/>
  <c r="BA254" i="49"/>
  <c r="BD253" s="1"/>
  <c r="AV255"/>
  <c r="AW254"/>
  <c r="D342" i="40"/>
  <c r="E342" s="1"/>
  <c r="J342"/>
  <c r="C343"/>
  <c r="D330" i="41"/>
  <c r="E330" s="1"/>
  <c r="J330"/>
  <c r="C331"/>
  <c r="G339" i="40"/>
  <c r="F328" i="41"/>
  <c r="F341" i="40" l="1"/>
  <c r="G328" i="41"/>
  <c r="D331"/>
  <c r="E331" s="1"/>
  <c r="J331"/>
  <c r="C332"/>
  <c r="D343" i="40"/>
  <c r="E343" s="1"/>
  <c r="J343"/>
  <c r="C344"/>
  <c r="AV256" i="49"/>
  <c r="BA255"/>
  <c r="BD254" s="1"/>
  <c r="AW255"/>
  <c r="F329" i="41"/>
  <c r="G340" i="40"/>
  <c r="F330" i="41" l="1"/>
  <c r="D344" i="40"/>
  <c r="E344" s="1"/>
  <c r="J344"/>
  <c r="C345"/>
  <c r="G341"/>
  <c r="BA256" i="49"/>
  <c r="BD255" s="1"/>
  <c r="AV257"/>
  <c r="AW256"/>
  <c r="D332" i="41"/>
  <c r="E332" s="1"/>
  <c r="J332"/>
  <c r="C333"/>
  <c r="G329"/>
  <c r="F342" i="40"/>
  <c r="D333" i="41" l="1"/>
  <c r="E333" s="1"/>
  <c r="J333"/>
  <c r="C334"/>
  <c r="F343" i="40"/>
  <c r="J345"/>
  <c r="D345"/>
  <c r="E345" s="1"/>
  <c r="C346"/>
  <c r="G342"/>
  <c r="AV258" i="49"/>
  <c r="BA257"/>
  <c r="AW257"/>
  <c r="G330" i="41"/>
  <c r="F331"/>
  <c r="BD256" i="49"/>
  <c r="G343" i="40" l="1"/>
  <c r="G331" i="41"/>
  <c r="F344" i="40"/>
  <c r="D334" i="41"/>
  <c r="E334" s="1"/>
  <c r="J334"/>
  <c r="C335"/>
  <c r="F332"/>
  <c r="BA258" i="49"/>
  <c r="BD257" s="1"/>
  <c r="AV259"/>
  <c r="AW258"/>
  <c r="D346" i="40"/>
  <c r="E346" s="1"/>
  <c r="J346"/>
  <c r="C347"/>
  <c r="D347" l="1"/>
  <c r="E347" s="1"/>
  <c r="J347"/>
  <c r="C348"/>
  <c r="G332" i="41"/>
  <c r="F333"/>
  <c r="D335"/>
  <c r="E335" s="1"/>
  <c r="J335"/>
  <c r="C336"/>
  <c r="AV260" i="49"/>
  <c r="BA259"/>
  <c r="BD258" s="1"/>
  <c r="AW259"/>
  <c r="G344" i="40"/>
  <c r="F345"/>
  <c r="F346" l="1"/>
  <c r="D336" i="41"/>
  <c r="E336" s="1"/>
  <c r="J336"/>
  <c r="C337"/>
  <c r="BA260" i="49"/>
  <c r="BD259" s="1"/>
  <c r="AV261"/>
  <c r="AW260"/>
  <c r="G333" i="41"/>
  <c r="D348" i="40"/>
  <c r="E348" s="1"/>
  <c r="J348"/>
  <c r="C349"/>
  <c r="G345"/>
  <c r="F334" i="41"/>
  <c r="D349" i="40" l="1"/>
  <c r="E349" s="1"/>
  <c r="J349"/>
  <c r="C350"/>
  <c r="G346"/>
  <c r="F335" i="41"/>
  <c r="D337"/>
  <c r="E337" s="1"/>
  <c r="J337"/>
  <c r="C338"/>
  <c r="G334"/>
  <c r="F347" i="40"/>
  <c r="AV262" i="49"/>
  <c r="BA261"/>
  <c r="BD260" s="1"/>
  <c r="AW261"/>
  <c r="G347" i="40" l="1"/>
  <c r="D338" i="41"/>
  <c r="E338" s="1"/>
  <c r="J338"/>
  <c r="C339"/>
  <c r="BA262" i="49"/>
  <c r="BD261" s="1"/>
  <c r="AV263"/>
  <c r="AW262"/>
  <c r="G335" i="41"/>
  <c r="D350" i="40"/>
  <c r="E350" s="1"/>
  <c r="J350"/>
  <c r="C351"/>
  <c r="F348"/>
  <c r="F336" i="41"/>
  <c r="D339" l="1"/>
  <c r="E339" s="1"/>
  <c r="J339"/>
  <c r="C340"/>
  <c r="D351" i="40"/>
  <c r="E351" s="1"/>
  <c r="J351"/>
  <c r="C352"/>
  <c r="F337" i="41"/>
  <c r="G336"/>
  <c r="G348" i="40"/>
  <c r="F349"/>
  <c r="AV264" i="49"/>
  <c r="BA263"/>
  <c r="BD262" s="1"/>
  <c r="AW263"/>
  <c r="F338" i="41" l="1"/>
  <c r="G349" i="40"/>
  <c r="D352"/>
  <c r="E352" s="1"/>
  <c r="J352"/>
  <c r="C353"/>
  <c r="BA264" i="49"/>
  <c r="BD263" s="1"/>
  <c r="AV265"/>
  <c r="AW264"/>
  <c r="D340" i="41"/>
  <c r="E340" s="1"/>
  <c r="J340"/>
  <c r="C341"/>
  <c r="G337"/>
  <c r="F350" i="40"/>
  <c r="F351" l="1"/>
  <c r="G350"/>
  <c r="D341" i="41"/>
  <c r="E341" s="1"/>
  <c r="J341"/>
  <c r="C342"/>
  <c r="AV266" i="49"/>
  <c r="BA265"/>
  <c r="BD264" s="1"/>
  <c r="AW265"/>
  <c r="G338" i="41"/>
  <c r="J353" i="40"/>
  <c r="D353"/>
  <c r="E353" s="1"/>
  <c r="C354"/>
  <c r="F339" i="41"/>
  <c r="F340" l="1"/>
  <c r="G339"/>
  <c r="G351" i="40"/>
  <c r="D342" i="41"/>
  <c r="E342" s="1"/>
  <c r="J342"/>
  <c r="C343"/>
  <c r="F352" i="40"/>
  <c r="D354"/>
  <c r="E354" s="1"/>
  <c r="J354"/>
  <c r="C355"/>
  <c r="BA266" i="49"/>
  <c r="BD265" s="1"/>
  <c r="AV267"/>
  <c r="AW266"/>
  <c r="F353" i="40" l="1"/>
  <c r="G340" i="41"/>
  <c r="F341"/>
  <c r="D343"/>
  <c r="E343" s="1"/>
  <c r="J343"/>
  <c r="C344"/>
  <c r="AV268" i="49"/>
  <c r="BA267"/>
  <c r="AW267"/>
  <c r="D355" i="40"/>
  <c r="E355" s="1"/>
  <c r="J355"/>
  <c r="C356"/>
  <c r="G352"/>
  <c r="BD266" i="49"/>
  <c r="F354" i="40" l="1"/>
  <c r="BA268" i="49"/>
  <c r="AV269"/>
  <c r="AW268"/>
  <c r="F342" i="41"/>
  <c r="D344"/>
  <c r="E344" s="1"/>
  <c r="J344"/>
  <c r="C345"/>
  <c r="G341"/>
  <c r="G353" i="40"/>
  <c r="D356"/>
  <c r="E356" s="1"/>
  <c r="J356"/>
  <c r="C357"/>
  <c r="BD267" i="49"/>
  <c r="F343" i="41" l="1"/>
  <c r="AV270" i="49"/>
  <c r="BA269"/>
  <c r="BD268" s="1"/>
  <c r="AW269"/>
  <c r="J357" i="40"/>
  <c r="D357"/>
  <c r="E357" s="1"/>
  <c r="C358"/>
  <c r="G354"/>
  <c r="D345" i="41"/>
  <c r="E345" s="1"/>
  <c r="J345"/>
  <c r="C346"/>
  <c r="F355" i="40"/>
  <c r="G342" i="41"/>
  <c r="G355" i="40" l="1"/>
  <c r="D358"/>
  <c r="E358" s="1"/>
  <c r="J358"/>
  <c r="C359"/>
  <c r="D346" i="41"/>
  <c r="E346" s="1"/>
  <c r="J346"/>
  <c r="C347"/>
  <c r="G343"/>
  <c r="BA270" i="49"/>
  <c r="BD269" s="1"/>
  <c r="AV271"/>
  <c r="AW270"/>
  <c r="F344" i="41"/>
  <c r="F356" i="40"/>
  <c r="D359" l="1"/>
  <c r="E359" s="1"/>
  <c r="J359"/>
  <c r="C360"/>
  <c r="G356"/>
  <c r="F357"/>
  <c r="AV272" i="49"/>
  <c r="BA271"/>
  <c r="BD270" s="1"/>
  <c r="AW271"/>
  <c r="F345" i="41"/>
  <c r="G344"/>
  <c r="D347"/>
  <c r="E347" s="1"/>
  <c r="J347"/>
  <c r="C348"/>
  <c r="F358" i="40" l="1"/>
  <c r="D348" i="41"/>
  <c r="E348" s="1"/>
  <c r="J348"/>
  <c r="C349"/>
  <c r="G357" i="40"/>
  <c r="D360"/>
  <c r="E360" s="1"/>
  <c r="J360"/>
  <c r="C361"/>
  <c r="G345" i="41"/>
  <c r="F346"/>
  <c r="BA272" i="49"/>
  <c r="BD271" s="1"/>
  <c r="AV273"/>
  <c r="AW272"/>
  <c r="D349" i="41" l="1"/>
  <c r="E349" s="1"/>
  <c r="J349"/>
  <c r="C350"/>
  <c r="G358" i="40"/>
  <c r="G346" i="41"/>
  <c r="F347"/>
  <c r="AV274" i="49"/>
  <c r="BA273"/>
  <c r="AW273"/>
  <c r="J361" i="40"/>
  <c r="D361"/>
  <c r="E361" s="1"/>
  <c r="C362"/>
  <c r="F359"/>
  <c r="BD272" i="49"/>
  <c r="G347" i="41" l="1"/>
  <c r="F360" i="40"/>
  <c r="D350" i="41"/>
  <c r="E350" s="1"/>
  <c r="J350"/>
  <c r="C351"/>
  <c r="F348"/>
  <c r="G359" i="40"/>
  <c r="BA274" i="49"/>
  <c r="BD273" s="1"/>
  <c r="AV275"/>
  <c r="AW274"/>
  <c r="D362" i="40"/>
  <c r="E362" s="1"/>
  <c r="J362"/>
  <c r="C363"/>
  <c r="F349" i="41" l="1"/>
  <c r="D363" i="40"/>
  <c r="E363" s="1"/>
  <c r="J363"/>
  <c r="C364"/>
  <c r="AV276" i="49"/>
  <c r="BA275"/>
  <c r="AW275"/>
  <c r="D351" i="41"/>
  <c r="E351" s="1"/>
  <c r="J351"/>
  <c r="C352"/>
  <c r="G348"/>
  <c r="F361" i="40"/>
  <c r="G360"/>
  <c r="BD274" i="49"/>
  <c r="D364" i="40" l="1"/>
  <c r="E364" s="1"/>
  <c r="J364"/>
  <c r="C365"/>
  <c r="BA276" i="49"/>
  <c r="BD275" s="1"/>
  <c r="AV277"/>
  <c r="AW276"/>
  <c r="F362" i="40"/>
  <c r="F350" i="41"/>
  <c r="G349"/>
  <c r="G361" i="40"/>
  <c r="D352" i="41"/>
  <c r="E352" s="1"/>
  <c r="J352"/>
  <c r="C353"/>
  <c r="G362" i="40" l="1"/>
  <c r="D353" i="41"/>
  <c r="E353" s="1"/>
  <c r="J353"/>
  <c r="C354"/>
  <c r="AV278" i="49"/>
  <c r="BA277"/>
  <c r="AW277"/>
  <c r="G350" i="41"/>
  <c r="D365" i="40"/>
  <c r="E365" s="1"/>
  <c r="J365"/>
  <c r="C366"/>
  <c r="F363"/>
  <c r="F351" i="41"/>
  <c r="BD276" i="49"/>
  <c r="G351" i="41" l="1"/>
  <c r="BA278" i="49"/>
  <c r="AV279"/>
  <c r="AW278"/>
  <c r="F352" i="41"/>
  <c r="D354"/>
  <c r="E354" s="1"/>
  <c r="J354"/>
  <c r="C355"/>
  <c r="D366" i="40"/>
  <c r="E366" s="1"/>
  <c r="J366"/>
  <c r="C367"/>
  <c r="G363"/>
  <c r="F364"/>
  <c r="BD277" i="49"/>
  <c r="F353" i="41" l="1"/>
  <c r="AV280" i="49"/>
  <c r="BA279"/>
  <c r="AW279"/>
  <c r="G364" i="40"/>
  <c r="D367"/>
  <c r="E367" s="1"/>
  <c r="J367"/>
  <c r="C368"/>
  <c r="D355" i="41"/>
  <c r="E355" s="1"/>
  <c r="J355"/>
  <c r="C356"/>
  <c r="BD278" i="49"/>
  <c r="F365" i="40"/>
  <c r="G352" i="41"/>
  <c r="F366" i="40" l="1"/>
  <c r="D356" i="41"/>
  <c r="E356" s="1"/>
  <c r="J356"/>
  <c r="C357"/>
  <c r="G353"/>
  <c r="D368" i="40"/>
  <c r="E368" s="1"/>
  <c r="J368"/>
  <c r="C369"/>
  <c r="BA280" i="49"/>
  <c r="BD279" s="1"/>
  <c r="AV281"/>
  <c r="AW280"/>
  <c r="G365" i="40"/>
  <c r="F354" i="41"/>
  <c r="AV282" i="49" l="1"/>
  <c r="BA281"/>
  <c r="AW281"/>
  <c r="G354" i="41"/>
  <c r="J369" i="40"/>
  <c r="D369"/>
  <c r="E369" s="1"/>
  <c r="C370"/>
  <c r="G366"/>
  <c r="F355" i="41"/>
  <c r="BD280" i="49"/>
  <c r="D357" i="41"/>
  <c r="E357" s="1"/>
  <c r="J357"/>
  <c r="C358"/>
  <c r="F367" i="40"/>
  <c r="D358" i="41" l="1"/>
  <c r="E358" s="1"/>
  <c r="J358"/>
  <c r="C359"/>
  <c r="D370" i="40"/>
  <c r="E370" s="1"/>
  <c r="J370"/>
  <c r="C371"/>
  <c r="BA282" i="49"/>
  <c r="BD281" s="1"/>
  <c r="AV283"/>
  <c r="AW282"/>
  <c r="G367" i="40"/>
  <c r="F356" i="41"/>
  <c r="G355"/>
  <c r="F368" i="40"/>
  <c r="BD282" i="49" l="1"/>
  <c r="F357" i="41"/>
  <c r="G356"/>
  <c r="D371" i="40"/>
  <c r="E371" s="1"/>
  <c r="J371"/>
  <c r="C372"/>
  <c r="G368"/>
  <c r="D359" i="41"/>
  <c r="E359" s="1"/>
  <c r="J359"/>
  <c r="C360"/>
  <c r="AV284" i="49"/>
  <c r="BA283"/>
  <c r="AW283"/>
  <c r="F369" i="40"/>
  <c r="F370" l="1"/>
  <c r="F358" i="41"/>
  <c r="G357"/>
  <c r="D360"/>
  <c r="E360" s="1"/>
  <c r="J360"/>
  <c r="C361"/>
  <c r="BA284" i="49"/>
  <c r="AV285"/>
  <c r="AW284"/>
  <c r="G369" i="40"/>
  <c r="D372"/>
  <c r="E372" s="1"/>
  <c r="J372"/>
  <c r="C373"/>
  <c r="BD283" i="49"/>
  <c r="D361" i="41" l="1"/>
  <c r="E361" s="1"/>
  <c r="J361"/>
  <c r="C362"/>
  <c r="J373" i="40"/>
  <c r="D373"/>
  <c r="E373" s="1"/>
  <c r="C374"/>
  <c r="G370"/>
  <c r="F359" i="41"/>
  <c r="F371" i="40"/>
  <c r="AV286" i="49"/>
  <c r="BA285"/>
  <c r="BD284" s="1"/>
  <c r="AW285"/>
  <c r="G358" i="41"/>
  <c r="BD285" i="49" l="1"/>
  <c r="F372" i="40"/>
  <c r="D374"/>
  <c r="E374" s="1"/>
  <c r="J374"/>
  <c r="C375"/>
  <c r="D362" i="41"/>
  <c r="E362" s="1"/>
  <c r="J362"/>
  <c r="C363"/>
  <c r="BA286" i="49"/>
  <c r="AV287"/>
  <c r="AW286"/>
  <c r="F360" i="41"/>
  <c r="G359"/>
  <c r="G371" i="40"/>
  <c r="D375" l="1"/>
  <c r="E375" s="1"/>
  <c r="J375"/>
  <c r="C376"/>
  <c r="G360" i="41"/>
  <c r="F361"/>
  <c r="G372" i="40"/>
  <c r="D363" i="41"/>
  <c r="E363" s="1"/>
  <c r="J363"/>
  <c r="C364"/>
  <c r="AV288" i="49"/>
  <c r="BA287"/>
  <c r="BD286" s="1"/>
  <c r="AW287"/>
  <c r="F373" i="40"/>
  <c r="F374" l="1"/>
  <c r="G373"/>
  <c r="G361" i="41"/>
  <c r="D376" i="40"/>
  <c r="E376" s="1"/>
  <c r="J376"/>
  <c r="C377"/>
  <c r="BA288" i="49"/>
  <c r="BD287" s="1"/>
  <c r="AV289"/>
  <c r="AW288"/>
  <c r="F362" i="41"/>
  <c r="D364"/>
  <c r="E364" s="1"/>
  <c r="J364"/>
  <c r="C365"/>
  <c r="F363" l="1"/>
  <c r="AV290" i="49"/>
  <c r="BA289"/>
  <c r="BD288" s="1"/>
  <c r="AW289"/>
  <c r="J377" i="40"/>
  <c r="D377"/>
  <c r="E377" s="1"/>
  <c r="C378"/>
  <c r="D365" i="41"/>
  <c r="E365" s="1"/>
  <c r="J365"/>
  <c r="C366"/>
  <c r="G374" i="40"/>
  <c r="G362" i="41"/>
  <c r="F375" i="40"/>
  <c r="F364" i="41" l="1"/>
  <c r="G363"/>
  <c r="G375" i="40"/>
  <c r="BA290" i="49"/>
  <c r="BD289" s="1"/>
  <c r="AV291"/>
  <c r="AW290"/>
  <c r="D378" i="40"/>
  <c r="E378" s="1"/>
  <c r="J378"/>
  <c r="C379"/>
  <c r="D366" i="41"/>
  <c r="E366" s="1"/>
  <c r="J366"/>
  <c r="C367"/>
  <c r="F376" i="40"/>
  <c r="BD290" i="49" l="1"/>
  <c r="D379" i="40"/>
  <c r="E379" s="1"/>
  <c r="J379"/>
  <c r="C380"/>
  <c r="G376"/>
  <c r="F377"/>
  <c r="AV292" i="49"/>
  <c r="BA291"/>
  <c r="AW291"/>
  <c r="F365" i="41"/>
  <c r="G364"/>
  <c r="D367"/>
  <c r="E367" s="1"/>
  <c r="J367"/>
  <c r="C368"/>
  <c r="BD291" i="49" l="1"/>
  <c r="F378" i="40"/>
  <c r="D368" i="41"/>
  <c r="E368" s="1"/>
  <c r="J368"/>
  <c r="C369"/>
  <c r="F366"/>
  <c r="BA292" i="49"/>
  <c r="AV293"/>
  <c r="AW292"/>
  <c r="G365" i="41"/>
  <c r="G377" i="40"/>
  <c r="D380"/>
  <c r="E380" s="1"/>
  <c r="J380"/>
  <c r="C381"/>
  <c r="F379" l="1"/>
  <c r="D369" i="41"/>
  <c r="E369" s="1"/>
  <c r="J369"/>
  <c r="C370"/>
  <c r="D381" i="40"/>
  <c r="E381" s="1"/>
  <c r="J381"/>
  <c r="C382"/>
  <c r="AV294" i="49"/>
  <c r="BA293"/>
  <c r="BD292" s="1"/>
  <c r="AW293"/>
  <c r="G378" i="40"/>
  <c r="G366" i="41"/>
  <c r="F367"/>
  <c r="F380" i="40" l="1"/>
  <c r="F368" i="41"/>
  <c r="BA294" i="49"/>
  <c r="BD293" s="1"/>
  <c r="AV295"/>
  <c r="AW294"/>
  <c r="D370" i="41"/>
  <c r="E370" s="1"/>
  <c r="J370"/>
  <c r="C371"/>
  <c r="G367"/>
  <c r="G379" i="40"/>
  <c r="D382"/>
  <c r="E382" s="1"/>
  <c r="J382"/>
  <c r="C383"/>
  <c r="F369" i="41" l="1"/>
  <c r="D383" i="40"/>
  <c r="E383" s="1"/>
  <c r="J383"/>
  <c r="C384"/>
  <c r="G380"/>
  <c r="D371" i="41"/>
  <c r="E371" s="1"/>
  <c r="J371"/>
  <c r="C372"/>
  <c r="AV296" i="49"/>
  <c r="BA295"/>
  <c r="BD294" s="1"/>
  <c r="AW295"/>
  <c r="F381" i="40"/>
  <c r="G368" i="41"/>
  <c r="D372" l="1"/>
  <c r="E372" s="1"/>
  <c r="J372"/>
  <c r="C373"/>
  <c r="G369"/>
  <c r="BA296" i="49"/>
  <c r="BD295" s="1"/>
  <c r="AV297"/>
  <c r="AW296"/>
  <c r="F382" i="40"/>
  <c r="D384"/>
  <c r="E384" s="1"/>
  <c r="J384"/>
  <c r="C385"/>
  <c r="G381"/>
  <c r="F370" i="41"/>
  <c r="F371" l="1"/>
  <c r="G370"/>
  <c r="J385" i="40"/>
  <c r="D385"/>
  <c r="E385" s="1"/>
  <c r="C386"/>
  <c r="G382"/>
  <c r="D373" i="41"/>
  <c r="E373" s="1"/>
  <c r="J373"/>
  <c r="C374"/>
  <c r="F383" i="40"/>
  <c r="AV298" i="49"/>
  <c r="BA297"/>
  <c r="BD296" s="1"/>
  <c r="AW297"/>
  <c r="F384" i="40" l="1"/>
  <c r="G371" i="41"/>
  <c r="BA298" i="49"/>
  <c r="BD297" s="1"/>
  <c r="AV299"/>
  <c r="AW298"/>
  <c r="D386" i="40"/>
  <c r="E386" s="1"/>
  <c r="J386"/>
  <c r="C387"/>
  <c r="G383"/>
  <c r="F372" i="41"/>
  <c r="D374"/>
  <c r="E374" s="1"/>
  <c r="J374"/>
  <c r="C375"/>
  <c r="D375" l="1"/>
  <c r="E375" s="1"/>
  <c r="J375"/>
  <c r="C376"/>
  <c r="G384" i="40"/>
  <c r="G372" i="41"/>
  <c r="D387" i="40"/>
  <c r="E387" s="1"/>
  <c r="J387"/>
  <c r="C388"/>
  <c r="AV300" i="49"/>
  <c r="BA299"/>
  <c r="BD298" s="1"/>
  <c r="AW299"/>
  <c r="F385" i="40"/>
  <c r="F373" i="41"/>
  <c r="F374" l="1"/>
  <c r="G373"/>
  <c r="D388" i="40"/>
  <c r="E388" s="1"/>
  <c r="J388"/>
  <c r="C389"/>
  <c r="BA300" i="49"/>
  <c r="BD299" s="1"/>
  <c r="AV301"/>
  <c r="AW300"/>
  <c r="D376" i="41"/>
  <c r="E376" s="1"/>
  <c r="J376"/>
  <c r="C377"/>
  <c r="G385" i="40"/>
  <c r="F386"/>
  <c r="F387" l="1"/>
  <c r="G386"/>
  <c r="D377" i="41"/>
  <c r="E377" s="1"/>
  <c r="J377"/>
  <c r="C378"/>
  <c r="AV302" i="49"/>
  <c r="BA301"/>
  <c r="BD300" s="1"/>
  <c r="AW301"/>
  <c r="G374" i="41"/>
  <c r="J389" i="40"/>
  <c r="D389"/>
  <c r="E389" s="1"/>
  <c r="C390"/>
  <c r="F375" i="41"/>
  <c r="F376" l="1"/>
  <c r="G375"/>
  <c r="G387" i="40"/>
  <c r="D378" i="41"/>
  <c r="E378" s="1"/>
  <c r="J378"/>
  <c r="C379"/>
  <c r="F388" i="40"/>
  <c r="D390"/>
  <c r="E390" s="1"/>
  <c r="J390"/>
  <c r="C391"/>
  <c r="BA302" i="49"/>
  <c r="BD301" s="1"/>
  <c r="AV303"/>
  <c r="AW302"/>
  <c r="D379" i="41" l="1"/>
  <c r="E379" s="1"/>
  <c r="J379"/>
  <c r="C380"/>
  <c r="G376"/>
  <c r="F377"/>
  <c r="F389" i="40"/>
  <c r="AV304" i="49"/>
  <c r="BA303"/>
  <c r="AW303"/>
  <c r="D391" i="40"/>
  <c r="E391" s="1"/>
  <c r="J391"/>
  <c r="C392"/>
  <c r="G388"/>
  <c r="BD302" i="49"/>
  <c r="G389" i="40" l="1"/>
  <c r="F378" i="41"/>
  <c r="G377"/>
  <c r="D380"/>
  <c r="E380" s="1"/>
  <c r="J380"/>
  <c r="C381"/>
  <c r="F390" i="40"/>
  <c r="BA304" i="49"/>
  <c r="BD303" s="1"/>
  <c r="AV305"/>
  <c r="AW304"/>
  <c r="D392" i="40"/>
  <c r="E392" s="1"/>
  <c r="J392"/>
  <c r="C393"/>
  <c r="D381" i="41" l="1"/>
  <c r="E381" s="1"/>
  <c r="J381"/>
  <c r="C382"/>
  <c r="G390" i="40"/>
  <c r="F379" i="41"/>
  <c r="J393" i="40"/>
  <c r="D393"/>
  <c r="E393" s="1"/>
  <c r="C394"/>
  <c r="AV306" i="49"/>
  <c r="BA305"/>
  <c r="AW305"/>
  <c r="F391" i="40"/>
  <c r="G378" i="41"/>
  <c r="BD304" i="49"/>
  <c r="F392" i="40" l="1"/>
  <c r="D394"/>
  <c r="E394" s="1"/>
  <c r="J394"/>
  <c r="C395"/>
  <c r="BA306" i="49"/>
  <c r="BD305" s="1"/>
  <c r="AV307"/>
  <c r="AW306"/>
  <c r="G379" i="41"/>
  <c r="D382"/>
  <c r="E382" s="1"/>
  <c r="J382"/>
  <c r="C383"/>
  <c r="F380"/>
  <c r="G391" i="40"/>
  <c r="D395" l="1"/>
  <c r="E395" s="1"/>
  <c r="J395"/>
  <c r="C396"/>
  <c r="D383" i="41"/>
  <c r="E383" s="1"/>
  <c r="J383"/>
  <c r="C384"/>
  <c r="G392" i="40"/>
  <c r="F393"/>
  <c r="G380" i="41"/>
  <c r="F381"/>
  <c r="AV308" i="49"/>
  <c r="BA307"/>
  <c r="BD306" s="1"/>
  <c r="AW307"/>
  <c r="F394" i="40" l="1"/>
  <c r="G381" i="41"/>
  <c r="G393" i="40"/>
  <c r="D384" i="41"/>
  <c r="E384" s="1"/>
  <c r="J384"/>
  <c r="C385"/>
  <c r="BA308" i="49"/>
  <c r="BD307" s="1"/>
  <c r="AV309"/>
  <c r="AW308"/>
  <c r="D396" i="40"/>
  <c r="E396" s="1"/>
  <c r="J396"/>
  <c r="C397"/>
  <c r="F382" i="41"/>
  <c r="F395" i="40" l="1"/>
  <c r="F383" i="41"/>
  <c r="D385"/>
  <c r="E385" s="1"/>
  <c r="J385"/>
  <c r="C386"/>
  <c r="G382"/>
  <c r="G394" i="40"/>
  <c r="D397"/>
  <c r="E397" s="1"/>
  <c r="J397"/>
  <c r="C398"/>
  <c r="AV310" i="49"/>
  <c r="BA309"/>
  <c r="BD308" s="1"/>
  <c r="AW309"/>
  <c r="F384" i="41" l="1"/>
  <c r="D398" i="40"/>
  <c r="E398" s="1"/>
  <c r="J398"/>
  <c r="C399"/>
  <c r="G395"/>
  <c r="BA310" i="49"/>
  <c r="BD309" s="1"/>
  <c r="AV311"/>
  <c r="AW310"/>
  <c r="D386" i="41"/>
  <c r="E386" s="1"/>
  <c r="J386"/>
  <c r="C387"/>
  <c r="F396" i="40"/>
  <c r="G383" i="41"/>
  <c r="D399" i="40" l="1"/>
  <c r="E399" s="1"/>
  <c r="J399"/>
  <c r="C400"/>
  <c r="G384" i="41"/>
  <c r="F397" i="40"/>
  <c r="D387" i="41"/>
  <c r="E387" s="1"/>
  <c r="J387"/>
  <c r="C388"/>
  <c r="AV312" i="49"/>
  <c r="BA311"/>
  <c r="BD310" s="1"/>
  <c r="AW311"/>
  <c r="G396" i="40"/>
  <c r="F385" i="41"/>
  <c r="G385" l="1"/>
  <c r="D388"/>
  <c r="E388" s="1"/>
  <c r="J388"/>
  <c r="C389"/>
  <c r="BA312" i="49"/>
  <c r="BD311" s="1"/>
  <c r="AV313"/>
  <c r="AW312"/>
  <c r="G397" i="40"/>
  <c r="D400"/>
  <c r="E400" s="1"/>
  <c r="J400"/>
  <c r="C401"/>
  <c r="F398"/>
  <c r="F386" i="41"/>
  <c r="D389" l="1"/>
  <c r="E389" s="1"/>
  <c r="J389"/>
  <c r="C390"/>
  <c r="J401" i="40"/>
  <c r="D401"/>
  <c r="E401" s="1"/>
  <c r="C402"/>
  <c r="F387" i="41"/>
  <c r="G386"/>
  <c r="G398" i="40"/>
  <c r="F399"/>
  <c r="AV314" i="49"/>
  <c r="BA313"/>
  <c r="BD312" s="1"/>
  <c r="AW313"/>
  <c r="F388" i="41" l="1"/>
  <c r="G399" i="40"/>
  <c r="D402"/>
  <c r="E402" s="1"/>
  <c r="J402"/>
  <c r="C403"/>
  <c r="BA314" i="49"/>
  <c r="BD313" s="1"/>
  <c r="AV315"/>
  <c r="AW314"/>
  <c r="D390" i="41"/>
  <c r="E390" s="1"/>
  <c r="J390"/>
  <c r="C391"/>
  <c r="F400" i="40"/>
  <c r="G387" i="41"/>
  <c r="D391" l="1"/>
  <c r="E391" s="1"/>
  <c r="J391"/>
  <c r="C392"/>
  <c r="AV316" i="49"/>
  <c r="BA315"/>
  <c r="BD314" s="1"/>
  <c r="AW315"/>
  <c r="G388" i="41"/>
  <c r="D403" i="40"/>
  <c r="E403" s="1"/>
  <c r="J403"/>
  <c r="C404"/>
  <c r="F401"/>
  <c r="G400"/>
  <c r="F389" i="41"/>
  <c r="F402" i="40" l="1"/>
  <c r="D392" i="41"/>
  <c r="E392" s="1"/>
  <c r="J392"/>
  <c r="C393"/>
  <c r="F390"/>
  <c r="G389"/>
  <c r="G401" i="40"/>
  <c r="D404"/>
  <c r="E404" s="1"/>
  <c r="J404"/>
  <c r="C405"/>
  <c r="BA316" i="49"/>
  <c r="AV317"/>
  <c r="AW316"/>
  <c r="BD315"/>
  <c r="BD316" l="1"/>
  <c r="J405" i="40"/>
  <c r="D405"/>
  <c r="E405" s="1"/>
  <c r="C406"/>
  <c r="G390" i="41"/>
  <c r="F391"/>
  <c r="AV318" i="49"/>
  <c r="BA317"/>
  <c r="AW317"/>
  <c r="D393" i="41"/>
  <c r="E393" s="1"/>
  <c r="J393"/>
  <c r="C394"/>
  <c r="G402" i="40"/>
  <c r="F403"/>
  <c r="BA318" i="49" l="1"/>
  <c r="BD317" s="1"/>
  <c r="AV319"/>
  <c r="AW318"/>
  <c r="G403" i="40"/>
  <c r="F404"/>
  <c r="F392" i="41"/>
  <c r="D394"/>
  <c r="E394" s="1"/>
  <c r="J394"/>
  <c r="C395"/>
  <c r="G391"/>
  <c r="D406" i="40"/>
  <c r="E406" s="1"/>
  <c r="J406"/>
  <c r="C407"/>
  <c r="F393" i="41" l="1"/>
  <c r="AV320" i="49"/>
  <c r="BA319"/>
  <c r="BD318" s="1"/>
  <c r="AW319"/>
  <c r="D395" i="41"/>
  <c r="E395" s="1"/>
  <c r="J395"/>
  <c r="C396"/>
  <c r="D407" i="40"/>
  <c r="E407" s="1"/>
  <c r="J407"/>
  <c r="C408"/>
  <c r="G392" i="41"/>
  <c r="F405" i="40"/>
  <c r="G404"/>
  <c r="D396" i="41" l="1"/>
  <c r="E396" s="1"/>
  <c r="J396"/>
  <c r="C397"/>
  <c r="F394"/>
  <c r="BA320" i="49"/>
  <c r="BD319" s="1"/>
  <c r="AV321"/>
  <c r="AW320"/>
  <c r="F406" i="40"/>
  <c r="G393" i="41"/>
  <c r="G405" i="40"/>
  <c r="D408"/>
  <c r="E408" s="1"/>
  <c r="J408"/>
  <c r="C409"/>
  <c r="F395" i="41" l="1"/>
  <c r="J409" i="40"/>
  <c r="D409"/>
  <c r="E409" s="1"/>
  <c r="C410"/>
  <c r="G406"/>
  <c r="D397" i="41"/>
  <c r="E397" s="1"/>
  <c r="J397"/>
  <c r="C398"/>
  <c r="G394"/>
  <c r="F407" i="40"/>
  <c r="AV322" i="49"/>
  <c r="BA321"/>
  <c r="BD320" s="1"/>
  <c r="AW321"/>
  <c r="D410" i="40" l="1"/>
  <c r="E410" s="1"/>
  <c r="J410"/>
  <c r="C411"/>
  <c r="G407"/>
  <c r="D398" i="41"/>
  <c r="E398" s="1"/>
  <c r="J398"/>
  <c r="C399"/>
  <c r="G395"/>
  <c r="BA322" i="49"/>
  <c r="BD321" s="1"/>
  <c r="AV323"/>
  <c r="AW322"/>
  <c r="F396" i="41"/>
  <c r="F408" i="40"/>
  <c r="G396" i="41" l="1"/>
  <c r="AV324" i="49"/>
  <c r="BA323"/>
  <c r="AW323"/>
  <c r="F397" i="41"/>
  <c r="G408" i="40"/>
  <c r="D411"/>
  <c r="E411" s="1"/>
  <c r="J411"/>
  <c r="C412"/>
  <c r="BD322" i="49"/>
  <c r="F409" i="40"/>
  <c r="D399" i="41"/>
  <c r="E399" s="1"/>
  <c r="J399"/>
  <c r="C400"/>
  <c r="D412" i="40" l="1"/>
  <c r="E412" s="1"/>
  <c r="J412"/>
  <c r="C413"/>
  <c r="F410"/>
  <c r="BA324" i="49"/>
  <c r="BD323" s="1"/>
  <c r="AV325"/>
  <c r="AW324"/>
  <c r="F398" i="41"/>
  <c r="D400"/>
  <c r="E400" s="1"/>
  <c r="J400"/>
  <c r="C401"/>
  <c r="G409" i="40"/>
  <c r="G397" i="41"/>
  <c r="F411" i="40" l="1"/>
  <c r="D401" i="41"/>
  <c r="E401" s="1"/>
  <c r="J401"/>
  <c r="C402"/>
  <c r="G398"/>
  <c r="D413" i="40"/>
  <c r="E413" s="1"/>
  <c r="J413"/>
  <c r="C414"/>
  <c r="G410"/>
  <c r="F399" i="41"/>
  <c r="AV326" i="49"/>
  <c r="BA325"/>
  <c r="BD324" s="1"/>
  <c r="AW325"/>
  <c r="D402" i="41" l="1"/>
  <c r="E402" s="1"/>
  <c r="J402"/>
  <c r="C403"/>
  <c r="D414" i="40"/>
  <c r="E414" s="1"/>
  <c r="J414"/>
  <c r="C415"/>
  <c r="G411"/>
  <c r="BA326" i="49"/>
  <c r="BD325" s="1"/>
  <c r="AV327"/>
  <c r="AW326"/>
  <c r="F400" i="41"/>
  <c r="G399"/>
  <c r="F412" i="40"/>
  <c r="F401" i="41" l="1"/>
  <c r="G412" i="40"/>
  <c r="G400" i="41"/>
  <c r="D415" i="40"/>
  <c r="E415" s="1"/>
  <c r="J415"/>
  <c r="C416"/>
  <c r="AV328" i="49"/>
  <c r="BA327"/>
  <c r="BD326" s="1"/>
  <c r="AW327"/>
  <c r="D403" i="41"/>
  <c r="E403" s="1"/>
  <c r="J403"/>
  <c r="C404"/>
  <c r="F413" i="40"/>
  <c r="D416" l="1"/>
  <c r="E416" s="1"/>
  <c r="J416"/>
  <c r="C417"/>
  <c r="G413"/>
  <c r="F414"/>
  <c r="F402" i="41"/>
  <c r="BA328" i="49"/>
  <c r="AV329"/>
  <c r="AW328"/>
  <c r="G401" i="41"/>
  <c r="D404"/>
  <c r="E404" s="1"/>
  <c r="J404"/>
  <c r="C405"/>
  <c r="BD327" i="49"/>
  <c r="F415" i="40" l="1"/>
  <c r="D405" i="41"/>
  <c r="E405" s="1"/>
  <c r="J405"/>
  <c r="C406"/>
  <c r="G414" i="40"/>
  <c r="J417"/>
  <c r="D417"/>
  <c r="E417" s="1"/>
  <c r="C418"/>
  <c r="G402" i="41"/>
  <c r="F403"/>
  <c r="AV330" i="49"/>
  <c r="BA329"/>
  <c r="BD328" s="1"/>
  <c r="AW329"/>
  <c r="G403" i="41" l="1"/>
  <c r="F404"/>
  <c r="F416" i="40"/>
  <c r="D406" i="41"/>
  <c r="E406" s="1"/>
  <c r="J406"/>
  <c r="C407"/>
  <c r="D418" i="40"/>
  <c r="E418" s="1"/>
  <c r="J418"/>
  <c r="C419"/>
  <c r="G415"/>
  <c r="BA330" i="49"/>
  <c r="BD329" s="1"/>
  <c r="AV331"/>
  <c r="AW330"/>
  <c r="AV332" l="1"/>
  <c r="BA331"/>
  <c r="BD330" s="1"/>
  <c r="AW331"/>
  <c r="D407" i="41"/>
  <c r="E407" s="1"/>
  <c r="J407"/>
  <c r="C408"/>
  <c r="F405"/>
  <c r="F417" i="40"/>
  <c r="G416"/>
  <c r="D419"/>
  <c r="E419" s="1"/>
  <c r="J419"/>
  <c r="C420"/>
  <c r="G404" i="41"/>
  <c r="BD331" i="49" l="1"/>
  <c r="G405" i="41"/>
  <c r="F418" i="40"/>
  <c r="G417"/>
  <c r="D408" i="41"/>
  <c r="E408" s="1"/>
  <c r="J408"/>
  <c r="C409"/>
  <c r="F406"/>
  <c r="BA332" i="49"/>
  <c r="AV333"/>
  <c r="AW332"/>
  <c r="D420" i="40"/>
  <c r="E420" s="1"/>
  <c r="J420"/>
  <c r="C421"/>
  <c r="G406" i="41" l="1"/>
  <c r="F419" i="40"/>
  <c r="G418"/>
  <c r="D409" i="41"/>
  <c r="E409" s="1"/>
  <c r="J409"/>
  <c r="C410"/>
  <c r="J421" i="40"/>
  <c r="D421"/>
  <c r="E421" s="1"/>
  <c r="C422"/>
  <c r="AV334" i="49"/>
  <c r="BA333"/>
  <c r="BD332" s="1"/>
  <c r="AW333"/>
  <c r="F407" i="41"/>
  <c r="BD333" i="49" l="1"/>
  <c r="D410" i="41"/>
  <c r="E410" s="1"/>
  <c r="J410"/>
  <c r="C411"/>
  <c r="F408"/>
  <c r="BA334" i="49"/>
  <c r="AV335"/>
  <c r="AW334"/>
  <c r="G407" i="41"/>
  <c r="F420" i="40"/>
  <c r="D422"/>
  <c r="E422" s="1"/>
  <c r="J422"/>
  <c r="C423"/>
  <c r="G419"/>
  <c r="AV336" i="49" l="1"/>
  <c r="BA335"/>
  <c r="BD334" s="1"/>
  <c r="AW335"/>
  <c r="G420" i="40"/>
  <c r="G408" i="41"/>
  <c r="F421" i="40"/>
  <c r="D423"/>
  <c r="E423" s="1"/>
  <c r="J423"/>
  <c r="C424"/>
  <c r="F409" i="41"/>
  <c r="D411"/>
  <c r="E411" s="1"/>
  <c r="J411"/>
  <c r="C412"/>
  <c r="F410" l="1"/>
  <c r="BA336" i="49"/>
  <c r="AV337"/>
  <c r="AW336"/>
  <c r="D424" i="40"/>
  <c r="E424" s="1"/>
  <c r="J424"/>
  <c r="C425"/>
  <c r="G421"/>
  <c r="D412" i="41"/>
  <c r="E412" s="1"/>
  <c r="J412"/>
  <c r="C413"/>
  <c r="BD335" i="49"/>
  <c r="G409" i="41"/>
  <c r="F422" i="40"/>
  <c r="BD336" i="49" l="1"/>
  <c r="J425" i="40"/>
  <c r="D425"/>
  <c r="E425" s="1"/>
  <c r="C426"/>
  <c r="G422"/>
  <c r="F423"/>
  <c r="AV338" i="49"/>
  <c r="BA337"/>
  <c r="AW337"/>
  <c r="D413" i="41"/>
  <c r="E413" s="1"/>
  <c r="J413"/>
  <c r="C414"/>
  <c r="G410"/>
  <c r="F411"/>
  <c r="F412" l="1"/>
  <c r="G411"/>
  <c r="F424" i="40"/>
  <c r="BA338" i="49"/>
  <c r="AV339"/>
  <c r="AW338"/>
  <c r="D414" i="41"/>
  <c r="E414" s="1"/>
  <c r="J414"/>
  <c r="C415"/>
  <c r="G423" i="40"/>
  <c r="D426"/>
  <c r="E426" s="1"/>
  <c r="J426"/>
  <c r="C427"/>
  <c r="BD337" i="49"/>
  <c r="D415" i="41" l="1"/>
  <c r="E415" s="1"/>
  <c r="J415"/>
  <c r="C416"/>
  <c r="AV340" i="49"/>
  <c r="BA339"/>
  <c r="BD338" s="1"/>
  <c r="AW339"/>
  <c r="D427" i="40"/>
  <c r="E427" s="1"/>
  <c r="J427"/>
  <c r="C428"/>
  <c r="G424"/>
  <c r="F413" i="41"/>
  <c r="G412"/>
  <c r="F425" i="40"/>
  <c r="F414" i="41" l="1"/>
  <c r="G413"/>
  <c r="D428" i="40"/>
  <c r="E428" s="1"/>
  <c r="J428"/>
  <c r="C429"/>
  <c r="G425"/>
  <c r="D416" i="41"/>
  <c r="E416" s="1"/>
  <c r="J416"/>
  <c r="C417"/>
  <c r="F426" i="40"/>
  <c r="BA340" i="49"/>
  <c r="BD339" s="1"/>
  <c r="AV341"/>
  <c r="AW340"/>
  <c r="F427" i="40" l="1"/>
  <c r="AV342" i="49"/>
  <c r="BA341"/>
  <c r="AW341"/>
  <c r="G414" i="41"/>
  <c r="G426" i="40"/>
  <c r="D429"/>
  <c r="E429" s="1"/>
  <c r="J429"/>
  <c r="C430"/>
  <c r="F415" i="41"/>
  <c r="D417"/>
  <c r="E417" s="1"/>
  <c r="J417"/>
  <c r="C418"/>
  <c r="BD340" i="49"/>
  <c r="D430" i="40" l="1"/>
  <c r="E430" s="1"/>
  <c r="J430"/>
  <c r="C431"/>
  <c r="D418" i="41"/>
  <c r="E418" s="1"/>
  <c r="J418"/>
  <c r="C419"/>
  <c r="G415"/>
  <c r="F428" i="40"/>
  <c r="BA342" i="49"/>
  <c r="BD341" s="1"/>
  <c r="AV343"/>
  <c r="AW342"/>
  <c r="G427" i="40"/>
  <c r="F416" i="41"/>
  <c r="BD342" i="49" l="1"/>
  <c r="F429" i="40"/>
  <c r="G416" i="41"/>
  <c r="G428" i="40"/>
  <c r="D419" i="41"/>
  <c r="E419" s="1"/>
  <c r="J419"/>
  <c r="C420"/>
  <c r="D431" i="40"/>
  <c r="E431" s="1"/>
  <c r="J431"/>
  <c r="C432"/>
  <c r="AV344" i="49"/>
  <c r="BA343"/>
  <c r="AW343"/>
  <c r="F417" i="41"/>
  <c r="D432" i="40" l="1"/>
  <c r="E432" s="1"/>
  <c r="J432"/>
  <c r="C433"/>
  <c r="F430"/>
  <c r="G429"/>
  <c r="BA344" i="49"/>
  <c r="BD343" s="1"/>
  <c r="AV345"/>
  <c r="AW344"/>
  <c r="D420" i="41"/>
  <c r="E420" s="1"/>
  <c r="J420"/>
  <c r="C421"/>
  <c r="G417"/>
  <c r="F418"/>
  <c r="F431" i="40" l="1"/>
  <c r="G418" i="41"/>
  <c r="D421"/>
  <c r="E421" s="1"/>
  <c r="J421"/>
  <c r="C422"/>
  <c r="AV346" i="49"/>
  <c r="BA345"/>
  <c r="BD344" s="1"/>
  <c r="AW345"/>
  <c r="J433" i="40"/>
  <c r="D433"/>
  <c r="E433" s="1"/>
  <c r="C434"/>
  <c r="G430"/>
  <c r="F419" i="41"/>
  <c r="F432" i="40" l="1"/>
  <c r="D434"/>
  <c r="E434" s="1"/>
  <c r="J434"/>
  <c r="C435"/>
  <c r="D422" i="41"/>
  <c r="E422" s="1"/>
  <c r="J422"/>
  <c r="C423"/>
  <c r="F420"/>
  <c r="G419"/>
  <c r="G431" i="40"/>
  <c r="BA346" i="49"/>
  <c r="BD345" s="1"/>
  <c r="AV347"/>
  <c r="AW346"/>
  <c r="F421" i="41" l="1"/>
  <c r="F433" i="40"/>
  <c r="D435"/>
  <c r="E435" s="1"/>
  <c r="J435"/>
  <c r="C436"/>
  <c r="AV348" i="49"/>
  <c r="BA347"/>
  <c r="BD346" s="1"/>
  <c r="AW347"/>
  <c r="G432" i="40"/>
  <c r="G420" i="41"/>
  <c r="D423"/>
  <c r="E423" s="1"/>
  <c r="J423"/>
  <c r="C424"/>
  <c r="D424" l="1"/>
  <c r="E424" s="1"/>
  <c r="J424"/>
  <c r="C425"/>
  <c r="G421"/>
  <c r="D436" i="40"/>
  <c r="E436" s="1"/>
  <c r="J436"/>
  <c r="C437"/>
  <c r="BD347" i="49"/>
  <c r="F434" i="40"/>
  <c r="F422" i="41"/>
  <c r="BA348" i="49"/>
  <c r="AV349"/>
  <c r="AW348"/>
  <c r="G433" i="40"/>
  <c r="G422" i="41" l="1"/>
  <c r="F435" i="40"/>
  <c r="G434"/>
  <c r="D425" i="41"/>
  <c r="E425" s="1"/>
  <c r="J425"/>
  <c r="C426"/>
  <c r="F423"/>
  <c r="AV350" i="49"/>
  <c r="BA349"/>
  <c r="BD348" s="1"/>
  <c r="AW349"/>
  <c r="J437" i="40"/>
  <c r="D437"/>
  <c r="E437" s="1"/>
  <c r="C438"/>
  <c r="F424" i="41" l="1"/>
  <c r="F436" i="40"/>
  <c r="D426" i="41"/>
  <c r="E426" s="1"/>
  <c r="J426"/>
  <c r="C427"/>
  <c r="D438" i="40"/>
  <c r="E438" s="1"/>
  <c r="J438"/>
  <c r="C439"/>
  <c r="G423" i="41"/>
  <c r="BA350" i="49"/>
  <c r="BD349" s="1"/>
  <c r="AV351"/>
  <c r="AW350"/>
  <c r="G435" i="40"/>
  <c r="F425" i="41" l="1"/>
  <c r="D439" i="40"/>
  <c r="E439" s="1"/>
  <c r="J439"/>
  <c r="C440"/>
  <c r="F437"/>
  <c r="G436"/>
  <c r="G424" i="41"/>
  <c r="AV352" i="49"/>
  <c r="BA351"/>
  <c r="BD350" s="1"/>
  <c r="AW351"/>
  <c r="D427" i="41"/>
  <c r="E427" s="1"/>
  <c r="J427"/>
  <c r="C428"/>
  <c r="G425" l="1"/>
  <c r="G437" i="40"/>
  <c r="F438"/>
  <c r="D440"/>
  <c r="E440" s="1"/>
  <c r="J440"/>
  <c r="C441"/>
  <c r="D428" i="41"/>
  <c r="E428" s="1"/>
  <c r="J428"/>
  <c r="C429"/>
  <c r="F426"/>
  <c r="BA352" i="49"/>
  <c r="BD351" s="1"/>
  <c r="AV353"/>
  <c r="AW352"/>
  <c r="J441" i="40" l="1"/>
  <c r="D441"/>
  <c r="E441" s="1"/>
  <c r="C442"/>
  <c r="G426" i="41"/>
  <c r="F427"/>
  <c r="D429"/>
  <c r="E429" s="1"/>
  <c r="J429"/>
  <c r="C430"/>
  <c r="AV354" i="49"/>
  <c r="BA353"/>
  <c r="BD352" s="1"/>
  <c r="AW353"/>
  <c r="G438" i="40"/>
  <c r="F439"/>
  <c r="D430" i="41" l="1"/>
  <c r="E430" s="1"/>
  <c r="J430"/>
  <c r="C431"/>
  <c r="F440" i="40"/>
  <c r="BA354" i="49"/>
  <c r="BD353" s="1"/>
  <c r="AV355"/>
  <c r="AW354"/>
  <c r="G427" i="41"/>
  <c r="D442" i="40"/>
  <c r="E442" s="1"/>
  <c r="J442"/>
  <c r="C443"/>
  <c r="G439"/>
  <c r="F428" i="41"/>
  <c r="F429" l="1"/>
  <c r="G428"/>
  <c r="D443" i="40"/>
  <c r="E443" s="1"/>
  <c r="J443"/>
  <c r="C444"/>
  <c r="D431" i="41"/>
  <c r="E431" s="1"/>
  <c r="J431"/>
  <c r="C432"/>
  <c r="G440" i="40"/>
  <c r="F441"/>
  <c r="AV356" i="49"/>
  <c r="BA355"/>
  <c r="BD354" s="1"/>
  <c r="AW355"/>
  <c r="F442" i="40" l="1"/>
  <c r="G441"/>
  <c r="D432" i="41"/>
  <c r="E432" s="1"/>
  <c r="J432"/>
  <c r="C433"/>
  <c r="G429"/>
  <c r="BA356" i="49"/>
  <c r="BD355" s="1"/>
  <c r="AV357"/>
  <c r="AW356"/>
  <c r="D444" i="40"/>
  <c r="E444" s="1"/>
  <c r="J444"/>
  <c r="C445"/>
  <c r="F430" i="41"/>
  <c r="F431" l="1"/>
  <c r="G430"/>
  <c r="D433"/>
  <c r="E433" s="1"/>
  <c r="J433"/>
  <c r="C434"/>
  <c r="F443" i="40"/>
  <c r="G442"/>
  <c r="D445"/>
  <c r="E445" s="1"/>
  <c r="J445"/>
  <c r="C446"/>
  <c r="AV358" i="49"/>
  <c r="BA357"/>
  <c r="BD356" s="1"/>
  <c r="AW357"/>
  <c r="F432" i="41" l="1"/>
  <c r="D446" i="40"/>
  <c r="E446" s="1"/>
  <c r="J446"/>
  <c r="C447"/>
  <c r="G431" i="41"/>
  <c r="BA358" i="49"/>
  <c r="BD357" s="1"/>
  <c r="AV359"/>
  <c r="AW358"/>
  <c r="D434" i="41"/>
  <c r="E434" s="1"/>
  <c r="J434"/>
  <c r="C435"/>
  <c r="G443" i="40"/>
  <c r="F444"/>
  <c r="D435" i="41" l="1"/>
  <c r="E435" s="1"/>
  <c r="J435"/>
  <c r="C436"/>
  <c r="AV360" i="49"/>
  <c r="BA359"/>
  <c r="BD358" s="1"/>
  <c r="AW359"/>
  <c r="F445" i="40"/>
  <c r="D447"/>
  <c r="E447" s="1"/>
  <c r="J447"/>
  <c r="C448"/>
  <c r="G444"/>
  <c r="G432" i="41"/>
  <c r="F433"/>
  <c r="G445" i="40" l="1"/>
  <c r="F434" i="41"/>
  <c r="G433"/>
  <c r="D436"/>
  <c r="E436" s="1"/>
  <c r="J436"/>
  <c r="C437"/>
  <c r="F446" i="40"/>
  <c r="D448"/>
  <c r="E448" s="1"/>
  <c r="J448"/>
  <c r="C449"/>
  <c r="BA360" i="49"/>
  <c r="BD359" s="1"/>
  <c r="AV361"/>
  <c r="AW360"/>
  <c r="F447" i="40" l="1"/>
  <c r="AV362" i="49"/>
  <c r="BA361"/>
  <c r="AW361"/>
  <c r="F435" i="41"/>
  <c r="D437"/>
  <c r="E437" s="1"/>
  <c r="J437"/>
  <c r="C438"/>
  <c r="J449" i="40"/>
  <c r="D449"/>
  <c r="E449" s="1"/>
  <c r="C450"/>
  <c r="G446"/>
  <c r="G434" i="41"/>
  <c r="BD360" i="49"/>
  <c r="F448" i="40" l="1"/>
  <c r="D450"/>
  <c r="E450" s="1"/>
  <c r="J450"/>
  <c r="C451"/>
  <c r="G447"/>
  <c r="D438" i="41"/>
  <c r="E438" s="1"/>
  <c r="J438"/>
  <c r="C439"/>
  <c r="BA362" i="49"/>
  <c r="BD361" s="1"/>
  <c r="AV363"/>
  <c r="AW362"/>
  <c r="F436" i="41"/>
  <c r="G435"/>
  <c r="AV364" i="49" l="1"/>
  <c r="BA363"/>
  <c r="BD362" s="1"/>
  <c r="AW363"/>
  <c r="D451" i="40"/>
  <c r="E451" s="1"/>
  <c r="J451"/>
  <c r="C452"/>
  <c r="G448"/>
  <c r="F449"/>
  <c r="D439" i="41"/>
  <c r="E439" s="1"/>
  <c r="J439"/>
  <c r="C440"/>
  <c r="G436"/>
  <c r="F437"/>
  <c r="F450" i="40" l="1"/>
  <c r="BA364" i="49"/>
  <c r="AV365"/>
  <c r="AW364"/>
  <c r="G437" i="41"/>
  <c r="D440"/>
  <c r="E440" s="1"/>
  <c r="J440"/>
  <c r="C441"/>
  <c r="G449" i="40"/>
  <c r="D452"/>
  <c r="E452" s="1"/>
  <c r="J452"/>
  <c r="C453"/>
  <c r="BD363" i="49"/>
  <c r="F438" i="41"/>
  <c r="BD364" i="49" l="1"/>
  <c r="F451" i="40"/>
  <c r="G450"/>
  <c r="G438" i="41"/>
  <c r="D441"/>
  <c r="E441" s="1"/>
  <c r="J441"/>
  <c r="C442"/>
  <c r="F439"/>
  <c r="AV366" i="49"/>
  <c r="BA365"/>
  <c r="AW365"/>
  <c r="J453" i="40"/>
  <c r="D453"/>
  <c r="E453" s="1"/>
  <c r="C454"/>
  <c r="F452" l="1"/>
  <c r="D442" i="41"/>
  <c r="E442" s="1"/>
  <c r="J442"/>
  <c r="C443"/>
  <c r="D454" i="40"/>
  <c r="E454" s="1"/>
  <c r="J454"/>
  <c r="C455"/>
  <c r="G451"/>
  <c r="BA366" i="49"/>
  <c r="BD365" s="1"/>
  <c r="AV367"/>
  <c r="AW366"/>
  <c r="G439" i="41"/>
  <c r="F440"/>
  <c r="F453" i="40" l="1"/>
  <c r="G452"/>
  <c r="D455"/>
  <c r="E455" s="1"/>
  <c r="J455"/>
  <c r="C456"/>
  <c r="AV368" i="49"/>
  <c r="BA367"/>
  <c r="BD366" s="1"/>
  <c r="AW367"/>
  <c r="D443" i="41"/>
  <c r="E443" s="1"/>
  <c r="J443"/>
  <c r="C444"/>
  <c r="G440"/>
  <c r="F441"/>
  <c r="F454" i="40" l="1"/>
  <c r="G441" i="41"/>
  <c r="D444"/>
  <c r="E444" s="1"/>
  <c r="J444"/>
  <c r="C445"/>
  <c r="G453" i="40"/>
  <c r="D456"/>
  <c r="E456" s="1"/>
  <c r="J456"/>
  <c r="C457"/>
  <c r="F442" i="41"/>
  <c r="BA368" i="49"/>
  <c r="BD367" s="1"/>
  <c r="AV369"/>
  <c r="AW368"/>
  <c r="F455" i="40" l="1"/>
  <c r="G454"/>
  <c r="G442" i="41"/>
  <c r="D445"/>
  <c r="E445" s="1"/>
  <c r="J445"/>
  <c r="C446"/>
  <c r="F443"/>
  <c r="AV370" i="49"/>
  <c r="BA369"/>
  <c r="BD368" s="1"/>
  <c r="AW369"/>
  <c r="J457" i="40"/>
  <c r="D457"/>
  <c r="E457" s="1"/>
  <c r="C458"/>
  <c r="D458" l="1"/>
  <c r="E458" s="1"/>
  <c r="J458"/>
  <c r="C459"/>
  <c r="F444" i="41"/>
  <c r="F456" i="40"/>
  <c r="D446" i="41"/>
  <c r="E446" s="1"/>
  <c r="J446"/>
  <c r="C447"/>
  <c r="G455" i="40"/>
  <c r="G443" i="41"/>
  <c r="BA370" i="49"/>
  <c r="BD369" s="1"/>
  <c r="AV371"/>
  <c r="AW370"/>
  <c r="F457" i="40" l="1"/>
  <c r="D447" i="41"/>
  <c r="E447" s="1"/>
  <c r="J447"/>
  <c r="C448"/>
  <c r="G456" i="40"/>
  <c r="D459"/>
  <c r="E459" s="1"/>
  <c r="J459"/>
  <c r="C460"/>
  <c r="AV372" i="49"/>
  <c r="BA371"/>
  <c r="AW371"/>
  <c r="G444" i="41"/>
  <c r="F445"/>
  <c r="BD371" i="49" l="1"/>
  <c r="D448" i="41"/>
  <c r="E448" s="1"/>
  <c r="J448"/>
  <c r="C449"/>
  <c r="G445"/>
  <c r="D460" i="40"/>
  <c r="E460" s="1"/>
  <c r="J460"/>
  <c r="C461"/>
  <c r="G457"/>
  <c r="F458"/>
  <c r="BA372" i="49"/>
  <c r="AV373"/>
  <c r="AW372"/>
  <c r="F446" i="41"/>
  <c r="BD370" i="49"/>
  <c r="D461" i="40" l="1"/>
  <c r="E461" s="1"/>
  <c r="J461"/>
  <c r="C462"/>
  <c r="G446" i="41"/>
  <c r="F459" i="40"/>
  <c r="G458"/>
  <c r="F447" i="41"/>
  <c r="AV374" i="49"/>
  <c r="BA373"/>
  <c r="BD372" s="1"/>
  <c r="AW373"/>
  <c r="D449" i="41"/>
  <c r="E449" s="1"/>
  <c r="J449"/>
  <c r="C450"/>
  <c r="D450" l="1"/>
  <c r="E450" s="1"/>
  <c r="J450"/>
  <c r="C451"/>
  <c r="G447"/>
  <c r="G459" i="40"/>
  <c r="D462"/>
  <c r="E462" s="1"/>
  <c r="J462"/>
  <c r="C463"/>
  <c r="F460"/>
  <c r="F448" i="41"/>
  <c r="BA374" i="49"/>
  <c r="BD373" s="1"/>
  <c r="AV375"/>
  <c r="AW374"/>
  <c r="F449" i="41" l="1"/>
  <c r="G448"/>
  <c r="D463" i="40"/>
  <c r="E463" s="1"/>
  <c r="J463"/>
  <c r="C464"/>
  <c r="D451" i="41"/>
  <c r="E451" s="1"/>
  <c r="J451"/>
  <c r="C452"/>
  <c r="AV376" i="49"/>
  <c r="BA375"/>
  <c r="AW375"/>
  <c r="G460" i="40"/>
  <c r="F461"/>
  <c r="BD375" i="49" l="1"/>
  <c r="F462" i="40"/>
  <c r="D452" i="41"/>
  <c r="E452" s="1"/>
  <c r="J452"/>
  <c r="C453"/>
  <c r="G449"/>
  <c r="F450"/>
  <c r="G461" i="40"/>
  <c r="BA376" i="49"/>
  <c r="AV377"/>
  <c r="AW376"/>
  <c r="D464" i="40"/>
  <c r="E464" s="1"/>
  <c r="J464"/>
  <c r="C465"/>
  <c r="BD374" i="49"/>
  <c r="F463" i="40" l="1"/>
  <c r="G450" i="41"/>
  <c r="D453"/>
  <c r="E453" s="1"/>
  <c r="J453"/>
  <c r="C454"/>
  <c r="J465" i="40"/>
  <c r="D465"/>
  <c r="E465" s="1"/>
  <c r="C466"/>
  <c r="AV378" i="49"/>
  <c r="BA377"/>
  <c r="BD376" s="1"/>
  <c r="AW377"/>
  <c r="G462" i="40"/>
  <c r="F451" i="41"/>
  <c r="F464" i="40" l="1"/>
  <c r="G463"/>
  <c r="BA378" i="49"/>
  <c r="BD377" s="1"/>
  <c r="AV379"/>
  <c r="AW378"/>
  <c r="D454" i="41"/>
  <c r="E454" s="1"/>
  <c r="J454"/>
  <c r="C455"/>
  <c r="F452"/>
  <c r="G451"/>
  <c r="D466" i="40"/>
  <c r="E466" s="1"/>
  <c r="J466"/>
  <c r="C467"/>
  <c r="F453" i="41" l="1"/>
  <c r="D467" i="40"/>
  <c r="E467" s="1"/>
  <c r="J467"/>
  <c r="C468"/>
  <c r="G464"/>
  <c r="D455" i="41"/>
  <c r="E455" s="1"/>
  <c r="J455"/>
  <c r="C456"/>
  <c r="AV380" i="49"/>
  <c r="BA379"/>
  <c r="BD378" s="1"/>
  <c r="AW379"/>
  <c r="G452" i="41"/>
  <c r="F465" i="40"/>
  <c r="G453" i="41" l="1"/>
  <c r="BA380" i="49"/>
  <c r="BD379" s="1"/>
  <c r="AV381"/>
  <c r="AW380"/>
  <c r="F466" i="40"/>
  <c r="D468"/>
  <c r="E468" s="1"/>
  <c r="J468"/>
  <c r="C469"/>
  <c r="G465"/>
  <c r="D456" i="41"/>
  <c r="E456" s="1"/>
  <c r="J456"/>
  <c r="C457"/>
  <c r="F454"/>
  <c r="F467" i="40" l="1"/>
  <c r="AV382" i="49"/>
  <c r="BA381"/>
  <c r="AW381"/>
  <c r="G454" i="41"/>
  <c r="J469" i="40"/>
  <c r="D469"/>
  <c r="E469" s="1"/>
  <c r="C470"/>
  <c r="BD380" i="49"/>
  <c r="F455" i="41"/>
  <c r="D457"/>
  <c r="E457" s="1"/>
  <c r="J457"/>
  <c r="C458"/>
  <c r="G466" i="40"/>
  <c r="G455" i="41" l="1"/>
  <c r="F456"/>
  <c r="D470" i="40"/>
  <c r="E470" s="1"/>
  <c r="J470"/>
  <c r="C471"/>
  <c r="BA382" i="49"/>
  <c r="BD381" s="1"/>
  <c r="AV383"/>
  <c r="AW382"/>
  <c r="D458" i="41"/>
  <c r="E458" s="1"/>
  <c r="J458"/>
  <c r="C459"/>
  <c r="F468" i="40"/>
  <c r="G467"/>
  <c r="F469" l="1"/>
  <c r="D459" i="41"/>
  <c r="E459" s="1"/>
  <c r="J459"/>
  <c r="C460"/>
  <c r="AV384" i="49"/>
  <c r="BA383"/>
  <c r="AW383"/>
  <c r="D471" i="40"/>
  <c r="E471" s="1"/>
  <c r="J471"/>
  <c r="C472"/>
  <c r="G468"/>
  <c r="F457" i="41"/>
  <c r="G456"/>
  <c r="BD382" i="49"/>
  <c r="F470" i="40" l="1"/>
  <c r="BA384" i="49"/>
  <c r="AV385"/>
  <c r="AW384"/>
  <c r="F458" i="41"/>
  <c r="D460"/>
  <c r="E460" s="1"/>
  <c r="J460"/>
  <c r="C461"/>
  <c r="G469" i="40"/>
  <c r="G457" i="41"/>
  <c r="D472" i="40"/>
  <c r="E472" s="1"/>
  <c r="J472"/>
  <c r="C473"/>
  <c r="BD383" i="49"/>
  <c r="F459" i="41" l="1"/>
  <c r="J473" i="40"/>
  <c r="D473"/>
  <c r="E473" s="1"/>
  <c r="C474"/>
  <c r="G470"/>
  <c r="D461" i="41"/>
  <c r="E461" s="1"/>
  <c r="J461"/>
  <c r="C462"/>
  <c r="AV386" i="49"/>
  <c r="BA385"/>
  <c r="AW385"/>
  <c r="F471" i="40"/>
  <c r="G458" i="41"/>
  <c r="BD385" i="49" l="1"/>
  <c r="G471" i="40"/>
  <c r="F460" i="41"/>
  <c r="D474" i="40"/>
  <c r="E474" s="1"/>
  <c r="J474"/>
  <c r="C475"/>
  <c r="D462" i="41"/>
  <c r="E462" s="1"/>
  <c r="J462"/>
  <c r="C463"/>
  <c r="G459"/>
  <c r="BD384" i="49"/>
  <c r="F472" i="40"/>
  <c r="BA386" i="49"/>
  <c r="AV387"/>
  <c r="AW386"/>
  <c r="F461" i="41" l="1"/>
  <c r="F473" i="40"/>
  <c r="AV388" i="49"/>
  <c r="BA387"/>
  <c r="BD386" s="1"/>
  <c r="AW387"/>
  <c r="D463" i="41"/>
  <c r="E463" s="1"/>
  <c r="J463"/>
  <c r="C464"/>
  <c r="G460"/>
  <c r="G472" i="40"/>
  <c r="D475"/>
  <c r="E475" s="1"/>
  <c r="J475"/>
  <c r="C476"/>
  <c r="BA388" i="49" l="1"/>
  <c r="AV389"/>
  <c r="AW388"/>
  <c r="D476" i="40"/>
  <c r="E476" s="1"/>
  <c r="J476"/>
  <c r="C477"/>
  <c r="G461" i="41"/>
  <c r="D464"/>
  <c r="E464" s="1"/>
  <c r="J464"/>
  <c r="C465"/>
  <c r="BD387" i="49"/>
  <c r="F462" i="41"/>
  <c r="F474" i="40"/>
  <c r="G473"/>
  <c r="F475" l="1"/>
  <c r="G462" i="41"/>
  <c r="D477" i="40"/>
  <c r="E477" s="1"/>
  <c r="J477"/>
  <c r="C478"/>
  <c r="AV390" i="49"/>
  <c r="BA389"/>
  <c r="BD388" s="1"/>
  <c r="AW389"/>
  <c r="G474" i="40"/>
  <c r="F463" i="41"/>
  <c r="D465"/>
  <c r="E465" s="1"/>
  <c r="J465"/>
  <c r="C466"/>
  <c r="F476" i="40" l="1"/>
  <c r="G475"/>
  <c r="G463" i="41"/>
  <c r="D478" i="40"/>
  <c r="E478" s="1"/>
  <c r="J478"/>
  <c r="C479"/>
  <c r="D466" i="41"/>
  <c r="E466" s="1"/>
  <c r="J466"/>
  <c r="C467"/>
  <c r="F464"/>
  <c r="BA390" i="49"/>
  <c r="BD389" s="1"/>
  <c r="AV391"/>
  <c r="AW390"/>
  <c r="D479" i="40" l="1"/>
  <c r="E479" s="1"/>
  <c r="J479"/>
  <c r="C480"/>
  <c r="G476"/>
  <c r="G464" i="41"/>
  <c r="F477" i="40"/>
  <c r="D467" i="41"/>
  <c r="E467" s="1"/>
  <c r="J467"/>
  <c r="C468"/>
  <c r="AV392" i="49"/>
  <c r="BA391"/>
  <c r="BD390" s="1"/>
  <c r="AW391"/>
  <c r="F465" i="41"/>
  <c r="BA392" i="49" l="1"/>
  <c r="BD391" s="1"/>
  <c r="AV393"/>
  <c r="AW392"/>
  <c r="G477" i="40"/>
  <c r="F466" i="41"/>
  <c r="D480" i="40"/>
  <c r="E480" s="1"/>
  <c r="J480"/>
  <c r="C481"/>
  <c r="F478"/>
  <c r="G465" i="41"/>
  <c r="D468"/>
  <c r="E468" s="1"/>
  <c r="J468"/>
  <c r="C469"/>
  <c r="F479" i="40" l="1"/>
  <c r="D469" i="41"/>
  <c r="E469" s="1"/>
  <c r="J469"/>
  <c r="C470"/>
  <c r="J481" i="40"/>
  <c r="D481"/>
  <c r="E481" s="1"/>
  <c r="C482"/>
  <c r="AV394" i="49"/>
  <c r="BA393"/>
  <c r="BD392" s="1"/>
  <c r="AW393"/>
  <c r="F467" i="41"/>
  <c r="G478" i="40"/>
  <c r="G466" i="41"/>
  <c r="BD393" i="49" l="1"/>
  <c r="G479" i="40"/>
  <c r="F468" i="41"/>
  <c r="BA394" i="49"/>
  <c r="AV395"/>
  <c r="AW394"/>
  <c r="D470" i="41"/>
  <c r="E470" s="1"/>
  <c r="J470"/>
  <c r="C471"/>
  <c r="G467"/>
  <c r="F480" i="40"/>
  <c r="D482"/>
  <c r="E482" s="1"/>
  <c r="J482"/>
  <c r="C483"/>
  <c r="F469" i="41" l="1"/>
  <c r="F481" i="40"/>
  <c r="G468" i="41"/>
  <c r="D483" i="40"/>
  <c r="E483" s="1"/>
  <c r="J483"/>
  <c r="C484"/>
  <c r="G480"/>
  <c r="D471" i="41"/>
  <c r="E471" s="1"/>
  <c r="J471"/>
  <c r="C472"/>
  <c r="AV396" i="49"/>
  <c r="BA395"/>
  <c r="BD394" s="1"/>
  <c r="AW395"/>
  <c r="G469" i="41" l="1"/>
  <c r="BA396" i="49"/>
  <c r="BD395" s="1"/>
  <c r="AV397"/>
  <c r="AW396"/>
  <c r="F482" i="40"/>
  <c r="D484"/>
  <c r="E484" s="1"/>
  <c r="J484"/>
  <c r="C485"/>
  <c r="D472" i="41"/>
  <c r="E472" s="1"/>
  <c r="J472"/>
  <c r="C473"/>
  <c r="F470"/>
  <c r="G481" i="40"/>
  <c r="F483" l="1"/>
  <c r="AV398" i="49"/>
  <c r="BA397"/>
  <c r="AW397"/>
  <c r="D473" i="41"/>
  <c r="E473" s="1"/>
  <c r="J473"/>
  <c r="C474"/>
  <c r="J485" i="40"/>
  <c r="D485"/>
  <c r="E485" s="1"/>
  <c r="C486"/>
  <c r="BD396" i="49"/>
  <c r="G470" i="41"/>
  <c r="F471"/>
  <c r="G482" i="40"/>
  <c r="G471" i="41" l="1"/>
  <c r="D474"/>
  <c r="E474" s="1"/>
  <c r="J474"/>
  <c r="C475"/>
  <c r="G483" i="40"/>
  <c r="F472" i="41"/>
  <c r="BA398" i="49"/>
  <c r="BD397" s="1"/>
  <c r="AV399"/>
  <c r="AW398"/>
  <c r="F484" i="40"/>
  <c r="D486"/>
  <c r="E486" s="1"/>
  <c r="J486"/>
  <c r="C487"/>
  <c r="D475" i="41" l="1"/>
  <c r="E475" s="1"/>
  <c r="J475"/>
  <c r="C476"/>
  <c r="D487" i="40"/>
  <c r="E487" s="1"/>
  <c r="J487"/>
  <c r="C488"/>
  <c r="F473" i="41"/>
  <c r="G472"/>
  <c r="G484" i="40"/>
  <c r="F485"/>
  <c r="AV400" i="49"/>
  <c r="BA399"/>
  <c r="BD398" s="1"/>
  <c r="AW399"/>
  <c r="F474" i="41" l="1"/>
  <c r="G485" i="40"/>
  <c r="D488"/>
  <c r="E488" s="1"/>
  <c r="J488"/>
  <c r="C489"/>
  <c r="BA400" i="49"/>
  <c r="BD399" s="1"/>
  <c r="AV401"/>
  <c r="AW400"/>
  <c r="D476" i="41"/>
  <c r="E476" s="1"/>
  <c r="J476"/>
  <c r="C477"/>
  <c r="G473"/>
  <c r="F486" i="40"/>
  <c r="F487" l="1"/>
  <c r="G486"/>
  <c r="D477" i="41"/>
  <c r="E477" s="1"/>
  <c r="J477"/>
  <c r="C478"/>
  <c r="AV402" i="49"/>
  <c r="BA401"/>
  <c r="BD400" s="1"/>
  <c r="AW401"/>
  <c r="G474" i="41"/>
  <c r="J489" i="40"/>
  <c r="D489"/>
  <c r="E489" s="1"/>
  <c r="C490"/>
  <c r="F475" i="41"/>
  <c r="F476" l="1"/>
  <c r="G475"/>
  <c r="G487" i="40"/>
  <c r="D478" i="41"/>
  <c r="E478" s="1"/>
  <c r="J478"/>
  <c r="C479"/>
  <c r="F488" i="40"/>
  <c r="D490"/>
  <c r="E490" s="1"/>
  <c r="J490"/>
  <c r="C491"/>
  <c r="BA402" i="49"/>
  <c r="BD401" s="1"/>
  <c r="AV403"/>
  <c r="AW402"/>
  <c r="G476" i="41" l="1"/>
  <c r="F477"/>
  <c r="F489" i="40"/>
  <c r="D479" i="41"/>
  <c r="E479" s="1"/>
  <c r="J479"/>
  <c r="C480"/>
  <c r="AV404" i="49"/>
  <c r="BA403"/>
  <c r="AW403"/>
  <c r="D491" i="40"/>
  <c r="E491" s="1"/>
  <c r="J491"/>
  <c r="C492"/>
  <c r="G488"/>
  <c r="BD402" i="49"/>
  <c r="D480" i="41" l="1"/>
  <c r="E480" s="1"/>
  <c r="J480"/>
  <c r="C481"/>
  <c r="BA404" i="49"/>
  <c r="BD403" s="1"/>
  <c r="AV405"/>
  <c r="AW404"/>
  <c r="F478" i="41"/>
  <c r="F490" i="40"/>
  <c r="G489"/>
  <c r="D492"/>
  <c r="E492" s="1"/>
  <c r="J492"/>
  <c r="C493"/>
  <c r="G477" i="41"/>
  <c r="G478" l="1"/>
  <c r="F479"/>
  <c r="G490" i="40"/>
  <c r="D481" i="41"/>
  <c r="E481" s="1"/>
  <c r="J481"/>
  <c r="C482"/>
  <c r="F491" i="40"/>
  <c r="AV406" i="49"/>
  <c r="BA405"/>
  <c r="BD404" s="1"/>
  <c r="AW405"/>
  <c r="D493" i="40"/>
  <c r="E493" s="1"/>
  <c r="J493"/>
  <c r="C494"/>
  <c r="D494" l="1"/>
  <c r="E494" s="1"/>
  <c r="J494"/>
  <c r="C495"/>
  <c r="G491"/>
  <c r="F480" i="41"/>
  <c r="D482"/>
  <c r="E482" s="1"/>
  <c r="J482"/>
  <c r="C483"/>
  <c r="F492" i="40"/>
  <c r="BA406" i="49"/>
  <c r="BD405" s="1"/>
  <c r="AV407"/>
  <c r="AW406"/>
  <c r="G479" i="41"/>
  <c r="G492" i="40" l="1"/>
  <c r="F493"/>
  <c r="D483" i="41"/>
  <c r="E483" s="1"/>
  <c r="J483"/>
  <c r="C484"/>
  <c r="G480"/>
  <c r="D495" i="40"/>
  <c r="E495" s="1"/>
  <c r="J495"/>
  <c r="C496"/>
  <c r="F481" i="41"/>
  <c r="AV408" i="49"/>
  <c r="BA407"/>
  <c r="BD406" s="1"/>
  <c r="AW407"/>
  <c r="F494" i="40" l="1"/>
  <c r="BA408" i="49"/>
  <c r="BD407" s="1"/>
  <c r="AV409"/>
  <c r="AW408"/>
  <c r="D484" i="41"/>
  <c r="E484" s="1"/>
  <c r="J484"/>
  <c r="C485"/>
  <c r="F482"/>
  <c r="G481"/>
  <c r="D496" i="40"/>
  <c r="E496" s="1"/>
  <c r="J496"/>
  <c r="C497"/>
  <c r="G493"/>
  <c r="BD408" i="49" l="1"/>
  <c r="F495" i="40"/>
  <c r="F483" i="41"/>
  <c r="D485"/>
  <c r="E485" s="1"/>
  <c r="J485"/>
  <c r="C486"/>
  <c r="AV410" i="49"/>
  <c r="BA409"/>
  <c r="AW409"/>
  <c r="G494" i="40"/>
  <c r="G482" i="41"/>
  <c r="J497" i="40"/>
  <c r="D497"/>
  <c r="E497" s="1"/>
  <c r="C498"/>
  <c r="BA410" i="49" l="1"/>
  <c r="BD409" s="1"/>
  <c r="AV411"/>
  <c r="AW410"/>
  <c r="F484" i="41"/>
  <c r="D498" i="40"/>
  <c r="E498" s="1"/>
  <c r="J498"/>
  <c r="C499"/>
  <c r="G495"/>
  <c r="G483" i="41"/>
  <c r="F496" i="40"/>
  <c r="D486" i="41"/>
  <c r="E486" s="1"/>
  <c r="J486"/>
  <c r="C487"/>
  <c r="F485" l="1"/>
  <c r="F497" i="40"/>
  <c r="AV412" i="49"/>
  <c r="BA411"/>
  <c r="BD410" s="1"/>
  <c r="AW411"/>
  <c r="D499" i="40"/>
  <c r="E499" s="1"/>
  <c r="J499"/>
  <c r="C500"/>
  <c r="G484" i="41"/>
  <c r="D487"/>
  <c r="E487" s="1"/>
  <c r="J487"/>
  <c r="C488"/>
  <c r="G496" i="40"/>
  <c r="F498" l="1"/>
  <c r="BA412" i="49"/>
  <c r="AV413"/>
  <c r="AW412"/>
  <c r="G485" i="41"/>
  <c r="D500" i="40"/>
  <c r="E500" s="1"/>
  <c r="J500"/>
  <c r="C501"/>
  <c r="BD411" i="49"/>
  <c r="F486" i="41"/>
  <c r="D488"/>
  <c r="E488" s="1"/>
  <c r="J488"/>
  <c r="C489"/>
  <c r="G497" i="40"/>
  <c r="F499" l="1"/>
  <c r="AV414" i="49"/>
  <c r="BA413"/>
  <c r="AW413"/>
  <c r="F487" i="41"/>
  <c r="J501" i="40"/>
  <c r="D501"/>
  <c r="E501" s="1"/>
  <c r="C502"/>
  <c r="BD412" i="49"/>
  <c r="D489" i="41"/>
  <c r="E489" s="1"/>
  <c r="J489"/>
  <c r="C490"/>
  <c r="G486"/>
  <c r="G498" i="40"/>
  <c r="F500" l="1"/>
  <c r="G499"/>
  <c r="D490" i="41"/>
  <c r="E490" s="1"/>
  <c r="J490"/>
  <c r="C491"/>
  <c r="D502" i="40"/>
  <c r="E502" s="1"/>
  <c r="J502"/>
  <c r="C503"/>
  <c r="BA414" i="49"/>
  <c r="BD413" s="1"/>
  <c r="AV415"/>
  <c r="AW414"/>
  <c r="F488" i="41"/>
  <c r="G487"/>
  <c r="F489" l="1"/>
  <c r="D503" i="40"/>
  <c r="E503" s="1"/>
  <c r="J503"/>
  <c r="C504"/>
  <c r="G500"/>
  <c r="D491" i="41"/>
  <c r="E491" s="1"/>
  <c r="J491"/>
  <c r="C492"/>
  <c r="AV416" i="49"/>
  <c r="BA415"/>
  <c r="AW415"/>
  <c r="G488" i="41"/>
  <c r="F501" i="40"/>
  <c r="BD415" i="49" l="1"/>
  <c r="D504" i="40"/>
  <c r="E504" s="1"/>
  <c r="J504"/>
  <c r="C505"/>
  <c r="G501"/>
  <c r="D492" i="41"/>
  <c r="E492" s="1"/>
  <c r="J492"/>
  <c r="C493"/>
  <c r="G489"/>
  <c r="BD414" i="49"/>
  <c r="F490" i="41"/>
  <c r="BA416" i="49"/>
  <c r="AV417"/>
  <c r="AW416"/>
  <c r="F502" i="40"/>
  <c r="F503" l="1"/>
  <c r="F491" i="41"/>
  <c r="AV418" i="49"/>
  <c r="BA417"/>
  <c r="BD416" s="1"/>
  <c r="AW417"/>
  <c r="D493" i="41"/>
  <c r="E493" s="1"/>
  <c r="J493"/>
  <c r="C494"/>
  <c r="G490"/>
  <c r="G502" i="40"/>
  <c r="J505"/>
  <c r="D505"/>
  <c r="E505" s="1"/>
  <c r="C506"/>
  <c r="F492" i="41" l="1"/>
  <c r="BA418" i="49"/>
  <c r="AV419"/>
  <c r="AW418"/>
  <c r="G503" i="40"/>
  <c r="D494" i="41"/>
  <c r="E494" s="1"/>
  <c r="J494"/>
  <c r="C495"/>
  <c r="BD417" i="49"/>
  <c r="F504" i="40"/>
  <c r="D506"/>
  <c r="E506" s="1"/>
  <c r="J506"/>
  <c r="C507"/>
  <c r="G491" i="41"/>
  <c r="D507" i="40" l="1"/>
  <c r="E507" s="1"/>
  <c r="J507"/>
  <c r="C508"/>
  <c r="F505"/>
  <c r="D495" i="41"/>
  <c r="E495" s="1"/>
  <c r="J495"/>
  <c r="C496"/>
  <c r="F493"/>
  <c r="AV420" i="49"/>
  <c r="BA419"/>
  <c r="AW419"/>
  <c r="G504" i="40"/>
  <c r="G492" i="41"/>
  <c r="D496" l="1"/>
  <c r="E496" s="1"/>
  <c r="J496"/>
  <c r="C497"/>
  <c r="BD418" i="49"/>
  <c r="F506" i="40"/>
  <c r="F494" i="41"/>
  <c r="G505" i="40"/>
  <c r="G493" i="41"/>
  <c r="BA420" i="49"/>
  <c r="BD419" s="1"/>
  <c r="AV421"/>
  <c r="AW420"/>
  <c r="D508" i="40"/>
  <c r="E508" s="1"/>
  <c r="J508"/>
  <c r="C509"/>
  <c r="G494" i="41" l="1"/>
  <c r="F495"/>
  <c r="F507" i="40"/>
  <c r="G506"/>
  <c r="D509"/>
  <c r="E509" s="1"/>
  <c r="J509"/>
  <c r="C510"/>
  <c r="AV422" i="49"/>
  <c r="BA421"/>
  <c r="BD420" s="1"/>
  <c r="AW421"/>
  <c r="D497" i="41"/>
  <c r="E497" s="1"/>
  <c r="J497"/>
  <c r="C498"/>
  <c r="D498" l="1"/>
  <c r="E498" s="1"/>
  <c r="J498"/>
  <c r="C499"/>
  <c r="G507" i="40"/>
  <c r="D510"/>
  <c r="E510" s="1"/>
  <c r="J510"/>
  <c r="C511"/>
  <c r="BD421" i="49"/>
  <c r="F508" i="40"/>
  <c r="F496" i="41"/>
  <c r="BA422" i="49"/>
  <c r="AV423"/>
  <c r="AW422"/>
  <c r="G495" i="41"/>
  <c r="F497" l="1"/>
  <c r="G508" i="40"/>
  <c r="D499" i="41"/>
  <c r="E499" s="1"/>
  <c r="J499"/>
  <c r="C500"/>
  <c r="G496"/>
  <c r="F509" i="40"/>
  <c r="AV424" i="49"/>
  <c r="BA423"/>
  <c r="BD422" s="1"/>
  <c r="AW423"/>
  <c r="D511" i="40"/>
  <c r="E511" s="1"/>
  <c r="J511"/>
  <c r="C512"/>
  <c r="F498" i="41" l="1"/>
  <c r="G497"/>
  <c r="G509" i="40"/>
  <c r="D500" i="41"/>
  <c r="E500" s="1"/>
  <c r="J500"/>
  <c r="C501"/>
  <c r="D512" i="40"/>
  <c r="E512" s="1"/>
  <c r="J512"/>
  <c r="C513"/>
  <c r="F510"/>
  <c r="BA424" i="49"/>
  <c r="BD423" s="1"/>
  <c r="AV425"/>
  <c r="AW424"/>
  <c r="J513" i="40" l="1"/>
  <c r="D513"/>
  <c r="E513" s="1"/>
  <c r="C514"/>
  <c r="D501" i="41"/>
  <c r="E501" s="1"/>
  <c r="J501"/>
  <c r="C502"/>
  <c r="AV426" i="49"/>
  <c r="BA425"/>
  <c r="BD424" s="1"/>
  <c r="AW425"/>
  <c r="G498" i="41"/>
  <c r="F499"/>
  <c r="G510" i="40"/>
  <c r="F511"/>
  <c r="F512" l="1"/>
  <c r="G511"/>
  <c r="D502" i="41"/>
  <c r="E502" s="1"/>
  <c r="J502"/>
  <c r="C503"/>
  <c r="BA426" i="49"/>
  <c r="BD425" s="1"/>
  <c r="AV427"/>
  <c r="AW426"/>
  <c r="D514" i="40"/>
  <c r="E514" s="1"/>
  <c r="J514"/>
  <c r="C515"/>
  <c r="G499" i="41"/>
  <c r="F500"/>
  <c r="F513" i="40" l="1"/>
  <c r="F501" i="41"/>
  <c r="D515" i="40"/>
  <c r="E515" s="1"/>
  <c r="J515"/>
  <c r="C516"/>
  <c r="AV428" i="49"/>
  <c r="BA427"/>
  <c r="BD426" s="1"/>
  <c r="AW427"/>
  <c r="G512" i="40"/>
  <c r="G500" i="41"/>
  <c r="D503"/>
  <c r="E503" s="1"/>
  <c r="J503"/>
  <c r="C504"/>
  <c r="F502" l="1"/>
  <c r="BA428" i="49"/>
  <c r="AV429"/>
  <c r="AW428"/>
  <c r="G501" i="41"/>
  <c r="F514" i="40"/>
  <c r="D504" i="41"/>
  <c r="E504" s="1"/>
  <c r="J504"/>
  <c r="C505"/>
  <c r="G513" i="40"/>
  <c r="BD427" i="49"/>
  <c r="D516" i="40"/>
  <c r="E516" s="1"/>
  <c r="J516"/>
  <c r="C517"/>
  <c r="F515" l="1"/>
  <c r="D505" i="41"/>
  <c r="E505" s="1"/>
  <c r="J505"/>
  <c r="C506"/>
  <c r="AV430" i="49"/>
  <c r="BA429"/>
  <c r="AW429"/>
  <c r="G502" i="41"/>
  <c r="F503"/>
  <c r="BD428" i="49"/>
  <c r="G514" i="40"/>
  <c r="J517"/>
  <c r="D517"/>
  <c r="E517" s="1"/>
  <c r="C518"/>
  <c r="F516" l="1"/>
  <c r="G503" i="41"/>
  <c r="D506"/>
  <c r="E506" s="1"/>
  <c r="J506"/>
  <c r="C507"/>
  <c r="BA430" i="49"/>
  <c r="BD429" s="1"/>
  <c r="AV431"/>
  <c r="AW430"/>
  <c r="G515" i="40"/>
  <c r="F504" i="41"/>
  <c r="D518" i="40"/>
  <c r="E518" s="1"/>
  <c r="J518"/>
  <c r="C519"/>
  <c r="F505" i="41" l="1"/>
  <c r="D519" i="40"/>
  <c r="E519" s="1"/>
  <c r="J519"/>
  <c r="C520"/>
  <c r="AV432" i="49"/>
  <c r="BA431"/>
  <c r="AW431"/>
  <c r="G516" i="40"/>
  <c r="G504" i="41"/>
  <c r="D507"/>
  <c r="E507" s="1"/>
  <c r="J507"/>
  <c r="C508"/>
  <c r="F517" i="40"/>
  <c r="BD430" i="49"/>
  <c r="D520" i="40" l="1"/>
  <c r="E520" s="1"/>
  <c r="J520"/>
  <c r="C521"/>
  <c r="F506" i="41"/>
  <c r="BA432" i="49"/>
  <c r="AV433"/>
  <c r="AW432"/>
  <c r="G505" i="41"/>
  <c r="F518" i="40"/>
  <c r="G517"/>
  <c r="D508" i="41"/>
  <c r="E508" s="1"/>
  <c r="J508"/>
  <c r="C509"/>
  <c r="BD431" i="49"/>
  <c r="G518" i="40" l="1"/>
  <c r="F519"/>
  <c r="D509" i="41"/>
  <c r="E509" s="1"/>
  <c r="J509"/>
  <c r="C510"/>
  <c r="J521" i="40"/>
  <c r="D521"/>
  <c r="E521" s="1"/>
  <c r="C522"/>
  <c r="G506" i="41"/>
  <c r="F507"/>
  <c r="AV434" i="49"/>
  <c r="BA433"/>
  <c r="BD432" s="1"/>
  <c r="AW433"/>
  <c r="F508" i="41" l="1"/>
  <c r="D522" i="40"/>
  <c r="E522" s="1"/>
  <c r="J522"/>
  <c r="C523"/>
  <c r="BA434" i="49"/>
  <c r="BD433" s="1"/>
  <c r="AV435"/>
  <c r="AW434"/>
  <c r="D510" i="41"/>
  <c r="E510" s="1"/>
  <c r="J510"/>
  <c r="C511"/>
  <c r="F520" i="40"/>
  <c r="G507" i="41"/>
  <c r="G519" i="40"/>
  <c r="F509" i="41" l="1"/>
  <c r="F521" i="40"/>
  <c r="D523"/>
  <c r="E523" s="1"/>
  <c r="J523"/>
  <c r="C524"/>
  <c r="G520"/>
  <c r="G508" i="41"/>
  <c r="D511"/>
  <c r="E511" s="1"/>
  <c r="J511"/>
  <c r="C512"/>
  <c r="AV436" i="49"/>
  <c r="BA435"/>
  <c r="BD434" s="1"/>
  <c r="AW435"/>
  <c r="F522" i="40" l="1"/>
  <c r="D512" i="41"/>
  <c r="E512" s="1"/>
  <c r="J512"/>
  <c r="C513"/>
  <c r="G509"/>
  <c r="BA436" i="49"/>
  <c r="BD435" s="1"/>
  <c r="AV437"/>
  <c r="AW436"/>
  <c r="D524" i="40"/>
  <c r="E524" s="1"/>
  <c r="J524"/>
  <c r="C525"/>
  <c r="F510" i="41"/>
  <c r="G521" i="40"/>
  <c r="D513" i="41" l="1"/>
  <c r="E513" s="1"/>
  <c r="J513"/>
  <c r="C514"/>
  <c r="D525" i="40"/>
  <c r="E525" s="1"/>
  <c r="J525"/>
  <c r="C526"/>
  <c r="AV438" i="49"/>
  <c r="BA437"/>
  <c r="BD436" s="1"/>
  <c r="AW437"/>
  <c r="F511" i="41"/>
  <c r="G522" i="40"/>
  <c r="G510" i="41"/>
  <c r="F523" i="40"/>
  <c r="F512" i="41" l="1"/>
  <c r="G523" i="40"/>
  <c r="D526"/>
  <c r="E526" s="1"/>
  <c r="J526"/>
  <c r="C527"/>
  <c r="BA438" i="49"/>
  <c r="BD437" s="1"/>
  <c r="AV439"/>
  <c r="AW438"/>
  <c r="D514" i="41"/>
  <c r="E514" s="1"/>
  <c r="J514"/>
  <c r="C515"/>
  <c r="G511"/>
  <c r="F524" i="40"/>
  <c r="F525" l="1"/>
  <c r="G524"/>
  <c r="D515" i="41"/>
  <c r="E515" s="1"/>
  <c r="J515"/>
  <c r="C516"/>
  <c r="AV440" i="49"/>
  <c r="BA439"/>
  <c r="BD438" s="1"/>
  <c r="AW439"/>
  <c r="G512" i="41"/>
  <c r="D527" i="40"/>
  <c r="E527" s="1"/>
  <c r="J527"/>
  <c r="C528"/>
  <c r="F513" i="41"/>
  <c r="F526" i="40" l="1"/>
  <c r="D516" i="41"/>
  <c r="E516" s="1"/>
  <c r="J516"/>
  <c r="C517"/>
  <c r="F514"/>
  <c r="G513"/>
  <c r="G525" i="40"/>
  <c r="D528"/>
  <c r="E528" s="1"/>
  <c r="J528"/>
  <c r="C529"/>
  <c r="BA440" i="49"/>
  <c r="BD439" s="1"/>
  <c r="AV441"/>
  <c r="AW440"/>
  <c r="F527" i="40" l="1"/>
  <c r="D517" i="41"/>
  <c r="E517" s="1"/>
  <c r="J517"/>
  <c r="C518"/>
  <c r="AV442" i="49"/>
  <c r="BA441"/>
  <c r="AW441"/>
  <c r="G526" i="40"/>
  <c r="F515" i="41"/>
  <c r="J529" i="40"/>
  <c r="D529"/>
  <c r="E529" s="1"/>
  <c r="C530"/>
  <c r="G514" i="41"/>
  <c r="BD440" i="49"/>
  <c r="G515" i="41" l="1"/>
  <c r="D518"/>
  <c r="E518" s="1"/>
  <c r="J518"/>
  <c r="C519"/>
  <c r="F528" i="40"/>
  <c r="F516" i="41"/>
  <c r="BA442" i="49"/>
  <c r="AV443"/>
  <c r="AW442"/>
  <c r="G527" i="40"/>
  <c r="D530"/>
  <c r="E530" s="1"/>
  <c r="J530"/>
  <c r="C531"/>
  <c r="BD441" i="49"/>
  <c r="D519" i="41" l="1"/>
  <c r="E519" s="1"/>
  <c r="J519"/>
  <c r="C520"/>
  <c r="D531" i="40"/>
  <c r="E531" s="1"/>
  <c r="J531"/>
  <c r="C532"/>
  <c r="G528"/>
  <c r="F517" i="41"/>
  <c r="G516"/>
  <c r="F529" i="40"/>
  <c r="AV444" i="49"/>
  <c r="BA443"/>
  <c r="BD442" s="1"/>
  <c r="AW443"/>
  <c r="F518" i="41" l="1"/>
  <c r="G529" i="40"/>
  <c r="G517" i="41"/>
  <c r="D532" i="40"/>
  <c r="E532" s="1"/>
  <c r="J532"/>
  <c r="C533"/>
  <c r="BA444" i="49"/>
  <c r="BD443" s="1"/>
  <c r="AV445"/>
  <c r="AW444"/>
  <c r="D520" i="41"/>
  <c r="E520" s="1"/>
  <c r="J520"/>
  <c r="C521"/>
  <c r="F530" i="40"/>
  <c r="F519" i="41" l="1"/>
  <c r="F531" i="40"/>
  <c r="J533"/>
  <c r="D533"/>
  <c r="E533" s="1"/>
  <c r="C534"/>
  <c r="G530"/>
  <c r="G518" i="41"/>
  <c r="D521"/>
  <c r="E521" s="1"/>
  <c r="J521"/>
  <c r="C522"/>
  <c r="AV446" i="49"/>
  <c r="BA445"/>
  <c r="BD444" s="1"/>
  <c r="AW445"/>
  <c r="F532" i="40" l="1"/>
  <c r="G519" i="41"/>
  <c r="BA446" i="49"/>
  <c r="BD445" s="1"/>
  <c r="AV447"/>
  <c r="AW446"/>
  <c r="D534" i="40"/>
  <c r="E534" s="1"/>
  <c r="J534"/>
  <c r="C535"/>
  <c r="D522" i="41"/>
  <c r="E522" s="1"/>
  <c r="J522"/>
  <c r="C523"/>
  <c r="F520"/>
  <c r="G531" i="40"/>
  <c r="F533" l="1"/>
  <c r="D523" i="41"/>
  <c r="E523" s="1"/>
  <c r="J523"/>
  <c r="C524"/>
  <c r="G532" i="40"/>
  <c r="D535"/>
  <c r="E535" s="1"/>
  <c r="J535"/>
  <c r="C536"/>
  <c r="AV448" i="49"/>
  <c r="BA447"/>
  <c r="BD446" s="1"/>
  <c r="AW447"/>
  <c r="G520" i="41"/>
  <c r="F521"/>
  <c r="D524" l="1"/>
  <c r="E524" s="1"/>
  <c r="J524"/>
  <c r="C525"/>
  <c r="G521"/>
  <c r="G533" i="40"/>
  <c r="BA448" i="49"/>
  <c r="BD447" s="1"/>
  <c r="AV449"/>
  <c r="AW448"/>
  <c r="F522" i="41"/>
  <c r="D536" i="40"/>
  <c r="E536" s="1"/>
  <c r="J536"/>
  <c r="C537"/>
  <c r="F534"/>
  <c r="G522" i="41" l="1"/>
  <c r="F523"/>
  <c r="G534" i="40"/>
  <c r="D525" i="41"/>
  <c r="E525" s="1"/>
  <c r="J525"/>
  <c r="C526"/>
  <c r="F535" i="40"/>
  <c r="AV450" i="49"/>
  <c r="BA449"/>
  <c r="BD448" s="1"/>
  <c r="AW449"/>
  <c r="J537" i="40"/>
  <c r="D537"/>
  <c r="E537" s="1"/>
  <c r="C538"/>
  <c r="D538" l="1"/>
  <c r="E538" s="1"/>
  <c r="J538"/>
  <c r="C539"/>
  <c r="F524" i="41"/>
  <c r="BD449" i="49"/>
  <c r="F536" i="40"/>
  <c r="D526" i="41"/>
  <c r="E526" s="1"/>
  <c r="J526"/>
  <c r="C527"/>
  <c r="G535" i="40"/>
  <c r="BA450" i="49"/>
  <c r="AV451"/>
  <c r="AW450"/>
  <c r="G523" i="41"/>
  <c r="F525" l="1"/>
  <c r="G524"/>
  <c r="D527"/>
  <c r="E527" s="1"/>
  <c r="J527"/>
  <c r="C528"/>
  <c r="D539" i="40"/>
  <c r="E539" s="1"/>
  <c r="J539"/>
  <c r="C540"/>
  <c r="F537"/>
  <c r="AV452" i="49"/>
  <c r="BA451"/>
  <c r="BD450" s="1"/>
  <c r="AW451"/>
  <c r="G536" i="40"/>
  <c r="BA452" i="49" l="1"/>
  <c r="AV453"/>
  <c r="AW452"/>
  <c r="D540" i="40"/>
  <c r="E540" s="1"/>
  <c r="J540"/>
  <c r="C541"/>
  <c r="G525" i="41"/>
  <c r="D528"/>
  <c r="E528" s="1"/>
  <c r="J528"/>
  <c r="C529"/>
  <c r="BD451" i="49"/>
  <c r="F526" i="41"/>
  <c r="G537" i="40"/>
  <c r="F538"/>
  <c r="F527" i="41" l="1"/>
  <c r="G538" i="40"/>
  <c r="G526" i="41"/>
  <c r="D541" i="40"/>
  <c r="E541" s="1"/>
  <c r="J541"/>
  <c r="C542"/>
  <c r="AV454" i="49"/>
  <c r="BA453"/>
  <c r="BD452" s="1"/>
  <c r="AW453"/>
  <c r="F539" i="40"/>
  <c r="D529" i="41"/>
  <c r="E529" s="1"/>
  <c r="J529"/>
  <c r="C530"/>
  <c r="G527" l="1"/>
  <c r="F540" i="40"/>
  <c r="D542"/>
  <c r="E542" s="1"/>
  <c r="J542"/>
  <c r="C543"/>
  <c r="D530" i="41"/>
  <c r="E530" s="1"/>
  <c r="J530"/>
  <c r="C531"/>
  <c r="BA454" i="49"/>
  <c r="BD453" s="1"/>
  <c r="AV455"/>
  <c r="AW454"/>
  <c r="G539" i="40"/>
  <c r="F528" i="41"/>
  <c r="F541" i="40" l="1"/>
  <c r="G528" i="41"/>
  <c r="D531"/>
  <c r="E531" s="1"/>
  <c r="J531"/>
  <c r="C532"/>
  <c r="D543" i="40"/>
  <c r="E543" s="1"/>
  <c r="J543"/>
  <c r="C544"/>
  <c r="AV456" i="49"/>
  <c r="BA455"/>
  <c r="AW455"/>
  <c r="F529" i="41"/>
  <c r="G540" i="40"/>
  <c r="BD455" i="49" l="1"/>
  <c r="G529" i="41"/>
  <c r="F530"/>
  <c r="D544" i="40"/>
  <c r="E544" s="1"/>
  <c r="J544"/>
  <c r="C545"/>
  <c r="G541"/>
  <c r="F542"/>
  <c r="BA456" i="49"/>
  <c r="AV457"/>
  <c r="AW456"/>
  <c r="D532" i="41"/>
  <c r="E532" s="1"/>
  <c r="J532"/>
  <c r="C533"/>
  <c r="BD454" i="49"/>
  <c r="F531" i="41" l="1"/>
  <c r="F543" i="40"/>
  <c r="D533" i="41"/>
  <c r="E533" s="1"/>
  <c r="J533"/>
  <c r="C534"/>
  <c r="AV458" i="49"/>
  <c r="BA457"/>
  <c r="BD456" s="1"/>
  <c r="AW457"/>
  <c r="G530" i="41"/>
  <c r="G542" i="40"/>
  <c r="J545"/>
  <c r="D545"/>
  <c r="E545" s="1"/>
  <c r="C546"/>
  <c r="F532" i="41" l="1"/>
  <c r="D546" i="40"/>
  <c r="E546" s="1"/>
  <c r="J546"/>
  <c r="C547"/>
  <c r="D534" i="41"/>
  <c r="E534" s="1"/>
  <c r="J534"/>
  <c r="C535"/>
  <c r="BD457" i="49"/>
  <c r="F544" i="40"/>
  <c r="G531" i="41"/>
  <c r="BA458" i="49"/>
  <c r="AV459"/>
  <c r="AW458"/>
  <c r="G543" i="40"/>
  <c r="D547" l="1"/>
  <c r="E547" s="1"/>
  <c r="J547"/>
  <c r="C548"/>
  <c r="G532" i="41"/>
  <c r="F545" i="40"/>
  <c r="F533" i="41"/>
  <c r="G544" i="40"/>
  <c r="AV460" i="49"/>
  <c r="BA459"/>
  <c r="BD458" s="1"/>
  <c r="AW459"/>
  <c r="D535" i="41"/>
  <c r="E535" s="1"/>
  <c r="J535"/>
  <c r="C536"/>
  <c r="F546" i="40" l="1"/>
  <c r="D536" i="41"/>
  <c r="E536" s="1"/>
  <c r="J536"/>
  <c r="C537"/>
  <c r="G545" i="40"/>
  <c r="D548"/>
  <c r="E548" s="1"/>
  <c r="J548"/>
  <c r="C549"/>
  <c r="G533" i="41"/>
  <c r="F534"/>
  <c r="BA460" i="49"/>
  <c r="BD459" s="1"/>
  <c r="AV461"/>
  <c r="AW460"/>
  <c r="D537" i="41" l="1"/>
  <c r="E537" s="1"/>
  <c r="J537"/>
  <c r="C538"/>
  <c r="J549" i="40"/>
  <c r="D549"/>
  <c r="E549" s="1"/>
  <c r="C550"/>
  <c r="F535" i="41"/>
  <c r="AV462" i="49"/>
  <c r="BA461"/>
  <c r="BD460" s="1"/>
  <c r="AW461"/>
  <c r="G546" i="40"/>
  <c r="G534" i="41"/>
  <c r="F547" i="40"/>
  <c r="F548" l="1"/>
  <c r="G547"/>
  <c r="D550"/>
  <c r="E550" s="1"/>
  <c r="J550"/>
  <c r="C551"/>
  <c r="D538" i="41"/>
  <c r="E538" s="1"/>
  <c r="J538"/>
  <c r="C539"/>
  <c r="BA462" i="49"/>
  <c r="BD461" s="1"/>
  <c r="AV463"/>
  <c r="AW462"/>
  <c r="F536" i="41"/>
  <c r="G535"/>
  <c r="G536" l="1"/>
  <c r="F549" i="40"/>
  <c r="D539" i="41"/>
  <c r="E539" s="1"/>
  <c r="J539"/>
  <c r="C540"/>
  <c r="G548" i="40"/>
  <c r="F537" i="41"/>
  <c r="AV464" i="49"/>
  <c r="BA463"/>
  <c r="AW463"/>
  <c r="D551" i="40"/>
  <c r="E551" s="1"/>
  <c r="J551"/>
  <c r="C552"/>
  <c r="BD463" i="49" l="1"/>
  <c r="D552" i="40"/>
  <c r="E552" s="1"/>
  <c r="J552"/>
  <c r="C553"/>
  <c r="G537" i="41"/>
  <c r="D540"/>
  <c r="E540" s="1"/>
  <c r="J540"/>
  <c r="C541"/>
  <c r="BD462" i="49"/>
  <c r="F538" i="41"/>
  <c r="F550" i="40"/>
  <c r="BA464" i="49"/>
  <c r="AV465"/>
  <c r="AW464"/>
  <c r="G549" i="40"/>
  <c r="G550" l="1"/>
  <c r="F539" i="41"/>
  <c r="AV466" i="49"/>
  <c r="BA465"/>
  <c r="BD464" s="1"/>
  <c r="AW465"/>
  <c r="D541" i="41"/>
  <c r="E541" s="1"/>
  <c r="J541"/>
  <c r="C542"/>
  <c r="F551" i="40"/>
  <c r="G538" i="41"/>
  <c r="J553" i="40"/>
  <c r="D553"/>
  <c r="E553" s="1"/>
  <c r="C554"/>
  <c r="F552" l="1"/>
  <c r="G551"/>
  <c r="BA466" i="49"/>
  <c r="BD465" s="1"/>
  <c r="AV467"/>
  <c r="AW466"/>
  <c r="D554" i="40"/>
  <c r="E554" s="1"/>
  <c r="J554"/>
  <c r="C555"/>
  <c r="D542" i="41"/>
  <c r="E542" s="1"/>
  <c r="J542"/>
  <c r="C543"/>
  <c r="F540"/>
  <c r="G539"/>
  <c r="F553" i="40" l="1"/>
  <c r="D543" i="41"/>
  <c r="E543" s="1"/>
  <c r="J543"/>
  <c r="C544"/>
  <c r="G552" i="40"/>
  <c r="D555"/>
  <c r="E555" s="1"/>
  <c r="J555"/>
  <c r="C556"/>
  <c r="AV468" i="49"/>
  <c r="BA467"/>
  <c r="BD466" s="1"/>
  <c r="AW467"/>
  <c r="G540" i="41"/>
  <c r="F541"/>
  <c r="D544" l="1"/>
  <c r="E544" s="1"/>
  <c r="J544"/>
  <c r="C545"/>
  <c r="G553" i="40"/>
  <c r="BA468" i="49"/>
  <c r="BD467" s="1"/>
  <c r="AV469"/>
  <c r="AW468"/>
  <c r="F542" i="41"/>
  <c r="G541"/>
  <c r="D556" i="40"/>
  <c r="E556" s="1"/>
  <c r="J556"/>
  <c r="C557"/>
  <c r="F554"/>
  <c r="F543" i="41" l="1"/>
  <c r="G554" i="40"/>
  <c r="D545" i="41"/>
  <c r="E545" s="1"/>
  <c r="J545"/>
  <c r="C546"/>
  <c r="F555" i="40"/>
  <c r="G542" i="41"/>
  <c r="D557" i="40"/>
  <c r="E557" s="1"/>
  <c r="J557"/>
  <c r="C558"/>
  <c r="AV470" i="49"/>
  <c r="BA469"/>
  <c r="BD468" s="1"/>
  <c r="AW469"/>
  <c r="F544" i="41" l="1"/>
  <c r="D558" i="40"/>
  <c r="E558" s="1"/>
  <c r="J558"/>
  <c r="C559"/>
  <c r="G543" i="41"/>
  <c r="BA470" i="49"/>
  <c r="BD469" s="1"/>
  <c r="AV471"/>
  <c r="AW470"/>
  <c r="D546" i="41"/>
  <c r="E546" s="1"/>
  <c r="J546"/>
  <c r="C547"/>
  <c r="G555" i="40"/>
  <c r="F556"/>
  <c r="G544" i="41" l="1"/>
  <c r="F557" i="40"/>
  <c r="D559"/>
  <c r="E559" s="1"/>
  <c r="J559"/>
  <c r="C560"/>
  <c r="G556"/>
  <c r="D547" i="41"/>
  <c r="E547" s="1"/>
  <c r="J547"/>
  <c r="C548"/>
  <c r="AV472" i="49"/>
  <c r="BA471"/>
  <c r="BD470" s="1"/>
  <c r="AW471"/>
  <c r="F545" i="41"/>
  <c r="BA472" i="49" l="1"/>
  <c r="AV473"/>
  <c r="AW472"/>
  <c r="F546" i="41"/>
  <c r="D560" i="40"/>
  <c r="E560" s="1"/>
  <c r="J560"/>
  <c r="C561"/>
  <c r="BD471" i="49"/>
  <c r="F558" i="40"/>
  <c r="G545" i="41"/>
  <c r="D548"/>
  <c r="E548" s="1"/>
  <c r="J548"/>
  <c r="C549"/>
  <c r="G557" i="40"/>
  <c r="D549" i="41" l="1"/>
  <c r="E549" s="1"/>
  <c r="J549"/>
  <c r="C550"/>
  <c r="F547"/>
  <c r="F559" i="40"/>
  <c r="AV474" i="49"/>
  <c r="BA473"/>
  <c r="BD472" s="1"/>
  <c r="AW473"/>
  <c r="J561" i="40"/>
  <c r="D561"/>
  <c r="E561" s="1"/>
  <c r="C562"/>
  <c r="G546" i="41"/>
  <c r="G558" i="40"/>
  <c r="F548" i="41" l="1"/>
  <c r="D562" i="40"/>
  <c r="E562" s="1"/>
  <c r="J562"/>
  <c r="C563"/>
  <c r="G559"/>
  <c r="D550" i="41"/>
  <c r="E550" s="1"/>
  <c r="J550"/>
  <c r="C551"/>
  <c r="F560" i="40"/>
  <c r="G547" i="41"/>
  <c r="BA474" i="49"/>
  <c r="BD473" s="1"/>
  <c r="AV475"/>
  <c r="AW474"/>
  <c r="G560" i="40" l="1"/>
  <c r="D563"/>
  <c r="E563" s="1"/>
  <c r="J563"/>
  <c r="C564"/>
  <c r="D551" i="41"/>
  <c r="E551" s="1"/>
  <c r="J551"/>
  <c r="C552"/>
  <c r="F561" i="40"/>
  <c r="AV476" i="49"/>
  <c r="BA475"/>
  <c r="AW475"/>
  <c r="G548" i="41"/>
  <c r="F549"/>
  <c r="BD474" i="49"/>
  <c r="D564" i="40" l="1"/>
  <c r="E564" s="1"/>
  <c r="J564"/>
  <c r="C565"/>
  <c r="F550" i="41"/>
  <c r="F562" i="40"/>
  <c r="G549" i="41"/>
  <c r="G561" i="40"/>
  <c r="BA476" i="49"/>
  <c r="BD475" s="1"/>
  <c r="AV477"/>
  <c r="AW476"/>
  <c r="D552" i="41"/>
  <c r="E552" s="1"/>
  <c r="J552"/>
  <c r="C553"/>
  <c r="F563" i="40" l="1"/>
  <c r="D553" i="41"/>
  <c r="E553" s="1"/>
  <c r="J553"/>
  <c r="C554"/>
  <c r="AV478" i="49"/>
  <c r="BA477"/>
  <c r="AW477"/>
  <c r="G562" i="40"/>
  <c r="J565"/>
  <c r="D565"/>
  <c r="E565" s="1"/>
  <c r="C566"/>
  <c r="G550" i="41"/>
  <c r="F551"/>
  <c r="BD476" i="49"/>
  <c r="F564" i="40" l="1"/>
  <c r="D554" i="41"/>
  <c r="E554" s="1"/>
  <c r="J554"/>
  <c r="C555"/>
  <c r="G551"/>
  <c r="BA478" i="49"/>
  <c r="BD477" s="1"/>
  <c r="AV479"/>
  <c r="AW478"/>
  <c r="F552" i="41"/>
  <c r="D566" i="40"/>
  <c r="E566" s="1"/>
  <c r="J566"/>
  <c r="C567"/>
  <c r="G563"/>
  <c r="G552" i="41" l="1"/>
  <c r="D555"/>
  <c r="E555" s="1"/>
  <c r="J555"/>
  <c r="C556"/>
  <c r="G564" i="40"/>
  <c r="F553" i="41"/>
  <c r="F565" i="40"/>
  <c r="AV480" i="49"/>
  <c r="BA479"/>
  <c r="AW479"/>
  <c r="D567" i="40"/>
  <c r="E567" s="1"/>
  <c r="J567"/>
  <c r="C568"/>
  <c r="BD479" i="49" l="1"/>
  <c r="G553" i="41"/>
  <c r="G565" i="40"/>
  <c r="F554" i="41"/>
  <c r="BD478" i="49"/>
  <c r="D556" i="41"/>
  <c r="E556" s="1"/>
  <c r="J556"/>
  <c r="C557"/>
  <c r="D568" i="40"/>
  <c r="E568" s="1"/>
  <c r="J568"/>
  <c r="C569"/>
  <c r="F566"/>
  <c r="BA480" i="49"/>
  <c r="AV481"/>
  <c r="AW480"/>
  <c r="F555" i="41" l="1"/>
  <c r="J569" i="40"/>
  <c r="D569"/>
  <c r="E569" s="1"/>
  <c r="C570"/>
  <c r="AV482" i="49"/>
  <c r="BA481"/>
  <c r="BD480" s="1"/>
  <c r="AW481"/>
  <c r="D557" i="41"/>
  <c r="E557" s="1"/>
  <c r="J557"/>
  <c r="C558"/>
  <c r="G554"/>
  <c r="G566" i="40"/>
  <c r="F567"/>
  <c r="F556" i="41" l="1"/>
  <c r="BA482" i="49"/>
  <c r="AV483"/>
  <c r="AW482"/>
  <c r="G555" i="41"/>
  <c r="D570" i="40"/>
  <c r="E570" s="1"/>
  <c r="J570"/>
  <c r="C571"/>
  <c r="G567"/>
  <c r="D558" i="41"/>
  <c r="E558" s="1"/>
  <c r="J558"/>
  <c r="C559"/>
  <c r="F568" i="40"/>
  <c r="BD481" i="49"/>
  <c r="BD482" l="1"/>
  <c r="F557" i="41"/>
  <c r="G556"/>
  <c r="D571" i="40"/>
  <c r="E571" s="1"/>
  <c r="J571"/>
  <c r="C572"/>
  <c r="F569"/>
  <c r="AV484" i="49"/>
  <c r="BA483"/>
  <c r="AW483"/>
  <c r="G568" i="40"/>
  <c r="D559" i="41"/>
  <c r="E559" s="1"/>
  <c r="J559"/>
  <c r="C560"/>
  <c r="G569" i="40" l="1"/>
  <c r="D560" i="41"/>
  <c r="E560" s="1"/>
  <c r="J560"/>
  <c r="C561"/>
  <c r="BA484" i="49"/>
  <c r="BD483" s="1"/>
  <c r="AV485"/>
  <c r="AW484"/>
  <c r="G557" i="41"/>
  <c r="F558"/>
  <c r="F570" i="40"/>
  <c r="D572"/>
  <c r="E572" s="1"/>
  <c r="J572"/>
  <c r="C573"/>
  <c r="F559" i="41" l="1"/>
  <c r="G558"/>
  <c r="D561"/>
  <c r="E561" s="1"/>
  <c r="J561"/>
  <c r="C562"/>
  <c r="D573" i="40"/>
  <c r="E573" s="1"/>
  <c r="J573"/>
  <c r="C574"/>
  <c r="G570"/>
  <c r="F571"/>
  <c r="AV486" i="49"/>
  <c r="BA485"/>
  <c r="BD484" s="1"/>
  <c r="AW485"/>
  <c r="G571" i="40" l="1"/>
  <c r="D574"/>
  <c r="E574" s="1"/>
  <c r="J574"/>
  <c r="C575"/>
  <c r="G559" i="41"/>
  <c r="BA486" i="49"/>
  <c r="BD485" s="1"/>
  <c r="AV487"/>
  <c r="AW486"/>
  <c r="D562" i="41"/>
  <c r="E562" s="1"/>
  <c r="J562"/>
  <c r="C563"/>
  <c r="F560"/>
  <c r="F572" i="40"/>
  <c r="D575" l="1"/>
  <c r="E575" s="1"/>
  <c r="J575"/>
  <c r="C576"/>
  <c r="D563" i="41"/>
  <c r="E563" s="1"/>
  <c r="J563"/>
  <c r="C564"/>
  <c r="F573" i="40"/>
  <c r="G572"/>
  <c r="AV488" i="49"/>
  <c r="BA487"/>
  <c r="BD486" s="1"/>
  <c r="AW487"/>
  <c r="G560" i="41"/>
  <c r="F561"/>
  <c r="F574" i="40" l="1"/>
  <c r="G561" i="41"/>
  <c r="D564"/>
  <c r="E564" s="1"/>
  <c r="J564"/>
  <c r="C565"/>
  <c r="BA488" i="49"/>
  <c r="BD487" s="1"/>
  <c r="AV489"/>
  <c r="AW488"/>
  <c r="D576" i="40"/>
  <c r="E576" s="1"/>
  <c r="J576"/>
  <c r="C577"/>
  <c r="G573"/>
  <c r="F562" i="41"/>
  <c r="J577" i="40" l="1"/>
  <c r="D577"/>
  <c r="E577" s="1"/>
  <c r="C578"/>
  <c r="AV490" i="49"/>
  <c r="BA489"/>
  <c r="BD488" s="1"/>
  <c r="AW489"/>
  <c r="G574" i="40"/>
  <c r="D565" i="41"/>
  <c r="E565" s="1"/>
  <c r="J565"/>
  <c r="C566"/>
  <c r="F563"/>
  <c r="G562"/>
  <c r="F575" i="40"/>
  <c r="G575" l="1"/>
  <c r="F564" i="41"/>
  <c r="D578" i="40"/>
  <c r="E578" s="1"/>
  <c r="J578"/>
  <c r="C579"/>
  <c r="G563" i="41"/>
  <c r="F576" i="40"/>
  <c r="D566" i="41"/>
  <c r="E566" s="1"/>
  <c r="J566"/>
  <c r="C567"/>
  <c r="BA490" i="49"/>
  <c r="BD489" s="1"/>
  <c r="AV491"/>
  <c r="AW490"/>
  <c r="F577" i="40" l="1"/>
  <c r="D567" i="41"/>
  <c r="E567" s="1"/>
  <c r="J567"/>
  <c r="C568"/>
  <c r="D579" i="40"/>
  <c r="E579" s="1"/>
  <c r="J579"/>
  <c r="C580"/>
  <c r="F565" i="41"/>
  <c r="AV492" i="49"/>
  <c r="BA491"/>
  <c r="AW491"/>
  <c r="G576" i="40"/>
  <c r="G564" i="41"/>
  <c r="BD490" i="49"/>
  <c r="F578" i="40" l="1"/>
  <c r="F566" i="41"/>
  <c r="D568"/>
  <c r="E568" s="1"/>
  <c r="J568"/>
  <c r="C569"/>
  <c r="G565"/>
  <c r="G577" i="40"/>
  <c r="BA492" i="49"/>
  <c r="BD491" s="1"/>
  <c r="AV493"/>
  <c r="AW492"/>
  <c r="D580" i="40"/>
  <c r="E580" s="1"/>
  <c r="J580"/>
  <c r="C581"/>
  <c r="J581" l="1"/>
  <c r="D581"/>
  <c r="E581" s="1"/>
  <c r="C582"/>
  <c r="AV494" i="49"/>
  <c r="BA493"/>
  <c r="BD492" s="1"/>
  <c r="AW493"/>
  <c r="G578" i="40"/>
  <c r="D569" i="41"/>
  <c r="E569" s="1"/>
  <c r="J569"/>
  <c r="C570"/>
  <c r="F567"/>
  <c r="F579" i="40"/>
  <c r="G566" i="41"/>
  <c r="G567" l="1"/>
  <c r="F580" i="40"/>
  <c r="D582"/>
  <c r="E582" s="1"/>
  <c r="J582"/>
  <c r="C583"/>
  <c r="F568" i="41"/>
  <c r="G579" i="40"/>
  <c r="D570" i="41"/>
  <c r="E570" s="1"/>
  <c r="J570"/>
  <c r="C571"/>
  <c r="BA494" i="49"/>
  <c r="BD493" s="1"/>
  <c r="AV495"/>
  <c r="AW494"/>
  <c r="BD494" l="1"/>
  <c r="F581" i="40"/>
  <c r="D571" i="41"/>
  <c r="E571" s="1"/>
  <c r="J571"/>
  <c r="C572"/>
  <c r="D583" i="40"/>
  <c r="E583" s="1"/>
  <c r="J583"/>
  <c r="C584"/>
  <c r="AV496" i="49"/>
  <c r="BA495"/>
  <c r="AW495"/>
  <c r="G568" i="41"/>
  <c r="F569"/>
  <c r="G580" i="40"/>
  <c r="G569" i="41" l="1"/>
  <c r="D584" i="40"/>
  <c r="E584" s="1"/>
  <c r="J584"/>
  <c r="C585"/>
  <c r="F582"/>
  <c r="G581"/>
  <c r="BA496" i="49"/>
  <c r="AV497"/>
  <c r="AW496"/>
  <c r="D572" i="41"/>
  <c r="E572" s="1"/>
  <c r="J572"/>
  <c r="C573"/>
  <c r="F570"/>
  <c r="BD495" i="49"/>
  <c r="J585" i="40" l="1"/>
  <c r="D585"/>
  <c r="E585" s="1"/>
  <c r="C586"/>
  <c r="G570" i="41"/>
  <c r="F583" i="40"/>
  <c r="F571" i="41"/>
  <c r="G582" i="40"/>
  <c r="D573" i="41"/>
  <c r="E573" s="1"/>
  <c r="J573"/>
  <c r="C574"/>
  <c r="AV498" i="49"/>
  <c r="BA497"/>
  <c r="BD496" s="1"/>
  <c r="AW497"/>
  <c r="G571" i="41" l="1"/>
  <c r="D574"/>
  <c r="E574" s="1"/>
  <c r="J574"/>
  <c r="C575"/>
  <c r="F584" i="40"/>
  <c r="BA498" i="49"/>
  <c r="BD497" s="1"/>
  <c r="AV499"/>
  <c r="AW498"/>
  <c r="G583" i="40"/>
  <c r="D586"/>
  <c r="E586" s="1"/>
  <c r="J586"/>
  <c r="C587"/>
  <c r="F572" i="41"/>
  <c r="D575" l="1"/>
  <c r="E575" s="1"/>
  <c r="J575"/>
  <c r="C576"/>
  <c r="G572"/>
  <c r="F573"/>
  <c r="F585" i="40"/>
  <c r="AV500" i="49"/>
  <c r="BA499"/>
  <c r="AW499"/>
  <c r="G584" i="40"/>
  <c r="D587"/>
  <c r="E587" s="1"/>
  <c r="J587"/>
  <c r="C588"/>
  <c r="BD498" i="49"/>
  <c r="F574" i="41" l="1"/>
  <c r="D588" i="40"/>
  <c r="E588" s="1"/>
  <c r="J588"/>
  <c r="C589"/>
  <c r="BA500" i="49"/>
  <c r="AV501"/>
  <c r="AW500"/>
  <c r="G573" i="41"/>
  <c r="D576"/>
  <c r="E576" s="1"/>
  <c r="J576"/>
  <c r="C577"/>
  <c r="G585" i="40"/>
  <c r="F586"/>
  <c r="BD499" i="49"/>
  <c r="D589" i="40" l="1"/>
  <c r="E589" s="1"/>
  <c r="J589"/>
  <c r="C590"/>
  <c r="G586"/>
  <c r="F587"/>
  <c r="D577" i="41"/>
  <c r="E577" s="1"/>
  <c r="J577"/>
  <c r="C578"/>
  <c r="G574"/>
  <c r="F575"/>
  <c r="AV502" i="49"/>
  <c r="BA501"/>
  <c r="BD500" s="1"/>
  <c r="AW501"/>
  <c r="F588" i="40" l="1"/>
  <c r="G575" i="41"/>
  <c r="D578"/>
  <c r="E578" s="1"/>
  <c r="J578"/>
  <c r="C579"/>
  <c r="BA502" i="49"/>
  <c r="BD501" s="1"/>
  <c r="AV503"/>
  <c r="AW502"/>
  <c r="G587" i="40"/>
  <c r="D590"/>
  <c r="E590" s="1"/>
  <c r="J590"/>
  <c r="C591"/>
  <c r="F576" i="41"/>
  <c r="F577" l="1"/>
  <c r="G576"/>
  <c r="AV504" i="49"/>
  <c r="BA503"/>
  <c r="BD502" s="1"/>
  <c r="AW503"/>
  <c r="D579" i="41"/>
  <c r="E579" s="1"/>
  <c r="J579"/>
  <c r="C580"/>
  <c r="F589" i="40"/>
  <c r="G588"/>
  <c r="D591"/>
  <c r="E591" s="1"/>
  <c r="J591"/>
  <c r="C592"/>
  <c r="F578" i="41" l="1"/>
  <c r="BA504" i="49"/>
  <c r="AV505"/>
  <c r="AW504"/>
  <c r="D592" i="40"/>
  <c r="E592" s="1"/>
  <c r="J592"/>
  <c r="C593"/>
  <c r="G577" i="41"/>
  <c r="D580"/>
  <c r="E580" s="1"/>
  <c r="J580"/>
  <c r="C581"/>
  <c r="BD503" i="49"/>
  <c r="G589" i="40"/>
  <c r="F590"/>
  <c r="J593" l="1"/>
  <c r="D593"/>
  <c r="E593" s="1"/>
  <c r="C594"/>
  <c r="D581" i="41"/>
  <c r="E581" s="1"/>
  <c r="J581"/>
  <c r="C582"/>
  <c r="G590" i="40"/>
  <c r="F591"/>
  <c r="AV506" i="49"/>
  <c r="BA505"/>
  <c r="BD504" s="1"/>
  <c r="AW505"/>
  <c r="G578" i="41"/>
  <c r="F579"/>
  <c r="G579" l="1"/>
  <c r="F592" i="40"/>
  <c r="BD505" i="49"/>
  <c r="F580" i="41"/>
  <c r="G591" i="40"/>
  <c r="D582" i="41"/>
  <c r="E582" s="1"/>
  <c r="J582"/>
  <c r="C583"/>
  <c r="BA506" i="49"/>
  <c r="AV507"/>
  <c r="AW506"/>
  <c r="D594" i="40"/>
  <c r="E594" s="1"/>
  <c r="J594"/>
  <c r="C595"/>
  <c r="D595" l="1"/>
  <c r="E595" s="1"/>
  <c r="J595"/>
  <c r="C596"/>
  <c r="AV508" i="49"/>
  <c r="BA507"/>
  <c r="BD506" s="1"/>
  <c r="AW507"/>
  <c r="G580" i="41"/>
  <c r="F593" i="40"/>
  <c r="F581" i="41"/>
  <c r="D583"/>
  <c r="E583" s="1"/>
  <c r="J583"/>
  <c r="C584"/>
  <c r="G592" i="40"/>
  <c r="G581" i="41" l="1"/>
  <c r="F594" i="40"/>
  <c r="G593"/>
  <c r="D596"/>
  <c r="E596" s="1"/>
  <c r="J596"/>
  <c r="C597"/>
  <c r="F582" i="41"/>
  <c r="D584"/>
  <c r="E584" s="1"/>
  <c r="J584"/>
  <c r="C585"/>
  <c r="BA508" i="49"/>
  <c r="AV509"/>
  <c r="AW508"/>
  <c r="BD507"/>
  <c r="J597" i="40" l="1"/>
  <c r="D597"/>
  <c r="E597" s="1"/>
  <c r="C598"/>
  <c r="D585" i="41"/>
  <c r="E585" s="1"/>
  <c r="J585"/>
  <c r="C586"/>
  <c r="G582"/>
  <c r="F595" i="40"/>
  <c r="AV510" i="49"/>
  <c r="BA509"/>
  <c r="AW509"/>
  <c r="F583" i="41"/>
  <c r="G594" i="40"/>
  <c r="BD509" i="49" l="1"/>
  <c r="G583" i="41"/>
  <c r="F596" i="40"/>
  <c r="BD508" i="49"/>
  <c r="F584" i="41"/>
  <c r="G595" i="40"/>
  <c r="D586" i="41"/>
  <c r="E586" s="1"/>
  <c r="J586"/>
  <c r="C587"/>
  <c r="BA510" i="49"/>
  <c r="AV511"/>
  <c r="AW510"/>
  <c r="D598" i="40"/>
  <c r="E598" s="1"/>
  <c r="J598"/>
  <c r="C599"/>
  <c r="F597" l="1"/>
  <c r="F585" i="41"/>
  <c r="D587"/>
  <c r="E587" s="1"/>
  <c r="J587"/>
  <c r="C588"/>
  <c r="G596" i="40"/>
  <c r="D599"/>
  <c r="E599" s="1"/>
  <c r="J599"/>
  <c r="C600"/>
  <c r="AV512" i="49"/>
  <c r="BA511"/>
  <c r="BD510" s="1"/>
  <c r="AW511"/>
  <c r="G584" i="41"/>
  <c r="BA512" i="49" l="1"/>
  <c r="BD511" s="1"/>
  <c r="AV513"/>
  <c r="AW512"/>
  <c r="F598" i="40"/>
  <c r="G597"/>
  <c r="D588" i="41"/>
  <c r="E588" s="1"/>
  <c r="J588"/>
  <c r="C589"/>
  <c r="F586"/>
  <c r="D600" i="40"/>
  <c r="E600" s="1"/>
  <c r="J600"/>
  <c r="C601"/>
  <c r="G585" i="41"/>
  <c r="J601" i="40" l="1"/>
  <c r="D601"/>
  <c r="E601" s="1"/>
  <c r="C602"/>
  <c r="G586" i="41"/>
  <c r="F599" i="40"/>
  <c r="D589" i="41"/>
  <c r="E589" s="1"/>
  <c r="J589"/>
  <c r="C590"/>
  <c r="AV514" i="49"/>
  <c r="BA513"/>
  <c r="BD512" s="1"/>
  <c r="AW513"/>
  <c r="F587" i="41"/>
  <c r="G598" i="40"/>
  <c r="D590" i="41" l="1"/>
  <c r="E590" s="1"/>
  <c r="J590"/>
  <c r="C591"/>
  <c r="F600" i="40"/>
  <c r="BA514" i="49"/>
  <c r="BD513" s="1"/>
  <c r="AV515"/>
  <c r="AW514"/>
  <c r="G599" i="40"/>
  <c r="D602"/>
  <c r="E602" s="1"/>
  <c r="J602"/>
  <c r="C603"/>
  <c r="G587" i="41"/>
  <c r="F588"/>
  <c r="G600" i="40" l="1"/>
  <c r="G588" i="41"/>
  <c r="D603" i="40"/>
  <c r="E603" s="1"/>
  <c r="J603"/>
  <c r="C604"/>
  <c r="D591" i="41"/>
  <c r="E591" s="1"/>
  <c r="J591"/>
  <c r="C592"/>
  <c r="F589"/>
  <c r="F601" i="40"/>
  <c r="AV516" i="49"/>
  <c r="BA515"/>
  <c r="BD514" s="1"/>
  <c r="AW515"/>
  <c r="F602" i="40" l="1"/>
  <c r="G601"/>
  <c r="D592" i="41"/>
  <c r="E592" s="1"/>
  <c r="J592"/>
  <c r="C593"/>
  <c r="BA516" i="49"/>
  <c r="BD515" s="1"/>
  <c r="AV517"/>
  <c r="AW516"/>
  <c r="D604" i="40"/>
  <c r="E604" s="1"/>
  <c r="J604"/>
  <c r="C605"/>
  <c r="G589" i="41"/>
  <c r="F590"/>
  <c r="F591" l="1"/>
  <c r="G590"/>
  <c r="D605" i="40"/>
  <c r="E605" s="1"/>
  <c r="J605"/>
  <c r="C606"/>
  <c r="AV518" i="49"/>
  <c r="BA517"/>
  <c r="BD516" s="1"/>
  <c r="AW517"/>
  <c r="G602" i="40"/>
  <c r="D593" i="41"/>
  <c r="E593" s="1"/>
  <c r="J593"/>
  <c r="C594"/>
  <c r="F603" i="40"/>
  <c r="F592" i="41" l="1"/>
  <c r="D606" i="40"/>
  <c r="E606" s="1"/>
  <c r="J606"/>
  <c r="C607"/>
  <c r="F604"/>
  <c r="G603"/>
  <c r="G591" i="41"/>
  <c r="D594"/>
  <c r="E594" s="1"/>
  <c r="J594"/>
  <c r="C595"/>
  <c r="BA518" i="49"/>
  <c r="BD517" s="1"/>
  <c r="AV519"/>
  <c r="AW518"/>
  <c r="F593" i="41" l="1"/>
  <c r="D607" i="40"/>
  <c r="E607" s="1"/>
  <c r="J607"/>
  <c r="C608"/>
  <c r="AV520" i="49"/>
  <c r="BA519"/>
  <c r="AW519"/>
  <c r="F605" i="40"/>
  <c r="G592" i="41"/>
  <c r="D595"/>
  <c r="E595" s="1"/>
  <c r="J595"/>
  <c r="C596"/>
  <c r="G604" i="40"/>
  <c r="BD518" i="49"/>
  <c r="D608" i="40" l="1"/>
  <c r="E608" s="1"/>
  <c r="J608"/>
  <c r="C609"/>
  <c r="BA520" i="49"/>
  <c r="BD519" s="1"/>
  <c r="AV521"/>
  <c r="AW520"/>
  <c r="F606" i="40"/>
  <c r="F594" i="41"/>
  <c r="G593"/>
  <c r="G605" i="40"/>
  <c r="D596" i="41"/>
  <c r="E596" s="1"/>
  <c r="J596"/>
  <c r="C597"/>
  <c r="F607" i="40" l="1"/>
  <c r="D597" i="41"/>
  <c r="E597" s="1"/>
  <c r="J597"/>
  <c r="C598"/>
  <c r="AV522" i="49"/>
  <c r="BA521"/>
  <c r="AW521"/>
  <c r="G594" i="41"/>
  <c r="J609" i="40"/>
  <c r="D609"/>
  <c r="E609" s="1"/>
  <c r="C610"/>
  <c r="G606"/>
  <c r="F595" i="41"/>
  <c r="BD520" i="49"/>
  <c r="F608" i="40" l="1"/>
  <c r="BA522" i="49"/>
  <c r="AV523"/>
  <c r="AW522"/>
  <c r="F596" i="41"/>
  <c r="D598"/>
  <c r="E598" s="1"/>
  <c r="J598"/>
  <c r="C599"/>
  <c r="G595"/>
  <c r="D610" i="40"/>
  <c r="E610" s="1"/>
  <c r="J610"/>
  <c r="C611"/>
  <c r="G607"/>
  <c r="BD521" i="49"/>
  <c r="BD522" l="1"/>
  <c r="F609" i="40"/>
  <c r="G608"/>
  <c r="D599" i="41"/>
  <c r="E599" s="1"/>
  <c r="J599"/>
  <c r="C600"/>
  <c r="F597"/>
  <c r="AV524" i="49"/>
  <c r="BA523"/>
  <c r="AW523"/>
  <c r="D611" i="40"/>
  <c r="E611" s="1"/>
  <c r="J611"/>
  <c r="C612"/>
  <c r="G596" i="41"/>
  <c r="D612" i="40" l="1"/>
  <c r="E612" s="1"/>
  <c r="J612"/>
  <c r="C613"/>
  <c r="G597" i="41"/>
  <c r="F610" i="40"/>
  <c r="BA524" i="49"/>
  <c r="BD523" s="1"/>
  <c r="AV525"/>
  <c r="AW524"/>
  <c r="G609" i="40"/>
  <c r="F598" i="41"/>
  <c r="D600"/>
  <c r="E600" s="1"/>
  <c r="J600"/>
  <c r="C601"/>
  <c r="AV526" i="49" l="1"/>
  <c r="BA525"/>
  <c r="BD524" s="1"/>
  <c r="AW525"/>
  <c r="G598" i="41"/>
  <c r="G610" i="40"/>
  <c r="J613"/>
  <c r="D613"/>
  <c r="E613" s="1"/>
  <c r="C614"/>
  <c r="F611"/>
  <c r="D601" i="41"/>
  <c r="E601" s="1"/>
  <c r="J601"/>
  <c r="C602"/>
  <c r="F599"/>
  <c r="BD525" i="49" l="1"/>
  <c r="G611" i="40"/>
  <c r="G599" i="41"/>
  <c r="F612" i="40"/>
  <c r="D614"/>
  <c r="E614" s="1"/>
  <c r="J614"/>
  <c r="C615"/>
  <c r="BA526" i="49"/>
  <c r="AV527"/>
  <c r="AW526"/>
  <c r="F600" i="41"/>
  <c r="D602"/>
  <c r="E602" s="1"/>
  <c r="J602"/>
  <c r="C603"/>
  <c r="F601" l="1"/>
  <c r="D615" i="40"/>
  <c r="E615" s="1"/>
  <c r="J615"/>
  <c r="C616"/>
  <c r="D603" i="41"/>
  <c r="E603" s="1"/>
  <c r="J603"/>
  <c r="C604"/>
  <c r="G612" i="40"/>
  <c r="AV528" i="49"/>
  <c r="BA527"/>
  <c r="AW527"/>
  <c r="G600" i="41"/>
  <c r="F613" i="40"/>
  <c r="BD527" i="49" l="1"/>
  <c r="D604" i="41"/>
  <c r="E604" s="1"/>
  <c r="J604"/>
  <c r="C605"/>
  <c r="F602"/>
  <c r="G601"/>
  <c r="BD526" i="49"/>
  <c r="D616" i="40"/>
  <c r="E616" s="1"/>
  <c r="J616"/>
  <c r="C617"/>
  <c r="G613"/>
  <c r="BA528" i="49"/>
  <c r="AV529"/>
  <c r="AW528"/>
  <c r="F614" i="40"/>
  <c r="AV530" i="49" l="1"/>
  <c r="BA529"/>
  <c r="BD528" s="1"/>
  <c r="AW529"/>
  <c r="F603" i="41"/>
  <c r="F615" i="40"/>
  <c r="G602" i="41"/>
  <c r="G614" i="40"/>
  <c r="J617"/>
  <c r="D617"/>
  <c r="E617" s="1"/>
  <c r="C618"/>
  <c r="D605" i="41"/>
  <c r="E605" s="1"/>
  <c r="J605"/>
  <c r="C606"/>
  <c r="BD529" i="49" l="1"/>
  <c r="G603" i="41"/>
  <c r="F616" i="40"/>
  <c r="F604" i="41"/>
  <c r="G615" i="40"/>
  <c r="BA530" i="49"/>
  <c r="AV531"/>
  <c r="AW530"/>
  <c r="D606" i="41"/>
  <c r="E606" s="1"/>
  <c r="J606"/>
  <c r="C607"/>
  <c r="D618" i="40"/>
  <c r="E618" s="1"/>
  <c r="J618"/>
  <c r="C619"/>
  <c r="F605" i="41" l="1"/>
  <c r="D619" i="40"/>
  <c r="E619" s="1"/>
  <c r="J619"/>
  <c r="C620"/>
  <c r="G604" i="41"/>
  <c r="F617" i="40"/>
  <c r="G616"/>
  <c r="D607" i="41"/>
  <c r="E607" s="1"/>
  <c r="J607"/>
  <c r="C608"/>
  <c r="AV532" i="49"/>
  <c r="BA531"/>
  <c r="BD530" s="1"/>
  <c r="AW531"/>
  <c r="G617" i="40" l="1"/>
  <c r="G605" i="41"/>
  <c r="BA532" i="49"/>
  <c r="BD531" s="1"/>
  <c r="AV533"/>
  <c r="AW532"/>
  <c r="F618" i="40"/>
  <c r="D620"/>
  <c r="E620" s="1"/>
  <c r="J620"/>
  <c r="C621"/>
  <c r="D608" i="41"/>
  <c r="E608" s="1"/>
  <c r="J608"/>
  <c r="C609"/>
  <c r="F606"/>
  <c r="D621" i="40" l="1"/>
  <c r="E621" s="1"/>
  <c r="J621"/>
  <c r="C622"/>
  <c r="F607" i="41"/>
  <c r="F619" i="40"/>
  <c r="AV534" i="49"/>
  <c r="BA533"/>
  <c r="BD532" s="1"/>
  <c r="AW533"/>
  <c r="G606" i="41"/>
  <c r="G618" i="40"/>
  <c r="D609" i="41"/>
  <c r="E609" s="1"/>
  <c r="J609"/>
  <c r="C610"/>
  <c r="F620" i="40" l="1"/>
  <c r="J610" i="41"/>
  <c r="D610"/>
  <c r="E610" s="1"/>
  <c r="C611"/>
  <c r="G619" i="40"/>
  <c r="D622"/>
  <c r="E622" s="1"/>
  <c r="J622"/>
  <c r="C623"/>
  <c r="G607" i="41"/>
  <c r="F608"/>
  <c r="BA534" i="49"/>
  <c r="AV535"/>
  <c r="AW534"/>
  <c r="BD534" l="1"/>
  <c r="D611" i="41"/>
  <c r="E611" s="1"/>
  <c r="J611"/>
  <c r="C612"/>
  <c r="AV536" i="49"/>
  <c r="BA535"/>
  <c r="AW535"/>
  <c r="D623" i="40"/>
  <c r="E623" s="1"/>
  <c r="J623"/>
  <c r="C624"/>
  <c r="G620"/>
  <c r="G608" i="41"/>
  <c r="BD533" i="49"/>
  <c r="F621" i="40"/>
  <c r="F609" i="41"/>
  <c r="BA536" i="49" l="1"/>
  <c r="AV537"/>
  <c r="AW536"/>
  <c r="F610" i="41"/>
  <c r="D624" i="40"/>
  <c r="E624" s="1"/>
  <c r="J624"/>
  <c r="C625"/>
  <c r="BD535" i="49"/>
  <c r="F622" i="40"/>
  <c r="G621"/>
  <c r="G609" i="41"/>
  <c r="D612"/>
  <c r="E612" s="1"/>
  <c r="J612"/>
  <c r="C613"/>
  <c r="F623" i="40" l="1"/>
  <c r="AV538" i="49"/>
  <c r="BA537"/>
  <c r="BD536" s="1"/>
  <c r="AW537"/>
  <c r="F611" i="41"/>
  <c r="J625" i="40"/>
  <c r="D625"/>
  <c r="E625" s="1"/>
  <c r="C626"/>
  <c r="G610" i="41"/>
  <c r="D613"/>
  <c r="E613" s="1"/>
  <c r="J613"/>
  <c r="C614"/>
  <c r="G622" i="40"/>
  <c r="F612" i="41" l="1"/>
  <c r="G623" i="40"/>
  <c r="D626"/>
  <c r="E626" s="1"/>
  <c r="J626"/>
  <c r="C627"/>
  <c r="BA538" i="49"/>
  <c r="BD537" s="1"/>
  <c r="AV539"/>
  <c r="AW538"/>
  <c r="F624" i="40"/>
  <c r="D614" i="41"/>
  <c r="E614" s="1"/>
  <c r="J614"/>
  <c r="C615"/>
  <c r="G611"/>
  <c r="G624" i="40" l="1"/>
  <c r="F625"/>
  <c r="G612" i="41"/>
  <c r="D627" i="40"/>
  <c r="E627" s="1"/>
  <c r="J627"/>
  <c r="C628"/>
  <c r="F613" i="41"/>
  <c r="AV540" i="49"/>
  <c r="BA539"/>
  <c r="BD538" s="1"/>
  <c r="AW539"/>
  <c r="D615" i="41"/>
  <c r="E615" s="1"/>
  <c r="J615"/>
  <c r="C616"/>
  <c r="D616" l="1"/>
  <c r="E616" s="1"/>
  <c r="J616"/>
  <c r="C617"/>
  <c r="G613"/>
  <c r="F626" i="40"/>
  <c r="D628"/>
  <c r="E628" s="1"/>
  <c r="J628"/>
  <c r="C629"/>
  <c r="F614" i="41"/>
  <c r="BA540" i="49"/>
  <c r="BD539" s="1"/>
  <c r="AV541"/>
  <c r="AW540"/>
  <c r="G625" i="40"/>
  <c r="G614" i="41" l="1"/>
  <c r="F627" i="40"/>
  <c r="J629"/>
  <c r="D629"/>
  <c r="E629" s="1"/>
  <c r="C630"/>
  <c r="G626"/>
  <c r="D617" i="41"/>
  <c r="E617" s="1"/>
  <c r="J617"/>
  <c r="C618"/>
  <c r="F615"/>
  <c r="AV542" i="49"/>
  <c r="BA541"/>
  <c r="BD540" s="1"/>
  <c r="AW541"/>
  <c r="G615" i="41" l="1"/>
  <c r="F628" i="40"/>
  <c r="BA542" i="49"/>
  <c r="BD541" s="1"/>
  <c r="AV543"/>
  <c r="AW542"/>
  <c r="D630" i="40"/>
  <c r="E630" s="1"/>
  <c r="J630"/>
  <c r="C631"/>
  <c r="F616" i="41"/>
  <c r="D618"/>
  <c r="E618" s="1"/>
  <c r="J618"/>
  <c r="C619"/>
  <c r="G627" i="40"/>
  <c r="G616" i="41" l="1"/>
  <c r="F617"/>
  <c r="D631" i="40"/>
  <c r="E631" s="1"/>
  <c r="J631"/>
  <c r="C632"/>
  <c r="AV544" i="49"/>
  <c r="BA543"/>
  <c r="BD542" s="1"/>
  <c r="AW543"/>
  <c r="F629" i="40"/>
  <c r="D619" i="41"/>
  <c r="E619" s="1"/>
  <c r="J619"/>
  <c r="C620"/>
  <c r="G628" i="40"/>
  <c r="F618" i="41" l="1"/>
  <c r="D632" i="40"/>
  <c r="E632" s="1"/>
  <c r="J632"/>
  <c r="C633"/>
  <c r="G629"/>
  <c r="F630"/>
  <c r="D620" i="41"/>
  <c r="E620" s="1"/>
  <c r="J620"/>
  <c r="C621"/>
  <c r="BA544" i="49"/>
  <c r="BD543" s="1"/>
  <c r="AV545"/>
  <c r="AW544"/>
  <c r="G617" i="41"/>
  <c r="G630" i="40" l="1"/>
  <c r="J633"/>
  <c r="D633"/>
  <c r="E633" s="1"/>
  <c r="C634"/>
  <c r="G618" i="41"/>
  <c r="AV546" i="49"/>
  <c r="BA545"/>
  <c r="BD544" s="1"/>
  <c r="AW545"/>
  <c r="F631" i="40"/>
  <c r="F619" i="41"/>
  <c r="D621"/>
  <c r="E621" s="1"/>
  <c r="J621"/>
  <c r="C622"/>
  <c r="G631" i="40" l="1"/>
  <c r="D634"/>
  <c r="E634" s="1"/>
  <c r="J634"/>
  <c r="C635"/>
  <c r="D622" i="41"/>
  <c r="E622" s="1"/>
  <c r="J622"/>
  <c r="C623"/>
  <c r="G619"/>
  <c r="F620"/>
  <c r="BA546" i="49"/>
  <c r="BD545" s="1"/>
  <c r="AV547"/>
  <c r="AW546"/>
  <c r="F632" i="40"/>
  <c r="G620" i="41" l="1"/>
  <c r="D635" i="40"/>
  <c r="E635" s="1"/>
  <c r="J635"/>
  <c r="C636"/>
  <c r="G632"/>
  <c r="F633"/>
  <c r="F621" i="41"/>
  <c r="AV548" i="49"/>
  <c r="BA547"/>
  <c r="BD546" s="1"/>
  <c r="AW547"/>
  <c r="D623" i="41"/>
  <c r="E623" s="1"/>
  <c r="J623"/>
  <c r="C624"/>
  <c r="D636" i="40" l="1"/>
  <c r="E636" s="1"/>
  <c r="J636"/>
  <c r="C637"/>
  <c r="G621" i="41"/>
  <c r="F634" i="40"/>
  <c r="G633"/>
  <c r="D624" i="41"/>
  <c r="E624" s="1"/>
  <c r="J624"/>
  <c r="C625"/>
  <c r="F622"/>
  <c r="BA548" i="49"/>
  <c r="BD547" s="1"/>
  <c r="AV549"/>
  <c r="AW548"/>
  <c r="BD548" l="1"/>
  <c r="F635" i="40"/>
  <c r="G622" i="41"/>
  <c r="G634" i="40"/>
  <c r="D637"/>
  <c r="E637" s="1"/>
  <c r="J637"/>
  <c r="C638"/>
  <c r="AV550" i="49"/>
  <c r="BA549"/>
  <c r="AW549"/>
  <c r="F623" i="41"/>
  <c r="D625"/>
  <c r="E625" s="1"/>
  <c r="J625"/>
  <c r="C626"/>
  <c r="F624" l="1"/>
  <c r="D638" i="40"/>
  <c r="E638" s="1"/>
  <c r="J638"/>
  <c r="C639"/>
  <c r="D626" i="41"/>
  <c r="E626" s="1"/>
  <c r="J626"/>
  <c r="C627"/>
  <c r="BA550" i="49"/>
  <c r="BD549" s="1"/>
  <c r="AV551"/>
  <c r="AW550"/>
  <c r="G635" i="40"/>
  <c r="G623" i="41"/>
  <c r="F636" i="40"/>
  <c r="F625" i="41" l="1"/>
  <c r="F637" i="40"/>
  <c r="D639"/>
  <c r="E639" s="1"/>
  <c r="J639"/>
  <c r="C640"/>
  <c r="G636"/>
  <c r="G624" i="41"/>
  <c r="AV552" i="49"/>
  <c r="BA551"/>
  <c r="BD550" s="1"/>
  <c r="AW551"/>
  <c r="D627" i="41"/>
  <c r="E627" s="1"/>
  <c r="J627"/>
  <c r="C628"/>
  <c r="F638" i="40" l="1"/>
  <c r="D628" i="41"/>
  <c r="E628" s="1"/>
  <c r="J628"/>
  <c r="C629"/>
  <c r="G625"/>
  <c r="D640" i="40"/>
  <c r="E640" s="1"/>
  <c r="J640"/>
  <c r="C641"/>
  <c r="F626" i="41"/>
  <c r="BA552" i="49"/>
  <c r="BD551" s="1"/>
  <c r="AV553"/>
  <c r="AW552"/>
  <c r="G637" i="40"/>
  <c r="J641" l="1"/>
  <c r="D641"/>
  <c r="E641" s="1"/>
  <c r="C642"/>
  <c r="F627" i="41"/>
  <c r="G626"/>
  <c r="D629"/>
  <c r="E629" s="1"/>
  <c r="J629"/>
  <c r="C630"/>
  <c r="G638" i="40"/>
  <c r="AV554" i="49"/>
  <c r="BA553"/>
  <c r="BD552" s="1"/>
  <c r="AW553"/>
  <c r="F639" i="40"/>
  <c r="G627" i="41" l="1"/>
  <c r="D630"/>
  <c r="E630" s="1"/>
  <c r="J630"/>
  <c r="C631"/>
  <c r="F640" i="40"/>
  <c r="D642"/>
  <c r="E642" s="1"/>
  <c r="J642"/>
  <c r="C643"/>
  <c r="BA554" i="49"/>
  <c r="AV555"/>
  <c r="AW554"/>
  <c r="G639" i="40"/>
  <c r="F628" i="41"/>
  <c r="BD554" i="49" l="1"/>
  <c r="AV556"/>
  <c r="BA555"/>
  <c r="AW555"/>
  <c r="D631" i="41"/>
  <c r="E631" s="1"/>
  <c r="J631"/>
  <c r="C632"/>
  <c r="G628"/>
  <c r="D643" i="40"/>
  <c r="E643" s="1"/>
  <c r="J643"/>
  <c r="C644"/>
  <c r="BD553" i="49"/>
  <c r="F641" i="40"/>
  <c r="G640"/>
  <c r="F629" i="41"/>
  <c r="D644" i="40" l="1"/>
  <c r="E644" s="1"/>
  <c r="J644"/>
  <c r="C645"/>
  <c r="F630" i="41"/>
  <c r="F642" i="40"/>
  <c r="BA556" i="49"/>
  <c r="BD555" s="1"/>
  <c r="AV557"/>
  <c r="AW556"/>
  <c r="G629" i="41"/>
  <c r="G641" i="40"/>
  <c r="D632" i="41"/>
  <c r="E632" s="1"/>
  <c r="J632"/>
  <c r="C633"/>
  <c r="F643" i="40" l="1"/>
  <c r="D633" i="41"/>
  <c r="E633" s="1"/>
  <c r="J633"/>
  <c r="C634"/>
  <c r="AV558" i="49"/>
  <c r="BA557"/>
  <c r="AW557"/>
  <c r="G642" i="40"/>
  <c r="J645"/>
  <c r="D645"/>
  <c r="E645" s="1"/>
  <c r="C646"/>
  <c r="G630" i="41"/>
  <c r="F631"/>
  <c r="BD556" i="49"/>
  <c r="BA558" l="1"/>
  <c r="BD557" s="1"/>
  <c r="AV559"/>
  <c r="AW558"/>
  <c r="F632" i="41"/>
  <c r="F644" i="40"/>
  <c r="D634" i="41"/>
  <c r="E634" s="1"/>
  <c r="J634"/>
  <c r="C635"/>
  <c r="G631"/>
  <c r="D646" i="40"/>
  <c r="E646" s="1"/>
  <c r="J646"/>
  <c r="C647"/>
  <c r="G643"/>
  <c r="F633" i="41" l="1"/>
  <c r="D635"/>
  <c r="E635" s="1"/>
  <c r="J635"/>
  <c r="C636"/>
  <c r="AV560" i="49"/>
  <c r="BA559"/>
  <c r="BD558" s="1"/>
  <c r="AW559"/>
  <c r="F645" i="40"/>
  <c r="G632" i="41"/>
  <c r="D647" i="40"/>
  <c r="E647" s="1"/>
  <c r="J647"/>
  <c r="C648"/>
  <c r="G644"/>
  <c r="F646" l="1"/>
  <c r="G633" i="41"/>
  <c r="F634"/>
  <c r="D636"/>
  <c r="E636" s="1"/>
  <c r="J636"/>
  <c r="C637"/>
  <c r="BA560" i="49"/>
  <c r="BD559" s="1"/>
  <c r="AV561"/>
  <c r="AW560"/>
  <c r="G645" i="40"/>
  <c r="D648"/>
  <c r="E648" s="1"/>
  <c r="J648"/>
  <c r="C649"/>
  <c r="J649" l="1"/>
  <c r="D649"/>
  <c r="E649" s="1"/>
  <c r="C650"/>
  <c r="G634" i="41"/>
  <c r="F635"/>
  <c r="D637"/>
  <c r="E637" s="1"/>
  <c r="J637"/>
  <c r="C638"/>
  <c r="G646" i="40"/>
  <c r="F647"/>
  <c r="AV562" i="49"/>
  <c r="BA561"/>
  <c r="BD560" s="1"/>
  <c r="AW561"/>
  <c r="F648" i="40" l="1"/>
  <c r="BA562" i="49"/>
  <c r="BD561" s="1"/>
  <c r="AV563"/>
  <c r="AW562"/>
  <c r="G635" i="41"/>
  <c r="D650" i="40"/>
  <c r="E650" s="1"/>
  <c r="J650"/>
  <c r="C651"/>
  <c r="G647"/>
  <c r="D638" i="41"/>
  <c r="E638" s="1"/>
  <c r="J638"/>
  <c r="C639"/>
  <c r="F636"/>
  <c r="F649" i="40" l="1"/>
  <c r="AV564" i="49"/>
  <c r="BA563"/>
  <c r="AW563"/>
  <c r="G636" i="41"/>
  <c r="G648" i="40"/>
  <c r="D651"/>
  <c r="E651" s="1"/>
  <c r="J651"/>
  <c r="C652"/>
  <c r="BD562" i="49"/>
  <c r="F637" i="41"/>
  <c r="D639"/>
  <c r="E639" s="1"/>
  <c r="J639"/>
  <c r="C640"/>
  <c r="F638" l="1"/>
  <c r="F650" i="40"/>
  <c r="BA564" i="49"/>
  <c r="BD563" s="1"/>
  <c r="AV565"/>
  <c r="AW564"/>
  <c r="D652" i="40"/>
  <c r="E652" s="1"/>
  <c r="J652"/>
  <c r="C653"/>
  <c r="G649"/>
  <c r="D640" i="41"/>
  <c r="E640" s="1"/>
  <c r="J640"/>
  <c r="C641"/>
  <c r="G637"/>
  <c r="F639" l="1"/>
  <c r="G638"/>
  <c r="D653" i="40"/>
  <c r="E653" s="1"/>
  <c r="J653"/>
  <c r="C654"/>
  <c r="AV566" i="49"/>
  <c r="BA565"/>
  <c r="BD564" s="1"/>
  <c r="AW565"/>
  <c r="F651" i="40"/>
  <c r="D641" i="41"/>
  <c r="E641" s="1"/>
  <c r="J641"/>
  <c r="C642"/>
  <c r="G650" i="40"/>
  <c r="F640" i="41" l="1"/>
  <c r="D654" i="40"/>
  <c r="E654" s="1"/>
  <c r="J654"/>
  <c r="C655"/>
  <c r="G651"/>
  <c r="F652"/>
  <c r="G639" i="41"/>
  <c r="D642"/>
  <c r="E642" s="1"/>
  <c r="J642"/>
  <c r="C643"/>
  <c r="BA566" i="49"/>
  <c r="BD565" s="1"/>
  <c r="AV567"/>
  <c r="AW566"/>
  <c r="D655" i="40" l="1"/>
  <c r="E655" s="1"/>
  <c r="J655"/>
  <c r="C656"/>
  <c r="AV568" i="49"/>
  <c r="BA567"/>
  <c r="BD566" s="1"/>
  <c r="AW567"/>
  <c r="G640" i="41"/>
  <c r="F653" i="40"/>
  <c r="F641" i="41"/>
  <c r="G652" i="40"/>
  <c r="D643" i="41"/>
  <c r="E643" s="1"/>
  <c r="J643"/>
  <c r="C644"/>
  <c r="F654" i="40" l="1"/>
  <c r="D644" i="41"/>
  <c r="E644" s="1"/>
  <c r="J644"/>
  <c r="C645"/>
  <c r="G653" i="40"/>
  <c r="D656"/>
  <c r="E656" s="1"/>
  <c r="J656"/>
  <c r="C657"/>
  <c r="G641" i="41"/>
  <c r="F642"/>
  <c r="BA568" i="49"/>
  <c r="BD567" s="1"/>
  <c r="AV569"/>
  <c r="AW568"/>
  <c r="D645" i="41" l="1"/>
  <c r="E645" s="1"/>
  <c r="J645"/>
  <c r="C646"/>
  <c r="J657" i="40"/>
  <c r="D657"/>
  <c r="E657" s="1"/>
  <c r="C658"/>
  <c r="F643" i="41"/>
  <c r="AV570" i="49"/>
  <c r="BA569"/>
  <c r="BD568" s="1"/>
  <c r="AW569"/>
  <c r="G654" i="40"/>
  <c r="G642" i="41"/>
  <c r="F655" i="40"/>
  <c r="BD569" i="49" l="1"/>
  <c r="F644" i="41"/>
  <c r="D658" i="40"/>
  <c r="E658" s="1"/>
  <c r="J658"/>
  <c r="C659"/>
  <c r="D646" i="41"/>
  <c r="E646" s="1"/>
  <c r="J646"/>
  <c r="C647"/>
  <c r="BA570" i="49"/>
  <c r="AV571"/>
  <c r="AW570"/>
  <c r="F656" i="40"/>
  <c r="G655"/>
  <c r="G643" i="41"/>
  <c r="D647" l="1"/>
  <c r="E647" s="1"/>
  <c r="J647"/>
  <c r="C648"/>
  <c r="F645"/>
  <c r="G644"/>
  <c r="D659" i="40"/>
  <c r="E659" s="1"/>
  <c r="J659"/>
  <c r="C660"/>
  <c r="G656"/>
  <c r="AV572" i="49"/>
  <c r="BA571"/>
  <c r="BD570" s="1"/>
  <c r="AW571"/>
  <c r="F657" i="40"/>
  <c r="F646" i="41" l="1"/>
  <c r="G657" i="40"/>
  <c r="D660"/>
  <c r="E660" s="1"/>
  <c r="J660"/>
  <c r="C661"/>
  <c r="D648" i="41"/>
  <c r="E648" s="1"/>
  <c r="J648"/>
  <c r="C649"/>
  <c r="BA572" i="49"/>
  <c r="BD571" s="1"/>
  <c r="AV573"/>
  <c r="AW572"/>
  <c r="G645" i="41"/>
  <c r="F658" i="40"/>
  <c r="F659" l="1"/>
  <c r="D649" i="41"/>
  <c r="E649" s="1"/>
  <c r="J649"/>
  <c r="C650"/>
  <c r="G646"/>
  <c r="F647"/>
  <c r="AV574" i="49"/>
  <c r="BA573"/>
  <c r="AW573"/>
  <c r="G658" i="40"/>
  <c r="J661"/>
  <c r="D661"/>
  <c r="E661" s="1"/>
  <c r="C662"/>
  <c r="BD572" i="49"/>
  <c r="BA574" l="1"/>
  <c r="BD573" s="1"/>
  <c r="AV575"/>
  <c r="AW574"/>
  <c r="F648" i="41"/>
  <c r="F660" i="40"/>
  <c r="G647" i="41"/>
  <c r="D650"/>
  <c r="E650" s="1"/>
  <c r="J650"/>
  <c r="C651"/>
  <c r="D662" i="40"/>
  <c r="E662" s="1"/>
  <c r="J662"/>
  <c r="C663"/>
  <c r="G659"/>
  <c r="F661" l="1"/>
  <c r="F649" i="41"/>
  <c r="AV576" i="49"/>
  <c r="BA575"/>
  <c r="BD574" s="1"/>
  <c r="AW575"/>
  <c r="D651" i="41"/>
  <c r="E651" s="1"/>
  <c r="J651"/>
  <c r="C652"/>
  <c r="G648"/>
  <c r="D663" i="40"/>
  <c r="E663" s="1"/>
  <c r="J663"/>
  <c r="C664"/>
  <c r="G660"/>
  <c r="F650" i="41" l="1"/>
  <c r="BA576" i="49"/>
  <c r="AV577"/>
  <c r="AW576"/>
  <c r="G661" i="40"/>
  <c r="D652" i="41"/>
  <c r="E652" s="1"/>
  <c r="J652"/>
  <c r="C653"/>
  <c r="BD575" i="49"/>
  <c r="F662" i="40"/>
  <c r="D664"/>
  <c r="E664" s="1"/>
  <c r="J664"/>
  <c r="C665"/>
  <c r="G649" i="41"/>
  <c r="J665" i="40" l="1"/>
  <c r="D665"/>
  <c r="E665" s="1"/>
  <c r="C666"/>
  <c r="F663"/>
  <c r="D653" i="41"/>
  <c r="E653" s="1"/>
  <c r="J653"/>
  <c r="C654"/>
  <c r="F651"/>
  <c r="AV578" i="49"/>
  <c r="BA577"/>
  <c r="BD576" s="1"/>
  <c r="AW577"/>
  <c r="G662" i="40"/>
  <c r="G650" i="41"/>
  <c r="G663" i="40" l="1"/>
  <c r="G651" i="41"/>
  <c r="F664" i="40"/>
  <c r="D654" i="41"/>
  <c r="E654" s="1"/>
  <c r="J654"/>
  <c r="C655"/>
  <c r="F652"/>
  <c r="BA578" i="49"/>
  <c r="BD577" s="1"/>
  <c r="AV579"/>
  <c r="AW578"/>
  <c r="D666" i="40"/>
  <c r="E666" s="1"/>
  <c r="J666"/>
  <c r="C667"/>
  <c r="F665" l="1"/>
  <c r="D655" i="41"/>
  <c r="E655" s="1"/>
  <c r="J655"/>
  <c r="C656"/>
  <c r="G664" i="40"/>
  <c r="D667"/>
  <c r="E667" s="1"/>
  <c r="J667"/>
  <c r="C668"/>
  <c r="AV580" i="49"/>
  <c r="BA579"/>
  <c r="BD578" s="1"/>
  <c r="AW579"/>
  <c r="G652" i="41"/>
  <c r="F653"/>
  <c r="D656" l="1"/>
  <c r="E656" s="1"/>
  <c r="J656"/>
  <c r="C657"/>
  <c r="G653"/>
  <c r="G665" i="40"/>
  <c r="BA580" i="49"/>
  <c r="BD579" s="1"/>
  <c r="AV581"/>
  <c r="AW580"/>
  <c r="F654" i="41"/>
  <c r="D668" i="40"/>
  <c r="E668" s="1"/>
  <c r="J668"/>
  <c r="C669"/>
  <c r="F666"/>
  <c r="G654" i="41" l="1"/>
  <c r="F655"/>
  <c r="G666" i="40"/>
  <c r="D657" i="41"/>
  <c r="E657" s="1"/>
  <c r="J657"/>
  <c r="C658"/>
  <c r="F667" i="40"/>
  <c r="AV582" i="49"/>
  <c r="BA581"/>
  <c r="AW581"/>
  <c r="D669" i="40"/>
  <c r="E669" s="1"/>
  <c r="J669"/>
  <c r="C670"/>
  <c r="BD581" i="49" l="1"/>
  <c r="D658" i="41"/>
  <c r="E658" s="1"/>
  <c r="J658"/>
  <c r="C659"/>
  <c r="G667" i="40"/>
  <c r="F656" i="41"/>
  <c r="BD580" i="49"/>
  <c r="D670" i="40"/>
  <c r="E670" s="1"/>
  <c r="J670"/>
  <c r="C671"/>
  <c r="F668"/>
  <c r="BA582" i="49"/>
  <c r="AV583"/>
  <c r="AW582"/>
  <c r="G655" i="41"/>
  <c r="BD582" i="49" l="1"/>
  <c r="G668" i="40"/>
  <c r="F657" i="41"/>
  <c r="AV584" i="49"/>
  <c r="BA583"/>
  <c r="AW583"/>
  <c r="F669" i="40"/>
  <c r="D671"/>
  <c r="E671" s="1"/>
  <c r="J671"/>
  <c r="C672"/>
  <c r="G656" i="41"/>
  <c r="D659"/>
  <c r="E659" s="1"/>
  <c r="J659"/>
  <c r="C660"/>
  <c r="F658" l="1"/>
  <c r="G657"/>
  <c r="D672" i="40"/>
  <c r="E672" s="1"/>
  <c r="J672"/>
  <c r="C673"/>
  <c r="BA584" i="49"/>
  <c r="BD583" s="1"/>
  <c r="AV585"/>
  <c r="AW584"/>
  <c r="D660" i="41"/>
  <c r="E660" s="1"/>
  <c r="J660"/>
  <c r="C661"/>
  <c r="G669" i="40"/>
  <c r="F670"/>
  <c r="F671" l="1"/>
  <c r="G670"/>
  <c r="D661" i="41"/>
  <c r="E661" s="1"/>
  <c r="J661"/>
  <c r="C662"/>
  <c r="AV586" i="49"/>
  <c r="BA585"/>
  <c r="BD584" s="1"/>
  <c r="AW585"/>
  <c r="G658" i="41"/>
  <c r="J673" i="40"/>
  <c r="D673"/>
  <c r="E673" s="1"/>
  <c r="C674"/>
  <c r="F659" i="41"/>
  <c r="G659" l="1"/>
  <c r="G671" i="40"/>
  <c r="D662" i="41"/>
  <c r="E662" s="1"/>
  <c r="J662"/>
  <c r="C663"/>
  <c r="F660"/>
  <c r="F672" i="40"/>
  <c r="D674"/>
  <c r="E674" s="1"/>
  <c r="J674"/>
  <c r="C675"/>
  <c r="BA586" i="49"/>
  <c r="BD585" s="1"/>
  <c r="AV587"/>
  <c r="AW586"/>
  <c r="F673" i="40" l="1"/>
  <c r="D675"/>
  <c r="E675" s="1"/>
  <c r="J675"/>
  <c r="C676"/>
  <c r="D663" i="41"/>
  <c r="E663" s="1"/>
  <c r="J663"/>
  <c r="C664"/>
  <c r="F661"/>
  <c r="AV588" i="49"/>
  <c r="BA587"/>
  <c r="AW587"/>
  <c r="G660" i="41"/>
  <c r="G672" i="40"/>
  <c r="BD586" i="49"/>
  <c r="G661" i="41" l="1"/>
  <c r="G673" i="40"/>
  <c r="F674"/>
  <c r="D676"/>
  <c r="E676" s="1"/>
  <c r="J676"/>
  <c r="C677"/>
  <c r="F662" i="41"/>
  <c r="BA588" i="49"/>
  <c r="BD587" s="1"/>
  <c r="AV589"/>
  <c r="AW588"/>
  <c r="D664" i="41"/>
  <c r="E664" s="1"/>
  <c r="J664"/>
  <c r="C665"/>
  <c r="J677" i="40" l="1"/>
  <c r="D677"/>
  <c r="E677" s="1"/>
  <c r="C678"/>
  <c r="AV590" i="49"/>
  <c r="BA589"/>
  <c r="AW589"/>
  <c r="G662" i="41"/>
  <c r="F675" i="40"/>
  <c r="D665" i="41"/>
  <c r="E665" s="1"/>
  <c r="J665"/>
  <c r="C666"/>
  <c r="G674" i="40"/>
  <c r="F663" i="41"/>
  <c r="F676" i="40" l="1"/>
  <c r="G675"/>
  <c r="D678"/>
  <c r="E678" s="1"/>
  <c r="J678"/>
  <c r="C679"/>
  <c r="BD588" i="49"/>
  <c r="G663" i="41"/>
  <c r="D666"/>
  <c r="E666" s="1"/>
  <c r="J666"/>
  <c r="C667"/>
  <c r="F664"/>
  <c r="BA590" i="49"/>
  <c r="BD589" s="1"/>
  <c r="AV591"/>
  <c r="AW590"/>
  <c r="F677" i="40" l="1"/>
  <c r="AV592" i="49"/>
  <c r="BA591"/>
  <c r="BD590" s="1"/>
  <c r="AW591"/>
  <c r="G676" i="40"/>
  <c r="D667" i="41"/>
  <c r="E667" s="1"/>
  <c r="J667"/>
  <c r="C668"/>
  <c r="G664"/>
  <c r="F665"/>
  <c r="D679" i="40"/>
  <c r="E679" s="1"/>
  <c r="J679"/>
  <c r="C680"/>
  <c r="D680" l="1"/>
  <c r="E680" s="1"/>
  <c r="J680"/>
  <c r="C681"/>
  <c r="G677"/>
  <c r="G665" i="41"/>
  <c r="D668"/>
  <c r="E668" s="1"/>
  <c r="J668"/>
  <c r="C669"/>
  <c r="BA592" i="49"/>
  <c r="BD591" s="1"/>
  <c r="AV593"/>
  <c r="AW592"/>
  <c r="F666" i="41"/>
  <c r="F678" i="40"/>
  <c r="F679" l="1"/>
  <c r="G678"/>
  <c r="D669" i="41"/>
  <c r="E669" s="1"/>
  <c r="J669"/>
  <c r="C670"/>
  <c r="J681" i="40"/>
  <c r="D681"/>
  <c r="E681" s="1"/>
  <c r="C682"/>
  <c r="AV594" i="49"/>
  <c r="BA593"/>
  <c r="AW593"/>
  <c r="G666" i="41"/>
  <c r="F667"/>
  <c r="BD593" i="49" l="1"/>
  <c r="F680" i="40"/>
  <c r="D682"/>
  <c r="E682" s="1"/>
  <c r="J682"/>
  <c r="C683"/>
  <c r="G679"/>
  <c r="BD592" i="49"/>
  <c r="F668" i="41"/>
  <c r="G667"/>
  <c r="BA594" i="49"/>
  <c r="AV595"/>
  <c r="AW594"/>
  <c r="D670" i="41"/>
  <c r="E670" s="1"/>
  <c r="J670"/>
  <c r="C671"/>
  <c r="F669" l="1"/>
  <c r="D683" i="40"/>
  <c r="E683" s="1"/>
  <c r="J683"/>
  <c r="C684"/>
  <c r="G668" i="41"/>
  <c r="G680" i="40"/>
  <c r="D671" i="41"/>
  <c r="E671" s="1"/>
  <c r="J671"/>
  <c r="C672"/>
  <c r="AV596" i="49"/>
  <c r="BA595"/>
  <c r="BD594" s="1"/>
  <c r="AW595"/>
  <c r="F681" i="40"/>
  <c r="D684" l="1"/>
  <c r="E684" s="1"/>
  <c r="J684"/>
  <c r="C685"/>
  <c r="F670" i="41"/>
  <c r="F682" i="40"/>
  <c r="BA596" i="49"/>
  <c r="BD595" s="1"/>
  <c r="AV597"/>
  <c r="AW596"/>
  <c r="G681" i="40"/>
  <c r="G669" i="41"/>
  <c r="D672"/>
  <c r="E672" s="1"/>
  <c r="J672"/>
  <c r="C673"/>
  <c r="F683" i="40" l="1"/>
  <c r="D673" i="41"/>
  <c r="E673" s="1"/>
  <c r="J673"/>
  <c r="C674"/>
  <c r="AV598" i="49"/>
  <c r="BA597"/>
  <c r="AW597"/>
  <c r="G682" i="40"/>
  <c r="D685"/>
  <c r="E685" s="1"/>
  <c r="J685"/>
  <c r="C686"/>
  <c r="G670" i="41"/>
  <c r="F671"/>
  <c r="BD596" i="49"/>
  <c r="D674" i="41" l="1"/>
  <c r="E674" s="1"/>
  <c r="J674"/>
  <c r="C675"/>
  <c r="G671"/>
  <c r="G683" i="40"/>
  <c r="F672" i="41"/>
  <c r="D686" i="40"/>
  <c r="E686" s="1"/>
  <c r="J686"/>
  <c r="C687"/>
  <c r="BA598" i="49"/>
  <c r="BD597" s="1"/>
  <c r="AV599"/>
  <c r="AW598"/>
  <c r="F684" i="40"/>
  <c r="G672" i="41" l="1"/>
  <c r="F685" i="40"/>
  <c r="AV600" i="49"/>
  <c r="BA599"/>
  <c r="BD598" s="1"/>
  <c r="AW599"/>
  <c r="D675" i="41"/>
  <c r="E675" s="1"/>
  <c r="J675"/>
  <c r="C676"/>
  <c r="F673"/>
  <c r="G684" i="40"/>
  <c r="D687"/>
  <c r="E687" s="1"/>
  <c r="J687"/>
  <c r="C688"/>
  <c r="F674" i="41" l="1"/>
  <c r="BA600" i="49"/>
  <c r="AV601"/>
  <c r="AW600"/>
  <c r="D688" i="40"/>
  <c r="E688" s="1"/>
  <c r="J688"/>
  <c r="C689"/>
  <c r="D676" i="41"/>
  <c r="E676" s="1"/>
  <c r="J676"/>
  <c r="C677"/>
  <c r="BD599" i="49"/>
  <c r="G673" i="41"/>
  <c r="F686" i="40"/>
  <c r="G685"/>
  <c r="J689" l="1"/>
  <c r="D689"/>
  <c r="E689" s="1"/>
  <c r="C690"/>
  <c r="AV602" i="49"/>
  <c r="BA601"/>
  <c r="AW601"/>
  <c r="F687" i="40"/>
  <c r="G686"/>
  <c r="F675" i="41"/>
  <c r="G674"/>
  <c r="D677"/>
  <c r="E677" s="1"/>
  <c r="J677"/>
  <c r="C678"/>
  <c r="F676" l="1"/>
  <c r="G687" i="40"/>
  <c r="G675" i="41"/>
  <c r="D678"/>
  <c r="E678" s="1"/>
  <c r="J678"/>
  <c r="C679"/>
  <c r="D690" i="40"/>
  <c r="E690" s="1"/>
  <c r="J690"/>
  <c r="C691"/>
  <c r="BD600" i="49"/>
  <c r="F688" i="40"/>
  <c r="BA602" i="49"/>
  <c r="BD601" s="1"/>
  <c r="AV603"/>
  <c r="AW602"/>
  <c r="D691" i="40" l="1"/>
  <c r="E691" s="1"/>
  <c r="J691"/>
  <c r="C692"/>
  <c r="D679" i="41"/>
  <c r="E679" s="1"/>
  <c r="J679"/>
  <c r="C680"/>
  <c r="AV604" i="49"/>
  <c r="BA603"/>
  <c r="BD602" s="1"/>
  <c r="AW603"/>
  <c r="F689" i="40"/>
  <c r="G676" i="41"/>
  <c r="G688" i="40"/>
  <c r="F677" i="41"/>
  <c r="F690" i="40" l="1"/>
  <c r="G677" i="41"/>
  <c r="D680"/>
  <c r="E680" s="1"/>
  <c r="J680"/>
  <c r="C681"/>
  <c r="BA604" i="49"/>
  <c r="BD603" s="1"/>
  <c r="AV605"/>
  <c r="AW604"/>
  <c r="D692" i="40"/>
  <c r="E692" s="1"/>
  <c r="J692"/>
  <c r="C693"/>
  <c r="G689"/>
  <c r="F678" i="41"/>
  <c r="F679" l="1"/>
  <c r="G678"/>
  <c r="J693" i="40"/>
  <c r="D693"/>
  <c r="E693" s="1"/>
  <c r="C694"/>
  <c r="AV606" i="49"/>
  <c r="BA605"/>
  <c r="BD604" s="1"/>
  <c r="AW605"/>
  <c r="G690" i="40"/>
  <c r="D681" i="41"/>
  <c r="E681" s="1"/>
  <c r="J681"/>
  <c r="C682"/>
  <c r="F691" i="40"/>
  <c r="G691" l="1"/>
  <c r="F692"/>
  <c r="D694"/>
  <c r="E694" s="1"/>
  <c r="J694"/>
  <c r="C695"/>
  <c r="F680" i="41"/>
  <c r="G679"/>
  <c r="D682"/>
  <c r="E682" s="1"/>
  <c r="J682"/>
  <c r="C683"/>
  <c r="BA606" i="49"/>
  <c r="BD605" s="1"/>
  <c r="AV607"/>
  <c r="AW606"/>
  <c r="BD606" l="1"/>
  <c r="F693" i="40"/>
  <c r="D683" i="41"/>
  <c r="E683" s="1"/>
  <c r="J683"/>
  <c r="C684"/>
  <c r="D695" i="40"/>
  <c r="E695" s="1"/>
  <c r="J695"/>
  <c r="C696"/>
  <c r="AV608" i="49"/>
  <c r="BA607"/>
  <c r="AW607"/>
  <c r="G680" i="41"/>
  <c r="F681"/>
  <c r="G692" i="40"/>
  <c r="G681" i="41" l="1"/>
  <c r="D696" i="40"/>
  <c r="E696" s="1"/>
  <c r="J696"/>
  <c r="C697"/>
  <c r="BA608" i="49"/>
  <c r="AV609"/>
  <c r="AW608"/>
  <c r="D684" i="41"/>
  <c r="E684" s="1"/>
  <c r="J684"/>
  <c r="C685"/>
  <c r="F694" i="40"/>
  <c r="G693"/>
  <c r="F682" i="41"/>
  <c r="BD607" i="49"/>
  <c r="F683" i="41" l="1"/>
  <c r="F695" i="40"/>
  <c r="J697"/>
  <c r="D697"/>
  <c r="E697" s="1"/>
  <c r="C698"/>
  <c r="G682" i="41"/>
  <c r="G694" i="40"/>
  <c r="D685" i="41"/>
  <c r="E685" s="1"/>
  <c r="J685"/>
  <c r="C686"/>
  <c r="AV610" i="49"/>
  <c r="BA609"/>
  <c r="BD608" s="1"/>
  <c r="AW609"/>
  <c r="D686" i="41" l="1"/>
  <c r="E686" s="1"/>
  <c r="J686"/>
  <c r="C687"/>
  <c r="F696" i="40"/>
  <c r="G683" i="41"/>
  <c r="BA610" i="49"/>
  <c r="BD609" s="1"/>
  <c r="AV611"/>
  <c r="AW610"/>
  <c r="D698" i="40"/>
  <c r="E698" s="1"/>
  <c r="J698"/>
  <c r="C699"/>
  <c r="F684" i="41"/>
  <c r="G695" i="40"/>
  <c r="F685" i="41" l="1"/>
  <c r="D699" i="40"/>
  <c r="E699" s="1"/>
  <c r="J699"/>
  <c r="C700"/>
  <c r="AV612" i="49"/>
  <c r="BA611"/>
  <c r="AW611"/>
  <c r="D687" i="41"/>
  <c r="E687" s="1"/>
  <c r="J687"/>
  <c r="C688"/>
  <c r="G696" i="40"/>
  <c r="G684" i="41"/>
  <c r="F697" i="40"/>
  <c r="BD610" i="49"/>
  <c r="D700" i="40" l="1"/>
  <c r="E700" s="1"/>
  <c r="J700"/>
  <c r="C701"/>
  <c r="F686" i="41"/>
  <c r="BA612" i="49"/>
  <c r="AV613"/>
  <c r="AW612"/>
  <c r="F698" i="40"/>
  <c r="G697"/>
  <c r="G685" i="41"/>
  <c r="D688"/>
  <c r="E688" s="1"/>
  <c r="J688"/>
  <c r="C689"/>
  <c r="BD611" i="49"/>
  <c r="F699" i="40" l="1"/>
  <c r="D689" i="41"/>
  <c r="E689" s="1"/>
  <c r="J689"/>
  <c r="C690"/>
  <c r="G698" i="40"/>
  <c r="D701"/>
  <c r="E701" s="1"/>
  <c r="J701"/>
  <c r="C702"/>
  <c r="G686" i="41"/>
  <c r="F687"/>
  <c r="AV614" i="49"/>
  <c r="BA613"/>
  <c r="BD612" s="1"/>
  <c r="AW613"/>
  <c r="D690" i="41" l="1"/>
  <c r="E690" s="1"/>
  <c r="J690"/>
  <c r="C691"/>
  <c r="G699" i="40"/>
  <c r="BA614" i="49"/>
  <c r="BD613" s="1"/>
  <c r="AV615"/>
  <c r="AW614"/>
  <c r="F688" i="41"/>
  <c r="G687"/>
  <c r="D702" i="40"/>
  <c r="E702" s="1"/>
  <c r="J702"/>
  <c r="C703"/>
  <c r="F700"/>
  <c r="F701" l="1"/>
  <c r="D691" i="41"/>
  <c r="E691" s="1"/>
  <c r="J691"/>
  <c r="C692"/>
  <c r="F689"/>
  <c r="G700" i="40"/>
  <c r="G688" i="41"/>
  <c r="D703" i="40"/>
  <c r="E703" s="1"/>
  <c r="J703"/>
  <c r="C704"/>
  <c r="AV616" i="49"/>
  <c r="BA615"/>
  <c r="BD614" s="1"/>
  <c r="AW615"/>
  <c r="D704" i="40" l="1"/>
  <c r="E704" s="1"/>
  <c r="J704"/>
  <c r="C705"/>
  <c r="BA616" i="49"/>
  <c r="BD615" s="1"/>
  <c r="AV617"/>
  <c r="AW616"/>
  <c r="G689" i="41"/>
  <c r="F690"/>
  <c r="D692"/>
  <c r="E692" s="1"/>
  <c r="J692"/>
  <c r="C693"/>
  <c r="G701" i="40"/>
  <c r="F702"/>
  <c r="G702" l="1"/>
  <c r="AV618" i="49"/>
  <c r="BA617"/>
  <c r="AW617"/>
  <c r="G690" i="41"/>
  <c r="J705" i="40"/>
  <c r="D705"/>
  <c r="E705" s="1"/>
  <c r="C706"/>
  <c r="F703"/>
  <c r="D693" i="41"/>
  <c r="E693" s="1"/>
  <c r="J693"/>
  <c r="C694"/>
  <c r="F691"/>
  <c r="BD616" i="49"/>
  <c r="F692" i="41" l="1"/>
  <c r="D706" i="40"/>
  <c r="E706" s="1"/>
  <c r="J706"/>
  <c r="C707"/>
  <c r="BA618" i="49"/>
  <c r="BD617" s="1"/>
  <c r="AV619"/>
  <c r="AW618"/>
  <c r="G703" i="40"/>
  <c r="G691" i="41"/>
  <c r="F704" i="40"/>
  <c r="D694" i="41"/>
  <c r="E694" s="1"/>
  <c r="J694"/>
  <c r="C695"/>
  <c r="D695" l="1"/>
  <c r="E695" s="1"/>
  <c r="J695"/>
  <c r="C696"/>
  <c r="G692"/>
  <c r="F705" i="40"/>
  <c r="D707"/>
  <c r="E707" s="1"/>
  <c r="J707"/>
  <c r="C708"/>
  <c r="G704"/>
  <c r="F693" i="41"/>
  <c r="AV620" i="49"/>
  <c r="BA619"/>
  <c r="BD618" s="1"/>
  <c r="AW619"/>
  <c r="F694" i="41" l="1"/>
  <c r="G693"/>
  <c r="D708" i="40"/>
  <c r="E708" s="1"/>
  <c r="J708"/>
  <c r="C709"/>
  <c r="BA620" i="49"/>
  <c r="BD619" s="1"/>
  <c r="AV621"/>
  <c r="AW620"/>
  <c r="G705" i="40"/>
  <c r="D696" i="41"/>
  <c r="E696" s="1"/>
  <c r="J696"/>
  <c r="C697"/>
  <c r="F706" i="40"/>
  <c r="F707" l="1"/>
  <c r="G706"/>
  <c r="AV622" i="49"/>
  <c r="BA621"/>
  <c r="BD620" s="1"/>
  <c r="AW621"/>
  <c r="J709" i="40"/>
  <c r="D709"/>
  <c r="E709" s="1"/>
  <c r="C710"/>
  <c r="F695" i="41"/>
  <c r="G694"/>
  <c r="D697"/>
  <c r="E697" s="1"/>
  <c r="J697"/>
  <c r="C698"/>
  <c r="BA622" i="49" l="1"/>
  <c r="BD621" s="1"/>
  <c r="AV623"/>
  <c r="AW622"/>
  <c r="F708" i="40"/>
  <c r="G707"/>
  <c r="D710"/>
  <c r="E710" s="1"/>
  <c r="J710"/>
  <c r="C711"/>
  <c r="G695" i="41"/>
  <c r="D698"/>
  <c r="E698" s="1"/>
  <c r="J698"/>
  <c r="C699"/>
  <c r="F696"/>
  <c r="D699" l="1"/>
  <c r="E699" s="1"/>
  <c r="J699"/>
  <c r="C700"/>
  <c r="F697"/>
  <c r="D711" i="40"/>
  <c r="E711" s="1"/>
  <c r="J711"/>
  <c r="C712"/>
  <c r="AV624" i="49"/>
  <c r="BA623"/>
  <c r="BD622" s="1"/>
  <c r="AW623"/>
  <c r="F709" i="40"/>
  <c r="G708"/>
  <c r="G696" i="41"/>
  <c r="BD623" i="49" l="1"/>
  <c r="F698" i="41"/>
  <c r="F710" i="40"/>
  <c r="D700" i="41"/>
  <c r="E700" s="1"/>
  <c r="J700"/>
  <c r="C701"/>
  <c r="BA624" i="49"/>
  <c r="AV625"/>
  <c r="AW624"/>
  <c r="G697" i="41"/>
  <c r="G709" i="40"/>
  <c r="D712"/>
  <c r="E712" s="1"/>
  <c r="J712"/>
  <c r="C713"/>
  <c r="F711" l="1"/>
  <c r="F699" i="41"/>
  <c r="J713" i="40"/>
  <c r="D713"/>
  <c r="E713" s="1"/>
  <c r="C714"/>
  <c r="AV626" i="49"/>
  <c r="BA625"/>
  <c r="BD624" s="1"/>
  <c r="AW625"/>
  <c r="G698" i="41"/>
  <c r="G710" i="40"/>
  <c r="D701" i="41"/>
  <c r="E701" s="1"/>
  <c r="J701"/>
  <c r="C702"/>
  <c r="D702" l="1"/>
  <c r="E702" s="1"/>
  <c r="J702"/>
  <c r="C703"/>
  <c r="F712" i="40"/>
  <c r="G711"/>
  <c r="D714"/>
  <c r="E714" s="1"/>
  <c r="J714"/>
  <c r="C715"/>
  <c r="F700" i="41"/>
  <c r="BA626" i="49"/>
  <c r="BD625" s="1"/>
  <c r="AV627"/>
  <c r="AW626"/>
  <c r="G699" i="41"/>
  <c r="F701" l="1"/>
  <c r="D715" i="40"/>
  <c r="E715" s="1"/>
  <c r="J715"/>
  <c r="C716"/>
  <c r="AV628" i="49"/>
  <c r="BA627"/>
  <c r="BD626" s="1"/>
  <c r="AW627"/>
  <c r="D703" i="41"/>
  <c r="E703" s="1"/>
  <c r="J703"/>
  <c r="C704"/>
  <c r="G712" i="40"/>
  <c r="G700" i="41"/>
  <c r="F713" i="40"/>
  <c r="F702" i="41" l="1"/>
  <c r="BA628" i="49"/>
  <c r="AV629"/>
  <c r="AW628"/>
  <c r="F714" i="40"/>
  <c r="D716"/>
  <c r="E716" s="1"/>
  <c r="J716"/>
  <c r="C717"/>
  <c r="G713"/>
  <c r="G701" i="41"/>
  <c r="D704"/>
  <c r="E704" s="1"/>
  <c r="J704"/>
  <c r="C705"/>
  <c r="BD627" i="49"/>
  <c r="D705" i="41" l="1"/>
  <c r="E705" s="1"/>
  <c r="J705"/>
  <c r="C706"/>
  <c r="G702"/>
  <c r="D717" i="40"/>
  <c r="E717" s="1"/>
  <c r="J717"/>
  <c r="C718"/>
  <c r="F715"/>
  <c r="AV630" i="49"/>
  <c r="BA629"/>
  <c r="AW629"/>
  <c r="F703" i="41"/>
  <c r="G714" i="40"/>
  <c r="BD629" i="49" l="1"/>
  <c r="G703" i="41"/>
  <c r="D718" i="40"/>
  <c r="E718" s="1"/>
  <c r="J718"/>
  <c r="C719"/>
  <c r="F704" i="41"/>
  <c r="F716" i="40"/>
  <c r="G715"/>
  <c r="BA630" i="49"/>
  <c r="AV631"/>
  <c r="AW630"/>
  <c r="D706" i="41"/>
  <c r="E706" s="1"/>
  <c r="J706"/>
  <c r="C707"/>
  <c r="BD628" i="49"/>
  <c r="G716" i="40" l="1"/>
  <c r="D719"/>
  <c r="E719" s="1"/>
  <c r="J719"/>
  <c r="C720"/>
  <c r="D707" i="41"/>
  <c r="E707" s="1"/>
  <c r="J707"/>
  <c r="C708"/>
  <c r="AV632" i="49"/>
  <c r="BA631"/>
  <c r="BD630" s="1"/>
  <c r="AW631"/>
  <c r="F705" i="41"/>
  <c r="G704"/>
  <c r="F717" i="40"/>
  <c r="D720" l="1"/>
  <c r="E720" s="1"/>
  <c r="J720"/>
  <c r="C721"/>
  <c r="G717"/>
  <c r="G705" i="41"/>
  <c r="F718" i="40"/>
  <c r="BA632" i="49"/>
  <c r="AV633"/>
  <c r="AW632"/>
  <c r="F706" i="41"/>
  <c r="D708"/>
  <c r="E708" s="1"/>
  <c r="J708"/>
  <c r="C709"/>
  <c r="BD631" i="49"/>
  <c r="G718" i="40" l="1"/>
  <c r="D709" i="41"/>
  <c r="E709" s="1"/>
  <c r="J709"/>
  <c r="C710"/>
  <c r="G706"/>
  <c r="J721" i="40"/>
  <c r="D721"/>
  <c r="E721" s="1"/>
  <c r="C722"/>
  <c r="F719"/>
  <c r="F707" i="41"/>
  <c r="AV634" i="49"/>
  <c r="BA633"/>
  <c r="BD632" s="1"/>
  <c r="AW633"/>
  <c r="F720" i="40" l="1"/>
  <c r="G707" i="41"/>
  <c r="BA634" i="49"/>
  <c r="BD633" s="1"/>
  <c r="AV635"/>
  <c r="AW634"/>
  <c r="F708" i="41"/>
  <c r="D710"/>
  <c r="E710" s="1"/>
  <c r="J710"/>
  <c r="C711"/>
  <c r="D722" i="40"/>
  <c r="E722" s="1"/>
  <c r="J722"/>
  <c r="C723"/>
  <c r="G719"/>
  <c r="D711" i="41" l="1"/>
  <c r="E711" s="1"/>
  <c r="J711"/>
  <c r="C712"/>
  <c r="G708"/>
  <c r="F709"/>
  <c r="AV636" i="49"/>
  <c r="BA635"/>
  <c r="BD634" s="1"/>
  <c r="AW635"/>
  <c r="F721" i="40"/>
  <c r="G720"/>
  <c r="D723"/>
  <c r="E723" s="1"/>
  <c r="J723"/>
  <c r="C724"/>
  <c r="F710" i="41" l="1"/>
  <c r="D724" i="40"/>
  <c r="E724" s="1"/>
  <c r="J724"/>
  <c r="C725"/>
  <c r="G709" i="41"/>
  <c r="D712"/>
  <c r="E712" s="1"/>
  <c r="J712"/>
  <c r="C713"/>
  <c r="G721" i="40"/>
  <c r="F722"/>
  <c r="BA636" i="49"/>
  <c r="BD635" s="1"/>
  <c r="AV637"/>
  <c r="AW636"/>
  <c r="J725" i="40" l="1"/>
  <c r="D725"/>
  <c r="E725" s="1"/>
  <c r="C726"/>
  <c r="G710" i="41"/>
  <c r="G722" i="40"/>
  <c r="F723"/>
  <c r="AV638" i="49"/>
  <c r="BA637"/>
  <c r="AW637"/>
  <c r="D713" i="41"/>
  <c r="E713" s="1"/>
  <c r="J713"/>
  <c r="C714"/>
  <c r="F711"/>
  <c r="BD636" i="49"/>
  <c r="G723" i="40" l="1"/>
  <c r="F712" i="41"/>
  <c r="BA638" i="49"/>
  <c r="BD637" s="1"/>
  <c r="AV639"/>
  <c r="AW638"/>
  <c r="D726" i="40"/>
  <c r="E726" s="1"/>
  <c r="J726"/>
  <c r="C727"/>
  <c r="G711" i="41"/>
  <c r="F724" i="40"/>
  <c r="D714" i="41"/>
  <c r="E714" s="1"/>
  <c r="J714"/>
  <c r="C715"/>
  <c r="D715" l="1"/>
  <c r="E715" s="1"/>
  <c r="J715"/>
  <c r="C716"/>
  <c r="G724" i="40"/>
  <c r="D727"/>
  <c r="E727" s="1"/>
  <c r="J727"/>
  <c r="C728"/>
  <c r="AV640" i="49"/>
  <c r="BA639"/>
  <c r="BD638" s="1"/>
  <c r="AW639"/>
  <c r="F725" i="40"/>
  <c r="F713" i="41"/>
  <c r="G712"/>
  <c r="BA640" i="49" l="1"/>
  <c r="AV641"/>
  <c r="AW640"/>
  <c r="F726" i="40"/>
  <c r="D716" i="41"/>
  <c r="E716" s="1"/>
  <c r="J716"/>
  <c r="C717"/>
  <c r="BD639" i="49"/>
  <c r="F714" i="41"/>
  <c r="G725" i="40"/>
  <c r="G713" i="41"/>
  <c r="D728" i="40"/>
  <c r="E728" s="1"/>
  <c r="J728"/>
  <c r="C729"/>
  <c r="G726" l="1"/>
  <c r="J729"/>
  <c r="D729"/>
  <c r="E729" s="1"/>
  <c r="C730"/>
  <c r="F715" i="41"/>
  <c r="AV642" i="49"/>
  <c r="BA641"/>
  <c r="BD640" s="1"/>
  <c r="AW641"/>
  <c r="F727" i="40"/>
  <c r="D717" i="41"/>
  <c r="E717" s="1"/>
  <c r="J717"/>
  <c r="C718"/>
  <c r="G714"/>
  <c r="F716" l="1"/>
  <c r="G715"/>
  <c r="BD641" i="49"/>
  <c r="G727" i="40"/>
  <c r="D730"/>
  <c r="E730" s="1"/>
  <c r="J730"/>
  <c r="C731"/>
  <c r="D718" i="41"/>
  <c r="E718" s="1"/>
  <c r="J718"/>
  <c r="C719"/>
  <c r="BA642" i="49"/>
  <c r="AV643"/>
  <c r="AW642"/>
  <c r="F728" i="40"/>
  <c r="D719" i="41" l="1"/>
  <c r="E719" s="1"/>
  <c r="J719"/>
  <c r="C720"/>
  <c r="G716"/>
  <c r="F717"/>
  <c r="D731" i="40"/>
  <c r="E731" s="1"/>
  <c r="J731"/>
  <c r="C732"/>
  <c r="G728"/>
  <c r="AV644" i="49"/>
  <c r="BA643"/>
  <c r="BD642" s="1"/>
  <c r="AW643"/>
  <c r="F729" i="40"/>
  <c r="BA644" i="49" l="1"/>
  <c r="BD643" s="1"/>
  <c r="AV645"/>
  <c r="AW644"/>
  <c r="G729" i="40"/>
  <c r="D732"/>
  <c r="E732" s="1"/>
  <c r="J732"/>
  <c r="C733"/>
  <c r="G717" i="41"/>
  <c r="D720"/>
  <c r="E720" s="1"/>
  <c r="J720"/>
  <c r="C721"/>
  <c r="F718"/>
  <c r="F730" i="40"/>
  <c r="G718" i="41" l="1"/>
  <c r="D721"/>
  <c r="E721" s="1"/>
  <c r="J721"/>
  <c r="C722"/>
  <c r="G730" i="40"/>
  <c r="F731"/>
  <c r="AV646" i="49"/>
  <c r="BA645"/>
  <c r="BD644" s="1"/>
  <c r="AW645"/>
  <c r="D733" i="40"/>
  <c r="E733" s="1"/>
  <c r="J733"/>
  <c r="C734"/>
  <c r="F719" i="41"/>
  <c r="G731" i="40" l="1"/>
  <c r="D722" i="41"/>
  <c r="E722" s="1"/>
  <c r="J722"/>
  <c r="C723"/>
  <c r="G719"/>
  <c r="BA646" i="49"/>
  <c r="BD645" s="1"/>
  <c r="AV647"/>
  <c r="AW646"/>
  <c r="F720" i="41"/>
  <c r="F732" i="40"/>
  <c r="D734"/>
  <c r="E734" s="1"/>
  <c r="J734"/>
  <c r="C735"/>
  <c r="F721" i="41" l="1"/>
  <c r="G720"/>
  <c r="D723"/>
  <c r="E723" s="1"/>
  <c r="J723"/>
  <c r="C724"/>
  <c r="D735" i="40"/>
  <c r="E735" s="1"/>
  <c r="J735"/>
  <c r="C736"/>
  <c r="AV648" i="49"/>
  <c r="BA647"/>
  <c r="BD646" s="1"/>
  <c r="AW647"/>
  <c r="G732" i="40"/>
  <c r="F733"/>
  <c r="F722" i="41" l="1"/>
  <c r="G733" i="40"/>
  <c r="D736"/>
  <c r="E736" s="1"/>
  <c r="J736"/>
  <c r="C737"/>
  <c r="G721" i="41"/>
  <c r="BA648" i="49"/>
  <c r="BD647" s="1"/>
  <c r="AV649"/>
  <c r="AW648"/>
  <c r="D724" i="41"/>
  <c r="E724" s="1"/>
  <c r="J724"/>
  <c r="C725"/>
  <c r="F734" i="40"/>
  <c r="F735" l="1"/>
  <c r="G734"/>
  <c r="J737"/>
  <c r="D737"/>
  <c r="E737" s="1"/>
  <c r="C738"/>
  <c r="F723" i="41"/>
  <c r="G722"/>
  <c r="D725"/>
  <c r="E725" s="1"/>
  <c r="J725"/>
  <c r="C726"/>
  <c r="AV650" i="49"/>
  <c r="BA649"/>
  <c r="BD648" s="1"/>
  <c r="AW649"/>
  <c r="G723" i="41" l="1"/>
  <c r="D726"/>
  <c r="E726" s="1"/>
  <c r="J726"/>
  <c r="C727"/>
  <c r="F736" i="40"/>
  <c r="G735"/>
  <c r="BA650" i="49"/>
  <c r="BD649" s="1"/>
  <c r="AV651"/>
  <c r="AW650"/>
  <c r="D738" i="40"/>
  <c r="E738" s="1"/>
  <c r="J738"/>
  <c r="C739"/>
  <c r="F724" i="41"/>
  <c r="D727" l="1"/>
  <c r="E727" s="1"/>
  <c r="J727"/>
  <c r="C728"/>
  <c r="G724"/>
  <c r="F725"/>
  <c r="F737" i="40"/>
  <c r="G736"/>
  <c r="D739"/>
  <c r="E739" s="1"/>
  <c r="J739"/>
  <c r="C740"/>
  <c r="AV652" i="49"/>
  <c r="BA651"/>
  <c r="BD650" s="1"/>
  <c r="AW651"/>
  <c r="F726" i="41" l="1"/>
  <c r="D740" i="40"/>
  <c r="E740" s="1"/>
  <c r="J740"/>
  <c r="C741"/>
  <c r="BA652" i="49"/>
  <c r="BD651" s="1"/>
  <c r="AV653"/>
  <c r="AW652"/>
  <c r="G725" i="41"/>
  <c r="D728"/>
  <c r="E728" s="1"/>
  <c r="J728"/>
  <c r="C729"/>
  <c r="G737" i="40"/>
  <c r="F738"/>
  <c r="J741" l="1"/>
  <c r="D741"/>
  <c r="E741" s="1"/>
  <c r="C742"/>
  <c r="G738"/>
  <c r="F739"/>
  <c r="D729" i="41"/>
  <c r="E729" s="1"/>
  <c r="J729"/>
  <c r="C730"/>
  <c r="G726"/>
  <c r="F727"/>
  <c r="AV654" i="49"/>
  <c r="BA653"/>
  <c r="BD652" s="1"/>
  <c r="AW653"/>
  <c r="D730" i="41" l="1"/>
  <c r="E730" s="1"/>
  <c r="J730"/>
  <c r="C731"/>
  <c r="F740" i="40"/>
  <c r="BA654" i="49"/>
  <c r="BD653" s="1"/>
  <c r="AV655"/>
  <c r="AW654"/>
  <c r="G739" i="40"/>
  <c r="D742"/>
  <c r="E742" s="1"/>
  <c r="J742"/>
  <c r="C743"/>
  <c r="G727" i="41"/>
  <c r="F728"/>
  <c r="F729" l="1"/>
  <c r="G728"/>
  <c r="D743" i="40"/>
  <c r="E743" s="1"/>
  <c r="J743"/>
  <c r="C744"/>
  <c r="D731" i="41"/>
  <c r="E731" s="1"/>
  <c r="J731"/>
  <c r="C732"/>
  <c r="G740" i="40"/>
  <c r="F741"/>
  <c r="AV656" i="49"/>
  <c r="BA655"/>
  <c r="BD654" s="1"/>
  <c r="AW655"/>
  <c r="F742" i="40" l="1"/>
  <c r="G741"/>
  <c r="D732" i="41"/>
  <c r="E732" s="1"/>
  <c r="J732"/>
  <c r="C733"/>
  <c r="G729"/>
  <c r="BA656" i="49"/>
  <c r="BD655" s="1"/>
  <c r="AV657"/>
  <c r="AW656"/>
  <c r="D744" i="40"/>
  <c r="E744" s="1"/>
  <c r="J744"/>
  <c r="C745"/>
  <c r="F730" i="41"/>
  <c r="F731" l="1"/>
  <c r="G730"/>
  <c r="D733"/>
  <c r="E733" s="1"/>
  <c r="J733"/>
  <c r="C734"/>
  <c r="F743" i="40"/>
  <c r="G742"/>
  <c r="J745"/>
  <c r="D745"/>
  <c r="E745" s="1"/>
  <c r="C746"/>
  <c r="AV658" i="49"/>
  <c r="BA657"/>
  <c r="BD656" s="1"/>
  <c r="AW657"/>
  <c r="F732" i="41" l="1"/>
  <c r="D746" i="40"/>
  <c r="E746" s="1"/>
  <c r="J746"/>
  <c r="C747"/>
  <c r="G731" i="41"/>
  <c r="BA658" i="49"/>
  <c r="BD657" s="1"/>
  <c r="AV659"/>
  <c r="AW658"/>
  <c r="D734" i="41"/>
  <c r="E734" s="1"/>
  <c r="J734"/>
  <c r="C735"/>
  <c r="F744" i="40"/>
  <c r="G743"/>
  <c r="D747" l="1"/>
  <c r="E747" s="1"/>
  <c r="J747"/>
  <c r="C748"/>
  <c r="G732" i="41"/>
  <c r="F745" i="40"/>
  <c r="D735" i="41"/>
  <c r="E735" s="1"/>
  <c r="J735"/>
  <c r="C736"/>
  <c r="AV660" i="49"/>
  <c r="BA659"/>
  <c r="BD658" s="1"/>
  <c r="AW659"/>
  <c r="G744" i="40"/>
  <c r="F733" i="41"/>
  <c r="G733" l="1"/>
  <c r="D736"/>
  <c r="E736" s="1"/>
  <c r="J736"/>
  <c r="C737"/>
  <c r="BA660" i="49"/>
  <c r="BD659" s="1"/>
  <c r="AV661"/>
  <c r="AW660"/>
  <c r="G745" i="40"/>
  <c r="D748"/>
  <c r="E748" s="1"/>
  <c r="J748"/>
  <c r="C749"/>
  <c r="F746"/>
  <c r="F734" i="41"/>
  <c r="D737" l="1"/>
  <c r="E737" s="1"/>
  <c r="J737"/>
  <c r="C738"/>
  <c r="D749" i="40"/>
  <c r="E749" s="1"/>
  <c r="J749"/>
  <c r="C750"/>
  <c r="F735" i="41"/>
  <c r="G734"/>
  <c r="G746" i="40"/>
  <c r="F747"/>
  <c r="AV662" i="49"/>
  <c r="BA661"/>
  <c r="BD660" s="1"/>
  <c r="AW661"/>
  <c r="F736" i="41" l="1"/>
  <c r="G747" i="40"/>
  <c r="D750"/>
  <c r="E750" s="1"/>
  <c r="J750"/>
  <c r="C751"/>
  <c r="BA662" i="49"/>
  <c r="BD661" s="1"/>
  <c r="AV663"/>
  <c r="AW662"/>
  <c r="D738" i="41"/>
  <c r="E738" s="1"/>
  <c r="J738"/>
  <c r="C739"/>
  <c r="G735"/>
  <c r="F748" i="40"/>
  <c r="F749" l="1"/>
  <c r="G748"/>
  <c r="D739" i="41"/>
  <c r="E739" s="1"/>
  <c r="J739"/>
  <c r="C740"/>
  <c r="AV664" i="49"/>
  <c r="BA663"/>
  <c r="BD662" s="1"/>
  <c r="AW663"/>
  <c r="G736" i="41"/>
  <c r="D751" i="40"/>
  <c r="E751" s="1"/>
  <c r="J751"/>
  <c r="C752"/>
  <c r="F737" i="41"/>
  <c r="F738" l="1"/>
  <c r="G737"/>
  <c r="D740"/>
  <c r="E740" s="1"/>
  <c r="J740"/>
  <c r="C741"/>
  <c r="F750" i="40"/>
  <c r="G749"/>
  <c r="D752"/>
  <c r="E752" s="1"/>
  <c r="J752"/>
  <c r="C753"/>
  <c r="BA664" i="49"/>
  <c r="BD663" s="1"/>
  <c r="AV665"/>
  <c r="AW664"/>
  <c r="F751" i="40" l="1"/>
  <c r="AV666" i="49"/>
  <c r="BA665"/>
  <c r="AW665"/>
  <c r="J753" i="40"/>
  <c r="D753"/>
  <c r="E753" s="1"/>
  <c r="C754"/>
  <c r="D741" i="41"/>
  <c r="E741" s="1"/>
  <c r="J741"/>
  <c r="C742"/>
  <c r="F739"/>
  <c r="G750" i="40"/>
  <c r="G738" i="41"/>
  <c r="BD664" i="49"/>
  <c r="F740" i="41" l="1"/>
  <c r="G751" i="40"/>
  <c r="BA666" i="49"/>
  <c r="BD665" s="1"/>
  <c r="AV667"/>
  <c r="AW666"/>
  <c r="D754" i="40"/>
  <c r="E754" s="1"/>
  <c r="J754"/>
  <c r="C755"/>
  <c r="G739" i="41"/>
  <c r="D742"/>
  <c r="E742" s="1"/>
  <c r="J742"/>
  <c r="C743"/>
  <c r="F752" i="40"/>
  <c r="F753" l="1"/>
  <c r="G752"/>
  <c r="G740" i="41"/>
  <c r="D755" i="40"/>
  <c r="E755" s="1"/>
  <c r="J755"/>
  <c r="C756"/>
  <c r="AV668" i="49"/>
  <c r="BA667"/>
  <c r="BD666" s="1"/>
  <c r="AW667"/>
  <c r="F741" i="41"/>
  <c r="D743"/>
  <c r="E743" s="1"/>
  <c r="J743"/>
  <c r="C744"/>
  <c r="D744" l="1"/>
  <c r="E744" s="1"/>
  <c r="J744"/>
  <c r="C745"/>
  <c r="BA668" i="49"/>
  <c r="BD667" s="1"/>
  <c r="AV669"/>
  <c r="AW668"/>
  <c r="G753" i="40"/>
  <c r="F754"/>
  <c r="D756"/>
  <c r="E756" s="1"/>
  <c r="J756"/>
  <c r="C757"/>
  <c r="G741" i="41"/>
  <c r="F742"/>
  <c r="G742" l="1"/>
  <c r="AV670" i="49"/>
  <c r="BA669"/>
  <c r="AW669"/>
  <c r="G754" i="40"/>
  <c r="D745" i="41"/>
  <c r="E745" s="1"/>
  <c r="J745"/>
  <c r="C746"/>
  <c r="F743"/>
  <c r="J757" i="40"/>
  <c r="D757"/>
  <c r="E757" s="1"/>
  <c r="C758"/>
  <c r="F755"/>
  <c r="BD668" i="49"/>
  <c r="F744" i="41" l="1"/>
  <c r="G755" i="40"/>
  <c r="F756"/>
  <c r="D746" i="41"/>
  <c r="E746" s="1"/>
  <c r="J746"/>
  <c r="C747"/>
  <c r="BA670" i="49"/>
  <c r="BD669" s="1"/>
  <c r="AV671"/>
  <c r="AW670"/>
  <c r="G743" i="41"/>
  <c r="D758" i="40"/>
  <c r="E758" s="1"/>
  <c r="J758"/>
  <c r="C759"/>
  <c r="D747" i="41" l="1"/>
  <c r="E747" s="1"/>
  <c r="J747"/>
  <c r="C748"/>
  <c r="D759" i="40"/>
  <c r="E759" s="1"/>
  <c r="J759"/>
  <c r="C760"/>
  <c r="G756"/>
  <c r="F745" i="41"/>
  <c r="G744"/>
  <c r="F757" i="40"/>
  <c r="AV672" i="49"/>
  <c r="BA671"/>
  <c r="BD670" s="1"/>
  <c r="AW671"/>
  <c r="G757" i="40" l="1"/>
  <c r="G745" i="41"/>
  <c r="D760" i="40"/>
  <c r="E760" s="1"/>
  <c r="J760"/>
  <c r="C761"/>
  <c r="BA672" i="49"/>
  <c r="BD671" s="1"/>
  <c r="AV673"/>
  <c r="AW672"/>
  <c r="D748" i="41"/>
  <c r="E748" s="1"/>
  <c r="J748"/>
  <c r="C749"/>
  <c r="F746"/>
  <c r="F758" i="40"/>
  <c r="G758" l="1"/>
  <c r="J749" i="41"/>
  <c r="D749"/>
  <c r="E749" s="1"/>
  <c r="C750"/>
  <c r="AV674" i="49"/>
  <c r="BA673"/>
  <c r="AW673"/>
  <c r="J761" i="40"/>
  <c r="D761"/>
  <c r="E761" s="1"/>
  <c r="C762"/>
  <c r="F759"/>
  <c r="G746" i="41"/>
  <c r="F747"/>
  <c r="BD672" i="49"/>
  <c r="D750" i="41" l="1"/>
  <c r="E750" s="1"/>
  <c r="J750"/>
  <c r="C751"/>
  <c r="G759" i="40"/>
  <c r="F760"/>
  <c r="G747" i="41"/>
  <c r="BA674" i="49"/>
  <c r="BD673" s="1"/>
  <c r="AV675"/>
  <c r="AW674"/>
  <c r="D762" i="40"/>
  <c r="E762" s="1"/>
  <c r="J762"/>
  <c r="C763"/>
  <c r="F748" i="41"/>
  <c r="F761" i="40" l="1"/>
  <c r="G760"/>
  <c r="D751" i="41"/>
  <c r="E751" s="1"/>
  <c r="J751"/>
  <c r="C752"/>
  <c r="F749"/>
  <c r="G748"/>
  <c r="D763" i="40"/>
  <c r="E763" s="1"/>
  <c r="J763"/>
  <c r="C764"/>
  <c r="AV676" i="49"/>
  <c r="BA675"/>
  <c r="BD674" s="1"/>
  <c r="AW675"/>
  <c r="F750" i="41" l="1"/>
  <c r="D764" i="40"/>
  <c r="E764" s="1"/>
  <c r="J764"/>
  <c r="C765"/>
  <c r="G761"/>
  <c r="BA676" i="49"/>
  <c r="BD675" s="1"/>
  <c r="AV677"/>
  <c r="AW676"/>
  <c r="D752" i="41"/>
  <c r="E752" s="1"/>
  <c r="J752"/>
  <c r="C753"/>
  <c r="G749"/>
  <c r="F762" i="40"/>
  <c r="D765" l="1"/>
  <c r="E765" s="1"/>
  <c r="J765"/>
  <c r="C766"/>
  <c r="G762"/>
  <c r="AV678" i="49"/>
  <c r="BA677"/>
  <c r="AW677"/>
  <c r="F763" i="40"/>
  <c r="D753" i="41"/>
  <c r="E753" s="1"/>
  <c r="J753"/>
  <c r="C754"/>
  <c r="G750"/>
  <c r="F751"/>
  <c r="BD676" i="49"/>
  <c r="F764" i="40" l="1"/>
  <c r="BA678" i="49"/>
  <c r="AV679"/>
  <c r="AW678"/>
  <c r="G763" i="40"/>
  <c r="D766"/>
  <c r="E766" s="1"/>
  <c r="J766"/>
  <c r="C767"/>
  <c r="G751" i="41"/>
  <c r="D754"/>
  <c r="E754" s="1"/>
  <c r="J754"/>
  <c r="C755"/>
  <c r="F752"/>
  <c r="BD677" i="49"/>
  <c r="BD678" l="1"/>
  <c r="F753" i="41"/>
  <c r="G764" i="40"/>
  <c r="D767"/>
  <c r="E767" s="1"/>
  <c r="J767"/>
  <c r="C768"/>
  <c r="F765"/>
  <c r="AV680" i="49"/>
  <c r="BA679"/>
  <c r="AW679"/>
  <c r="G752" i="41"/>
  <c r="D755"/>
  <c r="E755" s="1"/>
  <c r="J755"/>
  <c r="C756"/>
  <c r="F754" l="1"/>
  <c r="G765" i="40"/>
  <c r="D756" i="41"/>
  <c r="E756" s="1"/>
  <c r="J756"/>
  <c r="C757"/>
  <c r="BA680" i="49"/>
  <c r="BD679" s="1"/>
  <c r="AV681"/>
  <c r="AW680"/>
  <c r="G753" i="41"/>
  <c r="F766" i="40"/>
  <c r="D768"/>
  <c r="E768" s="1"/>
  <c r="J768"/>
  <c r="C769"/>
  <c r="F755" i="41" l="1"/>
  <c r="AV682" i="49"/>
  <c r="BA681"/>
  <c r="AW681"/>
  <c r="G754" i="41"/>
  <c r="G766" i="40"/>
  <c r="D757" i="41"/>
  <c r="E757" s="1"/>
  <c r="J757"/>
  <c r="C758"/>
  <c r="J769" i="40"/>
  <c r="D769"/>
  <c r="E769" s="1"/>
  <c r="C770"/>
  <c r="F767"/>
  <c r="BD680" i="49"/>
  <c r="D758" i="41" l="1"/>
  <c r="E758" s="1"/>
  <c r="J758"/>
  <c r="C759"/>
  <c r="G767" i="40"/>
  <c r="G755" i="41"/>
  <c r="F756"/>
  <c r="BA682" i="49"/>
  <c r="BD681" s="1"/>
  <c r="AV683"/>
  <c r="AW682"/>
  <c r="F768" i="40"/>
  <c r="D770"/>
  <c r="E770" s="1"/>
  <c r="J770"/>
  <c r="C771"/>
  <c r="F757" i="41" l="1"/>
  <c r="D771" i="40"/>
  <c r="E771" s="1"/>
  <c r="J771"/>
  <c r="C772"/>
  <c r="G768"/>
  <c r="D759" i="41"/>
  <c r="E759" s="1"/>
  <c r="J759"/>
  <c r="C760"/>
  <c r="G756"/>
  <c r="F769" i="40"/>
  <c r="AV684" i="49"/>
  <c r="BA683"/>
  <c r="BD682" s="1"/>
  <c r="AW683"/>
  <c r="D772" i="40" l="1"/>
  <c r="E772" s="1"/>
  <c r="J772"/>
  <c r="C773"/>
  <c r="D760" i="41"/>
  <c r="E760" s="1"/>
  <c r="J760"/>
  <c r="C761"/>
  <c r="G757"/>
  <c r="BA684" i="49"/>
  <c r="BD683" s="1"/>
  <c r="AV685"/>
  <c r="AW684"/>
  <c r="F770" i="40"/>
  <c r="G769"/>
  <c r="F758" i="41"/>
  <c r="F771" i="40" l="1"/>
  <c r="G758" i="41"/>
  <c r="G770" i="40"/>
  <c r="D761" i="41"/>
  <c r="E761" s="1"/>
  <c r="J761"/>
  <c r="C762"/>
  <c r="AV686" i="49"/>
  <c r="BA685"/>
  <c r="BD684" s="1"/>
  <c r="AW685"/>
  <c r="J773" i="40"/>
  <c r="D773"/>
  <c r="E773" s="1"/>
  <c r="C774"/>
  <c r="F759" i="41"/>
  <c r="D762" l="1"/>
  <c r="E762" s="1"/>
  <c r="J762"/>
  <c r="C763"/>
  <c r="BA686" i="49"/>
  <c r="BD685" s="1"/>
  <c r="AV687"/>
  <c r="AW686"/>
  <c r="G771" i="40"/>
  <c r="F760" i="41"/>
  <c r="G759"/>
  <c r="F772" i="40"/>
  <c r="D774"/>
  <c r="E774" s="1"/>
  <c r="J774"/>
  <c r="C775"/>
  <c r="D775" l="1"/>
  <c r="E775" s="1"/>
  <c r="J775"/>
  <c r="C776"/>
  <c r="AV688" i="49"/>
  <c r="BA687"/>
  <c r="BD686" s="1"/>
  <c r="AW687"/>
  <c r="G772" i="40"/>
  <c r="G760" i="41"/>
  <c r="D763"/>
  <c r="E763" s="1"/>
  <c r="J763"/>
  <c r="C764"/>
  <c r="F761"/>
  <c r="F773" i="40"/>
  <c r="G773" l="1"/>
  <c r="D764" i="41"/>
  <c r="E764" s="1"/>
  <c r="J764"/>
  <c r="C765"/>
  <c r="D776" i="40"/>
  <c r="E776" s="1"/>
  <c r="J776"/>
  <c r="C777"/>
  <c r="F774"/>
  <c r="G761" i="41"/>
  <c r="F762"/>
  <c r="BA688" i="49"/>
  <c r="BD687" s="1"/>
  <c r="AV689"/>
  <c r="AW688"/>
  <c r="D765" i="41" l="1"/>
  <c r="E765" s="1"/>
  <c r="J765"/>
  <c r="C766"/>
  <c r="AV690" i="49"/>
  <c r="BA689"/>
  <c r="BD688" s="1"/>
  <c r="AW689"/>
  <c r="F763" i="41"/>
  <c r="F775" i="40"/>
  <c r="G762" i="41"/>
  <c r="G774" i="40"/>
  <c r="J777"/>
  <c r="D777"/>
  <c r="E777" s="1"/>
  <c r="C778"/>
  <c r="F776" l="1"/>
  <c r="G763" i="41"/>
  <c r="G775" i="40"/>
  <c r="D766" i="41"/>
  <c r="E766" s="1"/>
  <c r="J766"/>
  <c r="C767"/>
  <c r="F764"/>
  <c r="D778" i="40"/>
  <c r="E778" s="1"/>
  <c r="J778"/>
  <c r="C779"/>
  <c r="BA690" i="49"/>
  <c r="AV691"/>
  <c r="AW690"/>
  <c r="BD689"/>
  <c r="AV692" l="1"/>
  <c r="BA691"/>
  <c r="BD690" s="1"/>
  <c r="AW691"/>
  <c r="G764" i="41"/>
  <c r="F765"/>
  <c r="D767"/>
  <c r="E767" s="1"/>
  <c r="J767"/>
  <c r="C768"/>
  <c r="D779" i="40"/>
  <c r="E779" s="1"/>
  <c r="J779"/>
  <c r="C780"/>
  <c r="G776"/>
  <c r="F777"/>
  <c r="F766" i="41" l="1"/>
  <c r="G777" i="40"/>
  <c r="D780"/>
  <c r="E780" s="1"/>
  <c r="J780"/>
  <c r="C781"/>
  <c r="D768" i="41"/>
  <c r="E768" s="1"/>
  <c r="J768"/>
  <c r="C769"/>
  <c r="BA692" i="49"/>
  <c r="BD691" s="1"/>
  <c r="AV693"/>
  <c r="AW692"/>
  <c r="F778" i="40"/>
  <c r="G765" i="41"/>
  <c r="G778" i="40" l="1"/>
  <c r="F779"/>
  <c r="D769" i="41"/>
  <c r="E769" s="1"/>
  <c r="J769"/>
  <c r="C770"/>
  <c r="G766"/>
  <c r="F767"/>
  <c r="AV694" i="49"/>
  <c r="BA693"/>
  <c r="AW693"/>
  <c r="D781" i="40"/>
  <c r="E781" s="1"/>
  <c r="J781"/>
  <c r="C782"/>
  <c r="BD693" i="49" l="1"/>
  <c r="F768" i="41"/>
  <c r="D782" i="40"/>
  <c r="E782" s="1"/>
  <c r="J782"/>
  <c r="C783"/>
  <c r="G767" i="41"/>
  <c r="D770"/>
  <c r="E770" s="1"/>
  <c r="J770"/>
  <c r="C771"/>
  <c r="BD692" i="49"/>
  <c r="F780" i="40"/>
  <c r="BA694" i="49"/>
  <c r="AV695"/>
  <c r="AW694"/>
  <c r="G779" i="40"/>
  <c r="BD694" i="49" l="1"/>
  <c r="F769" i="41"/>
  <c r="G780" i="40"/>
  <c r="D783"/>
  <c r="E783" s="1"/>
  <c r="J783"/>
  <c r="C784"/>
  <c r="D771" i="41"/>
  <c r="E771" s="1"/>
  <c r="J771"/>
  <c r="C772"/>
  <c r="G768"/>
  <c r="AV696" i="49"/>
  <c r="BA695"/>
  <c r="AW695"/>
  <c r="F781" i="40"/>
  <c r="F782" l="1"/>
  <c r="D772" i="41"/>
  <c r="E772" s="1"/>
  <c r="J772"/>
  <c r="C773"/>
  <c r="G769"/>
  <c r="F770"/>
  <c r="BA696" i="49"/>
  <c r="AV697"/>
  <c r="AW696"/>
  <c r="G781" i="40"/>
  <c r="D784"/>
  <c r="E784" s="1"/>
  <c r="J784"/>
  <c r="C785"/>
  <c r="BD695" i="49"/>
  <c r="F771" i="41" l="1"/>
  <c r="G770"/>
  <c r="D773"/>
  <c r="E773" s="1"/>
  <c r="J773"/>
  <c r="C774"/>
  <c r="J785" i="40"/>
  <c r="D785"/>
  <c r="E785" s="1"/>
  <c r="C786"/>
  <c r="G782"/>
  <c r="F783"/>
  <c r="AV698" i="49"/>
  <c r="BA697"/>
  <c r="BD696" s="1"/>
  <c r="AW697"/>
  <c r="F784" i="40" l="1"/>
  <c r="G783"/>
  <c r="G771" i="41"/>
  <c r="BA698" i="49"/>
  <c r="BD697" s="1"/>
  <c r="AV699"/>
  <c r="AW698"/>
  <c r="D774" i="41"/>
  <c r="E774" s="1"/>
  <c r="J774"/>
  <c r="C775"/>
  <c r="F772"/>
  <c r="D786" i="40"/>
  <c r="E786" s="1"/>
  <c r="J786"/>
  <c r="C787"/>
  <c r="D775" i="41" l="1"/>
  <c r="E775" s="1"/>
  <c r="J775"/>
  <c r="C776"/>
  <c r="AV700" i="49"/>
  <c r="BA699"/>
  <c r="BD698" s="1"/>
  <c r="AW699"/>
  <c r="D787" i="40"/>
  <c r="E787" s="1"/>
  <c r="J787"/>
  <c r="C788"/>
  <c r="G772" i="41"/>
  <c r="F773"/>
  <c r="G784" i="40"/>
  <c r="F785"/>
  <c r="F774" i="41" l="1"/>
  <c r="D788" i="40"/>
  <c r="E788" s="1"/>
  <c r="J788"/>
  <c r="C789"/>
  <c r="G785"/>
  <c r="D776" i="41"/>
  <c r="E776" s="1"/>
  <c r="J776"/>
  <c r="C777"/>
  <c r="G773"/>
  <c r="F786" i="40"/>
  <c r="BA700" i="49"/>
  <c r="BD699" s="1"/>
  <c r="AV701"/>
  <c r="AW700"/>
  <c r="AV702" l="1"/>
  <c r="BA701"/>
  <c r="BD700" s="1"/>
  <c r="AW701"/>
  <c r="D777" i="41"/>
  <c r="E777" s="1"/>
  <c r="J777"/>
  <c r="C778"/>
  <c r="G774"/>
  <c r="G786" i="40"/>
  <c r="F787"/>
  <c r="J789"/>
  <c r="D789"/>
  <c r="E789" s="1"/>
  <c r="C790"/>
  <c r="F775" i="41"/>
  <c r="BD701" i="49" l="1"/>
  <c r="G787" i="40"/>
  <c r="G775" i="41"/>
  <c r="F788" i="40"/>
  <c r="D778" i="41"/>
  <c r="E778" s="1"/>
  <c r="J778"/>
  <c r="C779"/>
  <c r="F776"/>
  <c r="BA702" i="49"/>
  <c r="AV703"/>
  <c r="AW702"/>
  <c r="D790" i="40"/>
  <c r="E790" s="1"/>
  <c r="J790"/>
  <c r="C791"/>
  <c r="F789" l="1"/>
  <c r="D779" i="41"/>
  <c r="E779" s="1"/>
  <c r="J779"/>
  <c r="C780"/>
  <c r="D791" i="40"/>
  <c r="E791" s="1"/>
  <c r="J791"/>
  <c r="C792"/>
  <c r="AV704" i="49"/>
  <c r="BA703"/>
  <c r="BD702" s="1"/>
  <c r="AW703"/>
  <c r="G788" i="40"/>
  <c r="G776" i="41"/>
  <c r="F777"/>
  <c r="G777" l="1"/>
  <c r="F790" i="40"/>
  <c r="F778" i="41"/>
  <c r="BA704" i="49"/>
  <c r="AV705"/>
  <c r="AW704"/>
  <c r="D780" i="41"/>
  <c r="E780" s="1"/>
  <c r="J780"/>
  <c r="C781"/>
  <c r="G789" i="40"/>
  <c r="D792"/>
  <c r="E792" s="1"/>
  <c r="J792"/>
  <c r="C793"/>
  <c r="BD703" i="49"/>
  <c r="D781" i="41" l="1"/>
  <c r="E781" s="1"/>
  <c r="J781"/>
  <c r="C782"/>
  <c r="AV706" i="49"/>
  <c r="BA705"/>
  <c r="AW705"/>
  <c r="J793" i="40"/>
  <c r="D793"/>
  <c r="E793" s="1"/>
  <c r="C794"/>
  <c r="F779" i="41"/>
  <c r="BD704" i="49"/>
  <c r="G778" i="41"/>
  <c r="F791" i="40"/>
  <c r="G790"/>
  <c r="G791" l="1"/>
  <c r="F780" i="41"/>
  <c r="D794" i="40"/>
  <c r="E794" s="1"/>
  <c r="J794"/>
  <c r="C795"/>
  <c r="D782" i="41"/>
  <c r="E782" s="1"/>
  <c r="J782"/>
  <c r="C783"/>
  <c r="F792" i="40"/>
  <c r="G779" i="41"/>
  <c r="BA706" i="49"/>
  <c r="BD705" s="1"/>
  <c r="AV707"/>
  <c r="AW706"/>
  <c r="F781" i="41" l="1"/>
  <c r="G780"/>
  <c r="AV708" i="49"/>
  <c r="BA707"/>
  <c r="BD706" s="1"/>
  <c r="AW707"/>
  <c r="D783" i="41"/>
  <c r="E783" s="1"/>
  <c r="J783"/>
  <c r="C784"/>
  <c r="G792" i="40"/>
  <c r="F793"/>
  <c r="D795"/>
  <c r="E795" s="1"/>
  <c r="J795"/>
  <c r="C796"/>
  <c r="F782" i="41" l="1"/>
  <c r="BA708" i="49"/>
  <c r="AV709"/>
  <c r="AW708"/>
  <c r="G781" i="41"/>
  <c r="G793" i="40"/>
  <c r="D784" i="41"/>
  <c r="E784" s="1"/>
  <c r="J784"/>
  <c r="C785"/>
  <c r="BD707" i="49"/>
  <c r="D796" i="40"/>
  <c r="E796" s="1"/>
  <c r="J796"/>
  <c r="C797"/>
  <c r="F794"/>
  <c r="D785" i="41" l="1"/>
  <c r="E785" s="1"/>
  <c r="J785"/>
  <c r="C786"/>
  <c r="G794" i="40"/>
  <c r="F783" i="41"/>
  <c r="D797" i="40"/>
  <c r="E797" s="1"/>
  <c r="J797"/>
  <c r="C798"/>
  <c r="AV710" i="49"/>
  <c r="BA709"/>
  <c r="AW709"/>
  <c r="G782" i="41"/>
  <c r="F795" i="40"/>
  <c r="F796" l="1"/>
  <c r="D798"/>
  <c r="E798" s="1"/>
  <c r="J798"/>
  <c r="C799"/>
  <c r="BD708" i="49"/>
  <c r="F784" i="41"/>
  <c r="G795" i="40"/>
  <c r="BA710" i="49"/>
  <c r="BD709" s="1"/>
  <c r="AV711"/>
  <c r="AW710"/>
  <c r="G783" i="41"/>
  <c r="D786"/>
  <c r="E786" s="1"/>
  <c r="J786"/>
  <c r="C787"/>
  <c r="F785" l="1"/>
  <c r="AV712" i="49"/>
  <c r="BA711"/>
  <c r="AW711"/>
  <c r="D799" i="40"/>
  <c r="E799" s="1"/>
  <c r="J799"/>
  <c r="C800"/>
  <c r="G796"/>
  <c r="G784" i="41"/>
  <c r="D787"/>
  <c r="E787" s="1"/>
  <c r="J787"/>
  <c r="C788"/>
  <c r="F797" i="40"/>
  <c r="BD710" i="49"/>
  <c r="F786" i="41" l="1"/>
  <c r="F798" i="40"/>
  <c r="BA712" i="49"/>
  <c r="BD711" s="1"/>
  <c r="AV713"/>
  <c r="AW712"/>
  <c r="D800" i="40"/>
  <c r="E800" s="1"/>
  <c r="J800"/>
  <c r="C801"/>
  <c r="G797"/>
  <c r="G785" i="41"/>
  <c r="D788"/>
  <c r="E788" s="1"/>
  <c r="J788"/>
  <c r="C789"/>
  <c r="F799" i="40" l="1"/>
  <c r="D789" i="41"/>
  <c r="E789" s="1"/>
  <c r="J789"/>
  <c r="C790"/>
  <c r="G786"/>
  <c r="J801" i="40"/>
  <c r="D801"/>
  <c r="E801" s="1"/>
  <c r="C802"/>
  <c r="AV714" i="49"/>
  <c r="BA713"/>
  <c r="BD712" s="1"/>
  <c r="AW713"/>
  <c r="F787" i="41"/>
  <c r="G798" i="40"/>
  <c r="D790" i="41" l="1"/>
  <c r="E790" s="1"/>
  <c r="J790"/>
  <c r="C791"/>
  <c r="F788"/>
  <c r="F800" i="40"/>
  <c r="D802"/>
  <c r="E802" s="1"/>
  <c r="J802"/>
  <c r="C803"/>
  <c r="G799"/>
  <c r="BA714" i="49"/>
  <c r="BD713" s="1"/>
  <c r="AV715"/>
  <c r="AW714"/>
  <c r="G787" i="41"/>
  <c r="F789" l="1"/>
  <c r="D803" i="40"/>
  <c r="E803" s="1"/>
  <c r="J803"/>
  <c r="C804"/>
  <c r="AV716" i="49"/>
  <c r="BA715"/>
  <c r="BD714" s="1"/>
  <c r="AW715"/>
  <c r="G800" i="40"/>
  <c r="D791" i="41"/>
  <c r="E791" s="1"/>
  <c r="J791"/>
  <c r="C792"/>
  <c r="G788"/>
  <c r="F801" i="40"/>
  <c r="G801" l="1"/>
  <c r="BA716" i="49"/>
  <c r="AV717"/>
  <c r="AW716"/>
  <c r="F802" i="40"/>
  <c r="D804"/>
  <c r="E804" s="1"/>
  <c r="J804"/>
  <c r="C805"/>
  <c r="D792" i="41"/>
  <c r="E792" s="1"/>
  <c r="J792"/>
  <c r="C793"/>
  <c r="G789"/>
  <c r="F790"/>
  <c r="BD715" i="49"/>
  <c r="AV718" l="1"/>
  <c r="BA717"/>
  <c r="AW717"/>
  <c r="G790" i="41"/>
  <c r="D793"/>
  <c r="E793" s="1"/>
  <c r="J793"/>
  <c r="C794"/>
  <c r="J805" i="40"/>
  <c r="D805"/>
  <c r="E805" s="1"/>
  <c r="C806"/>
  <c r="BD716" i="49"/>
  <c r="F803" i="40"/>
  <c r="F791" i="41"/>
  <c r="G802" i="40"/>
  <c r="BD717" i="49" l="1"/>
  <c r="G791" i="41"/>
  <c r="D794"/>
  <c r="E794" s="1"/>
  <c r="J794"/>
  <c r="C795"/>
  <c r="G803" i="40"/>
  <c r="F792" i="41"/>
  <c r="BA718" i="49"/>
  <c r="AV719"/>
  <c r="AW718"/>
  <c r="F804" i="40"/>
  <c r="D806"/>
  <c r="E806" s="1"/>
  <c r="J806"/>
  <c r="C807"/>
  <c r="F805" l="1"/>
  <c r="AV720" i="49"/>
  <c r="BA719"/>
  <c r="AW719"/>
  <c r="G792" i="41"/>
  <c r="D795"/>
  <c r="E795" s="1"/>
  <c r="J795"/>
  <c r="C796"/>
  <c r="D807" i="40"/>
  <c r="E807" s="1"/>
  <c r="J807"/>
  <c r="C808"/>
  <c r="BD718" i="49"/>
  <c r="G804" i="40"/>
  <c r="F793" i="41"/>
  <c r="F794" l="1"/>
  <c r="D808" i="40"/>
  <c r="E808" s="1"/>
  <c r="J808"/>
  <c r="C809"/>
  <c r="G805"/>
  <c r="G793" i="41"/>
  <c r="D796"/>
  <c r="E796" s="1"/>
  <c r="J796"/>
  <c r="C797"/>
  <c r="BA720" i="49"/>
  <c r="BD719" s="1"/>
  <c r="AV721"/>
  <c r="AW720"/>
  <c r="F806" i="40"/>
  <c r="J809" l="1"/>
  <c r="D809"/>
  <c r="E809" s="1"/>
  <c r="C810"/>
  <c r="F795" i="41"/>
  <c r="F807" i="40"/>
  <c r="G806"/>
  <c r="G794" i="41"/>
  <c r="AV722" i="49"/>
  <c r="BA721"/>
  <c r="BD720" s="1"/>
  <c r="AW721"/>
  <c r="D797" i="41"/>
  <c r="E797" s="1"/>
  <c r="J797"/>
  <c r="C798"/>
  <c r="F808" i="40" l="1"/>
  <c r="G807"/>
  <c r="D810"/>
  <c r="E810" s="1"/>
  <c r="J810"/>
  <c r="C811"/>
  <c r="G795" i="41"/>
  <c r="D798"/>
  <c r="E798" s="1"/>
  <c r="J798"/>
  <c r="C799"/>
  <c r="F796"/>
  <c r="BA722" i="49"/>
  <c r="BD721" s="1"/>
  <c r="AV723"/>
  <c r="AW722"/>
  <c r="D799" i="41" l="1"/>
  <c r="E799" s="1"/>
  <c r="J799"/>
  <c r="C800"/>
  <c r="AV724" i="49"/>
  <c r="BA723"/>
  <c r="BD722" s="1"/>
  <c r="AW723"/>
  <c r="F797" i="41"/>
  <c r="D811" i="40"/>
  <c r="E811" s="1"/>
  <c r="J811"/>
  <c r="C812"/>
  <c r="F809"/>
  <c r="G808"/>
  <c r="G796" i="41"/>
  <c r="F798" l="1"/>
  <c r="G809" i="40"/>
  <c r="D800" i="41"/>
  <c r="E800" s="1"/>
  <c r="J800"/>
  <c r="C801"/>
  <c r="G797"/>
  <c r="F810" i="40"/>
  <c r="D812"/>
  <c r="E812" s="1"/>
  <c r="J812"/>
  <c r="C813"/>
  <c r="BA724" i="49"/>
  <c r="BD723" s="1"/>
  <c r="AV725"/>
  <c r="AW724"/>
  <c r="F811" i="40" l="1"/>
  <c r="D813"/>
  <c r="E813" s="1"/>
  <c r="J813"/>
  <c r="C814"/>
  <c r="D801" i="41"/>
  <c r="E801" s="1"/>
  <c r="J801"/>
  <c r="C802"/>
  <c r="F799"/>
  <c r="AV726" i="49"/>
  <c r="BA725"/>
  <c r="AW725"/>
  <c r="G798" i="41"/>
  <c r="G810" i="40"/>
  <c r="BD724" i="49"/>
  <c r="D814" i="40" l="1"/>
  <c r="E814" s="1"/>
  <c r="J814"/>
  <c r="C815"/>
  <c r="F800" i="41"/>
  <c r="F812" i="40"/>
  <c r="G799" i="41"/>
  <c r="G811" i="40"/>
  <c r="BA726" i="49"/>
  <c r="BD725" s="1"/>
  <c r="AV727"/>
  <c r="AW726"/>
  <c r="D802" i="41"/>
  <c r="E802" s="1"/>
  <c r="J802"/>
  <c r="C803"/>
  <c r="F813" i="40" l="1"/>
  <c r="D803" i="41"/>
  <c r="E803" s="1"/>
  <c r="J803"/>
  <c r="C804"/>
  <c r="AV728" i="49"/>
  <c r="BA727"/>
  <c r="AW727"/>
  <c r="G812" i="40"/>
  <c r="D815"/>
  <c r="E815" s="1"/>
  <c r="J815"/>
  <c r="C816"/>
  <c r="G800" i="41"/>
  <c r="F801"/>
  <c r="BD726" i="49"/>
  <c r="G813" i="40" l="1"/>
  <c r="F802" i="41"/>
  <c r="D804"/>
  <c r="E804" s="1"/>
  <c r="J804"/>
  <c r="C805"/>
  <c r="G801"/>
  <c r="D816" i="40"/>
  <c r="E816" s="1"/>
  <c r="J816"/>
  <c r="C817"/>
  <c r="BA728" i="49"/>
  <c r="BD727" s="1"/>
  <c r="AV729"/>
  <c r="AW728"/>
  <c r="F814" i="40"/>
  <c r="F815" l="1"/>
  <c r="AV730" i="49"/>
  <c r="BA729"/>
  <c r="BD728" s="1"/>
  <c r="AW729"/>
  <c r="D805" i="41"/>
  <c r="E805" s="1"/>
  <c r="J805"/>
  <c r="C806"/>
  <c r="F803"/>
  <c r="G814" i="40"/>
  <c r="J817"/>
  <c r="D817"/>
  <c r="E817" s="1"/>
  <c r="C818"/>
  <c r="G802" i="41"/>
  <c r="G815" i="40" l="1"/>
  <c r="F804" i="41"/>
  <c r="BA730" i="49"/>
  <c r="BD729" s="1"/>
  <c r="AV731"/>
  <c r="AW730"/>
  <c r="D806" i="41"/>
  <c r="E806" s="1"/>
  <c r="J806"/>
  <c r="C807"/>
  <c r="F816" i="40"/>
  <c r="G803" i="41"/>
  <c r="D818" i="40"/>
  <c r="E818" s="1"/>
  <c r="J818"/>
  <c r="C819"/>
  <c r="F805" i="41" l="1"/>
  <c r="D819" i="40"/>
  <c r="E819" s="1"/>
  <c r="J819"/>
  <c r="C820"/>
  <c r="D807" i="41"/>
  <c r="E807" s="1"/>
  <c r="J807"/>
  <c r="C808"/>
  <c r="AV732" i="49"/>
  <c r="BA731"/>
  <c r="BD730" s="1"/>
  <c r="AW731"/>
  <c r="G816" i="40"/>
  <c r="F817"/>
  <c r="G804" i="41"/>
  <c r="BA732" i="49" l="1"/>
  <c r="AV733"/>
  <c r="AW732"/>
  <c r="G805" i="41"/>
  <c r="F818" i="40"/>
  <c r="BD731" i="49"/>
  <c r="D820" i="40"/>
  <c r="E820" s="1"/>
  <c r="J820"/>
  <c r="C821"/>
  <c r="F806" i="41"/>
  <c r="G817" i="40"/>
  <c r="D808" i="41"/>
  <c r="E808" s="1"/>
  <c r="J808"/>
  <c r="C809"/>
  <c r="G806" l="1"/>
  <c r="D809"/>
  <c r="E809" s="1"/>
  <c r="J809"/>
  <c r="C810"/>
  <c r="AV734" i="49"/>
  <c r="BA733"/>
  <c r="BD732" s="1"/>
  <c r="AW733"/>
  <c r="F807" i="41"/>
  <c r="F819" i="40"/>
  <c r="J821"/>
  <c r="D821"/>
  <c r="E821" s="1"/>
  <c r="C822"/>
  <c r="G818"/>
  <c r="BA734" i="49" l="1"/>
  <c r="BD733" s="1"/>
  <c r="AV735"/>
  <c r="AW734"/>
  <c r="G807" i="41"/>
  <c r="F808"/>
  <c r="G819" i="40"/>
  <c r="D810" i="41"/>
  <c r="E810" s="1"/>
  <c r="J810"/>
  <c r="C811"/>
  <c r="F820" i="40"/>
  <c r="D822"/>
  <c r="E822" s="1"/>
  <c r="J822"/>
  <c r="C823"/>
  <c r="G820" l="1"/>
  <c r="F809" i="41"/>
  <c r="AV736" i="49"/>
  <c r="BA735"/>
  <c r="BD734" s="1"/>
  <c r="AW735"/>
  <c r="D811" i="41"/>
  <c r="E811" s="1"/>
  <c r="J811"/>
  <c r="C812"/>
  <c r="D823" i="40"/>
  <c r="E823" s="1"/>
  <c r="J823"/>
  <c r="C824"/>
  <c r="F821"/>
  <c r="G808" i="41"/>
  <c r="F810" l="1"/>
  <c r="BA736" i="49"/>
  <c r="AV737"/>
  <c r="AW736"/>
  <c r="D824" i="40"/>
  <c r="E824" s="1"/>
  <c r="J824"/>
  <c r="C825"/>
  <c r="D812" i="41"/>
  <c r="E812" s="1"/>
  <c r="J812"/>
  <c r="C813"/>
  <c r="BD735" i="49"/>
  <c r="G821" i="40"/>
  <c r="F822"/>
  <c r="G809" i="41"/>
  <c r="J825" i="40" l="1"/>
  <c r="D825"/>
  <c r="E825" s="1"/>
  <c r="C826"/>
  <c r="AV738" i="49"/>
  <c r="BA737"/>
  <c r="AW737"/>
  <c r="F823" i="40"/>
  <c r="G822"/>
  <c r="F811" i="41"/>
  <c r="G810"/>
  <c r="J813"/>
  <c r="D813"/>
  <c r="E813" s="1"/>
  <c r="C814"/>
  <c r="G823" i="40" l="1"/>
  <c r="F824"/>
  <c r="D826"/>
  <c r="E826" s="1"/>
  <c r="J826"/>
  <c r="C827"/>
  <c r="F812" i="41"/>
  <c r="G811"/>
  <c r="D814"/>
  <c r="E814" s="1"/>
  <c r="J814"/>
  <c r="C815"/>
  <c r="BA738" i="49"/>
  <c r="BD737" s="1"/>
  <c r="AV739"/>
  <c r="AW738"/>
  <c r="BD736"/>
  <c r="G824" i="40" l="1"/>
  <c r="AV740" i="49"/>
  <c r="BA739"/>
  <c r="AW739"/>
  <c r="G812" i="41"/>
  <c r="D815"/>
  <c r="E815" s="1"/>
  <c r="J815"/>
  <c r="C816"/>
  <c r="F813"/>
  <c r="F825" i="40"/>
  <c r="D827"/>
  <c r="E827" s="1"/>
  <c r="J827"/>
  <c r="C828"/>
  <c r="BD738" i="49"/>
  <c r="F814" i="41" l="1"/>
  <c r="D828" i="40"/>
  <c r="E828" s="1"/>
  <c r="J828"/>
  <c r="C829"/>
  <c r="G825"/>
  <c r="D816" i="41"/>
  <c r="E816" s="1"/>
  <c r="J816"/>
  <c r="C817"/>
  <c r="BA740" i="49"/>
  <c r="BD739" s="1"/>
  <c r="AV741"/>
  <c r="AW740"/>
  <c r="G813" i="41"/>
  <c r="F826" i="40"/>
  <c r="AV742" i="49" l="1"/>
  <c r="BA741"/>
  <c r="BD740" s="1"/>
  <c r="AW741"/>
  <c r="D829" i="40"/>
  <c r="E829" s="1"/>
  <c r="J829"/>
  <c r="C830"/>
  <c r="G814" i="41"/>
  <c r="F827" i="40"/>
  <c r="G826"/>
  <c r="D817" i="41"/>
  <c r="E817" s="1"/>
  <c r="J817"/>
  <c r="C818"/>
  <c r="F815"/>
  <c r="F828" i="40" l="1"/>
  <c r="BA742" i="49"/>
  <c r="AV743"/>
  <c r="AW742"/>
  <c r="F816" i="41"/>
  <c r="G827" i="40"/>
  <c r="D830"/>
  <c r="E830" s="1"/>
  <c r="J830"/>
  <c r="C831"/>
  <c r="BD741" i="49"/>
  <c r="D818" i="41"/>
  <c r="E818" s="1"/>
  <c r="J818"/>
  <c r="C819"/>
  <c r="G815"/>
  <c r="D819" l="1"/>
  <c r="E819" s="1"/>
  <c r="J819"/>
  <c r="C820"/>
  <c r="D831" i="40"/>
  <c r="E831" s="1"/>
  <c r="J831"/>
  <c r="C832"/>
  <c r="AV744" i="49"/>
  <c r="BA743"/>
  <c r="BD742" s="1"/>
  <c r="AW743"/>
  <c r="G828" i="40"/>
  <c r="F829"/>
  <c r="F817" i="41"/>
  <c r="G816"/>
  <c r="F818" l="1"/>
  <c r="G829" i="40"/>
  <c r="D832"/>
  <c r="E832" s="1"/>
  <c r="J832"/>
  <c r="C833"/>
  <c r="BA744" i="49"/>
  <c r="BD743" s="1"/>
  <c r="AV745"/>
  <c r="AW744"/>
  <c r="D820" i="41"/>
  <c r="E820" s="1"/>
  <c r="J820"/>
  <c r="C821"/>
  <c r="G817"/>
  <c r="F830" i="40"/>
  <c r="F831" l="1"/>
  <c r="G830"/>
  <c r="D821" i="41"/>
  <c r="E821" s="1"/>
  <c r="J821"/>
  <c r="C822"/>
  <c r="AV746" i="49"/>
  <c r="BA745"/>
  <c r="BD744" s="1"/>
  <c r="AW745"/>
  <c r="G818" i="41"/>
  <c r="J833" i="40"/>
  <c r="D833"/>
  <c r="E833" s="1"/>
  <c r="C834"/>
  <c r="F819" i="41"/>
  <c r="F820" l="1"/>
  <c r="G819"/>
  <c r="G831" i="40"/>
  <c r="D822" i="41"/>
  <c r="E822" s="1"/>
  <c r="J822"/>
  <c r="C823"/>
  <c r="F832" i="40"/>
  <c r="D834"/>
  <c r="E834" s="1"/>
  <c r="J834"/>
  <c r="C835"/>
  <c r="BA746" i="49"/>
  <c r="BD745" s="1"/>
  <c r="AV747"/>
  <c r="AW746"/>
  <c r="G820" i="41" l="1"/>
  <c r="F821"/>
  <c r="F833" i="40"/>
  <c r="D823" i="41"/>
  <c r="E823" s="1"/>
  <c r="J823"/>
  <c r="C824"/>
  <c r="AV748" i="49"/>
  <c r="BA747"/>
  <c r="AW747"/>
  <c r="D835" i="40"/>
  <c r="E835" s="1"/>
  <c r="J835"/>
  <c r="C836"/>
  <c r="G832"/>
  <c r="BD746" i="49"/>
  <c r="F834" i="40" l="1"/>
  <c r="BA748" i="49"/>
  <c r="AV749"/>
  <c r="AW748"/>
  <c r="F822" i="41"/>
  <c r="D824"/>
  <c r="E824" s="1"/>
  <c r="J824"/>
  <c r="C825"/>
  <c r="G833" i="40"/>
  <c r="D836"/>
  <c r="E836" s="1"/>
  <c r="J836"/>
  <c r="C837"/>
  <c r="G821" i="41"/>
  <c r="BD747" i="49"/>
  <c r="BD748" l="1"/>
  <c r="F835" i="40"/>
  <c r="G834"/>
  <c r="D825" i="41"/>
  <c r="E825" s="1"/>
  <c r="J825"/>
  <c r="C826"/>
  <c r="F823"/>
  <c r="AV750" i="49"/>
  <c r="BA749"/>
  <c r="AW749"/>
  <c r="J837" i="40"/>
  <c r="D837"/>
  <c r="E837" s="1"/>
  <c r="C838"/>
  <c r="G822" i="41"/>
  <c r="D838" i="40" l="1"/>
  <c r="E838" s="1"/>
  <c r="J838"/>
  <c r="C839"/>
  <c r="F824" i="41"/>
  <c r="BA750" i="49"/>
  <c r="BD749" s="1"/>
  <c r="AV751"/>
  <c r="AW750"/>
  <c r="G835" i="40"/>
  <c r="G823" i="41"/>
  <c r="F836" i="40"/>
  <c r="D826" i="41"/>
  <c r="E826" s="1"/>
  <c r="J826"/>
  <c r="C827"/>
  <c r="G824" l="1"/>
  <c r="D827"/>
  <c r="E827" s="1"/>
  <c r="J827"/>
  <c r="C828"/>
  <c r="G836" i="40"/>
  <c r="D839"/>
  <c r="E839" s="1"/>
  <c r="J839"/>
  <c r="C840"/>
  <c r="F837"/>
  <c r="F825" i="41"/>
  <c r="AV752" i="49"/>
  <c r="BA751"/>
  <c r="BD750" s="1"/>
  <c r="AW751"/>
  <c r="G825" i="41" l="1"/>
  <c r="BA752" i="49"/>
  <c r="BD751" s="1"/>
  <c r="AV753"/>
  <c r="AW752"/>
  <c r="F826" i="41"/>
  <c r="D828"/>
  <c r="E828" s="1"/>
  <c r="J828"/>
  <c r="C829"/>
  <c r="D840" i="40"/>
  <c r="E840" s="1"/>
  <c r="J840"/>
  <c r="C841"/>
  <c r="G837"/>
  <c r="F838"/>
  <c r="F827" i="41" l="1"/>
  <c r="G838" i="40"/>
  <c r="J841"/>
  <c r="D841"/>
  <c r="E841" s="1"/>
  <c r="C842"/>
  <c r="D829" i="41"/>
  <c r="E829" s="1"/>
  <c r="J829"/>
  <c r="C830"/>
  <c r="AV754" i="49"/>
  <c r="BA753"/>
  <c r="AW753"/>
  <c r="F839" i="40"/>
  <c r="G826" i="41"/>
  <c r="BD753" i="49" l="1"/>
  <c r="G839" i="40"/>
  <c r="F840"/>
  <c r="G827" i="41"/>
  <c r="BD752" i="49"/>
  <c r="F828" i="41"/>
  <c r="D830"/>
  <c r="E830" s="1"/>
  <c r="J830"/>
  <c r="C831"/>
  <c r="BA754" i="49"/>
  <c r="AV755"/>
  <c r="AW754"/>
  <c r="D842" i="40"/>
  <c r="E842" s="1"/>
  <c r="J842"/>
  <c r="C843"/>
  <c r="F841" l="1"/>
  <c r="F829" i="41"/>
  <c r="D831"/>
  <c r="E831" s="1"/>
  <c r="J831"/>
  <c r="C832"/>
  <c r="G840" i="40"/>
  <c r="G828" i="41"/>
  <c r="D843" i="40"/>
  <c r="E843" s="1"/>
  <c r="J843"/>
  <c r="C844"/>
  <c r="AV756" i="49"/>
  <c r="BA755"/>
  <c r="BD754" s="1"/>
  <c r="AW755"/>
  <c r="F830" i="41" l="1"/>
  <c r="D844" i="40"/>
  <c r="E844" s="1"/>
  <c r="J844"/>
  <c r="C845"/>
  <c r="G841"/>
  <c r="BA756" i="49"/>
  <c r="BD755" s="1"/>
  <c r="AV757"/>
  <c r="AW756"/>
  <c r="D832" i="41"/>
  <c r="E832" s="1"/>
  <c r="J832"/>
  <c r="C833"/>
  <c r="F842" i="40"/>
  <c r="G829" i="41"/>
  <c r="D845" i="40" l="1"/>
  <c r="E845" s="1"/>
  <c r="J845"/>
  <c r="C846"/>
  <c r="G830" i="41"/>
  <c r="F843" i="40"/>
  <c r="D833" i="41"/>
  <c r="E833" s="1"/>
  <c r="J833"/>
  <c r="C834"/>
  <c r="AV758" i="49"/>
  <c r="BA757"/>
  <c r="BD756" s="1"/>
  <c r="AW757"/>
  <c r="G842" i="40"/>
  <c r="F831" i="41"/>
  <c r="G831" l="1"/>
  <c r="D834"/>
  <c r="E834" s="1"/>
  <c r="J834"/>
  <c r="C835"/>
  <c r="BA758" i="49"/>
  <c r="BD757" s="1"/>
  <c r="AV759"/>
  <c r="AW758"/>
  <c r="G843" i="40"/>
  <c r="D846"/>
  <c r="E846" s="1"/>
  <c r="J846"/>
  <c r="C847"/>
  <c r="F844"/>
  <c r="F832" i="41"/>
  <c r="G832" l="1"/>
  <c r="F833"/>
  <c r="D835"/>
  <c r="E835" s="1"/>
  <c r="J835"/>
  <c r="C836"/>
  <c r="D847" i="40"/>
  <c r="E847" s="1"/>
  <c r="J847"/>
  <c r="C848"/>
  <c r="G844"/>
  <c r="F845"/>
  <c r="AV760" i="49"/>
  <c r="BA759"/>
  <c r="BD758" s="1"/>
  <c r="AW759"/>
  <c r="F834" i="41" l="1"/>
  <c r="G845" i="40"/>
  <c r="D848"/>
  <c r="E848" s="1"/>
  <c r="J848"/>
  <c r="C849"/>
  <c r="BA760" i="49"/>
  <c r="BD759" s="1"/>
  <c r="AV761"/>
  <c r="AW760"/>
  <c r="D836" i="41"/>
  <c r="E836" s="1"/>
  <c r="J836"/>
  <c r="C837"/>
  <c r="F846" i="40"/>
  <c r="G833" i="41"/>
  <c r="F847" i="40" l="1"/>
  <c r="D837" i="41"/>
  <c r="E837" s="1"/>
  <c r="J837"/>
  <c r="C838"/>
  <c r="AV762" i="49"/>
  <c r="BA761"/>
  <c r="AW761"/>
  <c r="G834" i="41"/>
  <c r="J849" i="40"/>
  <c r="D849"/>
  <c r="E849" s="1"/>
  <c r="C850"/>
  <c r="G846"/>
  <c r="F835" i="41"/>
  <c r="BD760" i="49"/>
  <c r="G847" i="40" l="1"/>
  <c r="F836" i="41"/>
  <c r="F848" i="40"/>
  <c r="D838" i="41"/>
  <c r="E838" s="1"/>
  <c r="J838"/>
  <c r="C839"/>
  <c r="G835"/>
  <c r="D850" i="40"/>
  <c r="E850" s="1"/>
  <c r="J850"/>
  <c r="C851"/>
  <c r="BA762" i="49"/>
  <c r="AV763"/>
  <c r="AW762"/>
  <c r="BD761"/>
  <c r="BD762" l="1"/>
  <c r="G848" i="40"/>
  <c r="F837" i="41"/>
  <c r="AV764" i="49"/>
  <c r="BA763"/>
  <c r="AW763"/>
  <c r="D839" i="41"/>
  <c r="E839" s="1"/>
  <c r="J839"/>
  <c r="C840"/>
  <c r="D851" i="40"/>
  <c r="E851" s="1"/>
  <c r="J851"/>
  <c r="C852"/>
  <c r="F849"/>
  <c r="G836" i="41"/>
  <c r="F850" i="40" l="1"/>
  <c r="G837" i="41"/>
  <c r="BA764" i="49"/>
  <c r="BD763" s="1"/>
  <c r="AV765"/>
  <c r="AW764"/>
  <c r="D852" i="40"/>
  <c r="E852" s="1"/>
  <c r="J852"/>
  <c r="C853"/>
  <c r="G849"/>
  <c r="F838" i="41"/>
  <c r="D840"/>
  <c r="E840" s="1"/>
  <c r="J840"/>
  <c r="C841"/>
  <c r="G850" i="40" l="1"/>
  <c r="G838" i="41"/>
  <c r="J853" i="40"/>
  <c r="D853"/>
  <c r="E853" s="1"/>
  <c r="C854"/>
  <c r="AV766" i="49"/>
  <c r="BA765"/>
  <c r="BD764" s="1"/>
  <c r="AW765"/>
  <c r="F851" i="40"/>
  <c r="D841" i="41"/>
  <c r="E841" s="1"/>
  <c r="J841"/>
  <c r="C842"/>
  <c r="F839"/>
  <c r="G851" i="40" l="1"/>
  <c r="G839" i="41"/>
  <c r="F852" i="40"/>
  <c r="D854"/>
  <c r="E854" s="1"/>
  <c r="J854"/>
  <c r="C855"/>
  <c r="F840" i="41"/>
  <c r="D842"/>
  <c r="E842" s="1"/>
  <c r="J842"/>
  <c r="C843"/>
  <c r="BA766" i="49"/>
  <c r="AV767"/>
  <c r="AW766"/>
  <c r="BD765"/>
  <c r="BD766" l="1"/>
  <c r="D843" i="41"/>
  <c r="E843" s="1"/>
  <c r="J843"/>
  <c r="C844"/>
  <c r="G840"/>
  <c r="F853" i="40"/>
  <c r="AV768" i="49"/>
  <c r="BA767"/>
  <c r="AW767"/>
  <c r="D855" i="40"/>
  <c r="E855" s="1"/>
  <c r="J855"/>
  <c r="C856"/>
  <c r="G852"/>
  <c r="F841" i="41"/>
  <c r="BD767" i="49" l="1"/>
  <c r="F842" i="41"/>
  <c r="G841"/>
  <c r="D856" i="40"/>
  <c r="E856" s="1"/>
  <c r="J856"/>
  <c r="C857"/>
  <c r="F854"/>
  <c r="BA768" i="49"/>
  <c r="AV769"/>
  <c r="AW768"/>
  <c r="G853" i="40"/>
  <c r="D844" i="41"/>
  <c r="E844" s="1"/>
  <c r="J844"/>
  <c r="C845"/>
  <c r="F843" l="1"/>
  <c r="AV770" i="49"/>
  <c r="BA769"/>
  <c r="AW769"/>
  <c r="G854" i="40"/>
  <c r="D845" i="41"/>
  <c r="E845" s="1"/>
  <c r="J845"/>
  <c r="C846"/>
  <c r="G842"/>
  <c r="BD768" i="49"/>
  <c r="F855" i="40"/>
  <c r="J857"/>
  <c r="D857"/>
  <c r="E857" s="1"/>
  <c r="C858"/>
  <c r="F844" i="41" l="1"/>
  <c r="G843"/>
  <c r="D858" i="40"/>
  <c r="E858" s="1"/>
  <c r="J858"/>
  <c r="C859"/>
  <c r="D846" i="41"/>
  <c r="E846" s="1"/>
  <c r="J846"/>
  <c r="C847"/>
  <c r="BA770" i="49"/>
  <c r="BD769" s="1"/>
  <c r="AV771"/>
  <c r="AW770"/>
  <c r="F856" i="40"/>
  <c r="G855"/>
  <c r="AV772" i="49" l="1"/>
  <c r="BA771"/>
  <c r="AW771"/>
  <c r="D847" i="41"/>
  <c r="E847" s="1"/>
  <c r="J847"/>
  <c r="C848"/>
  <c r="G844"/>
  <c r="D859" i="40"/>
  <c r="E859" s="1"/>
  <c r="J859"/>
  <c r="C860"/>
  <c r="BD770" i="49"/>
  <c r="F857" i="40"/>
  <c r="G856"/>
  <c r="F845" i="41"/>
  <c r="BD771" i="49" l="1"/>
  <c r="F858" i="40"/>
  <c r="G845" i="41"/>
  <c r="G857" i="40"/>
  <c r="D848" i="41"/>
  <c r="E848" s="1"/>
  <c r="J848"/>
  <c r="C849"/>
  <c r="F846"/>
  <c r="BA772" i="49"/>
  <c r="AV773"/>
  <c r="AW772"/>
  <c r="D860" i="40"/>
  <c r="E860" s="1"/>
  <c r="J860"/>
  <c r="C861"/>
  <c r="D849" i="41" l="1"/>
  <c r="E849" s="1"/>
  <c r="J849"/>
  <c r="C850"/>
  <c r="D861" i="40"/>
  <c r="E861" s="1"/>
  <c r="J861"/>
  <c r="C862"/>
  <c r="AV774" i="49"/>
  <c r="BA773"/>
  <c r="BD772" s="1"/>
  <c r="AW773"/>
  <c r="G858" i="40"/>
  <c r="F859"/>
  <c r="G846" i="41"/>
  <c r="F847"/>
  <c r="G847" l="1"/>
  <c r="G859" i="40"/>
  <c r="D862"/>
  <c r="E862" s="1"/>
  <c r="J862"/>
  <c r="C863"/>
  <c r="BA774" i="49"/>
  <c r="BD773" s="1"/>
  <c r="AV775"/>
  <c r="AW774"/>
  <c r="D850" i="41"/>
  <c r="E850" s="1"/>
  <c r="J850"/>
  <c r="C851"/>
  <c r="F848"/>
  <c r="F860" i="40"/>
  <c r="G860" l="1"/>
  <c r="D851" i="41"/>
  <c r="E851" s="1"/>
  <c r="J851"/>
  <c r="C852"/>
  <c r="AV776" i="49"/>
  <c r="BA775"/>
  <c r="AW775"/>
  <c r="D863" i="40"/>
  <c r="E863" s="1"/>
  <c r="J863"/>
  <c r="C864"/>
  <c r="F861"/>
  <c r="G848" i="41"/>
  <c r="F849"/>
  <c r="BD774" i="49"/>
  <c r="D852" i="41" l="1"/>
  <c r="E852" s="1"/>
  <c r="J852"/>
  <c r="C853"/>
  <c r="G849"/>
  <c r="G861" i="40"/>
  <c r="F850" i="41"/>
  <c r="F862" i="40"/>
  <c r="BA776" i="49"/>
  <c r="BD775" s="1"/>
  <c r="AV777"/>
  <c r="AW776"/>
  <c r="D864" i="40"/>
  <c r="E864" s="1"/>
  <c r="J864"/>
  <c r="C865"/>
  <c r="F851" i="41" l="1"/>
  <c r="J865" i="40"/>
  <c r="D865"/>
  <c r="E865" s="1"/>
  <c r="C866"/>
  <c r="G862"/>
  <c r="D853" i="41"/>
  <c r="E853" s="1"/>
  <c r="J853"/>
  <c r="C854"/>
  <c r="G850"/>
  <c r="AV778" i="49"/>
  <c r="BA777"/>
  <c r="BD776" s="1"/>
  <c r="AW777"/>
  <c r="F863" i="40"/>
  <c r="D866" l="1"/>
  <c r="E866" s="1"/>
  <c r="J866"/>
  <c r="C867"/>
  <c r="G863"/>
  <c r="D854" i="41"/>
  <c r="E854" s="1"/>
  <c r="J854"/>
  <c r="C855"/>
  <c r="G851"/>
  <c r="BA778" i="49"/>
  <c r="BD777" s="1"/>
  <c r="AV779"/>
  <c r="AW778"/>
  <c r="F852" i="41"/>
  <c r="F864" i="40"/>
  <c r="F865" l="1"/>
  <c r="F853" i="41"/>
  <c r="G852"/>
  <c r="D855"/>
  <c r="E855" s="1"/>
  <c r="J855"/>
  <c r="C856"/>
  <c r="AV780" i="49"/>
  <c r="BA779"/>
  <c r="BD778" s="1"/>
  <c r="AW779"/>
  <c r="G864" i="40"/>
  <c r="D867"/>
  <c r="E867" s="1"/>
  <c r="J867"/>
  <c r="C868"/>
  <c r="BA780" i="49" l="1"/>
  <c r="BD779" s="1"/>
  <c r="AV781"/>
  <c r="AW780"/>
  <c r="F854" i="41"/>
  <c r="D856"/>
  <c r="E856" s="1"/>
  <c r="J856"/>
  <c r="C857"/>
  <c r="D868" i="40"/>
  <c r="E868" s="1"/>
  <c r="J868"/>
  <c r="C869"/>
  <c r="G865"/>
  <c r="F866"/>
  <c r="G853" i="41"/>
  <c r="F867" i="40" l="1"/>
  <c r="F855" i="41"/>
  <c r="AV782" i="49"/>
  <c r="BA781"/>
  <c r="BD780" s="1"/>
  <c r="AW781"/>
  <c r="D857" i="41"/>
  <c r="E857" s="1"/>
  <c r="J857"/>
  <c r="C858"/>
  <c r="G854"/>
  <c r="G866" i="40"/>
  <c r="J869"/>
  <c r="D869"/>
  <c r="E869" s="1"/>
  <c r="C870"/>
  <c r="BD781" i="49" l="1"/>
  <c r="F856" i="41"/>
  <c r="D870" i="40"/>
  <c r="E870" s="1"/>
  <c r="J870"/>
  <c r="C871"/>
  <c r="G867"/>
  <c r="D858" i="41"/>
  <c r="E858" s="1"/>
  <c r="J858"/>
  <c r="C859"/>
  <c r="F868" i="40"/>
  <c r="BA782" i="49"/>
  <c r="AV783"/>
  <c r="AW782"/>
  <c r="G855" i="41"/>
  <c r="BD782" i="49" l="1"/>
  <c r="F857" i="41"/>
  <c r="D871" i="40"/>
  <c r="E871" s="1"/>
  <c r="J871"/>
  <c r="C872"/>
  <c r="D859" i="41"/>
  <c r="E859" s="1"/>
  <c r="J859"/>
  <c r="C860"/>
  <c r="G856"/>
  <c r="G868" i="40"/>
  <c r="AV784" i="49"/>
  <c r="BA783"/>
  <c r="AW783"/>
  <c r="F869" i="40"/>
  <c r="D860" i="41" l="1"/>
  <c r="E860" s="1"/>
  <c r="J860"/>
  <c r="C861"/>
  <c r="BA784" i="49"/>
  <c r="BD783" s="1"/>
  <c r="AV785"/>
  <c r="AW784"/>
  <c r="F858" i="41"/>
  <c r="G857"/>
  <c r="D872" i="40"/>
  <c r="E872" s="1"/>
  <c r="J872"/>
  <c r="C873"/>
  <c r="G869"/>
  <c r="F870"/>
  <c r="F859" i="41" l="1"/>
  <c r="G870" i="40"/>
  <c r="J873"/>
  <c r="D873"/>
  <c r="E873" s="1"/>
  <c r="C874"/>
  <c r="AV786" i="49"/>
  <c r="BA785"/>
  <c r="AW785"/>
  <c r="D861" i="41"/>
  <c r="E861" s="1"/>
  <c r="J861"/>
  <c r="C862"/>
  <c r="G858"/>
  <c r="F871" i="40"/>
  <c r="F872" l="1"/>
  <c r="G859" i="41"/>
  <c r="D874" i="40"/>
  <c r="E874" s="1"/>
  <c r="J874"/>
  <c r="C875"/>
  <c r="BD784" i="49"/>
  <c r="G871" i="40"/>
  <c r="D862" i="41"/>
  <c r="E862" s="1"/>
  <c r="J862"/>
  <c r="C863"/>
  <c r="F860"/>
  <c r="BA786" i="49"/>
  <c r="BD785" s="1"/>
  <c r="AV787"/>
  <c r="AW786"/>
  <c r="F873" i="40" l="1"/>
  <c r="AV788" i="49"/>
  <c r="BA787"/>
  <c r="BD786" s="1"/>
  <c r="AW787"/>
  <c r="G872" i="40"/>
  <c r="D863" i="41"/>
  <c r="E863" s="1"/>
  <c r="J863"/>
  <c r="C864"/>
  <c r="G860"/>
  <c r="F861"/>
  <c r="D875" i="40"/>
  <c r="E875" s="1"/>
  <c r="J875"/>
  <c r="C876"/>
  <c r="F862" i="41" l="1"/>
  <c r="D876" i="40"/>
  <c r="E876" s="1"/>
  <c r="J876"/>
  <c r="C877"/>
  <c r="G873"/>
  <c r="G861" i="41"/>
  <c r="D864"/>
  <c r="E864" s="1"/>
  <c r="J864"/>
  <c r="C865"/>
  <c r="BA788" i="49"/>
  <c r="BD787" s="1"/>
  <c r="AV789"/>
  <c r="AW788"/>
  <c r="F874" i="40"/>
  <c r="D877" l="1"/>
  <c r="E877" s="1"/>
  <c r="J877"/>
  <c r="C878"/>
  <c r="F863" i="41"/>
  <c r="F875" i="40"/>
  <c r="G874"/>
  <c r="G862" i="41"/>
  <c r="AV790" i="49"/>
  <c r="BA789"/>
  <c r="BD788" s="1"/>
  <c r="AW789"/>
  <c r="D865" i="41"/>
  <c r="E865" s="1"/>
  <c r="J865"/>
  <c r="C866"/>
  <c r="F876" i="40" l="1"/>
  <c r="D866" i="41"/>
  <c r="E866" s="1"/>
  <c r="J866"/>
  <c r="C867"/>
  <c r="G875" i="40"/>
  <c r="D878"/>
  <c r="E878" s="1"/>
  <c r="J878"/>
  <c r="C879"/>
  <c r="G863" i="41"/>
  <c r="F864"/>
  <c r="BA790" i="49"/>
  <c r="BD789" s="1"/>
  <c r="AV791"/>
  <c r="AW790"/>
  <c r="D867" i="41" l="1"/>
  <c r="E867" s="1"/>
  <c r="J867"/>
  <c r="C868"/>
  <c r="D879" i="40"/>
  <c r="E879" s="1"/>
  <c r="J879"/>
  <c r="C880"/>
  <c r="G864" i="41"/>
  <c r="F865"/>
  <c r="AV792" i="49"/>
  <c r="BA791"/>
  <c r="BD790" s="1"/>
  <c r="AW791"/>
  <c r="G876" i="40"/>
  <c r="F877"/>
  <c r="G877" l="1"/>
  <c r="G865" i="41"/>
  <c r="D880" i="40"/>
  <c r="E880" s="1"/>
  <c r="J880"/>
  <c r="C881"/>
  <c r="BA792" i="49"/>
  <c r="BD791" s="1"/>
  <c r="AV793"/>
  <c r="AW792"/>
  <c r="D868" i="41"/>
  <c r="E868" s="1"/>
  <c r="J868"/>
  <c r="C869"/>
  <c r="F866"/>
  <c r="F878" i="40"/>
  <c r="F879" l="1"/>
  <c r="G878"/>
  <c r="D869" i="41"/>
  <c r="E869" s="1"/>
  <c r="J869"/>
  <c r="C870"/>
  <c r="AV794" i="49"/>
  <c r="BA793"/>
  <c r="BD792" s="1"/>
  <c r="AW793"/>
  <c r="J881" i="40"/>
  <c r="D881"/>
  <c r="E881" s="1"/>
  <c r="C882"/>
  <c r="G866" i="41"/>
  <c r="F867"/>
  <c r="F880" i="40" l="1"/>
  <c r="D882"/>
  <c r="E882" s="1"/>
  <c r="J882"/>
  <c r="C883"/>
  <c r="D870" i="41"/>
  <c r="E870" s="1"/>
  <c r="J870"/>
  <c r="C871"/>
  <c r="F868"/>
  <c r="G867"/>
  <c r="G879" i="40"/>
  <c r="BA794" i="49"/>
  <c r="BD793" s="1"/>
  <c r="AV795"/>
  <c r="AW794"/>
  <c r="D883" i="40" l="1"/>
  <c r="E883" s="1"/>
  <c r="J883"/>
  <c r="C884"/>
  <c r="AV796" i="49"/>
  <c r="BA795"/>
  <c r="BD794" s="1"/>
  <c r="AW795"/>
  <c r="G880" i="40"/>
  <c r="F881"/>
  <c r="F869" i="41"/>
  <c r="G868"/>
  <c r="D871"/>
  <c r="E871" s="1"/>
  <c r="J871"/>
  <c r="C872"/>
  <c r="F882" i="40" l="1"/>
  <c r="D872" i="41"/>
  <c r="E872" s="1"/>
  <c r="J872"/>
  <c r="C873"/>
  <c r="G881" i="40"/>
  <c r="D884"/>
  <c r="E884" s="1"/>
  <c r="J884"/>
  <c r="C885"/>
  <c r="G869" i="41"/>
  <c r="F870"/>
  <c r="BA796" i="49"/>
  <c r="BD795" s="1"/>
  <c r="AV797"/>
  <c r="AW796"/>
  <c r="D873" i="41" l="1"/>
  <c r="E873" s="1"/>
  <c r="J873"/>
  <c r="C874"/>
  <c r="J885" i="40"/>
  <c r="D885"/>
  <c r="E885" s="1"/>
  <c r="C886"/>
  <c r="F871" i="41"/>
  <c r="AV798" i="49"/>
  <c r="BA797"/>
  <c r="BD796" s="1"/>
  <c r="AW797"/>
  <c r="G882" i="40"/>
  <c r="G870" i="41"/>
  <c r="F883" i="40"/>
  <c r="F884" l="1"/>
  <c r="G883"/>
  <c r="D886"/>
  <c r="E886" s="1"/>
  <c r="J886"/>
  <c r="C887"/>
  <c r="D874" i="41"/>
  <c r="E874" s="1"/>
  <c r="J874"/>
  <c r="C875"/>
  <c r="BA798" i="49"/>
  <c r="BD797" s="1"/>
  <c r="AV799"/>
  <c r="AW798"/>
  <c r="F872" i="41"/>
  <c r="G871"/>
  <c r="G872" l="1"/>
  <c r="F885" i="40"/>
  <c r="D875" i="41"/>
  <c r="E875" s="1"/>
  <c r="J875"/>
  <c r="C876"/>
  <c r="G884" i="40"/>
  <c r="F873" i="41"/>
  <c r="AV800" i="49"/>
  <c r="BA799"/>
  <c r="AW799"/>
  <c r="D887" i="40"/>
  <c r="E887" s="1"/>
  <c r="J887"/>
  <c r="C888"/>
  <c r="BD799" i="49" l="1"/>
  <c r="D888" i="40"/>
  <c r="E888" s="1"/>
  <c r="J888"/>
  <c r="C889"/>
  <c r="G873" i="41"/>
  <c r="D876"/>
  <c r="E876" s="1"/>
  <c r="J876"/>
  <c r="C877"/>
  <c r="BD798" i="49"/>
  <c r="F874" i="41"/>
  <c r="F886" i="40"/>
  <c r="BA800" i="49"/>
  <c r="AV801"/>
  <c r="AW800"/>
  <c r="G885" i="40"/>
  <c r="AV802" i="49" l="1"/>
  <c r="BA801"/>
  <c r="BD800" s="1"/>
  <c r="AW801"/>
  <c r="J877" i="41"/>
  <c r="D877"/>
  <c r="E877" s="1"/>
  <c r="C878"/>
  <c r="G886" i="40"/>
  <c r="F875" i="41"/>
  <c r="F887" i="40"/>
  <c r="G874" i="41"/>
  <c r="J889" i="40"/>
  <c r="D889"/>
  <c r="E889" s="1"/>
  <c r="C890"/>
  <c r="BA802" i="49" l="1"/>
  <c r="BD801" s="1"/>
  <c r="AV803"/>
  <c r="AW802"/>
  <c r="F876" i="41"/>
  <c r="D890" i="40"/>
  <c r="E890" s="1"/>
  <c r="J890"/>
  <c r="C891"/>
  <c r="G875" i="41"/>
  <c r="D878"/>
  <c r="E878" s="1"/>
  <c r="J878"/>
  <c r="C879"/>
  <c r="F888" i="40"/>
  <c r="G887"/>
  <c r="D879" i="41" l="1"/>
  <c r="E879" s="1"/>
  <c r="J879"/>
  <c r="C880"/>
  <c r="F889" i="40"/>
  <c r="AV804" i="49"/>
  <c r="BA803"/>
  <c r="BD802" s="1"/>
  <c r="AW803"/>
  <c r="G888" i="40"/>
  <c r="D891"/>
  <c r="E891" s="1"/>
  <c r="J891"/>
  <c r="C892"/>
  <c r="G876" i="41"/>
  <c r="F877"/>
  <c r="F878" l="1"/>
  <c r="G877"/>
  <c r="D892" i="40"/>
  <c r="E892" s="1"/>
  <c r="J892"/>
  <c r="C893"/>
  <c r="BA804" i="49"/>
  <c r="BD803" s="1"/>
  <c r="AV805"/>
  <c r="AW804"/>
  <c r="D880" i="41"/>
  <c r="E880" s="1"/>
  <c r="J880"/>
  <c r="C881"/>
  <c r="G889" i="40"/>
  <c r="F890"/>
  <c r="F891" l="1"/>
  <c r="G890"/>
  <c r="AV806" i="49"/>
  <c r="BA805"/>
  <c r="BD804" s="1"/>
  <c r="AW805"/>
  <c r="G878" i="41"/>
  <c r="D893" i="40"/>
  <c r="E893" s="1"/>
  <c r="J893"/>
  <c r="C894"/>
  <c r="D881" i="41"/>
  <c r="E881" s="1"/>
  <c r="J881"/>
  <c r="C882"/>
  <c r="F879"/>
  <c r="BD805" i="49" l="1"/>
  <c r="F880" i="41"/>
  <c r="F892" i="40"/>
  <c r="D894"/>
  <c r="E894" s="1"/>
  <c r="J894"/>
  <c r="C895"/>
  <c r="BA806" i="49"/>
  <c r="AV807"/>
  <c r="AW806"/>
  <c r="G879" i="41"/>
  <c r="G891" i="40"/>
  <c r="D882" i="41"/>
  <c r="E882" s="1"/>
  <c r="J882"/>
  <c r="C883"/>
  <c r="F893" i="40" l="1"/>
  <c r="D883" i="41"/>
  <c r="E883" s="1"/>
  <c r="J883"/>
  <c r="C884"/>
  <c r="AV808" i="49"/>
  <c r="BA807"/>
  <c r="BD806" s="1"/>
  <c r="AW807"/>
  <c r="G880" i="41"/>
  <c r="F881"/>
  <c r="G892" i="40"/>
  <c r="D895"/>
  <c r="E895" s="1"/>
  <c r="J895"/>
  <c r="C896"/>
  <c r="G881" i="41" l="1"/>
  <c r="D896" i="40"/>
  <c r="E896" s="1"/>
  <c r="J896"/>
  <c r="C897"/>
  <c r="BA808" i="49"/>
  <c r="AV809"/>
  <c r="AW808"/>
  <c r="F882" i="41"/>
  <c r="D884"/>
  <c r="E884" s="1"/>
  <c r="J884"/>
  <c r="C885"/>
  <c r="G893" i="40"/>
  <c r="F894"/>
  <c r="BD807" i="49"/>
  <c r="J897" i="40" l="1"/>
  <c r="D897"/>
  <c r="E897" s="1"/>
  <c r="C898"/>
  <c r="G882" i="41"/>
  <c r="F895" i="40"/>
  <c r="G894"/>
  <c r="D885" i="41"/>
  <c r="E885" s="1"/>
  <c r="J885"/>
  <c r="C886"/>
  <c r="F883"/>
  <c r="AV810" i="49"/>
  <c r="BA809"/>
  <c r="BD808" s="1"/>
  <c r="AW809"/>
  <c r="G883" i="41" l="1"/>
  <c r="F896" i="40"/>
  <c r="BA810" i="49"/>
  <c r="BD809" s="1"/>
  <c r="AV811"/>
  <c r="AW810"/>
  <c r="G895" i="40"/>
  <c r="D898"/>
  <c r="E898" s="1"/>
  <c r="J898"/>
  <c r="C899"/>
  <c r="F884" i="41"/>
  <c r="D886"/>
  <c r="E886" s="1"/>
  <c r="J886"/>
  <c r="C887"/>
  <c r="D887" l="1"/>
  <c r="E887" s="1"/>
  <c r="J887"/>
  <c r="C888"/>
  <c r="G884"/>
  <c r="F897" i="40"/>
  <c r="AV812" i="49"/>
  <c r="BA811"/>
  <c r="BD810" s="1"/>
  <c r="AW811"/>
  <c r="D899" i="40"/>
  <c r="E899" s="1"/>
  <c r="J899"/>
  <c r="C900"/>
  <c r="F885" i="41"/>
  <c r="G896" i="40"/>
  <c r="D900" l="1"/>
  <c r="E900" s="1"/>
  <c r="J900"/>
  <c r="C901"/>
  <c r="G897"/>
  <c r="D888" i="41"/>
  <c r="E888" s="1"/>
  <c r="J888"/>
  <c r="C889"/>
  <c r="F886"/>
  <c r="G885"/>
  <c r="F898" i="40"/>
  <c r="BA812" i="49"/>
  <c r="BD811" s="1"/>
  <c r="AV813"/>
  <c r="AW812"/>
  <c r="F887" i="41" l="1"/>
  <c r="G898" i="40"/>
  <c r="G886" i="41"/>
  <c r="J901" i="40"/>
  <c r="D901"/>
  <c r="E901" s="1"/>
  <c r="C902"/>
  <c r="F899"/>
  <c r="AV814" i="49"/>
  <c r="BA813"/>
  <c r="BD812" s="1"/>
  <c r="AW813"/>
  <c r="D889" i="41"/>
  <c r="E889" s="1"/>
  <c r="J889"/>
  <c r="C890"/>
  <c r="D902" i="40" l="1"/>
  <c r="E902" s="1"/>
  <c r="J902"/>
  <c r="C903"/>
  <c r="D890" i="41"/>
  <c r="E890" s="1"/>
  <c r="J890"/>
  <c r="C891"/>
  <c r="G887"/>
  <c r="G899" i="40"/>
  <c r="F888" i="41"/>
  <c r="BA814" i="49"/>
  <c r="BD813" s="1"/>
  <c r="AV815"/>
  <c r="AW814"/>
  <c r="F900" i="40"/>
  <c r="BD814" i="49" l="1"/>
  <c r="F901" i="40"/>
  <c r="D891" i="41"/>
  <c r="E891" s="1"/>
  <c r="J891"/>
  <c r="C892"/>
  <c r="G900" i="40"/>
  <c r="D903"/>
  <c r="E903" s="1"/>
  <c r="J903"/>
  <c r="C904"/>
  <c r="G888" i="41"/>
  <c r="AV816" i="49"/>
  <c r="BA815"/>
  <c r="AW815"/>
  <c r="F889" i="41"/>
  <c r="D892" l="1"/>
  <c r="E892" s="1"/>
  <c r="J892"/>
  <c r="C893"/>
  <c r="G889"/>
  <c r="D904" i="40"/>
  <c r="E904" s="1"/>
  <c r="J904"/>
  <c r="C905"/>
  <c r="G901"/>
  <c r="F902"/>
  <c r="BA816" i="49"/>
  <c r="BD815" s="1"/>
  <c r="AV817"/>
  <c r="AW816"/>
  <c r="F890" i="41"/>
  <c r="F903" i="40" l="1"/>
  <c r="AV818" i="49"/>
  <c r="BA817"/>
  <c r="BD816" s="1"/>
  <c r="AW817"/>
  <c r="D893" i="41"/>
  <c r="E893" s="1"/>
  <c r="J893"/>
  <c r="C894"/>
  <c r="F891"/>
  <c r="G890"/>
  <c r="G902" i="40"/>
  <c r="J905"/>
  <c r="D905"/>
  <c r="E905" s="1"/>
  <c r="C906"/>
  <c r="F904" l="1"/>
  <c r="D894" i="41"/>
  <c r="E894" s="1"/>
  <c r="J894"/>
  <c r="C895"/>
  <c r="G903" i="40"/>
  <c r="F892" i="41"/>
  <c r="BA818" i="49"/>
  <c r="BD817" s="1"/>
  <c r="AV819"/>
  <c r="AW818"/>
  <c r="D906" i="40"/>
  <c r="E906" s="1"/>
  <c r="J906"/>
  <c r="C907"/>
  <c r="G891" i="41"/>
  <c r="F905" i="40" l="1"/>
  <c r="G904"/>
  <c r="F893" i="41"/>
  <c r="G892"/>
  <c r="D895"/>
  <c r="E895" s="1"/>
  <c r="J895"/>
  <c r="C896"/>
  <c r="D907" i="40"/>
  <c r="E907" s="1"/>
  <c r="J907"/>
  <c r="C908"/>
  <c r="AV820" i="49"/>
  <c r="BA819"/>
  <c r="BD818" s="1"/>
  <c r="AW819"/>
  <c r="F894" i="41" l="1"/>
  <c r="D908" i="40"/>
  <c r="E908" s="1"/>
  <c r="J908"/>
  <c r="C909"/>
  <c r="G893" i="41"/>
  <c r="G905" i="40"/>
  <c r="BA820" i="49"/>
  <c r="BD819" s="1"/>
  <c r="AV821"/>
  <c r="AW820"/>
  <c r="D896" i="41"/>
  <c r="E896" s="1"/>
  <c r="J896"/>
  <c r="C897"/>
  <c r="F906" i="40"/>
  <c r="D909" l="1"/>
  <c r="E909" s="1"/>
  <c r="J909"/>
  <c r="C910"/>
  <c r="G906"/>
  <c r="F907"/>
  <c r="F895" i="41"/>
  <c r="G894"/>
  <c r="D897"/>
  <c r="E897" s="1"/>
  <c r="J897"/>
  <c r="C898"/>
  <c r="AV822" i="49"/>
  <c r="BA821"/>
  <c r="BD820" s="1"/>
  <c r="AW821"/>
  <c r="F908" i="40" l="1"/>
  <c r="D898" i="41"/>
  <c r="E898" s="1"/>
  <c r="J898"/>
  <c r="C899"/>
  <c r="BA822" i="49"/>
  <c r="BD821" s="1"/>
  <c r="AV823"/>
  <c r="AW822"/>
  <c r="G907" i="40"/>
  <c r="D910"/>
  <c r="E910" s="1"/>
  <c r="J910"/>
  <c r="C911"/>
  <c r="G895" i="41"/>
  <c r="F896"/>
  <c r="D899" l="1"/>
  <c r="E899" s="1"/>
  <c r="J899"/>
  <c r="C900"/>
  <c r="G896"/>
  <c r="F897"/>
  <c r="D911" i="40"/>
  <c r="E911" s="1"/>
  <c r="J911"/>
  <c r="C912"/>
  <c r="G908"/>
  <c r="F909"/>
  <c r="AV824" i="49"/>
  <c r="BA823"/>
  <c r="BD822" s="1"/>
  <c r="AW823"/>
  <c r="F898" i="41" l="1"/>
  <c r="G909" i="40"/>
  <c r="D912"/>
  <c r="E912" s="1"/>
  <c r="J912"/>
  <c r="C913"/>
  <c r="BA824" i="49"/>
  <c r="BD823" s="1"/>
  <c r="AV825"/>
  <c r="AW824"/>
  <c r="G897" i="41"/>
  <c r="D900"/>
  <c r="E900" s="1"/>
  <c r="J900"/>
  <c r="C901"/>
  <c r="F910" i="40"/>
  <c r="F911" l="1"/>
  <c r="G910"/>
  <c r="G898" i="41"/>
  <c r="J913" i="40"/>
  <c r="D913"/>
  <c r="E913" s="1"/>
  <c r="C914"/>
  <c r="F899" i="41"/>
  <c r="AV826" i="49"/>
  <c r="BA825"/>
  <c r="BD824" s="1"/>
  <c r="AW825"/>
  <c r="D901" i="41"/>
  <c r="E901" s="1"/>
  <c r="J901"/>
  <c r="C902"/>
  <c r="D914" i="40" l="1"/>
  <c r="E914" s="1"/>
  <c r="J914"/>
  <c r="C915"/>
  <c r="D902" i="41"/>
  <c r="E902" s="1"/>
  <c r="J902"/>
  <c r="C903"/>
  <c r="G911" i="40"/>
  <c r="G899" i="41"/>
  <c r="F900"/>
  <c r="BA826" i="49"/>
  <c r="BD825" s="1"/>
  <c r="AV827"/>
  <c r="AW826"/>
  <c r="F912" i="40"/>
  <c r="BD826" i="49" l="1"/>
  <c r="G900" i="41"/>
  <c r="D903"/>
  <c r="E903" s="1"/>
  <c r="J903"/>
  <c r="C904"/>
  <c r="G912" i="40"/>
  <c r="D915"/>
  <c r="E915" s="1"/>
  <c r="J915"/>
  <c r="C916"/>
  <c r="F913"/>
  <c r="AV828" i="49"/>
  <c r="BA827"/>
  <c r="AW827"/>
  <c r="F901" i="41"/>
  <c r="F914" i="40" l="1"/>
  <c r="BA828" i="49"/>
  <c r="BD827" s="1"/>
  <c r="AV829"/>
  <c r="AW828"/>
  <c r="D904" i="41"/>
  <c r="E904" s="1"/>
  <c r="J904"/>
  <c r="C905"/>
  <c r="G901"/>
  <c r="D916" i="40"/>
  <c r="E916" s="1"/>
  <c r="J916"/>
  <c r="C917"/>
  <c r="G913"/>
  <c r="F902" i="41"/>
  <c r="AV830" i="49" l="1"/>
  <c r="BA829"/>
  <c r="BD828" s="1"/>
  <c r="AW829"/>
  <c r="G902" i="41"/>
  <c r="J917" i="40"/>
  <c r="D917"/>
  <c r="E917" s="1"/>
  <c r="C918"/>
  <c r="G914"/>
  <c r="F903" i="41"/>
  <c r="D905"/>
  <c r="E905" s="1"/>
  <c r="J905"/>
  <c r="C906"/>
  <c r="F915" i="40"/>
  <c r="BD829" i="49" l="1"/>
  <c r="G903" i="41"/>
  <c r="G915" i="40"/>
  <c r="F904" i="41"/>
  <c r="D906"/>
  <c r="E906" s="1"/>
  <c r="J906"/>
  <c r="C907"/>
  <c r="D918" i="40"/>
  <c r="E918" s="1"/>
  <c r="J918"/>
  <c r="C919"/>
  <c r="BA830" i="49"/>
  <c r="AV831"/>
  <c r="AW830"/>
  <c r="F916" i="40"/>
  <c r="F917" l="1"/>
  <c r="G904" i="41"/>
  <c r="D919" i="40"/>
  <c r="E919" s="1"/>
  <c r="J919"/>
  <c r="C920"/>
  <c r="D907" i="41"/>
  <c r="E907" s="1"/>
  <c r="J907"/>
  <c r="C908"/>
  <c r="G916" i="40"/>
  <c r="AV832" i="49"/>
  <c r="BA831"/>
  <c r="BD830" s="1"/>
  <c r="AW831"/>
  <c r="F905" i="41"/>
  <c r="BD831" i="49" l="1"/>
  <c r="F918" i="40"/>
  <c r="G905" i="41"/>
  <c r="D908"/>
  <c r="E908" s="1"/>
  <c r="J908"/>
  <c r="C909"/>
  <c r="G917" i="40"/>
  <c r="D920"/>
  <c r="E920" s="1"/>
  <c r="J920"/>
  <c r="C921"/>
  <c r="BA832" i="49"/>
  <c r="AV833"/>
  <c r="AW832"/>
  <c r="F906" i="41"/>
  <c r="F907" l="1"/>
  <c r="F919" i="40"/>
  <c r="G918"/>
  <c r="J921"/>
  <c r="D921"/>
  <c r="E921" s="1"/>
  <c r="C922"/>
  <c r="G906" i="41"/>
  <c r="AV834" i="49"/>
  <c r="BA833"/>
  <c r="BD832" s="1"/>
  <c r="AW833"/>
  <c r="D909" i="41"/>
  <c r="E909" s="1"/>
  <c r="J909"/>
  <c r="C910"/>
  <c r="D922" i="40" l="1"/>
  <c r="E922" s="1"/>
  <c r="J922"/>
  <c r="C923"/>
  <c r="D910" i="41"/>
  <c r="E910" s="1"/>
  <c r="J910"/>
  <c r="C911"/>
  <c r="G907"/>
  <c r="F908"/>
  <c r="BA834" i="49"/>
  <c r="BD833" s="1"/>
  <c r="AV835"/>
  <c r="AW834"/>
  <c r="F920" i="40"/>
  <c r="G919"/>
  <c r="F921" l="1"/>
  <c r="AV836" i="49"/>
  <c r="BA835"/>
  <c r="AW835"/>
  <c r="D911" i="41"/>
  <c r="E911" s="1"/>
  <c r="J911"/>
  <c r="C912"/>
  <c r="G908"/>
  <c r="D923" i="40"/>
  <c r="E923" s="1"/>
  <c r="J923"/>
  <c r="C924"/>
  <c r="G920"/>
  <c r="F909" i="41"/>
  <c r="BD834" i="49"/>
  <c r="D912" i="41" l="1"/>
  <c r="E912" s="1"/>
  <c r="J912"/>
  <c r="C913"/>
  <c r="D924" i="40"/>
  <c r="E924" s="1"/>
  <c r="J924"/>
  <c r="C925"/>
  <c r="F910" i="41"/>
  <c r="BA836" i="49"/>
  <c r="BD835" s="1"/>
  <c r="AV837"/>
  <c r="AW836"/>
  <c r="G909" i="41"/>
  <c r="G921" i="40"/>
  <c r="F922"/>
  <c r="F911" i="41" l="1"/>
  <c r="G922" i="40"/>
  <c r="D925"/>
  <c r="E925" s="1"/>
  <c r="J925"/>
  <c r="C926"/>
  <c r="AV838" i="49"/>
  <c r="BA837"/>
  <c r="BD836" s="1"/>
  <c r="AW837"/>
  <c r="D913" i="41"/>
  <c r="E913" s="1"/>
  <c r="J913"/>
  <c r="C914"/>
  <c r="G910"/>
  <c r="F923" i="40"/>
  <c r="F924" l="1"/>
  <c r="D914" i="41"/>
  <c r="E914" s="1"/>
  <c r="J914"/>
  <c r="C915"/>
  <c r="G911"/>
  <c r="D926" i="40"/>
  <c r="E926" s="1"/>
  <c r="J926"/>
  <c r="C927"/>
  <c r="G923"/>
  <c r="F912" i="41"/>
  <c r="BA838" i="49"/>
  <c r="BD837" s="1"/>
  <c r="AV839"/>
  <c r="AW838"/>
  <c r="D927" i="40" l="1"/>
  <c r="E927" s="1"/>
  <c r="J927"/>
  <c r="C928"/>
  <c r="G912" i="41"/>
  <c r="F913"/>
  <c r="D915"/>
  <c r="E915" s="1"/>
  <c r="J915"/>
  <c r="C916"/>
  <c r="AV840" i="49"/>
  <c r="BA839"/>
  <c r="BD838" s="1"/>
  <c r="AW839"/>
  <c r="G924" i="40"/>
  <c r="F925"/>
  <c r="G925" l="1"/>
  <c r="D916" i="41"/>
  <c r="E916" s="1"/>
  <c r="J916"/>
  <c r="C917"/>
  <c r="BA840" i="49"/>
  <c r="BD839" s="1"/>
  <c r="AV841"/>
  <c r="AW840"/>
  <c r="G913" i="41"/>
  <c r="D928" i="40"/>
  <c r="E928" s="1"/>
  <c r="J928"/>
  <c r="C929"/>
  <c r="F926"/>
  <c r="F914" i="41"/>
  <c r="D917" l="1"/>
  <c r="E917" s="1"/>
  <c r="J917"/>
  <c r="C918"/>
  <c r="J929" i="40"/>
  <c r="D929"/>
  <c r="E929" s="1"/>
  <c r="C930"/>
  <c r="F915" i="41"/>
  <c r="G914"/>
  <c r="G926" i="40"/>
  <c r="F927"/>
  <c r="AV842" i="49"/>
  <c r="BA841"/>
  <c r="BD840" s="1"/>
  <c r="AW841"/>
  <c r="F916" i="41" l="1"/>
  <c r="G927" i="40"/>
  <c r="D930"/>
  <c r="E930" s="1"/>
  <c r="J930"/>
  <c r="C931"/>
  <c r="BA842" i="49"/>
  <c r="BD841" s="1"/>
  <c r="AV843"/>
  <c r="AW842"/>
  <c r="D918" i="41"/>
  <c r="E918" s="1"/>
  <c r="J918"/>
  <c r="C919"/>
  <c r="F928" i="40"/>
  <c r="G915" i="41"/>
  <c r="D919" l="1"/>
  <c r="E919" s="1"/>
  <c r="J919"/>
  <c r="C920"/>
  <c r="AV844" i="49"/>
  <c r="BA843"/>
  <c r="AW843"/>
  <c r="G916" i="41"/>
  <c r="D931" i="40"/>
  <c r="E931" s="1"/>
  <c r="J931"/>
  <c r="C932"/>
  <c r="F929"/>
  <c r="G928"/>
  <c r="F917" i="41"/>
  <c r="F930" i="40" l="1"/>
  <c r="D920" i="41"/>
  <c r="E920" s="1"/>
  <c r="J920"/>
  <c r="C921"/>
  <c r="BD842" i="49"/>
  <c r="F918" i="41"/>
  <c r="G917"/>
  <c r="G929" i="40"/>
  <c r="D932"/>
  <c r="E932" s="1"/>
  <c r="J932"/>
  <c r="C933"/>
  <c r="BA844" i="49"/>
  <c r="BD843" s="1"/>
  <c r="AV845"/>
  <c r="AW844"/>
  <c r="G918" i="41" l="1"/>
  <c r="F931" i="40"/>
  <c r="D921" i="41"/>
  <c r="E921" s="1"/>
  <c r="J921"/>
  <c r="C922"/>
  <c r="AV846" i="49"/>
  <c r="BA845"/>
  <c r="BD844" s="1"/>
  <c r="AW845"/>
  <c r="G930" i="40"/>
  <c r="J933"/>
  <c r="D933"/>
  <c r="E933" s="1"/>
  <c r="C934"/>
  <c r="F919" i="41"/>
  <c r="G919" l="1"/>
  <c r="D922"/>
  <c r="E922" s="1"/>
  <c r="J922"/>
  <c r="C923"/>
  <c r="BD845" i="49"/>
  <c r="F920" i="41"/>
  <c r="F932" i="40"/>
  <c r="D934"/>
  <c r="E934" s="1"/>
  <c r="J934"/>
  <c r="C935"/>
  <c r="BA846" i="49"/>
  <c r="AV847"/>
  <c r="AW846"/>
  <c r="G931" i="40"/>
  <c r="D935" l="1"/>
  <c r="E935" s="1"/>
  <c r="J935"/>
  <c r="C936"/>
  <c r="G932"/>
  <c r="F921" i="41"/>
  <c r="D923"/>
  <c r="E923" s="1"/>
  <c r="J923"/>
  <c r="C924"/>
  <c r="F933" i="40"/>
  <c r="AV848" i="49"/>
  <c r="BA847"/>
  <c r="BD846" s="1"/>
  <c r="AW847"/>
  <c r="G920" i="41"/>
  <c r="BA848" i="49" l="1"/>
  <c r="AV849"/>
  <c r="AW848"/>
  <c r="D924" i="41"/>
  <c r="E924" s="1"/>
  <c r="J924"/>
  <c r="C925"/>
  <c r="G921"/>
  <c r="D936" i="40"/>
  <c r="E936" s="1"/>
  <c r="J936"/>
  <c r="C937"/>
  <c r="BD847" i="49"/>
  <c r="F934" i="40"/>
  <c r="G933"/>
  <c r="F922" i="41"/>
  <c r="F935" i="40" l="1"/>
  <c r="G922" i="41"/>
  <c r="G934" i="40"/>
  <c r="D925" i="41"/>
  <c r="E925" s="1"/>
  <c r="J925"/>
  <c r="C926"/>
  <c r="AV850" i="49"/>
  <c r="BA849"/>
  <c r="BD848" s="1"/>
  <c r="AW849"/>
  <c r="F923" i="41"/>
  <c r="J937" i="40"/>
  <c r="D937"/>
  <c r="E937" s="1"/>
  <c r="C938"/>
  <c r="D938" l="1"/>
  <c r="E938" s="1"/>
  <c r="J938"/>
  <c r="C939"/>
  <c r="BA850" i="49"/>
  <c r="BD849" s="1"/>
  <c r="AV851"/>
  <c r="AW850"/>
  <c r="F924" i="41"/>
  <c r="F936" i="40"/>
  <c r="D926" i="41"/>
  <c r="E926" s="1"/>
  <c r="J926"/>
  <c r="C927"/>
  <c r="G935" i="40"/>
  <c r="G923" i="41"/>
  <c r="F937" i="40" l="1"/>
  <c r="D927" i="41"/>
  <c r="E927" s="1"/>
  <c r="J927"/>
  <c r="C928"/>
  <c r="AV852" i="49"/>
  <c r="BA851"/>
  <c r="AW851"/>
  <c r="G936" i="40"/>
  <c r="D939"/>
  <c r="E939" s="1"/>
  <c r="J939"/>
  <c r="C940"/>
  <c r="G924" i="41"/>
  <c r="F925"/>
  <c r="BD850" i="49"/>
  <c r="D940" i="40" l="1"/>
  <c r="E940" s="1"/>
  <c r="J940"/>
  <c r="C941"/>
  <c r="BA852" i="49"/>
  <c r="BD851" s="1"/>
  <c r="AV853"/>
  <c r="AW852"/>
  <c r="F926" i="41"/>
  <c r="D928"/>
  <c r="E928" s="1"/>
  <c r="J928"/>
  <c r="C929"/>
  <c r="G925"/>
  <c r="G937" i="40"/>
  <c r="F938"/>
  <c r="F927" i="41" l="1"/>
  <c r="D941" i="40"/>
  <c r="E941" s="1"/>
  <c r="J941"/>
  <c r="C942"/>
  <c r="G926" i="41"/>
  <c r="F939" i="40"/>
  <c r="G938"/>
  <c r="AV854" i="49"/>
  <c r="BA853"/>
  <c r="BD852" s="1"/>
  <c r="AW853"/>
  <c r="D929" i="41"/>
  <c r="E929" s="1"/>
  <c r="J929"/>
  <c r="C930"/>
  <c r="G939" i="40" l="1"/>
  <c r="D942"/>
  <c r="E942" s="1"/>
  <c r="J942"/>
  <c r="C943"/>
  <c r="G927" i="41"/>
  <c r="F940" i="40"/>
  <c r="D930" i="41"/>
  <c r="E930" s="1"/>
  <c r="J930"/>
  <c r="C931"/>
  <c r="F928"/>
  <c r="BA854" i="49"/>
  <c r="BD853" s="1"/>
  <c r="AV855"/>
  <c r="AW854"/>
  <c r="D931" i="41" l="1"/>
  <c r="E931" s="1"/>
  <c r="J931"/>
  <c r="C932"/>
  <c r="D943" i="40"/>
  <c r="E943" s="1"/>
  <c r="J943"/>
  <c r="C944"/>
  <c r="AV856" i="49"/>
  <c r="BA855"/>
  <c r="BD854" s="1"/>
  <c r="AW855"/>
  <c r="G928" i="41"/>
  <c r="F941" i="40"/>
  <c r="G940"/>
  <c r="F929" i="41"/>
  <c r="G929" l="1"/>
  <c r="G941" i="40"/>
  <c r="D944"/>
  <c r="E944" s="1"/>
  <c r="J944"/>
  <c r="C945"/>
  <c r="BA856" i="49"/>
  <c r="BD855" s="1"/>
  <c r="AV857"/>
  <c r="AW856"/>
  <c r="D932" i="41"/>
  <c r="E932" s="1"/>
  <c r="J932"/>
  <c r="C933"/>
  <c r="F930"/>
  <c r="F942" i="40"/>
  <c r="G942" l="1"/>
  <c r="D933" i="41"/>
  <c r="E933" s="1"/>
  <c r="J933"/>
  <c r="C934"/>
  <c r="AV858" i="49"/>
  <c r="BA857"/>
  <c r="AW857"/>
  <c r="J945" i="40"/>
  <c r="D945"/>
  <c r="E945" s="1"/>
  <c r="C946"/>
  <c r="F943"/>
  <c r="G930" i="41"/>
  <c r="F931"/>
  <c r="BD856" i="49"/>
  <c r="D934" i="41" l="1"/>
  <c r="E934" s="1"/>
  <c r="J934"/>
  <c r="C935"/>
  <c r="G931"/>
  <c r="BA858" i="49"/>
  <c r="AV859"/>
  <c r="AW858"/>
  <c r="F932" i="41"/>
  <c r="G943" i="40"/>
  <c r="F944"/>
  <c r="D946"/>
  <c r="E946" s="1"/>
  <c r="J946"/>
  <c r="C947"/>
  <c r="BD857" i="49"/>
  <c r="D947" i="40" l="1"/>
  <c r="E947" s="1"/>
  <c r="J947"/>
  <c r="C948"/>
  <c r="G944"/>
  <c r="G932" i="41"/>
  <c r="D935"/>
  <c r="E935" s="1"/>
  <c r="J935"/>
  <c r="C936"/>
  <c r="F933"/>
  <c r="F945" i="40"/>
  <c r="AV860" i="49"/>
  <c r="BA859"/>
  <c r="BD858" s="1"/>
  <c r="AW859"/>
  <c r="F946" i="40" l="1"/>
  <c r="G945"/>
  <c r="D936" i="41"/>
  <c r="E936" s="1"/>
  <c r="J936"/>
  <c r="C937"/>
  <c r="BA860" i="49"/>
  <c r="BD859" s="1"/>
  <c r="AV861"/>
  <c r="AW860"/>
  <c r="D948" i="40"/>
  <c r="E948" s="1"/>
  <c r="J948"/>
  <c r="C949"/>
  <c r="G933" i="41"/>
  <c r="F934"/>
  <c r="J949" i="40" l="1"/>
  <c r="D949"/>
  <c r="E949" s="1"/>
  <c r="C950"/>
  <c r="AV862" i="49"/>
  <c r="BA861"/>
  <c r="BD860" s="1"/>
  <c r="AW861"/>
  <c r="G946" i="40"/>
  <c r="D937" i="41"/>
  <c r="E937" s="1"/>
  <c r="J937"/>
  <c r="C938"/>
  <c r="F935"/>
  <c r="G934"/>
  <c r="F947" i="40"/>
  <c r="G947" l="1"/>
  <c r="F936" i="41"/>
  <c r="D950" i="40"/>
  <c r="E950" s="1"/>
  <c r="J950"/>
  <c r="C951"/>
  <c r="G935" i="41"/>
  <c r="F948" i="40"/>
  <c r="D938" i="41"/>
  <c r="E938" s="1"/>
  <c r="J938"/>
  <c r="C939"/>
  <c r="BA862" i="49"/>
  <c r="BD861" s="1"/>
  <c r="AV863"/>
  <c r="AW862"/>
  <c r="F937" i="41" l="1"/>
  <c r="D939"/>
  <c r="E939" s="1"/>
  <c r="J939"/>
  <c r="C940"/>
  <c r="D951" i="40"/>
  <c r="E951" s="1"/>
  <c r="J951"/>
  <c r="C952"/>
  <c r="F949"/>
  <c r="AV864" i="49"/>
  <c r="BA863"/>
  <c r="AW863"/>
  <c r="G948" i="40"/>
  <c r="G936" i="41"/>
  <c r="BD862" i="49"/>
  <c r="F950" i="40" l="1"/>
  <c r="F938" i="41"/>
  <c r="D940"/>
  <c r="E940" s="1"/>
  <c r="J940"/>
  <c r="C941"/>
  <c r="G949" i="40"/>
  <c r="G937" i="41"/>
  <c r="BA864" i="49"/>
  <c r="BD863" s="1"/>
  <c r="AV865"/>
  <c r="AW864"/>
  <c r="D952" i="40"/>
  <c r="E952" s="1"/>
  <c r="J952"/>
  <c r="C953"/>
  <c r="J953" l="1"/>
  <c r="D953"/>
  <c r="E953" s="1"/>
  <c r="C954"/>
  <c r="AV866" i="49"/>
  <c r="BA865"/>
  <c r="BD864" s="1"/>
  <c r="AW865"/>
  <c r="G950" i="40"/>
  <c r="D941" i="41"/>
  <c r="E941" s="1"/>
  <c r="J941"/>
  <c r="C942"/>
  <c r="F939"/>
  <c r="F951" i="40"/>
  <c r="G938" i="41"/>
  <c r="G939" l="1"/>
  <c r="F952" i="40"/>
  <c r="D954"/>
  <c r="E954" s="1"/>
  <c r="J954"/>
  <c r="C955"/>
  <c r="F940" i="41"/>
  <c r="G951" i="40"/>
  <c r="D942" i="41"/>
  <c r="E942" s="1"/>
  <c r="J942"/>
  <c r="C943"/>
  <c r="BA866" i="49"/>
  <c r="BD865" s="1"/>
  <c r="AV867"/>
  <c r="AW866"/>
  <c r="BD866" l="1"/>
  <c r="F953" i="40"/>
  <c r="D943" i="41"/>
  <c r="E943" s="1"/>
  <c r="J943"/>
  <c r="C944"/>
  <c r="D955" i="40"/>
  <c r="E955" s="1"/>
  <c r="J955"/>
  <c r="C956"/>
  <c r="AV868" i="49"/>
  <c r="BA867"/>
  <c r="AW867"/>
  <c r="G940" i="41"/>
  <c r="F941"/>
  <c r="G952" i="40"/>
  <c r="F954" l="1"/>
  <c r="G953"/>
  <c r="G941" i="41"/>
  <c r="D956" i="40"/>
  <c r="E956" s="1"/>
  <c r="J956"/>
  <c r="C957"/>
  <c r="BA868" i="49"/>
  <c r="AV869"/>
  <c r="AW868"/>
  <c r="D944" i="41"/>
  <c r="E944" s="1"/>
  <c r="J944"/>
  <c r="C945"/>
  <c r="F942"/>
  <c r="BD867" i="49"/>
  <c r="F943" i="41" l="1"/>
  <c r="F955" i="40"/>
  <c r="D957"/>
  <c r="E957" s="1"/>
  <c r="J957"/>
  <c r="C958"/>
  <c r="G942" i="41"/>
  <c r="G954" i="40"/>
  <c r="D945" i="41"/>
  <c r="E945" s="1"/>
  <c r="J945"/>
  <c r="C946"/>
  <c r="AV870" i="49"/>
  <c r="BA869"/>
  <c r="BD868" s="1"/>
  <c r="AW869"/>
  <c r="F956" i="40" l="1"/>
  <c r="D946" i="41"/>
  <c r="E946" s="1"/>
  <c r="J946"/>
  <c r="C947"/>
  <c r="G943"/>
  <c r="BA870" i="49"/>
  <c r="BD869" s="1"/>
  <c r="AV871"/>
  <c r="AW870"/>
  <c r="D958" i="40"/>
  <c r="E958" s="1"/>
  <c r="J958"/>
  <c r="C959"/>
  <c r="F944" i="41"/>
  <c r="G955" i="40"/>
  <c r="D947" i="41" l="1"/>
  <c r="E947" s="1"/>
  <c r="J947"/>
  <c r="C948"/>
  <c r="D959" i="40"/>
  <c r="E959" s="1"/>
  <c r="J959"/>
  <c r="C960"/>
  <c r="F945" i="41"/>
  <c r="AV872" i="49"/>
  <c r="BA871"/>
  <c r="BD870" s="1"/>
  <c r="AW871"/>
  <c r="G956" i="40"/>
  <c r="G944" i="41"/>
  <c r="F957" i="40"/>
  <c r="F946" i="41" l="1"/>
  <c r="G957" i="40"/>
  <c r="D960"/>
  <c r="E960" s="1"/>
  <c r="J960"/>
  <c r="C961"/>
  <c r="D948" i="41"/>
  <c r="E948" s="1"/>
  <c r="J948"/>
  <c r="C949"/>
  <c r="BA872" i="49"/>
  <c r="BD871" s="1"/>
  <c r="AV873"/>
  <c r="AW872"/>
  <c r="G945" i="41"/>
  <c r="F958" i="40"/>
  <c r="F959" l="1"/>
  <c r="D949" i="41"/>
  <c r="E949" s="1"/>
  <c r="J949"/>
  <c r="C950"/>
  <c r="G946"/>
  <c r="F947"/>
  <c r="AV874" i="49"/>
  <c r="BA873"/>
  <c r="AW873"/>
  <c r="G958" i="40"/>
  <c r="J961"/>
  <c r="D961"/>
  <c r="E961" s="1"/>
  <c r="C962"/>
  <c r="BD872" i="49"/>
  <c r="F960" i="40" l="1"/>
  <c r="G947" i="41"/>
  <c r="D950"/>
  <c r="E950" s="1"/>
  <c r="J950"/>
  <c r="C951"/>
  <c r="D962" i="40"/>
  <c r="E962" s="1"/>
  <c r="J962"/>
  <c r="C963"/>
  <c r="BA874" i="49"/>
  <c r="BD873" s="1"/>
  <c r="AV875"/>
  <c r="AW874"/>
  <c r="F948" i="41"/>
  <c r="G959" i="40"/>
  <c r="F949" i="41" l="1"/>
  <c r="D963" i="40"/>
  <c r="E963" s="1"/>
  <c r="J963"/>
  <c r="C964"/>
  <c r="G960"/>
  <c r="D951" i="41"/>
  <c r="E951" s="1"/>
  <c r="J951"/>
  <c r="C952"/>
  <c r="AV876" i="49"/>
  <c r="BA875"/>
  <c r="AW875"/>
  <c r="G948" i="41"/>
  <c r="F961" i="40"/>
  <c r="BD875" i="49" l="1"/>
  <c r="D964" i="40"/>
  <c r="E964" s="1"/>
  <c r="J964"/>
  <c r="C965"/>
  <c r="G961"/>
  <c r="D952" i="41"/>
  <c r="E952" s="1"/>
  <c r="J952"/>
  <c r="C953"/>
  <c r="G949"/>
  <c r="BD874" i="49"/>
  <c r="F950" i="41"/>
  <c r="BA876" i="49"/>
  <c r="AV877"/>
  <c r="AW876"/>
  <c r="F962" i="40"/>
  <c r="F963" l="1"/>
  <c r="F951" i="41"/>
  <c r="AV878" i="49"/>
  <c r="BA877"/>
  <c r="BD876" s="1"/>
  <c r="AW877"/>
  <c r="D953" i="41"/>
  <c r="E953" s="1"/>
  <c r="J953"/>
  <c r="C954"/>
  <c r="G950"/>
  <c r="G962" i="40"/>
  <c r="J965"/>
  <c r="D965"/>
  <c r="E965" s="1"/>
  <c r="C966"/>
  <c r="BD877" i="49" l="1"/>
  <c r="F964" i="40"/>
  <c r="G963"/>
  <c r="D954" i="41"/>
  <c r="E954" s="1"/>
  <c r="J954"/>
  <c r="C955"/>
  <c r="F952"/>
  <c r="BA878" i="49"/>
  <c r="AV879"/>
  <c r="AW878"/>
  <c r="D966" i="40"/>
  <c r="E966" s="1"/>
  <c r="J966"/>
  <c r="C967"/>
  <c r="G951" i="41"/>
  <c r="D967" i="40" l="1"/>
  <c r="E967" s="1"/>
  <c r="J967"/>
  <c r="C968"/>
  <c r="AV880" i="49"/>
  <c r="BA879"/>
  <c r="AW879"/>
  <c r="G952" i="41"/>
  <c r="F965" i="40"/>
  <c r="G964"/>
  <c r="F953" i="41"/>
  <c r="D955"/>
  <c r="E955" s="1"/>
  <c r="J955"/>
  <c r="C956"/>
  <c r="F954" l="1"/>
  <c r="G965" i="40"/>
  <c r="D968"/>
  <c r="E968" s="1"/>
  <c r="J968"/>
  <c r="C969"/>
  <c r="F966"/>
  <c r="D956" i="41"/>
  <c r="E956" s="1"/>
  <c r="J956"/>
  <c r="C957"/>
  <c r="G953"/>
  <c r="BA880" i="49"/>
  <c r="BD879" s="1"/>
  <c r="AV881"/>
  <c r="AW880"/>
  <c r="BD878"/>
  <c r="D957" i="41" l="1"/>
  <c r="E957" s="1"/>
  <c r="J957"/>
  <c r="C958"/>
  <c r="AV882" i="49"/>
  <c r="BA881"/>
  <c r="BD880" s="1"/>
  <c r="AW881"/>
  <c r="G966" i="40"/>
  <c r="F955" i="41"/>
  <c r="G954"/>
  <c r="F967" i="40"/>
  <c r="J969"/>
  <c r="D969"/>
  <c r="E969" s="1"/>
  <c r="C970"/>
  <c r="F968" l="1"/>
  <c r="G967"/>
  <c r="D958" i="41"/>
  <c r="E958" s="1"/>
  <c r="J958"/>
  <c r="C959"/>
  <c r="F956"/>
  <c r="D970" i="40"/>
  <c r="E970" s="1"/>
  <c r="J970"/>
  <c r="C971"/>
  <c r="G955" i="41"/>
  <c r="BA882" i="49"/>
  <c r="BD881" s="1"/>
  <c r="AV883"/>
  <c r="AW882"/>
  <c r="F957" i="41" l="1"/>
  <c r="AV884" i="49"/>
  <c r="BA883"/>
  <c r="AW883"/>
  <c r="F969" i="40"/>
  <c r="D959" i="41"/>
  <c r="E959" s="1"/>
  <c r="J959"/>
  <c r="C960"/>
  <c r="D971" i="40"/>
  <c r="E971" s="1"/>
  <c r="J971"/>
  <c r="C972"/>
  <c r="G956" i="41"/>
  <c r="G968" i="40"/>
  <c r="BD882" i="49"/>
  <c r="F958" i="41" l="1"/>
  <c r="D972" i="40"/>
  <c r="E972" s="1"/>
  <c r="J972"/>
  <c r="C973"/>
  <c r="G957" i="41"/>
  <c r="D960"/>
  <c r="E960" s="1"/>
  <c r="J960"/>
  <c r="C961"/>
  <c r="BA884" i="49"/>
  <c r="BD883" s="1"/>
  <c r="AV885"/>
  <c r="AW884"/>
  <c r="F970" i="40"/>
  <c r="G969"/>
  <c r="D973" l="1"/>
  <c r="E973" s="1"/>
  <c r="J973"/>
  <c r="C974"/>
  <c r="D961" i="41"/>
  <c r="E961" s="1"/>
  <c r="J961"/>
  <c r="C962"/>
  <c r="G958"/>
  <c r="F971" i="40"/>
  <c r="AV886" i="49"/>
  <c r="BA885"/>
  <c r="AW885"/>
  <c r="G970" i="40"/>
  <c r="F959" i="41"/>
  <c r="BD885" i="49" l="1"/>
  <c r="F972" i="40"/>
  <c r="G959" i="41"/>
  <c r="G971" i="40"/>
  <c r="D962" i="41"/>
  <c r="E962" s="1"/>
  <c r="J962"/>
  <c r="C963"/>
  <c r="F960"/>
  <c r="BA886" i="49"/>
  <c r="AV887"/>
  <c r="AW886"/>
  <c r="D974" i="40"/>
  <c r="E974" s="1"/>
  <c r="J974"/>
  <c r="C975"/>
  <c r="BD884" i="49"/>
  <c r="F973" i="40" l="1"/>
  <c r="D963" i="41"/>
  <c r="E963" s="1"/>
  <c r="J963"/>
  <c r="C964"/>
  <c r="D975" i="40"/>
  <c r="E975" s="1"/>
  <c r="J975"/>
  <c r="C976"/>
  <c r="AV888" i="49"/>
  <c r="BA887"/>
  <c r="BD886" s="1"/>
  <c r="AW887"/>
  <c r="G972" i="40"/>
  <c r="G960" i="41"/>
  <c r="F961"/>
  <c r="F974" i="40" l="1"/>
  <c r="F962" i="41"/>
  <c r="BA888" i="49"/>
  <c r="BD887" s="1"/>
  <c r="AV889"/>
  <c r="AW888"/>
  <c r="D964" i="41"/>
  <c r="E964" s="1"/>
  <c r="J964"/>
  <c r="C965"/>
  <c r="G961"/>
  <c r="G973" i="40"/>
  <c r="D976"/>
  <c r="E976" s="1"/>
  <c r="J976"/>
  <c r="C977"/>
  <c r="F963" i="41" l="1"/>
  <c r="J977" i="40"/>
  <c r="D977"/>
  <c r="E977" s="1"/>
  <c r="C978"/>
  <c r="G974"/>
  <c r="D965" i="41"/>
  <c r="E965" s="1"/>
  <c r="J965"/>
  <c r="C966"/>
  <c r="AV890" i="49"/>
  <c r="BA889"/>
  <c r="BD888" s="1"/>
  <c r="AW889"/>
  <c r="F975" i="40"/>
  <c r="G962" i="41"/>
  <c r="D978" i="40" l="1"/>
  <c r="E978" s="1"/>
  <c r="J978"/>
  <c r="C979"/>
  <c r="D966" i="41"/>
  <c r="E966" s="1"/>
  <c r="J966"/>
  <c r="C967"/>
  <c r="G963"/>
  <c r="BA890" i="49"/>
  <c r="AV891"/>
  <c r="AW890"/>
  <c r="BD889"/>
  <c r="G975" i="40"/>
  <c r="F964" i="41"/>
  <c r="F976" i="40"/>
  <c r="F977" l="1"/>
  <c r="D967" i="41"/>
  <c r="E967" s="1"/>
  <c r="J967"/>
  <c r="C968"/>
  <c r="G976" i="40"/>
  <c r="AV892" i="49"/>
  <c r="BA891"/>
  <c r="BD890" s="1"/>
  <c r="AW891"/>
  <c r="D979" i="40"/>
  <c r="E979" s="1"/>
  <c r="J979"/>
  <c r="C980"/>
  <c r="G964" i="41"/>
  <c r="F965"/>
  <c r="D968" l="1"/>
  <c r="E968" s="1"/>
  <c r="J968"/>
  <c r="C969"/>
  <c r="G965"/>
  <c r="D980" i="40"/>
  <c r="E980" s="1"/>
  <c r="J980"/>
  <c r="C981"/>
  <c r="F966" i="41"/>
  <c r="G977" i="40"/>
  <c r="F978"/>
  <c r="BA892" i="49"/>
  <c r="BD891" s="1"/>
  <c r="AV893"/>
  <c r="AW892"/>
  <c r="AV894" l="1"/>
  <c r="BA893"/>
  <c r="AW893"/>
  <c r="F979" i="40"/>
  <c r="D969" i="41"/>
  <c r="E969" s="1"/>
  <c r="J969"/>
  <c r="C970"/>
  <c r="BD892" i="49"/>
  <c r="F967" i="41"/>
  <c r="G978" i="40"/>
  <c r="G966" i="41"/>
  <c r="J981" i="40"/>
  <c r="D981"/>
  <c r="E981" s="1"/>
  <c r="C982"/>
  <c r="BD893" i="49" l="1"/>
  <c r="F980" i="40"/>
  <c r="F968" i="41"/>
  <c r="J970"/>
  <c r="D970"/>
  <c r="E970" s="1"/>
  <c r="C971"/>
  <c r="BA894" i="49"/>
  <c r="AV895"/>
  <c r="AW894"/>
  <c r="G979" i="40"/>
  <c r="D982"/>
  <c r="E982" s="1"/>
  <c r="J982"/>
  <c r="C983"/>
  <c r="G967" i="41"/>
  <c r="D983" i="40" l="1"/>
  <c r="E983" s="1"/>
  <c r="J983"/>
  <c r="C984"/>
  <c r="G968" i="41"/>
  <c r="F969"/>
  <c r="G980" i="40"/>
  <c r="F981"/>
  <c r="AV896" i="49"/>
  <c r="BA895"/>
  <c r="BD894" s="1"/>
  <c r="AW895"/>
  <c r="D971" i="41"/>
  <c r="E971" s="1"/>
  <c r="J971"/>
  <c r="C972"/>
  <c r="D972" l="1"/>
  <c r="E972" s="1"/>
  <c r="J972"/>
  <c r="C973"/>
  <c r="G981" i="40"/>
  <c r="G969" i="41"/>
  <c r="D984" i="40"/>
  <c r="E984" s="1"/>
  <c r="J984"/>
  <c r="C985"/>
  <c r="F982"/>
  <c r="F970" i="41"/>
  <c r="BA896" i="49"/>
  <c r="BD895" s="1"/>
  <c r="AV897"/>
  <c r="AW896"/>
  <c r="F971" i="41" l="1"/>
  <c r="G970"/>
  <c r="J985" i="40"/>
  <c r="D985"/>
  <c r="E985" s="1"/>
  <c r="C986"/>
  <c r="D973" i="41"/>
  <c r="E973" s="1"/>
  <c r="J973"/>
  <c r="C974"/>
  <c r="AV898" i="49"/>
  <c r="BA897"/>
  <c r="AW897"/>
  <c r="G982" i="40"/>
  <c r="F983"/>
  <c r="BD897" i="49" l="1"/>
  <c r="F972" i="41"/>
  <c r="F984" i="40"/>
  <c r="G971" i="41"/>
  <c r="BD896" i="49"/>
  <c r="G983" i="40"/>
  <c r="D974" i="41"/>
  <c r="E974" s="1"/>
  <c r="J974"/>
  <c r="C975"/>
  <c r="BA898" i="49"/>
  <c r="AV899"/>
  <c r="AW898"/>
  <c r="D986" i="40"/>
  <c r="E986" s="1"/>
  <c r="J986"/>
  <c r="C987"/>
  <c r="F985" l="1"/>
  <c r="F973" i="41"/>
  <c r="G972"/>
  <c r="D975"/>
  <c r="E975" s="1"/>
  <c r="J975"/>
  <c r="C976"/>
  <c r="G984" i="40"/>
  <c r="D987"/>
  <c r="E987" s="1"/>
  <c r="J987"/>
  <c r="C988"/>
  <c r="AV900" i="49"/>
  <c r="BA899"/>
  <c r="BD898" s="1"/>
  <c r="AW899"/>
  <c r="D976" i="41" l="1"/>
  <c r="E976" s="1"/>
  <c r="J976"/>
  <c r="C977"/>
  <c r="D988" i="40"/>
  <c r="E988" s="1"/>
  <c r="J988"/>
  <c r="C989"/>
  <c r="BA900" i="49"/>
  <c r="BD899" s="1"/>
  <c r="AV901"/>
  <c r="AW900"/>
  <c r="F974" i="41"/>
  <c r="G985" i="40"/>
  <c r="F986"/>
  <c r="G973" i="41"/>
  <c r="BD900" i="49" l="1"/>
  <c r="F975" i="41"/>
  <c r="D989" i="40"/>
  <c r="E989" s="1"/>
  <c r="J989"/>
  <c r="C990"/>
  <c r="D977" i="41"/>
  <c r="E977" s="1"/>
  <c r="J977"/>
  <c r="C978"/>
  <c r="AV902" i="49"/>
  <c r="BA901"/>
  <c r="AW901"/>
  <c r="G986" i="40"/>
  <c r="G974" i="41"/>
  <c r="F987" i="40"/>
  <c r="D990" l="1"/>
  <c r="E990" s="1"/>
  <c r="J990"/>
  <c r="C991"/>
  <c r="G987"/>
  <c r="F976" i="41"/>
  <c r="G975"/>
  <c r="D978"/>
  <c r="E978" s="1"/>
  <c r="J978"/>
  <c r="C979"/>
  <c r="BA902" i="49"/>
  <c r="BD901" s="1"/>
  <c r="AV903"/>
  <c r="AW902"/>
  <c r="F988" i="40"/>
  <c r="F989" l="1"/>
  <c r="G988"/>
  <c r="AV904" i="49"/>
  <c r="BA903"/>
  <c r="BD902" s="1"/>
  <c r="AW903"/>
  <c r="G976" i="41"/>
  <c r="D991" i="40"/>
  <c r="E991" s="1"/>
  <c r="J991"/>
  <c r="C992"/>
  <c r="F977" i="41"/>
  <c r="D979"/>
  <c r="E979" s="1"/>
  <c r="J979"/>
  <c r="C980"/>
  <c r="BA904" i="49" l="1"/>
  <c r="AV905"/>
  <c r="AW904"/>
  <c r="G977" i="41"/>
  <c r="F990" i="40"/>
  <c r="BD903" i="49"/>
  <c r="D992" i="40"/>
  <c r="E992" s="1"/>
  <c r="J992"/>
  <c r="C993"/>
  <c r="D980" i="41"/>
  <c r="E980" s="1"/>
  <c r="J980"/>
  <c r="C981"/>
  <c r="G989" i="40"/>
  <c r="F978" i="41"/>
  <c r="F979" l="1"/>
  <c r="G978"/>
  <c r="D981"/>
  <c r="E981" s="1"/>
  <c r="J981"/>
  <c r="C982"/>
  <c r="AV906" i="49"/>
  <c r="BA905"/>
  <c r="BD904" s="1"/>
  <c r="AW905"/>
  <c r="F991" i="40"/>
  <c r="J993"/>
  <c r="D993"/>
  <c r="E993" s="1"/>
  <c r="C994"/>
  <c r="G990"/>
  <c r="F980" i="41" l="1"/>
  <c r="F992" i="40"/>
  <c r="D982" i="41"/>
  <c r="E982" s="1"/>
  <c r="J982"/>
  <c r="C983"/>
  <c r="G991" i="40"/>
  <c r="G979" i="41"/>
  <c r="D994" i="40"/>
  <c r="E994" s="1"/>
  <c r="J994"/>
  <c r="C995"/>
  <c r="BA906" i="49"/>
  <c r="BD905" s="1"/>
  <c r="AV907"/>
  <c r="AW906"/>
  <c r="AV908" l="1"/>
  <c r="BA907"/>
  <c r="AW907"/>
  <c r="D995" i="40"/>
  <c r="E995" s="1"/>
  <c r="J995"/>
  <c r="C996"/>
  <c r="G980" i="41"/>
  <c r="D983"/>
  <c r="E983" s="1"/>
  <c r="J983"/>
  <c r="C984"/>
  <c r="BD906" i="49"/>
  <c r="F981" i="41"/>
  <c r="F993" i="40"/>
  <c r="G992"/>
  <c r="F994" l="1"/>
  <c r="BA908" i="49"/>
  <c r="AV909"/>
  <c r="AW908"/>
  <c r="G981" i="41"/>
  <c r="D996" i="40"/>
  <c r="E996" s="1"/>
  <c r="J996"/>
  <c r="C997"/>
  <c r="BD907" i="49"/>
  <c r="G993" i="40"/>
  <c r="F982" i="41"/>
  <c r="D984"/>
  <c r="E984" s="1"/>
  <c r="J984"/>
  <c r="C985"/>
  <c r="BD908" i="49" l="1"/>
  <c r="F983" i="41"/>
  <c r="G994" i="40"/>
  <c r="D985" i="41"/>
  <c r="E985" s="1"/>
  <c r="J985"/>
  <c r="C986"/>
  <c r="J997" i="40"/>
  <c r="D997"/>
  <c r="E997" s="1"/>
  <c r="C998"/>
  <c r="F995"/>
  <c r="AV910" i="49"/>
  <c r="BA909"/>
  <c r="AW909"/>
  <c r="G982" i="41"/>
  <c r="BA910" i="49" l="1"/>
  <c r="BD909" s="1"/>
  <c r="AV911"/>
  <c r="AW910"/>
  <c r="F984" i="41"/>
  <c r="D998" i="40"/>
  <c r="E998" s="1"/>
  <c r="J998"/>
  <c r="C999"/>
  <c r="G983" i="41"/>
  <c r="G995" i="40"/>
  <c r="F996"/>
  <c r="J986" i="41"/>
  <c r="D986"/>
  <c r="E986" s="1"/>
  <c r="C987"/>
  <c r="F985" l="1"/>
  <c r="D987"/>
  <c r="E987" s="1"/>
  <c r="J987"/>
  <c r="C988"/>
  <c r="F997" i="40"/>
  <c r="AV912" i="49"/>
  <c r="BA911"/>
  <c r="BD910" s="1"/>
  <c r="AW911"/>
  <c r="D999" i="40"/>
  <c r="E999" s="1"/>
  <c r="J999"/>
  <c r="C1000"/>
  <c r="G984" i="41"/>
  <c r="G996" i="40"/>
  <c r="D988" i="41" l="1"/>
  <c r="E988" s="1"/>
  <c r="J988"/>
  <c r="C989"/>
  <c r="G985"/>
  <c r="G997" i="40"/>
  <c r="F986" i="41"/>
  <c r="D1000" i="40"/>
  <c r="E1000" s="1"/>
  <c r="J1000"/>
  <c r="C1001"/>
  <c r="F998"/>
  <c r="BA912" i="49"/>
  <c r="BD911" s="1"/>
  <c r="AV913"/>
  <c r="AW912"/>
  <c r="J1001" i="40" l="1"/>
  <c r="D1001"/>
  <c r="E1001" s="1"/>
  <c r="C1002"/>
  <c r="G986" i="41"/>
  <c r="F999" i="40"/>
  <c r="D989" i="41"/>
  <c r="E989" s="1"/>
  <c r="J989"/>
  <c r="C990"/>
  <c r="F987"/>
  <c r="AV914" i="49"/>
  <c r="BA913"/>
  <c r="BD912" s="1"/>
  <c r="AW913"/>
  <c r="G998" i="40"/>
  <c r="D990" i="41" l="1"/>
  <c r="E990" s="1"/>
  <c r="J990"/>
  <c r="C991"/>
  <c r="F1000" i="40"/>
  <c r="G999"/>
  <c r="D1002"/>
  <c r="E1002" s="1"/>
  <c r="J1002"/>
  <c r="C1003"/>
  <c r="BA914" i="49"/>
  <c r="BD913" s="1"/>
  <c r="AV915"/>
  <c r="AW914"/>
  <c r="G987" i="41"/>
  <c r="F988"/>
  <c r="F1001" i="40" l="1"/>
  <c r="F989" i="41"/>
  <c r="D1003" i="40"/>
  <c r="E1003" s="1"/>
  <c r="J1003"/>
  <c r="C1004"/>
  <c r="AV916" i="49"/>
  <c r="BA915"/>
  <c r="BD914" s="1"/>
  <c r="AW915"/>
  <c r="G1000" i="40"/>
  <c r="G988" i="41"/>
  <c r="D991"/>
  <c r="E991" s="1"/>
  <c r="J991"/>
  <c r="C992"/>
  <c r="G1001" i="40" l="1"/>
  <c r="D1004"/>
  <c r="E1004" s="1"/>
  <c r="J1004"/>
  <c r="C1005"/>
  <c r="F1002"/>
  <c r="D992" i="41"/>
  <c r="E992" s="1"/>
  <c r="J992"/>
  <c r="C993"/>
  <c r="F990"/>
  <c r="BA916" i="49"/>
  <c r="BD915" s="1"/>
  <c r="AV917"/>
  <c r="AW916"/>
  <c r="G989" i="41"/>
  <c r="F991" l="1"/>
  <c r="D993"/>
  <c r="E993" s="1"/>
  <c r="J993"/>
  <c r="C994"/>
  <c r="F1003" i="40"/>
  <c r="G990" i="41"/>
  <c r="D1005" i="40"/>
  <c r="E1005" s="1"/>
  <c r="J1005"/>
  <c r="C1006"/>
  <c r="AV918" i="49"/>
  <c r="BA917"/>
  <c r="BD916" s="1"/>
  <c r="AW917"/>
  <c r="G1002" i="40"/>
  <c r="BD917" i="49" l="1"/>
  <c r="D994" i="41"/>
  <c r="E994" s="1"/>
  <c r="J994"/>
  <c r="C995"/>
  <c r="F992"/>
  <c r="BA918" i="49"/>
  <c r="AV919"/>
  <c r="AW918"/>
  <c r="F1004" i="40"/>
  <c r="G991" i="41"/>
  <c r="G1003" i="40"/>
  <c r="D1006"/>
  <c r="E1006" s="1"/>
  <c r="J1006"/>
  <c r="C1007"/>
  <c r="AV920" i="49" l="1"/>
  <c r="BA919"/>
  <c r="AW919"/>
  <c r="F993" i="41"/>
  <c r="D1007" i="40"/>
  <c r="E1007" s="1"/>
  <c r="J1007"/>
  <c r="C1008"/>
  <c r="BD918" i="49"/>
  <c r="F1005" i="40"/>
  <c r="G992" i="41"/>
  <c r="G1004" i="40"/>
  <c r="D995" i="41"/>
  <c r="E995" s="1"/>
  <c r="J995"/>
  <c r="C996"/>
  <c r="BD919" i="49" l="1"/>
  <c r="F994" i="41"/>
  <c r="F1006" i="40"/>
  <c r="D1008"/>
  <c r="E1008" s="1"/>
  <c r="J1008"/>
  <c r="C1009"/>
  <c r="BA920" i="49"/>
  <c r="AV921"/>
  <c r="AW920"/>
  <c r="G993" i="41"/>
  <c r="D996"/>
  <c r="E996" s="1"/>
  <c r="J996"/>
  <c r="C997"/>
  <c r="G1005" i="40"/>
  <c r="G1006" l="1"/>
  <c r="F995" i="41"/>
  <c r="AV922" i="49"/>
  <c r="BA921"/>
  <c r="BD920" s="1"/>
  <c r="AW921"/>
  <c r="G994" i="41"/>
  <c r="D997"/>
  <c r="E997" s="1"/>
  <c r="J997"/>
  <c r="C998"/>
  <c r="F1007" i="40"/>
  <c r="J1009"/>
  <c r="D1009"/>
  <c r="E1009" s="1"/>
  <c r="C1010"/>
  <c r="D998" i="41" l="1"/>
  <c r="E998" s="1"/>
  <c r="J998"/>
  <c r="C999"/>
  <c r="BA922" i="49"/>
  <c r="BD921" s="1"/>
  <c r="AV923"/>
  <c r="AW922"/>
  <c r="F996" i="41"/>
  <c r="F1008" i="40"/>
  <c r="D1010"/>
  <c r="E1010" s="1"/>
  <c r="J1010"/>
  <c r="C1011"/>
  <c r="G1007"/>
  <c r="G995" i="41"/>
  <c r="F997" l="1"/>
  <c r="D1011" i="40"/>
  <c r="E1011" s="1"/>
  <c r="J1011"/>
  <c r="C1012"/>
  <c r="D999" i="41"/>
  <c r="E999" s="1"/>
  <c r="J999"/>
  <c r="C1000"/>
  <c r="F1009" i="40"/>
  <c r="G996" i="41"/>
  <c r="AV924" i="49"/>
  <c r="BA923"/>
  <c r="BD922" s="1"/>
  <c r="AW923"/>
  <c r="G1008" i="40"/>
  <c r="D1012" l="1"/>
  <c r="E1012" s="1"/>
  <c r="J1012"/>
  <c r="C1013"/>
  <c r="F998" i="41"/>
  <c r="F1010" i="40"/>
  <c r="BA924" i="49"/>
  <c r="BD923" s="1"/>
  <c r="AV925"/>
  <c r="AW924"/>
  <c r="G1009" i="40"/>
  <c r="G997" i="41"/>
  <c r="D1000"/>
  <c r="E1000" s="1"/>
  <c r="J1000"/>
  <c r="C1001"/>
  <c r="F1011" i="40" l="1"/>
  <c r="D1001" i="41"/>
  <c r="E1001" s="1"/>
  <c r="J1001"/>
  <c r="C1002"/>
  <c r="AV926" i="49"/>
  <c r="BA925"/>
  <c r="AW925"/>
  <c r="G1010" i="40"/>
  <c r="J1013"/>
  <c r="D1013"/>
  <c r="E1013" s="1"/>
  <c r="C1014"/>
  <c r="G998" i="41"/>
  <c r="F999"/>
  <c r="BD924" i="49"/>
  <c r="G999" i="41" l="1"/>
  <c r="G1011" i="40"/>
  <c r="F1000" i="41"/>
  <c r="F1012" i="40"/>
  <c r="D1002" i="41"/>
  <c r="E1002" s="1"/>
  <c r="J1002"/>
  <c r="C1003"/>
  <c r="D1014" i="40"/>
  <c r="E1014" s="1"/>
  <c r="J1014"/>
  <c r="C1015"/>
  <c r="BA926" i="49"/>
  <c r="BD925" s="1"/>
  <c r="AV927"/>
  <c r="AW926"/>
  <c r="F1001" i="41" l="1"/>
  <c r="D1015" i="40"/>
  <c r="E1015" s="1"/>
  <c r="J1015"/>
  <c r="C1016"/>
  <c r="G1000" i="41"/>
  <c r="D1003"/>
  <c r="E1003" s="1"/>
  <c r="J1003"/>
  <c r="C1004"/>
  <c r="AV928" i="49"/>
  <c r="BA927"/>
  <c r="AW927"/>
  <c r="F1013" i="40"/>
  <c r="G1012"/>
  <c r="BD927" i="49" l="1"/>
  <c r="G1013" i="40"/>
  <c r="D1016"/>
  <c r="E1016" s="1"/>
  <c r="J1016"/>
  <c r="C1017"/>
  <c r="D1004" i="41"/>
  <c r="E1004" s="1"/>
  <c r="J1004"/>
  <c r="C1005"/>
  <c r="G1001"/>
  <c r="BD926" i="49"/>
  <c r="F1002" i="41"/>
  <c r="BA928" i="49"/>
  <c r="AV929"/>
  <c r="AW928"/>
  <c r="F1014" i="40"/>
  <c r="AV930" i="49" l="1"/>
  <c r="BA929"/>
  <c r="BD928" s="1"/>
  <c r="AW929"/>
  <c r="D1005" i="41"/>
  <c r="E1005" s="1"/>
  <c r="J1005"/>
  <c r="C1006"/>
  <c r="G1002"/>
  <c r="J1017" i="40"/>
  <c r="D1017"/>
  <c r="E1017" s="1"/>
  <c r="C1018"/>
  <c r="F1003" i="41"/>
  <c r="G1014" i="40"/>
  <c r="F1015"/>
  <c r="BD929" i="49" l="1"/>
  <c r="F1004" i="41"/>
  <c r="G1003"/>
  <c r="F1016" i="40"/>
  <c r="D1006" i="41"/>
  <c r="E1006" s="1"/>
  <c r="J1006"/>
  <c r="C1007"/>
  <c r="BA930" i="49"/>
  <c r="AV931"/>
  <c r="AW930"/>
  <c r="G1015" i="40"/>
  <c r="D1018"/>
  <c r="E1018" s="1"/>
  <c r="J1018"/>
  <c r="C1019"/>
  <c r="AV932" i="49" l="1"/>
  <c r="BA931"/>
  <c r="BD930" s="1"/>
  <c r="AW931"/>
  <c r="D1007" i="41"/>
  <c r="E1007" s="1"/>
  <c r="J1007"/>
  <c r="C1008"/>
  <c r="D1019" i="40"/>
  <c r="E1019" s="1"/>
  <c r="J1019"/>
  <c r="C1020"/>
  <c r="G1016"/>
  <c r="G1004" i="41"/>
  <c r="F1017" i="40"/>
  <c r="F1005" i="41"/>
  <c r="G1017" i="40" l="1"/>
  <c r="BA932" i="49"/>
  <c r="AV933"/>
  <c r="AW932"/>
  <c r="D1020" i="40"/>
  <c r="E1020" s="1"/>
  <c r="J1020"/>
  <c r="C1021"/>
  <c r="G1005" i="41"/>
  <c r="D1008"/>
  <c r="E1008" s="1"/>
  <c r="J1008"/>
  <c r="C1009"/>
  <c r="BD931" i="49"/>
  <c r="F1006" i="41"/>
  <c r="F1018" i="40"/>
  <c r="G1006" i="41" l="1"/>
  <c r="AV934" i="49"/>
  <c r="BA933"/>
  <c r="AW933"/>
  <c r="D1009" i="41"/>
  <c r="E1009" s="1"/>
  <c r="J1009"/>
  <c r="C1010"/>
  <c r="G1018" i="40"/>
  <c r="F1019"/>
  <c r="BD932" i="49"/>
  <c r="D1021" i="40"/>
  <c r="E1021" s="1"/>
  <c r="J1021"/>
  <c r="C1022"/>
  <c r="F1007" i="41"/>
  <c r="D1022" i="40" l="1"/>
  <c r="E1022" s="1"/>
  <c r="J1022"/>
  <c r="C1023"/>
  <c r="D1010" i="41"/>
  <c r="E1010" s="1"/>
  <c r="J1010"/>
  <c r="C1011"/>
  <c r="G1007"/>
  <c r="F1008"/>
  <c r="BA934" i="49"/>
  <c r="BD933" s="1"/>
  <c r="AV935"/>
  <c r="AW934"/>
  <c r="G1019" i="40"/>
  <c r="F1020"/>
  <c r="BD934" i="49" l="1"/>
  <c r="F1021" i="40"/>
  <c r="G1020"/>
  <c r="G1008" i="41"/>
  <c r="D1011"/>
  <c r="E1011" s="1"/>
  <c r="J1011"/>
  <c r="C1012"/>
  <c r="D1023" i="40"/>
  <c r="E1023" s="1"/>
  <c r="J1023"/>
  <c r="C1024"/>
  <c r="AV936" i="49"/>
  <c r="BA935"/>
  <c r="AW935"/>
  <c r="F1009" i="41"/>
  <c r="D1024" i="40" l="1"/>
  <c r="E1024" s="1"/>
  <c r="J1024"/>
  <c r="C1025"/>
  <c r="BA936" i="49"/>
  <c r="BD935" s="1"/>
  <c r="AV937"/>
  <c r="AW936"/>
  <c r="F1022" i="40"/>
  <c r="G1021"/>
  <c r="D1012" i="41"/>
  <c r="E1012" s="1"/>
  <c r="J1012"/>
  <c r="C1013"/>
  <c r="G1009"/>
  <c r="F1010"/>
  <c r="G1022" i="40" l="1"/>
  <c r="G1010" i="41"/>
  <c r="D1013"/>
  <c r="E1013" s="1"/>
  <c r="J1013"/>
  <c r="C1014"/>
  <c r="AV938" i="49"/>
  <c r="BA937"/>
  <c r="BD936" s="1"/>
  <c r="AW937"/>
  <c r="J1025" i="40"/>
  <c r="D1025"/>
  <c r="E1025" s="1"/>
  <c r="C1026"/>
  <c r="F1023"/>
  <c r="F1011" i="41"/>
  <c r="F1012" l="1"/>
  <c r="D1026" i="40"/>
  <c r="E1026" s="1"/>
  <c r="J1026"/>
  <c r="C1027"/>
  <c r="D1014" i="41"/>
  <c r="E1014" s="1"/>
  <c r="J1014"/>
  <c r="C1015"/>
  <c r="F1024" i="40"/>
  <c r="G1011" i="41"/>
  <c r="G1023" i="40"/>
  <c r="BA938" i="49"/>
  <c r="AV939"/>
  <c r="AW938"/>
  <c r="BD937"/>
  <c r="F1013" i="41" l="1"/>
  <c r="F1025" i="40"/>
  <c r="AV940" i="49"/>
  <c r="BA939"/>
  <c r="BD938" s="1"/>
  <c r="AW939"/>
  <c r="D1027" i="40"/>
  <c r="E1027" s="1"/>
  <c r="J1027"/>
  <c r="C1028"/>
  <c r="G1024"/>
  <c r="G1012" i="41"/>
  <c r="D1015"/>
  <c r="E1015" s="1"/>
  <c r="J1015"/>
  <c r="C1016"/>
  <c r="D1016" l="1"/>
  <c r="E1016" s="1"/>
  <c r="J1016"/>
  <c r="C1017"/>
  <c r="G1013"/>
  <c r="D1028" i="40"/>
  <c r="E1028" s="1"/>
  <c r="J1028"/>
  <c r="C1029"/>
  <c r="F1026"/>
  <c r="BA940" i="49"/>
  <c r="BD939" s="1"/>
  <c r="AV941"/>
  <c r="AW940"/>
  <c r="F1014" i="41"/>
  <c r="G1025" i="40"/>
  <c r="G1014" i="41" l="1"/>
  <c r="J1029" i="40"/>
  <c r="D1029"/>
  <c r="E1029" s="1"/>
  <c r="C1030"/>
  <c r="F1015" i="41"/>
  <c r="F1027" i="40"/>
  <c r="AV942" i="49"/>
  <c r="BA941"/>
  <c r="AW941"/>
  <c r="G1026" i="40"/>
  <c r="D1017" i="41"/>
  <c r="E1017" s="1"/>
  <c r="J1017"/>
  <c r="C1018"/>
  <c r="BD940" i="49"/>
  <c r="G1027" i="40" l="1"/>
  <c r="D1030"/>
  <c r="E1030" s="1"/>
  <c r="J1030"/>
  <c r="C1031"/>
  <c r="D1018" i="41"/>
  <c r="E1018" s="1"/>
  <c r="J1018"/>
  <c r="C1019"/>
  <c r="BA942" i="49"/>
  <c r="BD941" s="1"/>
  <c r="AV943"/>
  <c r="AW942"/>
  <c r="G1015" i="41"/>
  <c r="F1016"/>
  <c r="F1028" i="40"/>
  <c r="D1031" l="1"/>
  <c r="E1031" s="1"/>
  <c r="J1031"/>
  <c r="C1032"/>
  <c r="F1017" i="41"/>
  <c r="F1029" i="40"/>
  <c r="G1028"/>
  <c r="AV944" i="49"/>
  <c r="BA943"/>
  <c r="BD942" s="1"/>
  <c r="AW943"/>
  <c r="G1016" i="41"/>
  <c r="D1019"/>
  <c r="E1019" s="1"/>
  <c r="J1019"/>
  <c r="C1020"/>
  <c r="F1030" i="40" l="1"/>
  <c r="D1020" i="41"/>
  <c r="E1020" s="1"/>
  <c r="J1020"/>
  <c r="C1021"/>
  <c r="BA944" i="49"/>
  <c r="AV945"/>
  <c r="AW944"/>
  <c r="G1029" i="40"/>
  <c r="D1032"/>
  <c r="E1032" s="1"/>
  <c r="J1032"/>
  <c r="C1033"/>
  <c r="G1017" i="41"/>
  <c r="F1018"/>
  <c r="BD943" i="49"/>
  <c r="D1021" i="41" l="1"/>
  <c r="E1021" s="1"/>
  <c r="J1021"/>
  <c r="C1022"/>
  <c r="G1018"/>
  <c r="F1019"/>
  <c r="J1033" i="40"/>
  <c r="D1033"/>
  <c r="E1033" s="1"/>
  <c r="C1034"/>
  <c r="G1030"/>
  <c r="F1031"/>
  <c r="AV946" i="49"/>
  <c r="BA945"/>
  <c r="BD944" s="1"/>
  <c r="AW945"/>
  <c r="F1032" i="40" l="1"/>
  <c r="BA946" i="49"/>
  <c r="BD945" s="1"/>
  <c r="AV947"/>
  <c r="AW946"/>
  <c r="G1019" i="41"/>
  <c r="D1022"/>
  <c r="E1022" s="1"/>
  <c r="J1022"/>
  <c r="C1023"/>
  <c r="F1020"/>
  <c r="G1031" i="40"/>
  <c r="D1034"/>
  <c r="E1034" s="1"/>
  <c r="J1034"/>
  <c r="C1035"/>
  <c r="F1021" i="41" l="1"/>
  <c r="AV948" i="49"/>
  <c r="BA947"/>
  <c r="AW947"/>
  <c r="D1035" i="40"/>
  <c r="E1035" s="1"/>
  <c r="J1035"/>
  <c r="C1036"/>
  <c r="G1032"/>
  <c r="D1023" i="41"/>
  <c r="E1023" s="1"/>
  <c r="J1023"/>
  <c r="C1024"/>
  <c r="BD946" i="49"/>
  <c r="G1020" i="41"/>
  <c r="F1033" i="40"/>
  <c r="D1024" i="41" l="1"/>
  <c r="E1024" s="1"/>
  <c r="J1024"/>
  <c r="C1025"/>
  <c r="G1033" i="40"/>
  <c r="F1034"/>
  <c r="BA948" i="49"/>
  <c r="BD947" s="1"/>
  <c r="AV949"/>
  <c r="AW948"/>
  <c r="D1036" i="40"/>
  <c r="E1036" s="1"/>
  <c r="J1036"/>
  <c r="C1037"/>
  <c r="G1021" i="41"/>
  <c r="F1022"/>
  <c r="F1023" l="1"/>
  <c r="D1037" i="40"/>
  <c r="E1037" s="1"/>
  <c r="J1037"/>
  <c r="C1038"/>
  <c r="AV950" i="49"/>
  <c r="BA949"/>
  <c r="AW949"/>
  <c r="G1034" i="40"/>
  <c r="D1025" i="41"/>
  <c r="E1025" s="1"/>
  <c r="J1025"/>
  <c r="C1026"/>
  <c r="G1022"/>
  <c r="F1035" i="40"/>
  <c r="BD948" i="49"/>
  <c r="D1026" i="41" l="1"/>
  <c r="E1026" s="1"/>
  <c r="J1026"/>
  <c r="C1027"/>
  <c r="BA950" i="49"/>
  <c r="BD949" s="1"/>
  <c r="AV951"/>
  <c r="AW950"/>
  <c r="F1036" i="40"/>
  <c r="D1038"/>
  <c r="E1038" s="1"/>
  <c r="J1038"/>
  <c r="C1039"/>
  <c r="G1035"/>
  <c r="G1023" i="41"/>
  <c r="F1024"/>
  <c r="F1025" l="1"/>
  <c r="G1024"/>
  <c r="AV952" i="49"/>
  <c r="BA951"/>
  <c r="BD950" s="1"/>
  <c r="AW951"/>
  <c r="D1027" i="41"/>
  <c r="E1027" s="1"/>
  <c r="J1027"/>
  <c r="C1028"/>
  <c r="G1036" i="40"/>
  <c r="F1037"/>
  <c r="D1039"/>
  <c r="E1039" s="1"/>
  <c r="J1039"/>
  <c r="C1040"/>
  <c r="F1026" i="41" l="1"/>
  <c r="BA952" i="49"/>
  <c r="AV953"/>
  <c r="AW952"/>
  <c r="G1025" i="41"/>
  <c r="G1037" i="40"/>
  <c r="D1028" i="41"/>
  <c r="E1028" s="1"/>
  <c r="J1028"/>
  <c r="C1029"/>
  <c r="BD951" i="49"/>
  <c r="D1040" i="40"/>
  <c r="E1040" s="1"/>
  <c r="J1040"/>
  <c r="C1041"/>
  <c r="F1038"/>
  <c r="D1029" i="41" l="1"/>
  <c r="E1029" s="1"/>
  <c r="J1029"/>
  <c r="C1030"/>
  <c r="G1038" i="40"/>
  <c r="F1027" i="41"/>
  <c r="J1041" i="40"/>
  <c r="D1041"/>
  <c r="E1041" s="1"/>
  <c r="C1042"/>
  <c r="AV954" i="49"/>
  <c r="BA953"/>
  <c r="AW953"/>
  <c r="G1026" i="41"/>
  <c r="F1039" i="40"/>
  <c r="F1028" i="41" l="1"/>
  <c r="D1042" i="40"/>
  <c r="E1042" s="1"/>
  <c r="J1042"/>
  <c r="C1043"/>
  <c r="BD952" i="49"/>
  <c r="F1040" i="40"/>
  <c r="G1039"/>
  <c r="BA954" i="49"/>
  <c r="BD953" s="1"/>
  <c r="AV955"/>
  <c r="AW954"/>
  <c r="G1027" i="41"/>
  <c r="D1030"/>
  <c r="E1030" s="1"/>
  <c r="J1030"/>
  <c r="C1031"/>
  <c r="F1029" l="1"/>
  <c r="AV956" i="49"/>
  <c r="BA955"/>
  <c r="AW955"/>
  <c r="D1043" i="40"/>
  <c r="E1043" s="1"/>
  <c r="J1043"/>
  <c r="C1044"/>
  <c r="G1028" i="41"/>
  <c r="G1040" i="40"/>
  <c r="D1031" i="41"/>
  <c r="E1031" s="1"/>
  <c r="J1031"/>
  <c r="C1032"/>
  <c r="F1041" i="40"/>
  <c r="BD954" i="49"/>
  <c r="D1044" i="40" l="1"/>
  <c r="E1044" s="1"/>
  <c r="J1044"/>
  <c r="C1045"/>
  <c r="G1041"/>
  <c r="F1042"/>
  <c r="BA956" i="49"/>
  <c r="BD955" s="1"/>
  <c r="AV957"/>
  <c r="AW956"/>
  <c r="F1030" i="41"/>
  <c r="G1029"/>
  <c r="D1032"/>
  <c r="E1032" s="1"/>
  <c r="J1032"/>
  <c r="C1033"/>
  <c r="F1043" i="40" l="1"/>
  <c r="D1033" i="41"/>
  <c r="E1033" s="1"/>
  <c r="J1033"/>
  <c r="C1034"/>
  <c r="AV958" i="49"/>
  <c r="BA957"/>
  <c r="AW957"/>
  <c r="G1042" i="40"/>
  <c r="J1045"/>
  <c r="D1045"/>
  <c r="E1045" s="1"/>
  <c r="C1046"/>
  <c r="G1030" i="41"/>
  <c r="F1031"/>
  <c r="BD956" i="49"/>
  <c r="D1046" i="40" l="1"/>
  <c r="E1046" s="1"/>
  <c r="J1046"/>
  <c r="C1047"/>
  <c r="BA958" i="49"/>
  <c r="BD957" s="1"/>
  <c r="AV959"/>
  <c r="AW958"/>
  <c r="F1032" i="41"/>
  <c r="F1044" i="40"/>
  <c r="J1034" i="41"/>
  <c r="D1034"/>
  <c r="E1034" s="1"/>
  <c r="C1035"/>
  <c r="G1031"/>
  <c r="G1043" i="40"/>
  <c r="F1045" l="1"/>
  <c r="G1044"/>
  <c r="D1047"/>
  <c r="E1047" s="1"/>
  <c r="J1047"/>
  <c r="C1048"/>
  <c r="F1033" i="41"/>
  <c r="G1032"/>
  <c r="D1035"/>
  <c r="E1035" s="1"/>
  <c r="J1035"/>
  <c r="C1036"/>
  <c r="AV960" i="49"/>
  <c r="BA959"/>
  <c r="BD958" s="1"/>
  <c r="AW959"/>
  <c r="F1046" i="40" l="1"/>
  <c r="D1036" i="41"/>
  <c r="E1036" s="1"/>
  <c r="J1036"/>
  <c r="C1037"/>
  <c r="G1045" i="40"/>
  <c r="BA960" i="49"/>
  <c r="BD959" s="1"/>
  <c r="AV961"/>
  <c r="AW960"/>
  <c r="D1048" i="40"/>
  <c r="E1048" s="1"/>
  <c r="J1048"/>
  <c r="C1049"/>
  <c r="G1033" i="41"/>
  <c r="F1034"/>
  <c r="D1037" l="1"/>
  <c r="E1037" s="1"/>
  <c r="J1037"/>
  <c r="C1038"/>
  <c r="G1046" i="40"/>
  <c r="F1035" i="41"/>
  <c r="G1034"/>
  <c r="J1049" i="40"/>
  <c r="D1049"/>
  <c r="E1049" s="1"/>
  <c r="C1050"/>
  <c r="AV962" i="49"/>
  <c r="BA961"/>
  <c r="BD960" s="1"/>
  <c r="AW961"/>
  <c r="F1047" i="40"/>
  <c r="BA962" i="49" l="1"/>
  <c r="BD961" s="1"/>
  <c r="AV963"/>
  <c r="AW962"/>
  <c r="G1047" i="40"/>
  <c r="F1048"/>
  <c r="G1035" i="41"/>
  <c r="D1038"/>
  <c r="E1038" s="1"/>
  <c r="J1038"/>
  <c r="C1039"/>
  <c r="F1036"/>
  <c r="D1050" i="40"/>
  <c r="E1050" s="1"/>
  <c r="J1050"/>
  <c r="C1051"/>
  <c r="G1036" i="41" l="1"/>
  <c r="F1037"/>
  <c r="AV964" i="49"/>
  <c r="BA963"/>
  <c r="BD962" s="1"/>
  <c r="AW963"/>
  <c r="D1039" i="41"/>
  <c r="E1039" s="1"/>
  <c r="J1039"/>
  <c r="C1040"/>
  <c r="D1051" i="40"/>
  <c r="E1051" s="1"/>
  <c r="J1051"/>
  <c r="C1052"/>
  <c r="F1049"/>
  <c r="G1048"/>
  <c r="F1038" i="41" l="1"/>
  <c r="BA964" i="49"/>
  <c r="AV965"/>
  <c r="AW964"/>
  <c r="D1052" i="40"/>
  <c r="E1052" s="1"/>
  <c r="J1052"/>
  <c r="C1053"/>
  <c r="D1040" i="41"/>
  <c r="E1040" s="1"/>
  <c r="J1040"/>
  <c r="C1041"/>
  <c r="BD963" i="49"/>
  <c r="G1049" i="40"/>
  <c r="F1050"/>
  <c r="G1037" i="41"/>
  <c r="BD964" i="49" l="1"/>
  <c r="G1050" i="40"/>
  <c r="F1039" i="41"/>
  <c r="G1038"/>
  <c r="F1051" i="40"/>
  <c r="D1053"/>
  <c r="E1053" s="1"/>
  <c r="J1053"/>
  <c r="C1054"/>
  <c r="AV966" i="49"/>
  <c r="BA965"/>
  <c r="AW965"/>
  <c r="D1041" i="41"/>
  <c r="E1041" s="1"/>
  <c r="J1041"/>
  <c r="C1042"/>
  <c r="BD965" i="49" l="1"/>
  <c r="F1040" i="41"/>
  <c r="G1051" i="40"/>
  <c r="F1052"/>
  <c r="D1042" i="41"/>
  <c r="E1042" s="1"/>
  <c r="J1042"/>
  <c r="C1043"/>
  <c r="BA966" i="49"/>
  <c r="AV967"/>
  <c r="AW966"/>
  <c r="G1039" i="41"/>
  <c r="D1054" i="40"/>
  <c r="E1054" s="1"/>
  <c r="J1054"/>
  <c r="C1055"/>
  <c r="BD966" i="49" l="1"/>
  <c r="F1053" i="40"/>
  <c r="D1043" i="41"/>
  <c r="E1043" s="1"/>
  <c r="J1043"/>
  <c r="C1044"/>
  <c r="D1055" i="40"/>
  <c r="E1055" s="1"/>
  <c r="J1055"/>
  <c r="C1056"/>
  <c r="G1052"/>
  <c r="G1040" i="41"/>
  <c r="AV968" i="49"/>
  <c r="BA967"/>
  <c r="AW967"/>
  <c r="F1041" i="41"/>
  <c r="AV969" i="49" l="1"/>
  <c r="BA968"/>
  <c r="BD967" s="1"/>
  <c r="AW968"/>
  <c r="F1054" i="40"/>
  <c r="G1053"/>
  <c r="D1056"/>
  <c r="E1056" s="1"/>
  <c r="J1056"/>
  <c r="C1057"/>
  <c r="D1044" i="41"/>
  <c r="E1044" s="1"/>
  <c r="J1044"/>
  <c r="C1045"/>
  <c r="G1041"/>
  <c r="F1042"/>
  <c r="BA969" i="49" l="1"/>
  <c r="BD968" s="1"/>
  <c r="AV970"/>
  <c r="AW969"/>
  <c r="D1045" i="41"/>
  <c r="E1045" s="1"/>
  <c r="J1045"/>
  <c r="C1046"/>
  <c r="G1054" i="40"/>
  <c r="J1057"/>
  <c r="D1057"/>
  <c r="E1057" s="1"/>
  <c r="C1058"/>
  <c r="F1055"/>
  <c r="G1042" i="41"/>
  <c r="F1043"/>
  <c r="F1044" l="1"/>
  <c r="G1055" i="40"/>
  <c r="F1056"/>
  <c r="D1046" i="41"/>
  <c r="E1046" s="1"/>
  <c r="J1046"/>
  <c r="C1047"/>
  <c r="AV971" i="49"/>
  <c r="BA970"/>
  <c r="BD969" s="1"/>
  <c r="AW970"/>
  <c r="G1043" i="41"/>
  <c r="D1058" i="40"/>
  <c r="E1058" s="1"/>
  <c r="J1058"/>
  <c r="C1059"/>
  <c r="D1059" l="1"/>
  <c r="E1059" s="1"/>
  <c r="J1059"/>
  <c r="C1060"/>
  <c r="BA971" i="49"/>
  <c r="BD970" s="1"/>
  <c r="AV972"/>
  <c r="AW971"/>
  <c r="G1044" i="41"/>
  <c r="F1045"/>
  <c r="D1047"/>
  <c r="E1047" s="1"/>
  <c r="J1047"/>
  <c r="C1048"/>
  <c r="G1056" i="40"/>
  <c r="F1057"/>
  <c r="G1057" l="1"/>
  <c r="AV973" i="49"/>
  <c r="BA972"/>
  <c r="AW972"/>
  <c r="G1045" i="41"/>
  <c r="D1060" i="40"/>
  <c r="E1060" s="1"/>
  <c r="J1060"/>
  <c r="C1061"/>
  <c r="F1058"/>
  <c r="D1048" i="41"/>
  <c r="E1048" s="1"/>
  <c r="J1048"/>
  <c r="C1049"/>
  <c r="F1046"/>
  <c r="BD971" i="49"/>
  <c r="G1058" i="40" l="1"/>
  <c r="F1047" i="41"/>
  <c r="J1061" i="40"/>
  <c r="D1061"/>
  <c r="E1061" s="1"/>
  <c r="C1062"/>
  <c r="BA973" i="49"/>
  <c r="BD972" s="1"/>
  <c r="AV974"/>
  <c r="AW973"/>
  <c r="F1059" i="40"/>
  <c r="G1046" i="41"/>
  <c r="D1049"/>
  <c r="E1049" s="1"/>
  <c r="J1049"/>
  <c r="C1050"/>
  <c r="G1059" i="40" l="1"/>
  <c r="F1060"/>
  <c r="D1062"/>
  <c r="E1062" s="1"/>
  <c r="J1062"/>
  <c r="C1063"/>
  <c r="J1050" i="41"/>
  <c r="D1050"/>
  <c r="E1050" s="1"/>
  <c r="C1051"/>
  <c r="AV975" i="49"/>
  <c r="BA974"/>
  <c r="AW974"/>
  <c r="F1048" i="41"/>
  <c r="G1047"/>
  <c r="BD973" i="49"/>
  <c r="F1061" i="40" l="1"/>
  <c r="D1051" i="41"/>
  <c r="E1051" s="1"/>
  <c r="J1051"/>
  <c r="C1052"/>
  <c r="BA975" i="49"/>
  <c r="BD974" s="1"/>
  <c r="AV976"/>
  <c r="AW975"/>
  <c r="D1063" i="40"/>
  <c r="E1063" s="1"/>
  <c r="J1063"/>
  <c r="C1064"/>
  <c r="F1049" i="41"/>
  <c r="G1048"/>
  <c r="G1060" i="40"/>
  <c r="D1052" i="41" l="1"/>
  <c r="E1052" s="1"/>
  <c r="J1052"/>
  <c r="C1053"/>
  <c r="G1049"/>
  <c r="G1061" i="40"/>
  <c r="F1050" i="41"/>
  <c r="F1062" i="40"/>
  <c r="D1064"/>
  <c r="E1064" s="1"/>
  <c r="J1064"/>
  <c r="C1065"/>
  <c r="AV977" i="49"/>
  <c r="BA976"/>
  <c r="BD975" s="1"/>
  <c r="AW976"/>
  <c r="F1051" i="41" l="1"/>
  <c r="J1065" i="40"/>
  <c r="D1065"/>
  <c r="E1065" s="1"/>
  <c r="C1066"/>
  <c r="BA977" i="49"/>
  <c r="AV978"/>
  <c r="AW977"/>
  <c r="G1062" i="40"/>
  <c r="D1053" i="41"/>
  <c r="E1053" s="1"/>
  <c r="J1053"/>
  <c r="C1054"/>
  <c r="BD976" i="49"/>
  <c r="G1050" i="41"/>
  <c r="F1063" i="40"/>
  <c r="D1054" i="41" l="1"/>
  <c r="E1054" s="1"/>
  <c r="J1054"/>
  <c r="C1055"/>
  <c r="G1051"/>
  <c r="G1063" i="40"/>
  <c r="D1066"/>
  <c r="E1066" s="1"/>
  <c r="J1066"/>
  <c r="C1067"/>
  <c r="F1052" i="41"/>
  <c r="AV979" i="49"/>
  <c r="BA978"/>
  <c r="BD977" s="1"/>
  <c r="AW978"/>
  <c r="F1064" i="40"/>
  <c r="BA979" i="49" l="1"/>
  <c r="BD978" s="1"/>
  <c r="AV980"/>
  <c r="AW979"/>
  <c r="G1064" i="40"/>
  <c r="D1067"/>
  <c r="E1067" s="1"/>
  <c r="J1067"/>
  <c r="C1068"/>
  <c r="D1055" i="41"/>
  <c r="E1055" s="1"/>
  <c r="J1055"/>
  <c r="C1056"/>
  <c r="F1053"/>
  <c r="G1052"/>
  <c r="F1065" i="40"/>
  <c r="D1068" l="1"/>
  <c r="E1068" s="1"/>
  <c r="J1068"/>
  <c r="C1069"/>
  <c r="G1065"/>
  <c r="G1053" i="41"/>
  <c r="F1066" i="40"/>
  <c r="AV981" i="49"/>
  <c r="BA980"/>
  <c r="BD979" s="1"/>
  <c r="AW980"/>
  <c r="F1054" i="41"/>
  <c r="D1056"/>
  <c r="E1056" s="1"/>
  <c r="J1056"/>
  <c r="C1057"/>
  <c r="F1067" i="40" l="1"/>
  <c r="D1057" i="41"/>
  <c r="E1057" s="1"/>
  <c r="J1057"/>
  <c r="C1058"/>
  <c r="BA981" i="49"/>
  <c r="BD980" s="1"/>
  <c r="AV982"/>
  <c r="AW981"/>
  <c r="G1054" i="41"/>
  <c r="D1069" i="40"/>
  <c r="E1069" s="1"/>
  <c r="J1069"/>
  <c r="C1070"/>
  <c r="G1066"/>
  <c r="F1055" i="41"/>
  <c r="G1055" l="1"/>
  <c r="G1067" i="40"/>
  <c r="F1056" i="41"/>
  <c r="D1058"/>
  <c r="E1058" s="1"/>
  <c r="J1058"/>
  <c r="C1059"/>
  <c r="D1070" i="40"/>
  <c r="E1070" s="1"/>
  <c r="J1070"/>
  <c r="C1071"/>
  <c r="F1068"/>
  <c r="AV983" i="49"/>
  <c r="BA982"/>
  <c r="BD981" s="1"/>
  <c r="AW982"/>
  <c r="D1059" i="41" l="1"/>
  <c r="E1059" s="1"/>
  <c r="J1059"/>
  <c r="C1060"/>
  <c r="F1069" i="40"/>
  <c r="F1057" i="41"/>
  <c r="G1068" i="40"/>
  <c r="G1056" i="41"/>
  <c r="BA983" i="49"/>
  <c r="BD982" s="1"/>
  <c r="AV984"/>
  <c r="AW983"/>
  <c r="D1071" i="40"/>
  <c r="E1071" s="1"/>
  <c r="J1071"/>
  <c r="C1072"/>
  <c r="F1058" i="41" l="1"/>
  <c r="D1072" i="40"/>
  <c r="E1072" s="1"/>
  <c r="J1072"/>
  <c r="C1073"/>
  <c r="AV985" i="49"/>
  <c r="BA984"/>
  <c r="AW984"/>
  <c r="G1057" i="41"/>
  <c r="D1060"/>
  <c r="E1060" s="1"/>
  <c r="J1060"/>
  <c r="C1061"/>
  <c r="G1069" i="40"/>
  <c r="F1070"/>
  <c r="BD983" i="49"/>
  <c r="J1073" i="40" l="1"/>
  <c r="D1073"/>
  <c r="E1073" s="1"/>
  <c r="C1074"/>
  <c r="G1070"/>
  <c r="G1058" i="41"/>
  <c r="F1071" i="40"/>
  <c r="D1061" i="41"/>
  <c r="E1061" s="1"/>
  <c r="J1061"/>
  <c r="C1062"/>
  <c r="BA985" i="49"/>
  <c r="BD984" s="1"/>
  <c r="AV986"/>
  <c r="AW985"/>
  <c r="F1059" i="41"/>
  <c r="G1071" i="40" l="1"/>
  <c r="G1059" i="41"/>
  <c r="F1072" i="40"/>
  <c r="AV987" i="49"/>
  <c r="BA986"/>
  <c r="BD985" s="1"/>
  <c r="AW986"/>
  <c r="D1074" i="40"/>
  <c r="E1074" s="1"/>
  <c r="J1074"/>
  <c r="C1075"/>
  <c r="F1060" i="41"/>
  <c r="D1062"/>
  <c r="E1062" s="1"/>
  <c r="J1062"/>
  <c r="C1063"/>
  <c r="D1075" i="40" l="1"/>
  <c r="E1075" s="1"/>
  <c r="J1075"/>
  <c r="C1076"/>
  <c r="D1063" i="41"/>
  <c r="E1063" s="1"/>
  <c r="J1063"/>
  <c r="C1064"/>
  <c r="G1072" i="40"/>
  <c r="G1060" i="41"/>
  <c r="F1073" i="40"/>
  <c r="BA987" i="49"/>
  <c r="BD986" s="1"/>
  <c r="AV988"/>
  <c r="AW987"/>
  <c r="F1061" i="41"/>
  <c r="F1074" i="40" l="1"/>
  <c r="G1061" i="41"/>
  <c r="D1064"/>
  <c r="E1064" s="1"/>
  <c r="J1064"/>
  <c r="C1065"/>
  <c r="AV989" i="49"/>
  <c r="BA988"/>
  <c r="BD987" s="1"/>
  <c r="AW988"/>
  <c r="D1076" i="40"/>
  <c r="E1076" s="1"/>
  <c r="J1076"/>
  <c r="C1077"/>
  <c r="G1073"/>
  <c r="F1062" i="41"/>
  <c r="F1063" l="1"/>
  <c r="J1077" i="40"/>
  <c r="D1077"/>
  <c r="E1077" s="1"/>
  <c r="C1078"/>
  <c r="G1074"/>
  <c r="D1065" i="41"/>
  <c r="E1065" s="1"/>
  <c r="J1065"/>
  <c r="C1066"/>
  <c r="G1062"/>
  <c r="F1075" i="40"/>
  <c r="BA989" i="49"/>
  <c r="AV990"/>
  <c r="AW989"/>
  <c r="BD989" l="1"/>
  <c r="D1078" i="40"/>
  <c r="E1078" s="1"/>
  <c r="J1078"/>
  <c r="C1079"/>
  <c r="AV991" i="49"/>
  <c r="BA990"/>
  <c r="AW990"/>
  <c r="D1066" i="41"/>
  <c r="E1066" s="1"/>
  <c r="J1066"/>
  <c r="C1067"/>
  <c r="G1063"/>
  <c r="G1075" i="40"/>
  <c r="BD988" i="49"/>
  <c r="F1064" i="41"/>
  <c r="F1076" i="40"/>
  <c r="BA991" i="49" l="1"/>
  <c r="BD990" s="1"/>
  <c r="AV992"/>
  <c r="AW991"/>
  <c r="F1077" i="40"/>
  <c r="D1067" i="41"/>
  <c r="E1067" s="1"/>
  <c r="J1067"/>
  <c r="C1068"/>
  <c r="F1065"/>
  <c r="G1064"/>
  <c r="G1076" i="40"/>
  <c r="D1079"/>
  <c r="E1079" s="1"/>
  <c r="J1079"/>
  <c r="C1080"/>
  <c r="D1068" i="41" l="1"/>
  <c r="E1068" s="1"/>
  <c r="J1068"/>
  <c r="C1069"/>
  <c r="G1065"/>
  <c r="F1066"/>
  <c r="AV993" i="49"/>
  <c r="BA992"/>
  <c r="BD991" s="1"/>
  <c r="AW992"/>
  <c r="D1080" i="40"/>
  <c r="E1080" s="1"/>
  <c r="J1080"/>
  <c r="C1081"/>
  <c r="G1077"/>
  <c r="F1078"/>
  <c r="F1067" i="41" l="1"/>
  <c r="J1081" i="40"/>
  <c r="D1081"/>
  <c r="E1081" s="1"/>
  <c r="C1082"/>
  <c r="G1066" i="41"/>
  <c r="D1069"/>
  <c r="E1069" s="1"/>
  <c r="J1069"/>
  <c r="C1070"/>
  <c r="G1078" i="40"/>
  <c r="F1079"/>
  <c r="BA993" i="49"/>
  <c r="AV994"/>
  <c r="AW993"/>
  <c r="BD993" l="1"/>
  <c r="D1082" i="40"/>
  <c r="E1082" s="1"/>
  <c r="J1082"/>
  <c r="C1083"/>
  <c r="AV995" i="49"/>
  <c r="BA994"/>
  <c r="AW994"/>
  <c r="D1070" i="41"/>
  <c r="E1070" s="1"/>
  <c r="J1070"/>
  <c r="C1071"/>
  <c r="G1067"/>
  <c r="G1079" i="40"/>
  <c r="BD992" i="49"/>
  <c r="F1068" i="41"/>
  <c r="F1080" i="40"/>
  <c r="F1069" i="41" l="1"/>
  <c r="BA995" i="49"/>
  <c r="AV996"/>
  <c r="AW995"/>
  <c r="G1068" i="41"/>
  <c r="D1071"/>
  <c r="E1071" s="1"/>
  <c r="J1071"/>
  <c r="C1072"/>
  <c r="F1081" i="40"/>
  <c r="G1080"/>
  <c r="D1083"/>
  <c r="E1083" s="1"/>
  <c r="J1083"/>
  <c r="C1084"/>
  <c r="BD994" i="49"/>
  <c r="BD995" l="1"/>
  <c r="F1070" i="41"/>
  <c r="D1084" i="40"/>
  <c r="E1084" s="1"/>
  <c r="J1084"/>
  <c r="C1085"/>
  <c r="G1069" i="41"/>
  <c r="D1072"/>
  <c r="E1072" s="1"/>
  <c r="J1072"/>
  <c r="C1073"/>
  <c r="G1081" i="40"/>
  <c r="AV997" i="49"/>
  <c r="BA996"/>
  <c r="AW996"/>
  <c r="F1082" i="40"/>
  <c r="D1085" l="1"/>
  <c r="E1085" s="1"/>
  <c r="J1085"/>
  <c r="C1086"/>
  <c r="G1082"/>
  <c r="D1073" i="41"/>
  <c r="E1073" s="1"/>
  <c r="J1073"/>
  <c r="C1074"/>
  <c r="G1070"/>
  <c r="F1071"/>
  <c r="BA997" i="49"/>
  <c r="BD996" s="1"/>
  <c r="AV998"/>
  <c r="AW997"/>
  <c r="F1083" i="40"/>
  <c r="F1072" i="41" l="1"/>
  <c r="AV999" i="49"/>
  <c r="BA998"/>
  <c r="BD997" s="1"/>
  <c r="AW998"/>
  <c r="D1086" i="40"/>
  <c r="E1086" s="1"/>
  <c r="J1086"/>
  <c r="C1087"/>
  <c r="F1084"/>
  <c r="G1083"/>
  <c r="G1071" i="41"/>
  <c r="D1074"/>
  <c r="E1074" s="1"/>
  <c r="J1074"/>
  <c r="C1075"/>
  <c r="D1075" l="1"/>
  <c r="E1075" s="1"/>
  <c r="J1075"/>
  <c r="C1076"/>
  <c r="G1072"/>
  <c r="G1084" i="40"/>
  <c r="F1085"/>
  <c r="BA999" i="49"/>
  <c r="BD998" s="1"/>
  <c r="AV1000"/>
  <c r="AW999"/>
  <c r="D1087" i="40"/>
  <c r="E1087" s="1"/>
  <c r="J1087"/>
  <c r="C1088"/>
  <c r="F1073" i="41"/>
  <c r="F1074" l="1"/>
  <c r="G1073"/>
  <c r="D1076"/>
  <c r="E1076" s="1"/>
  <c r="J1076"/>
  <c r="C1077"/>
  <c r="G1085" i="40"/>
  <c r="F1086"/>
  <c r="D1088"/>
  <c r="E1088" s="1"/>
  <c r="J1088"/>
  <c r="C1089"/>
  <c r="AV1001" i="49"/>
  <c r="BA1000"/>
  <c r="BD999" s="1"/>
  <c r="AW1000"/>
  <c r="F1075" i="41" l="1"/>
  <c r="J1089" i="40"/>
  <c r="D1089"/>
  <c r="E1089" s="1"/>
  <c r="C1090"/>
  <c r="G1074" i="41"/>
  <c r="BA1001" i="49"/>
  <c r="AV1002"/>
  <c r="AW1001"/>
  <c r="G1086" i="40"/>
  <c r="D1077" i="41"/>
  <c r="E1077" s="1"/>
  <c r="J1077"/>
  <c r="C1078"/>
  <c r="BD1000" i="49"/>
  <c r="F1087" i="40"/>
  <c r="F1076" i="41" l="1"/>
  <c r="AV1003" i="49"/>
  <c r="BA1002"/>
  <c r="AW1002"/>
  <c r="G1075" i="41"/>
  <c r="G1087" i="40"/>
  <c r="D1090"/>
  <c r="E1090" s="1"/>
  <c r="J1090"/>
  <c r="C1091"/>
  <c r="D1078" i="41"/>
  <c r="E1078" s="1"/>
  <c r="J1078"/>
  <c r="C1079"/>
  <c r="F1088" i="40"/>
  <c r="BD1001" i="49"/>
  <c r="G1088" i="40" l="1"/>
  <c r="F1089"/>
  <c r="BA1003" i="49"/>
  <c r="BD1002" s="1"/>
  <c r="AV1004"/>
  <c r="AW1003"/>
  <c r="D1091" i="40"/>
  <c r="E1091" s="1"/>
  <c r="J1091"/>
  <c r="C1092"/>
  <c r="F1077" i="41"/>
  <c r="G1076"/>
  <c r="D1079"/>
  <c r="E1079" s="1"/>
  <c r="J1079"/>
  <c r="C1080"/>
  <c r="F1090" i="40" l="1"/>
  <c r="D1080" i="41"/>
  <c r="E1080" s="1"/>
  <c r="J1080"/>
  <c r="C1081"/>
  <c r="D1092" i="40"/>
  <c r="E1092" s="1"/>
  <c r="J1092"/>
  <c r="C1093"/>
  <c r="AV1005" i="49"/>
  <c r="BA1004"/>
  <c r="BD1003" s="1"/>
  <c r="AW1004"/>
  <c r="G1077" i="41"/>
  <c r="F1078"/>
  <c r="G1089" i="40"/>
  <c r="BA1005" i="49" l="1"/>
  <c r="BD1004" s="1"/>
  <c r="AV1006"/>
  <c r="AW1005"/>
  <c r="D1081" i="41"/>
  <c r="E1081" s="1"/>
  <c r="J1081"/>
  <c r="C1082"/>
  <c r="F1091" i="40"/>
  <c r="F1079" i="41"/>
  <c r="G1090" i="40"/>
  <c r="G1078" i="41"/>
  <c r="J1093" i="40"/>
  <c r="D1093"/>
  <c r="E1093" s="1"/>
  <c r="C1094"/>
  <c r="F1092" l="1"/>
  <c r="G1091"/>
  <c r="G1079" i="41"/>
  <c r="D1082"/>
  <c r="E1082" s="1"/>
  <c r="J1082"/>
  <c r="C1083"/>
  <c r="AV1007" i="49"/>
  <c r="BA1006"/>
  <c r="BD1005" s="1"/>
  <c r="AW1006"/>
  <c r="F1080" i="41"/>
  <c r="D1094" i="40"/>
  <c r="E1094" s="1"/>
  <c r="J1094"/>
  <c r="C1095"/>
  <c r="D1095" l="1"/>
  <c r="E1095" s="1"/>
  <c r="J1095"/>
  <c r="C1096"/>
  <c r="BA1007" i="49"/>
  <c r="BD1006" s="1"/>
  <c r="AV1008"/>
  <c r="BA1008" s="1"/>
  <c r="AW1007"/>
  <c r="G1092" i="40"/>
  <c r="F1081" i="41"/>
  <c r="D1083"/>
  <c r="E1083" s="1"/>
  <c r="J1083"/>
  <c r="C1084"/>
  <c r="G1080"/>
  <c r="F1093" i="40"/>
  <c r="G1093" l="1"/>
  <c r="D1084" i="41"/>
  <c r="E1084" s="1"/>
  <c r="J1084"/>
  <c r="C1085"/>
  <c r="G1081"/>
  <c r="D1096" i="40"/>
  <c r="E1096" s="1"/>
  <c r="J1096"/>
  <c r="C1097"/>
  <c r="F1094"/>
  <c r="F1082" i="41"/>
  <c r="BD1007" i="49"/>
  <c r="G1082" i="41" l="1"/>
  <c r="F1083"/>
  <c r="D1085"/>
  <c r="E1085" s="1"/>
  <c r="J1085"/>
  <c r="C1086"/>
  <c r="J1097" i="40"/>
  <c r="D1097"/>
  <c r="E1097" s="1"/>
  <c r="C1098"/>
  <c r="G1094"/>
  <c r="F1095"/>
  <c r="F1096" l="1"/>
  <c r="G1095"/>
  <c r="D1086" i="41"/>
  <c r="E1086" s="1"/>
  <c r="J1086"/>
  <c r="C1087"/>
  <c r="F1084"/>
  <c r="D1098" i="40"/>
  <c r="E1098" s="1"/>
  <c r="J1098"/>
  <c r="C1099"/>
  <c r="G1083" i="41"/>
  <c r="F1085" l="1"/>
  <c r="G1096" i="40"/>
  <c r="D1087" i="41"/>
  <c r="E1087" s="1"/>
  <c r="J1087"/>
  <c r="C1088"/>
  <c r="G1084"/>
  <c r="F1097" i="40"/>
  <c r="D1099"/>
  <c r="E1099" s="1"/>
  <c r="J1099"/>
  <c r="C1100"/>
  <c r="D1100" l="1"/>
  <c r="E1100" s="1"/>
  <c r="J1100"/>
  <c r="C1101"/>
  <c r="G1085" i="41"/>
  <c r="G1097" i="40"/>
  <c r="D1088" i="41"/>
  <c r="E1088" s="1"/>
  <c r="J1088"/>
  <c r="C1089"/>
  <c r="F1086"/>
  <c r="F1098" i="40"/>
  <c r="F1099" l="1"/>
  <c r="G1098"/>
  <c r="D1089" i="41"/>
  <c r="E1089" s="1"/>
  <c r="J1089"/>
  <c r="C1090"/>
  <c r="D1101" i="40"/>
  <c r="E1101" s="1"/>
  <c r="J1101"/>
  <c r="C1102"/>
  <c r="G1086" i="41"/>
  <c r="F1087"/>
  <c r="G1087" l="1"/>
  <c r="D1102" i="40"/>
  <c r="E1102" s="1"/>
  <c r="J1102"/>
  <c r="C1103"/>
  <c r="G1099"/>
  <c r="D1090" i="41"/>
  <c r="E1090" s="1"/>
  <c r="J1090"/>
  <c r="C1091"/>
  <c r="F1088"/>
  <c r="F1100" i="40"/>
  <c r="G1100" l="1"/>
  <c r="F1101"/>
  <c r="D1103"/>
  <c r="E1103" s="1"/>
  <c r="F1102" s="1"/>
  <c r="J1103"/>
  <c r="C1104"/>
  <c r="D1091" i="41"/>
  <c r="E1091" s="1"/>
  <c r="J1091"/>
  <c r="C1092"/>
  <c r="G1088"/>
  <c r="F1089"/>
  <c r="G1102" i="40" l="1"/>
  <c r="G1089" i="41"/>
  <c r="D1092"/>
  <c r="E1092" s="1"/>
  <c r="F1091" s="1"/>
  <c r="J1092"/>
  <c r="C1093"/>
  <c r="D1093" s="1"/>
  <c r="E1093" s="1"/>
  <c r="D1104" i="40"/>
  <c r="E1104" s="1"/>
  <c r="F1103" s="1"/>
  <c r="J1104"/>
  <c r="F1092" i="41"/>
  <c r="F1090"/>
  <c r="G1101" i="40"/>
  <c r="G1091" i="41" l="1"/>
  <c r="G1090"/>
  <c r="G1092"/>
  <c r="G88"/>
  <c r="G1103" i="40"/>
  <c r="G99"/>
  <c r="J88" i="41" l="1"/>
  <c r="G87"/>
  <c r="N102"/>
  <c r="C83"/>
  <c r="A279"/>
  <c r="A290"/>
  <c r="A284"/>
  <c r="A271"/>
  <c r="A255"/>
  <c r="A232"/>
  <c r="A241"/>
  <c r="A223"/>
  <c r="A299"/>
  <c r="A322"/>
  <c r="A312"/>
  <c r="A328"/>
  <c r="A309"/>
  <c r="A336"/>
  <c r="A373"/>
  <c r="A351"/>
  <c r="A363"/>
  <c r="A337"/>
  <c r="A380"/>
  <c r="A396"/>
  <c r="A269"/>
  <c r="A278"/>
  <c r="A293"/>
  <c r="A372"/>
  <c r="A435"/>
  <c r="A417"/>
  <c r="A439"/>
  <c r="A246"/>
  <c r="A201"/>
  <c r="A216"/>
  <c r="A188"/>
  <c r="A456"/>
  <c r="A474"/>
  <c r="A490"/>
  <c r="A513"/>
  <c r="A510"/>
  <c r="A524"/>
  <c r="A540"/>
  <c r="A138"/>
  <c r="A153"/>
  <c r="A148"/>
  <c r="A169"/>
  <c r="A164"/>
  <c r="A131"/>
  <c r="A141"/>
  <c r="A156"/>
  <c r="A166"/>
  <c r="A170"/>
  <c r="A179"/>
  <c r="A191"/>
  <c r="A200"/>
  <c r="A237"/>
  <c r="A327"/>
  <c r="A347"/>
  <c r="A354"/>
  <c r="A393"/>
  <c r="A262"/>
  <c r="A254"/>
  <c r="A368"/>
  <c r="A381"/>
  <c r="A307"/>
  <c r="A296"/>
  <c r="A228"/>
  <c r="A285"/>
  <c r="A291"/>
  <c r="A295"/>
  <c r="A366"/>
  <c r="A427"/>
  <c r="A447"/>
  <c r="A469"/>
  <c r="A501"/>
  <c r="A538"/>
  <c r="A128"/>
  <c r="A305"/>
  <c r="A101"/>
  <c r="A105"/>
  <c r="A109"/>
  <c r="A113"/>
  <c r="A117"/>
  <c r="A121"/>
  <c r="A129"/>
  <c r="A162"/>
  <c r="A178"/>
  <c r="A196"/>
  <c r="A207"/>
  <c r="A212"/>
  <c r="A231"/>
  <c r="A270"/>
  <c r="A344"/>
  <c r="A370"/>
  <c r="A387"/>
  <c r="A403"/>
  <c r="A412"/>
  <c r="A424"/>
  <c r="A429"/>
  <c r="A433"/>
  <c r="A441"/>
  <c r="A449"/>
  <c r="A454"/>
  <c r="A462"/>
  <c r="A466"/>
  <c r="A477"/>
  <c r="A481"/>
  <c r="A489"/>
  <c r="A497"/>
  <c r="A506"/>
  <c r="A514"/>
  <c r="A518"/>
  <c r="A527"/>
  <c r="A532"/>
  <c r="A537"/>
  <c r="A547"/>
  <c r="A551"/>
  <c r="A555"/>
  <c r="A559"/>
  <c r="A564"/>
  <c r="A568"/>
  <c r="A572"/>
  <c r="A576"/>
  <c r="A580"/>
  <c r="A584"/>
  <c r="A588"/>
  <c r="A593"/>
  <c r="A597"/>
  <c r="A601"/>
  <c r="A605"/>
  <c r="A609"/>
  <c r="A613"/>
  <c r="A617"/>
  <c r="A621"/>
  <c r="A625"/>
  <c r="A629"/>
  <c r="A633"/>
  <c r="A637"/>
  <c r="A641"/>
  <c r="A645"/>
  <c r="A649"/>
  <c r="A653"/>
  <c r="A657"/>
  <c r="A661"/>
  <c r="A665"/>
  <c r="A669"/>
  <c r="A673"/>
  <c r="A677"/>
  <c r="A681"/>
  <c r="A685"/>
  <c r="A689"/>
  <c r="A693"/>
  <c r="A697"/>
  <c r="A701"/>
  <c r="A705"/>
  <c r="A709"/>
  <c r="A713"/>
  <c r="A717"/>
  <c r="A721"/>
  <c r="A725"/>
  <c r="A729"/>
  <c r="A733"/>
  <c r="A737"/>
  <c r="A741"/>
  <c r="A745"/>
  <c r="A749"/>
  <c r="A753"/>
  <c r="A757"/>
  <c r="A761"/>
  <c r="A765"/>
  <c r="A769"/>
  <c r="A773"/>
  <c r="A777"/>
  <c r="A781"/>
  <c r="A785"/>
  <c r="A789"/>
  <c r="A793"/>
  <c r="A797"/>
  <c r="A801"/>
  <c r="A805"/>
  <c r="A809"/>
  <c r="A813"/>
  <c r="A817"/>
  <c r="A821"/>
  <c r="A825"/>
  <c r="A829"/>
  <c r="A833"/>
  <c r="A837"/>
  <c r="A841"/>
  <c r="A845"/>
  <c r="A849"/>
  <c r="A853"/>
  <c r="A857"/>
  <c r="A861"/>
  <c r="A865"/>
  <c r="A869"/>
  <c r="A873"/>
  <c r="A877"/>
  <c r="A881"/>
  <c r="A885"/>
  <c r="A889"/>
  <c r="A592"/>
  <c r="A310"/>
  <c r="A288"/>
  <c r="A283"/>
  <c r="A275"/>
  <c r="A259"/>
  <c r="A240"/>
  <c r="A224"/>
  <c r="A302"/>
  <c r="A301"/>
  <c r="A320"/>
  <c r="A313"/>
  <c r="A329"/>
  <c r="A324"/>
  <c r="A335"/>
  <c r="A357"/>
  <c r="A350"/>
  <c r="A364"/>
  <c r="A359"/>
  <c r="A376"/>
  <c r="A400"/>
  <c r="A267"/>
  <c r="A268"/>
  <c r="A280"/>
  <c r="A325"/>
  <c r="A392"/>
  <c r="A419"/>
  <c r="A416"/>
  <c r="A437"/>
  <c r="A245"/>
  <c r="A209"/>
  <c r="A193"/>
  <c r="A459"/>
  <c r="A529"/>
  <c r="A470"/>
  <c r="A494"/>
  <c r="A505"/>
  <c r="A521"/>
  <c r="A560"/>
  <c r="A542"/>
  <c r="A146"/>
  <c r="A142"/>
  <c r="A147"/>
  <c r="A161"/>
  <c r="A130"/>
  <c r="A136"/>
  <c r="A151"/>
  <c r="A159"/>
  <c r="A177"/>
  <c r="A175"/>
  <c r="A180"/>
  <c r="A190"/>
  <c r="A214"/>
  <c r="A251"/>
  <c r="A340"/>
  <c r="A348"/>
  <c r="A418"/>
  <c r="A377"/>
  <c r="A218"/>
  <c r="A256"/>
  <c r="A374"/>
  <c r="A389"/>
  <c r="A234"/>
  <c r="A297"/>
  <c r="A226"/>
  <c r="A205"/>
  <c r="A304"/>
  <c r="A315"/>
  <c r="A407"/>
  <c r="A423"/>
  <c r="A445"/>
  <c r="A486"/>
  <c r="A503"/>
  <c r="A539"/>
  <c r="A127"/>
  <c r="A225"/>
  <c r="A102"/>
  <c r="A106"/>
  <c r="A110"/>
  <c r="A114"/>
  <c r="A118"/>
  <c r="A122"/>
  <c r="A133"/>
  <c r="A168"/>
  <c r="A182"/>
  <c r="A198"/>
  <c r="A208"/>
  <c r="A221"/>
  <c r="A235"/>
  <c r="A321"/>
  <c r="A346"/>
  <c r="A375"/>
  <c r="A397"/>
  <c r="A405"/>
  <c r="A413"/>
  <c r="A425"/>
  <c r="A430"/>
  <c r="A434"/>
  <c r="A442"/>
  <c r="A450"/>
  <c r="A458"/>
  <c r="A463"/>
  <c r="A471"/>
  <c r="A478"/>
  <c r="A483"/>
  <c r="A491"/>
  <c r="A499"/>
  <c r="A507"/>
  <c r="A515"/>
  <c r="A519"/>
  <c r="A528"/>
  <c r="A533"/>
  <c r="A543"/>
  <c r="A548"/>
  <c r="A552"/>
  <c r="A556"/>
  <c r="A561"/>
  <c r="A565"/>
  <c r="A569"/>
  <c r="A573"/>
  <c r="A577"/>
  <c r="A581"/>
  <c r="A585"/>
  <c r="A589"/>
  <c r="A594"/>
  <c r="A598"/>
  <c r="A602"/>
  <c r="A606"/>
  <c r="A610"/>
  <c r="A614"/>
  <c r="A618"/>
  <c r="A622"/>
  <c r="A626"/>
  <c r="A630"/>
  <c r="A634"/>
  <c r="A638"/>
  <c r="A642"/>
  <c r="A646"/>
  <c r="A650"/>
  <c r="A654"/>
  <c r="A658"/>
  <c r="A662"/>
  <c r="A666"/>
  <c r="A670"/>
  <c r="A674"/>
  <c r="A678"/>
  <c r="A682"/>
  <c r="A686"/>
  <c r="A690"/>
  <c r="A694"/>
  <c r="A698"/>
  <c r="A702"/>
  <c r="A706"/>
  <c r="A710"/>
  <c r="A714"/>
  <c r="A718"/>
  <c r="A722"/>
  <c r="A726"/>
  <c r="A730"/>
  <c r="A734"/>
  <c r="A738"/>
  <c r="A742"/>
  <c r="A746"/>
  <c r="A750"/>
  <c r="A754"/>
  <c r="A758"/>
  <c r="A762"/>
  <c r="A766"/>
  <c r="A770"/>
  <c r="A774"/>
  <c r="A778"/>
  <c r="A782"/>
  <c r="A786"/>
  <c r="A790"/>
  <c r="A794"/>
  <c r="A798"/>
  <c r="A802"/>
  <c r="A806"/>
  <c r="A810"/>
  <c r="A814"/>
  <c r="A818"/>
  <c r="A822"/>
  <c r="A826"/>
  <c r="A830"/>
  <c r="A834"/>
  <c r="A838"/>
  <c r="A842"/>
  <c r="A846"/>
  <c r="A850"/>
  <c r="A854"/>
  <c r="A858"/>
  <c r="A862"/>
  <c r="A866"/>
  <c r="A870"/>
  <c r="A874"/>
  <c r="A878"/>
  <c r="A882"/>
  <c r="A886"/>
  <c r="A890"/>
  <c r="A894"/>
  <c r="A898"/>
  <c r="A902"/>
  <c r="A906"/>
  <c r="A910"/>
  <c r="A914"/>
  <c r="A918"/>
  <c r="A922"/>
  <c r="A926"/>
  <c r="A342"/>
  <c r="A289"/>
  <c r="A273"/>
  <c r="A244"/>
  <c r="A298"/>
  <c r="A319"/>
  <c r="A306"/>
  <c r="A467"/>
  <c r="A365"/>
  <c r="A358"/>
  <c r="A398"/>
  <c r="A264"/>
  <c r="A292"/>
  <c r="A395"/>
  <c r="A443"/>
  <c r="A185"/>
  <c r="A187"/>
  <c r="A482"/>
  <c r="A493"/>
  <c r="A523"/>
  <c r="A123"/>
  <c r="A139"/>
  <c r="A163"/>
  <c r="A145"/>
  <c r="A167"/>
  <c r="A181"/>
  <c r="A199"/>
  <c r="A287"/>
  <c r="A355"/>
  <c r="A261"/>
  <c r="A367"/>
  <c r="A341"/>
  <c r="A227"/>
  <c r="A303"/>
  <c r="A409"/>
  <c r="A446"/>
  <c r="A502"/>
  <c r="A137"/>
  <c r="A103"/>
  <c r="A111"/>
  <c r="A119"/>
  <c r="A149"/>
  <c r="A194"/>
  <c r="A210"/>
  <c r="A247"/>
  <c r="A352"/>
  <c r="A401"/>
  <c r="A414"/>
  <c r="A431"/>
  <c r="A444"/>
  <c r="A460"/>
  <c r="A475"/>
  <c r="A484"/>
  <c r="A500"/>
  <c r="A516"/>
  <c r="A530"/>
  <c r="A545"/>
  <c r="A553"/>
  <c r="A562"/>
  <c r="A570"/>
  <c r="A578"/>
  <c r="A586"/>
  <c r="A595"/>
  <c r="A603"/>
  <c r="A611"/>
  <c r="A619"/>
  <c r="A627"/>
  <c r="A635"/>
  <c r="A643"/>
  <c r="A651"/>
  <c r="A659"/>
  <c r="A667"/>
  <c r="A675"/>
  <c r="A683"/>
  <c r="A691"/>
  <c r="A699"/>
  <c r="A707"/>
  <c r="A715"/>
  <c r="A723"/>
  <c r="A731"/>
  <c r="A739"/>
  <c r="A747"/>
  <c r="A755"/>
  <c r="A763"/>
  <c r="A771"/>
  <c r="A779"/>
  <c r="A787"/>
  <c r="A795"/>
  <c r="A803"/>
  <c r="A811"/>
  <c r="A819"/>
  <c r="A827"/>
  <c r="A835"/>
  <c r="A843"/>
  <c r="A851"/>
  <c r="A859"/>
  <c r="A867"/>
  <c r="A875"/>
  <c r="A883"/>
  <c r="A891"/>
  <c r="A896"/>
  <c r="A901"/>
  <c r="A907"/>
  <c r="A912"/>
  <c r="A917"/>
  <c r="A923"/>
  <c r="A928"/>
  <c r="A932"/>
  <c r="A936"/>
  <c r="A940"/>
  <c r="A944"/>
  <c r="A948"/>
  <c r="A952"/>
  <c r="A956"/>
  <c r="A960"/>
  <c r="A964"/>
  <c r="A968"/>
  <c r="A972"/>
  <c r="A976"/>
  <c r="A980"/>
  <c r="A984"/>
  <c r="A988"/>
  <c r="A992"/>
  <c r="A996"/>
  <c r="A1000"/>
  <c r="A1004"/>
  <c r="A1008"/>
  <c r="A1012"/>
  <c r="A1016"/>
  <c r="A1020"/>
  <c r="A1024"/>
  <c r="A1028"/>
  <c r="A1032"/>
  <c r="A1036"/>
  <c r="A1040"/>
  <c r="A1044"/>
  <c r="A1048"/>
  <c r="A1052"/>
  <c r="A1056"/>
  <c r="A1060"/>
  <c r="A1064"/>
  <c r="A1068"/>
  <c r="A1072"/>
  <c r="A1076"/>
  <c r="A1080"/>
  <c r="A1084"/>
  <c r="A1088"/>
  <c r="A1092"/>
  <c r="A97"/>
  <c r="A93"/>
  <c r="A286"/>
  <c r="A263"/>
  <c r="A258"/>
  <c r="A222"/>
  <c r="A318"/>
  <c r="A330"/>
  <c r="A338"/>
  <c r="A353"/>
  <c r="A317"/>
  <c r="A379"/>
  <c r="A265"/>
  <c r="A281"/>
  <c r="A394"/>
  <c r="A451"/>
  <c r="A154"/>
  <c r="A189"/>
  <c r="A498"/>
  <c r="A492"/>
  <c r="A525"/>
  <c r="A541"/>
  <c r="A140"/>
  <c r="A165"/>
  <c r="A135"/>
  <c r="A160"/>
  <c r="A174"/>
  <c r="A197"/>
  <c r="A249"/>
  <c r="A250"/>
  <c r="A360"/>
  <c r="A311"/>
  <c r="A356"/>
  <c r="A252"/>
  <c r="A202"/>
  <c r="A333"/>
  <c r="A422"/>
  <c r="A487"/>
  <c r="A126"/>
  <c r="A108"/>
  <c r="A116"/>
  <c r="A125"/>
  <c r="A176"/>
  <c r="A206"/>
  <c r="A230"/>
  <c r="A343"/>
  <c r="A386"/>
  <c r="A410"/>
  <c r="A428"/>
  <c r="A440"/>
  <c r="A453"/>
  <c r="A465"/>
  <c r="A480"/>
  <c r="A496"/>
  <c r="A512"/>
  <c r="A526"/>
  <c r="A535"/>
  <c r="A550"/>
  <c r="A558"/>
  <c r="A567"/>
  <c r="A575"/>
  <c r="A583"/>
  <c r="A591"/>
  <c r="A600"/>
  <c r="A608"/>
  <c r="A616"/>
  <c r="A624"/>
  <c r="A632"/>
  <c r="A640"/>
  <c r="A648"/>
  <c r="A656"/>
  <c r="A664"/>
  <c r="A672"/>
  <c r="A680"/>
  <c r="A688"/>
  <c r="A696"/>
  <c r="A704"/>
  <c r="A712"/>
  <c r="A720"/>
  <c r="A728"/>
  <c r="A736"/>
  <c r="A744"/>
  <c r="A752"/>
  <c r="A760"/>
  <c r="A768"/>
  <c r="A776"/>
  <c r="A784"/>
  <c r="A792"/>
  <c r="A800"/>
  <c r="A808"/>
  <c r="A816"/>
  <c r="A824"/>
  <c r="A832"/>
  <c r="A840"/>
  <c r="A848"/>
  <c r="A856"/>
  <c r="A864"/>
  <c r="A872"/>
  <c r="A880"/>
  <c r="A888"/>
  <c r="A895"/>
  <c r="A900"/>
  <c r="A905"/>
  <c r="A911"/>
  <c r="A916"/>
  <c r="A921"/>
  <c r="A927"/>
  <c r="A931"/>
  <c r="A935"/>
  <c r="A939"/>
  <c r="A943"/>
  <c r="A947"/>
  <c r="A951"/>
  <c r="A955"/>
  <c r="A959"/>
  <c r="A963"/>
  <c r="A967"/>
  <c r="A971"/>
  <c r="A975"/>
  <c r="A979"/>
  <c r="A983"/>
  <c r="A987"/>
  <c r="A991"/>
  <c r="A995"/>
  <c r="A999"/>
  <c r="A1003"/>
  <c r="A1007"/>
  <c r="A1011"/>
  <c r="A1015"/>
  <c r="A1019"/>
  <c r="A1023"/>
  <c r="A1027"/>
  <c r="A1031"/>
  <c r="A1035"/>
  <c r="A1039"/>
  <c r="A1043"/>
  <c r="A1047"/>
  <c r="A1051"/>
  <c r="A1055"/>
  <c r="A1059"/>
  <c r="A1063"/>
  <c r="A1067"/>
  <c r="A1071"/>
  <c r="A1075"/>
  <c r="A1079"/>
  <c r="A1083"/>
  <c r="A1087"/>
  <c r="A1091"/>
  <c r="A96"/>
  <c r="A100"/>
  <c r="A294"/>
  <c r="A248"/>
  <c r="A257"/>
  <c r="A220"/>
  <c r="A326"/>
  <c r="A334"/>
  <c r="A323"/>
  <c r="A349"/>
  <c r="A316"/>
  <c r="A378"/>
  <c r="A276"/>
  <c r="A371"/>
  <c r="A415"/>
  <c r="A274"/>
  <c r="A215"/>
  <c r="A457"/>
  <c r="A473"/>
  <c r="A511"/>
  <c r="A536"/>
  <c r="A152"/>
  <c r="A143"/>
  <c r="A132"/>
  <c r="A155"/>
  <c r="A171"/>
  <c r="A184"/>
  <c r="A238"/>
  <c r="A345"/>
  <c r="A391"/>
  <c r="A253"/>
  <c r="A382"/>
  <c r="A383"/>
  <c r="E83"/>
  <c r="A203"/>
  <c r="A332"/>
  <c r="A421"/>
  <c r="A488"/>
  <c r="A192"/>
  <c r="A186"/>
  <c r="A107"/>
  <c r="A115"/>
  <c r="A124"/>
  <c r="A172"/>
  <c r="A204"/>
  <c r="A229"/>
  <c r="A331"/>
  <c r="A385"/>
  <c r="A406"/>
  <c r="A426"/>
  <c r="A438"/>
  <c r="A452"/>
  <c r="A464"/>
  <c r="A479"/>
  <c r="A495"/>
  <c r="A508"/>
  <c r="A520"/>
  <c r="A534"/>
  <c r="A549"/>
  <c r="A557"/>
  <c r="A566"/>
  <c r="A574"/>
  <c r="A582"/>
  <c r="A590"/>
  <c r="A599"/>
  <c r="A607"/>
  <c r="A615"/>
  <c r="A623"/>
  <c r="A631"/>
  <c r="A639"/>
  <c r="A647"/>
  <c r="A655"/>
  <c r="A663"/>
  <c r="A671"/>
  <c r="A679"/>
  <c r="A687"/>
  <c r="A695"/>
  <c r="A703"/>
  <c r="A711"/>
  <c r="A719"/>
  <c r="A727"/>
  <c r="A735"/>
  <c r="A743"/>
  <c r="A751"/>
  <c r="A759"/>
  <c r="A767"/>
  <c r="A775"/>
  <c r="A783"/>
  <c r="A791"/>
  <c r="A799"/>
  <c r="A807"/>
  <c r="A815"/>
  <c r="A823"/>
  <c r="A831"/>
  <c r="A839"/>
  <c r="A847"/>
  <c r="A855"/>
  <c r="A863"/>
  <c r="A871"/>
  <c r="A879"/>
  <c r="A887"/>
  <c r="A893"/>
  <c r="A899"/>
  <c r="A904"/>
  <c r="A909"/>
  <c r="A915"/>
  <c r="A920"/>
  <c r="A925"/>
  <c r="A930"/>
  <c r="A934"/>
  <c r="A938"/>
  <c r="A942"/>
  <c r="A946"/>
  <c r="A950"/>
  <c r="A954"/>
  <c r="A958"/>
  <c r="A962"/>
  <c r="A966"/>
  <c r="A970"/>
  <c r="A974"/>
  <c r="A978"/>
  <c r="A982"/>
  <c r="A986"/>
  <c r="A990"/>
  <c r="A994"/>
  <c r="A998"/>
  <c r="A1002"/>
  <c r="A1006"/>
  <c r="A1010"/>
  <c r="A1014"/>
  <c r="A1018"/>
  <c r="A1022"/>
  <c r="A1026"/>
  <c r="A1030"/>
  <c r="A1034"/>
  <c r="A1038"/>
  <c r="A1042"/>
  <c r="A1046"/>
  <c r="A1050"/>
  <c r="A1054"/>
  <c r="A1058"/>
  <c r="A1062"/>
  <c r="A1066"/>
  <c r="A1070"/>
  <c r="A1074"/>
  <c r="A1078"/>
  <c r="A1082"/>
  <c r="A1086"/>
  <c r="A1090"/>
  <c r="A95"/>
  <c r="A99"/>
  <c r="A217"/>
  <c r="A282"/>
  <c r="A272"/>
  <c r="A242"/>
  <c r="A300"/>
  <c r="A314"/>
  <c r="A308"/>
  <c r="A404"/>
  <c r="A361"/>
  <c r="A388"/>
  <c r="A399"/>
  <c r="A277"/>
  <c r="A369"/>
  <c r="A411"/>
  <c r="A436"/>
  <c r="A213"/>
  <c r="A455"/>
  <c r="A472"/>
  <c r="A509"/>
  <c r="A544"/>
  <c r="A150"/>
  <c r="A144"/>
  <c r="A134"/>
  <c r="A157"/>
  <c r="A173"/>
  <c r="A183"/>
  <c r="A236"/>
  <c r="A339"/>
  <c r="A390"/>
  <c r="A219"/>
  <c r="A384"/>
  <c r="A233"/>
  <c r="A260"/>
  <c r="A243"/>
  <c r="A408"/>
  <c r="A468"/>
  <c r="A522"/>
  <c r="A239"/>
  <c r="A104"/>
  <c r="A112"/>
  <c r="A120"/>
  <c r="A158"/>
  <c r="A195"/>
  <c r="A211"/>
  <c r="A266"/>
  <c r="A362"/>
  <c r="A402"/>
  <c r="A420"/>
  <c r="A432"/>
  <c r="A448"/>
  <c r="A461"/>
  <c r="A476"/>
  <c r="A485"/>
  <c r="A504"/>
  <c r="A517"/>
  <c r="A531"/>
  <c r="A546"/>
  <c r="A554"/>
  <c r="A563"/>
  <c r="A571"/>
  <c r="A579"/>
  <c r="A587"/>
  <c r="A596"/>
  <c r="A604"/>
  <c r="A612"/>
  <c r="A620"/>
  <c r="A628"/>
  <c r="A636"/>
  <c r="A644"/>
  <c r="A652"/>
  <c r="A660"/>
  <c r="A668"/>
  <c r="A676"/>
  <c r="A684"/>
  <c r="A692"/>
  <c r="A700"/>
  <c r="A708"/>
  <c r="A716"/>
  <c r="A724"/>
  <c r="A732"/>
  <c r="A740"/>
  <c r="A748"/>
  <c r="A756"/>
  <c r="A764"/>
  <c r="A772"/>
  <c r="A780"/>
  <c r="A788"/>
  <c r="A796"/>
  <c r="A804"/>
  <c r="A812"/>
  <c r="A820"/>
  <c r="A828"/>
  <c r="A836"/>
  <c r="A844"/>
  <c r="A852"/>
  <c r="A860"/>
  <c r="A868"/>
  <c r="A876"/>
  <c r="A884"/>
  <c r="A892"/>
  <c r="A897"/>
  <c r="A903"/>
  <c r="A908"/>
  <c r="A913"/>
  <c r="A919"/>
  <c r="A924"/>
  <c r="A929"/>
  <c r="A933"/>
  <c r="A937"/>
  <c r="A941"/>
  <c r="A945"/>
  <c r="A949"/>
  <c r="A953"/>
  <c r="A957"/>
  <c r="A961"/>
  <c r="A965"/>
  <c r="A969"/>
  <c r="A973"/>
  <c r="A977"/>
  <c r="A981"/>
  <c r="A985"/>
  <c r="A989"/>
  <c r="A993"/>
  <c r="A997"/>
  <c r="A1001"/>
  <c r="A1005"/>
  <c r="A1009"/>
  <c r="A1013"/>
  <c r="A1017"/>
  <c r="A1021"/>
  <c r="A1025"/>
  <c r="A1029"/>
  <c r="A1033"/>
  <c r="A1037"/>
  <c r="A1041"/>
  <c r="A1045"/>
  <c r="A1049"/>
  <c r="A1053"/>
  <c r="A1057"/>
  <c r="A1061"/>
  <c r="A1065"/>
  <c r="A1069"/>
  <c r="A1073"/>
  <c r="A1077"/>
  <c r="A1081"/>
  <c r="A1085"/>
  <c r="A1089"/>
  <c r="A94"/>
  <c r="A98"/>
  <c r="J99" i="40"/>
  <c r="G98"/>
  <c r="N112"/>
  <c r="A603"/>
  <c r="A259"/>
  <c r="A268"/>
  <c r="A247"/>
  <c r="A196"/>
  <c r="A222"/>
  <c r="A297"/>
  <c r="A313"/>
  <c r="A337"/>
  <c r="A334"/>
  <c r="A352"/>
  <c r="A368"/>
  <c r="A369"/>
  <c r="A385"/>
  <c r="A405"/>
  <c r="A422"/>
  <c r="A438"/>
  <c r="A462"/>
  <c r="A447"/>
  <c r="A463"/>
  <c r="A540"/>
  <c r="A489"/>
  <c r="A497"/>
  <c r="A516"/>
  <c r="A532"/>
  <c r="A571"/>
  <c r="A549"/>
  <c r="A565"/>
  <c r="A583"/>
  <c r="A188"/>
  <c r="A401"/>
  <c r="A432"/>
  <c r="A461"/>
  <c r="A331"/>
  <c r="A411"/>
  <c r="A459"/>
  <c r="A554"/>
  <c r="A364"/>
  <c r="A339"/>
  <c r="A314"/>
  <c r="A287"/>
  <c r="A235"/>
  <c r="A853"/>
  <c r="A618"/>
  <c r="A615"/>
  <c r="A643"/>
  <c r="A655"/>
  <c r="A704"/>
  <c r="A680"/>
  <c r="A695"/>
  <c r="A199"/>
  <c r="A650"/>
  <c r="A625"/>
  <c r="A602"/>
  <c r="A362"/>
  <c r="A507"/>
  <c r="A678"/>
  <c r="A113"/>
  <c r="A117"/>
  <c r="A121"/>
  <c r="A125"/>
  <c r="A129"/>
  <c r="A133"/>
  <c r="A137"/>
  <c r="A141"/>
  <c r="A145"/>
  <c r="A149"/>
  <c r="A153"/>
  <c r="A157"/>
  <c r="A161"/>
  <c r="A166"/>
  <c r="A170"/>
  <c r="A174"/>
  <c r="A178"/>
  <c r="A183"/>
  <c r="A187"/>
  <c r="A195"/>
  <c r="A203"/>
  <c r="A208"/>
  <c r="A213"/>
  <c r="A217"/>
  <c r="A225"/>
  <c r="A236"/>
  <c r="A240"/>
  <c r="A248"/>
  <c r="A253"/>
  <c r="A261"/>
  <c r="A265"/>
  <c r="A273"/>
  <c r="A278"/>
  <c r="A283"/>
  <c r="A294"/>
  <c r="A299"/>
  <c r="A303"/>
  <c r="A308"/>
  <c r="A319"/>
  <c r="A324"/>
  <c r="A328"/>
  <c r="A343"/>
  <c r="A348"/>
  <c r="A356"/>
  <c r="A361"/>
  <c r="A374"/>
  <c r="A379"/>
  <c r="A383"/>
  <c r="A394"/>
  <c r="A398"/>
  <c r="A409"/>
  <c r="A424"/>
  <c r="A428"/>
  <c r="A440"/>
  <c r="A444"/>
  <c r="A455"/>
  <c r="A467"/>
  <c r="A477"/>
  <c r="A484"/>
  <c r="A492"/>
  <c r="A500"/>
  <c r="A506"/>
  <c r="A513"/>
  <c r="A518"/>
  <c r="A526"/>
  <c r="A530"/>
  <c r="A539"/>
  <c r="A544"/>
  <c r="A552"/>
  <c r="A559"/>
  <c r="A566"/>
  <c r="A574"/>
  <c r="A578"/>
  <c r="A586"/>
  <c r="A591"/>
  <c r="A596"/>
  <c r="A604"/>
  <c r="A608"/>
  <c r="A613"/>
  <c r="A621"/>
  <c r="A629"/>
  <c r="A633"/>
  <c r="A638"/>
  <c r="A646"/>
  <c r="A654"/>
  <c r="A661"/>
  <c r="A666"/>
  <c r="A670"/>
  <c r="A675"/>
  <c r="A683"/>
  <c r="A687"/>
  <c r="A693"/>
  <c r="A703"/>
  <c r="A708"/>
  <c r="A713"/>
  <c r="A717"/>
  <c r="A721"/>
  <c r="A725"/>
  <c r="A730"/>
  <c r="A734"/>
  <c r="A738"/>
  <c r="A742"/>
  <c r="A746"/>
  <c r="A750"/>
  <c r="A754"/>
  <c r="A758"/>
  <c r="A762"/>
  <c r="A766"/>
  <c r="A770"/>
  <c r="A774"/>
  <c r="A778"/>
  <c r="A782"/>
  <c r="A786"/>
  <c r="A790"/>
  <c r="A794"/>
  <c r="A798"/>
  <c r="A802"/>
  <c r="A806"/>
  <c r="A810"/>
  <c r="A814"/>
  <c r="A818"/>
  <c r="A822"/>
  <c r="A826"/>
  <c r="A830"/>
  <c r="A834"/>
  <c r="A838"/>
  <c r="A842"/>
  <c r="A846"/>
  <c r="A850"/>
  <c r="A855"/>
  <c r="A859"/>
  <c r="A863"/>
  <c r="A867"/>
  <c r="A871"/>
  <c r="A875"/>
  <c r="A879"/>
  <c r="A883"/>
  <c r="A887"/>
  <c r="A891"/>
  <c r="A895"/>
  <c r="A899"/>
  <c r="A903"/>
  <c r="A907"/>
  <c r="A911"/>
  <c r="A915"/>
  <c r="A919"/>
  <c r="A923"/>
  <c r="A927"/>
  <c r="A931"/>
  <c r="A935"/>
  <c r="A939"/>
  <c r="A943"/>
  <c r="A947"/>
  <c r="A951"/>
  <c r="A955"/>
  <c r="A959"/>
  <c r="A963"/>
  <c r="A967"/>
  <c r="A971"/>
  <c r="A975"/>
  <c r="A979"/>
  <c r="A983"/>
  <c r="A987"/>
  <c r="A991"/>
  <c r="A995"/>
  <c r="A999"/>
  <c r="A1003"/>
  <c r="A1007"/>
  <c r="A1011"/>
  <c r="A1015"/>
  <c r="A1019"/>
  <c r="A1023"/>
  <c r="A1027"/>
  <c r="A1031"/>
  <c r="A1035"/>
  <c r="A1039"/>
  <c r="A1043"/>
  <c r="A1047"/>
  <c r="A1051"/>
  <c r="A1055"/>
  <c r="A1059"/>
  <c r="A1063"/>
  <c r="A1067"/>
  <c r="A1071"/>
  <c r="A1075"/>
  <c r="A1079"/>
  <c r="A1083"/>
  <c r="A1087"/>
  <c r="A1091"/>
  <c r="A1095"/>
  <c r="A1099"/>
  <c r="A1103"/>
  <c r="A106"/>
  <c r="A110"/>
  <c r="E94"/>
  <c r="A290"/>
  <c r="A270"/>
  <c r="A251"/>
  <c r="A165"/>
  <c r="A224"/>
  <c r="A305"/>
  <c r="A292"/>
  <c r="A312"/>
  <c r="A335"/>
  <c r="A351"/>
  <c r="A384"/>
  <c r="A370"/>
  <c r="A387"/>
  <c r="A403"/>
  <c r="A430"/>
  <c r="A419"/>
  <c r="A435"/>
  <c r="A448"/>
  <c r="A464"/>
  <c r="A471"/>
  <c r="A485"/>
  <c r="A501"/>
  <c r="A524"/>
  <c r="A521"/>
  <c r="A535"/>
  <c r="A551"/>
  <c r="A567"/>
  <c r="A579"/>
  <c r="A180"/>
  <c r="A193"/>
  <c r="A417"/>
  <c r="A460"/>
  <c r="A533"/>
  <c r="A390"/>
  <c r="A437"/>
  <c r="A553"/>
  <c r="A360"/>
  <c r="A341"/>
  <c r="A315"/>
  <c r="A288"/>
  <c r="A258"/>
  <c r="A230"/>
  <c r="A634"/>
  <c r="A616"/>
  <c r="A645"/>
  <c r="A653"/>
  <c r="A712"/>
  <c r="A699"/>
  <c r="A694"/>
  <c r="A198"/>
  <c r="A651"/>
  <c r="A624"/>
  <c r="A601"/>
  <c r="A412"/>
  <c r="A505"/>
  <c r="A676"/>
  <c r="A112"/>
  <c r="A116"/>
  <c r="A120"/>
  <c r="A124"/>
  <c r="A128"/>
  <c r="A132"/>
  <c r="A136"/>
  <c r="A140"/>
  <c r="A144"/>
  <c r="A148"/>
  <c r="A152"/>
  <c r="A156"/>
  <c r="A160"/>
  <c r="A164"/>
  <c r="A169"/>
  <c r="A173"/>
  <c r="A177"/>
  <c r="A182"/>
  <c r="A186"/>
  <c r="A191"/>
  <c r="A202"/>
  <c r="A207"/>
  <c r="A211"/>
  <c r="A216"/>
  <c r="A223"/>
  <c r="A234"/>
  <c r="A239"/>
  <c r="A244"/>
  <c r="A252"/>
  <c r="A260"/>
  <c r="A264"/>
  <c r="A272"/>
  <c r="A277"/>
  <c r="A281"/>
  <c r="A289"/>
  <c r="A298"/>
  <c r="A302"/>
  <c r="A307"/>
  <c r="A318"/>
  <c r="A323"/>
  <c r="A327"/>
  <c r="A342"/>
  <c r="A347"/>
  <c r="A355"/>
  <c r="A359"/>
  <c r="A373"/>
  <c r="A378"/>
  <c r="A382"/>
  <c r="A393"/>
  <c r="A397"/>
  <c r="A408"/>
  <c r="A423"/>
  <c r="A427"/>
  <c r="A439"/>
  <c r="A443"/>
  <c r="A451"/>
  <c r="A465"/>
  <c r="A476"/>
  <c r="A483"/>
  <c r="A491"/>
  <c r="A496"/>
  <c r="A504"/>
  <c r="A512"/>
  <c r="A517"/>
  <c r="A525"/>
  <c r="A529"/>
  <c r="A538"/>
  <c r="A543"/>
  <c r="A550"/>
  <c r="A558"/>
  <c r="A562"/>
  <c r="A573"/>
  <c r="A577"/>
  <c r="A585"/>
  <c r="A590"/>
  <c r="A594"/>
  <c r="A600"/>
  <c r="A607"/>
  <c r="A612"/>
  <c r="A620"/>
  <c r="A628"/>
  <c r="A632"/>
  <c r="A637"/>
  <c r="A644"/>
  <c r="A652"/>
  <c r="A660"/>
  <c r="A664"/>
  <c r="A669"/>
  <c r="A674"/>
  <c r="A682"/>
  <c r="A686"/>
  <c r="A691"/>
  <c r="A702"/>
  <c r="A707"/>
  <c r="A711"/>
  <c r="A716"/>
  <c r="A720"/>
  <c r="A724"/>
  <c r="A729"/>
  <c r="A733"/>
  <c r="A737"/>
  <c r="A741"/>
  <c r="A745"/>
  <c r="A749"/>
  <c r="A753"/>
  <c r="A757"/>
  <c r="A761"/>
  <c r="A765"/>
  <c r="A769"/>
  <c r="A773"/>
  <c r="A777"/>
  <c r="A781"/>
  <c r="A785"/>
  <c r="A789"/>
  <c r="A793"/>
  <c r="A797"/>
  <c r="A801"/>
  <c r="A805"/>
  <c r="A809"/>
  <c r="A813"/>
  <c r="A817"/>
  <c r="A821"/>
  <c r="A825"/>
  <c r="A829"/>
  <c r="A833"/>
  <c r="A837"/>
  <c r="A841"/>
  <c r="A845"/>
  <c r="A849"/>
  <c r="A854"/>
  <c r="A858"/>
  <c r="A862"/>
  <c r="A866"/>
  <c r="A870"/>
  <c r="A874"/>
  <c r="A878"/>
  <c r="A882"/>
  <c r="A886"/>
  <c r="A890"/>
  <c r="A894"/>
  <c r="A898"/>
  <c r="A902"/>
  <c r="A906"/>
  <c r="A910"/>
  <c r="A914"/>
  <c r="A918"/>
  <c r="A922"/>
  <c r="A926"/>
  <c r="A930"/>
  <c r="A934"/>
  <c r="A938"/>
  <c r="A942"/>
  <c r="A946"/>
  <c r="A950"/>
  <c r="A954"/>
  <c r="A958"/>
  <c r="A962"/>
  <c r="A966"/>
  <c r="A970"/>
  <c r="A974"/>
  <c r="A978"/>
  <c r="A982"/>
  <c r="A986"/>
  <c r="A990"/>
  <c r="A994"/>
  <c r="A998"/>
  <c r="A1002"/>
  <c r="A1006"/>
  <c r="A1010"/>
  <c r="A1014"/>
  <c r="A1018"/>
  <c r="A1022"/>
  <c r="A1026"/>
  <c r="A1030"/>
  <c r="A1034"/>
  <c r="A1038"/>
  <c r="A1042"/>
  <c r="A1046"/>
  <c r="A1050"/>
  <c r="A1054"/>
  <c r="A1058"/>
  <c r="A1062"/>
  <c r="A1066"/>
  <c r="A1070"/>
  <c r="A1074"/>
  <c r="A1078"/>
  <c r="A1082"/>
  <c r="A1086"/>
  <c r="A1090"/>
  <c r="A1094"/>
  <c r="A1098"/>
  <c r="A1102"/>
  <c r="A105"/>
  <c r="A109"/>
  <c r="A228"/>
  <c r="A266"/>
  <c r="A243"/>
  <c r="A246"/>
  <c r="A220"/>
  <c r="A321"/>
  <c r="A291"/>
  <c r="A311"/>
  <c r="A333"/>
  <c r="A349"/>
  <c r="A415"/>
  <c r="A372"/>
  <c r="A391"/>
  <c r="A407"/>
  <c r="A446"/>
  <c r="A420"/>
  <c r="A436"/>
  <c r="A450"/>
  <c r="A466"/>
  <c r="A472"/>
  <c r="A493"/>
  <c r="A488"/>
  <c r="A498"/>
  <c r="A522"/>
  <c r="A534"/>
  <c r="A547"/>
  <c r="A563"/>
  <c r="A587"/>
  <c r="A582"/>
  <c r="A194"/>
  <c r="A416"/>
  <c r="A458"/>
  <c r="A469"/>
  <c r="A389"/>
  <c r="A414"/>
  <c r="A479"/>
  <c r="A570"/>
  <c r="A367"/>
  <c r="A317"/>
  <c r="A286"/>
  <c r="A257"/>
  <c r="A229"/>
  <c r="A665"/>
  <c r="A614"/>
  <c r="A641"/>
  <c r="A657"/>
  <c r="A696"/>
  <c r="A698"/>
  <c r="A692"/>
  <c r="A200"/>
  <c r="A232"/>
  <c r="A622"/>
  <c r="A599"/>
  <c r="A453"/>
  <c r="A338"/>
  <c r="A672"/>
  <c r="A115"/>
  <c r="A119"/>
  <c r="A123"/>
  <c r="A127"/>
  <c r="A131"/>
  <c r="A135"/>
  <c r="A139"/>
  <c r="A143"/>
  <c r="A147"/>
  <c r="A151"/>
  <c r="A155"/>
  <c r="A159"/>
  <c r="A163"/>
  <c r="A168"/>
  <c r="A172"/>
  <c r="A176"/>
  <c r="A181"/>
  <c r="A185"/>
  <c r="A190"/>
  <c r="A201"/>
  <c r="A206"/>
  <c r="A210"/>
  <c r="A215"/>
  <c r="A219"/>
  <c r="A227"/>
  <c r="A238"/>
  <c r="A242"/>
  <c r="A250"/>
  <c r="A256"/>
  <c r="A263"/>
  <c r="A271"/>
  <c r="A276"/>
  <c r="A280"/>
  <c r="A285"/>
  <c r="A296"/>
  <c r="A301"/>
  <c r="A306"/>
  <c r="A316"/>
  <c r="A322"/>
  <c r="A326"/>
  <c r="A336"/>
  <c r="A346"/>
  <c r="A354"/>
  <c r="A358"/>
  <c r="A371"/>
  <c r="A377"/>
  <c r="A381"/>
  <c r="A392"/>
  <c r="A396"/>
  <c r="A406"/>
  <c r="A421"/>
  <c r="A426"/>
  <c r="A431"/>
  <c r="A442"/>
  <c r="A449"/>
  <c r="A457"/>
  <c r="A475"/>
  <c r="A482"/>
  <c r="A490"/>
  <c r="A495"/>
  <c r="A503"/>
  <c r="A511"/>
  <c r="A515"/>
  <c r="A523"/>
  <c r="A528"/>
  <c r="A537"/>
  <c r="A542"/>
  <c r="A546"/>
  <c r="A557"/>
  <c r="A561"/>
  <c r="A572"/>
  <c r="A576"/>
  <c r="A584"/>
  <c r="A589"/>
  <c r="A593"/>
  <c r="A598"/>
  <c r="A606"/>
  <c r="A611"/>
  <c r="A619"/>
  <c r="A627"/>
  <c r="A631"/>
  <c r="A636"/>
  <c r="A640"/>
  <c r="A648"/>
  <c r="A659"/>
  <c r="A663"/>
  <c r="A668"/>
  <c r="A673"/>
  <c r="A681"/>
  <c r="A685"/>
  <c r="A690"/>
  <c r="A701"/>
  <c r="A706"/>
  <c r="A710"/>
  <c r="A715"/>
  <c r="A719"/>
  <c r="A723"/>
  <c r="A727"/>
  <c r="A732"/>
  <c r="A736"/>
  <c r="A740"/>
  <c r="A744"/>
  <c r="A748"/>
  <c r="A752"/>
  <c r="A756"/>
  <c r="A760"/>
  <c r="A764"/>
  <c r="A768"/>
  <c r="A772"/>
  <c r="A776"/>
  <c r="A780"/>
  <c r="A784"/>
  <c r="A788"/>
  <c r="A792"/>
  <c r="A796"/>
  <c r="A800"/>
  <c r="A804"/>
  <c r="A808"/>
  <c r="A812"/>
  <c r="A816"/>
  <c r="A820"/>
  <c r="A824"/>
  <c r="A828"/>
  <c r="A832"/>
  <c r="A836"/>
  <c r="A840"/>
  <c r="A844"/>
  <c r="A848"/>
  <c r="A852"/>
  <c r="A857"/>
  <c r="A861"/>
  <c r="A865"/>
  <c r="A869"/>
  <c r="A873"/>
  <c r="A877"/>
  <c r="A881"/>
  <c r="A885"/>
  <c r="A889"/>
  <c r="A893"/>
  <c r="A897"/>
  <c r="A901"/>
  <c r="A905"/>
  <c r="A909"/>
  <c r="A913"/>
  <c r="A917"/>
  <c r="A921"/>
  <c r="A925"/>
  <c r="A929"/>
  <c r="A933"/>
  <c r="A937"/>
  <c r="A941"/>
  <c r="A945"/>
  <c r="A949"/>
  <c r="A953"/>
  <c r="A957"/>
  <c r="A961"/>
  <c r="A965"/>
  <c r="A969"/>
  <c r="A973"/>
  <c r="A977"/>
  <c r="A981"/>
  <c r="A985"/>
  <c r="A989"/>
  <c r="A993"/>
  <c r="A997"/>
  <c r="A1001"/>
  <c r="A1005"/>
  <c r="A1009"/>
  <c r="A1013"/>
  <c r="A1017"/>
  <c r="A1021"/>
  <c r="A1025"/>
  <c r="A1029"/>
  <c r="A1033"/>
  <c r="A1037"/>
  <c r="A1041"/>
  <c r="A1045"/>
  <c r="A1049"/>
  <c r="A1053"/>
  <c r="A1057"/>
  <c r="A1061"/>
  <c r="A1065"/>
  <c r="A1069"/>
  <c r="A1073"/>
  <c r="A1077"/>
  <c r="A1081"/>
  <c r="A1085"/>
  <c r="A1089"/>
  <c r="A1093"/>
  <c r="A1097"/>
  <c r="A1101"/>
  <c r="A111"/>
  <c r="A108"/>
  <c r="A353"/>
  <c r="A274"/>
  <c r="A269"/>
  <c r="A245"/>
  <c r="A212"/>
  <c r="A221"/>
  <c r="A293"/>
  <c r="A309"/>
  <c r="A329"/>
  <c r="A345"/>
  <c r="A478"/>
  <c r="A376"/>
  <c r="A399"/>
  <c r="A386"/>
  <c r="A404"/>
  <c r="A418"/>
  <c r="A434"/>
  <c r="A454"/>
  <c r="A470"/>
  <c r="A474"/>
  <c r="A509"/>
  <c r="A487"/>
  <c r="A499"/>
  <c r="A520"/>
  <c r="A536"/>
  <c r="A555"/>
  <c r="A548"/>
  <c r="A564"/>
  <c r="A581"/>
  <c r="A192"/>
  <c r="A402"/>
  <c r="A433"/>
  <c r="A468"/>
  <c r="A332"/>
  <c r="C94"/>
  <c r="A413"/>
  <c r="A481"/>
  <c r="A569"/>
  <c r="A366"/>
  <c r="A340"/>
  <c r="A282"/>
  <c r="A255"/>
  <c r="A231"/>
  <c r="A728"/>
  <c r="A610"/>
  <c r="A649"/>
  <c r="A642"/>
  <c r="A656"/>
  <c r="A700"/>
  <c r="A688"/>
  <c r="A204"/>
  <c r="A233"/>
  <c r="A626"/>
  <c r="A595"/>
  <c r="A452"/>
  <c r="A363"/>
  <c r="A508"/>
  <c r="A679"/>
  <c r="A114"/>
  <c r="A118"/>
  <c r="A122"/>
  <c r="A126"/>
  <c r="A130"/>
  <c r="A134"/>
  <c r="A138"/>
  <c r="A142"/>
  <c r="A146"/>
  <c r="A150"/>
  <c r="A154"/>
  <c r="A158"/>
  <c r="A162"/>
  <c r="A167"/>
  <c r="A171"/>
  <c r="A175"/>
  <c r="A179"/>
  <c r="A184"/>
  <c r="A189"/>
  <c r="A197"/>
  <c r="A205"/>
  <c r="A209"/>
  <c r="A214"/>
  <c r="A218"/>
  <c r="A226"/>
  <c r="A237"/>
  <c r="A241"/>
  <c r="A249"/>
  <c r="A254"/>
  <c r="A262"/>
  <c r="A267"/>
  <c r="A275"/>
  <c r="A279"/>
  <c r="A284"/>
  <c r="A295"/>
  <c r="A300"/>
  <c r="A304"/>
  <c r="A310"/>
  <c r="A320"/>
  <c r="A325"/>
  <c r="A330"/>
  <c r="A344"/>
  <c r="A350"/>
  <c r="A357"/>
  <c r="A365"/>
  <c r="A375"/>
  <c r="A380"/>
  <c r="A388"/>
  <c r="A395"/>
  <c r="A400"/>
  <c r="A410"/>
  <c r="A425"/>
  <c r="A429"/>
  <c r="A441"/>
  <c r="A445"/>
  <c r="A456"/>
  <c r="A473"/>
  <c r="A480"/>
  <c r="A486"/>
  <c r="A494"/>
  <c r="A502"/>
  <c r="A510"/>
  <c r="A514"/>
  <c r="A519"/>
  <c r="A527"/>
  <c r="A531"/>
  <c r="A541"/>
  <c r="A545"/>
  <c r="A556"/>
  <c r="A560"/>
  <c r="A568"/>
  <c r="A575"/>
  <c r="A580"/>
  <c r="A588"/>
  <c r="A592"/>
  <c r="A597"/>
  <c r="A605"/>
  <c r="A609"/>
  <c r="A617"/>
  <c r="A623"/>
  <c r="A630"/>
  <c r="A635"/>
  <c r="A639"/>
  <c r="A647"/>
  <c r="A658"/>
  <c r="A662"/>
  <c r="A667"/>
  <c r="A671"/>
  <c r="A677"/>
  <c r="A684"/>
  <c r="A689"/>
  <c r="A697"/>
  <c r="A705"/>
  <c r="A709"/>
  <c r="A714"/>
  <c r="A718"/>
  <c r="A722"/>
  <c r="A726"/>
  <c r="A731"/>
  <c r="A735"/>
  <c r="A739"/>
  <c r="A743"/>
  <c r="A747"/>
  <c r="A751"/>
  <c r="A755"/>
  <c r="A759"/>
  <c r="A763"/>
  <c r="A767"/>
  <c r="A771"/>
  <c r="A775"/>
  <c r="A779"/>
  <c r="A783"/>
  <c r="A787"/>
  <c r="A791"/>
  <c r="A795"/>
  <c r="A799"/>
  <c r="A803"/>
  <c r="A807"/>
  <c r="A811"/>
  <c r="A815"/>
  <c r="A819"/>
  <c r="A823"/>
  <c r="A827"/>
  <c r="A831"/>
  <c r="A835"/>
  <c r="A839"/>
  <c r="A843"/>
  <c r="A847"/>
  <c r="A851"/>
  <c r="A856"/>
  <c r="A860"/>
  <c r="A864"/>
  <c r="A868"/>
  <c r="A872"/>
  <c r="A876"/>
  <c r="A880"/>
  <c r="A884"/>
  <c r="A888"/>
  <c r="A892"/>
  <c r="A896"/>
  <c r="A900"/>
  <c r="A904"/>
  <c r="A908"/>
  <c r="A912"/>
  <c r="A916"/>
  <c r="A920"/>
  <c r="A924"/>
  <c r="A928"/>
  <c r="A932"/>
  <c r="A936"/>
  <c r="A940"/>
  <c r="A944"/>
  <c r="A948"/>
  <c r="A952"/>
  <c r="A956"/>
  <c r="A960"/>
  <c r="A964"/>
  <c r="A968"/>
  <c r="A972"/>
  <c r="A976"/>
  <c r="A980"/>
  <c r="A984"/>
  <c r="A988"/>
  <c r="A992"/>
  <c r="A996"/>
  <c r="A1000"/>
  <c r="A1004"/>
  <c r="A1008"/>
  <c r="A1012"/>
  <c r="A1016"/>
  <c r="A1020"/>
  <c r="A1024"/>
  <c r="A1028"/>
  <c r="A1032"/>
  <c r="A1036"/>
  <c r="A1040"/>
  <c r="A1044"/>
  <c r="A1048"/>
  <c r="A1052"/>
  <c r="A1056"/>
  <c r="A1060"/>
  <c r="A1064"/>
  <c r="A1068"/>
  <c r="A1072"/>
  <c r="A1076"/>
  <c r="A1080"/>
  <c r="A1084"/>
  <c r="A1088"/>
  <c r="A1092"/>
  <c r="A1096"/>
  <c r="A1100"/>
  <c r="A1104"/>
  <c r="A107"/>
  <c r="A104"/>
  <c r="I103" l="1"/>
  <c r="I1104"/>
  <c r="I1107"/>
  <c r="I1106"/>
  <c r="I1105"/>
  <c r="I106"/>
  <c r="I109"/>
  <c r="I108"/>
  <c r="I105"/>
  <c r="I107"/>
  <c r="I104"/>
  <c r="I110"/>
  <c r="I111"/>
  <c r="I112"/>
  <c r="I113"/>
  <c r="I114"/>
  <c r="I115"/>
  <c r="I116"/>
  <c r="I117"/>
  <c r="I118"/>
  <c r="I119"/>
  <c r="I120"/>
  <c r="I121"/>
  <c r="I122"/>
  <c r="I123"/>
  <c r="I124"/>
  <c r="I125"/>
  <c r="I126"/>
  <c r="I127"/>
  <c r="I128"/>
  <c r="I129"/>
  <c r="I130"/>
  <c r="I131"/>
  <c r="I132"/>
  <c r="I133"/>
  <c r="I134"/>
  <c r="I135"/>
  <c r="I136"/>
  <c r="I137"/>
  <c r="I138"/>
  <c r="I139"/>
  <c r="I140"/>
  <c r="I141"/>
  <c r="I142"/>
  <c r="I143"/>
  <c r="I14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59"/>
  <c r="I260"/>
  <c r="I261"/>
  <c r="I262"/>
  <c r="I263"/>
  <c r="I264"/>
  <c r="I265"/>
  <c r="I266"/>
  <c r="I267"/>
  <c r="I268"/>
  <c r="I269"/>
  <c r="I270"/>
  <c r="I271"/>
  <c r="I272"/>
  <c r="I273"/>
  <c r="I274"/>
  <c r="I275"/>
  <c r="I276"/>
  <c r="I277"/>
  <c r="I278"/>
  <c r="I279"/>
  <c r="I280"/>
  <c r="I281"/>
  <c r="I282"/>
  <c r="I283"/>
  <c r="I284"/>
  <c r="I285"/>
  <c r="I286"/>
  <c r="I287"/>
  <c r="I288"/>
  <c r="I289"/>
  <c r="I290"/>
  <c r="I291"/>
  <c r="I292"/>
  <c r="I293"/>
  <c r="I294"/>
  <c r="I295"/>
  <c r="I296"/>
  <c r="I297"/>
  <c r="I298"/>
  <c r="I299"/>
  <c r="I300"/>
  <c r="I301"/>
  <c r="I302"/>
  <c r="I303"/>
  <c r="I304"/>
  <c r="I305"/>
  <c r="I306"/>
  <c r="I307"/>
  <c r="I308"/>
  <c r="I309"/>
  <c r="I310"/>
  <c r="I311"/>
  <c r="I312"/>
  <c r="I313"/>
  <c r="I314"/>
  <c r="I315"/>
  <c r="I316"/>
  <c r="I317"/>
  <c r="I318"/>
  <c r="I319"/>
  <c r="I320"/>
  <c r="I321"/>
  <c r="I322"/>
  <c r="I323"/>
  <c r="I324"/>
  <c r="I325"/>
  <c r="I326"/>
  <c r="I327"/>
  <c r="I328"/>
  <c r="I329"/>
  <c r="I330"/>
  <c r="I331"/>
  <c r="I332"/>
  <c r="I333"/>
  <c r="I334"/>
  <c r="I335"/>
  <c r="I336"/>
  <c r="I337"/>
  <c r="I338"/>
  <c r="I339"/>
  <c r="I340"/>
  <c r="I341"/>
  <c r="I342"/>
  <c r="I343"/>
  <c r="I344"/>
  <c r="I345"/>
  <c r="I346"/>
  <c r="I347"/>
  <c r="I348"/>
  <c r="I349"/>
  <c r="I350"/>
  <c r="I351"/>
  <c r="I352"/>
  <c r="I353"/>
  <c r="I354"/>
  <c r="I355"/>
  <c r="I356"/>
  <c r="I357"/>
  <c r="I358"/>
  <c r="I359"/>
  <c r="I360"/>
  <c r="I361"/>
  <c r="I362"/>
  <c r="I363"/>
  <c r="I364"/>
  <c r="I365"/>
  <c r="I366"/>
  <c r="I367"/>
  <c r="I368"/>
  <c r="I369"/>
  <c r="I370"/>
  <c r="I371"/>
  <c r="I372"/>
  <c r="I373"/>
  <c r="I374"/>
  <c r="I375"/>
  <c r="I376"/>
  <c r="I377"/>
  <c r="I378"/>
  <c r="I379"/>
  <c r="I380"/>
  <c r="I381"/>
  <c r="I382"/>
  <c r="I383"/>
  <c r="I384"/>
  <c r="I385"/>
  <c r="I386"/>
  <c r="I387"/>
  <c r="I388"/>
  <c r="I389"/>
  <c r="I390"/>
  <c r="I391"/>
  <c r="I392"/>
  <c r="I393"/>
  <c r="I394"/>
  <c r="I395"/>
  <c r="I396"/>
  <c r="I397"/>
  <c r="I398"/>
  <c r="I399"/>
  <c r="I400"/>
  <c r="I401"/>
  <c r="I402"/>
  <c r="I403"/>
  <c r="I404"/>
  <c r="I405"/>
  <c r="I406"/>
  <c r="I407"/>
  <c r="I408"/>
  <c r="I409"/>
  <c r="I410"/>
  <c r="I411"/>
  <c r="I412"/>
  <c r="I413"/>
  <c r="I414"/>
  <c r="I415"/>
  <c r="I416"/>
  <c r="I417"/>
  <c r="I418"/>
  <c r="I419"/>
  <c r="I420"/>
  <c r="I421"/>
  <c r="I422"/>
  <c r="I423"/>
  <c r="I424"/>
  <c r="I425"/>
  <c r="I426"/>
  <c r="I427"/>
  <c r="I428"/>
  <c r="I429"/>
  <c r="I430"/>
  <c r="I431"/>
  <c r="I432"/>
  <c r="I433"/>
  <c r="I434"/>
  <c r="I435"/>
  <c r="I436"/>
  <c r="I437"/>
  <c r="I438"/>
  <c r="I439"/>
  <c r="I440"/>
  <c r="I441"/>
  <c r="I442"/>
  <c r="I443"/>
  <c r="I444"/>
  <c r="I445"/>
  <c r="I446"/>
  <c r="I447"/>
  <c r="I448"/>
  <c r="I449"/>
  <c r="I450"/>
  <c r="I451"/>
  <c r="I452"/>
  <c r="I453"/>
  <c r="I454"/>
  <c r="I455"/>
  <c r="I456"/>
  <c r="I457"/>
  <c r="I458"/>
  <c r="I459"/>
  <c r="I460"/>
  <c r="I461"/>
  <c r="I462"/>
  <c r="I463"/>
  <c r="I464"/>
  <c r="I465"/>
  <c r="I466"/>
  <c r="I467"/>
  <c r="I468"/>
  <c r="I469"/>
  <c r="I470"/>
  <c r="I471"/>
  <c r="I472"/>
  <c r="I473"/>
  <c r="I474"/>
  <c r="I475"/>
  <c r="I476"/>
  <c r="I477"/>
  <c r="I478"/>
  <c r="I479"/>
  <c r="I480"/>
  <c r="I481"/>
  <c r="I482"/>
  <c r="I483"/>
  <c r="I484"/>
  <c r="I485"/>
  <c r="I486"/>
  <c r="I487"/>
  <c r="I488"/>
  <c r="I489"/>
  <c r="I490"/>
  <c r="I491"/>
  <c r="I492"/>
  <c r="I493"/>
  <c r="I494"/>
  <c r="I495"/>
  <c r="I496"/>
  <c r="I497"/>
  <c r="I498"/>
  <c r="I499"/>
  <c r="I500"/>
  <c r="I501"/>
  <c r="I502"/>
  <c r="I503"/>
  <c r="I504"/>
  <c r="I505"/>
  <c r="I506"/>
  <c r="I507"/>
  <c r="I508"/>
  <c r="I509"/>
  <c r="I510"/>
  <c r="I511"/>
  <c r="I512"/>
  <c r="I513"/>
  <c r="I514"/>
  <c r="I515"/>
  <c r="I516"/>
  <c r="I517"/>
  <c r="I518"/>
  <c r="I519"/>
  <c r="I520"/>
  <c r="I521"/>
  <c r="I522"/>
  <c r="I523"/>
  <c r="I524"/>
  <c r="I525"/>
  <c r="I526"/>
  <c r="I527"/>
  <c r="I528"/>
  <c r="I529"/>
  <c r="I530"/>
  <c r="I531"/>
  <c r="I532"/>
  <c r="I533"/>
  <c r="I534"/>
  <c r="I535"/>
  <c r="I536"/>
  <c r="I537"/>
  <c r="I538"/>
  <c r="I539"/>
  <c r="I540"/>
  <c r="I541"/>
  <c r="I542"/>
  <c r="I543"/>
  <c r="I544"/>
  <c r="I545"/>
  <c r="I546"/>
  <c r="I547"/>
  <c r="I548"/>
  <c r="I549"/>
  <c r="I550"/>
  <c r="I551"/>
  <c r="I552"/>
  <c r="I553"/>
  <c r="I554"/>
  <c r="I555"/>
  <c r="I556"/>
  <c r="I557"/>
  <c r="I558"/>
  <c r="I559"/>
  <c r="I560"/>
  <c r="I561"/>
  <c r="I562"/>
  <c r="I563"/>
  <c r="I564"/>
  <c r="I565"/>
  <c r="I566"/>
  <c r="I567"/>
  <c r="I568"/>
  <c r="I569"/>
  <c r="I570"/>
  <c r="I571"/>
  <c r="I572"/>
  <c r="I573"/>
  <c r="I574"/>
  <c r="I575"/>
  <c r="I576"/>
  <c r="I577"/>
  <c r="I578"/>
  <c r="I579"/>
  <c r="I580"/>
  <c r="I581"/>
  <c r="I582"/>
  <c r="I583"/>
  <c r="I584"/>
  <c r="I585"/>
  <c r="I586"/>
  <c r="I587"/>
  <c r="I588"/>
  <c r="I589"/>
  <c r="I590"/>
  <c r="I591"/>
  <c r="I592"/>
  <c r="I593"/>
  <c r="I594"/>
  <c r="I595"/>
  <c r="I596"/>
  <c r="I597"/>
  <c r="I598"/>
  <c r="I599"/>
  <c r="I600"/>
  <c r="I601"/>
  <c r="I602"/>
  <c r="I603"/>
  <c r="I604"/>
  <c r="I605"/>
  <c r="I606"/>
  <c r="I607"/>
  <c r="I608"/>
  <c r="I609"/>
  <c r="I610"/>
  <c r="I611"/>
  <c r="I612"/>
  <c r="I613"/>
  <c r="I614"/>
  <c r="I615"/>
  <c r="I616"/>
  <c r="I617"/>
  <c r="I618"/>
  <c r="I619"/>
  <c r="I620"/>
  <c r="I621"/>
  <c r="I622"/>
  <c r="I623"/>
  <c r="I624"/>
  <c r="I625"/>
  <c r="I626"/>
  <c r="I627"/>
  <c r="I628"/>
  <c r="I629"/>
  <c r="I630"/>
  <c r="I631"/>
  <c r="I632"/>
  <c r="I633"/>
  <c r="I634"/>
  <c r="I635"/>
  <c r="I636"/>
  <c r="I637"/>
  <c r="I638"/>
  <c r="I639"/>
  <c r="I640"/>
  <c r="I641"/>
  <c r="I642"/>
  <c r="I643"/>
  <c r="I644"/>
  <c r="I645"/>
  <c r="I646"/>
  <c r="I647"/>
  <c r="I648"/>
  <c r="I649"/>
  <c r="I650"/>
  <c r="I651"/>
  <c r="I652"/>
  <c r="I653"/>
  <c r="I654"/>
  <c r="I655"/>
  <c r="I656"/>
  <c r="I657"/>
  <c r="I658"/>
  <c r="I659"/>
  <c r="I660"/>
  <c r="I661"/>
  <c r="I662"/>
  <c r="I663"/>
  <c r="I664"/>
  <c r="I665"/>
  <c r="I666"/>
  <c r="I667"/>
  <c r="I668"/>
  <c r="I669"/>
  <c r="I670"/>
  <c r="I671"/>
  <c r="I672"/>
  <c r="I673"/>
  <c r="I674"/>
  <c r="I675"/>
  <c r="I676"/>
  <c r="I677"/>
  <c r="I678"/>
  <c r="I679"/>
  <c r="I680"/>
  <c r="I681"/>
  <c r="I682"/>
  <c r="I683"/>
  <c r="I684"/>
  <c r="I685"/>
  <c r="I686"/>
  <c r="I687"/>
  <c r="I688"/>
  <c r="I689"/>
  <c r="I690"/>
  <c r="I691"/>
  <c r="I692"/>
  <c r="I693"/>
  <c r="I694"/>
  <c r="I695"/>
  <c r="I696"/>
  <c r="I697"/>
  <c r="I698"/>
  <c r="I699"/>
  <c r="I700"/>
  <c r="I701"/>
  <c r="I702"/>
  <c r="I703"/>
  <c r="I704"/>
  <c r="I705"/>
  <c r="I706"/>
  <c r="I707"/>
  <c r="I708"/>
  <c r="I709"/>
  <c r="I710"/>
  <c r="I711"/>
  <c r="I712"/>
  <c r="I713"/>
  <c r="I714"/>
  <c r="I715"/>
  <c r="I716"/>
  <c r="I717"/>
  <c r="I718"/>
  <c r="I719"/>
  <c r="I720"/>
  <c r="I721"/>
  <c r="I722"/>
  <c r="I723"/>
  <c r="I724"/>
  <c r="I725"/>
  <c r="I726"/>
  <c r="I727"/>
  <c r="I728"/>
  <c r="I729"/>
  <c r="I730"/>
  <c r="I731"/>
  <c r="I732"/>
  <c r="I733"/>
  <c r="I734"/>
  <c r="I735"/>
  <c r="I736"/>
  <c r="I737"/>
  <c r="I738"/>
  <c r="I739"/>
  <c r="I740"/>
  <c r="I741"/>
  <c r="I742"/>
  <c r="I743"/>
  <c r="I744"/>
  <c r="I745"/>
  <c r="I746"/>
  <c r="I747"/>
  <c r="I748"/>
  <c r="I749"/>
  <c r="I750"/>
  <c r="I751"/>
  <c r="I752"/>
  <c r="I753"/>
  <c r="I754"/>
  <c r="I755"/>
  <c r="I756"/>
  <c r="I757"/>
  <c r="I758"/>
  <c r="I759"/>
  <c r="I760"/>
  <c r="I761"/>
  <c r="I762"/>
  <c r="I763"/>
  <c r="I764"/>
  <c r="I765"/>
  <c r="I766"/>
  <c r="I767"/>
  <c r="I768"/>
  <c r="I769"/>
  <c r="I770"/>
  <c r="I771"/>
  <c r="I772"/>
  <c r="I773"/>
  <c r="I774"/>
  <c r="I775"/>
  <c r="I776"/>
  <c r="I777"/>
  <c r="I778"/>
  <c r="I779"/>
  <c r="I780"/>
  <c r="I781"/>
  <c r="I782"/>
  <c r="I783"/>
  <c r="I784"/>
  <c r="I785"/>
  <c r="I786"/>
  <c r="I787"/>
  <c r="I788"/>
  <c r="I789"/>
  <c r="I790"/>
  <c r="I791"/>
  <c r="I792"/>
  <c r="I793"/>
  <c r="I794"/>
  <c r="I795"/>
  <c r="I796"/>
  <c r="I797"/>
  <c r="I798"/>
  <c r="I799"/>
  <c r="I800"/>
  <c r="I801"/>
  <c r="I802"/>
  <c r="I803"/>
  <c r="I804"/>
  <c r="I805"/>
  <c r="I806"/>
  <c r="I807"/>
  <c r="I808"/>
  <c r="I809"/>
  <c r="I810"/>
  <c r="I811"/>
  <c r="I812"/>
  <c r="I813"/>
  <c r="I814"/>
  <c r="I815"/>
  <c r="I816"/>
  <c r="I817"/>
  <c r="I818"/>
  <c r="I819"/>
  <c r="I820"/>
  <c r="I821"/>
  <c r="I822"/>
  <c r="I823"/>
  <c r="I824"/>
  <c r="I825"/>
  <c r="I826"/>
  <c r="I827"/>
  <c r="I828"/>
  <c r="I829"/>
  <c r="I830"/>
  <c r="I831"/>
  <c r="I832"/>
  <c r="I833"/>
  <c r="I834"/>
  <c r="I835"/>
  <c r="I836"/>
  <c r="I837"/>
  <c r="I838"/>
  <c r="I839"/>
  <c r="I840"/>
  <c r="I841"/>
  <c r="I842"/>
  <c r="I843"/>
  <c r="I844"/>
  <c r="I845"/>
  <c r="I846"/>
  <c r="I847"/>
  <c r="I848"/>
  <c r="I849"/>
  <c r="I850"/>
  <c r="I851"/>
  <c r="I852"/>
  <c r="I853"/>
  <c r="I854"/>
  <c r="I855"/>
  <c r="I856"/>
  <c r="I857"/>
  <c r="I858"/>
  <c r="I859"/>
  <c r="I860"/>
  <c r="I861"/>
  <c r="I862"/>
  <c r="I863"/>
  <c r="I864"/>
  <c r="I865"/>
  <c r="I866"/>
  <c r="I867"/>
  <c r="I868"/>
  <c r="I869"/>
  <c r="I870"/>
  <c r="I871"/>
  <c r="I872"/>
  <c r="I873"/>
  <c r="I874"/>
  <c r="I875"/>
  <c r="I876"/>
  <c r="I877"/>
  <c r="I878"/>
  <c r="I879"/>
  <c r="I880"/>
  <c r="I881"/>
  <c r="I882"/>
  <c r="I883"/>
  <c r="I884"/>
  <c r="I885"/>
  <c r="I886"/>
  <c r="I887"/>
  <c r="I888"/>
  <c r="I889"/>
  <c r="I890"/>
  <c r="I891"/>
  <c r="I892"/>
  <c r="I893"/>
  <c r="I894"/>
  <c r="I895"/>
  <c r="I896"/>
  <c r="I897"/>
  <c r="I898"/>
  <c r="I899"/>
  <c r="I900"/>
  <c r="I901"/>
  <c r="I902"/>
  <c r="I903"/>
  <c r="I904"/>
  <c r="I905"/>
  <c r="I906"/>
  <c r="I907"/>
  <c r="I908"/>
  <c r="I909"/>
  <c r="I910"/>
  <c r="I911"/>
  <c r="I912"/>
  <c r="I913"/>
  <c r="I914"/>
  <c r="I915"/>
  <c r="I916"/>
  <c r="I917"/>
  <c r="I918"/>
  <c r="I919"/>
  <c r="I920"/>
  <c r="I921"/>
  <c r="I922"/>
  <c r="I923"/>
  <c r="I924"/>
  <c r="I925"/>
  <c r="I926"/>
  <c r="I927"/>
  <c r="I928"/>
  <c r="I929"/>
  <c r="I930"/>
  <c r="I931"/>
  <c r="I932"/>
  <c r="I933"/>
  <c r="I934"/>
  <c r="I935"/>
  <c r="I936"/>
  <c r="I937"/>
  <c r="I938"/>
  <c r="I939"/>
  <c r="I940"/>
  <c r="I941"/>
  <c r="I942"/>
  <c r="I943"/>
  <c r="I944"/>
  <c r="I945"/>
  <c r="I946"/>
  <c r="I947"/>
  <c r="I948"/>
  <c r="I949"/>
  <c r="I950"/>
  <c r="I951"/>
  <c r="I952"/>
  <c r="I953"/>
  <c r="I954"/>
  <c r="I955"/>
  <c r="I956"/>
  <c r="I957"/>
  <c r="I958"/>
  <c r="I959"/>
  <c r="I960"/>
  <c r="I961"/>
  <c r="I962"/>
  <c r="I963"/>
  <c r="I964"/>
  <c r="I965"/>
  <c r="I966"/>
  <c r="I967"/>
  <c r="I968"/>
  <c r="I969"/>
  <c r="I970"/>
  <c r="I971"/>
  <c r="I972"/>
  <c r="I973"/>
  <c r="I974"/>
  <c r="I975"/>
  <c r="I976"/>
  <c r="I977"/>
  <c r="I978"/>
  <c r="I979"/>
  <c r="I980"/>
  <c r="I981"/>
  <c r="I982"/>
  <c r="I983"/>
  <c r="I984"/>
  <c r="I985"/>
  <c r="I986"/>
  <c r="I987"/>
  <c r="I988"/>
  <c r="I989"/>
  <c r="I990"/>
  <c r="I991"/>
  <c r="I992"/>
  <c r="I993"/>
  <c r="I994"/>
  <c r="I995"/>
  <c r="I996"/>
  <c r="I997"/>
  <c r="I998"/>
  <c r="I999"/>
  <c r="I1000"/>
  <c r="I1001"/>
  <c r="I1002"/>
  <c r="I1003"/>
  <c r="I1004"/>
  <c r="I1005"/>
  <c r="I1006"/>
  <c r="I1007"/>
  <c r="I1008"/>
  <c r="I1009"/>
  <c r="I1010"/>
  <c r="I1011"/>
  <c r="I1012"/>
  <c r="I1013"/>
  <c r="I1014"/>
  <c r="I1015"/>
  <c r="I1016"/>
  <c r="I1017"/>
  <c r="I1018"/>
  <c r="I1019"/>
  <c r="I1020"/>
  <c r="I1021"/>
  <c r="I1022"/>
  <c r="I1023"/>
  <c r="I1024"/>
  <c r="I1025"/>
  <c r="I1026"/>
  <c r="I1027"/>
  <c r="I1028"/>
  <c r="I1029"/>
  <c r="I1030"/>
  <c r="I1031"/>
  <c r="I1032"/>
  <c r="I1033"/>
  <c r="I1034"/>
  <c r="I1035"/>
  <c r="I1036"/>
  <c r="I1037"/>
  <c r="I1038"/>
  <c r="I1039"/>
  <c r="I1040"/>
  <c r="I1041"/>
  <c r="I1042"/>
  <c r="I1043"/>
  <c r="I1044"/>
  <c r="I1045"/>
  <c r="I1046"/>
  <c r="I1047"/>
  <c r="I1048"/>
  <c r="I1049"/>
  <c r="I1050"/>
  <c r="I1051"/>
  <c r="I1052"/>
  <c r="I1053"/>
  <c r="I1054"/>
  <c r="I1055"/>
  <c r="I1056"/>
  <c r="I1057"/>
  <c r="I1058"/>
  <c r="I1059"/>
  <c r="I1060"/>
  <c r="I1061"/>
  <c r="I1062"/>
  <c r="I1063"/>
  <c r="I1064"/>
  <c r="I1065"/>
  <c r="I1066"/>
  <c r="I1067"/>
  <c r="I1068"/>
  <c r="I1069"/>
  <c r="I1070"/>
  <c r="I1071"/>
  <c r="I1072"/>
  <c r="I1073"/>
  <c r="I1074"/>
  <c r="I1075"/>
  <c r="I1076"/>
  <c r="I1077"/>
  <c r="I1078"/>
  <c r="I1079"/>
  <c r="I1080"/>
  <c r="I1081"/>
  <c r="I1082"/>
  <c r="I1083"/>
  <c r="I1084"/>
  <c r="I1085"/>
  <c r="I1086"/>
  <c r="I1087"/>
  <c r="I1088"/>
  <c r="I1089"/>
  <c r="I1090"/>
  <c r="I1091"/>
  <c r="I1092"/>
  <c r="I1093"/>
  <c r="I1094"/>
  <c r="I1095"/>
  <c r="I1096"/>
  <c r="I1097"/>
  <c r="I1098"/>
  <c r="I1099"/>
  <c r="I1100"/>
  <c r="I1101"/>
  <c r="I1102"/>
  <c r="I1103"/>
  <c r="B94"/>
  <c r="I92" i="41"/>
  <c r="I93"/>
  <c r="I94"/>
  <c r="I95"/>
  <c r="I97"/>
  <c r="I96"/>
  <c r="I98"/>
  <c r="I99"/>
  <c r="I100"/>
  <c r="I101"/>
  <c r="I102"/>
  <c r="I103"/>
  <c r="I104"/>
  <c r="I105"/>
  <c r="I106"/>
  <c r="I107"/>
  <c r="I108"/>
  <c r="I109"/>
  <c r="I110"/>
  <c r="I111"/>
  <c r="I112"/>
  <c r="I113"/>
  <c r="I114"/>
  <c r="I115"/>
  <c r="I116"/>
  <c r="I117"/>
  <c r="I118"/>
  <c r="I119"/>
  <c r="I120"/>
  <c r="I121"/>
  <c r="I122"/>
  <c r="I123"/>
  <c r="I124"/>
  <c r="I125"/>
  <c r="I126"/>
  <c r="I127"/>
  <c r="I128"/>
  <c r="I129"/>
  <c r="I130"/>
  <c r="I131"/>
  <c r="I132"/>
  <c r="I133"/>
  <c r="I134"/>
  <c r="I135"/>
  <c r="I136"/>
  <c r="I137"/>
  <c r="I138"/>
  <c r="I139"/>
  <c r="I140"/>
  <c r="I141"/>
  <c r="I142"/>
  <c r="I143"/>
  <c r="I14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59"/>
  <c r="I260"/>
  <c r="I261"/>
  <c r="I262"/>
  <c r="I263"/>
  <c r="I264"/>
  <c r="I265"/>
  <c r="I266"/>
  <c r="I267"/>
  <c r="I268"/>
  <c r="I269"/>
  <c r="I270"/>
  <c r="I271"/>
  <c r="I272"/>
  <c r="I273"/>
  <c r="I274"/>
  <c r="I275"/>
  <c r="I276"/>
  <c r="I277"/>
  <c r="I278"/>
  <c r="I279"/>
  <c r="I280"/>
  <c r="I281"/>
  <c r="I282"/>
  <c r="I283"/>
  <c r="I284"/>
  <c r="I285"/>
  <c r="I286"/>
  <c r="I287"/>
  <c r="I288"/>
  <c r="I289"/>
  <c r="I290"/>
  <c r="I291"/>
  <c r="I292"/>
  <c r="I293"/>
  <c r="I294"/>
  <c r="I295"/>
  <c r="I296"/>
  <c r="I297"/>
  <c r="I298"/>
  <c r="I299"/>
  <c r="I300"/>
  <c r="I301"/>
  <c r="I302"/>
  <c r="I303"/>
  <c r="I304"/>
  <c r="I305"/>
  <c r="I306"/>
  <c r="I307"/>
  <c r="I308"/>
  <c r="I309"/>
  <c r="I310"/>
  <c r="I311"/>
  <c r="I312"/>
  <c r="I313"/>
  <c r="I314"/>
  <c r="I315"/>
  <c r="I316"/>
  <c r="I317"/>
  <c r="I318"/>
  <c r="I319"/>
  <c r="I320"/>
  <c r="I321"/>
  <c r="I322"/>
  <c r="I323"/>
  <c r="I324"/>
  <c r="I325"/>
  <c r="I326"/>
  <c r="I327"/>
  <c r="I328"/>
  <c r="I329"/>
  <c r="I330"/>
  <c r="I331"/>
  <c r="I332"/>
  <c r="I333"/>
  <c r="I334"/>
  <c r="I335"/>
  <c r="I336"/>
  <c r="I337"/>
  <c r="I338"/>
  <c r="I339"/>
  <c r="I340"/>
  <c r="I341"/>
  <c r="I342"/>
  <c r="I343"/>
  <c r="I344"/>
  <c r="I345"/>
  <c r="I346"/>
  <c r="I347"/>
  <c r="I348"/>
  <c r="I349"/>
  <c r="I350"/>
  <c r="I351"/>
  <c r="I352"/>
  <c r="I353"/>
  <c r="I354"/>
  <c r="I355"/>
  <c r="I356"/>
  <c r="I357"/>
  <c r="I358"/>
  <c r="I359"/>
  <c r="I360"/>
  <c r="I361"/>
  <c r="I362"/>
  <c r="I363"/>
  <c r="I364"/>
  <c r="I365"/>
  <c r="I366"/>
  <c r="I367"/>
  <c r="I368"/>
  <c r="I369"/>
  <c r="I370"/>
  <c r="I371"/>
  <c r="I372"/>
  <c r="I373"/>
  <c r="I374"/>
  <c r="I375"/>
  <c r="I376"/>
  <c r="I377"/>
  <c r="I378"/>
  <c r="I379"/>
  <c r="I380"/>
  <c r="I381"/>
  <c r="I382"/>
  <c r="I383"/>
  <c r="I384"/>
  <c r="I385"/>
  <c r="I386"/>
  <c r="I387"/>
  <c r="I388"/>
  <c r="I389"/>
  <c r="I390"/>
  <c r="I391"/>
  <c r="I392"/>
  <c r="I393"/>
  <c r="I394"/>
  <c r="I395"/>
  <c r="I396"/>
  <c r="I397"/>
  <c r="I398"/>
  <c r="I399"/>
  <c r="I400"/>
  <c r="I401"/>
  <c r="I402"/>
  <c r="I403"/>
  <c r="I404"/>
  <c r="I405"/>
  <c r="I406"/>
  <c r="I407"/>
  <c r="I408"/>
  <c r="I409"/>
  <c r="I410"/>
  <c r="I411"/>
  <c r="I412"/>
  <c r="I413"/>
  <c r="I414"/>
  <c r="I415"/>
  <c r="I416"/>
  <c r="I417"/>
  <c r="I418"/>
  <c r="I419"/>
  <c r="I420"/>
  <c r="I421"/>
  <c r="I422"/>
  <c r="I423"/>
  <c r="I424"/>
  <c r="I425"/>
  <c r="I426"/>
  <c r="I427"/>
  <c r="I428"/>
  <c r="I429"/>
  <c r="I430"/>
  <c r="I431"/>
  <c r="I432"/>
  <c r="I433"/>
  <c r="I434"/>
  <c r="I435"/>
  <c r="I436"/>
  <c r="I437"/>
  <c r="I438"/>
  <c r="I439"/>
  <c r="I440"/>
  <c r="I441"/>
  <c r="I442"/>
  <c r="I443"/>
  <c r="I444"/>
  <c r="I445"/>
  <c r="I446"/>
  <c r="I447"/>
  <c r="I448"/>
  <c r="I449"/>
  <c r="I450"/>
  <c r="I451"/>
  <c r="I452"/>
  <c r="I453"/>
  <c r="I454"/>
  <c r="I455"/>
  <c r="I456"/>
  <c r="I457"/>
  <c r="I458"/>
  <c r="I459"/>
  <c r="I460"/>
  <c r="I461"/>
  <c r="I462"/>
  <c r="I463"/>
  <c r="I464"/>
  <c r="I465"/>
  <c r="I466"/>
  <c r="I467"/>
  <c r="I468"/>
  <c r="I469"/>
  <c r="I470"/>
  <c r="I471"/>
  <c r="I472"/>
  <c r="I473"/>
  <c r="I474"/>
  <c r="I475"/>
  <c r="I476"/>
  <c r="I477"/>
  <c r="I478"/>
  <c r="I479"/>
  <c r="I480"/>
  <c r="I481"/>
  <c r="I482"/>
  <c r="I483"/>
  <c r="I484"/>
  <c r="I485"/>
  <c r="I486"/>
  <c r="I487"/>
  <c r="I488"/>
  <c r="I489"/>
  <c r="I490"/>
  <c r="I491"/>
  <c r="I492"/>
  <c r="I493"/>
  <c r="I494"/>
  <c r="I495"/>
  <c r="I496"/>
  <c r="I497"/>
  <c r="I498"/>
  <c r="I499"/>
  <c r="I500"/>
  <c r="I501"/>
  <c r="I502"/>
  <c r="I503"/>
  <c r="I504"/>
  <c r="I505"/>
  <c r="I506"/>
  <c r="I507"/>
  <c r="I508"/>
  <c r="I509"/>
  <c r="I510"/>
  <c r="I511"/>
  <c r="I512"/>
  <c r="I513"/>
  <c r="I514"/>
  <c r="I515"/>
  <c r="I516"/>
  <c r="I517"/>
  <c r="I518"/>
  <c r="I519"/>
  <c r="I520"/>
  <c r="I521"/>
  <c r="I522"/>
  <c r="I523"/>
  <c r="I524"/>
  <c r="I525"/>
  <c r="I526"/>
  <c r="I527"/>
  <c r="I528"/>
  <c r="I529"/>
  <c r="I530"/>
  <c r="I531"/>
  <c r="I532"/>
  <c r="I533"/>
  <c r="I534"/>
  <c r="I535"/>
  <c r="I536"/>
  <c r="I537"/>
  <c r="I538"/>
  <c r="I539"/>
  <c r="I540"/>
  <c r="I541"/>
  <c r="I542"/>
  <c r="I543"/>
  <c r="I544"/>
  <c r="I545"/>
  <c r="I546"/>
  <c r="I547"/>
  <c r="I548"/>
  <c r="I549"/>
  <c r="I550"/>
  <c r="I551"/>
  <c r="I552"/>
  <c r="I553"/>
  <c r="I554"/>
  <c r="I555"/>
  <c r="I556"/>
  <c r="I557"/>
  <c r="I558"/>
  <c r="I559"/>
  <c r="I560"/>
  <c r="I561"/>
  <c r="I562"/>
  <c r="I563"/>
  <c r="I564"/>
  <c r="I565"/>
  <c r="I566"/>
  <c r="I567"/>
  <c r="I568"/>
  <c r="I569"/>
  <c r="I570"/>
  <c r="I571"/>
  <c r="I572"/>
  <c r="I573"/>
  <c r="I574"/>
  <c r="I575"/>
  <c r="I576"/>
  <c r="I577"/>
  <c r="I578"/>
  <c r="I579"/>
  <c r="I580"/>
  <c r="I581"/>
  <c r="I582"/>
  <c r="I583"/>
  <c r="I584"/>
  <c r="I585"/>
  <c r="I586"/>
  <c r="I587"/>
  <c r="I588"/>
  <c r="I589"/>
  <c r="I590"/>
  <c r="I591"/>
  <c r="I592"/>
  <c r="I593"/>
  <c r="I594"/>
  <c r="I595"/>
  <c r="I596"/>
  <c r="I597"/>
  <c r="I598"/>
  <c r="I599"/>
  <c r="I600"/>
  <c r="I601"/>
  <c r="I602"/>
  <c r="I603"/>
  <c r="I604"/>
  <c r="I605"/>
  <c r="I606"/>
  <c r="I607"/>
  <c r="I608"/>
  <c r="I609"/>
  <c r="I610"/>
  <c r="I611"/>
  <c r="I612"/>
  <c r="I613"/>
  <c r="I614"/>
  <c r="I615"/>
  <c r="I616"/>
  <c r="I617"/>
  <c r="I618"/>
  <c r="I619"/>
  <c r="I620"/>
  <c r="I621"/>
  <c r="I622"/>
  <c r="I623"/>
  <c r="I624"/>
  <c r="I625"/>
  <c r="I626"/>
  <c r="I627"/>
  <c r="I628"/>
  <c r="I629"/>
  <c r="I630"/>
  <c r="I631"/>
  <c r="I632"/>
  <c r="I633"/>
  <c r="I634"/>
  <c r="I635"/>
  <c r="I636"/>
  <c r="I637"/>
  <c r="I638"/>
  <c r="I639"/>
  <c r="I640"/>
  <c r="I641"/>
  <c r="I642"/>
  <c r="I643"/>
  <c r="I644"/>
  <c r="I645"/>
  <c r="I646"/>
  <c r="I647"/>
  <c r="I648"/>
  <c r="I649"/>
  <c r="I650"/>
  <c r="I651"/>
  <c r="I652"/>
  <c r="I653"/>
  <c r="I654"/>
  <c r="I655"/>
  <c r="I656"/>
  <c r="I657"/>
  <c r="I658"/>
  <c r="I659"/>
  <c r="I660"/>
  <c r="I661"/>
  <c r="I662"/>
  <c r="I663"/>
  <c r="I664"/>
  <c r="I665"/>
  <c r="I666"/>
  <c r="I667"/>
  <c r="I668"/>
  <c r="I669"/>
  <c r="I670"/>
  <c r="I671"/>
  <c r="I672"/>
  <c r="I673"/>
  <c r="I674"/>
  <c r="I675"/>
  <c r="I676"/>
  <c r="I677"/>
  <c r="I678"/>
  <c r="I679"/>
  <c r="I680"/>
  <c r="I681"/>
  <c r="I682"/>
  <c r="I683"/>
  <c r="I684"/>
  <c r="I685"/>
  <c r="I686"/>
  <c r="I687"/>
  <c r="I688"/>
  <c r="I689"/>
  <c r="I690"/>
  <c r="I691"/>
  <c r="I692"/>
  <c r="I693"/>
  <c r="I694"/>
  <c r="I695"/>
  <c r="I696"/>
  <c r="I697"/>
  <c r="I698"/>
  <c r="I699"/>
  <c r="I700"/>
  <c r="I701"/>
  <c r="I702"/>
  <c r="I703"/>
  <c r="I704"/>
  <c r="I705"/>
  <c r="I706"/>
  <c r="I707"/>
  <c r="I708"/>
  <c r="I709"/>
  <c r="I710"/>
  <c r="I711"/>
  <c r="I712"/>
  <c r="I713"/>
  <c r="I714"/>
  <c r="I715"/>
  <c r="I716"/>
  <c r="I717"/>
  <c r="I718"/>
  <c r="I719"/>
  <c r="I720"/>
  <c r="I721"/>
  <c r="I722"/>
  <c r="I723"/>
  <c r="I724"/>
  <c r="I725"/>
  <c r="I726"/>
  <c r="I727"/>
  <c r="I728"/>
  <c r="I729"/>
  <c r="I730"/>
  <c r="I731"/>
  <c r="I732"/>
  <c r="I733"/>
  <c r="I734"/>
  <c r="I735"/>
  <c r="I736"/>
  <c r="I737"/>
  <c r="I738"/>
  <c r="I739"/>
  <c r="I740"/>
  <c r="I741"/>
  <c r="I742"/>
  <c r="I743"/>
  <c r="I744"/>
  <c r="I745"/>
  <c r="I746"/>
  <c r="I747"/>
  <c r="I748"/>
  <c r="I749"/>
  <c r="I750"/>
  <c r="I751"/>
  <c r="I752"/>
  <c r="I753"/>
  <c r="I754"/>
  <c r="I755"/>
  <c r="I756"/>
  <c r="I757"/>
  <c r="I758"/>
  <c r="I759"/>
  <c r="I760"/>
  <c r="I761"/>
  <c r="I762"/>
  <c r="I763"/>
  <c r="I764"/>
  <c r="I765"/>
  <c r="I766"/>
  <c r="I767"/>
  <c r="I768"/>
  <c r="I769"/>
  <c r="I770"/>
  <c r="I771"/>
  <c r="I772"/>
  <c r="I773"/>
  <c r="I774"/>
  <c r="I775"/>
  <c r="I776"/>
  <c r="I777"/>
  <c r="I778"/>
  <c r="I779"/>
  <c r="I780"/>
  <c r="I781"/>
  <c r="I782"/>
  <c r="I783"/>
  <c r="I784"/>
  <c r="I785"/>
  <c r="I786"/>
  <c r="I787"/>
  <c r="I788"/>
  <c r="I789"/>
  <c r="I790"/>
  <c r="I791"/>
  <c r="I792"/>
  <c r="I793"/>
  <c r="I794"/>
  <c r="I795"/>
  <c r="I796"/>
  <c r="I797"/>
  <c r="I798"/>
  <c r="I799"/>
  <c r="I800"/>
  <c r="I801"/>
  <c r="I802"/>
  <c r="I803"/>
  <c r="I804"/>
  <c r="I805"/>
  <c r="I806"/>
  <c r="I807"/>
  <c r="I808"/>
  <c r="I809"/>
  <c r="I810"/>
  <c r="I811"/>
  <c r="I812"/>
  <c r="I813"/>
  <c r="I814"/>
  <c r="I815"/>
  <c r="I816"/>
  <c r="I817"/>
  <c r="I818"/>
  <c r="I819"/>
  <c r="I820"/>
  <c r="I821"/>
  <c r="I822"/>
  <c r="I823"/>
  <c r="I824"/>
  <c r="I825"/>
  <c r="I826"/>
  <c r="I827"/>
  <c r="I828"/>
  <c r="I829"/>
  <c r="I830"/>
  <c r="I831"/>
  <c r="I832"/>
  <c r="I833"/>
  <c r="I834"/>
  <c r="I835"/>
  <c r="I836"/>
  <c r="I837"/>
  <c r="I838"/>
  <c r="I839"/>
  <c r="I840"/>
  <c r="I841"/>
  <c r="I842"/>
  <c r="I843"/>
  <c r="I844"/>
  <c r="I845"/>
  <c r="I846"/>
  <c r="I847"/>
  <c r="I848"/>
  <c r="I849"/>
  <c r="I850"/>
  <c r="I851"/>
  <c r="I852"/>
  <c r="I853"/>
  <c r="I854"/>
  <c r="I855"/>
  <c r="I856"/>
  <c r="I857"/>
  <c r="I858"/>
  <c r="I859"/>
  <c r="I860"/>
  <c r="I861"/>
  <c r="I862"/>
  <c r="I863"/>
  <c r="I864"/>
  <c r="I865"/>
  <c r="I866"/>
  <c r="I867"/>
  <c r="I868"/>
  <c r="I869"/>
  <c r="I870"/>
  <c r="I871"/>
  <c r="I872"/>
  <c r="I873"/>
  <c r="I874"/>
  <c r="I875"/>
  <c r="I876"/>
  <c r="I877"/>
  <c r="I878"/>
  <c r="I879"/>
  <c r="I880"/>
  <c r="I881"/>
  <c r="I882"/>
  <c r="I883"/>
  <c r="I884"/>
  <c r="I885"/>
  <c r="I886"/>
  <c r="I887"/>
  <c r="I888"/>
  <c r="I889"/>
  <c r="I890"/>
  <c r="I891"/>
  <c r="I892"/>
  <c r="I893"/>
  <c r="I894"/>
  <c r="I895"/>
  <c r="I896"/>
  <c r="I897"/>
  <c r="I898"/>
  <c r="I899"/>
  <c r="I900"/>
  <c r="I901"/>
  <c r="I902"/>
  <c r="I903"/>
  <c r="I904"/>
  <c r="I905"/>
  <c r="I906"/>
  <c r="I907"/>
  <c r="I908"/>
  <c r="I909"/>
  <c r="I910"/>
  <c r="I911"/>
  <c r="I912"/>
  <c r="I913"/>
  <c r="I914"/>
  <c r="I915"/>
  <c r="I916"/>
  <c r="I917"/>
  <c r="I918"/>
  <c r="I919"/>
  <c r="I920"/>
  <c r="I921"/>
  <c r="I922"/>
  <c r="I923"/>
  <c r="I924"/>
  <c r="I925"/>
  <c r="I926"/>
  <c r="I927"/>
  <c r="I928"/>
  <c r="I929"/>
  <c r="I930"/>
  <c r="I931"/>
  <c r="I932"/>
  <c r="I933"/>
  <c r="I934"/>
  <c r="I935"/>
  <c r="I936"/>
  <c r="I937"/>
  <c r="I938"/>
  <c r="I939"/>
  <c r="I940"/>
  <c r="I941"/>
  <c r="I942"/>
  <c r="I943"/>
  <c r="I944"/>
  <c r="I945"/>
  <c r="I946"/>
  <c r="I947"/>
  <c r="I948"/>
  <c r="I949"/>
  <c r="I950"/>
  <c r="I951"/>
  <c r="I952"/>
  <c r="I953"/>
  <c r="I954"/>
  <c r="I955"/>
  <c r="I956"/>
  <c r="I957"/>
  <c r="I958"/>
  <c r="I959"/>
  <c r="I960"/>
  <c r="I961"/>
  <c r="I962"/>
  <c r="I963"/>
  <c r="I964"/>
  <c r="I965"/>
  <c r="I966"/>
  <c r="I967"/>
  <c r="I968"/>
  <c r="I969"/>
  <c r="I970"/>
  <c r="I971"/>
  <c r="I972"/>
  <c r="I973"/>
  <c r="I974"/>
  <c r="I975"/>
  <c r="I976"/>
  <c r="I977"/>
  <c r="I978"/>
  <c r="I979"/>
  <c r="I980"/>
  <c r="I981"/>
  <c r="I982"/>
  <c r="I983"/>
  <c r="I984"/>
  <c r="I985"/>
  <c r="I986"/>
  <c r="I987"/>
  <c r="I988"/>
  <c r="I989"/>
  <c r="I990"/>
  <c r="I991"/>
  <c r="I992"/>
  <c r="I993"/>
  <c r="I994"/>
  <c r="I995"/>
  <c r="I996"/>
  <c r="I997"/>
  <c r="I998"/>
  <c r="I999"/>
  <c r="I1000"/>
  <c r="I1001"/>
  <c r="I1002"/>
  <c r="I1003"/>
  <c r="I1004"/>
  <c r="I1005"/>
  <c r="I1006"/>
  <c r="I1007"/>
  <c r="I1008"/>
  <c r="I1009"/>
  <c r="I1010"/>
  <c r="I1011"/>
  <c r="I1012"/>
  <c r="I1013"/>
  <c r="I1014"/>
  <c r="I1015"/>
  <c r="I1016"/>
  <c r="I1017"/>
  <c r="I1018"/>
  <c r="I1019"/>
  <c r="I1020"/>
  <c r="I1021"/>
  <c r="I1022"/>
  <c r="I1023"/>
  <c r="I1024"/>
  <c r="I1025"/>
  <c r="I1026"/>
  <c r="I1027"/>
  <c r="I1028"/>
  <c r="I1029"/>
  <c r="I1030"/>
  <c r="I1031"/>
  <c r="I1032"/>
  <c r="I1033"/>
  <c r="I1034"/>
  <c r="I1035"/>
  <c r="I1036"/>
  <c r="I1037"/>
  <c r="I1038"/>
  <c r="I1039"/>
  <c r="I1040"/>
  <c r="I1041"/>
  <c r="I1042"/>
  <c r="I1043"/>
  <c r="I1044"/>
  <c r="I1045"/>
  <c r="I1046"/>
  <c r="I1047"/>
  <c r="I1048"/>
  <c r="I1049"/>
  <c r="I1050"/>
  <c r="I1051"/>
  <c r="I1052"/>
  <c r="I1053"/>
  <c r="I1054"/>
  <c r="I1055"/>
  <c r="I1056"/>
  <c r="I1057"/>
  <c r="I1058"/>
  <c r="I1059"/>
  <c r="I1060"/>
  <c r="I1061"/>
  <c r="I1062"/>
  <c r="I1063"/>
  <c r="I1064"/>
  <c r="I1065"/>
  <c r="I1066"/>
  <c r="I1067"/>
  <c r="I1068"/>
  <c r="I1069"/>
  <c r="I1070"/>
  <c r="I1071"/>
  <c r="I1072"/>
  <c r="I1073"/>
  <c r="I1074"/>
  <c r="I1075"/>
  <c r="I1076"/>
  <c r="I1077"/>
  <c r="I1078"/>
  <c r="I1079"/>
  <c r="I1080"/>
  <c r="I1081"/>
  <c r="I1082"/>
  <c r="I1083"/>
  <c r="I1084"/>
  <c r="I1085"/>
  <c r="I1086"/>
  <c r="I1087"/>
  <c r="I1088"/>
  <c r="I1089"/>
  <c r="I1091"/>
  <c r="I1092"/>
  <c r="I1090"/>
  <c r="B83"/>
  <c r="J90" l="1"/>
  <c r="L102" s="1"/>
  <c r="J101" i="40"/>
  <c r="L112" s="1"/>
</calcChain>
</file>

<file path=xl/comments1.xml><?xml version="1.0" encoding="utf-8"?>
<comments xmlns="http://schemas.openxmlformats.org/spreadsheetml/2006/main">
  <authors>
    <author>Geoff Cumming</author>
  </authors>
  <commentList>
    <comment ref="K3" authorId="0">
      <text>
        <r>
          <rPr>
            <sz val="9"/>
            <color indexed="81"/>
            <rFont val="Tahoma"/>
            <family val="2"/>
          </rPr>
          <t>ESCI to accompany "Introduction to The New Statistics &amp; Open Science" introductory textbook</t>
        </r>
      </text>
    </comment>
  </commentList>
</comments>
</file>

<file path=xl/comments2.xml><?xml version="1.0" encoding="utf-8"?>
<comments xmlns="http://schemas.openxmlformats.org/spreadsheetml/2006/main">
  <authors>
    <author>Geoff Cumming</author>
  </authors>
  <commentList>
    <comment ref="A6" authorId="0">
      <text>
        <r>
          <rPr>
            <sz val="9"/>
            <color indexed="81"/>
            <rFont val="Tahoma"/>
            <family val="2"/>
          </rPr>
          <t xml:space="preserve">Use slider below figure to set target MoE of 95% CI.
The figure is a graph of required </t>
        </r>
        <r>
          <rPr>
            <i/>
            <sz val="9"/>
            <color indexed="81"/>
            <rFont val="Tahoma"/>
            <family val="2"/>
          </rPr>
          <t>N</t>
        </r>
        <r>
          <rPr>
            <sz val="9"/>
            <color indexed="81"/>
            <rFont val="Tahoma"/>
            <family val="2"/>
          </rPr>
          <t xml:space="preserve"> against target MoE.
</t>
        </r>
        <r>
          <rPr>
            <i/>
            <sz val="9"/>
            <color indexed="81"/>
            <rFont val="Tahoma"/>
            <family val="2"/>
          </rPr>
          <t>N</t>
        </r>
        <r>
          <rPr>
            <sz val="9"/>
            <color indexed="81"/>
            <rFont val="Tahoma"/>
            <family val="2"/>
          </rPr>
          <t xml:space="preserve"> is the size of each of the two independent groups. 
Min </t>
        </r>
        <r>
          <rPr>
            <i/>
            <sz val="9"/>
            <color indexed="81"/>
            <rFont val="Tahoma"/>
            <family val="2"/>
          </rPr>
          <t>N</t>
        </r>
        <r>
          <rPr>
            <sz val="9"/>
            <color indexed="81"/>
            <rFont val="Tahoma"/>
            <family val="2"/>
          </rPr>
          <t xml:space="preserve"> is 3.</t>
        </r>
      </text>
    </comment>
    <comment ref="E7" authorId="0">
      <text>
        <r>
          <rPr>
            <sz val="9"/>
            <color indexed="81"/>
            <rFont val="Tahoma"/>
            <family val="2"/>
          </rPr>
          <t xml:space="preserve">Position of cursor on lower axis, which marks target MoE of 95% CI
</t>
        </r>
      </text>
    </comment>
    <comment ref="A11" authorId="0">
      <text>
        <r>
          <rPr>
            <sz val="9"/>
            <color indexed="81"/>
            <rFont val="Tahoma"/>
            <family val="2"/>
          </rPr>
          <t>Choose which curve(s) to display and highlight</t>
        </r>
      </text>
    </comment>
    <comment ref="F13" authorId="0">
      <text>
        <r>
          <rPr>
            <sz val="9"/>
            <color indexed="81"/>
            <rFont val="Tahoma"/>
            <family val="2"/>
          </rPr>
          <t xml:space="preserve">Click to display a black curve showing </t>
        </r>
        <r>
          <rPr>
            <i/>
            <sz val="9"/>
            <color indexed="81"/>
            <rFont val="Tahoma"/>
            <family val="2"/>
          </rPr>
          <t>N</t>
        </r>
        <r>
          <rPr>
            <sz val="9"/>
            <color indexed="81"/>
            <rFont val="Tahoma"/>
            <family val="2"/>
          </rPr>
          <t xml:space="preserve"> required to achieve target MoE on average, in the long run.
____________
The brown distribution at the bottom is the distribution of MoE values, if </t>
        </r>
        <r>
          <rPr>
            <i/>
            <sz val="9"/>
            <color indexed="81"/>
            <rFont val="Tahoma"/>
            <family val="2"/>
          </rPr>
          <t>N</t>
        </r>
        <r>
          <rPr>
            <sz val="9"/>
            <color indexed="81"/>
            <rFont val="Tahoma"/>
            <family val="2"/>
          </rPr>
          <t xml:space="preserve"> = value in black marked on the cursor.
The black vertical line to the left of the curve is the probability density axis for this distribution.</t>
        </r>
      </text>
    </comment>
    <comment ref="G15" authorId="0">
      <text>
        <r>
          <rPr>
            <sz val="9"/>
            <color indexed="81"/>
            <rFont val="Tahoma"/>
            <family val="2"/>
          </rPr>
          <t xml:space="preserve">Click to display a red curve showing </t>
        </r>
        <r>
          <rPr>
            <i/>
            <sz val="9"/>
            <color indexed="81"/>
            <rFont val="Tahoma"/>
            <family val="2"/>
          </rPr>
          <t>N</t>
        </r>
        <r>
          <rPr>
            <sz val="9"/>
            <color indexed="81"/>
            <rFont val="Tahoma"/>
            <family val="2"/>
          </rPr>
          <t xml:space="preserve"> required to achieve target MoE, with 99% assurance. There is at least a 99% chance that observed MoE will be less than target MoE.
The </t>
        </r>
        <r>
          <rPr>
            <i/>
            <sz val="9"/>
            <color indexed="81"/>
            <rFont val="Tahoma"/>
            <family val="2"/>
          </rPr>
          <t>N</t>
        </r>
        <r>
          <rPr>
            <sz val="9"/>
            <color indexed="81"/>
            <rFont val="Tahoma"/>
            <family val="2"/>
          </rPr>
          <t xml:space="preserve"> curve for MoE, on average, is shown in gray.
_____________
The brown distribution at the bottom is the distribution of MoE values, if N = value in red marked on the cursor.
The black vertical line to the left of the curve is the probability density axis for this distribution.</t>
        </r>
      </text>
    </comment>
    <comment ref="A18" authorId="0">
      <text>
        <r>
          <rPr>
            <sz val="9"/>
            <color indexed="81"/>
            <rFont val="Tahoma"/>
            <family val="2"/>
          </rPr>
          <t xml:space="preserve">Click to display </t>
        </r>
        <r>
          <rPr>
            <i/>
            <sz val="9"/>
            <color indexed="81"/>
            <rFont val="Tahoma"/>
            <family val="2"/>
          </rPr>
          <t>N</t>
        </r>
        <r>
          <rPr>
            <sz val="9"/>
            <color indexed="81"/>
            <rFont val="Tahoma"/>
            <family val="2"/>
          </rPr>
          <t xml:space="preserve"> values for every point on curve(s)</t>
        </r>
        <r>
          <rPr>
            <sz val="9"/>
            <color indexed="81"/>
            <rFont val="Tahoma"/>
            <family val="2"/>
          </rPr>
          <t xml:space="preserve">
</t>
        </r>
      </text>
    </comment>
    <comment ref="E19" authorId="0">
      <text>
        <r>
          <rPr>
            <sz val="9"/>
            <color indexed="81"/>
            <rFont val="Tahoma"/>
            <family val="2"/>
          </rPr>
          <t xml:space="preserve">Click to display </t>
        </r>
        <r>
          <rPr>
            <i/>
            <sz val="9"/>
            <color indexed="81"/>
            <rFont val="Tahoma"/>
            <family val="2"/>
          </rPr>
          <t>N</t>
        </r>
        <r>
          <rPr>
            <sz val="9"/>
            <color indexed="81"/>
            <rFont val="Tahoma"/>
            <family val="2"/>
          </rPr>
          <t xml:space="preserve"> values for every point on curve(s)</t>
        </r>
        <r>
          <rPr>
            <sz val="9"/>
            <color indexed="81"/>
            <rFont val="Tahoma"/>
            <family val="2"/>
          </rPr>
          <t xml:space="preserve">
</t>
        </r>
      </text>
    </comment>
    <comment ref="A22" authorId="0">
      <text>
        <r>
          <rPr>
            <sz val="9"/>
            <color indexed="81"/>
            <rFont val="Tahoma"/>
            <family val="2"/>
          </rPr>
          <t>Use small slider to choose where displayed curve is truncated at left end. 
____________
Adjust so that cursor intersects with displayed curve.</t>
        </r>
      </text>
    </comment>
    <comment ref="E24" authorId="0">
      <text>
        <r>
          <rPr>
            <sz val="9"/>
            <color indexed="81"/>
            <rFont val="Tahoma"/>
            <family val="2"/>
          </rPr>
          <t>Use small slider below to choose where displayed curve is truncated at left end. Vertical axis changes so curves are more easily distinguished.
____________
Adjust so that cursor intersects with displayed curve. Min 0.1, max 0.3</t>
        </r>
      </text>
    </comment>
    <comment ref="I36" authorId="0">
      <text>
        <r>
          <rPr>
            <sz val="9"/>
            <color indexed="81"/>
            <rFont val="Tahoma"/>
            <family val="2"/>
          </rPr>
          <t xml:space="preserve">Use this slider to move cursor, which sets the target MoE, expressed in units of population SD. 
__________
The value of target MoE is shown also at </t>
        </r>
        <r>
          <rPr>
            <b/>
            <sz val="9"/>
            <color indexed="10"/>
            <rFont val="Tahoma"/>
            <family val="2"/>
          </rPr>
          <t>1</t>
        </r>
        <r>
          <rPr>
            <sz val="9"/>
            <color indexed="81"/>
            <rFont val="Tahoma"/>
            <family val="2"/>
          </rPr>
          <t xml:space="preserve">.
</t>
        </r>
      </text>
    </comment>
    <comment ref="G86" authorId="0">
      <text>
        <r>
          <rPr>
            <sz val="8"/>
            <color indexed="81"/>
            <rFont val="Tahoma"/>
            <family val="2"/>
          </rPr>
          <t>Now always false</t>
        </r>
        <r>
          <rPr>
            <sz val="10"/>
            <color indexed="81"/>
            <rFont val="Tahoma"/>
            <family val="2"/>
          </rPr>
          <t xml:space="preserve">
</t>
        </r>
      </text>
    </comment>
    <comment ref="G87" authorId="0">
      <text>
        <r>
          <rPr>
            <sz val="8"/>
            <color indexed="81"/>
            <rFont val="Tahoma"/>
            <family val="2"/>
          </rPr>
          <t>Remove option to use dunb.  Don't revise all cells in hidden columns to left, but ignore J and the capability to calculate using dunb.</t>
        </r>
        <r>
          <rPr>
            <sz val="10"/>
            <color indexed="81"/>
            <rFont val="Tahoma"/>
            <family val="2"/>
          </rPr>
          <t xml:space="preserve">
</t>
        </r>
      </text>
    </comment>
  </commentList>
</comments>
</file>

<file path=xl/comments3.xml><?xml version="1.0" encoding="utf-8"?>
<comments xmlns="http://schemas.openxmlformats.org/spreadsheetml/2006/main">
  <authors>
    <author>Geoff Cumming</author>
  </authors>
  <commentList>
    <comment ref="A6" authorId="0">
      <text>
        <r>
          <rPr>
            <sz val="9"/>
            <color indexed="81"/>
            <rFont val="Tahoma"/>
            <family val="2"/>
          </rPr>
          <t xml:space="preserve">Use the slider to set a value of </t>
        </r>
        <r>
          <rPr>
            <sz val="10"/>
            <color indexed="81"/>
            <rFont val="Symbol"/>
            <family val="1"/>
            <charset val="2"/>
          </rPr>
          <t>r</t>
        </r>
        <r>
          <rPr>
            <sz val="9"/>
            <color indexed="81"/>
            <rFont val="Tahoma"/>
            <family val="2"/>
          </rPr>
          <t>, the correlation between the two measures (e.g., pretest and posttest) in the population.</t>
        </r>
      </text>
    </comment>
    <comment ref="D8" authorId="0">
      <text>
        <r>
          <rPr>
            <sz val="9"/>
            <color indexed="81"/>
            <rFont val="Tahoma"/>
            <family val="2"/>
          </rPr>
          <t xml:space="preserve">Use the slider to set a value of </t>
        </r>
        <r>
          <rPr>
            <sz val="10"/>
            <color indexed="81"/>
            <rFont val="Symbol"/>
            <family val="1"/>
            <charset val="2"/>
          </rPr>
          <t>r</t>
        </r>
        <r>
          <rPr>
            <sz val="9"/>
            <color indexed="81"/>
            <rFont val="Tahoma"/>
            <family val="2"/>
          </rPr>
          <t>, the correlation between the two measures in the population.
______________  
After change, the display may take a little time to update.</t>
        </r>
      </text>
    </comment>
    <comment ref="A11" authorId="0">
      <text>
        <r>
          <rPr>
            <sz val="9"/>
            <color indexed="81"/>
            <rFont val="Tahoma"/>
            <family val="2"/>
          </rPr>
          <t xml:space="preserve">Use slider below figure to set target MoE of 95% CI.
The figure is a graph of required </t>
        </r>
        <r>
          <rPr>
            <i/>
            <sz val="9"/>
            <color indexed="81"/>
            <rFont val="Tahoma"/>
            <family val="2"/>
          </rPr>
          <t>N</t>
        </r>
        <r>
          <rPr>
            <sz val="9"/>
            <color indexed="81"/>
            <rFont val="Tahoma"/>
            <family val="2"/>
          </rPr>
          <t xml:space="preserve"> against target MoE.
</t>
        </r>
        <r>
          <rPr>
            <i/>
            <sz val="9"/>
            <color indexed="81"/>
            <rFont val="Tahoma"/>
            <family val="2"/>
          </rPr>
          <t>N</t>
        </r>
        <r>
          <rPr>
            <sz val="9"/>
            <color indexed="81"/>
            <rFont val="Tahoma"/>
            <family val="2"/>
          </rPr>
          <t xml:space="preserve"> is the number of data pairs. Min </t>
        </r>
        <r>
          <rPr>
            <i/>
            <sz val="9"/>
            <color indexed="81"/>
            <rFont val="Tahoma"/>
            <family val="2"/>
          </rPr>
          <t>N</t>
        </r>
        <r>
          <rPr>
            <sz val="9"/>
            <color indexed="81"/>
            <rFont val="Tahoma"/>
            <family val="2"/>
          </rPr>
          <t xml:space="preserve"> is 3.
</t>
        </r>
      </text>
    </comment>
    <comment ref="E12" authorId="0">
      <text>
        <r>
          <rPr>
            <sz val="9"/>
            <color indexed="81"/>
            <rFont val="Tahoma"/>
            <family val="2"/>
          </rPr>
          <t xml:space="preserve">Position of cursor on lower axis, which marks target MoE
</t>
        </r>
      </text>
    </comment>
    <comment ref="A16" authorId="0">
      <text>
        <r>
          <rPr>
            <sz val="9"/>
            <color indexed="81"/>
            <rFont val="Tahoma"/>
            <family val="2"/>
          </rPr>
          <t>Choose which curve(s) to display and highlight</t>
        </r>
      </text>
    </comment>
    <comment ref="F18" authorId="0">
      <text>
        <r>
          <rPr>
            <sz val="9"/>
            <color indexed="81"/>
            <rFont val="Tahoma"/>
            <family val="2"/>
          </rPr>
          <t xml:space="preserve">Click to display a black curve showing </t>
        </r>
        <r>
          <rPr>
            <i/>
            <sz val="9"/>
            <color indexed="81"/>
            <rFont val="Tahoma"/>
            <family val="2"/>
          </rPr>
          <t>N</t>
        </r>
        <r>
          <rPr>
            <sz val="9"/>
            <color indexed="81"/>
            <rFont val="Tahoma"/>
            <family val="2"/>
          </rPr>
          <t xml:space="preserve"> required to achieve target MoE on average, in the long run.
____________
The brown distribution at the bottom is the distribution of MoE values, if </t>
        </r>
        <r>
          <rPr>
            <i/>
            <sz val="9"/>
            <color indexed="81"/>
            <rFont val="Tahoma"/>
            <family val="2"/>
          </rPr>
          <t>N</t>
        </r>
        <r>
          <rPr>
            <sz val="9"/>
            <color indexed="81"/>
            <rFont val="Tahoma"/>
            <family val="2"/>
          </rPr>
          <t xml:space="preserve"> = value in black marked on the cursor.
The black vertical line to the left of the curve is the probability density axis for this distribution.</t>
        </r>
      </text>
    </comment>
    <comment ref="G20" authorId="0">
      <text>
        <r>
          <rPr>
            <sz val="9"/>
            <color indexed="81"/>
            <rFont val="Tahoma"/>
            <family val="2"/>
          </rPr>
          <t xml:space="preserve">Click to display a red curve showing </t>
        </r>
        <r>
          <rPr>
            <i/>
            <sz val="9"/>
            <color indexed="81"/>
            <rFont val="Tahoma"/>
            <family val="2"/>
          </rPr>
          <t>N</t>
        </r>
        <r>
          <rPr>
            <sz val="9"/>
            <color indexed="81"/>
            <rFont val="Tahoma"/>
            <family val="2"/>
          </rPr>
          <t xml:space="preserve"> required to achieve target MoE, with 99% assurance. There is at least a 99% chance that observed MoE will be less than target MoE.
The </t>
        </r>
        <r>
          <rPr>
            <i/>
            <sz val="9"/>
            <color indexed="81"/>
            <rFont val="Tahoma"/>
            <family val="2"/>
          </rPr>
          <t>N</t>
        </r>
        <r>
          <rPr>
            <sz val="9"/>
            <color indexed="81"/>
            <rFont val="Tahoma"/>
            <family val="2"/>
          </rPr>
          <t xml:space="preserve"> curve for MoE, on average, is shown in gray.
_____________
The brown distribution at the bottom is the distribution of MoE values, if N = value in red marked on the cursor.
The black vertical line to the left of the curve is the probability density axis for this distribution.</t>
        </r>
      </text>
    </comment>
    <comment ref="A23" authorId="0">
      <text>
        <r>
          <rPr>
            <sz val="9"/>
            <color indexed="81"/>
            <rFont val="Tahoma"/>
            <family val="2"/>
          </rPr>
          <t xml:space="preserve">Click to display </t>
        </r>
        <r>
          <rPr>
            <i/>
            <sz val="9"/>
            <color indexed="81"/>
            <rFont val="Tahoma"/>
            <family val="2"/>
          </rPr>
          <t>N</t>
        </r>
        <r>
          <rPr>
            <sz val="9"/>
            <color indexed="81"/>
            <rFont val="Tahoma"/>
            <family val="2"/>
          </rPr>
          <t xml:space="preserve"> values for every point on curve(s)</t>
        </r>
        <r>
          <rPr>
            <sz val="9"/>
            <color indexed="81"/>
            <rFont val="Tahoma"/>
            <family val="2"/>
          </rPr>
          <t xml:space="preserve">
</t>
        </r>
      </text>
    </comment>
    <comment ref="E24" authorId="0">
      <text>
        <r>
          <rPr>
            <sz val="9"/>
            <color indexed="81"/>
            <rFont val="Tahoma"/>
            <family val="2"/>
          </rPr>
          <t xml:space="preserve">Click to display </t>
        </r>
        <r>
          <rPr>
            <i/>
            <sz val="9"/>
            <color indexed="81"/>
            <rFont val="Tahoma"/>
            <family val="2"/>
          </rPr>
          <t>N</t>
        </r>
        <r>
          <rPr>
            <sz val="9"/>
            <color indexed="81"/>
            <rFont val="Tahoma"/>
            <family val="2"/>
          </rPr>
          <t xml:space="preserve"> values for every point on curve(s)</t>
        </r>
        <r>
          <rPr>
            <sz val="9"/>
            <color indexed="81"/>
            <rFont val="Tahoma"/>
            <family val="2"/>
          </rPr>
          <t xml:space="preserve">
</t>
        </r>
      </text>
    </comment>
    <comment ref="A27" authorId="0">
      <text>
        <r>
          <rPr>
            <sz val="9"/>
            <color indexed="81"/>
            <rFont val="Tahoma"/>
            <family val="2"/>
          </rPr>
          <t>Use small slider to choose where displayed curve is truncated at left end. 
____________
Adjust so that cursor intersects with displayed curve.</t>
        </r>
      </text>
    </comment>
    <comment ref="E29" authorId="0">
      <text>
        <r>
          <rPr>
            <sz val="9"/>
            <color indexed="81"/>
            <rFont val="Tahoma"/>
            <family val="2"/>
          </rPr>
          <t>Use small slider below to choose where displayed curve is truncated at left end. Vertical axis changes so curves are more easily distinguished.
____________
Adjust so that cursor intersects with displayed curve.</t>
        </r>
      </text>
    </comment>
    <comment ref="I36" authorId="0">
      <text>
        <r>
          <rPr>
            <sz val="9"/>
            <color indexed="81"/>
            <rFont val="Tahoma"/>
            <family val="2"/>
          </rPr>
          <t xml:space="preserve">Use this slider to move cursor, which sets the target MoE, expressed in units of population SD. 
__________
The value of target MoE is shown also at </t>
        </r>
        <r>
          <rPr>
            <b/>
            <sz val="9"/>
            <color indexed="10"/>
            <rFont val="Tahoma"/>
            <family val="2"/>
          </rPr>
          <t>1</t>
        </r>
        <r>
          <rPr>
            <sz val="9"/>
            <color indexed="81"/>
            <rFont val="Tahoma"/>
            <family val="2"/>
          </rPr>
          <t xml:space="preserve">.
</t>
        </r>
      </text>
    </comment>
    <comment ref="G75" authorId="0">
      <text>
        <r>
          <rPr>
            <sz val="8"/>
            <color indexed="81"/>
            <rFont val="Tahoma"/>
            <family val="2"/>
          </rPr>
          <t>Now always false</t>
        </r>
        <r>
          <rPr>
            <sz val="10"/>
            <color indexed="81"/>
            <rFont val="Tahoma"/>
            <family val="2"/>
          </rPr>
          <t xml:space="preserve">
</t>
        </r>
      </text>
    </comment>
    <comment ref="G76" authorId="0">
      <text>
        <r>
          <rPr>
            <sz val="8"/>
            <color indexed="81"/>
            <rFont val="Tahoma"/>
            <family val="2"/>
          </rPr>
          <t>Remove option to use dunb.  Don't revise all cells in hidden columns to left, but ignore J and the capability to calculate using dunb.</t>
        </r>
        <r>
          <rPr>
            <sz val="10"/>
            <color indexed="81"/>
            <rFont val="Tahoma"/>
            <family val="2"/>
          </rPr>
          <t xml:space="preserve">
</t>
        </r>
      </text>
    </comment>
  </commentList>
</comments>
</file>

<file path=xl/comments4.xml><?xml version="1.0" encoding="utf-8"?>
<comments xmlns="http://schemas.openxmlformats.org/spreadsheetml/2006/main">
  <authors>
    <author>Geoff Cumming</author>
  </authors>
  <commentList>
    <comment ref="BU1" authorId="0">
      <text>
        <r>
          <rPr>
            <sz val="8"/>
            <color indexed="81"/>
            <rFont val="Tahoma"/>
            <family val="2"/>
          </rPr>
          <t xml:space="preserve">Display the linear regression lines: </t>
        </r>
        <r>
          <rPr>
            <i/>
            <sz val="8"/>
            <color indexed="81"/>
            <rFont val="Tahoma"/>
            <family val="2"/>
          </rPr>
          <t>Y</t>
        </r>
        <r>
          <rPr>
            <sz val="8"/>
            <color indexed="81"/>
            <rFont val="Tahoma"/>
            <family val="2"/>
          </rPr>
          <t xml:space="preserve"> against </t>
        </r>
        <r>
          <rPr>
            <i/>
            <sz val="8"/>
            <color indexed="81"/>
            <rFont val="Tahoma"/>
            <family val="2"/>
          </rPr>
          <t>X</t>
        </r>
        <r>
          <rPr>
            <sz val="8"/>
            <color indexed="81"/>
            <rFont val="Tahoma"/>
            <family val="2"/>
          </rPr>
          <t xml:space="preserve">, or 
</t>
        </r>
        <r>
          <rPr>
            <i/>
            <sz val="8"/>
            <color indexed="81"/>
            <rFont val="Tahoma"/>
            <family val="2"/>
          </rPr>
          <t>X</t>
        </r>
        <r>
          <rPr>
            <sz val="8"/>
            <color indexed="81"/>
            <rFont val="Tahoma"/>
            <family val="2"/>
          </rPr>
          <t xml:space="preserve"> against </t>
        </r>
        <r>
          <rPr>
            <i/>
            <sz val="8"/>
            <color indexed="81"/>
            <rFont val="Tahoma"/>
            <family val="2"/>
          </rPr>
          <t>Y</t>
        </r>
        <r>
          <rPr>
            <sz val="8"/>
            <color indexed="81"/>
            <rFont val="Tahoma"/>
            <family val="2"/>
          </rPr>
          <t xml:space="preserve">
</t>
        </r>
      </text>
    </comment>
    <comment ref="BV4" authorId="0">
      <text>
        <r>
          <rPr>
            <sz val="8"/>
            <color indexed="81"/>
            <rFont val="Tahoma"/>
            <family val="2"/>
          </rPr>
          <t xml:space="preserve">Slope of the regression of </t>
        </r>
        <r>
          <rPr>
            <i/>
            <sz val="8"/>
            <color indexed="81"/>
            <rFont val="Tahoma"/>
            <family val="2"/>
          </rPr>
          <t>Y</t>
        </r>
        <r>
          <rPr>
            <sz val="8"/>
            <color indexed="81"/>
            <rFont val="Tahoma"/>
            <family val="2"/>
          </rPr>
          <t xml:space="preserve"> against </t>
        </r>
        <r>
          <rPr>
            <i/>
            <sz val="8"/>
            <color indexed="81"/>
            <rFont val="Tahoma"/>
            <family val="2"/>
          </rPr>
          <t>X</t>
        </r>
        <r>
          <rPr>
            <sz val="8"/>
            <color indexed="81"/>
            <rFont val="Tahoma"/>
            <family val="2"/>
          </rPr>
          <t xml:space="preserve">
</t>
        </r>
      </text>
    </comment>
    <comment ref="D5" authorId="0">
      <text>
        <r>
          <rPr>
            <sz val="9"/>
            <color indexed="81"/>
            <rFont val="Tahoma"/>
            <family val="2"/>
          </rPr>
          <t xml:space="preserve">Set a value of </t>
        </r>
        <r>
          <rPr>
            <i/>
            <sz val="10"/>
            <color indexed="81"/>
            <rFont val="Tahoma"/>
            <family val="2"/>
          </rPr>
          <t>N</t>
        </r>
        <r>
          <rPr>
            <sz val="9"/>
            <color indexed="81"/>
            <rFont val="Tahoma"/>
            <family val="2"/>
          </rPr>
          <t xml:space="preserve">, the number of points in the data set
</t>
        </r>
      </text>
    </comment>
    <comment ref="G6" authorId="0">
      <text>
        <r>
          <rPr>
            <sz val="9"/>
            <color indexed="81"/>
            <rFont val="Tahoma"/>
            <family val="2"/>
          </rPr>
          <t xml:space="preserve">Choose number of points.  Use spinner, or type in a value.  Min=4, max=300.
_______________
Change </t>
        </r>
        <r>
          <rPr>
            <i/>
            <sz val="10"/>
            <color indexed="81"/>
            <rFont val="Tahoma"/>
            <family val="2"/>
          </rPr>
          <t>N</t>
        </r>
        <r>
          <rPr>
            <sz val="9"/>
            <color indexed="81"/>
            <rFont val="Tahoma"/>
            <family val="2"/>
          </rPr>
          <t xml:space="preserve"> with the spinner and a new data set is generated.
Change </t>
        </r>
        <r>
          <rPr>
            <i/>
            <sz val="10"/>
            <color indexed="81"/>
            <rFont val="Tahoma"/>
            <family val="2"/>
          </rPr>
          <t>N</t>
        </r>
        <r>
          <rPr>
            <sz val="9"/>
            <color indexed="81"/>
            <rFont val="Tahoma"/>
            <family val="2"/>
          </rPr>
          <t xml:space="preserve"> by typing a value and the data set disappears: Click at </t>
        </r>
        <r>
          <rPr>
            <b/>
            <sz val="9"/>
            <color indexed="10"/>
            <rFont val="Tahoma"/>
            <family val="2"/>
          </rPr>
          <t>4</t>
        </r>
        <r>
          <rPr>
            <sz val="9"/>
            <color indexed="81"/>
            <rFont val="Tahoma"/>
            <family val="2"/>
          </rPr>
          <t xml:space="preserve"> for a new one.</t>
        </r>
      </text>
    </comment>
    <comment ref="BV6" authorId="0">
      <text>
        <r>
          <rPr>
            <sz val="8"/>
            <color indexed="81"/>
            <rFont val="Tahoma"/>
            <family val="2"/>
          </rPr>
          <t xml:space="preserve">Slope of the regression of </t>
        </r>
        <r>
          <rPr>
            <i/>
            <sz val="8"/>
            <color indexed="81"/>
            <rFont val="Tahoma"/>
            <family val="2"/>
          </rPr>
          <t>X</t>
        </r>
        <r>
          <rPr>
            <sz val="8"/>
            <color indexed="81"/>
            <rFont val="Tahoma"/>
            <family val="2"/>
          </rPr>
          <t xml:space="preserve"> against </t>
        </r>
        <r>
          <rPr>
            <i/>
            <sz val="8"/>
            <color indexed="81"/>
            <rFont val="Tahoma"/>
            <family val="2"/>
          </rPr>
          <t>Y</t>
        </r>
        <r>
          <rPr>
            <sz val="8"/>
            <color indexed="81"/>
            <rFont val="Tahoma"/>
            <family val="2"/>
          </rPr>
          <t xml:space="preserve">
</t>
        </r>
      </text>
    </comment>
    <comment ref="D8" authorId="0">
      <text>
        <r>
          <rPr>
            <sz val="9"/>
            <color indexed="81"/>
            <rFont val="Tahoma"/>
            <family val="2"/>
          </rPr>
          <t xml:space="preserve">If you click to choose this radio button, then a data set is generated that has your chosen </t>
        </r>
        <r>
          <rPr>
            <i/>
            <sz val="11"/>
            <color indexed="81"/>
            <rFont val="Tahoma"/>
            <family val="2"/>
          </rPr>
          <t>r</t>
        </r>
        <r>
          <rPr>
            <sz val="9"/>
            <color indexed="81"/>
            <rFont val="Tahoma"/>
            <family val="2"/>
          </rPr>
          <t xml:space="preserve">. 
___________
The data set is randomly chosen, but with the constraint that </t>
        </r>
        <r>
          <rPr>
            <i/>
            <sz val="11"/>
            <color indexed="81"/>
            <rFont val="Tahoma"/>
            <family val="2"/>
          </rPr>
          <t>r</t>
        </r>
        <r>
          <rPr>
            <sz val="9"/>
            <color indexed="81"/>
            <rFont val="Tahoma"/>
            <family val="2"/>
          </rPr>
          <t xml:space="preserve"> has the desired target value.</t>
        </r>
      </text>
    </comment>
    <comment ref="J10" authorId="0">
      <text>
        <r>
          <rPr>
            <sz val="9"/>
            <color indexed="81"/>
            <rFont val="Tahoma"/>
            <family val="2"/>
          </rPr>
          <t xml:space="preserve">Use the slider to set your chosen </t>
        </r>
        <r>
          <rPr>
            <i/>
            <sz val="11"/>
            <color indexed="81"/>
            <rFont val="Tahoma"/>
            <family val="2"/>
          </rPr>
          <t>r</t>
        </r>
        <r>
          <rPr>
            <sz val="9"/>
            <color indexed="81"/>
            <rFont val="Tahoma"/>
            <family val="2"/>
          </rPr>
          <t xml:space="preserve"> for the data set that ESCI will generate.
</t>
        </r>
      </text>
    </comment>
    <comment ref="CA10" authorId="0">
      <text>
        <r>
          <rPr>
            <sz val="9"/>
            <color indexed="81"/>
            <rFont val="Tahoma"/>
            <family val="2"/>
          </rPr>
          <t xml:space="preserve">Display a line that is the best fit to the scatterplot. This is the correlation line.
______________
If </t>
        </r>
        <r>
          <rPr>
            <i/>
            <sz val="11"/>
            <color indexed="81"/>
            <rFont val="Tahoma"/>
            <family val="2"/>
          </rPr>
          <t>r</t>
        </r>
        <r>
          <rPr>
            <sz val="9"/>
            <color indexed="81"/>
            <rFont val="Tahoma"/>
            <family val="2"/>
          </rPr>
          <t xml:space="preserve"> &gt; 0, the correlation line slopes upward to the right.
If </t>
        </r>
        <r>
          <rPr>
            <i/>
            <sz val="11"/>
            <color indexed="81"/>
            <rFont val="Tahoma"/>
            <family val="2"/>
          </rPr>
          <t>r</t>
        </r>
        <r>
          <rPr>
            <sz val="9"/>
            <color indexed="81"/>
            <rFont val="Tahoma"/>
            <family val="2"/>
          </rPr>
          <t xml:space="preserve"> &lt; 0, it slopes downward to the right.</t>
        </r>
        <r>
          <rPr>
            <sz val="9"/>
            <color indexed="81"/>
            <rFont val="Tahoma"/>
            <family val="2"/>
          </rPr>
          <t xml:space="preserve">
If </t>
        </r>
        <r>
          <rPr>
            <i/>
            <sz val="11"/>
            <color indexed="81"/>
            <rFont val="Tahoma"/>
            <family val="2"/>
          </rPr>
          <t>r</t>
        </r>
        <r>
          <rPr>
            <sz val="9"/>
            <color indexed="81"/>
            <rFont val="Tahoma"/>
            <family val="2"/>
          </rPr>
          <t xml:space="preserve"> = 0, there is no correlation line.</t>
        </r>
      </text>
    </comment>
    <comment ref="I13" authorId="0">
      <text>
        <r>
          <rPr>
            <sz val="9"/>
            <color indexed="81"/>
            <rFont val="Tahoma"/>
            <family val="2"/>
          </rPr>
          <t xml:space="preserve">Value of correlation, </t>
        </r>
        <r>
          <rPr>
            <i/>
            <sz val="11"/>
            <color indexed="81"/>
            <rFont val="Tahoma"/>
            <family val="2"/>
          </rPr>
          <t>r</t>
        </r>
        <r>
          <rPr>
            <sz val="9"/>
            <color indexed="81"/>
            <rFont val="Tahoma"/>
            <family val="2"/>
          </rPr>
          <t xml:space="preserve">, calculated for the data set of the </t>
        </r>
        <r>
          <rPr>
            <i/>
            <sz val="10"/>
            <color indexed="81"/>
            <rFont val="Tahoma"/>
            <family val="2"/>
          </rPr>
          <t>N</t>
        </r>
        <r>
          <rPr>
            <sz val="9"/>
            <color indexed="81"/>
            <rFont val="Tahoma"/>
            <family val="2"/>
          </rPr>
          <t xml:space="preserve"> data points displayed. This should always equal the chosen target value of </t>
        </r>
        <r>
          <rPr>
            <i/>
            <sz val="11"/>
            <color indexed="81"/>
            <rFont val="Tahoma"/>
            <family val="2"/>
          </rPr>
          <t>r</t>
        </r>
        <r>
          <rPr>
            <sz val="9"/>
            <color indexed="81"/>
            <rFont val="Tahoma"/>
            <family val="2"/>
          </rPr>
          <t xml:space="preserve"> just above.
</t>
        </r>
      </text>
    </comment>
    <comment ref="D15" authorId="0">
      <text>
        <r>
          <rPr>
            <sz val="9"/>
            <color indexed="81"/>
            <rFont val="Tahoma"/>
            <family val="2"/>
          </rPr>
          <t xml:space="preserve">If you click to choose this radio button, every data set is a random sample of </t>
        </r>
        <r>
          <rPr>
            <i/>
            <sz val="10"/>
            <color indexed="81"/>
            <rFont val="Tahoma"/>
            <family val="2"/>
          </rPr>
          <t>N</t>
        </r>
        <r>
          <rPr>
            <sz val="9"/>
            <color indexed="81"/>
            <rFont val="Tahoma"/>
            <family val="2"/>
          </rPr>
          <t xml:space="preserve"> points from a population with correlation </t>
        </r>
        <r>
          <rPr>
            <sz val="11"/>
            <color indexed="81"/>
            <rFont val="Symbol"/>
            <family val="1"/>
            <charset val="2"/>
          </rPr>
          <t>r</t>
        </r>
        <r>
          <rPr>
            <sz val="9"/>
            <color indexed="81"/>
            <rFont val="Tahoma"/>
            <family val="2"/>
          </rPr>
          <t xml:space="preserve">. The sample correlation, </t>
        </r>
        <r>
          <rPr>
            <i/>
            <sz val="11"/>
            <color indexed="81"/>
            <rFont val="Tahoma"/>
            <family val="2"/>
          </rPr>
          <t>r</t>
        </r>
        <r>
          <rPr>
            <sz val="9"/>
            <color indexed="81"/>
            <rFont val="Tahoma"/>
            <family val="2"/>
          </rPr>
          <t xml:space="preserve">, will dance from sample to sample.
Red points at an edge indicate datapoints beyond the displayed area.
__________________  
The population is assumed to have a standard bivariate normal distribution.  </t>
        </r>
      </text>
    </comment>
    <comment ref="J17" authorId="0">
      <text>
        <r>
          <rPr>
            <sz val="9"/>
            <color indexed="81"/>
            <rFont val="Tahoma"/>
            <family val="2"/>
          </rPr>
          <t xml:space="preserve">Use the slider to choose the population value of Pearson's </t>
        </r>
        <r>
          <rPr>
            <sz val="11"/>
            <color indexed="81"/>
            <rFont val="Symbol"/>
            <family val="1"/>
            <charset val="2"/>
          </rPr>
          <t xml:space="preserve">r
</t>
        </r>
        <r>
          <rPr>
            <sz val="11"/>
            <color indexed="81"/>
            <rFont val="Tahoma"/>
            <family val="2"/>
          </rPr>
          <t xml:space="preserve">_____________
</t>
        </r>
        <r>
          <rPr>
            <sz val="9"/>
            <color indexed="81"/>
            <rFont val="Tahoma"/>
            <family val="2"/>
          </rPr>
          <t xml:space="preserve">When </t>
        </r>
        <r>
          <rPr>
            <sz val="11"/>
            <color indexed="81"/>
            <rFont val="Symbol"/>
            <family val="1"/>
            <charset val="2"/>
          </rPr>
          <t>r</t>
        </r>
        <r>
          <rPr>
            <sz val="9"/>
            <color indexed="81"/>
            <rFont val="Tahoma"/>
            <family val="2"/>
          </rPr>
          <t xml:space="preserve"> is changed, a new data set is generated.
</t>
        </r>
      </text>
    </comment>
    <comment ref="I20" authorId="0">
      <text>
        <r>
          <rPr>
            <sz val="9"/>
            <color indexed="81"/>
            <rFont val="Tahoma"/>
            <family val="2"/>
          </rPr>
          <t xml:space="preserve">Value of correlation, </t>
        </r>
        <r>
          <rPr>
            <i/>
            <sz val="11"/>
            <color indexed="81"/>
            <rFont val="Tahoma"/>
            <family val="2"/>
          </rPr>
          <t>r</t>
        </r>
        <r>
          <rPr>
            <sz val="9"/>
            <color indexed="81"/>
            <rFont val="Tahoma"/>
            <family val="2"/>
          </rPr>
          <t xml:space="preserve">, calculated for the data set of the </t>
        </r>
        <r>
          <rPr>
            <i/>
            <sz val="10"/>
            <color indexed="81"/>
            <rFont val="Tahoma"/>
            <family val="2"/>
          </rPr>
          <t>N</t>
        </r>
        <r>
          <rPr>
            <sz val="9"/>
            <color indexed="81"/>
            <rFont val="Tahoma"/>
            <family val="2"/>
          </rPr>
          <t xml:space="preserve"> data points displayed.
</t>
        </r>
      </text>
    </comment>
    <comment ref="I21" authorId="0">
      <text>
        <r>
          <rPr>
            <sz val="9"/>
            <color indexed="81"/>
            <rFont val="Tahoma"/>
            <family val="2"/>
          </rPr>
          <t xml:space="preserve">CI on </t>
        </r>
        <r>
          <rPr>
            <i/>
            <sz val="11"/>
            <color indexed="81"/>
            <rFont val="Tahoma"/>
            <family val="2"/>
          </rPr>
          <t>r</t>
        </r>
        <r>
          <rPr>
            <sz val="9"/>
            <color indexed="81"/>
            <rFont val="Tahoma"/>
            <family val="2"/>
          </rPr>
          <t xml:space="preserve">, calculated for the data set of the </t>
        </r>
        <r>
          <rPr>
            <i/>
            <sz val="10"/>
            <color indexed="81"/>
            <rFont val="Tahoma"/>
            <family val="2"/>
          </rPr>
          <t>N</t>
        </r>
        <r>
          <rPr>
            <sz val="9"/>
            <color indexed="81"/>
            <rFont val="Tahoma"/>
            <family val="2"/>
          </rPr>
          <t xml:space="preserve"> data points displayed. If </t>
        </r>
        <r>
          <rPr>
            <i/>
            <sz val="10"/>
            <color indexed="81"/>
            <rFont val="Tahoma"/>
            <family val="2"/>
          </rPr>
          <t>r</t>
        </r>
        <r>
          <rPr>
            <sz val="9"/>
            <color indexed="81"/>
            <rFont val="Tahoma"/>
            <family val="2"/>
          </rPr>
          <t xml:space="preserve"> = 1 or -1, no CI can be calculated.
</t>
        </r>
      </text>
    </comment>
    <comment ref="E25" authorId="0">
      <text>
        <r>
          <rPr>
            <sz val="9"/>
            <color indexed="81"/>
            <rFont val="Tahoma"/>
            <family val="2"/>
          </rPr>
          <t xml:space="preserve">Click button to make a new data set of </t>
        </r>
        <r>
          <rPr>
            <i/>
            <sz val="10"/>
            <color indexed="81"/>
            <rFont val="Tahoma"/>
            <family val="2"/>
          </rPr>
          <t>N</t>
        </r>
        <r>
          <rPr>
            <sz val="9"/>
            <color indexed="81"/>
            <rFont val="Tahoma"/>
            <family val="2"/>
          </rPr>
          <t xml:space="preserve"> points.
_______________
Red points at an edge indicate data points beyond the displayed area.
</t>
        </r>
      </text>
    </comment>
    <comment ref="D28" authorId="0">
      <text>
        <r>
          <rPr>
            <sz val="9"/>
            <color indexed="81"/>
            <rFont val="Tahoma"/>
            <family val="2"/>
          </rPr>
          <t>Click below to display various features in the scatterplot</t>
        </r>
        <r>
          <rPr>
            <sz val="9"/>
            <color indexed="81"/>
            <rFont val="Tahoma"/>
            <family val="2"/>
          </rPr>
          <t xml:space="preserve">
</t>
        </r>
      </text>
    </comment>
    <comment ref="I29" authorId="0">
      <text>
        <r>
          <rPr>
            <sz val="9"/>
            <color indexed="81"/>
            <rFont val="Tahoma"/>
            <family val="2"/>
          </rPr>
          <t xml:space="preserve">Display in the figure the value of </t>
        </r>
        <r>
          <rPr>
            <i/>
            <sz val="11"/>
            <color indexed="81"/>
            <rFont val="Tahoma"/>
            <family val="2"/>
          </rPr>
          <t>r</t>
        </r>
        <r>
          <rPr>
            <sz val="9"/>
            <color indexed="81"/>
            <rFont val="Tahoma"/>
            <family val="2"/>
          </rPr>
          <t>, the correlation in the data set</t>
        </r>
        <r>
          <rPr>
            <sz val="9"/>
            <color indexed="81"/>
            <rFont val="Tahoma"/>
            <family val="2"/>
          </rPr>
          <t xml:space="preserve">
</t>
        </r>
      </text>
    </comment>
    <comment ref="I31" authorId="0">
      <text>
        <r>
          <rPr>
            <sz val="9"/>
            <color indexed="81"/>
            <rFont val="Tahoma"/>
            <family val="2"/>
          </rPr>
          <t xml:space="preserve">Display a cross of vertical and horizontal lines through the two means of the data points. The cross is at the mean of </t>
        </r>
        <r>
          <rPr>
            <i/>
            <sz val="9"/>
            <color indexed="81"/>
            <rFont val="Tahoma"/>
            <family val="2"/>
          </rPr>
          <t>X</t>
        </r>
        <r>
          <rPr>
            <sz val="9"/>
            <color indexed="81"/>
            <rFont val="Tahoma"/>
            <family val="2"/>
          </rPr>
          <t xml:space="preserve"> (values on the horizontal axis) and mean of </t>
        </r>
        <r>
          <rPr>
            <i/>
            <sz val="9"/>
            <color indexed="81"/>
            <rFont val="Tahoma"/>
            <family val="2"/>
          </rPr>
          <t>Y</t>
        </r>
        <r>
          <rPr>
            <sz val="9"/>
            <color indexed="81"/>
            <rFont val="Tahoma"/>
            <family val="2"/>
          </rPr>
          <t xml:space="preserve"> (values on the vertical axis).
________________
Use the relative numbers of points in the quadrants to estimate </t>
        </r>
        <r>
          <rPr>
            <i/>
            <sz val="11"/>
            <color indexed="81"/>
            <rFont val="Tahoma"/>
            <family val="2"/>
          </rPr>
          <t>r</t>
        </r>
        <r>
          <rPr>
            <sz val="9"/>
            <color indexed="81"/>
            <rFont val="Tahoma"/>
            <family val="2"/>
          </rPr>
          <t xml:space="preserve">.
</t>
        </r>
      </text>
    </comment>
    <comment ref="I33" authorId="0">
      <text>
        <r>
          <rPr>
            <sz val="9"/>
            <color indexed="81"/>
            <rFont val="Tahoma"/>
            <family val="2"/>
          </rPr>
          <t xml:space="preserve">Click to display dot plots that show the marginal distributions of </t>
        </r>
        <r>
          <rPr>
            <i/>
            <sz val="9"/>
            <color indexed="81"/>
            <rFont val="Tahoma"/>
            <family val="2"/>
          </rPr>
          <t>Y</t>
        </r>
        <r>
          <rPr>
            <sz val="9"/>
            <color indexed="81"/>
            <rFont val="Tahoma"/>
            <family val="2"/>
          </rPr>
          <t xml:space="preserve"> values</t>
        </r>
        <r>
          <rPr>
            <sz val="9"/>
            <color indexed="81"/>
            <rFont val="Tahoma"/>
            <family val="2"/>
          </rPr>
          <t xml:space="preserve"> (against the left axis) and </t>
        </r>
        <r>
          <rPr>
            <i/>
            <sz val="9"/>
            <color indexed="81"/>
            <rFont val="Tahoma"/>
            <family val="2"/>
          </rPr>
          <t>X</t>
        </r>
        <r>
          <rPr>
            <sz val="9"/>
            <color indexed="81"/>
            <rFont val="Tahoma"/>
            <family val="2"/>
          </rPr>
          <t xml:space="preserve"> values</t>
        </r>
        <r>
          <rPr>
            <sz val="9"/>
            <color indexed="81"/>
            <rFont val="Tahoma"/>
            <family val="2"/>
          </rPr>
          <t xml:space="preserve"> (against the bottom axis). This is equivalent to moving all points left to the vertical axis, and down to the horizontal axis.
______________
Any solid black points at either end are beyond the displayed range.
</t>
        </r>
      </text>
    </comment>
  </commentList>
</comments>
</file>

<file path=xl/comments5.xml><?xml version="1.0" encoding="utf-8"?>
<comments xmlns="http://schemas.openxmlformats.org/spreadsheetml/2006/main">
  <authors>
    <author>Geoff Cumming</author>
  </authors>
  <commentList>
    <comment ref="I1" authorId="0">
      <text>
        <r>
          <rPr>
            <sz val="9"/>
            <color indexed="81"/>
            <rFont val="Tahoma"/>
            <family val="2"/>
          </rPr>
          <t xml:space="preserve">Click button to clear all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t>
        </r>
      </text>
    </comment>
    <comment ref="K1" authorId="0">
      <text>
        <r>
          <rPr>
            <sz val="9"/>
            <color indexed="81"/>
            <rFont val="Tahoma"/>
            <family val="2"/>
          </rPr>
          <t xml:space="preserve">CI on correlation, </t>
        </r>
        <r>
          <rPr>
            <i/>
            <sz val="10"/>
            <color indexed="81"/>
            <rFont val="Tahoma"/>
            <family val="2"/>
          </rPr>
          <t>r</t>
        </r>
        <r>
          <rPr>
            <sz val="9"/>
            <color indexed="81"/>
            <rFont val="Tahoma"/>
            <family val="2"/>
          </rPr>
          <t>, in the data set</t>
        </r>
        <r>
          <rPr>
            <sz val="9"/>
            <color indexed="81"/>
            <rFont val="Tahoma"/>
            <family val="2"/>
          </rPr>
          <t xml:space="preserve">
__________
No CI can be calculated if </t>
        </r>
        <r>
          <rPr>
            <i/>
            <sz val="10"/>
            <color indexed="81"/>
            <rFont val="Tahoma"/>
            <family val="2"/>
          </rPr>
          <t>r</t>
        </r>
        <r>
          <rPr>
            <sz val="9"/>
            <color indexed="81"/>
            <rFont val="Tahoma"/>
            <family val="2"/>
          </rPr>
          <t xml:space="preserve"> = 1 or -1.
Requires assumption of sampling from bivariate normal population.</t>
        </r>
      </text>
    </comment>
    <comment ref="S1" authorId="0">
      <text>
        <r>
          <rPr>
            <sz val="9"/>
            <color indexed="81"/>
            <rFont val="Tahoma"/>
            <family val="2"/>
          </rPr>
          <t>Click to display various features in the scatterplots</t>
        </r>
        <r>
          <rPr>
            <sz val="9"/>
            <color indexed="81"/>
            <rFont val="Tahoma"/>
            <family val="2"/>
          </rPr>
          <t xml:space="preserve">
</t>
        </r>
      </text>
    </comment>
    <comment ref="AB1" authorId="0">
      <text>
        <r>
          <rPr>
            <sz val="9"/>
            <color indexed="81"/>
            <rFont val="Tahoma"/>
            <family val="2"/>
          </rPr>
          <t xml:space="preserve">Display a cross of vertical and horizontal lines through the means of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(or </t>
        </r>
        <r>
          <rPr>
            <i/>
            <sz val="10"/>
            <color indexed="81"/>
            <rFont val="Tahoma"/>
            <family val="2"/>
          </rPr>
          <t>Z</t>
        </r>
        <r>
          <rPr>
            <i/>
            <vertAlign val="subscript"/>
            <sz val="11"/>
            <color indexed="81"/>
            <rFont val="Tahoma"/>
            <family val="2"/>
          </rPr>
          <t>X</t>
        </r>
        <r>
          <rPr>
            <i/>
            <sz val="9"/>
            <color indexed="81"/>
            <rFont val="Tahoma"/>
            <family val="2"/>
          </rPr>
          <t xml:space="preserve"> </t>
        </r>
        <r>
          <rPr>
            <sz val="9"/>
            <color indexed="81"/>
            <rFont val="Tahoma"/>
            <family val="2"/>
          </rPr>
          <t xml:space="preserve">and </t>
        </r>
        <r>
          <rPr>
            <i/>
            <sz val="10"/>
            <color indexed="81"/>
            <rFont val="Tahoma"/>
            <family val="2"/>
          </rPr>
          <t>Z</t>
        </r>
        <r>
          <rPr>
            <i/>
            <vertAlign val="subscript"/>
            <sz val="11"/>
            <color indexed="81"/>
            <rFont val="Tahoma"/>
            <family val="2"/>
          </rPr>
          <t>Y</t>
        </r>
        <r>
          <rPr>
            <sz val="9"/>
            <color indexed="81"/>
            <rFont val="Tahoma"/>
            <family val="2"/>
          </rPr>
          <t xml:space="preserve">)
________________
Use the relative numbers of points in the quadrants to make an eyeball estimate of </t>
        </r>
        <r>
          <rPr>
            <i/>
            <sz val="10"/>
            <color indexed="81"/>
            <rFont val="Tahoma"/>
            <family val="2"/>
          </rPr>
          <t>r</t>
        </r>
        <r>
          <rPr>
            <sz val="9"/>
            <color indexed="81"/>
            <rFont val="Tahoma"/>
            <family val="2"/>
          </rPr>
          <t xml:space="preserve">.
</t>
        </r>
      </text>
    </comment>
    <comment ref="AJ1" authorId="0">
      <text>
        <r>
          <rPr>
            <sz val="9"/>
            <color indexed="81"/>
            <rFont val="Tahoma"/>
            <family val="2"/>
          </rPr>
          <t xml:space="preserve">Click to display an additional scatterplot, of </t>
        </r>
        <r>
          <rPr>
            <i/>
            <sz val="10"/>
            <color indexed="81"/>
            <rFont val="Tahoma"/>
            <family val="2"/>
          </rPr>
          <t>Z</t>
        </r>
        <r>
          <rPr>
            <i/>
            <vertAlign val="subscript"/>
            <sz val="11"/>
            <color indexed="81"/>
            <rFont val="Tahoma"/>
            <family val="2"/>
          </rPr>
          <t>X</t>
        </r>
        <r>
          <rPr>
            <sz val="9"/>
            <color indexed="81"/>
            <rFont val="Tahoma"/>
            <family val="2"/>
          </rPr>
          <t xml:space="preserve"> and </t>
        </r>
        <r>
          <rPr>
            <i/>
            <sz val="10"/>
            <color indexed="81"/>
            <rFont val="Tahoma"/>
            <family val="2"/>
          </rPr>
          <t>Z</t>
        </r>
        <r>
          <rPr>
            <i/>
            <vertAlign val="subscript"/>
            <sz val="11"/>
            <color indexed="81"/>
            <rFont val="Tahoma"/>
            <family val="2"/>
          </rPr>
          <t>Y</t>
        </r>
        <r>
          <rPr>
            <sz val="9"/>
            <color indexed="81"/>
            <rFont val="Tahoma"/>
            <family val="2"/>
          </rPr>
          <t xml:space="preserve">
</t>
        </r>
      </text>
    </comment>
    <comment ref="ED1" authorId="0">
      <text>
        <r>
          <rPr>
            <sz val="9"/>
            <color indexed="81"/>
            <rFont val="Tahoma"/>
            <family val="2"/>
          </rPr>
          <t xml:space="preserve">Display the correlation line -- the line that best fits the data points. (If </t>
        </r>
        <r>
          <rPr>
            <i/>
            <sz val="10"/>
            <color indexed="81"/>
            <rFont val="Tahoma"/>
            <family val="2"/>
          </rPr>
          <t>r</t>
        </r>
        <r>
          <rPr>
            <sz val="9"/>
            <color indexed="81"/>
            <rFont val="Tahoma"/>
            <family val="2"/>
          </rPr>
          <t xml:space="preserve"> = 0, there is no correlation line.)
_________________
In the (</t>
        </r>
        <r>
          <rPr>
            <i/>
            <sz val="9"/>
            <color indexed="81"/>
            <rFont val="Tahoma"/>
            <family val="2"/>
          </rPr>
          <t>X</t>
        </r>
        <r>
          <rPr>
            <sz val="9"/>
            <color indexed="81"/>
            <rFont val="Tahoma"/>
            <family val="2"/>
          </rPr>
          <t xml:space="preserve">, </t>
        </r>
        <r>
          <rPr>
            <i/>
            <sz val="9"/>
            <color indexed="81"/>
            <rFont val="Tahoma"/>
            <family val="2"/>
          </rPr>
          <t>Y</t>
        </r>
        <r>
          <rPr>
            <sz val="9"/>
            <color indexed="81"/>
            <rFont val="Tahoma"/>
            <family val="2"/>
          </rPr>
          <t xml:space="preserve">) scatterplot, the slope of the correlation line depends on the scales of the two axes (and on </t>
        </r>
        <r>
          <rPr>
            <i/>
            <sz val="10"/>
            <color indexed="81"/>
            <rFont val="Tahoma"/>
            <family val="2"/>
          </rPr>
          <t>s</t>
        </r>
        <r>
          <rPr>
            <i/>
            <vertAlign val="subscript"/>
            <sz val="11"/>
            <color indexed="81"/>
            <rFont val="Tahoma"/>
            <family val="2"/>
          </rPr>
          <t>X</t>
        </r>
        <r>
          <rPr>
            <sz val="9"/>
            <color indexed="81"/>
            <rFont val="Tahoma"/>
            <family val="2"/>
          </rPr>
          <t xml:space="preserve"> and </t>
        </r>
        <r>
          <rPr>
            <i/>
            <sz val="10"/>
            <color indexed="81"/>
            <rFont val="Tahoma"/>
            <family val="2"/>
          </rPr>
          <t>s</t>
        </r>
        <r>
          <rPr>
            <i/>
            <vertAlign val="subscript"/>
            <sz val="11"/>
            <color indexed="81"/>
            <rFont val="Tahoma"/>
            <family val="2"/>
          </rPr>
          <t>Y</t>
        </r>
        <r>
          <rPr>
            <sz val="9"/>
            <color indexed="81"/>
            <rFont val="Tahoma"/>
            <family val="2"/>
          </rPr>
          <t>).
__________________
In the (</t>
        </r>
        <r>
          <rPr>
            <i/>
            <sz val="9"/>
            <color indexed="81"/>
            <rFont val="Tahoma"/>
            <family val="2"/>
          </rPr>
          <t>Z</t>
        </r>
        <r>
          <rPr>
            <i/>
            <vertAlign val="subscript"/>
            <sz val="10"/>
            <color indexed="81"/>
            <rFont val="Tahoma"/>
            <family val="2"/>
          </rPr>
          <t>X</t>
        </r>
        <r>
          <rPr>
            <sz val="9"/>
            <color indexed="81"/>
            <rFont val="Tahoma"/>
            <family val="2"/>
          </rPr>
          <t xml:space="preserve">, </t>
        </r>
        <r>
          <rPr>
            <i/>
            <sz val="9"/>
            <color indexed="81"/>
            <rFont val="Tahoma"/>
            <family val="2"/>
          </rPr>
          <t>Z</t>
        </r>
        <r>
          <rPr>
            <i/>
            <vertAlign val="subscript"/>
            <sz val="9"/>
            <color indexed="81"/>
            <rFont val="Tahoma"/>
            <family val="2"/>
          </rPr>
          <t>Y</t>
        </r>
        <r>
          <rPr>
            <sz val="9"/>
            <color indexed="81"/>
            <rFont val="Tahoma"/>
            <family val="2"/>
          </rPr>
          <t xml:space="preserve">) scatterplot the correlation line slopes at 45 degrees. 
If </t>
        </r>
        <r>
          <rPr>
            <i/>
            <sz val="11"/>
            <color indexed="81"/>
            <rFont val="Tahoma"/>
            <family val="2"/>
          </rPr>
          <t>r</t>
        </r>
        <r>
          <rPr>
            <sz val="9"/>
            <color indexed="81"/>
            <rFont val="Tahoma"/>
            <family val="2"/>
          </rPr>
          <t xml:space="preserve"> &gt; 0, it slopes upward to the right. 
If </t>
        </r>
        <r>
          <rPr>
            <i/>
            <sz val="11"/>
            <color indexed="81"/>
            <rFont val="Tahoma"/>
            <family val="2"/>
          </rPr>
          <t>r</t>
        </r>
        <r>
          <rPr>
            <sz val="9"/>
            <color indexed="81"/>
            <rFont val="Tahoma"/>
            <family val="2"/>
          </rPr>
          <t xml:space="preserve"> &lt; 0, it slopes downward to the right.</t>
        </r>
        <r>
          <rPr>
            <sz val="9"/>
            <color indexed="81"/>
            <rFont val="Tahoma"/>
            <family val="2"/>
          </rPr>
          <t xml:space="preserve">
</t>
        </r>
      </text>
    </comment>
    <comment ref="P2" authorId="0">
      <text>
        <r>
          <rPr>
            <sz val="9"/>
            <color indexed="81"/>
            <rFont val="Tahoma"/>
            <family val="2"/>
          </rPr>
          <t>Confidence level, in %
Min 0, max 99.9
Use the spinner, or type in a value.</t>
        </r>
      </text>
    </comment>
    <comment ref="V2" authorId="0">
      <text>
        <r>
          <rPr>
            <sz val="9"/>
            <color indexed="81"/>
            <rFont val="Tahoma"/>
            <family val="2"/>
          </rPr>
          <t xml:space="preserve">Display in each scatterplot the value of </t>
        </r>
        <r>
          <rPr>
            <i/>
            <sz val="11"/>
            <color indexed="81"/>
            <rFont val="Tahoma"/>
            <family val="2"/>
          </rPr>
          <t>r</t>
        </r>
        <r>
          <rPr>
            <sz val="9"/>
            <color indexed="81"/>
            <rFont val="Tahoma"/>
            <family val="2"/>
          </rPr>
          <t>, the correlation in the data set</t>
        </r>
        <r>
          <rPr>
            <sz val="9"/>
            <color indexed="81"/>
            <rFont val="Tahoma"/>
            <family val="2"/>
          </rPr>
          <t xml:space="preserve">
</t>
        </r>
      </text>
    </comment>
    <comment ref="BA2" author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t>
        </r>
        <r>
          <rPr>
            <sz val="9"/>
            <color indexed="81"/>
            <rFont val="Tahoma"/>
            <family val="2"/>
          </rPr>
          <t xml:space="preserve">.
___________
You can also enter new data below, for later transfer left. </t>
        </r>
      </text>
    </comment>
    <comment ref="BF2" author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t>
        </r>
        <r>
          <rPr>
            <sz val="9"/>
            <color indexed="81"/>
            <rFont val="Tahoma"/>
            <family val="2"/>
          </rPr>
          <t xml:space="preserve">.
___________
You can also enter new data below, for later transfer left. </t>
        </r>
      </text>
    </comment>
    <comment ref="BK2" author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t>
        </r>
        <r>
          <rPr>
            <sz val="9"/>
            <color indexed="81"/>
            <rFont val="Tahoma"/>
            <family val="2"/>
          </rPr>
          <t xml:space="preserve">.
___________
You can also enter new data below, for later transfer left. </t>
        </r>
      </text>
    </comment>
    <comment ref="BP2" author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t>
        </r>
        <r>
          <rPr>
            <sz val="9"/>
            <color indexed="81"/>
            <rFont val="Tahoma"/>
            <family val="2"/>
          </rPr>
          <t xml:space="preserve">.
___________
You can also enter new data below, for later transfer left. </t>
        </r>
      </text>
    </comment>
    <comment ref="BU2" author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t>
        </r>
        <r>
          <rPr>
            <sz val="9"/>
            <color indexed="81"/>
            <rFont val="Tahoma"/>
            <family val="2"/>
          </rPr>
          <t xml:space="preserve">.
___________
You can also enter new data below, for later transfer left. </t>
        </r>
      </text>
    </comment>
    <comment ref="BZ2" author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t>
        </r>
        <r>
          <rPr>
            <sz val="9"/>
            <color indexed="81"/>
            <rFont val="Tahoma"/>
            <family val="2"/>
          </rPr>
          <t xml:space="preserve">.
___________
You can also enter new data below, for later transfer left. </t>
        </r>
      </text>
    </comment>
    <comment ref="AC3" authorId="0">
      <text>
        <r>
          <rPr>
            <sz val="9"/>
            <color indexed="81"/>
            <rFont val="Tahoma"/>
            <family val="2"/>
          </rPr>
          <t xml:space="preserve">Click to reveal a panel showing linear regression of </t>
        </r>
        <r>
          <rPr>
            <i/>
            <sz val="9"/>
            <color indexed="81"/>
            <rFont val="Tahoma"/>
            <family val="2"/>
          </rPr>
          <t>Y</t>
        </r>
        <r>
          <rPr>
            <sz val="9"/>
            <color indexed="81"/>
            <rFont val="Tahoma"/>
            <family val="2"/>
          </rPr>
          <t xml:space="preserve"> on </t>
        </r>
        <r>
          <rPr>
            <i/>
            <sz val="9"/>
            <color indexed="81"/>
            <rFont val="Tahoma"/>
            <family val="2"/>
          </rPr>
          <t>X</t>
        </r>
        <r>
          <rPr>
            <sz val="9"/>
            <color indexed="81"/>
            <rFont val="Tahoma"/>
            <family val="2"/>
          </rPr>
          <t xml:space="preserve">
</t>
        </r>
      </text>
    </comment>
    <comment ref="N4" authorId="0">
      <text>
        <r>
          <rPr>
            <sz val="9"/>
            <color indexed="81"/>
            <rFont val="Tahoma"/>
            <family val="2"/>
          </rPr>
          <t xml:space="preserve">Click at left to display </t>
        </r>
        <r>
          <rPr>
            <i/>
            <sz val="10"/>
            <color indexed="81"/>
            <rFont val="Tahoma"/>
            <family val="2"/>
          </rPr>
          <t>p</t>
        </r>
        <r>
          <rPr>
            <sz val="9"/>
            <color indexed="81"/>
            <rFont val="Tahoma"/>
            <family val="2"/>
          </rPr>
          <t xml:space="preserve"> value at right</t>
        </r>
        <r>
          <rPr>
            <sz val="9"/>
            <color indexed="81"/>
            <rFont val="Tahoma"/>
            <family val="2"/>
          </rPr>
          <t xml:space="preserve">
</t>
        </r>
      </text>
    </comment>
    <comment ref="P4" authorId="0">
      <text>
        <r>
          <rPr>
            <sz val="9"/>
            <color indexed="81"/>
            <rFont val="Tahoma"/>
            <family val="2"/>
          </rPr>
          <t xml:space="preserve">The </t>
        </r>
        <r>
          <rPr>
            <i/>
            <sz val="10"/>
            <color indexed="81"/>
            <rFont val="Tahoma"/>
            <family val="2"/>
          </rPr>
          <t>p</t>
        </r>
        <r>
          <rPr>
            <sz val="9"/>
            <color indexed="81"/>
            <rFont val="Tahoma"/>
            <family val="2"/>
          </rPr>
          <t xml:space="preserve"> value for </t>
        </r>
        <r>
          <rPr>
            <i/>
            <sz val="10"/>
            <color indexed="81"/>
            <rFont val="Tahoma"/>
            <family val="2"/>
          </rPr>
          <t>r</t>
        </r>
        <r>
          <rPr>
            <sz val="9"/>
            <color indexed="81"/>
            <rFont val="Tahoma"/>
            <family val="2"/>
          </rPr>
          <t xml:space="preserve">, for testing the null hypothesis that the population correlation is zero.
_______________
The </t>
        </r>
        <r>
          <rPr>
            <i/>
            <sz val="10"/>
            <color indexed="81"/>
            <rFont val="Tahoma"/>
            <family val="2"/>
          </rPr>
          <t>p</t>
        </r>
        <r>
          <rPr>
            <sz val="9"/>
            <color indexed="81"/>
            <rFont val="Tahoma"/>
            <family val="2"/>
          </rPr>
          <t xml:space="preserve"> value is two-tailed. No </t>
        </r>
        <r>
          <rPr>
            <i/>
            <sz val="10"/>
            <color indexed="81"/>
            <rFont val="Tahoma"/>
            <family val="2"/>
          </rPr>
          <t>p</t>
        </r>
        <r>
          <rPr>
            <sz val="9"/>
            <color indexed="81"/>
            <rFont val="Tahoma"/>
            <family val="2"/>
          </rPr>
          <t xml:space="preserve"> can be calculated if </t>
        </r>
        <r>
          <rPr>
            <i/>
            <sz val="10"/>
            <color indexed="81"/>
            <rFont val="Tahoma"/>
            <family val="2"/>
          </rPr>
          <t>r</t>
        </r>
        <r>
          <rPr>
            <sz val="9"/>
            <color indexed="81"/>
            <rFont val="Tahoma"/>
            <family val="2"/>
          </rPr>
          <t xml:space="preserve"> = 1 or -1.</t>
        </r>
      </text>
    </comment>
    <comment ref="BB4" authorId="0">
      <text>
        <r>
          <rPr>
            <sz val="9"/>
            <color indexed="81"/>
            <rFont val="Tahoma"/>
            <family val="2"/>
          </rPr>
          <t>Type a short name for the dataset if you wish</t>
        </r>
        <r>
          <rPr>
            <sz val="9"/>
            <color indexed="81"/>
            <rFont val="Tahoma"/>
            <family val="2"/>
          </rPr>
          <t xml:space="preserve">
</t>
        </r>
      </text>
    </comment>
    <comment ref="BG4" authorId="0">
      <text>
        <r>
          <rPr>
            <sz val="9"/>
            <color indexed="81"/>
            <rFont val="Tahoma"/>
            <family val="2"/>
          </rPr>
          <t>Type a short name for the dataset if you wish</t>
        </r>
        <r>
          <rPr>
            <sz val="9"/>
            <color indexed="81"/>
            <rFont val="Tahoma"/>
            <family val="2"/>
          </rPr>
          <t xml:space="preserve">
</t>
        </r>
      </text>
    </comment>
    <comment ref="BL4" authorId="0">
      <text>
        <r>
          <rPr>
            <sz val="9"/>
            <color indexed="81"/>
            <rFont val="Tahoma"/>
            <family val="2"/>
          </rPr>
          <t>Type a short name for the dataset if you wish</t>
        </r>
        <r>
          <rPr>
            <sz val="9"/>
            <color indexed="81"/>
            <rFont val="Tahoma"/>
            <family val="2"/>
          </rPr>
          <t xml:space="preserve">
</t>
        </r>
      </text>
    </comment>
    <comment ref="BQ4" authorId="0">
      <text>
        <r>
          <rPr>
            <sz val="9"/>
            <color indexed="81"/>
            <rFont val="Tahoma"/>
            <family val="2"/>
          </rPr>
          <t>Type a short name for the dataset if you wish</t>
        </r>
        <r>
          <rPr>
            <sz val="9"/>
            <color indexed="81"/>
            <rFont val="Tahoma"/>
            <family val="2"/>
          </rPr>
          <t xml:space="preserve">
</t>
        </r>
      </text>
    </comment>
    <comment ref="BV4" authorId="0">
      <text>
        <r>
          <rPr>
            <sz val="9"/>
            <color indexed="81"/>
            <rFont val="Tahoma"/>
            <family val="2"/>
          </rPr>
          <t>Type a short name for the dataset if you wish</t>
        </r>
        <r>
          <rPr>
            <sz val="9"/>
            <color indexed="81"/>
            <rFont val="Tahoma"/>
            <family val="2"/>
          </rPr>
          <t xml:space="preserve">
</t>
        </r>
      </text>
    </comment>
    <comment ref="CA4" authorId="0">
      <text>
        <r>
          <rPr>
            <sz val="9"/>
            <color indexed="81"/>
            <rFont val="Tahoma"/>
            <family val="2"/>
          </rPr>
          <t>Type a short name for the dataset if you wish</t>
        </r>
        <r>
          <rPr>
            <sz val="9"/>
            <color indexed="81"/>
            <rFont val="Tahoma"/>
            <family val="2"/>
          </rPr>
          <t xml:space="preserve">
</t>
        </r>
      </text>
    </comment>
    <comment ref="B6" authorId="0">
      <text>
        <r>
          <rPr>
            <sz val="9"/>
            <color indexed="81"/>
            <rFont val="Tahoma"/>
            <family val="2"/>
          </rPr>
          <t>Type a short name for the data set if you wish</t>
        </r>
        <r>
          <rPr>
            <sz val="9"/>
            <color indexed="81"/>
            <rFont val="Tahoma"/>
            <family val="2"/>
          </rPr>
          <t xml:space="preserve">
</t>
        </r>
      </text>
    </comment>
    <comment ref="E6" authorId="0">
      <text>
        <r>
          <rPr>
            <sz val="9"/>
            <color indexed="81"/>
            <rFont val="Tahoma"/>
            <family val="2"/>
          </rPr>
          <t xml:space="preserve">Click to reveal </t>
        </r>
        <r>
          <rPr>
            <i/>
            <sz val="9"/>
            <color indexed="81"/>
            <rFont val="Tahoma"/>
            <family val="2"/>
          </rPr>
          <t>Z</t>
        </r>
        <r>
          <rPr>
            <i/>
            <vertAlign val="subscript"/>
            <sz val="10"/>
            <color indexed="81"/>
            <rFont val="Tahoma"/>
            <family val="2"/>
          </rPr>
          <t>X</t>
        </r>
        <r>
          <rPr>
            <sz val="9"/>
            <color indexed="81"/>
            <rFont val="Tahoma"/>
            <family val="2"/>
          </rPr>
          <t xml:space="preserve"> and </t>
        </r>
        <r>
          <rPr>
            <i/>
            <sz val="9"/>
            <color indexed="81"/>
            <rFont val="Tahoma"/>
            <family val="2"/>
          </rPr>
          <t>Z</t>
        </r>
        <r>
          <rPr>
            <i/>
            <vertAlign val="subscript"/>
            <sz val="10"/>
            <color indexed="81"/>
            <rFont val="Tahoma"/>
            <family val="2"/>
          </rPr>
          <t>Y</t>
        </r>
        <r>
          <rPr>
            <sz val="9"/>
            <color indexed="81"/>
            <rFont val="Tahoma"/>
            <family val="2"/>
          </rPr>
          <t xml:space="preserve">, the standardized values of the data, and their descriptive statistics. 
______________
Click at </t>
        </r>
        <r>
          <rPr>
            <b/>
            <sz val="9"/>
            <color indexed="10"/>
            <rFont val="Tahoma"/>
            <family val="2"/>
          </rPr>
          <t>15</t>
        </r>
        <r>
          <rPr>
            <sz val="9"/>
            <color indexed="81"/>
            <rFont val="Tahoma"/>
            <family val="2"/>
          </rPr>
          <t xml:space="preserve"> to reveal a scatterplot of </t>
        </r>
        <r>
          <rPr>
            <i/>
            <sz val="9"/>
            <color indexed="81"/>
            <rFont val="Tahoma"/>
            <family val="2"/>
          </rPr>
          <t>Z</t>
        </r>
        <r>
          <rPr>
            <i/>
            <vertAlign val="subscript"/>
            <sz val="10"/>
            <color indexed="81"/>
            <rFont val="Tahoma"/>
            <family val="2"/>
          </rPr>
          <t>X</t>
        </r>
        <r>
          <rPr>
            <sz val="9"/>
            <color indexed="81"/>
            <rFont val="Tahoma"/>
            <family val="2"/>
          </rPr>
          <t xml:space="preserve"> and </t>
        </r>
        <r>
          <rPr>
            <i/>
            <sz val="9"/>
            <color indexed="81"/>
            <rFont val="Tahoma"/>
            <family val="2"/>
          </rPr>
          <t>Z</t>
        </r>
        <r>
          <rPr>
            <i/>
            <vertAlign val="subscript"/>
            <sz val="10"/>
            <color indexed="81"/>
            <rFont val="Tahoma"/>
            <family val="2"/>
          </rPr>
          <t>Y</t>
        </r>
      </text>
    </comment>
    <comment ref="BB6" authorId="0">
      <text>
        <r>
          <rPr>
            <sz val="9"/>
            <color indexed="81"/>
            <rFont val="Tahoma"/>
            <family val="2"/>
          </rPr>
          <t xml:space="preserve">Type brief label for </t>
        </r>
        <r>
          <rPr>
            <i/>
            <sz val="9"/>
            <color indexed="81"/>
            <rFont val="Tahoma"/>
            <family val="2"/>
          </rPr>
          <t>X</t>
        </r>
        <r>
          <rPr>
            <sz val="9"/>
            <color indexed="81"/>
            <rFont val="Tahoma"/>
            <family val="2"/>
          </rPr>
          <t>, to appear on the horizontal axis of the scatterplot</t>
        </r>
      </text>
    </comment>
    <comment ref="BD6" authorId="0">
      <text>
        <r>
          <rPr>
            <sz val="9"/>
            <color indexed="81"/>
            <rFont val="Tahoma"/>
            <family val="2"/>
          </rPr>
          <t xml:space="preserve">Type brief label for </t>
        </r>
        <r>
          <rPr>
            <i/>
            <sz val="9"/>
            <color indexed="81"/>
            <rFont val="Tahoma"/>
            <family val="2"/>
          </rPr>
          <t>Y</t>
        </r>
        <r>
          <rPr>
            <sz val="9"/>
            <color indexed="81"/>
            <rFont val="Tahoma"/>
            <family val="2"/>
          </rPr>
          <t>, to appear on the vertical axis of the scatterplot</t>
        </r>
      </text>
    </comment>
    <comment ref="BG6" authorId="0">
      <text>
        <r>
          <rPr>
            <sz val="9"/>
            <color indexed="81"/>
            <rFont val="Tahoma"/>
            <family val="2"/>
          </rPr>
          <t xml:space="preserve">Type brief label for </t>
        </r>
        <r>
          <rPr>
            <i/>
            <sz val="9"/>
            <color indexed="81"/>
            <rFont val="Tahoma"/>
            <family val="2"/>
          </rPr>
          <t>X</t>
        </r>
        <r>
          <rPr>
            <sz val="9"/>
            <color indexed="81"/>
            <rFont val="Tahoma"/>
            <family val="2"/>
          </rPr>
          <t>, to appear on the horizontal axis of the scatterplot</t>
        </r>
      </text>
    </comment>
    <comment ref="BI6" authorId="0">
      <text>
        <r>
          <rPr>
            <sz val="9"/>
            <color indexed="81"/>
            <rFont val="Tahoma"/>
            <family val="2"/>
          </rPr>
          <t xml:space="preserve">Type brief label for </t>
        </r>
        <r>
          <rPr>
            <i/>
            <sz val="9"/>
            <color indexed="81"/>
            <rFont val="Tahoma"/>
            <family val="2"/>
          </rPr>
          <t>Y</t>
        </r>
        <r>
          <rPr>
            <sz val="9"/>
            <color indexed="81"/>
            <rFont val="Tahoma"/>
            <family val="2"/>
          </rPr>
          <t>, to appear on the vertical axis of the scatterplot</t>
        </r>
      </text>
    </comment>
    <comment ref="BL6" authorId="0">
      <text>
        <r>
          <rPr>
            <sz val="9"/>
            <color indexed="81"/>
            <rFont val="Tahoma"/>
            <family val="2"/>
          </rPr>
          <t xml:space="preserve">Type brief label for </t>
        </r>
        <r>
          <rPr>
            <i/>
            <sz val="9"/>
            <color indexed="81"/>
            <rFont val="Tahoma"/>
            <family val="2"/>
          </rPr>
          <t>X</t>
        </r>
        <r>
          <rPr>
            <sz val="9"/>
            <color indexed="81"/>
            <rFont val="Tahoma"/>
            <family val="2"/>
          </rPr>
          <t>, to appear on the horizontal axis of the scatterplot</t>
        </r>
      </text>
    </comment>
    <comment ref="BN6" authorId="0">
      <text>
        <r>
          <rPr>
            <sz val="9"/>
            <color indexed="81"/>
            <rFont val="Tahoma"/>
            <family val="2"/>
          </rPr>
          <t xml:space="preserve">Type brief label for </t>
        </r>
        <r>
          <rPr>
            <i/>
            <sz val="9"/>
            <color indexed="81"/>
            <rFont val="Tahoma"/>
            <family val="2"/>
          </rPr>
          <t>Y</t>
        </r>
        <r>
          <rPr>
            <sz val="9"/>
            <color indexed="81"/>
            <rFont val="Tahoma"/>
            <family val="2"/>
          </rPr>
          <t>, to appear on the vertical axis of the scatterplot</t>
        </r>
      </text>
    </comment>
    <comment ref="BQ6" authorId="0">
      <text>
        <r>
          <rPr>
            <sz val="9"/>
            <color indexed="81"/>
            <rFont val="Tahoma"/>
            <family val="2"/>
          </rPr>
          <t xml:space="preserve">Type brief label for </t>
        </r>
        <r>
          <rPr>
            <i/>
            <sz val="9"/>
            <color indexed="81"/>
            <rFont val="Tahoma"/>
            <family val="2"/>
          </rPr>
          <t>X</t>
        </r>
        <r>
          <rPr>
            <sz val="9"/>
            <color indexed="81"/>
            <rFont val="Tahoma"/>
            <family val="2"/>
          </rPr>
          <t>, to appear on the horizontal axis of the scatterplot</t>
        </r>
      </text>
    </comment>
    <comment ref="BS6" authorId="0">
      <text>
        <r>
          <rPr>
            <sz val="9"/>
            <color indexed="81"/>
            <rFont val="Tahoma"/>
            <family val="2"/>
          </rPr>
          <t xml:space="preserve">Type brief label for </t>
        </r>
        <r>
          <rPr>
            <i/>
            <sz val="9"/>
            <color indexed="81"/>
            <rFont val="Tahoma"/>
            <family val="2"/>
          </rPr>
          <t>Y</t>
        </r>
        <r>
          <rPr>
            <sz val="9"/>
            <color indexed="81"/>
            <rFont val="Tahoma"/>
            <family val="2"/>
          </rPr>
          <t>, to appear on the vertical axis of the scatterplot</t>
        </r>
      </text>
    </comment>
    <comment ref="BV6" authorId="0">
      <text>
        <r>
          <rPr>
            <sz val="9"/>
            <color indexed="81"/>
            <rFont val="Tahoma"/>
            <family val="2"/>
          </rPr>
          <t xml:space="preserve">Type brief label for </t>
        </r>
        <r>
          <rPr>
            <i/>
            <sz val="9"/>
            <color indexed="81"/>
            <rFont val="Tahoma"/>
            <family val="2"/>
          </rPr>
          <t>X</t>
        </r>
        <r>
          <rPr>
            <sz val="9"/>
            <color indexed="81"/>
            <rFont val="Tahoma"/>
            <family val="2"/>
          </rPr>
          <t>, to appear on the horizontal axis of the scatterplot</t>
        </r>
      </text>
    </comment>
    <comment ref="BX6" authorId="0">
      <text>
        <r>
          <rPr>
            <sz val="9"/>
            <color indexed="81"/>
            <rFont val="Tahoma"/>
            <family val="2"/>
          </rPr>
          <t xml:space="preserve">Type brief label for </t>
        </r>
        <r>
          <rPr>
            <i/>
            <sz val="9"/>
            <color indexed="81"/>
            <rFont val="Tahoma"/>
            <family val="2"/>
          </rPr>
          <t>Y</t>
        </r>
        <r>
          <rPr>
            <sz val="9"/>
            <color indexed="81"/>
            <rFont val="Tahoma"/>
            <family val="2"/>
          </rPr>
          <t>, to appear on the vertical axis of the scatterplot</t>
        </r>
      </text>
    </comment>
    <comment ref="CA6" authorId="0">
      <text>
        <r>
          <rPr>
            <sz val="9"/>
            <color indexed="81"/>
            <rFont val="Tahoma"/>
            <family val="2"/>
          </rPr>
          <t xml:space="preserve">Type brief label for </t>
        </r>
        <r>
          <rPr>
            <i/>
            <sz val="9"/>
            <color indexed="81"/>
            <rFont val="Tahoma"/>
            <family val="2"/>
          </rPr>
          <t>X</t>
        </r>
        <r>
          <rPr>
            <sz val="9"/>
            <color indexed="81"/>
            <rFont val="Tahoma"/>
            <family val="2"/>
          </rPr>
          <t>, to appear on the horizontal axis of the scatterplot</t>
        </r>
      </text>
    </comment>
    <comment ref="CC6" authorId="0">
      <text>
        <r>
          <rPr>
            <sz val="9"/>
            <color indexed="81"/>
            <rFont val="Tahoma"/>
            <family val="2"/>
          </rPr>
          <t xml:space="preserve">Type brief label for </t>
        </r>
        <r>
          <rPr>
            <i/>
            <sz val="9"/>
            <color indexed="81"/>
            <rFont val="Tahoma"/>
            <family val="2"/>
          </rPr>
          <t>Y</t>
        </r>
        <r>
          <rPr>
            <sz val="9"/>
            <color indexed="81"/>
            <rFont val="Tahoma"/>
            <family val="2"/>
          </rPr>
          <t>, to appear on the vertical axis of the scatterplot</t>
        </r>
      </text>
    </comment>
    <comment ref="EG6" authorId="0">
      <text>
        <r>
          <rPr>
            <sz val="9"/>
            <color indexed="81"/>
            <rFont val="Tahoma"/>
            <family val="2"/>
          </rPr>
          <t xml:space="preserve">Slope of the correlation line. Click near </t>
        </r>
        <r>
          <rPr>
            <b/>
            <sz val="9"/>
            <color indexed="10"/>
            <rFont val="Tahoma"/>
            <family val="2"/>
          </rPr>
          <t>8</t>
        </r>
        <r>
          <rPr>
            <sz val="9"/>
            <color indexed="81"/>
            <rFont val="Tahoma"/>
            <family val="2"/>
          </rPr>
          <t xml:space="preserve"> at top to display correlation line. (If </t>
        </r>
        <r>
          <rPr>
            <i/>
            <sz val="10"/>
            <color indexed="81"/>
            <rFont val="Tahoma"/>
            <family val="2"/>
          </rPr>
          <t>r</t>
        </r>
        <r>
          <rPr>
            <sz val="9"/>
            <color indexed="81"/>
            <rFont val="Tahoma"/>
            <family val="2"/>
          </rPr>
          <t xml:space="preserve"> = 0, there is no correlation line.)
_____________
The slope of the correlation line is:
    </t>
        </r>
        <r>
          <rPr>
            <sz val="11"/>
            <color indexed="81"/>
            <rFont val="Tahoma"/>
            <family val="2"/>
          </rPr>
          <t>(</t>
        </r>
        <r>
          <rPr>
            <i/>
            <sz val="11"/>
            <color indexed="81"/>
            <rFont val="Tahoma"/>
            <family val="2"/>
          </rPr>
          <t>s</t>
        </r>
        <r>
          <rPr>
            <i/>
            <vertAlign val="subscript"/>
            <sz val="11"/>
            <color indexed="81"/>
            <rFont val="Tahoma"/>
            <family val="2"/>
          </rPr>
          <t>Y</t>
        </r>
        <r>
          <rPr>
            <sz val="11"/>
            <color indexed="81"/>
            <rFont val="Tahoma"/>
            <family val="2"/>
          </rPr>
          <t xml:space="preserve"> / </t>
        </r>
        <r>
          <rPr>
            <i/>
            <sz val="11"/>
            <color indexed="81"/>
            <rFont val="Tahoma"/>
            <family val="2"/>
          </rPr>
          <t>s</t>
        </r>
        <r>
          <rPr>
            <i/>
            <vertAlign val="subscript"/>
            <sz val="11"/>
            <color indexed="81"/>
            <rFont val="Tahoma"/>
            <family val="2"/>
          </rPr>
          <t>X</t>
        </r>
        <r>
          <rPr>
            <sz val="11"/>
            <color indexed="81"/>
            <rFont val="Tahoma"/>
            <family val="2"/>
          </rPr>
          <t>)</t>
        </r>
        <r>
          <rPr>
            <sz val="9"/>
            <color indexed="81"/>
            <rFont val="Tahoma"/>
            <family val="2"/>
          </rPr>
          <t xml:space="preserve"> if </t>
        </r>
        <r>
          <rPr>
            <i/>
            <sz val="10"/>
            <color indexed="81"/>
            <rFont val="Tahoma"/>
            <family val="2"/>
          </rPr>
          <t>r</t>
        </r>
        <r>
          <rPr>
            <sz val="9"/>
            <color indexed="81"/>
            <rFont val="Tahoma"/>
            <family val="2"/>
          </rPr>
          <t xml:space="preserve"> &gt; 0</t>
        </r>
        <r>
          <rPr>
            <sz val="11"/>
            <color indexed="81"/>
            <rFont val="Tahoma"/>
            <family val="2"/>
          </rPr>
          <t xml:space="preserve">
   (</t>
        </r>
        <r>
          <rPr>
            <i/>
            <sz val="11"/>
            <color indexed="81"/>
            <rFont val="Tahoma"/>
            <family val="2"/>
          </rPr>
          <t>s</t>
        </r>
        <r>
          <rPr>
            <i/>
            <vertAlign val="subscript"/>
            <sz val="11"/>
            <color indexed="81"/>
            <rFont val="Tahoma"/>
            <family val="2"/>
          </rPr>
          <t>Y</t>
        </r>
        <r>
          <rPr>
            <sz val="11"/>
            <color indexed="81"/>
            <rFont val="Tahoma"/>
            <family val="2"/>
          </rPr>
          <t xml:space="preserve"> / </t>
        </r>
        <r>
          <rPr>
            <i/>
            <sz val="11"/>
            <color indexed="81"/>
            <rFont val="Tahoma"/>
            <family val="2"/>
          </rPr>
          <t>s</t>
        </r>
        <r>
          <rPr>
            <i/>
            <vertAlign val="subscript"/>
            <sz val="11"/>
            <color indexed="81"/>
            <rFont val="Tahoma"/>
            <family val="2"/>
          </rPr>
          <t>X</t>
        </r>
        <r>
          <rPr>
            <sz val="11"/>
            <color indexed="81"/>
            <rFont val="Tahoma"/>
            <family val="2"/>
          </rPr>
          <t xml:space="preserve">) </t>
        </r>
        <r>
          <rPr>
            <sz val="9"/>
            <color indexed="81"/>
            <rFont val="Tahoma"/>
            <family val="2"/>
          </rPr>
          <t>if</t>
        </r>
        <r>
          <rPr>
            <sz val="11"/>
            <color indexed="81"/>
            <rFont val="Tahoma"/>
            <family val="2"/>
          </rPr>
          <t xml:space="preserve"> </t>
        </r>
        <r>
          <rPr>
            <i/>
            <sz val="10"/>
            <color indexed="81"/>
            <rFont val="Tahoma"/>
            <family val="2"/>
          </rPr>
          <t xml:space="preserve">r </t>
        </r>
        <r>
          <rPr>
            <sz val="9"/>
            <color indexed="81"/>
            <rFont val="Tahoma"/>
            <family val="2"/>
          </rPr>
          <t>&lt; 0</t>
        </r>
      </text>
    </comment>
    <comment ref="A7" authorId="0">
      <text>
        <r>
          <rPr>
            <sz val="9"/>
            <color indexed="81"/>
            <rFont val="Tahoma"/>
            <family val="2"/>
          </rPr>
          <t xml:space="preserve">See descriptive statistics for </t>
        </r>
        <r>
          <rPr>
            <i/>
            <sz val="9"/>
            <color indexed="81"/>
            <rFont val="Tahoma"/>
            <family val="2"/>
          </rPr>
          <t>X</t>
        </r>
        <r>
          <rPr>
            <sz val="9"/>
            <color indexed="81"/>
            <rFont val="Tahoma"/>
            <family val="2"/>
          </rPr>
          <t xml:space="preserve"> and </t>
        </r>
        <r>
          <rPr>
            <i/>
            <sz val="9"/>
            <color indexed="81"/>
            <rFont val="Tahoma"/>
            <family val="2"/>
          </rPr>
          <t>Y</t>
        </r>
      </text>
    </comment>
    <comment ref="B7" authorId="0">
      <text>
        <r>
          <rPr>
            <sz val="9"/>
            <color indexed="81"/>
            <rFont val="Tahoma"/>
            <family val="2"/>
          </rPr>
          <t xml:space="preserve">Number of valid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pairs</t>
        </r>
      </text>
    </comment>
    <comment ref="BA7" authorId="0">
      <text>
        <r>
          <rPr>
            <sz val="9"/>
            <color indexed="81"/>
            <rFont val="Tahoma"/>
            <family val="2"/>
          </rPr>
          <t xml:space="preserve">Enter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Max of 300 pairs.</t>
        </r>
      </text>
    </comment>
    <comment ref="BF7" authorId="0">
      <text>
        <r>
          <rPr>
            <sz val="9"/>
            <color indexed="81"/>
            <rFont val="Tahoma"/>
            <family val="2"/>
          </rPr>
          <t xml:space="preserve">Enter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Max of 300 pairs.</t>
        </r>
      </text>
    </comment>
    <comment ref="BK7" authorId="0">
      <text>
        <r>
          <rPr>
            <sz val="9"/>
            <color indexed="81"/>
            <rFont val="Tahoma"/>
            <family val="2"/>
          </rPr>
          <t xml:space="preserve">Enter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Max of 300 pairs.</t>
        </r>
      </text>
    </comment>
    <comment ref="BP7" authorId="0">
      <text>
        <r>
          <rPr>
            <sz val="9"/>
            <color indexed="81"/>
            <rFont val="Tahoma"/>
            <family val="2"/>
          </rPr>
          <t xml:space="preserve">Enter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Max of 300 pairs.</t>
        </r>
      </text>
    </comment>
    <comment ref="BU7" authorId="0">
      <text>
        <r>
          <rPr>
            <sz val="9"/>
            <color indexed="81"/>
            <rFont val="Tahoma"/>
            <family val="2"/>
          </rPr>
          <t xml:space="preserve">Enter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Max of 300 pairs.</t>
        </r>
      </text>
    </comment>
    <comment ref="BZ7" authorId="0">
      <text>
        <r>
          <rPr>
            <sz val="9"/>
            <color indexed="81"/>
            <rFont val="Tahoma"/>
            <family val="2"/>
          </rPr>
          <t xml:space="preserve">Enter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Max of 300 pairs.</t>
        </r>
      </text>
    </comment>
    <comment ref="B8" authorId="0">
      <text>
        <r>
          <rPr>
            <sz val="9"/>
            <color indexed="81"/>
            <rFont val="Tahoma"/>
            <family val="2"/>
          </rPr>
          <t xml:space="preserve">Correlation, </t>
        </r>
        <r>
          <rPr>
            <i/>
            <sz val="10"/>
            <color indexed="81"/>
            <rFont val="Tahoma"/>
            <family val="2"/>
          </rPr>
          <t>r</t>
        </r>
        <r>
          <rPr>
            <sz val="9"/>
            <color indexed="81"/>
            <rFont val="Tahoma"/>
            <family val="2"/>
          </rPr>
          <t xml:space="preserve">, of </t>
        </r>
        <r>
          <rPr>
            <i/>
            <sz val="9"/>
            <color indexed="81"/>
            <rFont val="Tahoma"/>
            <family val="2"/>
          </rPr>
          <t>X</t>
        </r>
        <r>
          <rPr>
            <sz val="9"/>
            <color indexed="81"/>
            <rFont val="Tahoma"/>
            <family val="2"/>
          </rPr>
          <t xml:space="preserve"> and </t>
        </r>
        <r>
          <rPr>
            <i/>
            <sz val="9"/>
            <color indexed="81"/>
            <rFont val="Tahoma"/>
            <family val="2"/>
          </rPr>
          <t xml:space="preserve">Y
</t>
        </r>
        <r>
          <rPr>
            <sz val="9"/>
            <color indexed="81"/>
            <rFont val="Tahoma"/>
            <family val="2"/>
          </rPr>
          <t xml:space="preserve">___________
Requires </t>
        </r>
        <r>
          <rPr>
            <i/>
            <sz val="9"/>
            <color indexed="81"/>
            <rFont val="Tahoma"/>
            <family val="2"/>
          </rPr>
          <t>N</t>
        </r>
        <r>
          <rPr>
            <sz val="9"/>
            <color indexed="81"/>
            <rFont val="Tahoma"/>
            <family val="2"/>
          </rPr>
          <t xml:space="preserve"> at least 4, and </t>
        </r>
        <r>
          <rPr>
            <i/>
            <sz val="10"/>
            <color indexed="81"/>
            <rFont val="Tahoma"/>
            <family val="2"/>
          </rPr>
          <t>s</t>
        </r>
        <r>
          <rPr>
            <vertAlign val="subscript"/>
            <sz val="10"/>
            <color indexed="81"/>
            <rFont val="Tahoma"/>
            <family val="2"/>
          </rPr>
          <t>X</t>
        </r>
        <r>
          <rPr>
            <sz val="9"/>
            <color indexed="81"/>
            <rFont val="Tahoma"/>
            <family val="2"/>
          </rPr>
          <t xml:space="preserve"> and </t>
        </r>
        <r>
          <rPr>
            <i/>
            <sz val="10"/>
            <color indexed="81"/>
            <rFont val="Tahoma"/>
            <family val="2"/>
          </rPr>
          <t>s</t>
        </r>
        <r>
          <rPr>
            <vertAlign val="subscript"/>
            <sz val="10"/>
            <color indexed="81"/>
            <rFont val="Tahoma"/>
            <family val="2"/>
          </rPr>
          <t>Y</t>
        </r>
        <r>
          <rPr>
            <sz val="9"/>
            <color indexed="81"/>
            <rFont val="Tahoma"/>
            <family val="2"/>
          </rPr>
          <t xml:space="preserve"> both nonzero. </t>
        </r>
      </text>
    </comment>
    <comment ref="H8" authorId="0">
      <text>
        <r>
          <rPr>
            <sz val="9"/>
            <color indexed="81"/>
            <rFont val="Tahoma"/>
            <family val="2"/>
          </rPr>
          <t xml:space="preserve">Correlation, </t>
        </r>
        <r>
          <rPr>
            <i/>
            <sz val="10"/>
            <color indexed="81"/>
            <rFont val="Tahoma"/>
            <family val="2"/>
          </rPr>
          <t>r</t>
        </r>
        <r>
          <rPr>
            <sz val="9"/>
            <color indexed="81"/>
            <rFont val="Tahoma"/>
            <family val="2"/>
          </rPr>
          <t xml:space="preserve">, of </t>
        </r>
        <r>
          <rPr>
            <i/>
            <sz val="9"/>
            <color indexed="81"/>
            <rFont val="Tahoma"/>
            <family val="2"/>
          </rPr>
          <t>Z</t>
        </r>
        <r>
          <rPr>
            <i/>
            <vertAlign val="subscript"/>
            <sz val="10"/>
            <color indexed="81"/>
            <rFont val="Tahoma"/>
            <family val="2"/>
          </rPr>
          <t>X</t>
        </r>
        <r>
          <rPr>
            <sz val="9"/>
            <color indexed="81"/>
            <rFont val="Tahoma"/>
            <family val="2"/>
          </rPr>
          <t xml:space="preserve"> and </t>
        </r>
        <r>
          <rPr>
            <i/>
            <sz val="9"/>
            <color indexed="81"/>
            <rFont val="Tahoma"/>
            <family val="2"/>
          </rPr>
          <t>Z</t>
        </r>
        <r>
          <rPr>
            <i/>
            <vertAlign val="subscript"/>
            <sz val="10"/>
            <color indexed="81"/>
            <rFont val="Tahoma"/>
            <family val="2"/>
          </rPr>
          <t>Y</t>
        </r>
        <r>
          <rPr>
            <sz val="9"/>
            <color indexed="81"/>
            <rFont val="Tahoma"/>
            <family val="2"/>
          </rPr>
          <t xml:space="preserve">. This is always equal to the correlation of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t>
        </r>
      </text>
    </comment>
    <comment ref="A9" authorId="0">
      <text>
        <r>
          <rPr>
            <sz val="9"/>
            <color indexed="81"/>
            <rFont val="Tahoma"/>
            <family val="2"/>
          </rPr>
          <t xml:space="preserve">Mean of </t>
        </r>
        <r>
          <rPr>
            <i/>
            <sz val="9"/>
            <color indexed="81"/>
            <rFont val="Tahoma"/>
            <family val="2"/>
          </rPr>
          <t xml:space="preserve">X </t>
        </r>
        <r>
          <rPr>
            <sz val="9"/>
            <color indexed="81"/>
            <rFont val="Tahoma"/>
            <family val="2"/>
          </rPr>
          <t xml:space="preserve">and mean of </t>
        </r>
        <r>
          <rPr>
            <i/>
            <sz val="9"/>
            <color indexed="81"/>
            <rFont val="Tahoma"/>
            <family val="2"/>
          </rPr>
          <t>Y</t>
        </r>
      </text>
    </comment>
    <comment ref="B9" authorId="0">
      <text>
        <r>
          <rPr>
            <i/>
            <sz val="10"/>
            <color indexed="81"/>
            <rFont val="Tahoma"/>
            <family val="2"/>
          </rPr>
          <t>M</t>
        </r>
        <r>
          <rPr>
            <i/>
            <vertAlign val="subscript"/>
            <sz val="11"/>
            <color indexed="81"/>
            <rFont val="Tahoma"/>
            <family val="2"/>
          </rPr>
          <t>X</t>
        </r>
      </text>
    </comment>
    <comment ref="C9" authorId="0">
      <text>
        <r>
          <rPr>
            <i/>
            <sz val="10"/>
            <color indexed="81"/>
            <rFont val="Tahoma"/>
            <family val="2"/>
          </rPr>
          <t>M</t>
        </r>
        <r>
          <rPr>
            <i/>
            <vertAlign val="subscript"/>
            <sz val="11"/>
            <color indexed="81"/>
            <rFont val="Tahoma"/>
            <family val="2"/>
          </rPr>
          <t>Y</t>
        </r>
      </text>
    </comment>
    <comment ref="E9" authorId="0">
      <text>
        <r>
          <rPr>
            <sz val="9"/>
            <color indexed="81"/>
            <rFont val="Tahoma"/>
            <family val="2"/>
          </rPr>
          <t xml:space="preserve">Mean of </t>
        </r>
        <r>
          <rPr>
            <i/>
            <sz val="9"/>
            <color indexed="81"/>
            <rFont val="Tahoma"/>
            <family val="2"/>
          </rPr>
          <t>Z</t>
        </r>
        <r>
          <rPr>
            <i/>
            <vertAlign val="subscript"/>
            <sz val="10"/>
            <color indexed="81"/>
            <rFont val="Tahoma"/>
            <family val="2"/>
          </rPr>
          <t>X</t>
        </r>
        <r>
          <rPr>
            <i/>
            <sz val="9"/>
            <color indexed="81"/>
            <rFont val="Tahoma"/>
            <family val="2"/>
          </rPr>
          <t xml:space="preserve"> </t>
        </r>
        <r>
          <rPr>
            <sz val="9"/>
            <color indexed="81"/>
            <rFont val="Tahoma"/>
            <family val="2"/>
          </rPr>
          <t xml:space="preserve">and mean of </t>
        </r>
        <r>
          <rPr>
            <i/>
            <sz val="9"/>
            <color indexed="81"/>
            <rFont val="Tahoma"/>
            <family val="2"/>
          </rPr>
          <t>Z</t>
        </r>
        <r>
          <rPr>
            <i/>
            <vertAlign val="subscript"/>
            <sz val="10"/>
            <color indexed="81"/>
            <rFont val="Tahoma"/>
            <family val="2"/>
          </rPr>
          <t>Y</t>
        </r>
        <r>
          <rPr>
            <sz val="9"/>
            <color indexed="81"/>
            <rFont val="Tahoma"/>
            <family val="2"/>
          </rPr>
          <t>. These should both be 0.</t>
        </r>
      </text>
    </comment>
    <comment ref="A10" authorId="0">
      <text>
        <r>
          <rPr>
            <sz val="9"/>
            <color indexed="81"/>
            <rFont val="Tahoma"/>
            <family val="2"/>
          </rPr>
          <t xml:space="preserve">Standard deviaion of </t>
        </r>
        <r>
          <rPr>
            <i/>
            <sz val="9"/>
            <color indexed="81"/>
            <rFont val="Tahoma"/>
            <family val="2"/>
          </rPr>
          <t xml:space="preserve">X </t>
        </r>
        <r>
          <rPr>
            <sz val="9"/>
            <color indexed="81"/>
            <rFont val="Tahoma"/>
            <family val="2"/>
          </rPr>
          <t xml:space="preserve">and standard deviaion of </t>
        </r>
        <r>
          <rPr>
            <i/>
            <sz val="9"/>
            <color indexed="81"/>
            <rFont val="Tahoma"/>
            <family val="2"/>
          </rPr>
          <t>Y</t>
        </r>
      </text>
    </comment>
    <comment ref="B10" authorId="0">
      <text>
        <r>
          <rPr>
            <sz val="10"/>
            <color indexed="81"/>
            <rFont val="Tahoma"/>
            <family val="2"/>
          </rPr>
          <t xml:space="preserve"> </t>
        </r>
        <r>
          <rPr>
            <i/>
            <sz val="10"/>
            <color indexed="81"/>
            <rFont val="Tahoma"/>
            <family val="2"/>
          </rPr>
          <t>s</t>
        </r>
        <r>
          <rPr>
            <i/>
            <vertAlign val="subscript"/>
            <sz val="10"/>
            <color indexed="81"/>
            <rFont val="Tahoma"/>
            <family val="2"/>
          </rPr>
          <t>X</t>
        </r>
      </text>
    </comment>
    <comment ref="C10" authorId="0">
      <text>
        <r>
          <rPr>
            <sz val="10"/>
            <color indexed="81"/>
            <rFont val="Tahoma"/>
            <family val="2"/>
          </rPr>
          <t xml:space="preserve"> </t>
        </r>
        <r>
          <rPr>
            <i/>
            <sz val="10"/>
            <color indexed="81"/>
            <rFont val="Tahoma"/>
            <family val="2"/>
          </rPr>
          <t>s</t>
        </r>
        <r>
          <rPr>
            <i/>
            <vertAlign val="subscript"/>
            <sz val="10"/>
            <color indexed="81"/>
            <rFont val="Tahoma"/>
            <family val="2"/>
          </rPr>
          <t>Y</t>
        </r>
      </text>
    </comment>
    <comment ref="E10" authorId="0">
      <text>
        <r>
          <rPr>
            <sz val="9"/>
            <color indexed="81"/>
            <rFont val="Tahoma"/>
            <family val="2"/>
          </rPr>
          <t xml:space="preserve">Standard deviaion of </t>
        </r>
        <r>
          <rPr>
            <i/>
            <sz val="9"/>
            <color indexed="81"/>
            <rFont val="Tahoma"/>
            <family val="2"/>
          </rPr>
          <t>Z</t>
        </r>
        <r>
          <rPr>
            <i/>
            <vertAlign val="subscript"/>
            <sz val="10"/>
            <color indexed="81"/>
            <rFont val="Tahoma"/>
            <family val="2"/>
          </rPr>
          <t>X</t>
        </r>
        <r>
          <rPr>
            <i/>
            <sz val="9"/>
            <color indexed="81"/>
            <rFont val="Tahoma"/>
            <family val="2"/>
          </rPr>
          <t xml:space="preserve"> </t>
        </r>
        <r>
          <rPr>
            <sz val="9"/>
            <color indexed="81"/>
            <rFont val="Tahoma"/>
            <family val="2"/>
          </rPr>
          <t xml:space="preserve">and standard deviaion of </t>
        </r>
        <r>
          <rPr>
            <i/>
            <sz val="9"/>
            <color indexed="81"/>
            <rFont val="Tahoma"/>
            <family val="2"/>
          </rPr>
          <t>Z</t>
        </r>
        <r>
          <rPr>
            <i/>
            <vertAlign val="subscript"/>
            <sz val="10"/>
            <color indexed="81"/>
            <rFont val="Tahoma"/>
            <family val="2"/>
          </rPr>
          <t>Y</t>
        </r>
        <r>
          <rPr>
            <sz val="9"/>
            <color indexed="81"/>
            <rFont val="Tahoma"/>
            <family val="2"/>
          </rPr>
          <t>. These should both be 1.</t>
        </r>
      </text>
    </comment>
    <comment ref="A11" authorId="0">
      <text>
        <r>
          <rPr>
            <sz val="9"/>
            <color indexed="81"/>
            <rFont val="Tahoma"/>
            <family val="2"/>
          </rPr>
          <t xml:space="preserve">Type in values for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below. (Immediately below, type in brief labels for the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variables.)
____________
To enter data you can use Paste Special/Values to paste from the clipboard</t>
        </r>
      </text>
    </comment>
    <comment ref="I11" authorId="0">
      <text>
        <r>
          <rPr>
            <sz val="9"/>
            <color indexed="81"/>
            <rFont val="Tahoma"/>
            <family val="2"/>
          </rPr>
          <t xml:space="preserve">The values of  </t>
        </r>
        <r>
          <rPr>
            <i/>
            <sz val="10"/>
            <color indexed="81"/>
            <rFont val="Tahoma"/>
            <family val="2"/>
          </rPr>
          <t>Z</t>
        </r>
        <r>
          <rPr>
            <i/>
            <vertAlign val="subscript"/>
            <sz val="10"/>
            <color indexed="81"/>
            <rFont val="Tahoma"/>
            <family val="2"/>
          </rPr>
          <t>X</t>
        </r>
        <r>
          <rPr>
            <i/>
            <sz val="10"/>
            <color indexed="81"/>
            <rFont val="Tahoma"/>
            <family val="2"/>
          </rPr>
          <t xml:space="preserve"> </t>
        </r>
        <r>
          <rPr>
            <sz val="12"/>
            <color indexed="81"/>
            <rFont val="Arial"/>
            <family val="2"/>
          </rPr>
          <t>×</t>
        </r>
        <r>
          <rPr>
            <sz val="10"/>
            <color indexed="81"/>
            <rFont val="Tahoma"/>
            <family val="2"/>
          </rPr>
          <t xml:space="preserve"> </t>
        </r>
        <r>
          <rPr>
            <i/>
            <sz val="10"/>
            <color indexed="81"/>
            <rFont val="Tahoma"/>
            <family val="2"/>
          </rPr>
          <t>Z</t>
        </r>
        <r>
          <rPr>
            <vertAlign val="subscript"/>
            <sz val="11"/>
            <color indexed="81"/>
            <rFont val="Tahoma"/>
            <family val="2"/>
          </rPr>
          <t>Y</t>
        </r>
        <r>
          <rPr>
            <sz val="10"/>
            <color indexed="81"/>
            <rFont val="Tahoma"/>
            <family val="2"/>
          </rPr>
          <t xml:space="preserve">  </t>
        </r>
        <r>
          <rPr>
            <sz val="9"/>
            <color indexed="81"/>
            <rFont val="Tahoma"/>
            <family val="2"/>
          </rPr>
          <t xml:space="preserve">are used to calculate the correlation </t>
        </r>
        <r>
          <rPr>
            <i/>
            <sz val="11"/>
            <color indexed="81"/>
            <rFont val="Tahoma"/>
            <family val="2"/>
          </rPr>
          <t>r</t>
        </r>
        <r>
          <rPr>
            <sz val="10"/>
            <color indexed="81"/>
            <rFont val="Tahoma"/>
            <family val="2"/>
          </rPr>
          <t>(</t>
        </r>
        <r>
          <rPr>
            <i/>
            <sz val="10"/>
            <color indexed="81"/>
            <rFont val="Tahoma"/>
            <family val="2"/>
          </rPr>
          <t>Z</t>
        </r>
        <r>
          <rPr>
            <i/>
            <vertAlign val="subscript"/>
            <sz val="11"/>
            <color indexed="81"/>
            <rFont val="Tahoma"/>
            <family val="2"/>
          </rPr>
          <t>X</t>
        </r>
        <r>
          <rPr>
            <sz val="10"/>
            <color indexed="81"/>
            <rFont val="Tahoma"/>
            <family val="2"/>
          </rPr>
          <t xml:space="preserve">, </t>
        </r>
        <r>
          <rPr>
            <i/>
            <sz val="10"/>
            <color indexed="81"/>
            <rFont val="Tahoma"/>
            <family val="2"/>
          </rPr>
          <t>Z</t>
        </r>
        <r>
          <rPr>
            <i/>
            <vertAlign val="subscript"/>
            <sz val="11"/>
            <color indexed="81"/>
            <rFont val="Tahoma"/>
            <family val="2"/>
          </rPr>
          <t>Y</t>
        </r>
        <r>
          <rPr>
            <sz val="10"/>
            <color indexed="81"/>
            <rFont val="Tahoma"/>
            <family val="2"/>
          </rPr>
          <t>)</t>
        </r>
      </text>
    </comment>
    <comment ref="B12" authorId="0">
      <text>
        <r>
          <rPr>
            <sz val="9"/>
            <color indexed="81"/>
            <rFont val="Tahoma"/>
            <family val="2"/>
          </rPr>
          <t xml:space="preserve">Type brief label for </t>
        </r>
        <r>
          <rPr>
            <i/>
            <sz val="9"/>
            <color indexed="81"/>
            <rFont val="Tahoma"/>
            <family val="2"/>
          </rPr>
          <t>X</t>
        </r>
        <r>
          <rPr>
            <sz val="9"/>
            <color indexed="81"/>
            <rFont val="Tahoma"/>
            <family val="2"/>
          </rPr>
          <t>, to appear on the horizontal axis of the scatterplot</t>
        </r>
      </text>
    </comment>
    <comment ref="D12" authorId="0">
      <text>
        <r>
          <rPr>
            <sz val="9"/>
            <color indexed="81"/>
            <rFont val="Tahoma"/>
            <family val="2"/>
          </rPr>
          <t xml:space="preserve">Type brief label for </t>
        </r>
        <r>
          <rPr>
            <i/>
            <sz val="9"/>
            <color indexed="81"/>
            <rFont val="Tahoma"/>
            <family val="2"/>
          </rPr>
          <t>Y</t>
        </r>
        <r>
          <rPr>
            <sz val="9"/>
            <color indexed="81"/>
            <rFont val="Tahoma"/>
            <family val="2"/>
          </rPr>
          <t>, to appear on the vertical axis of the scatterplot</t>
        </r>
      </text>
    </comment>
    <comment ref="F12" authorId="0">
      <text>
        <r>
          <rPr>
            <sz val="9"/>
            <color indexed="81"/>
            <rFont val="Tahoma"/>
            <family val="2"/>
          </rPr>
          <t xml:space="preserve">These standardized values of </t>
        </r>
        <r>
          <rPr>
            <i/>
            <sz val="9"/>
            <color indexed="81"/>
            <rFont val="Tahoma"/>
            <family val="2"/>
          </rPr>
          <t>X</t>
        </r>
        <r>
          <rPr>
            <sz val="9"/>
            <color indexed="81"/>
            <rFont val="Tahoma"/>
            <family val="2"/>
          </rPr>
          <t xml:space="preserve"> are calculated as:
 </t>
        </r>
        <r>
          <rPr>
            <i/>
            <sz val="10"/>
            <color indexed="81"/>
            <rFont val="Tahoma"/>
            <family val="2"/>
          </rPr>
          <t>Z</t>
        </r>
        <r>
          <rPr>
            <i/>
            <vertAlign val="subscript"/>
            <sz val="10"/>
            <color indexed="81"/>
            <rFont val="Tahoma"/>
            <family val="2"/>
          </rPr>
          <t>X</t>
        </r>
        <r>
          <rPr>
            <i/>
            <sz val="10"/>
            <color indexed="81"/>
            <rFont val="Tahoma"/>
            <family val="2"/>
          </rPr>
          <t xml:space="preserve"> </t>
        </r>
        <r>
          <rPr>
            <sz val="10"/>
            <color indexed="81"/>
            <rFont val="Tahoma"/>
            <family val="2"/>
          </rPr>
          <t>= (</t>
        </r>
        <r>
          <rPr>
            <i/>
            <sz val="10"/>
            <color indexed="81"/>
            <rFont val="Tahoma"/>
            <family val="2"/>
          </rPr>
          <t>X</t>
        </r>
        <r>
          <rPr>
            <sz val="10"/>
            <color indexed="81"/>
            <rFont val="Tahoma"/>
            <family val="2"/>
          </rPr>
          <t xml:space="preserve"> - </t>
        </r>
        <r>
          <rPr>
            <i/>
            <sz val="10"/>
            <color indexed="81"/>
            <rFont val="Tahoma"/>
            <family val="2"/>
          </rPr>
          <t>M</t>
        </r>
        <r>
          <rPr>
            <i/>
            <vertAlign val="subscript"/>
            <sz val="11"/>
            <color indexed="81"/>
            <rFont val="Tahoma"/>
            <family val="2"/>
          </rPr>
          <t>X</t>
        </r>
        <r>
          <rPr>
            <sz val="10"/>
            <color indexed="81"/>
            <rFont val="Tahoma"/>
            <family val="2"/>
          </rPr>
          <t xml:space="preserve">) / </t>
        </r>
        <r>
          <rPr>
            <i/>
            <sz val="10"/>
            <color indexed="81"/>
            <rFont val="Tahoma"/>
            <family val="2"/>
          </rPr>
          <t>s</t>
        </r>
        <r>
          <rPr>
            <i/>
            <vertAlign val="subscript"/>
            <sz val="10"/>
            <color indexed="81"/>
            <rFont val="Tahoma"/>
            <family val="2"/>
          </rPr>
          <t>X</t>
        </r>
      </text>
    </comment>
    <comment ref="G12" authorId="0">
      <text>
        <r>
          <rPr>
            <sz val="9"/>
            <color indexed="81"/>
            <rFont val="Tahoma"/>
            <family val="2"/>
          </rPr>
          <t xml:space="preserve">These standardized values of </t>
        </r>
        <r>
          <rPr>
            <i/>
            <sz val="9"/>
            <color indexed="81"/>
            <rFont val="Tahoma"/>
            <family val="2"/>
          </rPr>
          <t>Y</t>
        </r>
        <r>
          <rPr>
            <sz val="9"/>
            <color indexed="81"/>
            <rFont val="Tahoma"/>
            <family val="2"/>
          </rPr>
          <t xml:space="preserve"> are calculated as:
 </t>
        </r>
        <r>
          <rPr>
            <i/>
            <sz val="10"/>
            <color indexed="81"/>
            <rFont val="Tahoma"/>
            <family val="2"/>
          </rPr>
          <t>Z</t>
        </r>
        <r>
          <rPr>
            <i/>
            <vertAlign val="subscript"/>
            <sz val="10"/>
            <color indexed="81"/>
            <rFont val="Tahoma"/>
            <family val="2"/>
          </rPr>
          <t>Y</t>
        </r>
        <r>
          <rPr>
            <i/>
            <sz val="10"/>
            <color indexed="81"/>
            <rFont val="Tahoma"/>
            <family val="2"/>
          </rPr>
          <t xml:space="preserve"> </t>
        </r>
        <r>
          <rPr>
            <sz val="10"/>
            <color indexed="81"/>
            <rFont val="Tahoma"/>
            <family val="2"/>
          </rPr>
          <t>= (</t>
        </r>
        <r>
          <rPr>
            <i/>
            <sz val="10"/>
            <color indexed="81"/>
            <rFont val="Tahoma"/>
            <family val="2"/>
          </rPr>
          <t>Y</t>
        </r>
        <r>
          <rPr>
            <sz val="10"/>
            <color indexed="81"/>
            <rFont val="Tahoma"/>
            <family val="2"/>
          </rPr>
          <t xml:space="preserve"> - </t>
        </r>
        <r>
          <rPr>
            <i/>
            <sz val="10"/>
            <color indexed="81"/>
            <rFont val="Tahoma"/>
            <family val="2"/>
          </rPr>
          <t>M</t>
        </r>
        <r>
          <rPr>
            <i/>
            <vertAlign val="subscript"/>
            <sz val="11"/>
            <color indexed="81"/>
            <rFont val="Tahoma"/>
            <family val="2"/>
          </rPr>
          <t>Y</t>
        </r>
        <r>
          <rPr>
            <sz val="10"/>
            <color indexed="81"/>
            <rFont val="Tahoma"/>
            <family val="2"/>
          </rPr>
          <t xml:space="preserve">) / </t>
        </r>
        <r>
          <rPr>
            <i/>
            <sz val="10"/>
            <color indexed="81"/>
            <rFont val="Tahoma"/>
            <family val="2"/>
          </rPr>
          <t>s</t>
        </r>
        <r>
          <rPr>
            <i/>
            <vertAlign val="subscript"/>
            <sz val="10"/>
            <color indexed="81"/>
            <rFont val="Tahoma"/>
            <family val="2"/>
          </rPr>
          <t>Y</t>
        </r>
      </text>
    </comment>
    <comment ref="A13" authorId="0">
      <text>
        <r>
          <rPr>
            <sz val="9"/>
            <color indexed="81"/>
            <rFont val="Tahoma"/>
            <family val="2"/>
          </rPr>
          <t xml:space="preserve">Enter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Max of 300 pairs.</t>
        </r>
      </text>
    </comment>
    <comment ref="E13" authorId="0">
      <text>
        <r>
          <rPr>
            <sz val="9"/>
            <color indexed="81"/>
            <rFont val="Tahoma"/>
            <family val="2"/>
          </rPr>
          <t xml:space="preserve">See below the values of the </t>
        </r>
        <r>
          <rPr>
            <i/>
            <sz val="9"/>
            <color indexed="81"/>
            <rFont val="Tahoma"/>
            <family val="2"/>
          </rPr>
          <t>Z</t>
        </r>
        <r>
          <rPr>
            <i/>
            <vertAlign val="subscript"/>
            <sz val="10"/>
            <color indexed="81"/>
            <rFont val="Tahoma"/>
            <family val="2"/>
          </rPr>
          <t>X</t>
        </r>
        <r>
          <rPr>
            <i/>
            <sz val="9"/>
            <color indexed="81"/>
            <rFont val="Tahoma"/>
            <family val="2"/>
          </rPr>
          <t xml:space="preserve"> </t>
        </r>
        <r>
          <rPr>
            <sz val="9"/>
            <color indexed="81"/>
            <rFont val="Tahoma"/>
            <family val="2"/>
          </rPr>
          <t xml:space="preserve">and </t>
        </r>
        <r>
          <rPr>
            <i/>
            <sz val="9"/>
            <color indexed="81"/>
            <rFont val="Tahoma"/>
            <family val="2"/>
          </rPr>
          <t>Z</t>
        </r>
        <r>
          <rPr>
            <i/>
            <vertAlign val="subscript"/>
            <sz val="10"/>
            <color indexed="81"/>
            <rFont val="Tahoma"/>
            <family val="2"/>
          </rPr>
          <t>Y</t>
        </r>
        <r>
          <rPr>
            <sz val="9"/>
            <color indexed="81"/>
            <rFont val="Tahoma"/>
            <family val="2"/>
          </rPr>
          <t xml:space="preserve"> standardized data pairs. </t>
        </r>
      </text>
    </comment>
    <comment ref="N38" authorId="0">
      <text>
        <r>
          <rPr>
            <sz val="9"/>
            <color indexed="81"/>
            <rFont val="Tahoma"/>
            <family val="2"/>
          </rPr>
          <t xml:space="preserve">Information about the linear regression of </t>
        </r>
        <r>
          <rPr>
            <i/>
            <sz val="9"/>
            <color indexed="81"/>
            <rFont val="Tahoma"/>
            <family val="2"/>
          </rPr>
          <t>Y</t>
        </r>
        <r>
          <rPr>
            <sz val="9"/>
            <color indexed="81"/>
            <rFont val="Tahoma"/>
            <family val="2"/>
          </rPr>
          <t xml:space="preserve"> on</t>
        </r>
        <r>
          <rPr>
            <i/>
            <sz val="9"/>
            <color indexed="81"/>
            <rFont val="Tahoma"/>
            <family val="2"/>
          </rPr>
          <t xml:space="preserve"> X</t>
        </r>
        <r>
          <rPr>
            <sz val="9"/>
            <color indexed="81"/>
            <rFont val="Tahoma"/>
            <family val="2"/>
          </rPr>
          <t xml:space="preserve">
_____________
Calculation of confidence intervals, CI curves, and prediction interval curves requires assumptions</t>
        </r>
      </text>
    </comment>
    <comment ref="V38" authorId="0">
      <text>
        <r>
          <rPr>
            <sz val="9"/>
            <color indexed="81"/>
            <rFont val="Tahoma"/>
            <family val="2"/>
          </rPr>
          <t xml:space="preserve">Regression equation for </t>
        </r>
        <r>
          <rPr>
            <i/>
            <sz val="9"/>
            <color indexed="81"/>
            <rFont val="Tahoma"/>
            <family val="2"/>
          </rPr>
          <t>Y</t>
        </r>
        <r>
          <rPr>
            <sz val="9"/>
            <color indexed="81"/>
            <rFont val="Tahoma"/>
            <family val="2"/>
          </rPr>
          <t xml:space="preserve"> on </t>
        </r>
        <r>
          <rPr>
            <i/>
            <sz val="9"/>
            <color indexed="81"/>
            <rFont val="Tahoma"/>
            <family val="2"/>
          </rPr>
          <t>X</t>
        </r>
        <r>
          <rPr>
            <sz val="9"/>
            <color indexed="81"/>
            <rFont val="Tahoma"/>
            <family val="2"/>
          </rPr>
          <t xml:space="preserve">.
</t>
        </r>
        <r>
          <rPr>
            <sz val="9"/>
            <color indexed="81"/>
            <rFont val="Tahoma"/>
            <family val="2"/>
          </rPr>
          <t xml:space="preserve">
</t>
        </r>
      </text>
    </comment>
    <comment ref="AA38" authorId="0">
      <text>
        <r>
          <rPr>
            <sz val="9"/>
            <color indexed="81"/>
            <rFont val="Tahoma"/>
            <family val="2"/>
          </rPr>
          <t xml:space="preserve">Click to display the </t>
        </r>
        <r>
          <rPr>
            <i/>
            <sz val="10"/>
            <color indexed="81"/>
            <rFont val="Tahoma"/>
            <family val="2"/>
          </rPr>
          <t>p</t>
        </r>
        <r>
          <rPr>
            <sz val="9"/>
            <color indexed="81"/>
            <rFont val="Tahoma"/>
            <family val="2"/>
          </rPr>
          <t xml:space="preserve"> value for </t>
        </r>
        <r>
          <rPr>
            <i/>
            <sz val="10"/>
            <color indexed="81"/>
            <rFont val="Tahoma"/>
            <family val="2"/>
          </rPr>
          <t>b</t>
        </r>
        <r>
          <rPr>
            <sz val="9"/>
            <color indexed="81"/>
            <rFont val="Tahoma"/>
            <family val="2"/>
          </rPr>
          <t xml:space="preserve">, for testing the null hypothesis that the regression slope in the population is zero.
_______________
The </t>
        </r>
        <r>
          <rPr>
            <i/>
            <sz val="10"/>
            <color indexed="81"/>
            <rFont val="Tahoma"/>
            <family val="2"/>
          </rPr>
          <t>p</t>
        </r>
        <r>
          <rPr>
            <sz val="9"/>
            <color indexed="81"/>
            <rFont val="Tahoma"/>
            <family val="2"/>
          </rPr>
          <t xml:space="preserve"> value is two-tailed. No </t>
        </r>
        <r>
          <rPr>
            <i/>
            <sz val="10"/>
            <color indexed="81"/>
            <rFont val="Tahoma"/>
            <family val="2"/>
          </rPr>
          <t>p</t>
        </r>
        <r>
          <rPr>
            <sz val="9"/>
            <color indexed="81"/>
            <rFont val="Tahoma"/>
            <family val="2"/>
          </rPr>
          <t xml:space="preserve"> can be calculated if </t>
        </r>
        <r>
          <rPr>
            <i/>
            <sz val="10"/>
            <color indexed="81"/>
            <rFont val="Tahoma"/>
            <family val="2"/>
          </rPr>
          <t>r</t>
        </r>
        <r>
          <rPr>
            <sz val="9"/>
            <color indexed="81"/>
            <rFont val="Tahoma"/>
            <family val="2"/>
          </rPr>
          <t xml:space="preserve"> = 1 or -1.</t>
        </r>
      </text>
    </comment>
    <comment ref="Q39" authorId="0">
      <text>
        <r>
          <rPr>
            <sz val="9"/>
            <color indexed="81"/>
            <rFont val="Tahoma"/>
            <family val="2"/>
          </rPr>
          <t xml:space="preserve">Click to display a heavy black line that shows the linear regression of </t>
        </r>
        <r>
          <rPr>
            <i/>
            <sz val="9"/>
            <color indexed="81"/>
            <rFont val="Tahoma"/>
            <family val="2"/>
          </rPr>
          <t>Y</t>
        </r>
        <r>
          <rPr>
            <sz val="9"/>
            <color indexed="81"/>
            <rFont val="Tahoma"/>
            <family val="2"/>
          </rPr>
          <t xml:space="preserve"> on </t>
        </r>
        <r>
          <rPr>
            <i/>
            <sz val="9"/>
            <color indexed="81"/>
            <rFont val="Tahoma"/>
            <family val="2"/>
          </rPr>
          <t>X</t>
        </r>
        <r>
          <rPr>
            <sz val="9"/>
            <color indexed="81"/>
            <rFont val="Tahoma"/>
            <family val="2"/>
          </rPr>
          <t xml:space="preserve"> </t>
        </r>
        <r>
          <rPr>
            <sz val="9"/>
            <color indexed="81"/>
            <rFont val="Tahoma"/>
            <family val="2"/>
          </rPr>
          <t xml:space="preserve">
</t>
        </r>
      </text>
    </comment>
    <comment ref="U39" authorId="0">
      <text>
        <r>
          <rPr>
            <sz val="9"/>
            <color indexed="81"/>
            <rFont val="Tahoma"/>
            <family val="2"/>
          </rPr>
          <t xml:space="preserve">Intercept of the regression equation of </t>
        </r>
        <r>
          <rPr>
            <i/>
            <sz val="9"/>
            <color indexed="81"/>
            <rFont val="Tahoma"/>
            <family val="2"/>
          </rPr>
          <t>Y</t>
        </r>
        <r>
          <rPr>
            <sz val="9"/>
            <color indexed="81"/>
            <rFont val="Tahoma"/>
            <family val="2"/>
          </rPr>
          <t xml:space="preserve"> on </t>
        </r>
        <r>
          <rPr>
            <i/>
            <sz val="9"/>
            <color indexed="81"/>
            <rFont val="Tahoma"/>
            <family val="2"/>
          </rPr>
          <t>X</t>
        </r>
        <r>
          <rPr>
            <sz val="9"/>
            <color indexed="81"/>
            <rFont val="Tahoma"/>
            <family val="2"/>
          </rPr>
          <t>.</t>
        </r>
        <r>
          <rPr>
            <sz val="9"/>
            <color indexed="81"/>
            <rFont val="Tahoma"/>
            <family val="2"/>
          </rPr>
          <t xml:space="preserve">
The formula is:
  </t>
        </r>
        <r>
          <rPr>
            <i/>
            <sz val="11"/>
            <color indexed="81"/>
            <rFont val="Tahoma"/>
            <family val="2"/>
          </rPr>
          <t>a</t>
        </r>
        <r>
          <rPr>
            <sz val="11"/>
            <color indexed="81"/>
            <rFont val="Tahoma"/>
            <family val="2"/>
          </rPr>
          <t xml:space="preserve"> = </t>
        </r>
        <r>
          <rPr>
            <i/>
            <sz val="11"/>
            <color indexed="81"/>
            <rFont val="Tahoma"/>
            <family val="2"/>
          </rPr>
          <t>M</t>
        </r>
        <r>
          <rPr>
            <i/>
            <vertAlign val="subscript"/>
            <sz val="11"/>
            <color indexed="81"/>
            <rFont val="Tahoma"/>
            <family val="2"/>
          </rPr>
          <t>Y</t>
        </r>
        <r>
          <rPr>
            <i/>
            <sz val="11"/>
            <color indexed="81"/>
            <rFont val="Tahoma"/>
            <family val="2"/>
          </rPr>
          <t xml:space="preserve"> </t>
        </r>
        <r>
          <rPr>
            <sz val="11"/>
            <color indexed="81"/>
            <rFont val="Tahoma"/>
            <family val="2"/>
          </rPr>
          <t xml:space="preserve">- </t>
        </r>
        <r>
          <rPr>
            <i/>
            <sz val="11"/>
            <color indexed="81"/>
            <rFont val="Tahoma"/>
            <family val="2"/>
          </rPr>
          <t>b</t>
        </r>
        <r>
          <rPr>
            <sz val="11"/>
            <color indexed="81"/>
            <rFont val="Tahoma"/>
            <family val="2"/>
          </rPr>
          <t xml:space="preserve"> x </t>
        </r>
        <r>
          <rPr>
            <i/>
            <sz val="11"/>
            <color indexed="81"/>
            <rFont val="Tahoma"/>
            <family val="2"/>
          </rPr>
          <t>M</t>
        </r>
        <r>
          <rPr>
            <i/>
            <vertAlign val="subscript"/>
            <sz val="11"/>
            <color indexed="81"/>
            <rFont val="Tahoma"/>
            <family val="2"/>
          </rPr>
          <t>X</t>
        </r>
      </text>
    </comment>
    <comment ref="W39" authorId="0">
      <text>
        <r>
          <rPr>
            <sz val="9"/>
            <color indexed="81"/>
            <rFont val="Tahoma"/>
            <family val="2"/>
          </rPr>
          <t xml:space="preserve">Slope of the regression line.
The formula is:
  </t>
        </r>
        <r>
          <rPr>
            <i/>
            <sz val="11"/>
            <color indexed="81"/>
            <rFont val="Tahoma"/>
            <family val="2"/>
          </rPr>
          <t>b</t>
        </r>
        <r>
          <rPr>
            <sz val="11"/>
            <color indexed="81"/>
            <rFont val="Tahoma"/>
            <family val="2"/>
          </rPr>
          <t xml:space="preserve"> = </t>
        </r>
        <r>
          <rPr>
            <i/>
            <sz val="11"/>
            <color indexed="81"/>
            <rFont val="Tahoma"/>
            <family val="2"/>
          </rPr>
          <t>r</t>
        </r>
        <r>
          <rPr>
            <sz val="11"/>
            <color indexed="81"/>
            <rFont val="Tahoma"/>
            <family val="2"/>
          </rPr>
          <t xml:space="preserve"> x (</t>
        </r>
        <r>
          <rPr>
            <i/>
            <sz val="11"/>
            <color indexed="81"/>
            <rFont val="Tahoma"/>
            <family val="2"/>
          </rPr>
          <t>s</t>
        </r>
        <r>
          <rPr>
            <i/>
            <vertAlign val="subscript"/>
            <sz val="11"/>
            <color indexed="81"/>
            <rFont val="Tahoma"/>
            <family val="2"/>
          </rPr>
          <t>Y</t>
        </r>
        <r>
          <rPr>
            <sz val="11"/>
            <color indexed="81"/>
            <rFont val="Tahoma"/>
            <family val="2"/>
          </rPr>
          <t xml:space="preserve"> / </t>
        </r>
        <r>
          <rPr>
            <i/>
            <sz val="11"/>
            <color indexed="81"/>
            <rFont val="Tahoma"/>
            <family val="2"/>
          </rPr>
          <t>s</t>
        </r>
        <r>
          <rPr>
            <i/>
            <vertAlign val="subscript"/>
            <sz val="11"/>
            <color indexed="81"/>
            <rFont val="Tahoma"/>
            <family val="2"/>
          </rPr>
          <t>X</t>
        </r>
        <r>
          <rPr>
            <sz val="11"/>
            <color indexed="81"/>
            <rFont val="Tahoma"/>
            <family val="2"/>
          </rPr>
          <t xml:space="preserve">)
</t>
        </r>
      </text>
    </comment>
    <comment ref="Y39" authorId="0">
      <text>
        <r>
          <rPr>
            <sz val="9"/>
            <color indexed="81"/>
            <rFont val="Tahoma"/>
            <family val="2"/>
          </rPr>
          <t xml:space="preserve">The </t>
        </r>
        <r>
          <rPr>
            <i/>
            <sz val="10"/>
            <color indexed="81"/>
            <rFont val="Tahoma"/>
            <family val="2"/>
          </rPr>
          <t>p</t>
        </r>
        <r>
          <rPr>
            <sz val="9"/>
            <color indexed="81"/>
            <rFont val="Tahoma"/>
            <family val="2"/>
          </rPr>
          <t xml:space="preserve"> value for </t>
        </r>
        <r>
          <rPr>
            <i/>
            <sz val="10"/>
            <color indexed="81"/>
            <rFont val="Tahoma"/>
            <family val="2"/>
          </rPr>
          <t>b</t>
        </r>
        <r>
          <rPr>
            <sz val="9"/>
            <color indexed="81"/>
            <rFont val="Tahoma"/>
            <family val="2"/>
          </rPr>
          <t xml:space="preserve">, for testing the null hypothesis that the regression slope in the population is zero.
_______________
The </t>
        </r>
        <r>
          <rPr>
            <i/>
            <sz val="10"/>
            <color indexed="81"/>
            <rFont val="Tahoma"/>
            <family val="2"/>
          </rPr>
          <t>p</t>
        </r>
        <r>
          <rPr>
            <sz val="9"/>
            <color indexed="81"/>
            <rFont val="Tahoma"/>
            <family val="2"/>
          </rPr>
          <t xml:space="preserve"> value is two-tailed. No </t>
        </r>
        <r>
          <rPr>
            <i/>
            <sz val="10"/>
            <color indexed="81"/>
            <rFont val="Tahoma"/>
            <family val="2"/>
          </rPr>
          <t>p</t>
        </r>
        <r>
          <rPr>
            <sz val="9"/>
            <color indexed="81"/>
            <rFont val="Tahoma"/>
            <family val="2"/>
          </rPr>
          <t xml:space="preserve"> can be calculated if </t>
        </r>
        <r>
          <rPr>
            <i/>
            <sz val="10"/>
            <color indexed="81"/>
            <rFont val="Tahoma"/>
            <family val="2"/>
          </rPr>
          <t>r</t>
        </r>
        <r>
          <rPr>
            <sz val="9"/>
            <color indexed="81"/>
            <rFont val="Tahoma"/>
            <family val="2"/>
          </rPr>
          <t xml:space="preserve"> = 1 or -1.
This </t>
        </r>
        <r>
          <rPr>
            <i/>
            <sz val="10"/>
            <color indexed="81"/>
            <rFont val="Tahoma"/>
            <family val="2"/>
          </rPr>
          <t>p</t>
        </r>
        <r>
          <rPr>
            <sz val="9"/>
            <color indexed="81"/>
            <rFont val="Tahoma"/>
            <family val="2"/>
          </rPr>
          <t xml:space="preserve"> value should be very similar to the </t>
        </r>
        <r>
          <rPr>
            <i/>
            <sz val="10"/>
            <color indexed="81"/>
            <rFont val="Tahoma"/>
            <family val="2"/>
          </rPr>
          <t>p</t>
        </r>
        <r>
          <rPr>
            <sz val="9"/>
            <color indexed="81"/>
            <rFont val="Tahoma"/>
            <family val="2"/>
          </rPr>
          <t xml:space="preserve"> value for </t>
        </r>
        <r>
          <rPr>
            <i/>
            <sz val="10"/>
            <color indexed="81"/>
            <rFont val="Tahoma"/>
            <family val="2"/>
          </rPr>
          <t>r</t>
        </r>
        <r>
          <rPr>
            <sz val="9"/>
            <color indexed="81"/>
            <rFont val="Tahoma"/>
            <family val="2"/>
          </rPr>
          <t xml:space="preserve">, at </t>
        </r>
        <r>
          <rPr>
            <b/>
            <sz val="9"/>
            <color indexed="10"/>
            <rFont val="Tahoma"/>
            <family val="2"/>
          </rPr>
          <t>7</t>
        </r>
        <r>
          <rPr>
            <sz val="9"/>
            <color indexed="81"/>
            <rFont val="Tahoma"/>
            <family val="2"/>
          </rPr>
          <t>.</t>
        </r>
      </text>
    </comment>
    <comment ref="T40" authorId="0">
      <text>
        <r>
          <rPr>
            <sz val="9"/>
            <color indexed="81"/>
            <rFont val="Tahoma"/>
            <family val="2"/>
          </rPr>
          <t xml:space="preserve">Regression equation for </t>
        </r>
        <r>
          <rPr>
            <i/>
            <sz val="9"/>
            <color indexed="81"/>
            <rFont val="Tahoma"/>
            <family val="2"/>
          </rPr>
          <t>Y</t>
        </r>
        <r>
          <rPr>
            <sz val="9"/>
            <color indexed="81"/>
            <rFont val="Tahoma"/>
            <family val="2"/>
          </rPr>
          <t xml:space="preserve"> on </t>
        </r>
        <r>
          <rPr>
            <i/>
            <sz val="9"/>
            <color indexed="81"/>
            <rFont val="Tahoma"/>
            <family val="2"/>
          </rPr>
          <t>X</t>
        </r>
        <r>
          <rPr>
            <sz val="9"/>
            <color indexed="81"/>
            <rFont val="Tahoma"/>
            <family val="2"/>
          </rPr>
          <t xml:space="preserve">.
____________
</t>
        </r>
        <r>
          <rPr>
            <i/>
            <sz val="9"/>
            <color indexed="81"/>
            <rFont val="Tahoma"/>
            <family val="2"/>
          </rPr>
          <t>Ŷ</t>
        </r>
        <r>
          <rPr>
            <sz val="9"/>
            <color indexed="81"/>
            <rFont val="Tahoma"/>
            <family val="2"/>
          </rPr>
          <t xml:space="preserve"> is the regression estimate of </t>
        </r>
        <r>
          <rPr>
            <i/>
            <sz val="9"/>
            <color indexed="81"/>
            <rFont val="Tahoma"/>
            <family val="2"/>
          </rPr>
          <t>Y</t>
        </r>
        <r>
          <rPr>
            <sz val="9"/>
            <color indexed="81"/>
            <rFont val="Tahoma"/>
            <family val="2"/>
          </rPr>
          <t xml:space="preserve">
at a particular </t>
        </r>
        <r>
          <rPr>
            <i/>
            <sz val="9"/>
            <color indexed="81"/>
            <rFont val="Tahoma"/>
            <family val="2"/>
          </rPr>
          <t>X</t>
        </r>
        <r>
          <rPr>
            <sz val="9"/>
            <color indexed="81"/>
            <rFont val="Tahoma"/>
            <family val="2"/>
          </rPr>
          <t>.</t>
        </r>
      </text>
    </comment>
    <comment ref="V41" authorId="0">
      <text>
        <r>
          <rPr>
            <sz val="9"/>
            <color indexed="81"/>
            <rFont val="Tahoma"/>
            <family val="2"/>
          </rPr>
          <t xml:space="preserve">CI on the slope, </t>
        </r>
        <r>
          <rPr>
            <i/>
            <sz val="10"/>
            <color indexed="81"/>
            <rFont val="Tahoma"/>
            <family val="2"/>
          </rPr>
          <t>b</t>
        </r>
        <r>
          <rPr>
            <sz val="9"/>
            <color indexed="81"/>
            <rFont val="Tahoma"/>
            <family val="2"/>
          </rPr>
          <t xml:space="preserve">
__________
No CI can be calculated if </t>
        </r>
        <r>
          <rPr>
            <i/>
            <sz val="10"/>
            <color indexed="81"/>
            <rFont val="Tahoma"/>
            <family val="2"/>
          </rPr>
          <t>r</t>
        </r>
        <r>
          <rPr>
            <sz val="9"/>
            <color indexed="81"/>
            <rFont val="Tahoma"/>
            <family val="2"/>
          </rPr>
          <t xml:space="preserve"> = 1 or -1</t>
        </r>
      </text>
    </comment>
    <comment ref="W41" authorId="0">
      <text>
        <r>
          <rPr>
            <sz val="9"/>
            <color indexed="81"/>
            <rFont val="Tahoma"/>
            <family val="2"/>
          </rPr>
          <t xml:space="preserve">Lower limit of the CI on slope </t>
        </r>
        <r>
          <rPr>
            <i/>
            <sz val="10"/>
            <color indexed="81"/>
            <rFont val="Tahoma"/>
            <family val="2"/>
          </rPr>
          <t>b</t>
        </r>
        <r>
          <rPr>
            <sz val="9"/>
            <color indexed="81"/>
            <rFont val="Tahoma"/>
            <family val="2"/>
          </rPr>
          <t xml:space="preserve">
</t>
        </r>
      </text>
    </comment>
    <comment ref="Y41" authorId="0">
      <text>
        <r>
          <rPr>
            <sz val="9"/>
            <color indexed="81"/>
            <rFont val="Tahoma"/>
            <family val="2"/>
          </rPr>
          <t xml:space="preserve">Upper limit of the CI on slope </t>
        </r>
        <r>
          <rPr>
            <i/>
            <sz val="10"/>
            <color indexed="81"/>
            <rFont val="Tahoma"/>
            <family val="2"/>
          </rPr>
          <t>b</t>
        </r>
        <r>
          <rPr>
            <sz val="9"/>
            <color indexed="81"/>
            <rFont val="Tahoma"/>
            <family val="2"/>
          </rPr>
          <t xml:space="preserve">
</t>
        </r>
      </text>
    </comment>
    <comment ref="N42" authorId="0">
      <text>
        <r>
          <rPr>
            <sz val="9"/>
            <color indexed="81"/>
            <rFont val="Tahoma"/>
            <family val="2"/>
          </rPr>
          <t xml:space="preserve">Click, then use slider to choose a value of </t>
        </r>
        <r>
          <rPr>
            <i/>
            <sz val="9"/>
            <color indexed="81"/>
            <rFont val="Tahoma"/>
            <family val="2"/>
          </rPr>
          <t>X</t>
        </r>
        <r>
          <rPr>
            <sz val="9"/>
            <color indexed="81"/>
            <rFont val="Tahoma"/>
            <family val="2"/>
          </rPr>
          <t xml:space="preserve"> and display as a red diamond on the regression line.</t>
        </r>
        <r>
          <rPr>
            <sz val="9"/>
            <color indexed="81"/>
            <rFont val="Tahoma"/>
            <family val="2"/>
          </rPr>
          <t xml:space="preserve">
</t>
        </r>
      </text>
    </comment>
    <comment ref="P42" authorId="0">
      <text>
        <r>
          <rPr>
            <sz val="9"/>
            <color indexed="81"/>
            <rFont val="Tahoma"/>
            <family val="2"/>
          </rPr>
          <t xml:space="preserve">Click at left, then use slider to choose a value of </t>
        </r>
        <r>
          <rPr>
            <i/>
            <sz val="9"/>
            <color indexed="81"/>
            <rFont val="Tahoma"/>
            <family val="2"/>
          </rPr>
          <t>X</t>
        </r>
        <r>
          <rPr>
            <sz val="9"/>
            <color indexed="81"/>
            <rFont val="Tahoma"/>
            <family val="2"/>
          </rPr>
          <t>.
____________
The red diamond in the figure marks the point on the regression line that is (</t>
        </r>
        <r>
          <rPr>
            <i/>
            <sz val="9"/>
            <color indexed="81"/>
            <rFont val="Tahoma"/>
            <family val="2"/>
          </rPr>
          <t>X</t>
        </r>
        <r>
          <rPr>
            <sz val="9"/>
            <color indexed="81"/>
            <rFont val="Tahoma"/>
            <family val="2"/>
          </rPr>
          <t xml:space="preserve">, </t>
        </r>
        <r>
          <rPr>
            <i/>
            <sz val="9"/>
            <color indexed="81"/>
            <rFont val="Tahoma"/>
            <family val="2"/>
          </rPr>
          <t>Ŷ</t>
        </r>
        <r>
          <rPr>
            <sz val="9"/>
            <color indexed="81"/>
            <rFont val="Tahoma"/>
            <family val="2"/>
          </rPr>
          <t>).</t>
        </r>
      </text>
    </comment>
    <comment ref="N43" authorId="0">
      <text>
        <r>
          <rPr>
            <sz val="9"/>
            <color indexed="81"/>
            <rFont val="Tahoma"/>
            <family val="2"/>
          </rPr>
          <t xml:space="preserve">When </t>
        </r>
        <r>
          <rPr>
            <b/>
            <sz val="9"/>
            <color indexed="81"/>
            <rFont val="Tahoma"/>
            <family val="2"/>
          </rPr>
          <t xml:space="preserve">Choose </t>
        </r>
        <r>
          <rPr>
            <b/>
            <i/>
            <sz val="9"/>
            <color indexed="81"/>
            <rFont val="Tahoma"/>
            <family val="2"/>
          </rPr>
          <t>X</t>
        </r>
        <r>
          <rPr>
            <sz val="9"/>
            <color indexed="81"/>
            <rFont val="Tahoma"/>
            <family val="2"/>
          </rPr>
          <t xml:space="preserve"> is selected, mark </t>
        </r>
        <r>
          <rPr>
            <i/>
            <sz val="9"/>
            <color indexed="81"/>
            <rFont val="Tahoma"/>
            <family val="2"/>
          </rPr>
          <t>X</t>
        </r>
        <r>
          <rPr>
            <sz val="9"/>
            <color indexed="81"/>
            <rFont val="Tahoma"/>
            <family val="2"/>
          </rPr>
          <t xml:space="preserve"> and </t>
        </r>
        <r>
          <rPr>
            <i/>
            <sz val="9"/>
            <color indexed="81"/>
            <rFont val="Tahoma"/>
            <family val="2"/>
          </rPr>
          <t>Ŷ</t>
        </r>
        <r>
          <rPr>
            <sz val="9"/>
            <color indexed="81"/>
            <rFont val="Tahoma"/>
            <family val="2"/>
          </rPr>
          <t xml:space="preserve"> values in the figure. </t>
        </r>
        <r>
          <rPr>
            <sz val="9"/>
            <color indexed="81"/>
            <rFont val="Tahoma"/>
            <family val="2"/>
          </rPr>
          <t xml:space="preserve">
</t>
        </r>
      </text>
    </comment>
    <comment ref="P43" authorId="0">
      <text>
        <r>
          <rPr>
            <sz val="9"/>
            <color indexed="81"/>
            <rFont val="Tahoma"/>
            <family val="2"/>
          </rPr>
          <t xml:space="preserve">Regression estimate of </t>
        </r>
        <r>
          <rPr>
            <i/>
            <sz val="9"/>
            <color indexed="81"/>
            <rFont val="Tahoma"/>
            <family val="2"/>
          </rPr>
          <t>Y</t>
        </r>
        <r>
          <rPr>
            <sz val="9"/>
            <color indexed="81"/>
            <rFont val="Tahoma"/>
            <family val="2"/>
          </rPr>
          <t xml:space="preserve">, for the chosen value of </t>
        </r>
        <r>
          <rPr>
            <i/>
            <sz val="9"/>
            <color indexed="81"/>
            <rFont val="Tahoma"/>
            <family val="2"/>
          </rPr>
          <t>X</t>
        </r>
        <r>
          <rPr>
            <sz val="9"/>
            <color indexed="81"/>
            <rFont val="Tahoma"/>
            <family val="2"/>
          </rPr>
          <t>.
____________
The red diamond in the figure marks the point on the regression line that is (</t>
        </r>
        <r>
          <rPr>
            <i/>
            <sz val="9"/>
            <color indexed="81"/>
            <rFont val="Tahoma"/>
            <family val="2"/>
          </rPr>
          <t>X</t>
        </r>
        <r>
          <rPr>
            <sz val="9"/>
            <color indexed="81"/>
            <rFont val="Tahoma"/>
            <family val="2"/>
          </rPr>
          <t xml:space="preserve">, </t>
        </r>
        <r>
          <rPr>
            <i/>
            <sz val="9"/>
            <color indexed="81"/>
            <rFont val="Tahoma"/>
            <family val="2"/>
          </rPr>
          <t>Ŷ</t>
        </r>
        <r>
          <rPr>
            <sz val="9"/>
            <color indexed="81"/>
            <rFont val="Tahoma"/>
            <family val="2"/>
          </rPr>
          <t>).</t>
        </r>
      </text>
    </comment>
    <comment ref="U43" authorId="0">
      <text>
        <r>
          <rPr>
            <sz val="9"/>
            <color indexed="81"/>
            <rFont val="Tahoma"/>
            <family val="2"/>
          </rPr>
          <t>The residuals are (</t>
        </r>
        <r>
          <rPr>
            <i/>
            <sz val="9"/>
            <color indexed="81"/>
            <rFont val="Tahoma"/>
            <family val="2"/>
          </rPr>
          <t>Y</t>
        </r>
        <r>
          <rPr>
            <sz val="9"/>
            <color indexed="81"/>
            <rFont val="Tahoma"/>
            <family val="2"/>
          </rPr>
          <t xml:space="preserve"> - </t>
        </r>
        <r>
          <rPr>
            <i/>
            <sz val="9"/>
            <color indexed="81"/>
            <rFont val="Tahoma"/>
            <family val="2"/>
          </rPr>
          <t>Ŷ</t>
        </r>
        <r>
          <rPr>
            <sz val="9"/>
            <color indexed="81"/>
            <rFont val="Tahoma"/>
            <family val="2"/>
          </rPr>
          <t xml:space="preserve">) </t>
        </r>
        <r>
          <rPr>
            <sz val="9"/>
            <color indexed="81"/>
            <rFont val="Tahoma"/>
            <family val="2"/>
          </rPr>
          <t xml:space="preserve">
</t>
        </r>
      </text>
    </comment>
    <comment ref="K44" authorId="0">
      <text>
        <r>
          <rPr>
            <sz val="9"/>
            <color indexed="81"/>
            <rFont val="Tahoma"/>
            <family val="2"/>
          </rPr>
          <t xml:space="preserve">Click below to display curves marking the CI for mean </t>
        </r>
        <r>
          <rPr>
            <i/>
            <sz val="9"/>
            <color indexed="81"/>
            <rFont val="Tahoma"/>
            <family val="2"/>
          </rPr>
          <t>Y</t>
        </r>
        <r>
          <rPr>
            <sz val="9"/>
            <color indexed="81"/>
            <rFont val="Tahoma"/>
            <family val="2"/>
          </rPr>
          <t xml:space="preserve">, and the prediction interval for individual values of </t>
        </r>
        <r>
          <rPr>
            <i/>
            <sz val="9"/>
            <color indexed="81"/>
            <rFont val="Tahoma"/>
            <family val="2"/>
          </rPr>
          <t>Y</t>
        </r>
        <r>
          <rPr>
            <sz val="9"/>
            <color indexed="81"/>
            <rFont val="Tahoma"/>
            <family val="2"/>
          </rPr>
          <t>.</t>
        </r>
        <r>
          <rPr>
            <sz val="9"/>
            <color indexed="81"/>
            <rFont val="Tahoma"/>
            <family val="2"/>
          </rPr>
          <t xml:space="preserve">
</t>
        </r>
      </text>
    </comment>
    <comment ref="Y44" authorId="0">
      <text>
        <r>
          <rPr>
            <sz val="9"/>
            <color indexed="81"/>
            <rFont val="Tahoma"/>
            <family val="2"/>
          </rPr>
          <t>Click to display vertical red lines to mark the (</t>
        </r>
        <r>
          <rPr>
            <i/>
            <sz val="9"/>
            <color indexed="81"/>
            <rFont val="Tahoma"/>
            <family val="2"/>
          </rPr>
          <t>Y</t>
        </r>
        <r>
          <rPr>
            <sz val="9"/>
            <color indexed="81"/>
            <rFont val="Tahoma"/>
            <family val="2"/>
          </rPr>
          <t xml:space="preserve"> - </t>
        </r>
        <r>
          <rPr>
            <i/>
            <sz val="9"/>
            <color indexed="81"/>
            <rFont val="Tahoma"/>
            <family val="2"/>
          </rPr>
          <t>Ŷ</t>
        </r>
        <r>
          <rPr>
            <sz val="9"/>
            <color indexed="81"/>
            <rFont val="Tahoma"/>
            <family val="2"/>
          </rPr>
          <t>) residuals</t>
        </r>
        <r>
          <rPr>
            <sz val="9"/>
            <color indexed="81"/>
            <rFont val="Tahoma"/>
            <family val="2"/>
          </rPr>
          <t xml:space="preserve">
</t>
        </r>
      </text>
    </comment>
    <comment ref="Q45" authorId="0">
      <text>
        <r>
          <rPr>
            <sz val="9"/>
            <color indexed="81"/>
            <rFont val="Tahoma"/>
            <family val="2"/>
          </rPr>
          <t xml:space="preserve">Click to display dotted curves marking lower and upper limits of the CI for mean </t>
        </r>
        <r>
          <rPr>
            <i/>
            <sz val="9"/>
            <color indexed="81"/>
            <rFont val="Tahoma"/>
            <family val="2"/>
          </rPr>
          <t>Y</t>
        </r>
        <r>
          <rPr>
            <sz val="9"/>
            <color indexed="81"/>
            <rFont val="Tahoma"/>
            <family val="2"/>
          </rPr>
          <t xml:space="preserve"> </t>
        </r>
        <r>
          <rPr>
            <sz val="9"/>
            <color indexed="81"/>
            <rFont val="Tahoma"/>
            <family val="2"/>
          </rPr>
          <t xml:space="preserve">
</t>
        </r>
      </text>
    </comment>
    <comment ref="X45" authorId="0">
      <text>
        <r>
          <rPr>
            <sz val="9"/>
            <color indexed="81"/>
            <rFont val="Tahoma"/>
            <family val="2"/>
          </rPr>
          <t>Standard deviation of the 
(</t>
        </r>
        <r>
          <rPr>
            <i/>
            <sz val="9"/>
            <color indexed="81"/>
            <rFont val="Tahoma"/>
            <family val="2"/>
          </rPr>
          <t>Y</t>
        </r>
        <r>
          <rPr>
            <sz val="9"/>
            <color indexed="81"/>
            <rFont val="Tahoma"/>
            <family val="2"/>
          </rPr>
          <t xml:space="preserve"> - </t>
        </r>
        <r>
          <rPr>
            <i/>
            <sz val="9"/>
            <color indexed="81"/>
            <rFont val="Tahoma"/>
            <family val="2"/>
          </rPr>
          <t>Ŷ</t>
        </r>
        <r>
          <rPr>
            <sz val="9"/>
            <color indexed="81"/>
            <rFont val="Tahoma"/>
            <family val="2"/>
          </rPr>
          <t xml:space="preserve">) residuals
________________
This SD is minimized for the regression line of </t>
        </r>
        <r>
          <rPr>
            <i/>
            <sz val="9"/>
            <color indexed="81"/>
            <rFont val="Tahoma"/>
            <family val="2"/>
          </rPr>
          <t>Y</t>
        </r>
        <r>
          <rPr>
            <sz val="9"/>
            <color indexed="81"/>
            <rFont val="Tahoma"/>
            <family val="2"/>
          </rPr>
          <t xml:space="preserve"> on </t>
        </r>
        <r>
          <rPr>
            <i/>
            <sz val="9"/>
            <color indexed="81"/>
            <rFont val="Tahoma"/>
            <family val="2"/>
          </rPr>
          <t>X</t>
        </r>
        <r>
          <rPr>
            <sz val="9"/>
            <color indexed="81"/>
            <rFont val="Tahoma"/>
            <family val="2"/>
          </rPr>
          <t xml:space="preserve">  </t>
        </r>
        <r>
          <rPr>
            <sz val="9"/>
            <color indexed="81"/>
            <rFont val="Tahoma"/>
            <family val="2"/>
          </rPr>
          <t xml:space="preserve">
</t>
        </r>
      </text>
    </comment>
    <comment ref="N46" authorId="0">
      <text>
        <r>
          <rPr>
            <sz val="9"/>
            <color indexed="81"/>
            <rFont val="Tahoma"/>
            <family val="2"/>
          </rPr>
          <t xml:space="preserve">When a value is chosen above for </t>
        </r>
        <r>
          <rPr>
            <i/>
            <sz val="9"/>
            <color indexed="81"/>
            <rFont val="Tahoma"/>
            <family val="2"/>
          </rPr>
          <t>X</t>
        </r>
        <r>
          <rPr>
            <sz val="9"/>
            <color indexed="81"/>
            <rFont val="Tahoma"/>
            <family val="2"/>
          </rPr>
          <t xml:space="preserve">, and dotted curves are displayed, this is the CI for the mean of </t>
        </r>
        <r>
          <rPr>
            <i/>
            <sz val="9"/>
            <color indexed="81"/>
            <rFont val="Tahoma"/>
            <family val="2"/>
          </rPr>
          <t>Y</t>
        </r>
        <r>
          <rPr>
            <sz val="9"/>
            <color indexed="81"/>
            <rFont val="Tahoma"/>
            <family val="2"/>
          </rPr>
          <t xml:space="preserve"> at the chosen </t>
        </r>
        <r>
          <rPr>
            <i/>
            <sz val="9"/>
            <color indexed="81"/>
            <rFont val="Tahoma"/>
            <family val="2"/>
          </rPr>
          <t>X</t>
        </r>
        <r>
          <rPr>
            <sz val="9"/>
            <color indexed="81"/>
            <rFont val="Tahoma"/>
            <family val="2"/>
          </rPr>
          <t>. 
____________
The CI is displayed as vertical red error bars.</t>
        </r>
      </text>
    </comment>
    <comment ref="O46" authorId="0">
      <text>
        <r>
          <rPr>
            <sz val="9"/>
            <color indexed="81"/>
            <rFont val="Tahoma"/>
            <family val="2"/>
          </rPr>
          <t xml:space="preserve">LL of the CI for the mean of </t>
        </r>
        <r>
          <rPr>
            <i/>
            <sz val="9"/>
            <color indexed="81"/>
            <rFont val="Tahoma"/>
            <family val="2"/>
          </rPr>
          <t>Y</t>
        </r>
        <r>
          <rPr>
            <sz val="9"/>
            <color indexed="81"/>
            <rFont val="Tahoma"/>
            <family val="2"/>
          </rPr>
          <t xml:space="preserve"> at the chosen </t>
        </r>
        <r>
          <rPr>
            <i/>
            <sz val="9"/>
            <color indexed="81"/>
            <rFont val="Tahoma"/>
            <family val="2"/>
          </rPr>
          <t>X</t>
        </r>
        <r>
          <rPr>
            <sz val="9"/>
            <color indexed="81"/>
            <rFont val="Tahoma"/>
            <family val="2"/>
          </rPr>
          <t xml:space="preserve">. 
</t>
        </r>
      </text>
    </comment>
    <comment ref="Q46" authorId="0">
      <text>
        <r>
          <rPr>
            <sz val="9"/>
            <color indexed="81"/>
            <rFont val="Tahoma"/>
            <family val="2"/>
          </rPr>
          <t xml:space="preserve">UL of the CI for the mean of </t>
        </r>
        <r>
          <rPr>
            <i/>
            <sz val="9"/>
            <color indexed="81"/>
            <rFont val="Tahoma"/>
            <family val="2"/>
          </rPr>
          <t>Y</t>
        </r>
        <r>
          <rPr>
            <sz val="9"/>
            <color indexed="81"/>
            <rFont val="Tahoma"/>
            <family val="2"/>
          </rPr>
          <t xml:space="preserve"> at the chosen </t>
        </r>
        <r>
          <rPr>
            <i/>
            <sz val="9"/>
            <color indexed="81"/>
            <rFont val="Tahoma"/>
            <family val="2"/>
          </rPr>
          <t>X</t>
        </r>
        <r>
          <rPr>
            <sz val="9"/>
            <color indexed="81"/>
            <rFont val="Tahoma"/>
            <family val="2"/>
          </rPr>
          <t xml:space="preserve">. 
</t>
        </r>
      </text>
    </comment>
    <comment ref="Y47" authorId="0">
      <text>
        <r>
          <rPr>
            <sz val="9"/>
            <color indexed="81"/>
            <rFont val="Tahoma"/>
            <family val="2"/>
          </rPr>
          <t>Click to display a line with adjustable slope, and the (</t>
        </r>
        <r>
          <rPr>
            <i/>
            <sz val="9"/>
            <color indexed="81"/>
            <rFont val="Tahoma"/>
            <family val="2"/>
          </rPr>
          <t>Y</t>
        </r>
        <r>
          <rPr>
            <sz val="9"/>
            <color indexed="81"/>
            <rFont val="Tahoma"/>
            <family val="2"/>
          </rPr>
          <t xml:space="preserve"> - </t>
        </r>
        <r>
          <rPr>
            <i/>
            <sz val="9"/>
            <color indexed="81"/>
            <rFont val="Tahoma"/>
            <family val="2"/>
          </rPr>
          <t>Ŷ</t>
        </r>
        <r>
          <rPr>
            <sz val="9"/>
            <color indexed="81"/>
            <rFont val="Tahoma"/>
            <family val="2"/>
          </rPr>
          <t xml:space="preserve">) residuals (vertical red lines). Then use slider at right to change the slope of the line, and see the SD of the residuals change.
______________ </t>
        </r>
        <r>
          <rPr>
            <sz val="9"/>
            <color indexed="81"/>
            <rFont val="Tahoma"/>
            <family val="2"/>
          </rPr>
          <t xml:space="preserve">
When the </t>
        </r>
        <r>
          <rPr>
            <sz val="9"/>
            <color indexed="81"/>
            <rFont val="Tahoma"/>
            <family val="2"/>
          </rPr>
          <t>SD</t>
        </r>
        <r>
          <rPr>
            <sz val="9"/>
            <color indexed="81"/>
            <rFont val="Tahoma"/>
            <family val="2"/>
          </rPr>
          <t xml:space="preserve"> is minimized, the line, and the values of </t>
        </r>
        <r>
          <rPr>
            <i/>
            <sz val="10"/>
            <color indexed="81"/>
            <rFont val="Tahoma"/>
            <family val="2"/>
          </rPr>
          <t>s</t>
        </r>
        <r>
          <rPr>
            <i/>
            <vertAlign val="subscript"/>
            <sz val="10"/>
            <color indexed="81"/>
            <rFont val="Tahoma"/>
            <family val="2"/>
          </rPr>
          <t>Y.X</t>
        </r>
        <r>
          <rPr>
            <sz val="9"/>
            <color indexed="81"/>
            <rFont val="Tahoma"/>
            <family val="2"/>
          </rPr>
          <t xml:space="preserve"> and the slope, are all displayed </t>
        </r>
        <r>
          <rPr>
            <sz val="9"/>
            <color indexed="81"/>
            <rFont val="Tahoma"/>
            <family val="2"/>
          </rPr>
          <t>black,</t>
        </r>
        <r>
          <rPr>
            <sz val="9"/>
            <color indexed="81"/>
            <rFont val="Tahoma"/>
            <family val="2"/>
          </rPr>
          <t xml:space="preserve"> rather than </t>
        </r>
        <r>
          <rPr>
            <b/>
            <sz val="9"/>
            <color indexed="10"/>
            <rFont val="Tahoma"/>
            <family val="2"/>
          </rPr>
          <t>red</t>
        </r>
        <r>
          <rPr>
            <sz val="9"/>
            <color indexed="81"/>
            <rFont val="Tahoma"/>
            <family val="2"/>
          </rPr>
          <t xml:space="preserve">, and the slope equals </t>
        </r>
        <r>
          <rPr>
            <i/>
            <sz val="10"/>
            <color indexed="81"/>
            <rFont val="Tahoma"/>
            <family val="2"/>
          </rPr>
          <t>b</t>
        </r>
        <r>
          <rPr>
            <sz val="9"/>
            <color indexed="81"/>
            <rFont val="Tahoma"/>
            <family val="2"/>
          </rPr>
          <t xml:space="preserve">, as shown as "calculated </t>
        </r>
        <r>
          <rPr>
            <i/>
            <sz val="10"/>
            <color indexed="81"/>
            <rFont val="Tahoma"/>
            <family val="2"/>
          </rPr>
          <t>b</t>
        </r>
        <r>
          <rPr>
            <sz val="9"/>
            <color indexed="81"/>
            <rFont val="Tahoma"/>
            <family val="2"/>
          </rPr>
          <t>" just below. (Equal within a small rounding error.)</t>
        </r>
      </text>
    </comment>
    <comment ref="R48" authorId="0">
      <text>
        <r>
          <rPr>
            <sz val="9"/>
            <color indexed="81"/>
            <rFont val="Tahoma"/>
            <family val="2"/>
          </rPr>
          <t xml:space="preserve">Click to display dashed curves marking lower and upper limits of the prediction interval for individual values of </t>
        </r>
        <r>
          <rPr>
            <i/>
            <sz val="9"/>
            <color indexed="81"/>
            <rFont val="Tahoma"/>
            <family val="2"/>
          </rPr>
          <t>Y</t>
        </r>
        <r>
          <rPr>
            <sz val="9"/>
            <color indexed="81"/>
            <rFont val="Tahoma"/>
            <family val="2"/>
          </rPr>
          <t xml:space="preserve"> </t>
        </r>
        <r>
          <rPr>
            <sz val="9"/>
            <color indexed="81"/>
            <rFont val="Tahoma"/>
            <family val="2"/>
          </rPr>
          <t xml:space="preserve">
</t>
        </r>
      </text>
    </comment>
    <comment ref="X48" authorId="0">
      <text>
        <r>
          <rPr>
            <sz val="9"/>
            <color indexed="81"/>
            <rFont val="Tahoma"/>
            <family val="2"/>
          </rPr>
          <t xml:space="preserve">When the line with adjustable slope is displayed, its slope is shown here. Use the slider at right to adjust the slope. 
_____________
The value of the slope changes from </t>
        </r>
        <r>
          <rPr>
            <b/>
            <sz val="9"/>
            <color indexed="10"/>
            <rFont val="Tahoma"/>
            <family val="2"/>
          </rPr>
          <t>red</t>
        </r>
        <r>
          <rPr>
            <sz val="9"/>
            <color indexed="81"/>
            <rFont val="Tahoma"/>
            <family val="2"/>
          </rPr>
          <t xml:space="preserve"> to black when </t>
        </r>
        <r>
          <rPr>
            <i/>
            <sz val="10"/>
            <color indexed="81"/>
            <rFont val="Tahoma"/>
            <family val="2"/>
          </rPr>
          <t>s</t>
        </r>
        <r>
          <rPr>
            <i/>
            <vertAlign val="subscript"/>
            <sz val="10"/>
            <color indexed="81"/>
            <rFont val="Tahoma"/>
            <family val="2"/>
          </rPr>
          <t>Y.X</t>
        </r>
        <r>
          <rPr>
            <sz val="9"/>
            <color indexed="81"/>
            <rFont val="Tahoma"/>
            <family val="2"/>
          </rPr>
          <t xml:space="preserve">, the SD of the residuals, is minimized, which is when slope = calculated slope, </t>
        </r>
        <r>
          <rPr>
            <i/>
            <sz val="10"/>
            <color indexed="81"/>
            <rFont val="Tahoma"/>
            <family val="2"/>
          </rPr>
          <t>b</t>
        </r>
        <r>
          <rPr>
            <sz val="9"/>
            <color indexed="81"/>
            <rFont val="Tahoma"/>
            <family val="2"/>
          </rPr>
          <t>, (within a small rounding error), which is shown just below.</t>
        </r>
        <r>
          <rPr>
            <sz val="9"/>
            <color indexed="81"/>
            <rFont val="Tahoma"/>
            <family val="2"/>
          </rPr>
          <t xml:space="preserve">
</t>
        </r>
      </text>
    </comment>
    <comment ref="N49" authorId="0">
      <text>
        <r>
          <rPr>
            <sz val="9"/>
            <color indexed="81"/>
            <rFont val="Tahoma"/>
            <family val="2"/>
          </rPr>
          <t xml:space="preserve">When a value is chosen above for </t>
        </r>
        <r>
          <rPr>
            <i/>
            <sz val="9"/>
            <color indexed="81"/>
            <rFont val="Tahoma"/>
            <family val="2"/>
          </rPr>
          <t>X</t>
        </r>
        <r>
          <rPr>
            <sz val="9"/>
            <color indexed="81"/>
            <rFont val="Tahoma"/>
            <family val="2"/>
          </rPr>
          <t xml:space="preserve">, and dashed curves are displayed, this is the prediction interval for individual values of </t>
        </r>
        <r>
          <rPr>
            <i/>
            <sz val="9"/>
            <color indexed="81"/>
            <rFont val="Tahoma"/>
            <family val="2"/>
          </rPr>
          <t>Y</t>
        </r>
        <r>
          <rPr>
            <sz val="9"/>
            <color indexed="81"/>
            <rFont val="Tahoma"/>
            <family val="2"/>
          </rPr>
          <t xml:space="preserve"> at the chosen </t>
        </r>
        <r>
          <rPr>
            <i/>
            <sz val="9"/>
            <color indexed="81"/>
            <rFont val="Tahoma"/>
            <family val="2"/>
          </rPr>
          <t>X</t>
        </r>
        <r>
          <rPr>
            <sz val="9"/>
            <color indexed="81"/>
            <rFont val="Tahoma"/>
            <family val="2"/>
          </rPr>
          <t>. 
____________
The prediction interval is displayed as a vertical green line with open diamonds at top and bottom.</t>
        </r>
      </text>
    </comment>
    <comment ref="O49" authorId="0">
      <text>
        <r>
          <rPr>
            <sz val="9"/>
            <color indexed="81"/>
            <rFont val="Tahoma"/>
            <family val="2"/>
          </rPr>
          <t xml:space="preserve">Lower limit of the prediction interval for individual values of </t>
        </r>
        <r>
          <rPr>
            <i/>
            <sz val="9"/>
            <color indexed="81"/>
            <rFont val="Tahoma"/>
            <family val="2"/>
          </rPr>
          <t>Y</t>
        </r>
        <r>
          <rPr>
            <sz val="9"/>
            <color indexed="81"/>
            <rFont val="Tahoma"/>
            <family val="2"/>
          </rPr>
          <t xml:space="preserve"> at the chosen </t>
        </r>
        <r>
          <rPr>
            <i/>
            <sz val="9"/>
            <color indexed="81"/>
            <rFont val="Tahoma"/>
            <family val="2"/>
          </rPr>
          <t>X</t>
        </r>
        <r>
          <rPr>
            <sz val="9"/>
            <color indexed="81"/>
            <rFont val="Tahoma"/>
            <family val="2"/>
          </rPr>
          <t xml:space="preserve">. 
</t>
        </r>
      </text>
    </comment>
    <comment ref="Q49" authorId="0">
      <text>
        <r>
          <rPr>
            <sz val="9"/>
            <color indexed="81"/>
            <rFont val="Tahoma"/>
            <family val="2"/>
          </rPr>
          <t xml:space="preserve">Upper limit of the prediction interval for individual values of </t>
        </r>
        <r>
          <rPr>
            <i/>
            <sz val="9"/>
            <color indexed="81"/>
            <rFont val="Tahoma"/>
            <family val="2"/>
          </rPr>
          <t>Y</t>
        </r>
        <r>
          <rPr>
            <sz val="9"/>
            <color indexed="81"/>
            <rFont val="Tahoma"/>
            <family val="2"/>
          </rPr>
          <t xml:space="preserve"> at the chosen </t>
        </r>
        <r>
          <rPr>
            <i/>
            <sz val="9"/>
            <color indexed="81"/>
            <rFont val="Tahoma"/>
            <family val="2"/>
          </rPr>
          <t>X</t>
        </r>
        <r>
          <rPr>
            <sz val="9"/>
            <color indexed="81"/>
            <rFont val="Tahoma"/>
            <family val="2"/>
          </rPr>
          <t xml:space="preserve">. 
</t>
        </r>
      </text>
    </comment>
    <comment ref="X49" authorId="0">
      <text>
        <r>
          <rPr>
            <sz val="9"/>
            <color indexed="81"/>
            <rFont val="Tahoma"/>
            <family val="2"/>
          </rPr>
          <t xml:space="preserve">Gradient calculated for the regression line, which is </t>
        </r>
        <r>
          <rPr>
            <i/>
            <sz val="10"/>
            <color indexed="81"/>
            <rFont val="Tahoma"/>
            <family val="2"/>
          </rPr>
          <t>b</t>
        </r>
        <r>
          <rPr>
            <sz val="9"/>
            <color indexed="81"/>
            <rFont val="Tahoma"/>
            <family val="2"/>
          </rPr>
          <t xml:space="preserve">, as shown above.
_____________
The formula is:
  </t>
        </r>
        <r>
          <rPr>
            <i/>
            <sz val="11"/>
            <color indexed="81"/>
            <rFont val="Tahoma"/>
            <family val="2"/>
          </rPr>
          <t>b</t>
        </r>
        <r>
          <rPr>
            <sz val="11"/>
            <color indexed="81"/>
            <rFont val="Tahoma"/>
            <family val="2"/>
          </rPr>
          <t xml:space="preserve"> = </t>
        </r>
        <r>
          <rPr>
            <i/>
            <sz val="11"/>
            <color indexed="81"/>
            <rFont val="Tahoma"/>
            <family val="2"/>
          </rPr>
          <t>r</t>
        </r>
        <r>
          <rPr>
            <sz val="11"/>
            <color indexed="81"/>
            <rFont val="Tahoma"/>
            <family val="2"/>
          </rPr>
          <t xml:space="preserve"> x (</t>
        </r>
        <r>
          <rPr>
            <i/>
            <sz val="11"/>
            <color indexed="81"/>
            <rFont val="Tahoma"/>
            <family val="2"/>
          </rPr>
          <t>s</t>
        </r>
        <r>
          <rPr>
            <i/>
            <vertAlign val="subscript"/>
            <sz val="11"/>
            <color indexed="81"/>
            <rFont val="Tahoma"/>
            <family val="2"/>
          </rPr>
          <t>Y</t>
        </r>
        <r>
          <rPr>
            <sz val="11"/>
            <color indexed="81"/>
            <rFont val="Tahoma"/>
            <family val="2"/>
          </rPr>
          <t xml:space="preserve"> / </t>
        </r>
        <r>
          <rPr>
            <i/>
            <sz val="11"/>
            <color indexed="81"/>
            <rFont val="Tahoma"/>
            <family val="2"/>
          </rPr>
          <t>s</t>
        </r>
        <r>
          <rPr>
            <i/>
            <vertAlign val="subscript"/>
            <sz val="11"/>
            <color indexed="81"/>
            <rFont val="Tahoma"/>
            <family val="2"/>
          </rPr>
          <t>X</t>
        </r>
        <r>
          <rPr>
            <sz val="11"/>
            <color indexed="81"/>
            <rFont val="Tahoma"/>
            <family val="2"/>
          </rPr>
          <t xml:space="preserve">)
</t>
        </r>
      </text>
    </comment>
  </commentList>
</comments>
</file>

<file path=xl/comments6.xml><?xml version="1.0" encoding="utf-8"?>
<comments xmlns="http://schemas.openxmlformats.org/spreadsheetml/2006/main">
  <authors>
    <author>Geoff Cumming</author>
  </authors>
  <commentList>
    <comment ref="AZ4" authorId="0">
      <text>
        <r>
          <rPr>
            <sz val="9"/>
            <color indexed="81"/>
            <rFont val="Tahoma"/>
            <family val="2"/>
          </rPr>
          <t>Only for H0 = 0</t>
        </r>
        <r>
          <rPr>
            <sz val="9"/>
            <color indexed="81"/>
            <rFont val="Tahoma"/>
            <family val="2"/>
          </rPr>
          <t xml:space="preserve">
</t>
        </r>
      </text>
    </comment>
    <comment ref="A5" authorId="0">
      <text>
        <r>
          <rPr>
            <sz val="9"/>
            <color indexed="81"/>
            <rFont val="Tahoma"/>
            <family val="2"/>
          </rPr>
          <t>Set chosen values of</t>
        </r>
        <r>
          <rPr>
            <sz val="9"/>
            <color indexed="81"/>
            <rFont val="Tahoma"/>
            <family val="2"/>
          </rPr>
          <t xml:space="preserve"> and </t>
        </r>
        <r>
          <rPr>
            <i/>
            <sz val="10"/>
            <color indexed="81"/>
            <rFont val="Tahoma"/>
            <family val="2"/>
          </rPr>
          <t>N</t>
        </r>
        <r>
          <rPr>
            <sz val="9"/>
            <color indexed="81"/>
            <rFont val="Tahoma"/>
            <family val="2"/>
          </rPr>
          <t xml:space="preserve"> and </t>
        </r>
        <r>
          <rPr>
            <i/>
            <sz val="10"/>
            <color indexed="81"/>
            <rFont val="Tahoma"/>
            <family val="2"/>
          </rPr>
          <t>r</t>
        </r>
      </text>
    </comment>
    <comment ref="B7" authorId="0">
      <text>
        <r>
          <rPr>
            <sz val="9"/>
            <color indexed="81"/>
            <rFont val="Tahoma"/>
            <family val="2"/>
          </rPr>
          <t xml:space="preserve">Choose size of data set.  Use spinner, or type in a value.  Min 4, max 1000.
</t>
        </r>
      </text>
    </comment>
    <comment ref="F7" authorId="0">
      <text>
        <r>
          <rPr>
            <sz val="9"/>
            <color indexed="81"/>
            <rFont val="Tahoma"/>
            <family val="2"/>
          </rPr>
          <t xml:space="preserve">Use large slider at right to set value of the correlation, </t>
        </r>
        <r>
          <rPr>
            <i/>
            <sz val="10"/>
            <color indexed="81"/>
            <rFont val="Tahoma"/>
            <family val="2"/>
          </rPr>
          <t>r</t>
        </r>
      </text>
    </comment>
    <comment ref="A10" authorId="0">
      <text>
        <r>
          <rPr>
            <sz val="9"/>
            <color indexed="81"/>
            <rFont val="Tahoma"/>
            <family val="2"/>
          </rPr>
          <t xml:space="preserve">Set confidence level </t>
        </r>
        <r>
          <rPr>
            <i/>
            <sz val="9"/>
            <color indexed="81"/>
            <rFont val="Tahoma"/>
            <family val="2"/>
          </rPr>
          <t>C</t>
        </r>
        <r>
          <rPr>
            <sz val="9"/>
            <color indexed="81"/>
            <rFont val="Tahoma"/>
            <family val="2"/>
          </rPr>
          <t xml:space="preserve">, and see the CI.  
</t>
        </r>
      </text>
    </comment>
    <comment ref="G11" authorId="0">
      <text>
        <r>
          <rPr>
            <sz val="9"/>
            <color indexed="81"/>
            <rFont val="Tahoma"/>
            <family val="2"/>
          </rPr>
          <t xml:space="preserve">LL of the CI on </t>
        </r>
        <r>
          <rPr>
            <i/>
            <sz val="10"/>
            <color indexed="81"/>
            <rFont val="Tahoma"/>
            <family val="2"/>
          </rPr>
          <t>r</t>
        </r>
        <r>
          <rPr>
            <sz val="9"/>
            <color indexed="81"/>
            <rFont val="Tahoma"/>
            <family val="2"/>
          </rPr>
          <t xml:space="preserve">
</t>
        </r>
      </text>
    </comment>
    <comment ref="I11" authorId="0">
      <text>
        <r>
          <rPr>
            <sz val="9"/>
            <color indexed="81"/>
            <rFont val="Tahoma"/>
            <family val="2"/>
          </rPr>
          <t xml:space="preserve">UL of the CI on </t>
        </r>
        <r>
          <rPr>
            <i/>
            <sz val="10"/>
            <color indexed="81"/>
            <rFont val="Tahoma"/>
            <family val="2"/>
          </rPr>
          <t>r</t>
        </r>
        <r>
          <rPr>
            <sz val="9"/>
            <color indexed="81"/>
            <rFont val="Tahoma"/>
            <family val="2"/>
          </rPr>
          <t xml:space="preserve">
</t>
        </r>
      </text>
    </comment>
    <comment ref="B12" authorId="0">
      <text>
        <r>
          <rPr>
            <sz val="9"/>
            <color indexed="81"/>
            <rFont val="Tahoma"/>
            <family val="2"/>
          </rPr>
          <t>Confidence level, in %
Min 0, max 99.9
Use the spinner, or type in a value.</t>
        </r>
      </text>
    </comment>
    <comment ref="G14" authorId="0">
      <text>
        <r>
          <rPr>
            <sz val="9"/>
            <color indexed="81"/>
            <rFont val="Tahoma"/>
            <family val="2"/>
          </rPr>
          <t xml:space="preserve">Length of the lower arm of the CI on </t>
        </r>
        <r>
          <rPr>
            <i/>
            <sz val="10"/>
            <color indexed="81"/>
            <rFont val="Tahoma"/>
            <family val="2"/>
          </rPr>
          <t>r</t>
        </r>
        <r>
          <rPr>
            <sz val="9"/>
            <color indexed="81"/>
            <rFont val="Tahoma"/>
            <family val="2"/>
          </rPr>
          <t xml:space="preserve">
</t>
        </r>
      </text>
    </comment>
    <comment ref="I14" authorId="0">
      <text>
        <r>
          <rPr>
            <sz val="9"/>
            <color indexed="81"/>
            <rFont val="Tahoma"/>
            <family val="2"/>
          </rPr>
          <t xml:space="preserve">Length of the upper arm of the CI on </t>
        </r>
        <r>
          <rPr>
            <i/>
            <sz val="10"/>
            <color indexed="81"/>
            <rFont val="Tahoma"/>
            <family val="2"/>
          </rPr>
          <t>r</t>
        </r>
        <r>
          <rPr>
            <sz val="9"/>
            <color indexed="81"/>
            <rFont val="Tahoma"/>
            <family val="2"/>
          </rPr>
          <t xml:space="preserve">
</t>
        </r>
      </text>
    </comment>
    <comment ref="D15" authorId="0">
      <text>
        <r>
          <rPr>
            <sz val="9"/>
            <color indexed="81"/>
            <rFont val="Tahoma"/>
            <family val="2"/>
          </rPr>
          <t xml:space="preserve">Average of upper MoE and lower MoE. In other words, average length of the lower and upper arms of the CI on </t>
        </r>
        <r>
          <rPr>
            <i/>
            <sz val="10"/>
            <color indexed="81"/>
            <rFont val="Tahoma"/>
            <family val="2"/>
          </rPr>
          <t>r</t>
        </r>
        <r>
          <rPr>
            <sz val="9"/>
            <color indexed="81"/>
            <rFont val="Tahoma"/>
            <family val="2"/>
          </rPr>
          <t>.
______________
MoE</t>
        </r>
        <r>
          <rPr>
            <vertAlign val="subscript"/>
            <sz val="11"/>
            <color indexed="81"/>
            <rFont val="Tahoma"/>
            <family val="2"/>
          </rPr>
          <t>av</t>
        </r>
        <r>
          <rPr>
            <sz val="9"/>
            <color indexed="81"/>
            <rFont val="Tahoma"/>
            <family val="2"/>
          </rPr>
          <t xml:space="preserve"> is a measure of precision.
</t>
        </r>
      </text>
    </comment>
    <comment ref="A18" authorId="0">
      <text>
        <r>
          <rPr>
            <sz val="9"/>
            <color indexed="81"/>
            <rFont val="Tahoma"/>
            <family val="2"/>
          </rPr>
          <t xml:space="preserve">See an approximate cat's eye picture on the CI on </t>
        </r>
        <r>
          <rPr>
            <i/>
            <sz val="10"/>
            <color indexed="81"/>
            <rFont val="Tahoma"/>
            <family val="2"/>
          </rPr>
          <t>r</t>
        </r>
        <r>
          <rPr>
            <sz val="9"/>
            <color indexed="81"/>
            <rFont val="Tahoma"/>
            <family val="2"/>
          </rPr>
          <t xml:space="preserve">.
</t>
        </r>
      </text>
    </comment>
    <comment ref="F22" authorId="0">
      <text>
        <r>
          <rPr>
            <sz val="9"/>
            <color indexed="81"/>
            <rFont val="Tahoma"/>
            <family val="2"/>
          </rPr>
          <t xml:space="preserve">Use the spinner to adjust the amount of bulge of the cat's eye picture, on an arbitrary scale between 1 and 100.
</t>
        </r>
      </text>
    </comment>
    <comment ref="A25" authorId="0">
      <text>
        <r>
          <rPr>
            <sz val="9"/>
            <color indexed="81"/>
            <rFont val="Tahoma"/>
            <family val="2"/>
          </rPr>
          <t xml:space="preserve">Display a red horizontal line to mark </t>
        </r>
        <r>
          <rPr>
            <sz val="12"/>
            <color indexed="81"/>
            <rFont val="Symbol"/>
            <family val="1"/>
            <charset val="2"/>
          </rPr>
          <t>r</t>
        </r>
        <r>
          <rPr>
            <vertAlign val="subscript"/>
            <sz val="12"/>
            <color indexed="81"/>
            <rFont val="Tahoma"/>
            <family val="2"/>
          </rPr>
          <t>0</t>
        </r>
        <r>
          <rPr>
            <sz val="9"/>
            <color indexed="81"/>
            <rFont val="Tahoma"/>
            <family val="2"/>
          </rPr>
          <t xml:space="preserve">, the null hypothesis value for the population correlation, and show the </t>
        </r>
        <r>
          <rPr>
            <i/>
            <sz val="10"/>
            <color indexed="81"/>
            <rFont val="Tahoma"/>
            <family val="2"/>
          </rPr>
          <t>p</t>
        </r>
        <r>
          <rPr>
            <sz val="9"/>
            <color indexed="81"/>
            <rFont val="Tahoma"/>
            <family val="2"/>
          </rPr>
          <t xml:space="preserve"> value for </t>
        </r>
        <r>
          <rPr>
            <i/>
            <sz val="10"/>
            <color indexed="81"/>
            <rFont val="Tahoma"/>
            <family val="2"/>
          </rPr>
          <t>r</t>
        </r>
        <r>
          <rPr>
            <sz val="9"/>
            <color indexed="81"/>
            <rFont val="Tahoma"/>
            <family val="2"/>
          </rPr>
          <t xml:space="preserve">.
</t>
        </r>
      </text>
    </comment>
    <comment ref="H26" authorId="0">
      <text>
        <r>
          <rPr>
            <sz val="9"/>
            <color indexed="81"/>
            <rFont val="Tahoma"/>
            <family val="2"/>
          </rPr>
          <t xml:space="preserve">Click to display a red horizontal line to mark </t>
        </r>
        <r>
          <rPr>
            <sz val="12"/>
            <color indexed="81"/>
            <rFont val="Symbol"/>
            <family val="1"/>
            <charset val="2"/>
          </rPr>
          <t>r</t>
        </r>
        <r>
          <rPr>
            <vertAlign val="subscript"/>
            <sz val="12"/>
            <color indexed="81"/>
            <rFont val="Tahoma"/>
            <family val="2"/>
          </rPr>
          <t>0</t>
        </r>
        <r>
          <rPr>
            <sz val="9"/>
            <color indexed="81"/>
            <rFont val="Tahoma"/>
            <family val="2"/>
          </rPr>
          <t xml:space="preserve">, and show the </t>
        </r>
        <r>
          <rPr>
            <i/>
            <sz val="10"/>
            <color indexed="81"/>
            <rFont val="Tahoma"/>
            <family val="2"/>
          </rPr>
          <t>p</t>
        </r>
        <r>
          <rPr>
            <sz val="9"/>
            <color indexed="81"/>
            <rFont val="Tahoma"/>
            <family val="2"/>
          </rPr>
          <t xml:space="preserve"> value for </t>
        </r>
        <r>
          <rPr>
            <i/>
            <sz val="10"/>
            <color indexed="81"/>
            <rFont val="Tahoma"/>
            <family val="2"/>
          </rPr>
          <t>r</t>
        </r>
        <r>
          <rPr>
            <sz val="9"/>
            <color indexed="81"/>
            <rFont val="Tahoma"/>
            <family val="2"/>
          </rPr>
          <t xml:space="preserve">, for testing this null hypothesis.
</t>
        </r>
      </text>
    </comment>
    <comment ref="B28" authorId="0">
      <text>
        <r>
          <rPr>
            <sz val="9"/>
            <color indexed="81"/>
            <rFont val="Tahoma"/>
            <family val="2"/>
          </rPr>
          <t xml:space="preserve">The </t>
        </r>
        <r>
          <rPr>
            <i/>
            <sz val="10"/>
            <color indexed="81"/>
            <rFont val="Tahoma"/>
            <family val="2"/>
          </rPr>
          <t>p</t>
        </r>
        <r>
          <rPr>
            <sz val="9"/>
            <color indexed="81"/>
            <rFont val="Tahoma"/>
            <family val="2"/>
          </rPr>
          <t xml:space="preserve"> value for </t>
        </r>
        <r>
          <rPr>
            <i/>
            <sz val="10"/>
            <color indexed="81"/>
            <rFont val="Tahoma"/>
            <family val="2"/>
          </rPr>
          <t>r</t>
        </r>
        <r>
          <rPr>
            <sz val="9"/>
            <color indexed="81"/>
            <rFont val="Tahoma"/>
            <family val="2"/>
          </rPr>
          <t xml:space="preserve">, for testing the null hypothesis that the population correlation is </t>
        </r>
        <r>
          <rPr>
            <sz val="12"/>
            <color indexed="81"/>
            <rFont val="Symbol"/>
            <family val="1"/>
            <charset val="2"/>
          </rPr>
          <t>r</t>
        </r>
        <r>
          <rPr>
            <vertAlign val="subscript"/>
            <sz val="12"/>
            <color indexed="81"/>
            <rFont val="Tahoma"/>
            <family val="2"/>
          </rPr>
          <t>0</t>
        </r>
        <r>
          <rPr>
            <sz val="9"/>
            <color indexed="81"/>
            <rFont val="Tahoma"/>
            <family val="2"/>
          </rPr>
          <t xml:space="preserve">.
_______________
The </t>
        </r>
        <r>
          <rPr>
            <i/>
            <sz val="10"/>
            <color indexed="81"/>
            <rFont val="Tahoma"/>
            <family val="2"/>
          </rPr>
          <t>p</t>
        </r>
        <r>
          <rPr>
            <sz val="9"/>
            <color indexed="81"/>
            <rFont val="Tahoma"/>
            <family val="2"/>
          </rPr>
          <t xml:space="preserve"> value is two-tailed.</t>
        </r>
      </text>
    </comment>
    <comment ref="H29" authorId="0">
      <text>
        <r>
          <rPr>
            <sz val="9"/>
            <color indexed="81"/>
            <rFont val="Tahoma"/>
            <family val="2"/>
          </rPr>
          <t xml:space="preserve">Use the small slider at right to set </t>
        </r>
        <r>
          <rPr>
            <sz val="12"/>
            <color indexed="81"/>
            <rFont val="Symbol"/>
            <family val="1"/>
            <charset val="2"/>
          </rPr>
          <t>r</t>
        </r>
        <r>
          <rPr>
            <vertAlign val="subscript"/>
            <sz val="12"/>
            <color indexed="81"/>
            <rFont val="Tahoma"/>
            <family val="2"/>
          </rPr>
          <t>0</t>
        </r>
        <r>
          <rPr>
            <sz val="9"/>
            <color indexed="81"/>
            <rFont val="Tahoma"/>
            <family val="2"/>
          </rPr>
          <t>, the null hypothesis value</t>
        </r>
        <r>
          <rPr>
            <sz val="9"/>
            <color indexed="81"/>
            <rFont val="Tahoma"/>
            <family val="2"/>
          </rPr>
          <t xml:space="preserve">.
</t>
        </r>
      </text>
    </comment>
  </commentList>
</comments>
</file>

<file path=xl/comments7.xml><?xml version="1.0" encoding="utf-8"?>
<comments xmlns="http://schemas.openxmlformats.org/spreadsheetml/2006/main">
  <authors>
    <author>Geoff Cumming</author>
  </authors>
  <commentList>
    <comment ref="S1" authorId="0">
      <text>
        <r>
          <rPr>
            <sz val="9"/>
            <color indexed="81"/>
            <rFont val="Tahoma"/>
            <family val="2"/>
          </rPr>
          <t>Confidence level, in %
Min 0, max 99.9
Use the spinner, or type in a value.</t>
        </r>
      </text>
    </comment>
    <comment ref="T3" authorId="0">
      <text>
        <r>
          <rPr>
            <sz val="9"/>
            <color indexed="81"/>
            <rFont val="Tahoma"/>
            <family val="2"/>
          </rPr>
          <t>Confidence level, in %
Min 0, max 99.9
Use the spinner, or type in a value.</t>
        </r>
      </text>
    </comment>
    <comment ref="A6" authorId="0">
      <text>
        <r>
          <rPr>
            <sz val="9"/>
            <color indexed="81"/>
            <rFont val="Tahoma"/>
            <family val="2"/>
          </rPr>
          <t>Information about (</t>
        </r>
        <r>
          <rPr>
            <i/>
            <sz val="10"/>
            <color indexed="81"/>
            <rFont val="Tahoma"/>
            <family val="2"/>
          </rPr>
          <t>r</t>
        </r>
        <r>
          <rPr>
            <vertAlign val="subscript"/>
            <sz val="10"/>
            <color indexed="81"/>
            <rFont val="Tahoma"/>
            <family val="2"/>
          </rPr>
          <t>2</t>
        </r>
        <r>
          <rPr>
            <sz val="10"/>
            <color indexed="81"/>
            <rFont val="Tahoma"/>
            <family val="2"/>
          </rPr>
          <t xml:space="preserve"> - </t>
        </r>
        <r>
          <rPr>
            <i/>
            <sz val="10"/>
            <color indexed="81"/>
            <rFont val="Tahoma"/>
            <family val="2"/>
          </rPr>
          <t>r</t>
        </r>
        <r>
          <rPr>
            <vertAlign val="subscript"/>
            <sz val="10"/>
            <color indexed="81"/>
            <rFont val="Tahoma"/>
            <family val="2"/>
          </rPr>
          <t>1</t>
        </r>
        <r>
          <rPr>
            <sz val="9"/>
            <color indexed="81"/>
            <rFont val="Tahoma"/>
            <family val="2"/>
          </rPr>
          <t xml:space="preserve">), the difference between the two independent correlations
</t>
        </r>
      </text>
    </comment>
    <comment ref="I6" authorId="0">
      <text>
        <r>
          <rPr>
            <sz val="9"/>
            <color indexed="81"/>
            <rFont val="Tahoma"/>
            <family val="2"/>
          </rPr>
          <t xml:space="preserve">Set chosen values of and </t>
        </r>
        <r>
          <rPr>
            <i/>
            <sz val="10"/>
            <color indexed="81"/>
            <rFont val="Tahoma"/>
            <family val="2"/>
          </rPr>
          <t>N</t>
        </r>
        <r>
          <rPr>
            <vertAlign val="subscript"/>
            <sz val="10"/>
            <color indexed="81"/>
            <rFont val="Tahoma"/>
            <family val="2"/>
          </rPr>
          <t>1</t>
        </r>
        <r>
          <rPr>
            <sz val="9"/>
            <color indexed="81"/>
            <rFont val="Tahoma"/>
            <family val="2"/>
          </rPr>
          <t xml:space="preserve"> and </t>
        </r>
        <r>
          <rPr>
            <i/>
            <sz val="10"/>
            <color indexed="81"/>
            <rFont val="Tahoma"/>
            <family val="2"/>
          </rPr>
          <t>r</t>
        </r>
        <r>
          <rPr>
            <vertAlign val="subscript"/>
            <sz val="10"/>
            <color indexed="81"/>
            <rFont val="Tahoma"/>
            <family val="2"/>
          </rPr>
          <t>1</t>
        </r>
      </text>
    </comment>
    <comment ref="S6" authorId="0">
      <text>
        <r>
          <rPr>
            <sz val="9"/>
            <color indexed="81"/>
            <rFont val="Tahoma"/>
            <family val="2"/>
          </rPr>
          <t xml:space="preserve">Set chosen values of and </t>
        </r>
        <r>
          <rPr>
            <i/>
            <sz val="10"/>
            <color indexed="81"/>
            <rFont val="Tahoma"/>
            <family val="2"/>
          </rPr>
          <t>N</t>
        </r>
        <r>
          <rPr>
            <vertAlign val="subscript"/>
            <sz val="10"/>
            <color indexed="81"/>
            <rFont val="Tahoma"/>
            <family val="2"/>
          </rPr>
          <t>2</t>
        </r>
        <r>
          <rPr>
            <sz val="9"/>
            <color indexed="81"/>
            <rFont val="Tahoma"/>
            <family val="2"/>
          </rPr>
          <t xml:space="preserve"> and </t>
        </r>
        <r>
          <rPr>
            <i/>
            <sz val="10"/>
            <color indexed="81"/>
            <rFont val="Tahoma"/>
            <family val="2"/>
          </rPr>
          <t>r</t>
        </r>
        <r>
          <rPr>
            <vertAlign val="subscript"/>
            <sz val="10"/>
            <color indexed="81"/>
            <rFont val="Tahoma"/>
            <family val="2"/>
          </rPr>
          <t>2</t>
        </r>
      </text>
    </comment>
    <comment ref="F7" authorId="0">
      <text>
        <r>
          <rPr>
            <sz val="9"/>
            <color indexed="81"/>
            <rFont val="Tahoma"/>
            <family val="2"/>
          </rPr>
          <t>Display a difference axis, the difference, and the CI on the difference</t>
        </r>
      </text>
    </comment>
    <comment ref="K7" authorId="0">
      <text>
        <r>
          <rPr>
            <sz val="9"/>
            <color indexed="81"/>
            <rFont val="Tahoma"/>
            <family val="2"/>
          </rPr>
          <t>Choose size of data set for</t>
        </r>
        <r>
          <rPr>
            <i/>
            <sz val="10"/>
            <color indexed="81"/>
            <rFont val="Tahoma"/>
            <family val="2"/>
          </rPr>
          <t xml:space="preserve"> r</t>
        </r>
        <r>
          <rPr>
            <vertAlign val="subscript"/>
            <sz val="10"/>
            <color indexed="81"/>
            <rFont val="Tahoma"/>
            <family val="2"/>
          </rPr>
          <t>1</t>
        </r>
        <r>
          <rPr>
            <sz val="9"/>
            <color indexed="81"/>
            <rFont val="Tahoma"/>
            <family val="2"/>
          </rPr>
          <t xml:space="preserve">.  Use spinner, or type in a value.  Min 4, max 1000.
</t>
        </r>
      </text>
    </comment>
    <comment ref="U7" authorId="0">
      <text>
        <r>
          <rPr>
            <sz val="9"/>
            <color indexed="81"/>
            <rFont val="Tahoma"/>
            <family val="2"/>
          </rPr>
          <t>Choose size of data set for</t>
        </r>
        <r>
          <rPr>
            <i/>
            <sz val="10"/>
            <color indexed="81"/>
            <rFont val="Tahoma"/>
            <family val="2"/>
          </rPr>
          <t xml:space="preserve"> r</t>
        </r>
        <r>
          <rPr>
            <vertAlign val="subscript"/>
            <sz val="10"/>
            <color indexed="81"/>
            <rFont val="Tahoma"/>
            <family val="2"/>
          </rPr>
          <t>2</t>
        </r>
        <r>
          <rPr>
            <sz val="9"/>
            <color indexed="81"/>
            <rFont val="Tahoma"/>
            <family val="2"/>
          </rPr>
          <t xml:space="preserve">.  Use spinner, or type in a value.  Min 4, max 1000.
</t>
        </r>
      </text>
    </comment>
    <comment ref="F10" authorId="0">
      <text>
        <r>
          <rPr>
            <sz val="9"/>
            <color indexed="81"/>
            <rFont val="Tahoma"/>
            <family val="2"/>
          </rPr>
          <t>The CI on the difference between the two correlations (</t>
        </r>
        <r>
          <rPr>
            <i/>
            <sz val="10"/>
            <color indexed="81"/>
            <rFont val="Tahoma"/>
            <family val="2"/>
          </rPr>
          <t>r</t>
        </r>
        <r>
          <rPr>
            <vertAlign val="subscript"/>
            <sz val="10"/>
            <color indexed="81"/>
            <rFont val="Tahoma"/>
            <family val="2"/>
          </rPr>
          <t>2</t>
        </r>
        <r>
          <rPr>
            <sz val="10"/>
            <color indexed="81"/>
            <rFont val="Tahoma"/>
            <family val="2"/>
          </rPr>
          <t xml:space="preserve"> - </t>
        </r>
        <r>
          <rPr>
            <i/>
            <sz val="10"/>
            <color indexed="81"/>
            <rFont val="Tahoma"/>
            <family val="2"/>
          </rPr>
          <t>r</t>
        </r>
        <r>
          <rPr>
            <vertAlign val="subscript"/>
            <sz val="10"/>
            <color indexed="81"/>
            <rFont val="Tahoma"/>
            <family val="2"/>
          </rPr>
          <t>1</t>
        </r>
        <r>
          <rPr>
            <sz val="9"/>
            <color indexed="81"/>
            <rFont val="Tahoma"/>
            <family val="2"/>
          </rPr>
          <t xml:space="preserve">).
_______________________
This CI is calculated using the approximate method of:
Zou, G. Y. (2007). Toward using confidence intervals to compare correlations. </t>
        </r>
        <r>
          <rPr>
            <i/>
            <sz val="9"/>
            <color indexed="81"/>
            <rFont val="Tahoma"/>
            <family val="2"/>
          </rPr>
          <t xml:space="preserve">Psychological Methods, 12, </t>
        </r>
        <r>
          <rPr>
            <sz val="9"/>
            <color indexed="81"/>
            <rFont val="Tahoma"/>
            <family val="2"/>
          </rPr>
          <t xml:space="preserve">399-413. See Equation 15.
</t>
        </r>
      </text>
    </comment>
    <comment ref="L10" authorId="0">
      <text>
        <r>
          <rPr>
            <sz val="9"/>
            <color indexed="81"/>
            <rFont val="Tahoma"/>
            <family val="2"/>
          </rPr>
          <t>Use large slider at right to set value of first correlation,</t>
        </r>
        <r>
          <rPr>
            <sz val="8"/>
            <color indexed="81"/>
            <rFont val="Tahoma"/>
            <family val="2"/>
          </rPr>
          <t xml:space="preserve"> </t>
        </r>
        <r>
          <rPr>
            <i/>
            <sz val="9"/>
            <color indexed="81"/>
            <rFont val="Tahoma"/>
            <family val="2"/>
          </rPr>
          <t>r</t>
        </r>
        <r>
          <rPr>
            <vertAlign val="subscript"/>
            <sz val="9"/>
            <color indexed="81"/>
            <rFont val="Tahoma"/>
            <family val="2"/>
          </rPr>
          <t>1</t>
        </r>
        <r>
          <rPr>
            <sz val="8"/>
            <color indexed="81"/>
            <rFont val="Tahoma"/>
            <family val="2"/>
          </rPr>
          <t xml:space="preserve">
</t>
        </r>
      </text>
    </comment>
    <comment ref="V10" authorId="0">
      <text>
        <r>
          <rPr>
            <sz val="9"/>
            <color indexed="81"/>
            <rFont val="Tahoma"/>
            <family val="2"/>
          </rPr>
          <t>Use large slider at right to set value of second correlation,</t>
        </r>
        <r>
          <rPr>
            <sz val="8"/>
            <color indexed="81"/>
            <rFont val="Tahoma"/>
            <family val="2"/>
          </rPr>
          <t xml:space="preserve"> </t>
        </r>
        <r>
          <rPr>
            <i/>
            <sz val="9"/>
            <color indexed="81"/>
            <rFont val="Tahoma"/>
            <family val="2"/>
          </rPr>
          <t>r</t>
        </r>
        <r>
          <rPr>
            <vertAlign val="subscript"/>
            <sz val="9"/>
            <color indexed="81"/>
            <rFont val="Tahoma"/>
            <family val="2"/>
          </rPr>
          <t>2</t>
        </r>
        <r>
          <rPr>
            <sz val="8"/>
            <color indexed="81"/>
            <rFont val="Tahoma"/>
            <family val="2"/>
          </rPr>
          <t xml:space="preserve">
</t>
        </r>
      </text>
    </comment>
    <comment ref="I12" authorId="0">
      <text>
        <r>
          <rPr>
            <sz val="9"/>
            <color indexed="81"/>
            <rFont val="Tahoma"/>
            <family val="2"/>
          </rPr>
          <t xml:space="preserve">Information about the CI on </t>
        </r>
        <r>
          <rPr>
            <i/>
            <sz val="10"/>
            <color indexed="81"/>
            <rFont val="Tahoma"/>
            <family val="2"/>
          </rPr>
          <t>r</t>
        </r>
        <r>
          <rPr>
            <vertAlign val="subscript"/>
            <sz val="10"/>
            <color indexed="81"/>
            <rFont val="Tahoma"/>
            <family val="2"/>
          </rPr>
          <t>1</t>
        </r>
        <r>
          <rPr>
            <sz val="9"/>
            <color indexed="81"/>
            <rFont val="Tahoma"/>
            <family val="2"/>
          </rPr>
          <t xml:space="preserve">
</t>
        </r>
      </text>
    </comment>
    <comment ref="S12" authorId="0">
      <text>
        <r>
          <rPr>
            <sz val="9"/>
            <color indexed="81"/>
            <rFont val="Tahoma"/>
            <family val="2"/>
          </rPr>
          <t xml:space="preserve">Information about the CI on </t>
        </r>
        <r>
          <rPr>
            <i/>
            <sz val="10"/>
            <color indexed="81"/>
            <rFont val="Tahoma"/>
            <family val="2"/>
          </rPr>
          <t>r</t>
        </r>
        <r>
          <rPr>
            <vertAlign val="subscript"/>
            <sz val="10"/>
            <color indexed="81"/>
            <rFont val="Tahoma"/>
            <family val="2"/>
          </rPr>
          <t>2</t>
        </r>
        <r>
          <rPr>
            <sz val="9"/>
            <color indexed="81"/>
            <rFont val="Tahoma"/>
            <family val="2"/>
          </rPr>
          <t xml:space="preserve">
</t>
        </r>
      </text>
    </comment>
    <comment ref="D14" authorId="0">
      <text>
        <r>
          <rPr>
            <sz val="9"/>
            <color indexed="81"/>
            <rFont val="Tahoma"/>
            <family val="2"/>
          </rPr>
          <t>Length of the lower arm of the CI on the difference, (</t>
        </r>
        <r>
          <rPr>
            <i/>
            <sz val="10"/>
            <color indexed="81"/>
            <rFont val="Tahoma"/>
            <family val="2"/>
          </rPr>
          <t>r</t>
        </r>
        <r>
          <rPr>
            <vertAlign val="subscript"/>
            <sz val="10"/>
            <color indexed="81"/>
            <rFont val="Tahoma"/>
            <family val="2"/>
          </rPr>
          <t>2</t>
        </r>
        <r>
          <rPr>
            <sz val="10"/>
            <color indexed="81"/>
            <rFont val="Tahoma"/>
            <family val="2"/>
          </rPr>
          <t xml:space="preserve"> - </t>
        </r>
        <r>
          <rPr>
            <i/>
            <sz val="10"/>
            <color indexed="81"/>
            <rFont val="Tahoma"/>
            <family val="2"/>
          </rPr>
          <t>r</t>
        </r>
        <r>
          <rPr>
            <vertAlign val="subscript"/>
            <sz val="10"/>
            <color indexed="81"/>
            <rFont val="Tahoma"/>
            <family val="2"/>
          </rPr>
          <t>1</t>
        </r>
        <r>
          <rPr>
            <sz val="9"/>
            <color indexed="81"/>
            <rFont val="Tahoma"/>
            <family val="2"/>
          </rPr>
          <t xml:space="preserve">) 
</t>
        </r>
      </text>
    </comment>
    <comment ref="F14" authorId="0">
      <text>
        <r>
          <rPr>
            <sz val="9"/>
            <color indexed="81"/>
            <rFont val="Tahoma"/>
            <family val="2"/>
          </rPr>
          <t>Length of the upper arm of the CI on the difference, (</t>
        </r>
        <r>
          <rPr>
            <i/>
            <sz val="10"/>
            <color indexed="81"/>
            <rFont val="Tahoma"/>
            <family val="2"/>
          </rPr>
          <t>r</t>
        </r>
        <r>
          <rPr>
            <vertAlign val="subscript"/>
            <sz val="10"/>
            <color indexed="81"/>
            <rFont val="Tahoma"/>
            <family val="2"/>
          </rPr>
          <t>2</t>
        </r>
        <r>
          <rPr>
            <sz val="10"/>
            <color indexed="81"/>
            <rFont val="Tahoma"/>
            <family val="2"/>
          </rPr>
          <t xml:space="preserve"> - </t>
        </r>
        <r>
          <rPr>
            <i/>
            <sz val="10"/>
            <color indexed="81"/>
            <rFont val="Tahoma"/>
            <family val="2"/>
          </rPr>
          <t>r</t>
        </r>
        <r>
          <rPr>
            <vertAlign val="subscript"/>
            <sz val="10"/>
            <color indexed="81"/>
            <rFont val="Tahoma"/>
            <family val="2"/>
          </rPr>
          <t>1</t>
        </r>
        <r>
          <rPr>
            <sz val="9"/>
            <color indexed="81"/>
            <rFont val="Tahoma"/>
            <family val="2"/>
          </rPr>
          <t xml:space="preserve">) 
</t>
        </r>
      </text>
    </comment>
    <comment ref="K14" authorId="0">
      <text>
        <r>
          <rPr>
            <sz val="9"/>
            <color indexed="81"/>
            <rFont val="Tahoma"/>
            <family val="2"/>
          </rPr>
          <t xml:space="preserve">LL of the CI on </t>
        </r>
        <r>
          <rPr>
            <i/>
            <sz val="10"/>
            <color indexed="81"/>
            <rFont val="Tahoma"/>
            <family val="2"/>
          </rPr>
          <t>r</t>
        </r>
        <r>
          <rPr>
            <vertAlign val="subscript"/>
            <sz val="10"/>
            <color indexed="81"/>
            <rFont val="Tahoma"/>
            <family val="2"/>
          </rPr>
          <t>1</t>
        </r>
        <r>
          <rPr>
            <sz val="9"/>
            <color indexed="81"/>
            <rFont val="Tahoma"/>
            <family val="2"/>
          </rPr>
          <t xml:space="preserve">
</t>
        </r>
      </text>
    </comment>
    <comment ref="M14" authorId="0">
      <text>
        <r>
          <rPr>
            <sz val="9"/>
            <color indexed="81"/>
            <rFont val="Tahoma"/>
            <family val="2"/>
          </rPr>
          <t xml:space="preserve">UL of the CI on </t>
        </r>
        <r>
          <rPr>
            <i/>
            <sz val="10"/>
            <color indexed="81"/>
            <rFont val="Tahoma"/>
            <family val="2"/>
          </rPr>
          <t>r</t>
        </r>
        <r>
          <rPr>
            <vertAlign val="subscript"/>
            <sz val="10"/>
            <color indexed="81"/>
            <rFont val="Tahoma"/>
            <family val="2"/>
          </rPr>
          <t>1</t>
        </r>
        <r>
          <rPr>
            <sz val="9"/>
            <color indexed="81"/>
            <rFont val="Tahoma"/>
            <family val="2"/>
          </rPr>
          <t xml:space="preserve">
</t>
        </r>
      </text>
    </comment>
    <comment ref="U14" authorId="0">
      <text>
        <r>
          <rPr>
            <sz val="9"/>
            <color indexed="81"/>
            <rFont val="Tahoma"/>
            <family val="2"/>
          </rPr>
          <t xml:space="preserve">LL of the CI on </t>
        </r>
        <r>
          <rPr>
            <i/>
            <sz val="10"/>
            <color indexed="81"/>
            <rFont val="Tahoma"/>
            <family val="2"/>
          </rPr>
          <t>r</t>
        </r>
        <r>
          <rPr>
            <vertAlign val="subscript"/>
            <sz val="10"/>
            <color indexed="81"/>
            <rFont val="Tahoma"/>
            <family val="2"/>
          </rPr>
          <t>2</t>
        </r>
        <r>
          <rPr>
            <sz val="9"/>
            <color indexed="81"/>
            <rFont val="Tahoma"/>
            <family val="2"/>
          </rPr>
          <t xml:space="preserve">
</t>
        </r>
      </text>
    </comment>
    <comment ref="W14" authorId="0">
      <text>
        <r>
          <rPr>
            <sz val="9"/>
            <color indexed="81"/>
            <rFont val="Tahoma"/>
            <family val="2"/>
          </rPr>
          <t xml:space="preserve">UL of the CI on </t>
        </r>
        <r>
          <rPr>
            <i/>
            <sz val="10"/>
            <color indexed="81"/>
            <rFont val="Tahoma"/>
            <family val="2"/>
          </rPr>
          <t>r</t>
        </r>
        <r>
          <rPr>
            <vertAlign val="subscript"/>
            <sz val="10"/>
            <color indexed="81"/>
            <rFont val="Tahoma"/>
            <family val="2"/>
          </rPr>
          <t>2</t>
        </r>
        <r>
          <rPr>
            <sz val="9"/>
            <color indexed="81"/>
            <rFont val="Tahoma"/>
            <family val="2"/>
          </rPr>
          <t xml:space="preserve">
</t>
        </r>
      </text>
    </comment>
    <comment ref="E17" authorId="0">
      <text>
        <r>
          <rPr>
            <sz val="9"/>
            <color indexed="81"/>
            <rFont val="Tahoma"/>
            <family val="2"/>
          </rPr>
          <t>Average length of the lower and upper arms of the CI on the difference.
______________</t>
        </r>
        <r>
          <rPr>
            <sz val="8"/>
            <color indexed="81"/>
            <rFont val="Tahoma"/>
            <family val="2"/>
          </rPr>
          <t xml:space="preserve">
</t>
        </r>
        <r>
          <rPr>
            <sz val="10"/>
            <color indexed="81"/>
            <rFont val="Tahoma"/>
            <family val="2"/>
          </rPr>
          <t>MOE</t>
        </r>
        <r>
          <rPr>
            <vertAlign val="subscript"/>
            <sz val="10"/>
            <color indexed="81"/>
            <rFont val="Tahoma"/>
            <family val="2"/>
          </rPr>
          <t>av</t>
        </r>
        <r>
          <rPr>
            <sz val="9"/>
            <color indexed="81"/>
            <rFont val="Tahoma"/>
            <family val="2"/>
          </rPr>
          <t xml:space="preserve"> is a measure of precision.
</t>
        </r>
      </text>
    </comment>
    <comment ref="K17" authorId="0">
      <text>
        <r>
          <rPr>
            <sz val="9"/>
            <color indexed="81"/>
            <rFont val="Tahoma"/>
            <family val="2"/>
          </rPr>
          <t xml:space="preserve">Length of the lower arm of the CI on </t>
        </r>
        <r>
          <rPr>
            <i/>
            <sz val="10"/>
            <color indexed="81"/>
            <rFont val="Tahoma"/>
            <family val="2"/>
          </rPr>
          <t>r</t>
        </r>
        <r>
          <rPr>
            <vertAlign val="subscript"/>
            <sz val="10"/>
            <color indexed="81"/>
            <rFont val="Tahoma"/>
            <family val="2"/>
          </rPr>
          <t>1</t>
        </r>
        <r>
          <rPr>
            <sz val="9"/>
            <color indexed="81"/>
            <rFont val="Tahoma"/>
            <family val="2"/>
          </rPr>
          <t xml:space="preserve">
</t>
        </r>
      </text>
    </comment>
    <comment ref="M17" authorId="0">
      <text>
        <r>
          <rPr>
            <sz val="9"/>
            <color indexed="81"/>
            <rFont val="Tahoma"/>
            <family val="2"/>
          </rPr>
          <t xml:space="preserve">Length of the upper arm of the CI on </t>
        </r>
        <r>
          <rPr>
            <i/>
            <sz val="10"/>
            <color indexed="81"/>
            <rFont val="Tahoma"/>
            <family val="2"/>
          </rPr>
          <t>r</t>
        </r>
        <r>
          <rPr>
            <vertAlign val="subscript"/>
            <sz val="10"/>
            <color indexed="81"/>
            <rFont val="Tahoma"/>
            <family val="2"/>
          </rPr>
          <t>1</t>
        </r>
        <r>
          <rPr>
            <sz val="9"/>
            <color indexed="81"/>
            <rFont val="Tahoma"/>
            <family val="2"/>
          </rPr>
          <t xml:space="preserve">
</t>
        </r>
      </text>
    </comment>
    <comment ref="U17" authorId="0">
      <text>
        <r>
          <rPr>
            <sz val="9"/>
            <color indexed="81"/>
            <rFont val="Tahoma"/>
            <family val="2"/>
          </rPr>
          <t xml:space="preserve">Length of the lower arm of the CI on </t>
        </r>
        <r>
          <rPr>
            <i/>
            <sz val="10"/>
            <color indexed="81"/>
            <rFont val="Tahoma"/>
            <family val="2"/>
          </rPr>
          <t>r</t>
        </r>
        <r>
          <rPr>
            <vertAlign val="subscript"/>
            <sz val="10"/>
            <color indexed="81"/>
            <rFont val="Tahoma"/>
            <family val="2"/>
          </rPr>
          <t>2</t>
        </r>
        <r>
          <rPr>
            <sz val="9"/>
            <color indexed="81"/>
            <rFont val="Tahoma"/>
            <family val="2"/>
          </rPr>
          <t xml:space="preserve">
</t>
        </r>
      </text>
    </comment>
    <comment ref="W17" authorId="0">
      <text>
        <r>
          <rPr>
            <sz val="9"/>
            <color indexed="81"/>
            <rFont val="Tahoma"/>
            <family val="2"/>
          </rPr>
          <t xml:space="preserve">Length of the upper arm of the CI on </t>
        </r>
        <r>
          <rPr>
            <i/>
            <sz val="10"/>
            <color indexed="81"/>
            <rFont val="Tahoma"/>
            <family val="2"/>
          </rPr>
          <t>r</t>
        </r>
        <r>
          <rPr>
            <vertAlign val="subscript"/>
            <sz val="10"/>
            <color indexed="81"/>
            <rFont val="Tahoma"/>
            <family val="2"/>
          </rPr>
          <t>2</t>
        </r>
        <r>
          <rPr>
            <sz val="9"/>
            <color indexed="81"/>
            <rFont val="Tahoma"/>
            <family val="2"/>
          </rPr>
          <t xml:space="preserve">
</t>
        </r>
      </text>
    </comment>
    <comment ref="A19" authorId="0">
      <text>
        <r>
          <rPr>
            <sz val="9"/>
            <color indexed="81"/>
            <rFont val="Tahoma"/>
            <family val="2"/>
          </rPr>
          <t xml:space="preserve">Click to show the </t>
        </r>
        <r>
          <rPr>
            <i/>
            <sz val="10"/>
            <color indexed="81"/>
            <rFont val="Tahoma"/>
            <family val="2"/>
          </rPr>
          <t>p</t>
        </r>
        <r>
          <rPr>
            <sz val="9"/>
            <color indexed="81"/>
            <rFont val="Tahoma"/>
            <family val="2"/>
          </rPr>
          <t xml:space="preserve"> value for testing the null hypothesis of no difference between the two correlations.
____________
The </t>
        </r>
        <r>
          <rPr>
            <i/>
            <sz val="10"/>
            <color indexed="81"/>
            <rFont val="Tahoma"/>
            <family val="2"/>
          </rPr>
          <t>p</t>
        </r>
        <r>
          <rPr>
            <sz val="9"/>
            <color indexed="81"/>
            <rFont val="Tahoma"/>
            <family val="2"/>
          </rPr>
          <t xml:space="preserve"> value is two-tailed.
</t>
        </r>
      </text>
    </comment>
    <comment ref="L20" authorId="0">
      <text>
        <r>
          <rPr>
            <sz val="9"/>
            <color indexed="81"/>
            <rFont val="Tahoma"/>
            <family val="2"/>
          </rPr>
          <t>Average length of the lower and upper arms of the CI.
______________</t>
        </r>
        <r>
          <rPr>
            <sz val="8"/>
            <color indexed="81"/>
            <rFont val="Tahoma"/>
            <family val="2"/>
          </rPr>
          <t xml:space="preserve">
</t>
        </r>
        <r>
          <rPr>
            <sz val="10"/>
            <color indexed="81"/>
            <rFont val="Tahoma"/>
            <family val="2"/>
          </rPr>
          <t>MOE</t>
        </r>
        <r>
          <rPr>
            <vertAlign val="subscript"/>
            <sz val="10"/>
            <color indexed="81"/>
            <rFont val="Tahoma"/>
            <family val="2"/>
          </rPr>
          <t>av</t>
        </r>
        <r>
          <rPr>
            <sz val="9"/>
            <color indexed="81"/>
            <rFont val="Tahoma"/>
            <family val="2"/>
          </rPr>
          <t xml:space="preserve"> is a measure of precision.
</t>
        </r>
      </text>
    </comment>
    <comment ref="V20" authorId="0">
      <text>
        <r>
          <rPr>
            <sz val="9"/>
            <color indexed="81"/>
            <rFont val="Tahoma"/>
            <family val="2"/>
          </rPr>
          <t>Average length of the lower and upper arms of the CI.
______________</t>
        </r>
        <r>
          <rPr>
            <sz val="8"/>
            <color indexed="81"/>
            <rFont val="Tahoma"/>
            <family val="2"/>
          </rPr>
          <t xml:space="preserve">
</t>
        </r>
        <r>
          <rPr>
            <sz val="10"/>
            <color indexed="81"/>
            <rFont val="Tahoma"/>
            <family val="2"/>
          </rPr>
          <t>MOE</t>
        </r>
        <r>
          <rPr>
            <vertAlign val="subscript"/>
            <sz val="10"/>
            <color indexed="81"/>
            <rFont val="Tahoma"/>
            <family val="2"/>
          </rPr>
          <t>av</t>
        </r>
        <r>
          <rPr>
            <sz val="9"/>
            <color indexed="81"/>
            <rFont val="Tahoma"/>
            <family val="2"/>
          </rPr>
          <t xml:space="preserve"> is a measure of precision.
</t>
        </r>
      </text>
    </comment>
    <comment ref="E21" authorId="0">
      <text>
        <r>
          <rPr>
            <sz val="9"/>
            <color indexed="81"/>
            <rFont val="Tahoma"/>
            <family val="2"/>
          </rPr>
          <t xml:space="preserve">The </t>
        </r>
        <r>
          <rPr>
            <i/>
            <sz val="10"/>
            <color indexed="81"/>
            <rFont val="Tahoma"/>
            <family val="2"/>
          </rPr>
          <t>p</t>
        </r>
        <r>
          <rPr>
            <sz val="9"/>
            <color indexed="81"/>
            <rFont val="Tahoma"/>
            <family val="2"/>
          </rPr>
          <t xml:space="preserve"> value for testing the null hypothesis of no difference between the two correlations.
____________
The </t>
        </r>
        <r>
          <rPr>
            <i/>
            <sz val="10"/>
            <color indexed="81"/>
            <rFont val="Tahoma"/>
            <family val="2"/>
          </rPr>
          <t>p</t>
        </r>
        <r>
          <rPr>
            <sz val="9"/>
            <color indexed="81"/>
            <rFont val="Tahoma"/>
            <family val="2"/>
          </rPr>
          <t xml:space="preserve"> value is two-tailed.
</t>
        </r>
      </text>
    </comment>
    <comment ref="A23" authorId="0">
      <text>
        <r>
          <rPr>
            <sz val="9"/>
            <color indexed="81"/>
            <rFont val="Tahoma"/>
            <family val="2"/>
          </rPr>
          <t>Information about the overlap of the two independent CIs.</t>
        </r>
      </text>
    </comment>
    <comment ref="D24" authorId="0">
      <text>
        <r>
          <rPr>
            <sz val="9"/>
            <color indexed="81"/>
            <rFont val="Tahoma"/>
            <family val="2"/>
          </rPr>
          <t xml:space="preserve">Click to display two dotted horizontal lines marking the overlap of the two CIs and, below, the value of overlap.
</t>
        </r>
      </text>
    </comment>
    <comment ref="E25" authorId="0">
      <text>
        <r>
          <rPr>
            <sz val="9"/>
            <color indexed="81"/>
            <rFont val="Tahoma"/>
            <family val="2"/>
          </rPr>
          <t xml:space="preserve">Amount of overlap of the two CIs, as a proportion of the average length of the two arms that do the overlapping.
If the two CIs do not overlap, and there is a gap, the value of 'Overlap' is negative.
_____________________
If the CIs just touch (overlap close to zero), the </t>
        </r>
        <r>
          <rPr>
            <i/>
            <sz val="10"/>
            <color indexed="81"/>
            <rFont val="Tahoma"/>
            <family val="2"/>
          </rPr>
          <t>p</t>
        </r>
        <r>
          <rPr>
            <sz val="9"/>
            <color indexed="81"/>
            <rFont val="Tahoma"/>
            <family val="2"/>
          </rPr>
          <t xml:space="preserve"> value at </t>
        </r>
        <r>
          <rPr>
            <b/>
            <sz val="9"/>
            <color indexed="10"/>
            <rFont val="Tahoma"/>
            <family val="2"/>
          </rPr>
          <t>7</t>
        </r>
        <r>
          <rPr>
            <sz val="9"/>
            <color indexed="81"/>
            <rFont val="Tahoma"/>
            <family val="2"/>
          </rPr>
          <t xml:space="preserve"> is approximately .01. If overlap is around 0.5, </t>
        </r>
        <r>
          <rPr>
            <i/>
            <sz val="10"/>
            <color indexed="81"/>
            <rFont val="Tahoma"/>
            <family val="2"/>
          </rPr>
          <t>p</t>
        </r>
        <r>
          <rPr>
            <sz val="9"/>
            <color indexed="81"/>
            <rFont val="Tahoma"/>
            <family val="2"/>
          </rPr>
          <t xml:space="preserve"> is approximately .05. 
</t>
        </r>
      </text>
    </comment>
    <comment ref="BK33" authorId="0">
      <text>
        <r>
          <rPr>
            <sz val="8"/>
            <color indexed="81"/>
            <rFont val="Tahoma"/>
            <family val="2"/>
          </rPr>
          <t xml:space="preserve">Average length of the two arms that do the overlapping--shown </t>
        </r>
        <r>
          <rPr>
            <sz val="8"/>
            <color indexed="10"/>
            <rFont val="Tahoma"/>
            <family val="2"/>
          </rPr>
          <t>red</t>
        </r>
        <r>
          <rPr>
            <sz val="8"/>
            <color indexed="81"/>
            <rFont val="Tahoma"/>
            <family val="2"/>
          </rPr>
          <t xml:space="preserve"> above.
________________
If the two CIs do not overlap, the 'overlap' arms are those pointing to the other </t>
        </r>
        <r>
          <rPr>
            <i/>
            <sz val="9"/>
            <color indexed="81"/>
            <rFont val="Tahoma"/>
            <family val="2"/>
          </rPr>
          <t>r</t>
        </r>
        <r>
          <rPr>
            <sz val="8"/>
            <color indexed="81"/>
            <rFont val="Tahoma"/>
            <family val="2"/>
          </rPr>
          <t xml:space="preserve"> value.</t>
        </r>
      </text>
    </comment>
    <comment ref="BK34" authorId="0">
      <text>
        <r>
          <rPr>
            <sz val="8"/>
            <color indexed="81"/>
            <rFont val="Tahoma"/>
            <family val="2"/>
          </rPr>
          <t xml:space="preserve">Ratio of longer to shorter overlap arms--those shown </t>
        </r>
        <r>
          <rPr>
            <sz val="8"/>
            <color indexed="10"/>
            <rFont val="Tahoma"/>
            <family val="2"/>
          </rPr>
          <t>red</t>
        </r>
        <r>
          <rPr>
            <sz val="8"/>
            <color indexed="81"/>
            <rFont val="Tahoma"/>
            <family val="2"/>
          </rPr>
          <t xml:space="preserve"> above. 
_________________
The overlap rule is reasonably accurate if the arm ratio is no more than about 2.</t>
        </r>
        <r>
          <rPr>
            <sz val="8"/>
            <color indexed="81"/>
            <rFont val="Tahoma"/>
            <family val="2"/>
          </rPr>
          <t xml:space="preserve">
</t>
        </r>
      </text>
    </comment>
  </commentList>
</comments>
</file>

<file path=xl/comments8.xml><?xml version="1.0" encoding="utf-8"?>
<comments xmlns="http://schemas.openxmlformats.org/spreadsheetml/2006/main">
  <authors>
    <author>Geoff Cumming</author>
  </authors>
  <commentList>
    <comment ref="BA4" authorId="0">
      <text>
        <r>
          <rPr>
            <sz val="9"/>
            <color indexed="81"/>
            <rFont val="Tahoma"/>
            <family val="2"/>
          </rPr>
          <t>Only for H0 = 0</t>
        </r>
        <r>
          <rPr>
            <sz val="9"/>
            <color indexed="81"/>
            <rFont val="Tahoma"/>
            <family val="2"/>
          </rPr>
          <t xml:space="preserve">
</t>
        </r>
      </text>
    </comment>
    <comment ref="D5" authorId="0">
      <text>
        <r>
          <rPr>
            <sz val="9"/>
            <color indexed="81"/>
            <rFont val="Tahoma"/>
            <family val="2"/>
          </rPr>
          <t xml:space="preserve">Set chosen values of </t>
        </r>
        <r>
          <rPr>
            <i/>
            <sz val="9"/>
            <color indexed="81"/>
            <rFont val="Tahoma"/>
            <family val="2"/>
          </rPr>
          <t>X</t>
        </r>
        <r>
          <rPr>
            <sz val="9"/>
            <color indexed="81"/>
            <rFont val="Tahoma"/>
            <family val="2"/>
          </rPr>
          <t xml:space="preserve"> and </t>
        </r>
        <r>
          <rPr>
            <i/>
            <sz val="10"/>
            <color indexed="81"/>
            <rFont val="Tahoma"/>
            <family val="2"/>
          </rPr>
          <t>N</t>
        </r>
        <r>
          <rPr>
            <sz val="9"/>
            <color indexed="81"/>
            <rFont val="Tahoma"/>
            <family val="2"/>
          </rPr>
          <t xml:space="preserve"> to define the proportion </t>
        </r>
        <r>
          <rPr>
            <i/>
            <sz val="10"/>
            <color indexed="81"/>
            <rFont val="Tahoma"/>
            <family val="2"/>
          </rPr>
          <t>P = X / N</t>
        </r>
      </text>
    </comment>
    <comment ref="E8" authorId="0">
      <text>
        <r>
          <rPr>
            <sz val="9"/>
            <color indexed="81"/>
            <rFont val="Tahoma"/>
            <family val="2"/>
          </rPr>
          <t xml:space="preserve">Set </t>
        </r>
        <r>
          <rPr>
            <i/>
            <sz val="10"/>
            <color indexed="81"/>
            <rFont val="Tahoma"/>
            <family val="2"/>
          </rPr>
          <t>X</t>
        </r>
        <r>
          <rPr>
            <sz val="9"/>
            <color indexed="81"/>
            <rFont val="Tahoma"/>
            <family val="2"/>
          </rPr>
          <t xml:space="preserve"> by using the spinner, or typing in a value. Min 0, max </t>
        </r>
        <r>
          <rPr>
            <i/>
            <sz val="10"/>
            <color indexed="81"/>
            <rFont val="Tahoma"/>
            <family val="2"/>
          </rPr>
          <t>N</t>
        </r>
        <r>
          <rPr>
            <sz val="9"/>
            <color indexed="81"/>
            <rFont val="Tahoma"/>
            <family val="2"/>
          </rPr>
          <t xml:space="preserve">.
___________
If </t>
        </r>
        <r>
          <rPr>
            <i/>
            <sz val="10"/>
            <color indexed="81"/>
            <rFont val="Tahoma"/>
            <family val="2"/>
          </rPr>
          <t>X</t>
        </r>
        <r>
          <rPr>
            <sz val="9"/>
            <color indexed="81"/>
            <rFont val="Tahoma"/>
            <family val="2"/>
          </rPr>
          <t xml:space="preserve"> &gt; </t>
        </r>
        <r>
          <rPr>
            <i/>
            <sz val="10"/>
            <color indexed="81"/>
            <rFont val="Tahoma"/>
            <family val="2"/>
          </rPr>
          <t>N</t>
        </r>
        <r>
          <rPr>
            <sz val="9"/>
            <color indexed="81"/>
            <rFont val="Tahoma"/>
            <family val="2"/>
          </rPr>
          <t xml:space="preserve"> is typed in, proportion </t>
        </r>
        <r>
          <rPr>
            <i/>
            <sz val="10"/>
            <color indexed="81"/>
            <rFont val="Tahoma"/>
            <family val="2"/>
          </rPr>
          <t>P</t>
        </r>
        <r>
          <rPr>
            <sz val="9"/>
            <color indexed="81"/>
            <rFont val="Tahoma"/>
            <family val="2"/>
          </rPr>
          <t xml:space="preserve"> and other values are blank. Click a spinner to correct. </t>
        </r>
      </text>
    </comment>
    <comment ref="I8" authorId="0">
      <text>
        <r>
          <rPr>
            <sz val="9"/>
            <color indexed="81"/>
            <rFont val="Tahoma"/>
            <family val="2"/>
          </rPr>
          <t xml:space="preserve">The proportion, </t>
        </r>
        <r>
          <rPr>
            <i/>
            <sz val="10"/>
            <color indexed="81"/>
            <rFont val="Tahoma"/>
            <family val="2"/>
          </rPr>
          <t xml:space="preserve">P
</t>
        </r>
        <r>
          <rPr>
            <sz val="9"/>
            <color indexed="81"/>
            <rFont val="Tahoma"/>
            <family val="2"/>
          </rPr>
          <t xml:space="preserve">___________
If </t>
        </r>
        <r>
          <rPr>
            <i/>
            <sz val="10"/>
            <color indexed="81"/>
            <rFont val="Tahoma"/>
            <family val="2"/>
          </rPr>
          <t>P</t>
        </r>
        <r>
          <rPr>
            <sz val="9"/>
            <color indexed="81"/>
            <rFont val="Tahoma"/>
            <family val="2"/>
          </rPr>
          <t xml:space="preserve"> and other values are blank, check that </t>
        </r>
        <r>
          <rPr>
            <i/>
            <sz val="10"/>
            <color indexed="81"/>
            <rFont val="Tahoma"/>
            <family val="2"/>
          </rPr>
          <t>X</t>
        </r>
        <r>
          <rPr>
            <sz val="9"/>
            <color indexed="81"/>
            <rFont val="Tahoma"/>
            <family val="2"/>
          </rPr>
          <t xml:space="preserve"> is not more than </t>
        </r>
        <r>
          <rPr>
            <i/>
            <sz val="10"/>
            <color indexed="81"/>
            <rFont val="Tahoma"/>
            <family val="2"/>
          </rPr>
          <t>N</t>
        </r>
        <r>
          <rPr>
            <sz val="9"/>
            <color indexed="81"/>
            <rFont val="Tahoma"/>
            <family val="2"/>
          </rPr>
          <t>.</t>
        </r>
      </text>
    </comment>
    <comment ref="E10" authorId="0">
      <text>
        <r>
          <rPr>
            <sz val="9"/>
            <color indexed="81"/>
            <rFont val="Tahoma"/>
            <family val="2"/>
          </rPr>
          <t xml:space="preserve">Set </t>
        </r>
        <r>
          <rPr>
            <i/>
            <sz val="10"/>
            <color indexed="81"/>
            <rFont val="Tahoma"/>
            <family val="2"/>
          </rPr>
          <t>N</t>
        </r>
        <r>
          <rPr>
            <sz val="9"/>
            <color indexed="81"/>
            <rFont val="Tahoma"/>
            <family val="2"/>
          </rPr>
          <t xml:space="preserve"> by using the spinner or typing in a value. Min 2, max 1000.
___________
If </t>
        </r>
        <r>
          <rPr>
            <i/>
            <sz val="10"/>
            <color indexed="81"/>
            <rFont val="Tahoma"/>
            <family val="2"/>
          </rPr>
          <t>X</t>
        </r>
        <r>
          <rPr>
            <sz val="9"/>
            <color indexed="81"/>
            <rFont val="Tahoma"/>
            <family val="2"/>
          </rPr>
          <t xml:space="preserve"> &gt; </t>
        </r>
        <r>
          <rPr>
            <i/>
            <sz val="10"/>
            <color indexed="81"/>
            <rFont val="Tahoma"/>
            <family val="2"/>
          </rPr>
          <t>N</t>
        </r>
        <r>
          <rPr>
            <sz val="9"/>
            <color indexed="81"/>
            <rFont val="Tahoma"/>
            <family val="2"/>
          </rPr>
          <t xml:space="preserve"> is typed in, proportion </t>
        </r>
        <r>
          <rPr>
            <i/>
            <sz val="10"/>
            <color indexed="81"/>
            <rFont val="Tahoma"/>
            <family val="2"/>
          </rPr>
          <t>P</t>
        </r>
        <r>
          <rPr>
            <sz val="9"/>
            <color indexed="81"/>
            <rFont val="Tahoma"/>
            <family val="2"/>
          </rPr>
          <t xml:space="preserve"> and other values are blank. Click a spinner to correct.</t>
        </r>
      </text>
    </comment>
    <comment ref="D12" authorId="0">
      <text>
        <r>
          <rPr>
            <sz val="9"/>
            <color indexed="81"/>
            <rFont val="Tahoma"/>
            <family val="2"/>
          </rPr>
          <t xml:space="preserve">Click to display lines marking the possible values of proportion </t>
        </r>
        <r>
          <rPr>
            <i/>
            <sz val="10"/>
            <color indexed="81"/>
            <rFont val="Tahoma"/>
            <family val="2"/>
          </rPr>
          <t>P</t>
        </r>
        <r>
          <rPr>
            <sz val="9"/>
            <color indexed="81"/>
            <rFont val="Tahoma"/>
            <family val="2"/>
          </rPr>
          <t xml:space="preserve">.
______________
If </t>
        </r>
        <r>
          <rPr>
            <i/>
            <sz val="10"/>
            <color indexed="81"/>
            <rFont val="Tahoma"/>
            <family val="2"/>
          </rPr>
          <t>N</t>
        </r>
        <r>
          <rPr>
            <sz val="9"/>
            <color indexed="81"/>
            <rFont val="Tahoma"/>
            <family val="2"/>
          </rPr>
          <t xml:space="preserve"> &gt; 200, no lines are displayed.</t>
        </r>
      </text>
    </comment>
    <comment ref="D16" authorId="0">
      <text>
        <r>
          <rPr>
            <sz val="9"/>
            <color indexed="81"/>
            <rFont val="Tahoma"/>
            <family val="2"/>
          </rPr>
          <t xml:space="preserve">Set confidence level </t>
        </r>
        <r>
          <rPr>
            <i/>
            <sz val="9"/>
            <color indexed="81"/>
            <rFont val="Tahoma"/>
            <family val="2"/>
          </rPr>
          <t>C</t>
        </r>
        <r>
          <rPr>
            <sz val="9"/>
            <color indexed="81"/>
            <rFont val="Tahoma"/>
            <family val="2"/>
          </rPr>
          <t xml:space="preserve">, and see the CI.  
</t>
        </r>
      </text>
    </comment>
    <comment ref="J17" authorId="0">
      <text>
        <r>
          <rPr>
            <sz val="9"/>
            <color indexed="81"/>
            <rFont val="Tahoma"/>
            <family val="2"/>
          </rPr>
          <t xml:space="preserve">LL of the CI on proportion </t>
        </r>
        <r>
          <rPr>
            <i/>
            <sz val="10"/>
            <color indexed="81"/>
            <rFont val="Tahoma"/>
            <family val="2"/>
          </rPr>
          <t>P</t>
        </r>
        <r>
          <rPr>
            <sz val="9"/>
            <color indexed="81"/>
            <rFont val="Tahoma"/>
            <family val="2"/>
          </rPr>
          <t xml:space="preserve">
</t>
        </r>
      </text>
    </comment>
    <comment ref="L17" authorId="0">
      <text>
        <r>
          <rPr>
            <sz val="9"/>
            <color indexed="81"/>
            <rFont val="Tahoma"/>
            <family val="2"/>
          </rPr>
          <t xml:space="preserve">UL of the CI on proportion </t>
        </r>
        <r>
          <rPr>
            <i/>
            <sz val="10"/>
            <color indexed="81"/>
            <rFont val="Tahoma"/>
            <family val="2"/>
          </rPr>
          <t>P</t>
        </r>
        <r>
          <rPr>
            <sz val="9"/>
            <color indexed="81"/>
            <rFont val="Tahoma"/>
            <family val="2"/>
          </rPr>
          <t xml:space="preserve">
</t>
        </r>
      </text>
    </comment>
    <comment ref="E18" authorId="0">
      <text>
        <r>
          <rPr>
            <sz val="9"/>
            <color indexed="81"/>
            <rFont val="Tahoma"/>
            <family val="2"/>
          </rPr>
          <t>Confidence level, in %
Min 1, max 99.9
Use the spinner, or type in a value.</t>
        </r>
      </text>
    </comment>
    <comment ref="J20" authorId="0">
      <text>
        <r>
          <rPr>
            <sz val="9"/>
            <color indexed="81"/>
            <rFont val="Tahoma"/>
            <family val="2"/>
          </rPr>
          <t xml:space="preserve">Length of the lower arm of the CI on proportion </t>
        </r>
        <r>
          <rPr>
            <i/>
            <sz val="10"/>
            <color indexed="81"/>
            <rFont val="Tahoma"/>
            <family val="2"/>
          </rPr>
          <t>P</t>
        </r>
        <r>
          <rPr>
            <sz val="9"/>
            <color indexed="81"/>
            <rFont val="Tahoma"/>
            <family val="2"/>
          </rPr>
          <t xml:space="preserve">
</t>
        </r>
      </text>
    </comment>
    <comment ref="L20" authorId="0">
      <text>
        <r>
          <rPr>
            <sz val="9"/>
            <color indexed="81"/>
            <rFont val="Tahoma"/>
            <family val="2"/>
          </rPr>
          <t xml:space="preserve">Length of the upper arm of the CI on proportion </t>
        </r>
        <r>
          <rPr>
            <i/>
            <sz val="10"/>
            <color indexed="81"/>
            <rFont val="Tahoma"/>
            <family val="2"/>
          </rPr>
          <t>P</t>
        </r>
        <r>
          <rPr>
            <sz val="9"/>
            <color indexed="81"/>
            <rFont val="Tahoma"/>
            <family val="2"/>
          </rPr>
          <t xml:space="preserve">
</t>
        </r>
      </text>
    </comment>
    <comment ref="G21" authorId="0">
      <text>
        <r>
          <rPr>
            <sz val="9"/>
            <color indexed="81"/>
            <rFont val="Tahoma"/>
            <family val="2"/>
          </rPr>
          <t xml:space="preserve">Average of upper MoE and lower MoE. In other words, average length of the lower and upper arms of the CI on proportion </t>
        </r>
        <r>
          <rPr>
            <i/>
            <sz val="10"/>
            <color indexed="81"/>
            <rFont val="Tahoma"/>
            <family val="2"/>
          </rPr>
          <t>P</t>
        </r>
        <r>
          <rPr>
            <sz val="9"/>
            <color indexed="81"/>
            <rFont val="Tahoma"/>
            <family val="2"/>
          </rPr>
          <t>.
______________
MoE</t>
        </r>
        <r>
          <rPr>
            <vertAlign val="subscript"/>
            <sz val="11"/>
            <color indexed="81"/>
            <rFont val="Tahoma"/>
            <family val="2"/>
          </rPr>
          <t>av</t>
        </r>
        <r>
          <rPr>
            <sz val="9"/>
            <color indexed="81"/>
            <rFont val="Tahoma"/>
            <family val="2"/>
          </rPr>
          <t xml:space="preserve"> is a measure of precision.
</t>
        </r>
      </text>
    </comment>
    <comment ref="D25" authorId="0">
      <text>
        <r>
          <rPr>
            <sz val="9"/>
            <color indexed="81"/>
            <rFont val="Tahoma"/>
            <family val="2"/>
          </rPr>
          <t xml:space="preserve">Display a red horizontal line to mark </t>
        </r>
        <r>
          <rPr>
            <sz val="12"/>
            <color indexed="81"/>
            <rFont val="Symbol"/>
            <family val="1"/>
            <charset val="2"/>
          </rPr>
          <t>P</t>
        </r>
        <r>
          <rPr>
            <vertAlign val="subscript"/>
            <sz val="12"/>
            <color indexed="81"/>
            <rFont val="Tahoma"/>
            <family val="2"/>
          </rPr>
          <t>0</t>
        </r>
        <r>
          <rPr>
            <sz val="9"/>
            <color indexed="81"/>
            <rFont val="Tahoma"/>
            <family val="2"/>
          </rPr>
          <t xml:space="preserve">, the null hypothesis value for the population porportion, and show the </t>
        </r>
        <r>
          <rPr>
            <i/>
            <sz val="10"/>
            <color indexed="81"/>
            <rFont val="Tahoma"/>
            <family val="2"/>
          </rPr>
          <t>p</t>
        </r>
        <r>
          <rPr>
            <sz val="9"/>
            <color indexed="81"/>
            <rFont val="Tahoma"/>
            <family val="2"/>
          </rPr>
          <t xml:space="preserve"> value for testing that hypothesis. 
</t>
        </r>
      </text>
    </comment>
    <comment ref="K26" authorId="0">
      <text>
        <r>
          <rPr>
            <sz val="9"/>
            <color indexed="81"/>
            <rFont val="Tahoma"/>
            <family val="2"/>
          </rPr>
          <t xml:space="preserve">Click to display a red horizontal line to mark </t>
        </r>
        <r>
          <rPr>
            <sz val="12"/>
            <color indexed="81"/>
            <rFont val="Symbol"/>
            <family val="1"/>
            <charset val="2"/>
          </rPr>
          <t>P</t>
        </r>
        <r>
          <rPr>
            <vertAlign val="subscript"/>
            <sz val="12"/>
            <color indexed="81"/>
            <rFont val="Tahoma"/>
            <family val="2"/>
          </rPr>
          <t>0</t>
        </r>
        <r>
          <rPr>
            <sz val="9"/>
            <color indexed="81"/>
            <rFont val="Tahoma"/>
            <family val="2"/>
          </rPr>
          <t xml:space="preserve">, and show the </t>
        </r>
        <r>
          <rPr>
            <i/>
            <sz val="10"/>
            <color indexed="81"/>
            <rFont val="Tahoma"/>
            <family val="2"/>
          </rPr>
          <t>p</t>
        </r>
        <r>
          <rPr>
            <sz val="9"/>
            <color indexed="81"/>
            <rFont val="Tahoma"/>
            <family val="2"/>
          </rPr>
          <t xml:space="preserve"> value for testing that null hypothesis, for the current proportion, </t>
        </r>
        <r>
          <rPr>
            <i/>
            <sz val="10"/>
            <color indexed="81"/>
            <rFont val="Tahoma"/>
            <family val="2"/>
          </rPr>
          <t>P</t>
        </r>
        <r>
          <rPr>
            <sz val="9"/>
            <color indexed="81"/>
            <rFont val="Tahoma"/>
            <family val="2"/>
          </rPr>
          <t xml:space="preserve">.
___________
It may be necessary to click the button to calculate the </t>
        </r>
        <r>
          <rPr>
            <i/>
            <sz val="10"/>
            <color indexed="81"/>
            <rFont val="Tahoma"/>
            <family val="2"/>
          </rPr>
          <t>p</t>
        </r>
        <r>
          <rPr>
            <sz val="9"/>
            <color indexed="81"/>
            <rFont val="Tahoma"/>
            <family val="2"/>
          </rPr>
          <t xml:space="preserve"> value.</t>
        </r>
      </text>
    </comment>
    <comment ref="G28" authorId="0">
      <text>
        <r>
          <rPr>
            <sz val="9"/>
            <color indexed="81"/>
            <rFont val="Tahoma"/>
            <family val="2"/>
          </rPr>
          <t xml:space="preserve">If the value of </t>
        </r>
        <r>
          <rPr>
            <i/>
            <sz val="9"/>
            <color indexed="81"/>
            <rFont val="Tahoma"/>
            <family val="2"/>
          </rPr>
          <t>X</t>
        </r>
        <r>
          <rPr>
            <sz val="9"/>
            <color indexed="81"/>
            <rFont val="Tahoma"/>
            <family val="2"/>
          </rPr>
          <t xml:space="preserve"> or </t>
        </r>
        <r>
          <rPr>
            <i/>
            <sz val="9"/>
            <color indexed="81"/>
            <rFont val="Tahoma"/>
            <family val="2"/>
          </rPr>
          <t>N</t>
        </r>
        <r>
          <rPr>
            <sz val="9"/>
            <color indexed="81"/>
            <rFont val="Tahoma"/>
            <family val="2"/>
          </rPr>
          <t xml:space="preserve"> is typed in (rather than set using a spinner), click button to calculate the </t>
        </r>
        <r>
          <rPr>
            <i/>
            <sz val="10"/>
            <color indexed="81"/>
            <rFont val="Tahoma"/>
            <family val="2"/>
          </rPr>
          <t>p</t>
        </r>
        <r>
          <rPr>
            <sz val="9"/>
            <color indexed="81"/>
            <rFont val="Tahoma"/>
            <family val="2"/>
          </rPr>
          <t xml:space="preserve"> value.</t>
        </r>
        <r>
          <rPr>
            <sz val="9"/>
            <color indexed="81"/>
            <rFont val="Tahoma"/>
            <family val="2"/>
          </rPr>
          <t xml:space="preserve">
</t>
        </r>
      </text>
    </comment>
    <comment ref="E30" authorId="0">
      <text>
        <r>
          <rPr>
            <sz val="9"/>
            <color indexed="81"/>
            <rFont val="Tahoma"/>
            <family val="2"/>
          </rPr>
          <t xml:space="preserve">The </t>
        </r>
        <r>
          <rPr>
            <i/>
            <sz val="10"/>
            <color indexed="81"/>
            <rFont val="Tahoma"/>
            <family val="2"/>
          </rPr>
          <t>p</t>
        </r>
        <r>
          <rPr>
            <sz val="9"/>
            <color indexed="81"/>
            <rFont val="Tahoma"/>
            <family val="2"/>
          </rPr>
          <t xml:space="preserve"> value for testing the null hypothesis that the population proportion is </t>
        </r>
        <r>
          <rPr>
            <sz val="12"/>
            <color indexed="81"/>
            <rFont val="Symbol"/>
            <family val="1"/>
            <charset val="2"/>
          </rPr>
          <t>P</t>
        </r>
        <r>
          <rPr>
            <vertAlign val="subscript"/>
            <sz val="12"/>
            <color indexed="81"/>
            <rFont val="Tahoma"/>
            <family val="2"/>
          </rPr>
          <t>0</t>
        </r>
        <r>
          <rPr>
            <sz val="9"/>
            <color indexed="81"/>
            <rFont val="Tahoma"/>
            <family val="2"/>
          </rPr>
          <t xml:space="preserve">.
_______________
The </t>
        </r>
        <r>
          <rPr>
            <i/>
            <sz val="10"/>
            <color indexed="81"/>
            <rFont val="Tahoma"/>
            <family val="2"/>
          </rPr>
          <t>p</t>
        </r>
        <r>
          <rPr>
            <sz val="9"/>
            <color indexed="81"/>
            <rFont val="Tahoma"/>
            <family val="2"/>
          </rPr>
          <t xml:space="preserve"> value is two-tailed. It may be necessary to click button to see </t>
        </r>
        <r>
          <rPr>
            <i/>
            <sz val="10"/>
            <color indexed="81"/>
            <rFont val="Tahoma"/>
            <family val="2"/>
          </rPr>
          <t>p</t>
        </r>
        <r>
          <rPr>
            <sz val="9"/>
            <color indexed="81"/>
            <rFont val="Tahoma"/>
            <family val="2"/>
          </rPr>
          <t>.</t>
        </r>
      </text>
    </comment>
    <comment ref="K30" authorId="0">
      <text>
        <r>
          <rPr>
            <sz val="9"/>
            <color indexed="81"/>
            <rFont val="Tahoma"/>
            <family val="2"/>
          </rPr>
          <t xml:space="preserve">Use the small slider at right to set </t>
        </r>
        <r>
          <rPr>
            <sz val="12"/>
            <color indexed="81"/>
            <rFont val="Symbol"/>
            <family val="1"/>
            <charset val="2"/>
          </rPr>
          <t>P</t>
        </r>
        <r>
          <rPr>
            <vertAlign val="subscript"/>
            <sz val="12"/>
            <color indexed="81"/>
            <rFont val="Tahoma"/>
            <family val="2"/>
          </rPr>
          <t>0</t>
        </r>
        <r>
          <rPr>
            <sz val="9"/>
            <color indexed="81"/>
            <rFont val="Tahoma"/>
            <family val="2"/>
          </rPr>
          <t xml:space="preserve">, the null hypothesis value of the population proportion.
</t>
        </r>
      </text>
    </comment>
  </commentList>
</comments>
</file>

<file path=xl/comments9.xml><?xml version="1.0" encoding="utf-8"?>
<comments xmlns="http://schemas.openxmlformats.org/spreadsheetml/2006/main">
  <authors>
    <author>Geoff Cumming</author>
  </authors>
  <commentList>
    <comment ref="T1" authorId="0">
      <text>
        <r>
          <rPr>
            <sz val="9"/>
            <color indexed="81"/>
            <rFont val="Tahoma"/>
            <family val="2"/>
          </rPr>
          <t>Confidence level, in %
Min 1, max 99.9
Use the spinner, or type in a value.</t>
        </r>
      </text>
    </comment>
    <comment ref="U3" authorId="0">
      <text>
        <r>
          <rPr>
            <sz val="9"/>
            <color indexed="81"/>
            <rFont val="Tahoma"/>
            <family val="2"/>
          </rPr>
          <t>Confidence level, in %
Min 1, max 99.9
Use the spinner, or type in a value.</t>
        </r>
      </text>
    </comment>
    <comment ref="E6" authorId="0">
      <text>
        <r>
          <rPr>
            <sz val="9"/>
            <color indexed="81"/>
            <rFont val="Tahoma"/>
            <family val="2"/>
          </rPr>
          <t>Information about (</t>
        </r>
        <r>
          <rPr>
            <i/>
            <sz val="10"/>
            <color indexed="81"/>
            <rFont val="Tahoma"/>
            <family val="2"/>
          </rPr>
          <t>P</t>
        </r>
        <r>
          <rPr>
            <vertAlign val="subscript"/>
            <sz val="10"/>
            <color indexed="81"/>
            <rFont val="Tahoma"/>
            <family val="2"/>
          </rPr>
          <t>2</t>
        </r>
        <r>
          <rPr>
            <sz val="10"/>
            <color indexed="81"/>
            <rFont val="Tahoma"/>
            <family val="2"/>
          </rPr>
          <t xml:space="preserve"> - </t>
        </r>
        <r>
          <rPr>
            <i/>
            <sz val="10"/>
            <color indexed="81"/>
            <rFont val="Tahoma"/>
            <family val="2"/>
          </rPr>
          <t>P</t>
        </r>
        <r>
          <rPr>
            <vertAlign val="subscript"/>
            <sz val="10"/>
            <color indexed="81"/>
            <rFont val="Tahoma"/>
            <family val="2"/>
          </rPr>
          <t>1</t>
        </r>
        <r>
          <rPr>
            <sz val="9"/>
            <color indexed="81"/>
            <rFont val="Tahoma"/>
            <family val="2"/>
          </rPr>
          <t xml:space="preserve">), the difference between the two independent proportions
</t>
        </r>
      </text>
    </comment>
    <comment ref="M6" authorId="0">
      <text>
        <r>
          <rPr>
            <sz val="9"/>
            <color indexed="81"/>
            <rFont val="Tahoma"/>
            <family val="2"/>
          </rPr>
          <t xml:space="preserve">Set chosen values of and </t>
        </r>
        <r>
          <rPr>
            <i/>
            <sz val="10"/>
            <color indexed="81"/>
            <rFont val="Tahoma"/>
            <family val="2"/>
          </rPr>
          <t>X</t>
        </r>
        <r>
          <rPr>
            <vertAlign val="subscript"/>
            <sz val="10"/>
            <color indexed="81"/>
            <rFont val="Tahoma"/>
            <family val="2"/>
          </rPr>
          <t>1</t>
        </r>
        <r>
          <rPr>
            <sz val="9"/>
            <color indexed="81"/>
            <rFont val="Tahoma"/>
            <family val="2"/>
          </rPr>
          <t xml:space="preserve"> and </t>
        </r>
        <r>
          <rPr>
            <i/>
            <sz val="10"/>
            <color indexed="81"/>
            <rFont val="Tahoma"/>
            <family val="2"/>
          </rPr>
          <t>N</t>
        </r>
        <r>
          <rPr>
            <vertAlign val="subscript"/>
            <sz val="10"/>
            <color indexed="81"/>
            <rFont val="Tahoma"/>
            <family val="2"/>
          </rPr>
          <t>1</t>
        </r>
      </text>
    </comment>
    <comment ref="T6" authorId="0">
      <text>
        <r>
          <rPr>
            <sz val="9"/>
            <color indexed="81"/>
            <rFont val="Tahoma"/>
            <family val="2"/>
          </rPr>
          <t xml:space="preserve">Set chosen values of and </t>
        </r>
        <r>
          <rPr>
            <i/>
            <sz val="10"/>
            <color indexed="81"/>
            <rFont val="Tahoma"/>
            <family val="2"/>
          </rPr>
          <t>X</t>
        </r>
        <r>
          <rPr>
            <vertAlign val="subscript"/>
            <sz val="10"/>
            <color indexed="81"/>
            <rFont val="Tahoma"/>
            <family val="2"/>
          </rPr>
          <t>2</t>
        </r>
        <r>
          <rPr>
            <sz val="9"/>
            <color indexed="81"/>
            <rFont val="Tahoma"/>
            <family val="2"/>
          </rPr>
          <t xml:space="preserve"> and </t>
        </r>
        <r>
          <rPr>
            <i/>
            <sz val="10"/>
            <color indexed="81"/>
            <rFont val="Tahoma"/>
            <family val="2"/>
          </rPr>
          <t>N</t>
        </r>
        <r>
          <rPr>
            <vertAlign val="subscript"/>
            <sz val="10"/>
            <color indexed="81"/>
            <rFont val="Tahoma"/>
            <family val="2"/>
          </rPr>
          <t>2</t>
        </r>
      </text>
    </comment>
    <comment ref="J7" authorId="0">
      <text>
        <r>
          <rPr>
            <sz val="9"/>
            <color indexed="81"/>
            <rFont val="Tahoma"/>
            <family val="2"/>
          </rPr>
          <t>Display a difference axis, the difference, and the CI on the difference</t>
        </r>
      </text>
    </comment>
    <comment ref="N9" authorId="0">
      <text>
        <r>
          <rPr>
            <sz val="9"/>
            <color indexed="81"/>
            <rFont val="Tahoma"/>
            <family val="2"/>
          </rPr>
          <t xml:space="preserve">Set </t>
        </r>
        <r>
          <rPr>
            <i/>
            <sz val="10"/>
            <color indexed="81"/>
            <rFont val="Tahoma"/>
            <family val="2"/>
          </rPr>
          <t>X</t>
        </r>
        <r>
          <rPr>
            <vertAlign val="subscript"/>
            <sz val="10"/>
            <color indexed="81"/>
            <rFont val="Tahoma"/>
            <family val="2"/>
          </rPr>
          <t>1</t>
        </r>
        <r>
          <rPr>
            <sz val="9"/>
            <color indexed="81"/>
            <rFont val="Tahoma"/>
            <family val="2"/>
          </rPr>
          <t xml:space="preserve"> by using spinner or typing in a value.  
Min 0, max </t>
        </r>
        <r>
          <rPr>
            <i/>
            <sz val="10"/>
            <color indexed="81"/>
            <rFont val="Tahoma"/>
            <family val="2"/>
          </rPr>
          <t>N</t>
        </r>
        <r>
          <rPr>
            <vertAlign val="subscript"/>
            <sz val="10"/>
            <color indexed="81"/>
            <rFont val="Tahoma"/>
            <family val="2"/>
          </rPr>
          <t>1</t>
        </r>
        <r>
          <rPr>
            <sz val="9"/>
            <color indexed="81"/>
            <rFont val="Tahoma"/>
            <family val="2"/>
          </rPr>
          <t xml:space="preserve">.
__________
If </t>
        </r>
        <r>
          <rPr>
            <i/>
            <sz val="10"/>
            <color indexed="81"/>
            <rFont val="Tahoma"/>
            <family val="2"/>
          </rPr>
          <t>X</t>
        </r>
        <r>
          <rPr>
            <vertAlign val="subscript"/>
            <sz val="10"/>
            <color indexed="81"/>
            <rFont val="Tahoma"/>
            <family val="2"/>
          </rPr>
          <t>1</t>
        </r>
        <r>
          <rPr>
            <sz val="9"/>
            <color indexed="81"/>
            <rFont val="Tahoma"/>
            <family val="2"/>
          </rPr>
          <t xml:space="preserve"> &gt; </t>
        </r>
        <r>
          <rPr>
            <i/>
            <sz val="10"/>
            <color indexed="81"/>
            <rFont val="Tahoma"/>
            <family val="2"/>
          </rPr>
          <t>N</t>
        </r>
        <r>
          <rPr>
            <vertAlign val="subscript"/>
            <sz val="10"/>
            <color indexed="81"/>
            <rFont val="Tahoma"/>
            <family val="2"/>
          </rPr>
          <t>1</t>
        </r>
        <r>
          <rPr>
            <sz val="9"/>
            <color indexed="81"/>
            <rFont val="Tahoma"/>
            <family val="2"/>
          </rPr>
          <t xml:space="preserve"> is typed in, proportion </t>
        </r>
        <r>
          <rPr>
            <i/>
            <sz val="10"/>
            <color indexed="81"/>
            <rFont val="Tahoma"/>
            <family val="2"/>
          </rPr>
          <t>P</t>
        </r>
        <r>
          <rPr>
            <vertAlign val="subscript"/>
            <sz val="10"/>
            <color indexed="81"/>
            <rFont val="Tahoma"/>
            <family val="2"/>
          </rPr>
          <t>1</t>
        </r>
        <r>
          <rPr>
            <sz val="9"/>
            <color indexed="81"/>
            <rFont val="Tahoma"/>
            <family val="2"/>
          </rPr>
          <t xml:space="preserve"> and other values are blank. Click a spinner to correct.</t>
        </r>
      </text>
    </comment>
    <comment ref="Q9" authorId="0">
      <text>
        <r>
          <rPr>
            <sz val="9"/>
            <color indexed="81"/>
            <rFont val="Tahoma"/>
            <family val="2"/>
          </rPr>
          <t xml:space="preserve">The proportion, </t>
        </r>
        <r>
          <rPr>
            <i/>
            <sz val="10"/>
            <color indexed="81"/>
            <rFont val="Tahoma"/>
            <family val="2"/>
          </rPr>
          <t>P</t>
        </r>
        <r>
          <rPr>
            <vertAlign val="subscript"/>
            <sz val="10"/>
            <color indexed="81"/>
            <rFont val="Tahoma"/>
            <family val="2"/>
          </rPr>
          <t>1</t>
        </r>
      </text>
    </comment>
    <comment ref="U9" authorId="0">
      <text>
        <r>
          <rPr>
            <sz val="9"/>
            <color indexed="81"/>
            <rFont val="Tahoma"/>
            <family val="2"/>
          </rPr>
          <t xml:space="preserve">Set </t>
        </r>
        <r>
          <rPr>
            <i/>
            <sz val="10"/>
            <color indexed="81"/>
            <rFont val="Tahoma"/>
            <family val="2"/>
          </rPr>
          <t>X</t>
        </r>
        <r>
          <rPr>
            <vertAlign val="subscript"/>
            <sz val="10"/>
            <color indexed="81"/>
            <rFont val="Tahoma"/>
            <family val="2"/>
          </rPr>
          <t>2</t>
        </r>
        <r>
          <rPr>
            <sz val="9"/>
            <color indexed="81"/>
            <rFont val="Tahoma"/>
            <family val="2"/>
          </rPr>
          <t xml:space="preserve"> by using spinner or typing in a value.  
Min 0, max </t>
        </r>
        <r>
          <rPr>
            <i/>
            <sz val="10"/>
            <color indexed="81"/>
            <rFont val="Tahoma"/>
            <family val="2"/>
          </rPr>
          <t>N</t>
        </r>
        <r>
          <rPr>
            <vertAlign val="subscript"/>
            <sz val="10"/>
            <color indexed="81"/>
            <rFont val="Tahoma"/>
            <family val="2"/>
          </rPr>
          <t>1</t>
        </r>
        <r>
          <rPr>
            <sz val="9"/>
            <color indexed="81"/>
            <rFont val="Tahoma"/>
            <family val="2"/>
          </rPr>
          <t xml:space="preserve">.
__________
If </t>
        </r>
        <r>
          <rPr>
            <i/>
            <sz val="10"/>
            <color indexed="81"/>
            <rFont val="Tahoma"/>
            <family val="2"/>
          </rPr>
          <t>X</t>
        </r>
        <r>
          <rPr>
            <vertAlign val="subscript"/>
            <sz val="10"/>
            <color indexed="81"/>
            <rFont val="Tahoma"/>
            <family val="2"/>
          </rPr>
          <t>2</t>
        </r>
        <r>
          <rPr>
            <sz val="9"/>
            <color indexed="81"/>
            <rFont val="Tahoma"/>
            <family val="2"/>
          </rPr>
          <t xml:space="preserve"> &gt; </t>
        </r>
        <r>
          <rPr>
            <i/>
            <sz val="10"/>
            <color indexed="81"/>
            <rFont val="Tahoma"/>
            <family val="2"/>
          </rPr>
          <t>N</t>
        </r>
        <r>
          <rPr>
            <vertAlign val="subscript"/>
            <sz val="10"/>
            <color indexed="81"/>
            <rFont val="Tahoma"/>
            <family val="2"/>
          </rPr>
          <t>2</t>
        </r>
        <r>
          <rPr>
            <sz val="9"/>
            <color indexed="81"/>
            <rFont val="Tahoma"/>
            <family val="2"/>
          </rPr>
          <t xml:space="preserve"> is typed in, proportion </t>
        </r>
        <r>
          <rPr>
            <i/>
            <sz val="10"/>
            <color indexed="81"/>
            <rFont val="Tahoma"/>
            <family val="2"/>
          </rPr>
          <t>P</t>
        </r>
        <r>
          <rPr>
            <vertAlign val="subscript"/>
            <sz val="10"/>
            <color indexed="81"/>
            <rFont val="Tahoma"/>
            <family val="2"/>
          </rPr>
          <t>2</t>
        </r>
        <r>
          <rPr>
            <sz val="9"/>
            <color indexed="81"/>
            <rFont val="Tahoma"/>
            <family val="2"/>
          </rPr>
          <t xml:space="preserve"> and other values are blank. Click a spinner to correct.</t>
        </r>
      </text>
    </comment>
    <comment ref="X9" authorId="0">
      <text>
        <r>
          <rPr>
            <sz val="9"/>
            <color indexed="81"/>
            <rFont val="Tahoma"/>
            <family val="2"/>
          </rPr>
          <t xml:space="preserve">The proportion, </t>
        </r>
        <r>
          <rPr>
            <i/>
            <sz val="10"/>
            <color indexed="81"/>
            <rFont val="Tahoma"/>
            <family val="2"/>
          </rPr>
          <t>P</t>
        </r>
        <r>
          <rPr>
            <vertAlign val="subscript"/>
            <sz val="10"/>
            <color indexed="81"/>
            <rFont val="Tahoma"/>
            <family val="2"/>
          </rPr>
          <t>2</t>
        </r>
      </text>
    </comment>
    <comment ref="J11" authorId="0">
      <text>
        <r>
          <rPr>
            <sz val="9"/>
            <color indexed="81"/>
            <rFont val="Tahoma"/>
            <family val="2"/>
          </rPr>
          <t>The CI on the difference between the two proportions (</t>
        </r>
        <r>
          <rPr>
            <i/>
            <sz val="10"/>
            <color indexed="81"/>
            <rFont val="Tahoma"/>
            <family val="2"/>
          </rPr>
          <t>P</t>
        </r>
        <r>
          <rPr>
            <vertAlign val="subscript"/>
            <sz val="10"/>
            <color indexed="81"/>
            <rFont val="Tahoma"/>
            <family val="2"/>
          </rPr>
          <t>2</t>
        </r>
        <r>
          <rPr>
            <sz val="10"/>
            <color indexed="81"/>
            <rFont val="Tahoma"/>
            <family val="2"/>
          </rPr>
          <t xml:space="preserve"> - </t>
        </r>
        <r>
          <rPr>
            <i/>
            <sz val="10"/>
            <color indexed="81"/>
            <rFont val="Tahoma"/>
            <family val="2"/>
          </rPr>
          <t>P</t>
        </r>
        <r>
          <rPr>
            <vertAlign val="subscript"/>
            <sz val="10"/>
            <color indexed="81"/>
            <rFont val="Tahoma"/>
            <family val="2"/>
          </rPr>
          <t>1</t>
        </r>
        <r>
          <rPr>
            <sz val="9"/>
            <color indexed="81"/>
            <rFont val="Tahoma"/>
            <family val="2"/>
          </rPr>
          <t xml:space="preserve">).
</t>
        </r>
      </text>
    </comment>
    <comment ref="N11" authorId="0">
      <text>
        <r>
          <rPr>
            <sz val="9"/>
            <color indexed="81"/>
            <rFont val="Tahoma"/>
            <family val="2"/>
          </rPr>
          <t xml:space="preserve">Set </t>
        </r>
        <r>
          <rPr>
            <i/>
            <sz val="10"/>
            <color indexed="81"/>
            <rFont val="Tahoma"/>
            <family val="2"/>
          </rPr>
          <t>N</t>
        </r>
        <r>
          <rPr>
            <vertAlign val="subscript"/>
            <sz val="10"/>
            <color indexed="81"/>
            <rFont val="Tahoma"/>
            <family val="2"/>
          </rPr>
          <t>1</t>
        </r>
        <r>
          <rPr>
            <sz val="9"/>
            <color indexed="81"/>
            <rFont val="Tahoma"/>
            <family val="2"/>
          </rPr>
          <t xml:space="preserve"> by using spinner or typing in a value.  
Min 2, max 1000.
____________
If </t>
        </r>
        <r>
          <rPr>
            <i/>
            <sz val="10"/>
            <color indexed="81"/>
            <rFont val="Tahoma"/>
            <family val="2"/>
          </rPr>
          <t>X</t>
        </r>
        <r>
          <rPr>
            <vertAlign val="subscript"/>
            <sz val="10"/>
            <color indexed="81"/>
            <rFont val="Tahoma"/>
            <family val="2"/>
          </rPr>
          <t>1</t>
        </r>
        <r>
          <rPr>
            <sz val="9"/>
            <color indexed="81"/>
            <rFont val="Tahoma"/>
            <family val="2"/>
          </rPr>
          <t xml:space="preserve"> &gt; </t>
        </r>
        <r>
          <rPr>
            <i/>
            <sz val="10"/>
            <color indexed="81"/>
            <rFont val="Tahoma"/>
            <family val="2"/>
          </rPr>
          <t>N</t>
        </r>
        <r>
          <rPr>
            <vertAlign val="subscript"/>
            <sz val="10"/>
            <color indexed="81"/>
            <rFont val="Tahoma"/>
            <family val="2"/>
          </rPr>
          <t>1</t>
        </r>
        <r>
          <rPr>
            <sz val="9"/>
            <color indexed="81"/>
            <rFont val="Tahoma"/>
            <family val="2"/>
          </rPr>
          <t xml:space="preserve"> is typed in, proportion </t>
        </r>
        <r>
          <rPr>
            <i/>
            <sz val="10"/>
            <color indexed="81"/>
            <rFont val="Tahoma"/>
            <family val="2"/>
          </rPr>
          <t>P</t>
        </r>
        <r>
          <rPr>
            <vertAlign val="subscript"/>
            <sz val="10"/>
            <color indexed="81"/>
            <rFont val="Tahoma"/>
            <family val="2"/>
          </rPr>
          <t>1</t>
        </r>
        <r>
          <rPr>
            <sz val="9"/>
            <color indexed="81"/>
            <rFont val="Tahoma"/>
            <family val="2"/>
          </rPr>
          <t xml:space="preserve"> and other values are blank. Click a spinner to correct.</t>
        </r>
      </text>
    </comment>
    <comment ref="U11" authorId="0">
      <text>
        <r>
          <rPr>
            <sz val="9"/>
            <color indexed="81"/>
            <rFont val="Tahoma"/>
            <family val="2"/>
          </rPr>
          <t xml:space="preserve">Set </t>
        </r>
        <r>
          <rPr>
            <i/>
            <sz val="10"/>
            <color indexed="81"/>
            <rFont val="Tahoma"/>
            <family val="2"/>
          </rPr>
          <t>N</t>
        </r>
        <r>
          <rPr>
            <vertAlign val="subscript"/>
            <sz val="10"/>
            <color indexed="81"/>
            <rFont val="Tahoma"/>
            <family val="2"/>
          </rPr>
          <t>2</t>
        </r>
        <r>
          <rPr>
            <sz val="9"/>
            <color indexed="81"/>
            <rFont val="Tahoma"/>
            <family val="2"/>
          </rPr>
          <t xml:space="preserve"> by using spinner or typing in a value.  
Min 2, max 1000.
_________
If </t>
        </r>
        <r>
          <rPr>
            <i/>
            <sz val="10"/>
            <color indexed="81"/>
            <rFont val="Tahoma"/>
            <family val="2"/>
          </rPr>
          <t>X</t>
        </r>
        <r>
          <rPr>
            <vertAlign val="subscript"/>
            <sz val="10"/>
            <color indexed="81"/>
            <rFont val="Tahoma"/>
            <family val="2"/>
          </rPr>
          <t>2</t>
        </r>
        <r>
          <rPr>
            <sz val="9"/>
            <color indexed="81"/>
            <rFont val="Tahoma"/>
            <family val="2"/>
          </rPr>
          <t xml:space="preserve"> &gt; </t>
        </r>
        <r>
          <rPr>
            <i/>
            <sz val="10"/>
            <color indexed="81"/>
            <rFont val="Tahoma"/>
            <family val="2"/>
          </rPr>
          <t>N</t>
        </r>
        <r>
          <rPr>
            <vertAlign val="subscript"/>
            <sz val="10"/>
            <color indexed="81"/>
            <rFont val="Tahoma"/>
            <family val="2"/>
          </rPr>
          <t>2</t>
        </r>
        <r>
          <rPr>
            <sz val="9"/>
            <color indexed="81"/>
            <rFont val="Tahoma"/>
            <family val="2"/>
          </rPr>
          <t xml:space="preserve"> is typed in, proportion </t>
        </r>
        <r>
          <rPr>
            <i/>
            <sz val="10"/>
            <color indexed="81"/>
            <rFont val="Tahoma"/>
            <family val="2"/>
          </rPr>
          <t>P</t>
        </r>
        <r>
          <rPr>
            <vertAlign val="subscript"/>
            <sz val="10"/>
            <color indexed="81"/>
            <rFont val="Tahoma"/>
            <family val="2"/>
          </rPr>
          <t>2</t>
        </r>
        <r>
          <rPr>
            <sz val="9"/>
            <color indexed="81"/>
            <rFont val="Tahoma"/>
            <family val="2"/>
          </rPr>
          <t xml:space="preserve"> and other values are blank. Click a spinner to correct.</t>
        </r>
      </text>
    </comment>
    <comment ref="H15" authorId="0">
      <text>
        <r>
          <rPr>
            <sz val="9"/>
            <color indexed="81"/>
            <rFont val="Tahoma"/>
            <family val="2"/>
          </rPr>
          <t>Length of the lower arm of the CI on the difference, (</t>
        </r>
        <r>
          <rPr>
            <i/>
            <sz val="10"/>
            <color indexed="81"/>
            <rFont val="Tahoma"/>
            <family val="2"/>
          </rPr>
          <t>P</t>
        </r>
        <r>
          <rPr>
            <vertAlign val="subscript"/>
            <sz val="10"/>
            <color indexed="81"/>
            <rFont val="Tahoma"/>
            <family val="2"/>
          </rPr>
          <t>2</t>
        </r>
        <r>
          <rPr>
            <sz val="10"/>
            <color indexed="81"/>
            <rFont val="Tahoma"/>
            <family val="2"/>
          </rPr>
          <t xml:space="preserve"> - </t>
        </r>
        <r>
          <rPr>
            <i/>
            <sz val="10"/>
            <color indexed="81"/>
            <rFont val="Tahoma"/>
            <family val="2"/>
          </rPr>
          <t>P</t>
        </r>
        <r>
          <rPr>
            <vertAlign val="subscript"/>
            <sz val="10"/>
            <color indexed="81"/>
            <rFont val="Tahoma"/>
            <family val="2"/>
          </rPr>
          <t>1</t>
        </r>
        <r>
          <rPr>
            <sz val="9"/>
            <color indexed="81"/>
            <rFont val="Tahoma"/>
            <family val="2"/>
          </rPr>
          <t xml:space="preserve">) 
</t>
        </r>
      </text>
    </comment>
    <comment ref="J15" authorId="0">
      <text>
        <r>
          <rPr>
            <sz val="9"/>
            <color indexed="81"/>
            <rFont val="Tahoma"/>
            <family val="2"/>
          </rPr>
          <t>Length of the upper arm of the CI on the difference, (</t>
        </r>
        <r>
          <rPr>
            <i/>
            <sz val="10"/>
            <color indexed="81"/>
            <rFont val="Tahoma"/>
            <family val="2"/>
          </rPr>
          <t>P</t>
        </r>
        <r>
          <rPr>
            <vertAlign val="subscript"/>
            <sz val="10"/>
            <color indexed="81"/>
            <rFont val="Tahoma"/>
            <family val="2"/>
          </rPr>
          <t>2</t>
        </r>
        <r>
          <rPr>
            <sz val="10"/>
            <color indexed="81"/>
            <rFont val="Tahoma"/>
            <family val="2"/>
          </rPr>
          <t xml:space="preserve"> - </t>
        </r>
        <r>
          <rPr>
            <i/>
            <sz val="10"/>
            <color indexed="81"/>
            <rFont val="Tahoma"/>
            <family val="2"/>
          </rPr>
          <t>P</t>
        </r>
        <r>
          <rPr>
            <vertAlign val="subscript"/>
            <sz val="10"/>
            <color indexed="81"/>
            <rFont val="Tahoma"/>
            <family val="2"/>
          </rPr>
          <t>1</t>
        </r>
        <r>
          <rPr>
            <sz val="9"/>
            <color indexed="81"/>
            <rFont val="Tahoma"/>
            <family val="2"/>
          </rPr>
          <t xml:space="preserve">) 
</t>
        </r>
      </text>
    </comment>
    <comment ref="M15" authorId="0">
      <text>
        <r>
          <rPr>
            <sz val="9"/>
            <color indexed="81"/>
            <rFont val="Tahoma"/>
            <family val="2"/>
          </rPr>
          <t xml:space="preserve">Information about the CI on proportion </t>
        </r>
        <r>
          <rPr>
            <i/>
            <sz val="10"/>
            <color indexed="81"/>
            <rFont val="Tahoma"/>
            <family val="2"/>
          </rPr>
          <t>P</t>
        </r>
        <r>
          <rPr>
            <vertAlign val="subscript"/>
            <sz val="10"/>
            <color indexed="81"/>
            <rFont val="Tahoma"/>
            <family val="2"/>
          </rPr>
          <t>1</t>
        </r>
        <r>
          <rPr>
            <sz val="9"/>
            <color indexed="81"/>
            <rFont val="Tahoma"/>
            <family val="2"/>
          </rPr>
          <t xml:space="preserve">
</t>
        </r>
      </text>
    </comment>
    <comment ref="T15" authorId="0">
      <text>
        <r>
          <rPr>
            <sz val="9"/>
            <color indexed="81"/>
            <rFont val="Tahoma"/>
            <family val="2"/>
          </rPr>
          <t xml:space="preserve">Information about the CI on proportion </t>
        </r>
        <r>
          <rPr>
            <i/>
            <sz val="10"/>
            <color indexed="81"/>
            <rFont val="Tahoma"/>
            <family val="2"/>
          </rPr>
          <t>P</t>
        </r>
        <r>
          <rPr>
            <vertAlign val="subscript"/>
            <sz val="10"/>
            <color indexed="81"/>
            <rFont val="Tahoma"/>
            <family val="2"/>
          </rPr>
          <t>2</t>
        </r>
        <r>
          <rPr>
            <sz val="9"/>
            <color indexed="81"/>
            <rFont val="Tahoma"/>
            <family val="2"/>
          </rPr>
          <t xml:space="preserve">
</t>
        </r>
      </text>
    </comment>
    <comment ref="P17" authorId="0">
      <text>
        <r>
          <rPr>
            <sz val="9"/>
            <color indexed="81"/>
            <rFont val="Tahoma"/>
            <family val="2"/>
          </rPr>
          <t xml:space="preserve">LL of the CI on proportion </t>
        </r>
        <r>
          <rPr>
            <i/>
            <sz val="10"/>
            <color indexed="81"/>
            <rFont val="Tahoma"/>
            <family val="2"/>
          </rPr>
          <t>P</t>
        </r>
        <r>
          <rPr>
            <vertAlign val="subscript"/>
            <sz val="10"/>
            <color indexed="81"/>
            <rFont val="Tahoma"/>
            <family val="2"/>
          </rPr>
          <t>1</t>
        </r>
        <r>
          <rPr>
            <sz val="9"/>
            <color indexed="81"/>
            <rFont val="Tahoma"/>
            <family val="2"/>
          </rPr>
          <t xml:space="preserve">
</t>
        </r>
      </text>
    </comment>
    <comment ref="R17" authorId="0">
      <text>
        <r>
          <rPr>
            <sz val="9"/>
            <color indexed="81"/>
            <rFont val="Tahoma"/>
            <family val="2"/>
          </rPr>
          <t xml:space="preserve">UL of the CI on proportion </t>
        </r>
        <r>
          <rPr>
            <i/>
            <sz val="10"/>
            <color indexed="81"/>
            <rFont val="Tahoma"/>
            <family val="2"/>
          </rPr>
          <t>P</t>
        </r>
        <r>
          <rPr>
            <vertAlign val="subscript"/>
            <sz val="10"/>
            <color indexed="81"/>
            <rFont val="Tahoma"/>
            <family val="2"/>
          </rPr>
          <t>1</t>
        </r>
        <r>
          <rPr>
            <sz val="9"/>
            <color indexed="81"/>
            <rFont val="Tahoma"/>
            <family val="2"/>
          </rPr>
          <t xml:space="preserve">
</t>
        </r>
      </text>
    </comment>
    <comment ref="W17" authorId="0">
      <text>
        <r>
          <rPr>
            <sz val="9"/>
            <color indexed="81"/>
            <rFont val="Tahoma"/>
            <family val="2"/>
          </rPr>
          <t xml:space="preserve">LL of the CI on proportion </t>
        </r>
        <r>
          <rPr>
            <i/>
            <sz val="10"/>
            <color indexed="81"/>
            <rFont val="Tahoma"/>
            <family val="2"/>
          </rPr>
          <t>P</t>
        </r>
        <r>
          <rPr>
            <vertAlign val="subscript"/>
            <sz val="10"/>
            <color indexed="81"/>
            <rFont val="Tahoma"/>
            <family val="2"/>
          </rPr>
          <t>2</t>
        </r>
        <r>
          <rPr>
            <sz val="9"/>
            <color indexed="81"/>
            <rFont val="Tahoma"/>
            <family val="2"/>
          </rPr>
          <t xml:space="preserve">
</t>
        </r>
      </text>
    </comment>
    <comment ref="Y17" authorId="0">
      <text>
        <r>
          <rPr>
            <sz val="9"/>
            <color indexed="81"/>
            <rFont val="Tahoma"/>
            <family val="2"/>
          </rPr>
          <t xml:space="preserve">UL of the CI on proportion </t>
        </r>
        <r>
          <rPr>
            <i/>
            <sz val="10"/>
            <color indexed="81"/>
            <rFont val="Tahoma"/>
            <family val="2"/>
          </rPr>
          <t>P</t>
        </r>
        <r>
          <rPr>
            <vertAlign val="subscript"/>
            <sz val="10"/>
            <color indexed="81"/>
            <rFont val="Tahoma"/>
            <family val="2"/>
          </rPr>
          <t>2</t>
        </r>
        <r>
          <rPr>
            <sz val="9"/>
            <color indexed="81"/>
            <rFont val="Tahoma"/>
            <family val="2"/>
          </rPr>
          <t xml:space="preserve">
</t>
        </r>
      </text>
    </comment>
    <comment ref="I18" authorId="0">
      <text>
        <r>
          <rPr>
            <sz val="9"/>
            <color indexed="81"/>
            <rFont val="Tahoma"/>
            <family val="2"/>
          </rPr>
          <t>Average length of the lower and upper arms of the CI on the difference.
______________</t>
        </r>
        <r>
          <rPr>
            <sz val="8"/>
            <color indexed="81"/>
            <rFont val="Tahoma"/>
            <family val="2"/>
          </rPr>
          <t xml:space="preserve">
</t>
        </r>
        <r>
          <rPr>
            <sz val="10"/>
            <color indexed="81"/>
            <rFont val="Tahoma"/>
            <family val="2"/>
          </rPr>
          <t>MOE</t>
        </r>
        <r>
          <rPr>
            <vertAlign val="subscript"/>
            <sz val="10"/>
            <color indexed="81"/>
            <rFont val="Tahoma"/>
            <family val="2"/>
          </rPr>
          <t>av</t>
        </r>
        <r>
          <rPr>
            <sz val="9"/>
            <color indexed="81"/>
            <rFont val="Tahoma"/>
            <family val="2"/>
          </rPr>
          <t xml:space="preserve"> is a measure of precision.
</t>
        </r>
      </text>
    </comment>
    <comment ref="E20" authorId="0">
      <text>
        <r>
          <rPr>
            <sz val="9"/>
            <color indexed="81"/>
            <rFont val="Tahoma"/>
            <family val="2"/>
          </rPr>
          <t xml:space="preserve">Click to show the </t>
        </r>
        <r>
          <rPr>
            <i/>
            <sz val="10"/>
            <color indexed="81"/>
            <rFont val="Tahoma"/>
            <family val="2"/>
          </rPr>
          <t>p</t>
        </r>
        <r>
          <rPr>
            <sz val="9"/>
            <color indexed="81"/>
            <rFont val="Tahoma"/>
            <family val="2"/>
          </rPr>
          <t xml:space="preserve"> value for testing the null hypothesis of no difference between the two proportions.
____________
The </t>
        </r>
        <r>
          <rPr>
            <i/>
            <sz val="10"/>
            <color indexed="81"/>
            <rFont val="Tahoma"/>
            <family val="2"/>
          </rPr>
          <t>p</t>
        </r>
        <r>
          <rPr>
            <sz val="9"/>
            <color indexed="81"/>
            <rFont val="Tahoma"/>
            <family val="2"/>
          </rPr>
          <t xml:space="preserve"> value is two-tailed.
</t>
        </r>
      </text>
    </comment>
    <comment ref="P20" authorId="0">
      <text>
        <r>
          <rPr>
            <sz val="9"/>
            <color indexed="81"/>
            <rFont val="Tahoma"/>
            <family val="2"/>
          </rPr>
          <t xml:space="preserve">Length of the lower arm of the CI on proportion </t>
        </r>
        <r>
          <rPr>
            <i/>
            <sz val="10"/>
            <color indexed="81"/>
            <rFont val="Tahoma"/>
            <family val="2"/>
          </rPr>
          <t>P</t>
        </r>
        <r>
          <rPr>
            <vertAlign val="subscript"/>
            <sz val="10"/>
            <color indexed="81"/>
            <rFont val="Tahoma"/>
            <family val="2"/>
          </rPr>
          <t>1</t>
        </r>
        <r>
          <rPr>
            <sz val="9"/>
            <color indexed="81"/>
            <rFont val="Tahoma"/>
            <family val="2"/>
          </rPr>
          <t xml:space="preserve">
</t>
        </r>
      </text>
    </comment>
    <comment ref="R20" authorId="0">
      <text>
        <r>
          <rPr>
            <sz val="9"/>
            <color indexed="81"/>
            <rFont val="Tahoma"/>
            <family val="2"/>
          </rPr>
          <t xml:space="preserve">Length of the upper arm of the CI on proportion </t>
        </r>
        <r>
          <rPr>
            <i/>
            <sz val="10"/>
            <color indexed="81"/>
            <rFont val="Tahoma"/>
            <family val="2"/>
          </rPr>
          <t>P</t>
        </r>
        <r>
          <rPr>
            <vertAlign val="subscript"/>
            <sz val="10"/>
            <color indexed="81"/>
            <rFont val="Tahoma"/>
            <family val="2"/>
          </rPr>
          <t>1</t>
        </r>
        <r>
          <rPr>
            <sz val="9"/>
            <color indexed="81"/>
            <rFont val="Tahoma"/>
            <family val="2"/>
          </rPr>
          <t xml:space="preserve">
</t>
        </r>
      </text>
    </comment>
    <comment ref="W20" authorId="0">
      <text>
        <r>
          <rPr>
            <sz val="9"/>
            <color indexed="81"/>
            <rFont val="Tahoma"/>
            <family val="2"/>
          </rPr>
          <t xml:space="preserve">Length of the lower arm of the CI on proportion </t>
        </r>
        <r>
          <rPr>
            <i/>
            <sz val="10"/>
            <color indexed="81"/>
            <rFont val="Tahoma"/>
            <family val="2"/>
          </rPr>
          <t>P</t>
        </r>
        <r>
          <rPr>
            <vertAlign val="subscript"/>
            <sz val="10"/>
            <color indexed="81"/>
            <rFont val="Tahoma"/>
            <family val="2"/>
          </rPr>
          <t>2</t>
        </r>
        <r>
          <rPr>
            <sz val="9"/>
            <color indexed="81"/>
            <rFont val="Tahoma"/>
            <family val="2"/>
          </rPr>
          <t xml:space="preserve">
</t>
        </r>
      </text>
    </comment>
    <comment ref="Y20" authorId="0">
      <text>
        <r>
          <rPr>
            <sz val="9"/>
            <color indexed="81"/>
            <rFont val="Tahoma"/>
            <family val="2"/>
          </rPr>
          <t xml:space="preserve">Length of the upper arm of the CI on proportion </t>
        </r>
        <r>
          <rPr>
            <i/>
            <sz val="10"/>
            <color indexed="81"/>
            <rFont val="Tahoma"/>
            <family val="2"/>
          </rPr>
          <t>P</t>
        </r>
        <r>
          <rPr>
            <vertAlign val="subscript"/>
            <sz val="10"/>
            <color indexed="81"/>
            <rFont val="Tahoma"/>
            <family val="2"/>
          </rPr>
          <t>2</t>
        </r>
        <r>
          <rPr>
            <sz val="9"/>
            <color indexed="81"/>
            <rFont val="Tahoma"/>
            <family val="2"/>
          </rPr>
          <t xml:space="preserve">
</t>
        </r>
      </text>
    </comment>
    <comment ref="J22" authorId="0">
      <text>
        <r>
          <rPr>
            <sz val="9"/>
            <color indexed="81"/>
            <rFont val="Tahoma"/>
            <family val="2"/>
          </rPr>
          <t xml:space="preserve">If the value of any </t>
        </r>
        <r>
          <rPr>
            <i/>
            <sz val="9"/>
            <color indexed="81"/>
            <rFont val="Tahoma"/>
            <family val="2"/>
          </rPr>
          <t>X</t>
        </r>
        <r>
          <rPr>
            <sz val="9"/>
            <color indexed="81"/>
            <rFont val="Tahoma"/>
            <family val="2"/>
          </rPr>
          <t xml:space="preserve"> or </t>
        </r>
        <r>
          <rPr>
            <i/>
            <sz val="9"/>
            <color indexed="81"/>
            <rFont val="Tahoma"/>
            <family val="2"/>
          </rPr>
          <t>N</t>
        </r>
        <r>
          <rPr>
            <sz val="9"/>
            <color indexed="81"/>
            <rFont val="Tahoma"/>
            <family val="2"/>
          </rPr>
          <t xml:space="preserve"> is typed in (rather than set using a spinner), click button to calculate the </t>
        </r>
        <r>
          <rPr>
            <i/>
            <sz val="10"/>
            <color indexed="81"/>
            <rFont val="Tahoma"/>
            <family val="2"/>
          </rPr>
          <t>p</t>
        </r>
        <r>
          <rPr>
            <sz val="9"/>
            <color indexed="81"/>
            <rFont val="Tahoma"/>
            <family val="2"/>
          </rPr>
          <t xml:space="preserve"> value.</t>
        </r>
        <r>
          <rPr>
            <sz val="9"/>
            <color indexed="81"/>
            <rFont val="Tahoma"/>
            <family val="2"/>
          </rPr>
          <t xml:space="preserve">
</t>
        </r>
      </text>
    </comment>
    <comment ref="Q23" authorId="0">
      <text>
        <r>
          <rPr>
            <sz val="9"/>
            <color indexed="81"/>
            <rFont val="Tahoma"/>
            <family val="2"/>
          </rPr>
          <t>Average length of the lower and upper arms of the CI.
______________</t>
        </r>
        <r>
          <rPr>
            <sz val="8"/>
            <color indexed="81"/>
            <rFont val="Tahoma"/>
            <family val="2"/>
          </rPr>
          <t xml:space="preserve">
</t>
        </r>
        <r>
          <rPr>
            <sz val="10"/>
            <color indexed="81"/>
            <rFont val="Tahoma"/>
            <family val="2"/>
          </rPr>
          <t>MOE</t>
        </r>
        <r>
          <rPr>
            <vertAlign val="subscript"/>
            <sz val="10"/>
            <color indexed="81"/>
            <rFont val="Tahoma"/>
            <family val="2"/>
          </rPr>
          <t>av</t>
        </r>
        <r>
          <rPr>
            <sz val="9"/>
            <color indexed="81"/>
            <rFont val="Tahoma"/>
            <family val="2"/>
          </rPr>
          <t xml:space="preserve"> is a measure of precision.
</t>
        </r>
      </text>
    </comment>
    <comment ref="X23" authorId="0">
      <text>
        <r>
          <rPr>
            <sz val="9"/>
            <color indexed="81"/>
            <rFont val="Tahoma"/>
            <family val="2"/>
          </rPr>
          <t>Average length of the lower and upper arms of the CI.
______________</t>
        </r>
        <r>
          <rPr>
            <sz val="8"/>
            <color indexed="81"/>
            <rFont val="Tahoma"/>
            <family val="2"/>
          </rPr>
          <t xml:space="preserve">
</t>
        </r>
        <r>
          <rPr>
            <sz val="10"/>
            <color indexed="81"/>
            <rFont val="Tahoma"/>
            <family val="2"/>
          </rPr>
          <t>MOE</t>
        </r>
        <r>
          <rPr>
            <vertAlign val="subscript"/>
            <sz val="10"/>
            <color indexed="81"/>
            <rFont val="Tahoma"/>
            <family val="2"/>
          </rPr>
          <t>av</t>
        </r>
        <r>
          <rPr>
            <sz val="9"/>
            <color indexed="81"/>
            <rFont val="Tahoma"/>
            <family val="2"/>
          </rPr>
          <t xml:space="preserve"> is a measure of precision.
</t>
        </r>
      </text>
    </comment>
    <comment ref="I24" authorId="0">
      <text>
        <r>
          <rPr>
            <sz val="9"/>
            <color indexed="81"/>
            <rFont val="Tahoma"/>
            <family val="2"/>
          </rPr>
          <t xml:space="preserve">The </t>
        </r>
        <r>
          <rPr>
            <i/>
            <sz val="10"/>
            <color indexed="81"/>
            <rFont val="Tahoma"/>
            <family val="2"/>
          </rPr>
          <t>p</t>
        </r>
        <r>
          <rPr>
            <sz val="9"/>
            <color indexed="81"/>
            <rFont val="Tahoma"/>
            <family val="2"/>
          </rPr>
          <t xml:space="preserve"> value for testing the null hypothesis of no difference between the two proportions.
____________
The </t>
        </r>
        <r>
          <rPr>
            <i/>
            <sz val="10"/>
            <color indexed="81"/>
            <rFont val="Tahoma"/>
            <family val="2"/>
          </rPr>
          <t>p</t>
        </r>
        <r>
          <rPr>
            <sz val="9"/>
            <color indexed="81"/>
            <rFont val="Tahoma"/>
            <family val="2"/>
          </rPr>
          <t xml:space="preserve"> value is two-tailed. It may be necessary to click button to see </t>
        </r>
        <r>
          <rPr>
            <i/>
            <sz val="10"/>
            <color indexed="81"/>
            <rFont val="Tahoma"/>
            <family val="2"/>
          </rPr>
          <t>p</t>
        </r>
        <r>
          <rPr>
            <sz val="9"/>
            <color indexed="81"/>
            <rFont val="Tahoma"/>
            <family val="2"/>
          </rPr>
          <t xml:space="preserve">.
</t>
        </r>
      </text>
    </comment>
    <comment ref="E26" authorId="0">
      <text>
        <r>
          <rPr>
            <sz val="9"/>
            <color indexed="81"/>
            <rFont val="Tahoma"/>
            <family val="2"/>
          </rPr>
          <t>Click to reveal chi-square analysis</t>
        </r>
        <r>
          <rPr>
            <sz val="9"/>
            <color indexed="81"/>
            <rFont val="Tahoma"/>
            <family val="2"/>
          </rPr>
          <t xml:space="preserve">
</t>
        </r>
      </text>
    </comment>
    <comment ref="E27" authorId="0">
      <text>
        <r>
          <rPr>
            <sz val="9"/>
            <color indexed="81"/>
            <rFont val="Tahoma"/>
            <family val="2"/>
          </rPr>
          <t xml:space="preserve">Frequency table based on the frequencies entered above to define the two proportions </t>
        </r>
        <r>
          <rPr>
            <i/>
            <sz val="10"/>
            <color indexed="81"/>
            <rFont val="Tahoma"/>
            <family val="2"/>
          </rPr>
          <t>P</t>
        </r>
        <r>
          <rPr>
            <vertAlign val="subscript"/>
            <sz val="10"/>
            <color indexed="81"/>
            <rFont val="Tahoma"/>
            <family val="2"/>
          </rPr>
          <t>1</t>
        </r>
        <r>
          <rPr>
            <sz val="9"/>
            <color indexed="81"/>
            <rFont val="Tahoma"/>
            <family val="2"/>
          </rPr>
          <t xml:space="preserve"> and </t>
        </r>
        <r>
          <rPr>
            <i/>
            <sz val="10"/>
            <color indexed="81"/>
            <rFont val="Tahoma"/>
            <family val="2"/>
          </rPr>
          <t>P</t>
        </r>
        <r>
          <rPr>
            <vertAlign val="subscript"/>
            <sz val="10"/>
            <color indexed="81"/>
            <rFont val="Tahoma"/>
            <family val="2"/>
          </rPr>
          <t>2</t>
        </r>
        <r>
          <rPr>
            <sz val="9"/>
            <color indexed="81"/>
            <rFont val="Tahoma"/>
            <family val="2"/>
          </rPr>
          <t xml:space="preserve">. Those frequencies are copied down here and shown in bold.
</t>
        </r>
      </text>
    </comment>
    <comment ref="J29" authorId="0">
      <text>
        <r>
          <rPr>
            <sz val="9"/>
            <color indexed="81"/>
            <rFont val="Tahoma"/>
            <family val="2"/>
          </rPr>
          <t xml:space="preserve">Type a label here for </t>
        </r>
        <r>
          <rPr>
            <i/>
            <sz val="10"/>
            <color indexed="81"/>
            <rFont val="Tahoma"/>
            <family val="2"/>
          </rPr>
          <t>P</t>
        </r>
        <r>
          <rPr>
            <vertAlign val="subscript"/>
            <sz val="10"/>
            <color indexed="81"/>
            <rFont val="Tahoma"/>
            <family val="2"/>
          </rPr>
          <t>1</t>
        </r>
        <r>
          <rPr>
            <sz val="9"/>
            <color indexed="81"/>
            <rFont val="Tahoma"/>
            <family val="2"/>
          </rPr>
          <t>, the first value of the column classification variable</t>
        </r>
      </text>
    </comment>
    <comment ref="O29" authorId="0">
      <text>
        <r>
          <rPr>
            <sz val="9"/>
            <color indexed="81"/>
            <rFont val="Tahoma"/>
            <family val="2"/>
          </rPr>
          <t xml:space="preserve">Type a label here for </t>
        </r>
        <r>
          <rPr>
            <i/>
            <sz val="10"/>
            <color indexed="81"/>
            <rFont val="Tahoma"/>
            <family val="2"/>
          </rPr>
          <t>P</t>
        </r>
        <r>
          <rPr>
            <vertAlign val="subscript"/>
            <sz val="10"/>
            <color indexed="81"/>
            <rFont val="Tahoma"/>
            <family val="2"/>
          </rPr>
          <t>2</t>
        </r>
        <r>
          <rPr>
            <sz val="9"/>
            <color indexed="81"/>
            <rFont val="Tahoma"/>
            <family val="2"/>
          </rPr>
          <t>, the second value of the column classification variable</t>
        </r>
      </text>
    </comment>
    <comment ref="J30" authorId="0">
      <text>
        <r>
          <rPr>
            <sz val="9"/>
            <color indexed="81"/>
            <rFont val="Tahoma"/>
            <family val="2"/>
          </rPr>
          <t>Observed frequencies are below</t>
        </r>
        <r>
          <rPr>
            <sz val="9"/>
            <color indexed="81"/>
            <rFont val="Tahoma"/>
            <family val="2"/>
          </rPr>
          <t xml:space="preserve">
</t>
        </r>
      </text>
    </comment>
    <comment ref="K30" authorId="0">
      <text>
        <r>
          <rPr>
            <sz val="9"/>
            <color indexed="81"/>
            <rFont val="Tahoma"/>
            <family val="2"/>
          </rPr>
          <t>Expected frequencies are below.
___________
These are the frequencies expect if the null hypothesis of no association between the row and column</t>
        </r>
        <r>
          <rPr>
            <sz val="9"/>
            <color indexed="81"/>
            <rFont val="Tahoma"/>
            <family val="2"/>
          </rPr>
          <t xml:space="preserve">
classification variables in the frequency table is true.</t>
        </r>
      </text>
    </comment>
    <comment ref="O30" authorId="0">
      <text>
        <r>
          <rPr>
            <sz val="9"/>
            <color indexed="81"/>
            <rFont val="Tahoma"/>
            <family val="2"/>
          </rPr>
          <t>Observed frequencies are below</t>
        </r>
        <r>
          <rPr>
            <sz val="9"/>
            <color indexed="81"/>
            <rFont val="Tahoma"/>
            <family val="2"/>
          </rPr>
          <t xml:space="preserve">
</t>
        </r>
      </text>
    </comment>
    <comment ref="P30" authorId="0">
      <text>
        <r>
          <rPr>
            <sz val="9"/>
            <color indexed="81"/>
            <rFont val="Tahoma"/>
            <family val="2"/>
          </rPr>
          <t>Expected frequencies are below.
___________
These are the frequencies expect if the null hypothesis of no association between the row and column</t>
        </r>
        <r>
          <rPr>
            <sz val="9"/>
            <color indexed="81"/>
            <rFont val="Tahoma"/>
            <family val="2"/>
          </rPr>
          <t xml:space="preserve">
classification variables in the frequency table is true.</t>
        </r>
      </text>
    </comment>
    <comment ref="G31" authorId="0">
      <text>
        <r>
          <rPr>
            <sz val="9"/>
            <color indexed="81"/>
            <rFont val="Tahoma"/>
            <family val="2"/>
          </rPr>
          <t xml:space="preserve">Type a label here for </t>
        </r>
        <r>
          <rPr>
            <i/>
            <sz val="10"/>
            <color indexed="81"/>
            <rFont val="Tahoma"/>
            <family val="2"/>
          </rPr>
          <t>X</t>
        </r>
        <r>
          <rPr>
            <sz val="9"/>
            <color indexed="81"/>
            <rFont val="Tahoma"/>
            <family val="2"/>
          </rPr>
          <t>, the first value of the row classification variable</t>
        </r>
        <r>
          <rPr>
            <sz val="9"/>
            <color indexed="81"/>
            <rFont val="Tahoma"/>
            <family val="2"/>
          </rPr>
          <t xml:space="preserve">
</t>
        </r>
      </text>
    </comment>
    <comment ref="J31" authorId="0">
      <text>
        <r>
          <rPr>
            <sz val="9"/>
            <color indexed="81"/>
            <rFont val="Tahoma"/>
            <family val="2"/>
          </rPr>
          <t xml:space="preserve">Copied from </t>
        </r>
        <r>
          <rPr>
            <i/>
            <sz val="10"/>
            <color indexed="81"/>
            <rFont val="Tahoma"/>
            <family val="2"/>
          </rPr>
          <t>X</t>
        </r>
        <r>
          <rPr>
            <vertAlign val="subscript"/>
            <sz val="10"/>
            <color indexed="81"/>
            <rFont val="Tahoma"/>
            <family val="2"/>
          </rPr>
          <t>1</t>
        </r>
        <r>
          <rPr>
            <sz val="9"/>
            <color indexed="81"/>
            <rFont val="Tahoma"/>
            <family val="2"/>
          </rPr>
          <t xml:space="preserve"> above</t>
        </r>
        <r>
          <rPr>
            <sz val="9"/>
            <color indexed="81"/>
            <rFont val="Tahoma"/>
            <family val="2"/>
          </rPr>
          <t xml:space="preserve">
</t>
        </r>
      </text>
    </comment>
    <comment ref="O31" authorId="0">
      <text>
        <r>
          <rPr>
            <sz val="9"/>
            <color indexed="81"/>
            <rFont val="Tahoma"/>
            <family val="2"/>
          </rPr>
          <t xml:space="preserve">Copied from </t>
        </r>
        <r>
          <rPr>
            <i/>
            <sz val="10"/>
            <color indexed="81"/>
            <rFont val="Tahoma"/>
            <family val="2"/>
          </rPr>
          <t>X</t>
        </r>
        <r>
          <rPr>
            <vertAlign val="subscript"/>
            <sz val="10"/>
            <color indexed="81"/>
            <rFont val="Tahoma"/>
            <family val="2"/>
          </rPr>
          <t>2</t>
        </r>
        <r>
          <rPr>
            <sz val="9"/>
            <color indexed="81"/>
            <rFont val="Tahoma"/>
            <family val="2"/>
          </rPr>
          <t xml:space="preserve"> above</t>
        </r>
        <r>
          <rPr>
            <sz val="9"/>
            <color indexed="81"/>
            <rFont val="Tahoma"/>
            <family val="2"/>
          </rPr>
          <t xml:space="preserve">
</t>
        </r>
      </text>
    </comment>
    <comment ref="G33" authorId="0">
      <text>
        <r>
          <rPr>
            <sz val="9"/>
            <color indexed="81"/>
            <rFont val="Tahoma"/>
            <family val="2"/>
          </rPr>
          <t>Type a label here for (</t>
        </r>
        <r>
          <rPr>
            <i/>
            <sz val="10"/>
            <color indexed="81"/>
            <rFont val="Tahoma"/>
            <family val="2"/>
          </rPr>
          <t>N - X</t>
        </r>
        <r>
          <rPr>
            <sz val="9"/>
            <color indexed="81"/>
            <rFont val="Tahoma"/>
            <family val="2"/>
          </rPr>
          <t>), the second value of the row classification variable</t>
        </r>
        <r>
          <rPr>
            <sz val="9"/>
            <color indexed="81"/>
            <rFont val="Tahoma"/>
            <family val="2"/>
          </rPr>
          <t xml:space="preserve">
</t>
        </r>
      </text>
    </comment>
    <comment ref="J35" authorId="0">
      <text>
        <r>
          <rPr>
            <sz val="9"/>
            <color indexed="81"/>
            <rFont val="Tahoma"/>
            <family val="2"/>
          </rPr>
          <t xml:space="preserve">Copied from </t>
        </r>
        <r>
          <rPr>
            <i/>
            <sz val="10"/>
            <color indexed="81"/>
            <rFont val="Tahoma"/>
            <family val="2"/>
          </rPr>
          <t>N</t>
        </r>
        <r>
          <rPr>
            <vertAlign val="subscript"/>
            <sz val="10"/>
            <color indexed="81"/>
            <rFont val="Tahoma"/>
            <family val="2"/>
          </rPr>
          <t>1</t>
        </r>
        <r>
          <rPr>
            <sz val="9"/>
            <color indexed="81"/>
            <rFont val="Tahoma"/>
            <family val="2"/>
          </rPr>
          <t xml:space="preserve"> above</t>
        </r>
        <r>
          <rPr>
            <sz val="9"/>
            <color indexed="81"/>
            <rFont val="Tahoma"/>
            <family val="2"/>
          </rPr>
          <t xml:space="preserve">
</t>
        </r>
      </text>
    </comment>
    <comment ref="O35" authorId="0">
      <text>
        <r>
          <rPr>
            <sz val="9"/>
            <color indexed="81"/>
            <rFont val="Tahoma"/>
            <family val="2"/>
          </rPr>
          <t xml:space="preserve">Copied from </t>
        </r>
        <r>
          <rPr>
            <i/>
            <sz val="10"/>
            <color indexed="81"/>
            <rFont val="Tahoma"/>
            <family val="2"/>
          </rPr>
          <t>N</t>
        </r>
        <r>
          <rPr>
            <vertAlign val="subscript"/>
            <sz val="10"/>
            <color indexed="81"/>
            <rFont val="Tahoma"/>
            <family val="2"/>
          </rPr>
          <t>2</t>
        </r>
        <r>
          <rPr>
            <sz val="9"/>
            <color indexed="81"/>
            <rFont val="Tahoma"/>
            <family val="2"/>
          </rPr>
          <t xml:space="preserve"> above</t>
        </r>
        <r>
          <rPr>
            <sz val="9"/>
            <color indexed="81"/>
            <rFont val="Tahoma"/>
            <family val="2"/>
          </rPr>
          <t xml:space="preserve">
</t>
        </r>
      </text>
    </comment>
    <comment ref="R35" authorId="0">
      <text>
        <r>
          <rPr>
            <sz val="9"/>
            <color indexed="81"/>
            <rFont val="Tahoma"/>
            <family val="2"/>
          </rPr>
          <t>Overall total</t>
        </r>
        <r>
          <rPr>
            <sz val="9"/>
            <color indexed="81"/>
            <rFont val="Tahoma"/>
            <family val="2"/>
          </rPr>
          <t xml:space="preserve">
</t>
        </r>
      </text>
    </comment>
    <comment ref="E37" authorId="0">
      <text>
        <r>
          <rPr>
            <sz val="9"/>
            <color indexed="81"/>
            <rFont val="Tahoma"/>
            <family val="2"/>
          </rPr>
          <t>Calculations based on frequency table just above</t>
        </r>
        <r>
          <rPr>
            <sz val="9"/>
            <color indexed="81"/>
            <rFont val="Tahoma"/>
            <family val="2"/>
          </rPr>
          <t xml:space="preserve">
</t>
        </r>
      </text>
    </comment>
    <comment ref="J37" authorId="0">
      <text>
        <r>
          <rPr>
            <sz val="9"/>
            <color indexed="81"/>
            <rFont val="Tahoma"/>
            <family val="2"/>
          </rPr>
          <t xml:space="preserve">Value of the chi-square statistic calculated for the 2 x 2 frequency table above.
________
Cannot be calculated if both observed frequencies in the </t>
        </r>
        <r>
          <rPr>
            <i/>
            <sz val="10"/>
            <color indexed="81"/>
            <rFont val="Tahoma"/>
            <family val="2"/>
          </rPr>
          <t>X</t>
        </r>
        <r>
          <rPr>
            <sz val="9"/>
            <color indexed="81"/>
            <rFont val="Tahoma"/>
            <family val="2"/>
          </rPr>
          <t xml:space="preserve"> row, or the </t>
        </r>
        <r>
          <rPr>
            <sz val="10"/>
            <color indexed="81"/>
            <rFont val="Tahoma"/>
            <family val="2"/>
          </rPr>
          <t>(</t>
        </r>
        <r>
          <rPr>
            <i/>
            <sz val="10"/>
            <color indexed="81"/>
            <rFont val="Tahoma"/>
            <family val="2"/>
          </rPr>
          <t>N</t>
        </r>
        <r>
          <rPr>
            <sz val="10"/>
            <color indexed="81"/>
            <rFont val="Tahoma"/>
            <family val="2"/>
          </rPr>
          <t xml:space="preserve"> - </t>
        </r>
        <r>
          <rPr>
            <i/>
            <sz val="10"/>
            <color indexed="81"/>
            <rFont val="Tahoma"/>
            <family val="2"/>
          </rPr>
          <t>X</t>
        </r>
        <r>
          <rPr>
            <sz val="10"/>
            <color indexed="81"/>
            <rFont val="Tahoma"/>
            <family val="2"/>
          </rPr>
          <t>)</t>
        </r>
        <r>
          <rPr>
            <sz val="9"/>
            <color indexed="81"/>
            <rFont val="Tahoma"/>
            <family val="2"/>
          </rPr>
          <t xml:space="preserve"> row, are zero.</t>
        </r>
        <r>
          <rPr>
            <b/>
            <sz val="9"/>
            <color indexed="81"/>
            <rFont val="Tahoma"/>
            <family val="2"/>
          </rPr>
          <t xml:space="preserve">
</t>
        </r>
      </text>
    </comment>
    <comment ref="M37" authorId="0">
      <text>
        <r>
          <rPr>
            <sz val="9"/>
            <color indexed="81"/>
            <rFont val="Tahoma"/>
            <family val="2"/>
          </rPr>
          <t>Degrees of freedom (</t>
        </r>
        <r>
          <rPr>
            <i/>
            <sz val="9"/>
            <color indexed="81"/>
            <rFont val="Tahoma"/>
            <family val="2"/>
          </rPr>
          <t>df</t>
        </r>
        <r>
          <rPr>
            <sz val="9"/>
            <color indexed="81"/>
            <rFont val="Tahoma"/>
            <family val="2"/>
          </rPr>
          <t xml:space="preserve">) for the chi-square statistic </t>
        </r>
      </text>
    </comment>
    <comment ref="P37" authorId="0">
      <text>
        <r>
          <rPr>
            <i/>
            <sz val="10"/>
            <color indexed="81"/>
            <rFont val="Tahoma"/>
            <family val="2"/>
          </rPr>
          <t>p</t>
        </r>
        <r>
          <rPr>
            <sz val="9"/>
            <color indexed="81"/>
            <rFont val="Tahoma"/>
            <family val="2"/>
          </rPr>
          <t xml:space="preserve"> value for testing the null hypothesis of no association between the row and column </t>
        </r>
        <r>
          <rPr>
            <sz val="9"/>
            <color indexed="81"/>
            <rFont val="Tahoma"/>
            <family val="2"/>
          </rPr>
          <t xml:space="preserve">classification variables in the frequency table.
________
Cannot be calculated if both observed frequencies in the </t>
        </r>
        <r>
          <rPr>
            <i/>
            <sz val="10"/>
            <color indexed="81"/>
            <rFont val="Tahoma"/>
            <family val="2"/>
          </rPr>
          <t>X</t>
        </r>
        <r>
          <rPr>
            <sz val="9"/>
            <color indexed="81"/>
            <rFont val="Tahoma"/>
            <family val="2"/>
          </rPr>
          <t xml:space="preserve"> row, or the </t>
        </r>
        <r>
          <rPr>
            <sz val="10"/>
            <color indexed="81"/>
            <rFont val="Tahoma"/>
            <family val="2"/>
          </rPr>
          <t>(</t>
        </r>
        <r>
          <rPr>
            <i/>
            <sz val="10"/>
            <color indexed="81"/>
            <rFont val="Tahoma"/>
            <family val="2"/>
          </rPr>
          <t>N</t>
        </r>
        <r>
          <rPr>
            <sz val="10"/>
            <color indexed="81"/>
            <rFont val="Tahoma"/>
            <family val="2"/>
          </rPr>
          <t xml:space="preserve"> - </t>
        </r>
        <r>
          <rPr>
            <i/>
            <sz val="10"/>
            <color indexed="81"/>
            <rFont val="Tahoma"/>
            <family val="2"/>
          </rPr>
          <t>X</t>
        </r>
        <r>
          <rPr>
            <sz val="10"/>
            <color indexed="81"/>
            <rFont val="Tahoma"/>
            <family val="2"/>
          </rPr>
          <t>)</t>
        </r>
        <r>
          <rPr>
            <sz val="9"/>
            <color indexed="81"/>
            <rFont val="Tahoma"/>
            <family val="2"/>
          </rPr>
          <t xml:space="preserve"> row, are zero.</t>
        </r>
      </text>
    </comment>
    <comment ref="J39" authorId="0">
      <text>
        <r>
          <rPr>
            <sz val="9"/>
            <color indexed="81"/>
            <rFont val="Tahoma"/>
            <family val="2"/>
          </rPr>
          <t xml:space="preserve">Value of the phi coefficient, a measure of degree of association of the row and column classification variables in the frequency table.
________
Cannot be calculated if both observed frequencies in the </t>
        </r>
        <r>
          <rPr>
            <i/>
            <sz val="10"/>
            <color indexed="81"/>
            <rFont val="Tahoma"/>
            <family val="2"/>
          </rPr>
          <t>X</t>
        </r>
        <r>
          <rPr>
            <sz val="9"/>
            <color indexed="81"/>
            <rFont val="Tahoma"/>
            <family val="2"/>
          </rPr>
          <t xml:space="preserve"> row, or the </t>
        </r>
        <r>
          <rPr>
            <sz val="10"/>
            <color indexed="81"/>
            <rFont val="Tahoma"/>
            <family val="2"/>
          </rPr>
          <t>(</t>
        </r>
        <r>
          <rPr>
            <i/>
            <sz val="10"/>
            <color indexed="81"/>
            <rFont val="Tahoma"/>
            <family val="2"/>
          </rPr>
          <t>N</t>
        </r>
        <r>
          <rPr>
            <sz val="10"/>
            <color indexed="81"/>
            <rFont val="Tahoma"/>
            <family val="2"/>
          </rPr>
          <t xml:space="preserve"> - </t>
        </r>
        <r>
          <rPr>
            <i/>
            <sz val="10"/>
            <color indexed="81"/>
            <rFont val="Tahoma"/>
            <family val="2"/>
          </rPr>
          <t>X</t>
        </r>
        <r>
          <rPr>
            <sz val="10"/>
            <color indexed="81"/>
            <rFont val="Tahoma"/>
            <family val="2"/>
          </rPr>
          <t>)</t>
        </r>
        <r>
          <rPr>
            <sz val="9"/>
            <color indexed="81"/>
            <rFont val="Tahoma"/>
            <family val="2"/>
          </rPr>
          <t xml:space="preserve"> row, are zero.</t>
        </r>
      </text>
    </comment>
  </commentList>
</comments>
</file>

<file path=xl/comments10.xml><?xml version="1.0" encoding="utf-8"?>
<comments xmlns="http://schemas.openxmlformats.org/spreadsheetml/2006/main">
  <authors>
    <author>Geoff Cumming</author>
  </authors>
  <commentList>
    <comment ref="S1" authorId="0">
      <text>
        <r>
          <rPr>
            <sz val="9"/>
            <color indexed="81"/>
            <rFont val="Tahoma"/>
            <family val="2"/>
          </rPr>
          <t xml:space="preserve">Information about the difference between the two group means selected at </t>
        </r>
        <r>
          <rPr>
            <b/>
            <sz val="10"/>
            <color indexed="10"/>
            <rFont val="Tahoma"/>
            <family val="2"/>
          </rPr>
          <t>8</t>
        </r>
        <r>
          <rPr>
            <sz val="9"/>
            <color indexed="81"/>
            <rFont val="Tahoma"/>
            <family val="2"/>
          </rPr>
          <t xml:space="preserve"> below</t>
        </r>
        <r>
          <rPr>
            <sz val="9"/>
            <color indexed="81"/>
            <rFont val="Tahoma"/>
            <family val="2"/>
          </rPr>
          <t xml:space="preserve">
</t>
        </r>
      </text>
    </comment>
    <comment ref="AF1" authorId="0">
      <text>
        <r>
          <rPr>
            <sz val="9"/>
            <color indexed="81"/>
            <rFont val="Tahoma"/>
            <family val="2"/>
          </rPr>
          <t xml:space="preserve">Click to display </t>
        </r>
        <r>
          <rPr>
            <i/>
            <sz val="9"/>
            <color indexed="81"/>
            <rFont val="Tahoma"/>
            <family val="2"/>
          </rPr>
          <t>p</t>
        </r>
        <r>
          <rPr>
            <sz val="9"/>
            <color indexed="81"/>
            <rFont val="Tahoma"/>
            <family val="2"/>
          </rPr>
          <t xml:space="preserve"> value to evaluate the null hypothesis of zero difference between the two selected group means.</t>
        </r>
        <r>
          <rPr>
            <sz val="9"/>
            <color indexed="81"/>
            <rFont val="Tahoma"/>
            <family val="2"/>
          </rPr>
          <t xml:space="preserve">
__________________
The </t>
        </r>
        <r>
          <rPr>
            <i/>
            <sz val="9"/>
            <color indexed="81"/>
            <rFont val="Tahoma"/>
            <family val="2"/>
          </rPr>
          <t>p</t>
        </r>
        <r>
          <rPr>
            <sz val="9"/>
            <color indexed="81"/>
            <rFont val="Tahoma"/>
            <family val="2"/>
          </rPr>
          <t xml:space="preserve"> value is two-tailed</t>
        </r>
      </text>
    </comment>
    <comment ref="AX1" author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5</t>
        </r>
        <r>
          <rPr>
            <sz val="9"/>
            <color indexed="81"/>
            <rFont val="Tahoma"/>
            <family val="2"/>
          </rPr>
          <t xml:space="preserve"> at left. Replace any existing data.
___________
You can also enter new data below, for later transfer left. </t>
        </r>
      </text>
    </comment>
    <comment ref="BG1" author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5</t>
        </r>
        <r>
          <rPr>
            <sz val="9"/>
            <color indexed="81"/>
            <rFont val="Tahoma"/>
            <family val="2"/>
          </rPr>
          <t xml:space="preserve"> at left. Replace any existing data.
___________
You can also enter new data below, for later transfer left. </t>
        </r>
      </text>
    </comment>
    <comment ref="BP1" author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5</t>
        </r>
        <r>
          <rPr>
            <sz val="9"/>
            <color indexed="81"/>
            <rFont val="Tahoma"/>
            <family val="2"/>
          </rPr>
          <t xml:space="preserve"> at left. Replace any existing data.
___________
You can also enter new data below, for later transfer left. </t>
        </r>
      </text>
    </comment>
    <comment ref="S2" authorId="0">
      <text>
        <r>
          <rPr>
            <sz val="9"/>
            <color indexed="81"/>
            <rFont val="Tahoma"/>
            <family val="2"/>
          </rPr>
          <t>The selected difference. Values of the means are just below.</t>
        </r>
        <r>
          <rPr>
            <sz val="9"/>
            <color indexed="81"/>
            <rFont val="Tahoma"/>
            <family val="2"/>
          </rPr>
          <t xml:space="preserve">
</t>
        </r>
      </text>
    </comment>
    <comment ref="AC2" authorId="0">
      <text>
        <r>
          <rPr>
            <i/>
            <sz val="9"/>
            <color indexed="81"/>
            <rFont val="Tahoma"/>
            <family val="2"/>
          </rPr>
          <t>df</t>
        </r>
        <r>
          <rPr>
            <sz val="9"/>
            <color indexed="81"/>
            <rFont val="Tahoma"/>
            <family val="2"/>
          </rPr>
          <t xml:space="preserve"> of the SD estimate used to calculate the CI</t>
        </r>
        <r>
          <rPr>
            <sz val="9"/>
            <color indexed="81"/>
            <rFont val="Tahoma"/>
            <family val="2"/>
          </rPr>
          <t xml:space="preserve">
</t>
        </r>
      </text>
    </comment>
    <comment ref="W3" authorId="0">
      <text>
        <r>
          <rPr>
            <sz val="9"/>
            <color indexed="81"/>
            <rFont val="Tahoma"/>
            <family val="2"/>
          </rPr>
          <t>CI on the difference between the two selected means</t>
        </r>
      </text>
    </comment>
    <comment ref="BA3" authorId="0">
      <text>
        <r>
          <rPr>
            <sz val="9"/>
            <color indexed="81"/>
            <rFont val="Tahoma"/>
            <family val="2"/>
          </rPr>
          <t>Type in a short name for the dataset if you wish</t>
        </r>
        <r>
          <rPr>
            <sz val="9"/>
            <color indexed="81"/>
            <rFont val="Tahoma"/>
            <family val="2"/>
          </rPr>
          <t xml:space="preserve">
</t>
        </r>
      </text>
    </comment>
    <comment ref="BJ3" authorId="0">
      <text>
        <r>
          <rPr>
            <sz val="9"/>
            <color indexed="81"/>
            <rFont val="Tahoma"/>
            <family val="2"/>
          </rPr>
          <t>Type in a short name for the dataset if you wish</t>
        </r>
        <r>
          <rPr>
            <sz val="9"/>
            <color indexed="81"/>
            <rFont val="Tahoma"/>
            <family val="2"/>
          </rPr>
          <t xml:space="preserve">
</t>
        </r>
      </text>
    </comment>
    <comment ref="BS3" authorId="0">
      <text>
        <r>
          <rPr>
            <sz val="9"/>
            <color indexed="81"/>
            <rFont val="Tahoma"/>
            <family val="2"/>
          </rPr>
          <t>Type in a short name for the dataset if you wish</t>
        </r>
        <r>
          <rPr>
            <sz val="9"/>
            <color indexed="81"/>
            <rFont val="Tahoma"/>
            <family val="2"/>
          </rPr>
          <t xml:space="preserve">
</t>
        </r>
      </text>
    </comment>
    <comment ref="N4" authorId="0">
      <text>
        <r>
          <rPr>
            <sz val="9"/>
            <color indexed="81"/>
            <rFont val="Tahoma"/>
            <family val="2"/>
          </rPr>
          <t>Click to clear all current data</t>
        </r>
        <r>
          <rPr>
            <sz val="9"/>
            <color indexed="81"/>
            <rFont val="Tahoma"/>
            <family val="2"/>
          </rPr>
          <t xml:space="preserve">
</t>
        </r>
      </text>
    </comment>
    <comment ref="BA4" authorId="0">
      <text>
        <r>
          <rPr>
            <sz val="9"/>
            <color indexed="81"/>
            <rFont val="Tahoma"/>
            <family val="2"/>
          </rPr>
          <t>Type in a short name for the dependent variable, if you wish</t>
        </r>
        <r>
          <rPr>
            <sz val="9"/>
            <color indexed="81"/>
            <rFont val="Tahoma"/>
            <family val="2"/>
          </rPr>
          <t xml:space="preserve">
</t>
        </r>
      </text>
    </comment>
    <comment ref="BJ4" authorId="0">
      <text>
        <r>
          <rPr>
            <sz val="9"/>
            <color indexed="81"/>
            <rFont val="Tahoma"/>
            <family val="2"/>
          </rPr>
          <t>Type in a short name for the dependent variable, if you wish</t>
        </r>
        <r>
          <rPr>
            <sz val="9"/>
            <color indexed="81"/>
            <rFont val="Tahoma"/>
            <family val="2"/>
          </rPr>
          <t xml:space="preserve">
</t>
        </r>
      </text>
    </comment>
    <comment ref="BS4" authorId="0">
      <text>
        <r>
          <rPr>
            <sz val="9"/>
            <color indexed="81"/>
            <rFont val="Tahoma"/>
            <family val="2"/>
          </rPr>
          <t>Type in a short name for the dependent variable, if you wish</t>
        </r>
        <r>
          <rPr>
            <sz val="9"/>
            <color indexed="81"/>
            <rFont val="Tahoma"/>
            <family val="2"/>
          </rPr>
          <t xml:space="preserve">
</t>
        </r>
      </text>
    </comment>
    <comment ref="D5" authorId="0">
      <text>
        <r>
          <rPr>
            <sz val="9"/>
            <color indexed="81"/>
            <rFont val="Tahoma"/>
            <family val="2"/>
          </rPr>
          <t>Type in below short names for the dataset, and the dependent variable, if you wish</t>
        </r>
        <r>
          <rPr>
            <sz val="9"/>
            <color indexed="81"/>
            <rFont val="Tahoma"/>
            <family val="2"/>
          </rPr>
          <t xml:space="preserve">
</t>
        </r>
      </text>
    </comment>
    <comment ref="D6" authorId="0">
      <text>
        <r>
          <rPr>
            <sz val="9"/>
            <color indexed="81"/>
            <rFont val="Tahoma"/>
            <family val="2"/>
          </rPr>
          <t>Type in a short name for the dataset if you wish</t>
        </r>
        <r>
          <rPr>
            <sz val="9"/>
            <color indexed="81"/>
            <rFont val="Tahoma"/>
            <family val="2"/>
          </rPr>
          <t xml:space="preserve">
</t>
        </r>
      </text>
    </comment>
    <comment ref="G6" authorId="0">
      <text>
        <r>
          <rPr>
            <sz val="9"/>
            <color indexed="81"/>
            <rFont val="Tahoma"/>
            <family val="2"/>
          </rPr>
          <t>The level of confidence of the CIs. Use the spinner or type in a value of C.
Min 1, max 99.9.</t>
        </r>
      </text>
    </comment>
    <comment ref="T6" authorId="0">
      <text>
        <r>
          <rPr>
            <sz val="9"/>
            <color indexed="81"/>
            <rFont val="Tahoma"/>
            <family val="2"/>
          </rPr>
          <t>Click a button in top row, and one in bottom row, to select two different means to compare.</t>
        </r>
        <r>
          <rPr>
            <sz val="9"/>
            <color indexed="81"/>
            <rFont val="Tahoma"/>
            <family val="2"/>
          </rPr>
          <t xml:space="preserve">
</t>
        </r>
      </text>
    </comment>
    <comment ref="AX6" authorId="0">
      <text>
        <r>
          <rPr>
            <sz val="9"/>
            <color indexed="81"/>
            <rFont val="Tahoma"/>
            <family val="2"/>
          </rPr>
          <t>Type in short names for each group if you wish</t>
        </r>
        <r>
          <rPr>
            <sz val="9"/>
            <color indexed="81"/>
            <rFont val="Tahoma"/>
            <family val="2"/>
          </rPr>
          <t xml:space="preserve">
</t>
        </r>
      </text>
    </comment>
    <comment ref="BG6" authorId="0">
      <text>
        <r>
          <rPr>
            <sz val="9"/>
            <color indexed="81"/>
            <rFont val="Tahoma"/>
            <family val="2"/>
          </rPr>
          <t>Type in short names for each group if you wish</t>
        </r>
        <r>
          <rPr>
            <sz val="9"/>
            <color indexed="81"/>
            <rFont val="Tahoma"/>
            <family val="2"/>
          </rPr>
          <t xml:space="preserve">
</t>
        </r>
      </text>
    </comment>
    <comment ref="BP6" authorId="0">
      <text>
        <r>
          <rPr>
            <sz val="9"/>
            <color indexed="81"/>
            <rFont val="Tahoma"/>
            <family val="2"/>
          </rPr>
          <t>Type in short names for each group if you wish</t>
        </r>
        <r>
          <rPr>
            <sz val="9"/>
            <color indexed="81"/>
            <rFont val="Tahoma"/>
            <family val="2"/>
          </rPr>
          <t xml:space="preserve">
</t>
        </r>
      </text>
    </comment>
    <comment ref="D7" authorId="0">
      <text>
        <r>
          <rPr>
            <sz val="9"/>
            <color indexed="81"/>
            <rFont val="Tahoma"/>
            <family val="2"/>
          </rPr>
          <t>Type in a short name for the dependent variable, if you wish</t>
        </r>
        <r>
          <rPr>
            <sz val="9"/>
            <color indexed="81"/>
            <rFont val="Tahoma"/>
            <family val="2"/>
          </rPr>
          <t xml:space="preserve">
</t>
        </r>
      </text>
    </comment>
    <comment ref="AY7" authorId="0">
      <text>
        <r>
          <rPr>
            <sz val="9"/>
            <color indexed="81"/>
            <rFont val="Tahoma"/>
            <family val="2"/>
          </rPr>
          <t>Conventional labels for each group: A1 to A6</t>
        </r>
        <r>
          <rPr>
            <sz val="9"/>
            <color indexed="81"/>
            <rFont val="Tahoma"/>
            <family val="2"/>
          </rPr>
          <t xml:space="preserve">
</t>
        </r>
      </text>
    </comment>
    <comment ref="BH7" authorId="0">
      <text>
        <r>
          <rPr>
            <sz val="9"/>
            <color indexed="81"/>
            <rFont val="Tahoma"/>
            <family val="2"/>
          </rPr>
          <t>Conventional labels for each group: A1 to A6</t>
        </r>
        <r>
          <rPr>
            <sz val="9"/>
            <color indexed="81"/>
            <rFont val="Tahoma"/>
            <family val="2"/>
          </rPr>
          <t xml:space="preserve">
</t>
        </r>
      </text>
    </comment>
    <comment ref="BQ7" authorId="0">
      <text>
        <r>
          <rPr>
            <sz val="9"/>
            <color indexed="81"/>
            <rFont val="Tahoma"/>
            <family val="2"/>
          </rPr>
          <t>Conventional labels for each group: A1 to A6</t>
        </r>
        <r>
          <rPr>
            <sz val="9"/>
            <color indexed="81"/>
            <rFont val="Tahoma"/>
            <family val="2"/>
          </rPr>
          <t xml:space="preserve">
</t>
        </r>
      </text>
    </comment>
    <comment ref="E8" authorId="0">
      <text>
        <r>
          <rPr>
            <sz val="9"/>
            <color indexed="81"/>
            <rFont val="Tahoma"/>
            <family val="2"/>
          </rPr>
          <t xml:space="preserve">Summary information for the independent groups.
Type short names for the groups just below.
________________
The buttons at </t>
        </r>
        <r>
          <rPr>
            <b/>
            <sz val="10"/>
            <color indexed="10"/>
            <rFont val="Tahoma"/>
            <family val="2"/>
          </rPr>
          <t>2</t>
        </r>
        <r>
          <rPr>
            <sz val="9"/>
            <color indexed="81"/>
            <rFont val="Tahoma"/>
            <family val="2"/>
          </rPr>
          <t xml:space="preserve"> determine whether group descriptive statistics here are typed in, or calculated.</t>
        </r>
      </text>
    </comment>
    <comment ref="H8" authorId="0">
      <text>
        <r>
          <rPr>
            <sz val="9"/>
            <color indexed="81"/>
            <rFont val="Tahoma"/>
            <family val="2"/>
          </rPr>
          <t>Grand total, the sum of all the group sizes</t>
        </r>
        <r>
          <rPr>
            <sz val="9"/>
            <color indexed="81"/>
            <rFont val="Tahoma"/>
            <family val="2"/>
          </rPr>
          <t xml:space="preserve"> </t>
        </r>
        <r>
          <rPr>
            <sz val="9"/>
            <color indexed="81"/>
            <rFont val="Tahoma"/>
            <family val="2"/>
          </rPr>
          <t xml:space="preserve">
</t>
        </r>
      </text>
    </comment>
    <comment ref="C9" authorId="0">
      <text>
        <r>
          <rPr>
            <sz val="9"/>
            <color indexed="81"/>
            <rFont val="Tahoma"/>
            <family val="2"/>
          </rPr>
          <t>Type in short names for each group if you wish</t>
        </r>
        <r>
          <rPr>
            <sz val="9"/>
            <color indexed="81"/>
            <rFont val="Tahoma"/>
            <family val="2"/>
          </rPr>
          <t xml:space="preserve">
</t>
        </r>
      </text>
    </comment>
    <comment ref="K9" authorId="0">
      <text>
        <r>
          <rPr>
            <sz val="9"/>
            <color indexed="81"/>
            <rFont val="Tahoma"/>
            <family val="2"/>
          </rPr>
          <t>Click button above or below for no comparison</t>
        </r>
        <r>
          <rPr>
            <sz val="9"/>
            <color indexed="81"/>
            <rFont val="Tahoma"/>
            <family val="2"/>
          </rPr>
          <t xml:space="preserve">
</t>
        </r>
      </text>
    </comment>
    <comment ref="D10" authorId="0">
      <text>
        <r>
          <rPr>
            <sz val="9"/>
            <color indexed="81"/>
            <rFont val="Tahoma"/>
            <family val="2"/>
          </rPr>
          <t>Conventional labels for each group: A1 to A6</t>
        </r>
        <r>
          <rPr>
            <sz val="9"/>
            <color indexed="81"/>
            <rFont val="Tahoma"/>
            <family val="2"/>
          </rPr>
          <t xml:space="preserve">
</t>
        </r>
      </text>
    </comment>
    <comment ref="C11" authorId="0">
      <text>
        <r>
          <rPr>
            <sz val="9"/>
            <color indexed="81"/>
            <rFont val="Tahoma"/>
            <family val="2"/>
          </rPr>
          <t>Sizes of the groups</t>
        </r>
        <r>
          <rPr>
            <sz val="9"/>
            <color indexed="81"/>
            <rFont val="Tahoma"/>
            <family val="2"/>
          </rPr>
          <t xml:space="preserve">
</t>
        </r>
      </text>
    </comment>
    <comment ref="C12" authorId="0">
      <text>
        <r>
          <rPr>
            <sz val="9"/>
            <color indexed="81"/>
            <rFont val="Tahoma"/>
            <family val="2"/>
          </rPr>
          <t>Means of the groups</t>
        </r>
        <r>
          <rPr>
            <sz val="9"/>
            <color indexed="81"/>
            <rFont val="Tahoma"/>
            <family val="2"/>
          </rPr>
          <t xml:space="preserve">
</t>
        </r>
      </text>
    </comment>
    <comment ref="C13" authorId="0">
      <text>
        <r>
          <rPr>
            <sz val="9"/>
            <color indexed="81"/>
            <rFont val="Tahoma"/>
            <family val="2"/>
          </rPr>
          <t>Standard deviations of the groups</t>
        </r>
        <r>
          <rPr>
            <sz val="9"/>
            <color indexed="81"/>
            <rFont val="Tahoma"/>
            <family val="2"/>
          </rPr>
          <t xml:space="preserve">
</t>
        </r>
      </text>
    </comment>
    <comment ref="E15" authorId="0">
      <text>
        <r>
          <rPr>
            <sz val="9"/>
            <color indexed="81"/>
            <rFont val="Tahoma"/>
            <family val="2"/>
          </rPr>
          <t xml:space="preserve">CIs on the group means, each calculated from the pooled SD, which is pooled over all groups assuming homogeneity of variance.
</t>
        </r>
      </text>
    </comment>
    <comment ref="C16" authorId="0">
      <text>
        <r>
          <rPr>
            <sz val="9"/>
            <color indexed="81"/>
            <rFont val="Tahoma"/>
            <family val="2"/>
          </rPr>
          <t>Margin of error (MoE) of the CIs on group means</t>
        </r>
        <r>
          <rPr>
            <sz val="9"/>
            <color indexed="81"/>
            <rFont val="Tahoma"/>
            <family val="2"/>
          </rPr>
          <t xml:space="preserve">
</t>
        </r>
      </text>
    </comment>
    <comment ref="C17" authorId="0">
      <text>
        <r>
          <rPr>
            <sz val="9"/>
            <color indexed="81"/>
            <rFont val="Tahoma"/>
            <family val="2"/>
          </rPr>
          <t>Upper limit (UL) of the CIs on group means</t>
        </r>
        <r>
          <rPr>
            <sz val="9"/>
            <color indexed="81"/>
            <rFont val="Tahoma"/>
            <family val="2"/>
          </rPr>
          <t xml:space="preserve">
</t>
        </r>
      </text>
    </comment>
    <comment ref="C18" authorId="0">
      <text>
        <r>
          <rPr>
            <sz val="9"/>
            <color indexed="81"/>
            <rFont val="Tahoma"/>
            <family val="2"/>
          </rPr>
          <t>Lower limit (LL) of the CIs on group means</t>
        </r>
        <r>
          <rPr>
            <sz val="9"/>
            <color indexed="81"/>
            <rFont val="Tahoma"/>
            <family val="2"/>
          </rPr>
          <t xml:space="preserve">
</t>
        </r>
      </text>
    </comment>
    <comment ref="C19" authorId="0">
      <text>
        <r>
          <rPr>
            <i/>
            <sz val="9"/>
            <color indexed="81"/>
            <rFont val="Tahoma"/>
            <family val="2"/>
          </rPr>
          <t>df</t>
        </r>
        <r>
          <rPr>
            <sz val="9"/>
            <color indexed="81"/>
            <rFont val="Tahoma"/>
            <family val="2"/>
          </rPr>
          <t xml:space="preserve"> for calculating the CIs on group means</t>
        </r>
        <r>
          <rPr>
            <sz val="9"/>
            <color indexed="81"/>
            <rFont val="Tahoma"/>
            <family val="2"/>
          </rPr>
          <t xml:space="preserve">
</t>
        </r>
      </text>
    </comment>
    <comment ref="E21" authorId="0">
      <text>
        <r>
          <rPr>
            <sz val="9"/>
            <color indexed="81"/>
            <rFont val="Tahoma"/>
            <family val="2"/>
          </rPr>
          <t>Click to select between two data entry options</t>
        </r>
      </text>
    </comment>
    <comment ref="F22" authorId="0">
      <text>
        <r>
          <rPr>
            <sz val="9"/>
            <color indexed="81"/>
            <rFont val="Tahoma"/>
            <family val="2"/>
          </rPr>
          <t xml:space="preserve">Click to be able to enter summary descriptive statistics for each group at </t>
        </r>
        <r>
          <rPr>
            <b/>
            <sz val="10"/>
            <color indexed="10"/>
            <rFont val="Tahoma"/>
            <family val="2"/>
          </rPr>
          <t>3</t>
        </r>
        <r>
          <rPr>
            <sz val="9"/>
            <color indexed="81"/>
            <rFont val="Tahoma"/>
            <family val="2"/>
          </rPr>
          <t xml:space="preserve"> above</t>
        </r>
      </text>
    </comment>
    <comment ref="I22" authorId="0">
      <text>
        <r>
          <rPr>
            <sz val="9"/>
            <color indexed="81"/>
            <rFont val="Tahoma"/>
            <family val="2"/>
          </rPr>
          <t>Click to be able to enter full data for each group below</t>
        </r>
      </text>
    </comment>
    <comment ref="C25" authorId="0">
      <text>
        <r>
          <rPr>
            <sz val="9"/>
            <color indexed="81"/>
            <rFont val="Tahoma"/>
            <family val="2"/>
          </rPr>
          <t xml:space="preserve">When right hand button clicked at </t>
        </r>
        <r>
          <rPr>
            <b/>
            <sz val="10"/>
            <color indexed="10"/>
            <rFont val="Tahoma"/>
            <family val="2"/>
          </rPr>
          <t>2</t>
        </r>
        <r>
          <rPr>
            <sz val="9"/>
            <color indexed="81"/>
            <rFont val="Tahoma"/>
            <family val="2"/>
          </rPr>
          <t>, enter full data here for every group</t>
        </r>
      </text>
    </comment>
  </commentList>
</comments>
</file>

<file path=xl/comments11.xml><?xml version="1.0" encoding="utf-8"?>
<comments xmlns="http://schemas.openxmlformats.org/spreadsheetml/2006/main">
  <authors>
    <author>Geoff Cumming</author>
  </authors>
  <commentList>
    <comment ref="T1" authorId="0">
      <text>
        <r>
          <rPr>
            <sz val="9"/>
            <color indexed="81"/>
            <rFont val="Tahoma"/>
            <family val="2"/>
          </rPr>
          <t xml:space="preserve">Information about the difference between the means of the two subsets of means selected at </t>
        </r>
        <r>
          <rPr>
            <b/>
            <sz val="10"/>
            <color indexed="10"/>
            <rFont val="Tahoma"/>
            <family val="2"/>
          </rPr>
          <t>8</t>
        </r>
        <r>
          <rPr>
            <sz val="9"/>
            <color indexed="81"/>
            <rFont val="Tahoma"/>
            <family val="2"/>
          </rPr>
          <t xml:space="preserve"> below</t>
        </r>
        <r>
          <rPr>
            <sz val="9"/>
            <color indexed="81"/>
            <rFont val="Tahoma"/>
            <family val="2"/>
          </rPr>
          <t xml:space="preserve">
</t>
        </r>
      </text>
    </comment>
    <comment ref="AG1" authorId="0">
      <text>
        <r>
          <rPr>
            <sz val="9"/>
            <color indexed="81"/>
            <rFont val="Tahoma"/>
            <family val="2"/>
          </rPr>
          <t xml:space="preserve">Click to display </t>
        </r>
        <r>
          <rPr>
            <i/>
            <sz val="9"/>
            <color indexed="81"/>
            <rFont val="Tahoma"/>
            <family val="2"/>
          </rPr>
          <t>p</t>
        </r>
        <r>
          <rPr>
            <sz val="9"/>
            <color indexed="81"/>
            <rFont val="Tahoma"/>
            <family val="2"/>
          </rPr>
          <t xml:space="preserve"> value to evaluate the null hypothesis of zero difference between the means of the two subsets of group means.</t>
        </r>
        <r>
          <rPr>
            <sz val="9"/>
            <color indexed="81"/>
            <rFont val="Tahoma"/>
            <family val="2"/>
          </rPr>
          <t xml:space="preserve">
__________________
The </t>
        </r>
        <r>
          <rPr>
            <i/>
            <sz val="9"/>
            <color indexed="81"/>
            <rFont val="Tahoma"/>
            <family val="2"/>
          </rPr>
          <t>p</t>
        </r>
        <r>
          <rPr>
            <sz val="9"/>
            <color indexed="81"/>
            <rFont val="Tahoma"/>
            <family val="2"/>
          </rPr>
          <t xml:space="preserve"> value is two-tailed</t>
        </r>
      </text>
    </comment>
    <comment ref="AZ1" author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5</t>
        </r>
        <r>
          <rPr>
            <sz val="9"/>
            <color indexed="81"/>
            <rFont val="Tahoma"/>
            <family val="2"/>
          </rPr>
          <t xml:space="preserve"> at left. Replace any existing data.
___________
You can also enter new data below, for later transfer left. </t>
        </r>
      </text>
    </comment>
    <comment ref="BI1" author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5</t>
        </r>
        <r>
          <rPr>
            <sz val="9"/>
            <color indexed="81"/>
            <rFont val="Tahoma"/>
            <family val="2"/>
          </rPr>
          <t xml:space="preserve"> at left. Replace any existing data.
___________
You can also enter new data below, for later transfer left. </t>
        </r>
      </text>
    </comment>
    <comment ref="BR1" author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5</t>
        </r>
        <r>
          <rPr>
            <sz val="9"/>
            <color indexed="81"/>
            <rFont val="Tahoma"/>
            <family val="2"/>
          </rPr>
          <t xml:space="preserve"> at left. Replace any existing data.
___________
You can also enter new data below, for later transfer left. </t>
        </r>
      </text>
    </comment>
    <comment ref="S2" authorId="0">
      <text>
        <r>
          <rPr>
            <sz val="9"/>
            <color indexed="81"/>
            <rFont val="Tahoma"/>
            <family val="2"/>
          </rPr>
          <t xml:space="preserve">The difference. Values of the means of the </t>
        </r>
        <r>
          <rPr>
            <b/>
            <sz val="9"/>
            <color indexed="17"/>
            <rFont val="Tahoma"/>
            <family val="2"/>
          </rPr>
          <t>green</t>
        </r>
        <r>
          <rPr>
            <sz val="9"/>
            <color indexed="81"/>
            <rFont val="Tahoma"/>
            <family val="2"/>
          </rPr>
          <t xml:space="preserve"> subset and </t>
        </r>
        <r>
          <rPr>
            <b/>
            <sz val="9"/>
            <color indexed="12"/>
            <rFont val="Tahoma"/>
            <family val="2"/>
          </rPr>
          <t>blue</t>
        </r>
        <r>
          <rPr>
            <sz val="9"/>
            <color indexed="81"/>
            <rFont val="Tahoma"/>
            <family val="2"/>
          </rPr>
          <t xml:space="preserve"> subset are just below.</t>
        </r>
        <r>
          <rPr>
            <sz val="9"/>
            <color indexed="81"/>
            <rFont val="Tahoma"/>
            <family val="2"/>
          </rPr>
          <t xml:space="preserve">
</t>
        </r>
      </text>
    </comment>
    <comment ref="AB2" authorId="0">
      <text>
        <r>
          <rPr>
            <sz val="9"/>
            <color indexed="81"/>
            <rFont val="Tahoma"/>
            <family val="2"/>
          </rPr>
          <t>MoE of the CI at left</t>
        </r>
      </text>
    </comment>
    <comment ref="AD2" authorId="0">
      <text>
        <r>
          <rPr>
            <i/>
            <sz val="9"/>
            <color indexed="81"/>
            <rFont val="Tahoma"/>
            <family val="2"/>
          </rPr>
          <t>df</t>
        </r>
        <r>
          <rPr>
            <sz val="9"/>
            <color indexed="81"/>
            <rFont val="Tahoma"/>
            <family val="2"/>
          </rPr>
          <t xml:space="preserve"> of the SD estimate used to calculate the CI above left, and also the two CIs below</t>
        </r>
        <r>
          <rPr>
            <sz val="9"/>
            <color indexed="81"/>
            <rFont val="Tahoma"/>
            <family val="2"/>
          </rPr>
          <t xml:space="preserve">
</t>
        </r>
      </text>
    </comment>
    <comment ref="U3" authorId="0">
      <text>
        <r>
          <rPr>
            <sz val="9"/>
            <color indexed="81"/>
            <rFont val="Tahoma"/>
            <family val="2"/>
          </rPr>
          <t>Difference between the means of the two subsets. This difference is displayed below as the black triangle, which is displayed, with its CI, on the difference axis</t>
        </r>
      </text>
    </comment>
    <comment ref="W3" authorId="0">
      <text>
        <r>
          <rPr>
            <sz val="9"/>
            <color indexed="81"/>
            <rFont val="Tahoma"/>
            <family val="2"/>
          </rPr>
          <t>CI on the difference between the means of the two subsets. This CI is displayed below on the black triangle, which is displayed on the difference axis</t>
        </r>
      </text>
    </comment>
    <comment ref="BC3" authorId="0">
      <text>
        <r>
          <rPr>
            <sz val="9"/>
            <color indexed="81"/>
            <rFont val="Tahoma"/>
            <family val="2"/>
          </rPr>
          <t>Type in a short name for the dataset if you wish</t>
        </r>
        <r>
          <rPr>
            <sz val="9"/>
            <color indexed="81"/>
            <rFont val="Tahoma"/>
            <family val="2"/>
          </rPr>
          <t xml:space="preserve">
</t>
        </r>
      </text>
    </comment>
    <comment ref="BL3" authorId="0">
      <text>
        <r>
          <rPr>
            <sz val="9"/>
            <color indexed="81"/>
            <rFont val="Tahoma"/>
            <family val="2"/>
          </rPr>
          <t>Type in a short name for the dataset if you wish</t>
        </r>
        <r>
          <rPr>
            <sz val="9"/>
            <color indexed="81"/>
            <rFont val="Tahoma"/>
            <family val="2"/>
          </rPr>
          <t xml:space="preserve">
</t>
        </r>
      </text>
    </comment>
    <comment ref="BU3" authorId="0">
      <text>
        <r>
          <rPr>
            <sz val="9"/>
            <color indexed="81"/>
            <rFont val="Tahoma"/>
            <family val="2"/>
          </rPr>
          <t>Type in a short name for the dataset if you wish</t>
        </r>
        <r>
          <rPr>
            <sz val="9"/>
            <color indexed="81"/>
            <rFont val="Tahoma"/>
            <family val="2"/>
          </rPr>
          <t xml:space="preserve">
</t>
        </r>
      </text>
    </comment>
    <comment ref="L4" authorId="0">
      <text>
        <r>
          <rPr>
            <sz val="9"/>
            <color indexed="81"/>
            <rFont val="Tahoma"/>
            <family val="2"/>
          </rPr>
          <t>Click to clear all current data</t>
        </r>
        <r>
          <rPr>
            <sz val="9"/>
            <color indexed="81"/>
            <rFont val="Tahoma"/>
            <family val="2"/>
          </rPr>
          <t xml:space="preserve">
</t>
        </r>
      </text>
    </comment>
    <comment ref="Q4" authorId="0">
      <text>
        <r>
          <rPr>
            <sz val="9"/>
            <color indexed="81"/>
            <rFont val="Tahoma"/>
            <family val="2"/>
          </rPr>
          <t xml:space="preserve">Just below: The group means selected for the </t>
        </r>
        <r>
          <rPr>
            <b/>
            <sz val="9"/>
            <color indexed="17"/>
            <rFont val="Tahoma"/>
            <family val="2"/>
          </rPr>
          <t>green</t>
        </r>
        <r>
          <rPr>
            <sz val="9"/>
            <color indexed="81"/>
            <rFont val="Tahoma"/>
            <family val="2"/>
          </rPr>
          <t xml:space="preserve"> subset</t>
        </r>
        <r>
          <rPr>
            <sz val="9"/>
            <color indexed="81"/>
            <rFont val="Tahoma"/>
            <family val="2"/>
          </rPr>
          <t xml:space="preserve">
</t>
        </r>
      </text>
    </comment>
    <comment ref="S4" authorId="0">
      <text>
        <r>
          <rPr>
            <sz val="9"/>
            <color indexed="81"/>
            <rFont val="Tahoma"/>
            <family val="2"/>
          </rPr>
          <t xml:space="preserve">Just below: The group means selected for the </t>
        </r>
        <r>
          <rPr>
            <b/>
            <sz val="9"/>
            <color indexed="12"/>
            <rFont val="Tahoma"/>
            <family val="2"/>
          </rPr>
          <t>blue</t>
        </r>
        <r>
          <rPr>
            <sz val="9"/>
            <color indexed="81"/>
            <rFont val="Tahoma"/>
            <family val="2"/>
          </rPr>
          <t xml:space="preserve"> subset</t>
        </r>
        <r>
          <rPr>
            <sz val="9"/>
            <color indexed="81"/>
            <rFont val="Tahoma"/>
            <family val="2"/>
          </rPr>
          <t xml:space="preserve">
</t>
        </r>
      </text>
    </comment>
    <comment ref="BC4" authorId="0">
      <text>
        <r>
          <rPr>
            <sz val="9"/>
            <color indexed="81"/>
            <rFont val="Tahoma"/>
            <family val="2"/>
          </rPr>
          <t>Type in a short name for the dependent variable, if you wish</t>
        </r>
        <r>
          <rPr>
            <sz val="9"/>
            <color indexed="81"/>
            <rFont val="Tahoma"/>
            <family val="2"/>
          </rPr>
          <t xml:space="preserve">
</t>
        </r>
      </text>
    </comment>
    <comment ref="BL4" authorId="0">
      <text>
        <r>
          <rPr>
            <sz val="9"/>
            <color indexed="81"/>
            <rFont val="Tahoma"/>
            <family val="2"/>
          </rPr>
          <t>Type in a short name for the dependent variable, if you wish</t>
        </r>
        <r>
          <rPr>
            <sz val="9"/>
            <color indexed="81"/>
            <rFont val="Tahoma"/>
            <family val="2"/>
          </rPr>
          <t xml:space="preserve">
</t>
        </r>
      </text>
    </comment>
    <comment ref="BU4" authorId="0">
      <text>
        <r>
          <rPr>
            <sz val="9"/>
            <color indexed="81"/>
            <rFont val="Tahoma"/>
            <family val="2"/>
          </rPr>
          <t>Type in a short name for the dependent variable, if you wish</t>
        </r>
        <r>
          <rPr>
            <sz val="9"/>
            <color indexed="81"/>
            <rFont val="Tahoma"/>
            <family val="2"/>
          </rPr>
          <t xml:space="preserve">
</t>
        </r>
      </text>
    </comment>
    <comment ref="D5" authorId="0">
      <text>
        <r>
          <rPr>
            <sz val="9"/>
            <color indexed="81"/>
            <rFont val="Tahoma"/>
            <family val="2"/>
          </rPr>
          <t>Type in below short names for the dataset, and the dependent variable, if you wish</t>
        </r>
        <r>
          <rPr>
            <sz val="9"/>
            <color indexed="81"/>
            <rFont val="Tahoma"/>
            <family val="2"/>
          </rPr>
          <t xml:space="preserve">
</t>
        </r>
      </text>
    </comment>
    <comment ref="D6" authorId="0">
      <text>
        <r>
          <rPr>
            <sz val="9"/>
            <color indexed="81"/>
            <rFont val="Tahoma"/>
            <family val="2"/>
          </rPr>
          <t>Type in a short name for the dataset if you wish</t>
        </r>
        <r>
          <rPr>
            <sz val="9"/>
            <color indexed="81"/>
            <rFont val="Tahoma"/>
            <family val="2"/>
          </rPr>
          <t xml:space="preserve">
</t>
        </r>
      </text>
    </comment>
    <comment ref="G6" authorId="0">
      <text>
        <r>
          <rPr>
            <sz val="9"/>
            <color indexed="81"/>
            <rFont val="Tahoma"/>
            <family val="2"/>
          </rPr>
          <t>The level of confidence of the CIs. Use the spinner or type in a value of C.
Min 1, max 99.9.</t>
        </r>
      </text>
    </comment>
    <comment ref="U6" authorId="0">
      <text>
        <r>
          <rPr>
            <sz val="9"/>
            <color indexed="81"/>
            <rFont val="Tahoma"/>
            <family val="2"/>
          </rPr>
          <t xml:space="preserve">Click checkboxes below to select </t>
        </r>
        <r>
          <rPr>
            <b/>
            <sz val="9"/>
            <color indexed="17"/>
            <rFont val="Tahoma"/>
            <family val="2"/>
          </rPr>
          <t>green</t>
        </r>
        <r>
          <rPr>
            <sz val="9"/>
            <color indexed="81"/>
            <rFont val="Tahoma"/>
            <family val="2"/>
          </rPr>
          <t xml:space="preserve"> and </t>
        </r>
        <r>
          <rPr>
            <b/>
            <sz val="9"/>
            <color indexed="12"/>
            <rFont val="Tahoma"/>
            <family val="2"/>
          </rPr>
          <t>blue</t>
        </r>
        <r>
          <rPr>
            <sz val="9"/>
            <color indexed="81"/>
            <rFont val="Tahoma"/>
            <family val="2"/>
          </rPr>
          <t xml:space="preserve"> subsets of group means</t>
        </r>
        <r>
          <rPr>
            <sz val="9"/>
            <color indexed="81"/>
            <rFont val="Tahoma"/>
            <family val="2"/>
          </rPr>
          <t xml:space="preserve">
_______________
No mean can belong to both subsets</t>
        </r>
      </text>
    </comment>
    <comment ref="AZ6" authorId="0">
      <text>
        <r>
          <rPr>
            <sz val="9"/>
            <color indexed="81"/>
            <rFont val="Tahoma"/>
            <family val="2"/>
          </rPr>
          <t>Type in short names for each group if you wish</t>
        </r>
        <r>
          <rPr>
            <sz val="9"/>
            <color indexed="81"/>
            <rFont val="Tahoma"/>
            <family val="2"/>
          </rPr>
          <t xml:space="preserve">
</t>
        </r>
      </text>
    </comment>
    <comment ref="BI6" authorId="0">
      <text>
        <r>
          <rPr>
            <sz val="9"/>
            <color indexed="81"/>
            <rFont val="Tahoma"/>
            <family val="2"/>
          </rPr>
          <t>Type in short names for each group if you wish</t>
        </r>
        <r>
          <rPr>
            <sz val="9"/>
            <color indexed="81"/>
            <rFont val="Tahoma"/>
            <family val="2"/>
          </rPr>
          <t xml:space="preserve">
</t>
        </r>
      </text>
    </comment>
    <comment ref="BR6" authorId="0">
      <text>
        <r>
          <rPr>
            <sz val="9"/>
            <color indexed="81"/>
            <rFont val="Tahoma"/>
            <family val="2"/>
          </rPr>
          <t>Type in short names for each group if you wish</t>
        </r>
        <r>
          <rPr>
            <sz val="9"/>
            <color indexed="81"/>
            <rFont val="Tahoma"/>
            <family val="2"/>
          </rPr>
          <t xml:space="preserve">
</t>
        </r>
      </text>
    </comment>
    <comment ref="D7" authorId="0">
      <text>
        <r>
          <rPr>
            <sz val="9"/>
            <color indexed="81"/>
            <rFont val="Tahoma"/>
            <family val="2"/>
          </rPr>
          <t>Type in a short name for the dependent variable, if you wish</t>
        </r>
        <r>
          <rPr>
            <sz val="9"/>
            <color indexed="81"/>
            <rFont val="Tahoma"/>
            <family val="2"/>
          </rPr>
          <t xml:space="preserve">
</t>
        </r>
      </text>
    </comment>
    <comment ref="K7" authorId="0">
      <text>
        <r>
          <rPr>
            <sz val="9"/>
            <color indexed="81"/>
            <rFont val="Tahoma"/>
            <family val="2"/>
          </rPr>
          <t xml:space="preserve">Click at right to select one or more means as the </t>
        </r>
        <r>
          <rPr>
            <b/>
            <sz val="9"/>
            <color indexed="17"/>
            <rFont val="Tahoma"/>
            <family val="2"/>
          </rPr>
          <t>green</t>
        </r>
        <r>
          <rPr>
            <sz val="9"/>
            <color indexed="81"/>
            <rFont val="Tahoma"/>
            <family val="2"/>
          </rPr>
          <t xml:space="preserve"> subset. 
______________
The mean of the </t>
        </r>
        <r>
          <rPr>
            <b/>
            <sz val="9"/>
            <color indexed="12"/>
            <rFont val="Tahoma"/>
            <family val="2"/>
          </rPr>
          <t>blue</t>
        </r>
        <r>
          <rPr>
            <sz val="9"/>
            <color indexed="81"/>
            <rFont val="Tahoma"/>
            <family val="2"/>
          </rPr>
          <t xml:space="preserve"> means is subtracted from the mean of these </t>
        </r>
        <r>
          <rPr>
            <b/>
            <sz val="9"/>
            <color indexed="17"/>
            <rFont val="Tahoma"/>
            <family val="2"/>
          </rPr>
          <t>green</t>
        </r>
        <r>
          <rPr>
            <sz val="9"/>
            <color indexed="81"/>
            <rFont val="Tahoma"/>
            <family val="2"/>
          </rPr>
          <t xml:space="preserve"> means. (Don't select any mean in both the blue and green subsets.)</t>
        </r>
        <r>
          <rPr>
            <sz val="9"/>
            <color indexed="81"/>
            <rFont val="Tahoma"/>
            <family val="2"/>
          </rPr>
          <t xml:space="preserve">
</t>
        </r>
      </text>
    </comment>
    <comment ref="AF7" authorId="0">
      <text>
        <r>
          <rPr>
            <sz val="9"/>
            <color indexed="81"/>
            <rFont val="Tahoma"/>
            <family val="2"/>
          </rPr>
          <t>MoE of the CI at left</t>
        </r>
      </text>
    </comment>
    <comment ref="BA7" authorId="0">
      <text>
        <r>
          <rPr>
            <sz val="9"/>
            <color indexed="81"/>
            <rFont val="Tahoma"/>
            <family val="2"/>
          </rPr>
          <t>Conventional labels for each group: A1 to A6</t>
        </r>
        <r>
          <rPr>
            <sz val="9"/>
            <color indexed="81"/>
            <rFont val="Tahoma"/>
            <family val="2"/>
          </rPr>
          <t xml:space="preserve">
</t>
        </r>
      </text>
    </comment>
    <comment ref="BJ7" authorId="0">
      <text>
        <r>
          <rPr>
            <sz val="9"/>
            <color indexed="81"/>
            <rFont val="Tahoma"/>
            <family val="2"/>
          </rPr>
          <t>Conventional labels for each group: A1 to A6</t>
        </r>
        <r>
          <rPr>
            <sz val="9"/>
            <color indexed="81"/>
            <rFont val="Tahoma"/>
            <family val="2"/>
          </rPr>
          <t xml:space="preserve">
</t>
        </r>
      </text>
    </comment>
    <comment ref="BS7" authorId="0">
      <text>
        <r>
          <rPr>
            <sz val="9"/>
            <color indexed="81"/>
            <rFont val="Tahoma"/>
            <family val="2"/>
          </rPr>
          <t>Conventional labels for each group: A1 to A6</t>
        </r>
        <r>
          <rPr>
            <sz val="9"/>
            <color indexed="81"/>
            <rFont val="Tahoma"/>
            <family val="2"/>
          </rPr>
          <t xml:space="preserve">
</t>
        </r>
      </text>
    </comment>
    <comment ref="E8" authorId="0">
      <text>
        <r>
          <rPr>
            <sz val="9"/>
            <color indexed="81"/>
            <rFont val="Tahoma"/>
            <family val="2"/>
          </rPr>
          <t xml:space="preserve">Summary information for the independent groups.
Type short names for the groups just below.
________________
The buttons at </t>
        </r>
        <r>
          <rPr>
            <b/>
            <sz val="10"/>
            <color indexed="10"/>
            <rFont val="Tahoma"/>
            <family val="2"/>
          </rPr>
          <t>2</t>
        </r>
        <r>
          <rPr>
            <sz val="9"/>
            <color indexed="81"/>
            <rFont val="Tahoma"/>
            <family val="2"/>
          </rPr>
          <t xml:space="preserve"> determine whether group descriptive statistics here are typed in, or calculated.</t>
        </r>
      </text>
    </comment>
    <comment ref="H8" authorId="0">
      <text>
        <r>
          <rPr>
            <sz val="9"/>
            <color indexed="81"/>
            <rFont val="Tahoma"/>
            <family val="2"/>
          </rPr>
          <t>Grand total, the sum of all the group sizes</t>
        </r>
        <r>
          <rPr>
            <sz val="9"/>
            <color indexed="81"/>
            <rFont val="Tahoma"/>
            <family val="2"/>
          </rPr>
          <t xml:space="preserve">
</t>
        </r>
      </text>
    </comment>
    <comment ref="Z8" authorId="0">
      <text>
        <r>
          <rPr>
            <sz val="9"/>
            <color indexed="81"/>
            <rFont val="Tahoma"/>
            <family val="2"/>
          </rPr>
          <t xml:space="preserve">Mean of the </t>
        </r>
        <r>
          <rPr>
            <b/>
            <sz val="9"/>
            <color indexed="17"/>
            <rFont val="Tahoma"/>
            <family val="2"/>
          </rPr>
          <t>green</t>
        </r>
        <r>
          <rPr>
            <sz val="9"/>
            <color indexed="81"/>
            <rFont val="Tahoma"/>
            <family val="2"/>
          </rPr>
          <t xml:space="preserve"> subset of group means, displayed below as the </t>
        </r>
        <r>
          <rPr>
            <b/>
            <sz val="9"/>
            <color indexed="17"/>
            <rFont val="Tahoma"/>
            <family val="2"/>
          </rPr>
          <t>green</t>
        </r>
        <r>
          <rPr>
            <sz val="9"/>
            <color indexed="81"/>
            <rFont val="Tahoma"/>
            <family val="2"/>
          </rPr>
          <t xml:space="preserve"> square, with its CI</t>
        </r>
      </text>
    </comment>
    <comment ref="AA8" authorId="0">
      <text>
        <r>
          <rPr>
            <sz val="9"/>
            <color indexed="81"/>
            <rFont val="Tahoma"/>
            <family val="2"/>
          </rPr>
          <t xml:space="preserve">CI on the mean of the </t>
        </r>
        <r>
          <rPr>
            <b/>
            <sz val="9"/>
            <color indexed="17"/>
            <rFont val="Tahoma"/>
            <family val="2"/>
          </rPr>
          <t>green</t>
        </r>
        <r>
          <rPr>
            <sz val="9"/>
            <color indexed="81"/>
            <rFont val="Tahoma"/>
            <family val="2"/>
          </rPr>
          <t xml:space="preserve"> subset</t>
        </r>
      </text>
    </comment>
    <comment ref="C9" authorId="0">
      <text>
        <r>
          <rPr>
            <sz val="9"/>
            <color indexed="81"/>
            <rFont val="Tahoma"/>
            <family val="2"/>
          </rPr>
          <t>Type in short names for each group if you wish</t>
        </r>
        <r>
          <rPr>
            <sz val="9"/>
            <color indexed="81"/>
            <rFont val="Tahoma"/>
            <family val="2"/>
          </rPr>
          <t xml:space="preserve">
</t>
        </r>
      </text>
    </comment>
    <comment ref="D10" authorId="0">
      <text>
        <r>
          <rPr>
            <sz val="9"/>
            <color indexed="81"/>
            <rFont val="Tahoma"/>
            <family val="2"/>
          </rPr>
          <t>Conventional labels for each group: A1 to A6</t>
        </r>
        <r>
          <rPr>
            <sz val="9"/>
            <color indexed="81"/>
            <rFont val="Tahoma"/>
            <family val="2"/>
          </rPr>
          <t xml:space="preserve">
</t>
        </r>
      </text>
    </comment>
    <comment ref="K10" authorId="0">
      <text>
        <r>
          <rPr>
            <sz val="9"/>
            <color indexed="81"/>
            <rFont val="Tahoma"/>
            <family val="2"/>
          </rPr>
          <t xml:space="preserve">Click at right to select one or more means as the </t>
        </r>
        <r>
          <rPr>
            <b/>
            <sz val="9"/>
            <color indexed="12"/>
            <rFont val="Tahoma"/>
            <family val="2"/>
          </rPr>
          <t>blue</t>
        </r>
        <r>
          <rPr>
            <sz val="9"/>
            <color indexed="81"/>
            <rFont val="Tahoma"/>
            <family val="2"/>
          </rPr>
          <t xml:space="preserve"> subset. 
______________
The mean of these </t>
        </r>
        <r>
          <rPr>
            <b/>
            <sz val="9"/>
            <color indexed="12"/>
            <rFont val="Tahoma"/>
            <family val="2"/>
          </rPr>
          <t>blue</t>
        </r>
        <r>
          <rPr>
            <sz val="9"/>
            <color indexed="81"/>
            <rFont val="Tahoma"/>
            <family val="2"/>
          </rPr>
          <t xml:space="preserve"> means is subtracted from the mean of the </t>
        </r>
        <r>
          <rPr>
            <b/>
            <sz val="9"/>
            <color indexed="17"/>
            <rFont val="Tahoma"/>
            <family val="2"/>
          </rPr>
          <t>green</t>
        </r>
        <r>
          <rPr>
            <sz val="9"/>
            <color indexed="81"/>
            <rFont val="Tahoma"/>
            <family val="2"/>
          </rPr>
          <t xml:space="preserve"> means. (Don't select any mean in both the blue and green subsets.)</t>
        </r>
        <r>
          <rPr>
            <sz val="9"/>
            <color indexed="81"/>
            <rFont val="Tahoma"/>
            <family val="2"/>
          </rPr>
          <t xml:space="preserve">
</t>
        </r>
      </text>
    </comment>
    <comment ref="AF10" authorId="0">
      <text>
        <r>
          <rPr>
            <sz val="9"/>
            <color indexed="81"/>
            <rFont val="Tahoma"/>
            <family val="2"/>
          </rPr>
          <t>MoE of the CI at left</t>
        </r>
      </text>
    </comment>
    <comment ref="C11" authorId="0">
      <text>
        <r>
          <rPr>
            <sz val="9"/>
            <color indexed="81"/>
            <rFont val="Tahoma"/>
            <family val="2"/>
          </rPr>
          <t>Sizes of the groups</t>
        </r>
        <r>
          <rPr>
            <sz val="9"/>
            <color indexed="81"/>
            <rFont val="Tahoma"/>
            <family val="2"/>
          </rPr>
          <t xml:space="preserve">
</t>
        </r>
      </text>
    </comment>
    <comment ref="Z11" authorId="0">
      <text>
        <r>
          <rPr>
            <sz val="9"/>
            <color indexed="81"/>
            <rFont val="Tahoma"/>
            <family val="2"/>
          </rPr>
          <t xml:space="preserve">Mean of the </t>
        </r>
        <r>
          <rPr>
            <b/>
            <sz val="9"/>
            <color indexed="12"/>
            <rFont val="Tahoma"/>
            <family val="2"/>
          </rPr>
          <t>blue</t>
        </r>
        <r>
          <rPr>
            <sz val="9"/>
            <color indexed="81"/>
            <rFont val="Tahoma"/>
            <family val="2"/>
          </rPr>
          <t xml:space="preserve"> subset of group means, displayed below as the </t>
        </r>
        <r>
          <rPr>
            <b/>
            <sz val="9"/>
            <color indexed="12"/>
            <rFont val="Tahoma"/>
            <family val="2"/>
          </rPr>
          <t>blue</t>
        </r>
        <r>
          <rPr>
            <sz val="9"/>
            <color indexed="81"/>
            <rFont val="Tahoma"/>
            <family val="2"/>
          </rPr>
          <t xml:space="preserve"> square, with its CI</t>
        </r>
      </text>
    </comment>
    <comment ref="AA11" authorId="0">
      <text>
        <r>
          <rPr>
            <sz val="9"/>
            <color indexed="81"/>
            <rFont val="Tahoma"/>
            <family val="2"/>
          </rPr>
          <t xml:space="preserve">CI on the mean of the </t>
        </r>
        <r>
          <rPr>
            <b/>
            <sz val="9"/>
            <color indexed="12"/>
            <rFont val="Tahoma"/>
            <family val="2"/>
          </rPr>
          <t>blue</t>
        </r>
        <r>
          <rPr>
            <sz val="9"/>
            <color indexed="81"/>
            <rFont val="Tahoma"/>
            <family val="2"/>
          </rPr>
          <t xml:space="preserve"> subset</t>
        </r>
      </text>
    </comment>
    <comment ref="C12" authorId="0">
      <text>
        <r>
          <rPr>
            <sz val="9"/>
            <color indexed="81"/>
            <rFont val="Tahoma"/>
            <family val="2"/>
          </rPr>
          <t>Means of the groups</t>
        </r>
        <r>
          <rPr>
            <sz val="9"/>
            <color indexed="81"/>
            <rFont val="Tahoma"/>
            <family val="2"/>
          </rPr>
          <t xml:space="preserve">
</t>
        </r>
      </text>
    </comment>
    <comment ref="C13" authorId="0">
      <text>
        <r>
          <rPr>
            <sz val="9"/>
            <color indexed="81"/>
            <rFont val="Tahoma"/>
            <family val="2"/>
          </rPr>
          <t>Standard deviations of the groups</t>
        </r>
        <r>
          <rPr>
            <sz val="9"/>
            <color indexed="81"/>
            <rFont val="Tahoma"/>
            <family val="2"/>
          </rPr>
          <t xml:space="preserve">
</t>
        </r>
      </text>
    </comment>
    <comment ref="E15" authorId="0">
      <text>
        <r>
          <rPr>
            <sz val="9"/>
            <color indexed="81"/>
            <rFont val="Tahoma"/>
            <family val="2"/>
          </rPr>
          <t xml:space="preserve">CIs on the group means, each calculated from the pooled SD, which is pooled over all groups assuming homogeneity of variance.
</t>
        </r>
      </text>
    </comment>
    <comment ref="C16" authorId="0">
      <text>
        <r>
          <rPr>
            <sz val="9"/>
            <color indexed="81"/>
            <rFont val="Tahoma"/>
            <family val="2"/>
          </rPr>
          <t>Margin of error (MoE) of the CIs on group means</t>
        </r>
        <r>
          <rPr>
            <sz val="9"/>
            <color indexed="81"/>
            <rFont val="Tahoma"/>
            <family val="2"/>
          </rPr>
          <t xml:space="preserve">
</t>
        </r>
      </text>
    </comment>
    <comment ref="C17" authorId="0">
      <text>
        <r>
          <rPr>
            <sz val="9"/>
            <color indexed="81"/>
            <rFont val="Tahoma"/>
            <family val="2"/>
          </rPr>
          <t>Upper limit (UL) of the CIs on group means</t>
        </r>
        <r>
          <rPr>
            <sz val="9"/>
            <color indexed="81"/>
            <rFont val="Tahoma"/>
            <family val="2"/>
          </rPr>
          <t xml:space="preserve">
</t>
        </r>
      </text>
    </comment>
    <comment ref="C18" authorId="0">
      <text>
        <r>
          <rPr>
            <sz val="9"/>
            <color indexed="81"/>
            <rFont val="Tahoma"/>
            <family val="2"/>
          </rPr>
          <t>Lower limit (LL) of the CIs on group means</t>
        </r>
        <r>
          <rPr>
            <sz val="9"/>
            <color indexed="81"/>
            <rFont val="Tahoma"/>
            <family val="2"/>
          </rPr>
          <t xml:space="preserve">
</t>
        </r>
      </text>
    </comment>
    <comment ref="C19" authorId="0">
      <text>
        <r>
          <rPr>
            <i/>
            <sz val="9"/>
            <color indexed="81"/>
            <rFont val="Tahoma"/>
            <family val="2"/>
          </rPr>
          <t>df</t>
        </r>
        <r>
          <rPr>
            <sz val="9"/>
            <color indexed="81"/>
            <rFont val="Tahoma"/>
            <family val="2"/>
          </rPr>
          <t xml:space="preserve"> for calculating the CIs on group means</t>
        </r>
        <r>
          <rPr>
            <sz val="9"/>
            <color indexed="81"/>
            <rFont val="Tahoma"/>
            <family val="2"/>
          </rPr>
          <t xml:space="preserve">
</t>
        </r>
      </text>
    </comment>
    <comment ref="E21" authorId="0">
      <text>
        <r>
          <rPr>
            <sz val="9"/>
            <color indexed="81"/>
            <rFont val="Tahoma"/>
            <family val="2"/>
          </rPr>
          <t>Click to select between two data entry options</t>
        </r>
      </text>
    </comment>
    <comment ref="F22" authorId="0">
      <text>
        <r>
          <rPr>
            <sz val="9"/>
            <color indexed="81"/>
            <rFont val="Tahoma"/>
            <family val="2"/>
          </rPr>
          <t xml:space="preserve">Click to be able to enter summary descriptive statistics for each group at </t>
        </r>
        <r>
          <rPr>
            <b/>
            <sz val="10"/>
            <color indexed="10"/>
            <rFont val="Tahoma"/>
            <family val="2"/>
          </rPr>
          <t>3</t>
        </r>
        <r>
          <rPr>
            <sz val="9"/>
            <color indexed="81"/>
            <rFont val="Tahoma"/>
            <family val="2"/>
          </rPr>
          <t xml:space="preserve"> above</t>
        </r>
      </text>
    </comment>
    <comment ref="I22" authorId="0">
      <text>
        <r>
          <rPr>
            <sz val="9"/>
            <color indexed="81"/>
            <rFont val="Tahoma"/>
            <family val="2"/>
          </rPr>
          <t>Click to be able to enter full data for each group below</t>
        </r>
      </text>
    </comment>
    <comment ref="C25" authorId="0">
      <text>
        <r>
          <rPr>
            <sz val="9"/>
            <color indexed="81"/>
            <rFont val="Tahoma"/>
            <family val="2"/>
          </rPr>
          <t xml:space="preserve">When right hand button clicked at </t>
        </r>
        <r>
          <rPr>
            <b/>
            <sz val="10"/>
            <color indexed="10"/>
            <rFont val="Tahoma"/>
            <family val="2"/>
          </rPr>
          <t>2</t>
        </r>
        <r>
          <rPr>
            <sz val="9"/>
            <color indexed="81"/>
            <rFont val="Tahoma"/>
            <family val="2"/>
          </rPr>
          <t>, enter full data here for every group</t>
        </r>
      </text>
    </comment>
  </commentList>
</comments>
</file>

<file path=xl/comments12.xml><?xml version="1.0" encoding="utf-8"?>
<comments xmlns="http://schemas.openxmlformats.org/spreadsheetml/2006/main">
  <authors>
    <author>Geoff Cumming</author>
  </authors>
  <commentList>
    <comment ref="Q1" authorId="0">
      <text>
        <r>
          <rPr>
            <sz val="9"/>
            <color indexed="81"/>
            <rFont val="Tahoma"/>
            <family val="2"/>
          </rPr>
          <t xml:space="preserve">Information about the effect selected at </t>
        </r>
        <r>
          <rPr>
            <b/>
            <sz val="10"/>
            <color indexed="10"/>
            <rFont val="Tahoma"/>
            <family val="2"/>
          </rPr>
          <t xml:space="preserve">7 </t>
        </r>
        <r>
          <rPr>
            <sz val="9"/>
            <color indexed="81"/>
            <rFont val="Tahoma"/>
            <family val="2"/>
          </rPr>
          <t xml:space="preserve">or </t>
        </r>
        <r>
          <rPr>
            <b/>
            <sz val="10"/>
            <color indexed="10"/>
            <rFont val="Tahoma"/>
            <family val="2"/>
          </rPr>
          <t xml:space="preserve"> 8 </t>
        </r>
        <r>
          <rPr>
            <sz val="9"/>
            <color indexed="81"/>
            <rFont val="Tahoma"/>
            <family val="2"/>
          </rPr>
          <t>or</t>
        </r>
        <r>
          <rPr>
            <b/>
            <sz val="10"/>
            <color indexed="10"/>
            <rFont val="Tahoma"/>
            <family val="2"/>
          </rPr>
          <t xml:space="preserve">  9</t>
        </r>
        <r>
          <rPr>
            <sz val="9"/>
            <color indexed="81"/>
            <rFont val="Tahoma"/>
            <family val="2"/>
          </rPr>
          <t xml:space="preserve"> below </t>
        </r>
        <r>
          <rPr>
            <sz val="9"/>
            <color indexed="81"/>
            <rFont val="Tahoma"/>
            <family val="2"/>
          </rPr>
          <t xml:space="preserve">
</t>
        </r>
      </text>
    </comment>
    <comment ref="AH1" authorId="0">
      <text>
        <r>
          <rPr>
            <sz val="9"/>
            <color indexed="81"/>
            <rFont val="Tahoma"/>
            <family val="2"/>
          </rPr>
          <t xml:space="preserve">Click to display </t>
        </r>
        <r>
          <rPr>
            <i/>
            <sz val="9"/>
            <color indexed="81"/>
            <rFont val="Tahoma"/>
            <family val="2"/>
          </rPr>
          <t>p</t>
        </r>
        <r>
          <rPr>
            <sz val="9"/>
            <color indexed="81"/>
            <rFont val="Tahoma"/>
            <family val="2"/>
          </rPr>
          <t xml:space="preserve"> value to evaluate the null hypothesis that the chosen effect is zero in the population</t>
        </r>
        <r>
          <rPr>
            <sz val="9"/>
            <color indexed="81"/>
            <rFont val="Tahoma"/>
            <family val="2"/>
          </rPr>
          <t xml:space="preserve">
__________________
The </t>
        </r>
        <r>
          <rPr>
            <i/>
            <sz val="9"/>
            <color indexed="81"/>
            <rFont val="Tahoma"/>
            <family val="2"/>
          </rPr>
          <t>p</t>
        </r>
        <r>
          <rPr>
            <sz val="9"/>
            <color indexed="81"/>
            <rFont val="Tahoma"/>
            <family val="2"/>
          </rPr>
          <t xml:space="preserve"> value is two-tailed</t>
        </r>
      </text>
    </comment>
    <comment ref="BA1" author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4</t>
        </r>
        <r>
          <rPr>
            <sz val="9"/>
            <color indexed="81"/>
            <rFont val="Tahoma"/>
            <family val="2"/>
          </rPr>
          <t xml:space="preserve"> at left. Replace any existing data.
___________
You can also enter new data below, for later transfer left. </t>
        </r>
      </text>
    </comment>
    <comment ref="BH1" author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4</t>
        </r>
        <r>
          <rPr>
            <sz val="9"/>
            <color indexed="81"/>
            <rFont val="Tahoma"/>
            <family val="2"/>
          </rPr>
          <t xml:space="preserve"> at left. Replace any existing data.
___________
You can also enter new data below, for later transfer left. </t>
        </r>
      </text>
    </comment>
    <comment ref="BO1" author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4</t>
        </r>
        <r>
          <rPr>
            <sz val="9"/>
            <color indexed="81"/>
            <rFont val="Tahoma"/>
            <family val="2"/>
          </rPr>
          <t xml:space="preserve"> at left. Replace any existing data.
___________
You can also enter new data below, for later transfer left. </t>
        </r>
      </text>
    </comment>
    <comment ref="AC2" authorId="0">
      <text>
        <r>
          <rPr>
            <sz val="9"/>
            <color indexed="81"/>
            <rFont val="Tahoma"/>
            <family val="2"/>
          </rPr>
          <t>MoE of the CI at left</t>
        </r>
      </text>
    </comment>
    <comment ref="V3" authorId="0">
      <text>
        <r>
          <rPr>
            <sz val="9"/>
            <color indexed="81"/>
            <rFont val="Tahoma"/>
            <family val="2"/>
          </rPr>
          <t>The effect chosen for examination, which is displayed below as the triangle, with its CI, on the difference axis</t>
        </r>
      </text>
    </comment>
    <comment ref="X3" authorId="0">
      <text>
        <r>
          <rPr>
            <sz val="9"/>
            <color indexed="81"/>
            <rFont val="Tahoma"/>
            <family val="2"/>
          </rPr>
          <t>CI on the effect displayed below as the triangle, on the difference axis</t>
        </r>
      </text>
    </comment>
    <comment ref="BB3" authorId="0">
      <text>
        <r>
          <rPr>
            <sz val="9"/>
            <color indexed="81"/>
            <rFont val="Tahoma"/>
            <family val="2"/>
          </rPr>
          <t>Type in a short name for the dataset if you wish</t>
        </r>
        <r>
          <rPr>
            <sz val="9"/>
            <color indexed="81"/>
            <rFont val="Tahoma"/>
            <family val="2"/>
          </rPr>
          <t xml:space="preserve">
</t>
        </r>
      </text>
    </comment>
    <comment ref="BI3" authorId="0">
      <text>
        <r>
          <rPr>
            <sz val="9"/>
            <color indexed="81"/>
            <rFont val="Tahoma"/>
            <family val="2"/>
          </rPr>
          <t>Type in a short name for the dataset if you wish</t>
        </r>
        <r>
          <rPr>
            <sz val="9"/>
            <color indexed="81"/>
            <rFont val="Tahoma"/>
            <family val="2"/>
          </rPr>
          <t xml:space="preserve">
</t>
        </r>
      </text>
    </comment>
    <comment ref="BP3" authorId="0">
      <text>
        <r>
          <rPr>
            <sz val="9"/>
            <color indexed="81"/>
            <rFont val="Tahoma"/>
            <family val="2"/>
          </rPr>
          <t>Type in a short name for the dataset if you wish</t>
        </r>
        <r>
          <rPr>
            <sz val="9"/>
            <color indexed="81"/>
            <rFont val="Tahoma"/>
            <family val="2"/>
          </rPr>
          <t xml:space="preserve">
</t>
        </r>
      </text>
    </comment>
    <comment ref="L4" authorId="0">
      <text>
        <r>
          <rPr>
            <sz val="9"/>
            <color indexed="81"/>
            <rFont val="Tahoma"/>
            <family val="2"/>
          </rPr>
          <t>Click to clear all current data</t>
        </r>
        <r>
          <rPr>
            <sz val="9"/>
            <color indexed="81"/>
            <rFont val="Tahoma"/>
            <family val="2"/>
          </rPr>
          <t xml:space="preserve">
</t>
        </r>
      </text>
    </comment>
    <comment ref="AB4" authorId="0">
      <text>
        <r>
          <rPr>
            <i/>
            <sz val="9"/>
            <color indexed="81"/>
            <rFont val="Tahoma"/>
            <family val="2"/>
          </rPr>
          <t>df</t>
        </r>
        <r>
          <rPr>
            <sz val="9"/>
            <color indexed="81"/>
            <rFont val="Tahoma"/>
            <family val="2"/>
          </rPr>
          <t xml:space="preserve"> of the SD estimate used to calculate the CI above left, and also the two CIs below</t>
        </r>
        <r>
          <rPr>
            <sz val="9"/>
            <color indexed="81"/>
            <rFont val="Tahoma"/>
            <family val="2"/>
          </rPr>
          <t xml:space="preserve">
</t>
        </r>
      </text>
    </comment>
    <comment ref="BB4" authorId="0">
      <text>
        <r>
          <rPr>
            <sz val="9"/>
            <color indexed="81"/>
            <rFont val="Tahoma"/>
            <family val="2"/>
          </rPr>
          <t>Type in a short name for the dependent variable, if you wish</t>
        </r>
        <r>
          <rPr>
            <sz val="9"/>
            <color indexed="81"/>
            <rFont val="Tahoma"/>
            <family val="2"/>
          </rPr>
          <t xml:space="preserve">
</t>
        </r>
      </text>
    </comment>
    <comment ref="BI4" authorId="0">
      <text>
        <r>
          <rPr>
            <sz val="9"/>
            <color indexed="81"/>
            <rFont val="Tahoma"/>
            <family val="2"/>
          </rPr>
          <t>Type in a short name for the dependent variable, if you wish</t>
        </r>
        <r>
          <rPr>
            <sz val="9"/>
            <color indexed="81"/>
            <rFont val="Tahoma"/>
            <family val="2"/>
          </rPr>
          <t xml:space="preserve">
</t>
        </r>
      </text>
    </comment>
    <comment ref="BP4" authorId="0">
      <text>
        <r>
          <rPr>
            <sz val="9"/>
            <color indexed="81"/>
            <rFont val="Tahoma"/>
            <family val="2"/>
          </rPr>
          <t>Type in a short name for the dependent variable, if you wish</t>
        </r>
        <r>
          <rPr>
            <sz val="9"/>
            <color indexed="81"/>
            <rFont val="Tahoma"/>
            <family val="2"/>
          </rPr>
          <t xml:space="preserve">
</t>
        </r>
      </text>
    </comment>
    <comment ref="E5" authorId="0">
      <text>
        <r>
          <rPr>
            <sz val="9"/>
            <color indexed="81"/>
            <rFont val="Tahoma"/>
            <family val="2"/>
          </rPr>
          <t>Type in below short names for the dataset, and the dependent variable, if you wish</t>
        </r>
        <r>
          <rPr>
            <sz val="9"/>
            <color indexed="81"/>
            <rFont val="Tahoma"/>
            <family val="2"/>
          </rPr>
          <t xml:space="preserve">
</t>
        </r>
      </text>
    </comment>
    <comment ref="H5" authorId="0">
      <text>
        <r>
          <rPr>
            <sz val="9"/>
            <color indexed="81"/>
            <rFont val="Tahoma"/>
            <family val="2"/>
          </rPr>
          <t>The level of confidence of the CIs. Use the spinner or type in a value of C.
Min 1, max 99.9.</t>
        </r>
      </text>
    </comment>
    <comment ref="E6" authorId="0">
      <text>
        <r>
          <rPr>
            <sz val="9"/>
            <color indexed="81"/>
            <rFont val="Tahoma"/>
            <family val="2"/>
          </rPr>
          <t>Type in a short name for the dataset if you wish</t>
        </r>
        <r>
          <rPr>
            <sz val="9"/>
            <color indexed="81"/>
            <rFont val="Tahoma"/>
            <family val="2"/>
          </rPr>
          <t xml:space="preserve">
</t>
        </r>
      </text>
    </comment>
    <comment ref="T6" authorId="0">
      <text>
        <r>
          <rPr>
            <sz val="9"/>
            <color indexed="81"/>
            <rFont val="Tahoma"/>
            <family val="2"/>
          </rPr>
          <t xml:space="preserve">Click checkboxes below to select </t>
        </r>
        <r>
          <rPr>
            <b/>
            <sz val="9"/>
            <color indexed="17"/>
            <rFont val="Tahoma"/>
            <family val="2"/>
          </rPr>
          <t>green</t>
        </r>
        <r>
          <rPr>
            <sz val="9"/>
            <color indexed="81"/>
            <rFont val="Tahoma"/>
            <family val="2"/>
          </rPr>
          <t xml:space="preserve"> and </t>
        </r>
        <r>
          <rPr>
            <b/>
            <sz val="9"/>
            <color indexed="12"/>
            <rFont val="Tahoma"/>
            <family val="2"/>
          </rPr>
          <t>blue</t>
        </r>
        <r>
          <rPr>
            <sz val="9"/>
            <color indexed="81"/>
            <rFont val="Tahoma"/>
            <family val="2"/>
          </rPr>
          <t xml:space="preserve"> subsets of group means to be compared</t>
        </r>
        <r>
          <rPr>
            <sz val="9"/>
            <color indexed="81"/>
            <rFont val="Tahoma"/>
            <family val="2"/>
          </rPr>
          <t xml:space="preserve">
_______________
No mean can belong to both subsets</t>
        </r>
      </text>
    </comment>
    <comment ref="W6" authorId="0">
      <text>
        <r>
          <rPr>
            <sz val="9"/>
            <color indexed="81"/>
            <rFont val="Tahoma"/>
            <family val="2"/>
          </rPr>
          <t>Click to see the main effect of A, or main effect of B</t>
        </r>
        <r>
          <rPr>
            <sz val="9"/>
            <color indexed="81"/>
            <rFont val="Tahoma"/>
            <family val="2"/>
          </rPr>
          <t xml:space="preserve">
</t>
        </r>
      </text>
    </comment>
    <comment ref="Y6" authorId="0">
      <text>
        <r>
          <rPr>
            <sz val="9"/>
            <color indexed="81"/>
            <rFont val="Tahoma"/>
            <family val="2"/>
          </rPr>
          <t>Click to see the interaction of the A and B independent variables.
This is the difference of the differences, which is this caculation of the group means:
(A2B2 - A2B1) - (A1B2 - A1B1)</t>
        </r>
        <r>
          <rPr>
            <sz val="9"/>
            <color indexed="81"/>
            <rFont val="Tahoma"/>
            <family val="2"/>
          </rPr>
          <t xml:space="preserve">
</t>
        </r>
      </text>
    </comment>
    <comment ref="E7" authorId="0">
      <text>
        <r>
          <rPr>
            <sz val="9"/>
            <color indexed="81"/>
            <rFont val="Tahoma"/>
            <family val="2"/>
          </rPr>
          <t>Type in a short name for the dependent variable, if you wish</t>
        </r>
        <r>
          <rPr>
            <sz val="9"/>
            <color indexed="81"/>
            <rFont val="Tahoma"/>
            <family val="2"/>
          </rPr>
          <t xml:space="preserve">
</t>
        </r>
      </text>
    </comment>
    <comment ref="K7" authorId="0">
      <text>
        <r>
          <rPr>
            <sz val="9"/>
            <color indexed="81"/>
            <rFont val="Tahoma"/>
            <family val="2"/>
          </rPr>
          <t xml:space="preserve">Click at right to select one or more means as the </t>
        </r>
        <r>
          <rPr>
            <b/>
            <sz val="9"/>
            <color indexed="17"/>
            <rFont val="Tahoma"/>
            <family val="2"/>
          </rPr>
          <t>green</t>
        </r>
        <r>
          <rPr>
            <sz val="9"/>
            <color indexed="81"/>
            <rFont val="Tahoma"/>
            <family val="2"/>
          </rPr>
          <t xml:space="preserve"> subset. 
______________
The mean of the </t>
        </r>
        <r>
          <rPr>
            <b/>
            <sz val="9"/>
            <color indexed="12"/>
            <rFont val="Tahoma"/>
            <family val="2"/>
          </rPr>
          <t>blue</t>
        </r>
        <r>
          <rPr>
            <sz val="9"/>
            <color indexed="81"/>
            <rFont val="Tahoma"/>
            <family val="2"/>
          </rPr>
          <t xml:space="preserve"> means is subtracted from the mean of these </t>
        </r>
        <r>
          <rPr>
            <b/>
            <sz val="9"/>
            <color indexed="17"/>
            <rFont val="Tahoma"/>
            <family val="2"/>
          </rPr>
          <t>green</t>
        </r>
        <r>
          <rPr>
            <sz val="9"/>
            <color indexed="81"/>
            <rFont val="Tahoma"/>
            <family val="2"/>
          </rPr>
          <t xml:space="preserve"> means. (Don't select any mean in both the blue and green subsets.)</t>
        </r>
        <r>
          <rPr>
            <sz val="9"/>
            <color indexed="81"/>
            <rFont val="Tahoma"/>
            <family val="2"/>
          </rPr>
          <t xml:space="preserve">
</t>
        </r>
      </text>
    </comment>
    <comment ref="AG7" authorId="0">
      <text>
        <r>
          <rPr>
            <sz val="9"/>
            <color indexed="81"/>
            <rFont val="Tahoma"/>
            <family val="2"/>
          </rPr>
          <t>MoE of the CI at left</t>
        </r>
      </text>
    </comment>
    <comment ref="BB7" authorId="0">
      <text>
        <r>
          <rPr>
            <sz val="9"/>
            <color indexed="81"/>
            <rFont val="Tahoma"/>
            <family val="2"/>
          </rPr>
          <t>Type in at right short names for A1 and A2, the two levels of the A independent variable</t>
        </r>
        <r>
          <rPr>
            <sz val="9"/>
            <color indexed="81"/>
            <rFont val="Tahoma"/>
            <family val="2"/>
          </rPr>
          <t xml:space="preserve">
</t>
        </r>
      </text>
    </comment>
    <comment ref="BI7" authorId="0">
      <text>
        <r>
          <rPr>
            <sz val="9"/>
            <color indexed="81"/>
            <rFont val="Tahoma"/>
            <family val="2"/>
          </rPr>
          <t>Type in at right short names for A1 and A2, the two levels of the A independent variable</t>
        </r>
        <r>
          <rPr>
            <sz val="9"/>
            <color indexed="81"/>
            <rFont val="Tahoma"/>
            <family val="2"/>
          </rPr>
          <t xml:space="preserve">
</t>
        </r>
      </text>
    </comment>
    <comment ref="BP7" authorId="0">
      <text>
        <r>
          <rPr>
            <sz val="9"/>
            <color indexed="81"/>
            <rFont val="Tahoma"/>
            <family val="2"/>
          </rPr>
          <t>Type in at right short names for A1 and A2, the two levels of the A independent variable</t>
        </r>
        <r>
          <rPr>
            <sz val="9"/>
            <color indexed="81"/>
            <rFont val="Tahoma"/>
            <family val="2"/>
          </rPr>
          <t xml:space="preserve">
</t>
        </r>
      </text>
    </comment>
    <comment ref="F8" authorId="0">
      <text>
        <r>
          <rPr>
            <sz val="9"/>
            <color indexed="81"/>
            <rFont val="Tahoma"/>
            <family val="2"/>
          </rPr>
          <t xml:space="preserve">Summary information for the four independent groups.
________________
The buttons at </t>
        </r>
        <r>
          <rPr>
            <b/>
            <sz val="10"/>
            <color indexed="10"/>
            <rFont val="Tahoma"/>
            <family val="2"/>
          </rPr>
          <t>2</t>
        </r>
        <r>
          <rPr>
            <sz val="9"/>
            <color indexed="81"/>
            <rFont val="Tahoma"/>
            <family val="2"/>
          </rPr>
          <t xml:space="preserve"> determine whether group descriptive statistics here are typed in, or calculated.</t>
        </r>
      </text>
    </comment>
    <comment ref="AA8" authorId="0">
      <text>
        <r>
          <rPr>
            <sz val="9"/>
            <color indexed="81"/>
            <rFont val="Tahoma"/>
            <family val="2"/>
          </rPr>
          <t xml:space="preserve">Mean </t>
        </r>
        <r>
          <rPr>
            <sz val="9"/>
            <color indexed="81"/>
            <rFont val="Tahoma"/>
            <family val="2"/>
          </rPr>
          <t xml:space="preserve">displayed below as the </t>
        </r>
        <r>
          <rPr>
            <b/>
            <sz val="9"/>
            <color indexed="17"/>
            <rFont val="Tahoma"/>
            <family val="2"/>
          </rPr>
          <t>green</t>
        </r>
        <r>
          <rPr>
            <sz val="9"/>
            <color indexed="81"/>
            <rFont val="Tahoma"/>
            <family val="2"/>
          </rPr>
          <t xml:space="preserve"> square, with its CI</t>
        </r>
      </text>
    </comment>
    <comment ref="AB8" authorId="0">
      <text>
        <r>
          <rPr>
            <sz val="9"/>
            <color indexed="81"/>
            <rFont val="Tahoma"/>
            <family val="2"/>
          </rPr>
          <t xml:space="preserve">CI on the mean displayed </t>
        </r>
        <r>
          <rPr>
            <b/>
            <sz val="9"/>
            <color indexed="17"/>
            <rFont val="Tahoma"/>
            <family val="2"/>
          </rPr>
          <t>green</t>
        </r>
        <r>
          <rPr>
            <sz val="9"/>
            <color indexed="81"/>
            <rFont val="Tahoma"/>
            <family val="2"/>
          </rPr>
          <t xml:space="preserve"> </t>
        </r>
      </text>
    </comment>
    <comment ref="BA9" authorId="0">
      <text>
        <r>
          <rPr>
            <sz val="9"/>
            <color indexed="81"/>
            <rFont val="Tahoma"/>
            <family val="2"/>
          </rPr>
          <t>Type in a short name for B1, the first level of the B independent variable</t>
        </r>
        <r>
          <rPr>
            <sz val="9"/>
            <color indexed="81"/>
            <rFont val="Tahoma"/>
            <family val="2"/>
          </rPr>
          <t xml:space="preserve">
</t>
        </r>
      </text>
    </comment>
    <comment ref="BH9" authorId="0">
      <text>
        <r>
          <rPr>
            <sz val="9"/>
            <color indexed="81"/>
            <rFont val="Tahoma"/>
            <family val="2"/>
          </rPr>
          <t>Type in a short name for B1, the first level of the B independent variable</t>
        </r>
        <r>
          <rPr>
            <sz val="9"/>
            <color indexed="81"/>
            <rFont val="Tahoma"/>
            <family val="2"/>
          </rPr>
          <t xml:space="preserve">
</t>
        </r>
      </text>
    </comment>
    <comment ref="BO9" authorId="0">
      <text>
        <r>
          <rPr>
            <sz val="9"/>
            <color indexed="81"/>
            <rFont val="Tahoma"/>
            <family val="2"/>
          </rPr>
          <t>Type in a short name for B1, the first level of the B independent variable</t>
        </r>
        <r>
          <rPr>
            <sz val="9"/>
            <color indexed="81"/>
            <rFont val="Tahoma"/>
            <family val="2"/>
          </rPr>
          <t xml:space="preserve">
</t>
        </r>
      </text>
    </comment>
    <comment ref="F10" authorId="0">
      <text>
        <r>
          <rPr>
            <sz val="9"/>
            <color indexed="81"/>
            <rFont val="Tahoma"/>
            <family val="2"/>
          </rPr>
          <t>Type in short names at right for A1 and A2, the two levels of the A independent variable</t>
        </r>
        <r>
          <rPr>
            <sz val="9"/>
            <color indexed="81"/>
            <rFont val="Tahoma"/>
            <family val="2"/>
          </rPr>
          <t xml:space="preserve">
</t>
        </r>
      </text>
    </comment>
    <comment ref="K10" authorId="0">
      <text>
        <r>
          <rPr>
            <sz val="9"/>
            <color indexed="81"/>
            <rFont val="Tahoma"/>
            <family val="2"/>
          </rPr>
          <t xml:space="preserve">Click at right to select one or more means as the </t>
        </r>
        <r>
          <rPr>
            <b/>
            <sz val="9"/>
            <color indexed="12"/>
            <rFont val="Tahoma"/>
            <family val="2"/>
          </rPr>
          <t>blue</t>
        </r>
        <r>
          <rPr>
            <sz val="9"/>
            <color indexed="81"/>
            <rFont val="Tahoma"/>
            <family val="2"/>
          </rPr>
          <t xml:space="preserve"> subset. 
______________
The mean of these </t>
        </r>
        <r>
          <rPr>
            <b/>
            <sz val="9"/>
            <color indexed="12"/>
            <rFont val="Tahoma"/>
            <family val="2"/>
          </rPr>
          <t>blue</t>
        </r>
        <r>
          <rPr>
            <sz val="9"/>
            <color indexed="81"/>
            <rFont val="Tahoma"/>
            <family val="2"/>
          </rPr>
          <t xml:space="preserve"> means is subtracted from the mean of the </t>
        </r>
        <r>
          <rPr>
            <b/>
            <sz val="9"/>
            <color indexed="17"/>
            <rFont val="Tahoma"/>
            <family val="2"/>
          </rPr>
          <t>green</t>
        </r>
        <r>
          <rPr>
            <sz val="9"/>
            <color indexed="81"/>
            <rFont val="Tahoma"/>
            <family val="2"/>
          </rPr>
          <t xml:space="preserve"> means. (Don't select any mean in both the blue and green subsets.)</t>
        </r>
        <r>
          <rPr>
            <sz val="9"/>
            <color indexed="81"/>
            <rFont val="Tahoma"/>
            <family val="2"/>
          </rPr>
          <t xml:space="preserve">
</t>
        </r>
      </text>
    </comment>
    <comment ref="AG10" authorId="0">
      <text>
        <r>
          <rPr>
            <sz val="9"/>
            <color indexed="81"/>
            <rFont val="Tahoma"/>
            <family val="2"/>
          </rPr>
          <t>MoE of the CI at left</t>
        </r>
      </text>
    </comment>
    <comment ref="G11" authorId="0">
      <text>
        <r>
          <rPr>
            <sz val="9"/>
            <color indexed="81"/>
            <rFont val="Tahoma"/>
            <family val="2"/>
          </rPr>
          <t>Conventional labels for a group, in terms of:
Levels 1 and 2 of independent variable 'A', and
Levels 1 and 2 of independent variable 'B'</t>
        </r>
      </text>
    </comment>
    <comment ref="H11" authorId="0">
      <text>
        <r>
          <rPr>
            <sz val="9"/>
            <color indexed="81"/>
            <rFont val="Tahoma"/>
            <family val="2"/>
          </rPr>
          <t>Conventional labels for a group, in terms of:
Levels 1 and 2 of independent variable 'A', and
Levels 1 and 2 of independent variable 'B'</t>
        </r>
      </text>
    </comment>
    <comment ref="AA11" authorId="0">
      <text>
        <r>
          <rPr>
            <sz val="9"/>
            <color indexed="81"/>
            <rFont val="Tahoma"/>
            <family val="2"/>
          </rPr>
          <t xml:space="preserve">Mean </t>
        </r>
        <r>
          <rPr>
            <sz val="9"/>
            <color indexed="81"/>
            <rFont val="Tahoma"/>
            <family val="2"/>
          </rPr>
          <t xml:space="preserve">displayed below as the </t>
        </r>
        <r>
          <rPr>
            <b/>
            <sz val="9"/>
            <color indexed="12"/>
            <rFont val="Tahoma"/>
            <family val="2"/>
          </rPr>
          <t>blue</t>
        </r>
        <r>
          <rPr>
            <sz val="9"/>
            <color indexed="81"/>
            <rFont val="Tahoma"/>
            <family val="2"/>
          </rPr>
          <t xml:space="preserve"> square, with its CI</t>
        </r>
      </text>
    </comment>
    <comment ref="AB11" authorId="0">
      <text>
        <r>
          <rPr>
            <sz val="9"/>
            <color indexed="81"/>
            <rFont val="Tahoma"/>
            <family val="2"/>
          </rPr>
          <t xml:space="preserve">CI on the mean displayed </t>
        </r>
        <r>
          <rPr>
            <b/>
            <sz val="9"/>
            <color indexed="12"/>
            <rFont val="Tahoma"/>
            <family val="2"/>
          </rPr>
          <t>blue</t>
        </r>
      </text>
    </comment>
    <comment ref="BA11" authorId="0">
      <text>
        <r>
          <rPr>
            <sz val="9"/>
            <color indexed="81"/>
            <rFont val="Tahoma"/>
            <family val="2"/>
          </rPr>
          <t>Type in a short name for B2, the second level of the B independent variable</t>
        </r>
        <r>
          <rPr>
            <sz val="9"/>
            <color indexed="81"/>
            <rFont val="Tahoma"/>
            <family val="2"/>
          </rPr>
          <t xml:space="preserve">
</t>
        </r>
      </text>
    </comment>
    <comment ref="BH11" authorId="0">
      <text>
        <r>
          <rPr>
            <sz val="9"/>
            <color indexed="81"/>
            <rFont val="Tahoma"/>
            <family val="2"/>
          </rPr>
          <t>Type in a short name for B2, the second level of the B independent variable</t>
        </r>
        <r>
          <rPr>
            <sz val="9"/>
            <color indexed="81"/>
            <rFont val="Tahoma"/>
            <family val="2"/>
          </rPr>
          <t xml:space="preserve">
</t>
        </r>
      </text>
    </comment>
    <comment ref="BO11" authorId="0">
      <text>
        <r>
          <rPr>
            <sz val="9"/>
            <color indexed="81"/>
            <rFont val="Tahoma"/>
            <family val="2"/>
          </rPr>
          <t>Type in a short name for B2, the second level of the B independent variable</t>
        </r>
        <r>
          <rPr>
            <sz val="9"/>
            <color indexed="81"/>
            <rFont val="Tahoma"/>
            <family val="2"/>
          </rPr>
          <t xml:space="preserve">
</t>
        </r>
      </text>
    </comment>
    <comment ref="F12" authorId="0">
      <text>
        <r>
          <rPr>
            <sz val="9"/>
            <color indexed="81"/>
            <rFont val="Tahoma"/>
            <family val="2"/>
          </rPr>
          <t>Sizes of the groups</t>
        </r>
        <r>
          <rPr>
            <sz val="9"/>
            <color indexed="81"/>
            <rFont val="Tahoma"/>
            <family val="2"/>
          </rPr>
          <t xml:space="preserve">
</t>
        </r>
      </text>
    </comment>
    <comment ref="F13" authorId="0">
      <text>
        <r>
          <rPr>
            <sz val="9"/>
            <color indexed="81"/>
            <rFont val="Tahoma"/>
            <family val="2"/>
          </rPr>
          <t>Means of the groups</t>
        </r>
        <r>
          <rPr>
            <sz val="9"/>
            <color indexed="81"/>
            <rFont val="Tahoma"/>
            <family val="2"/>
          </rPr>
          <t xml:space="preserve">
</t>
        </r>
      </text>
    </comment>
    <comment ref="BB13" authorId="0">
      <text>
        <r>
          <rPr>
            <sz val="9"/>
            <color indexed="81"/>
            <rFont val="Tahoma"/>
            <family val="2"/>
          </rPr>
          <t>If group names are typed in above, they are copied here</t>
        </r>
        <r>
          <rPr>
            <sz val="9"/>
            <color indexed="81"/>
            <rFont val="Tahoma"/>
            <family val="2"/>
          </rPr>
          <t xml:space="preserve">
</t>
        </r>
      </text>
    </comment>
    <comment ref="BC13" authorId="0">
      <text>
        <r>
          <rPr>
            <sz val="9"/>
            <color indexed="81"/>
            <rFont val="Tahoma"/>
            <family val="2"/>
          </rPr>
          <t>If group names are typed in above, they are copied here</t>
        </r>
        <r>
          <rPr>
            <sz val="9"/>
            <color indexed="81"/>
            <rFont val="Tahoma"/>
            <family val="2"/>
          </rPr>
          <t xml:space="preserve">
</t>
        </r>
      </text>
    </comment>
    <comment ref="BD13" authorId="0">
      <text>
        <r>
          <rPr>
            <sz val="9"/>
            <color indexed="81"/>
            <rFont val="Tahoma"/>
            <family val="2"/>
          </rPr>
          <t>If group names are typed in above, they are copied here</t>
        </r>
        <r>
          <rPr>
            <sz val="9"/>
            <color indexed="81"/>
            <rFont val="Tahoma"/>
            <family val="2"/>
          </rPr>
          <t xml:space="preserve">
</t>
        </r>
      </text>
    </comment>
    <comment ref="BE13" authorId="0">
      <text>
        <r>
          <rPr>
            <sz val="9"/>
            <color indexed="81"/>
            <rFont val="Tahoma"/>
            <family val="2"/>
          </rPr>
          <t>If group names are typed in above, they are copied here</t>
        </r>
        <r>
          <rPr>
            <sz val="9"/>
            <color indexed="81"/>
            <rFont val="Tahoma"/>
            <family val="2"/>
          </rPr>
          <t xml:space="preserve">
</t>
        </r>
      </text>
    </comment>
    <comment ref="BI13" authorId="0">
      <text>
        <r>
          <rPr>
            <sz val="9"/>
            <color indexed="81"/>
            <rFont val="Tahoma"/>
            <family val="2"/>
          </rPr>
          <t>If group names are typed in above, they are copied here</t>
        </r>
        <r>
          <rPr>
            <sz val="9"/>
            <color indexed="81"/>
            <rFont val="Tahoma"/>
            <family val="2"/>
          </rPr>
          <t xml:space="preserve">
</t>
        </r>
      </text>
    </comment>
    <comment ref="BJ13" authorId="0">
      <text>
        <r>
          <rPr>
            <sz val="9"/>
            <color indexed="81"/>
            <rFont val="Tahoma"/>
            <family val="2"/>
          </rPr>
          <t>If group names are typed in above, they are copied here</t>
        </r>
        <r>
          <rPr>
            <sz val="9"/>
            <color indexed="81"/>
            <rFont val="Tahoma"/>
            <family val="2"/>
          </rPr>
          <t xml:space="preserve">
</t>
        </r>
      </text>
    </comment>
    <comment ref="BK13" authorId="0">
      <text>
        <r>
          <rPr>
            <sz val="9"/>
            <color indexed="81"/>
            <rFont val="Tahoma"/>
            <family val="2"/>
          </rPr>
          <t>If group names are typed in above, they are copied here</t>
        </r>
        <r>
          <rPr>
            <sz val="9"/>
            <color indexed="81"/>
            <rFont val="Tahoma"/>
            <family val="2"/>
          </rPr>
          <t xml:space="preserve">
</t>
        </r>
      </text>
    </comment>
    <comment ref="BL13" authorId="0">
      <text>
        <r>
          <rPr>
            <sz val="9"/>
            <color indexed="81"/>
            <rFont val="Tahoma"/>
            <family val="2"/>
          </rPr>
          <t>If group names are typed in above, they are copied here</t>
        </r>
        <r>
          <rPr>
            <sz val="9"/>
            <color indexed="81"/>
            <rFont val="Tahoma"/>
            <family val="2"/>
          </rPr>
          <t xml:space="preserve">
</t>
        </r>
      </text>
    </comment>
    <comment ref="BP13" authorId="0">
      <text>
        <r>
          <rPr>
            <sz val="9"/>
            <color indexed="81"/>
            <rFont val="Tahoma"/>
            <family val="2"/>
          </rPr>
          <t>If group names are typed in above, they are copied here</t>
        </r>
        <r>
          <rPr>
            <sz val="9"/>
            <color indexed="81"/>
            <rFont val="Tahoma"/>
            <family val="2"/>
          </rPr>
          <t xml:space="preserve">
</t>
        </r>
      </text>
    </comment>
    <comment ref="BQ13" authorId="0">
      <text>
        <r>
          <rPr>
            <sz val="9"/>
            <color indexed="81"/>
            <rFont val="Tahoma"/>
            <family val="2"/>
          </rPr>
          <t>If group names are typed in above, they are copied here</t>
        </r>
        <r>
          <rPr>
            <sz val="9"/>
            <color indexed="81"/>
            <rFont val="Tahoma"/>
            <family val="2"/>
          </rPr>
          <t xml:space="preserve">
</t>
        </r>
      </text>
    </comment>
    <comment ref="BR13" authorId="0">
      <text>
        <r>
          <rPr>
            <sz val="9"/>
            <color indexed="81"/>
            <rFont val="Tahoma"/>
            <family val="2"/>
          </rPr>
          <t>If group names are typed in above, they are copied here</t>
        </r>
        <r>
          <rPr>
            <sz val="9"/>
            <color indexed="81"/>
            <rFont val="Tahoma"/>
            <family val="2"/>
          </rPr>
          <t xml:space="preserve">
</t>
        </r>
      </text>
    </comment>
    <comment ref="BS13" authorId="0">
      <text>
        <r>
          <rPr>
            <sz val="9"/>
            <color indexed="81"/>
            <rFont val="Tahoma"/>
            <family val="2"/>
          </rPr>
          <t>If group names are typed in above, they are copied here</t>
        </r>
        <r>
          <rPr>
            <sz val="9"/>
            <color indexed="81"/>
            <rFont val="Tahoma"/>
            <family val="2"/>
          </rPr>
          <t xml:space="preserve">
</t>
        </r>
      </text>
    </comment>
    <comment ref="D14" authorId="0">
      <text>
        <r>
          <rPr>
            <sz val="9"/>
            <color indexed="81"/>
            <rFont val="Tahoma"/>
            <family val="2"/>
          </rPr>
          <t>Type in a short name for B1, the first level of the B independent variable</t>
        </r>
        <r>
          <rPr>
            <sz val="9"/>
            <color indexed="81"/>
            <rFont val="Tahoma"/>
            <family val="2"/>
          </rPr>
          <t xml:space="preserve">
</t>
        </r>
      </text>
    </comment>
    <comment ref="F14" authorId="0">
      <text>
        <r>
          <rPr>
            <sz val="9"/>
            <color indexed="81"/>
            <rFont val="Tahoma"/>
            <family val="2"/>
          </rPr>
          <t>Standard deviations of the groups</t>
        </r>
        <r>
          <rPr>
            <sz val="9"/>
            <color indexed="81"/>
            <rFont val="Tahoma"/>
            <family val="2"/>
          </rPr>
          <t xml:space="preserve">
</t>
        </r>
      </text>
    </comment>
    <comment ref="F15" authorId="0">
      <text>
        <r>
          <rPr>
            <sz val="9"/>
            <color indexed="81"/>
            <rFont val="Tahoma"/>
            <family val="2"/>
          </rPr>
          <t>Margin of error (MoE) of the pooled CIs on group means</t>
        </r>
        <r>
          <rPr>
            <sz val="9"/>
            <color indexed="81"/>
            <rFont val="Tahoma"/>
            <family val="2"/>
          </rPr>
          <t xml:space="preserve">
</t>
        </r>
      </text>
    </comment>
    <comment ref="BB15" authorId="0">
      <text>
        <r>
          <rPr>
            <sz val="9"/>
            <color indexed="81"/>
            <rFont val="Tahoma"/>
            <family val="2"/>
          </rPr>
          <t>Conventional labels for each group: A1 to A6</t>
        </r>
        <r>
          <rPr>
            <sz val="9"/>
            <color indexed="81"/>
            <rFont val="Tahoma"/>
            <family val="2"/>
          </rPr>
          <t xml:space="preserve">
</t>
        </r>
      </text>
    </comment>
    <comment ref="BI15" authorId="0">
      <text>
        <r>
          <rPr>
            <sz val="9"/>
            <color indexed="81"/>
            <rFont val="Tahoma"/>
            <family val="2"/>
          </rPr>
          <t>Conventional labels for each group: A1 to A6</t>
        </r>
        <r>
          <rPr>
            <sz val="9"/>
            <color indexed="81"/>
            <rFont val="Tahoma"/>
            <family val="2"/>
          </rPr>
          <t xml:space="preserve">
</t>
        </r>
      </text>
    </comment>
    <comment ref="BP15" authorId="0">
      <text>
        <r>
          <rPr>
            <sz val="9"/>
            <color indexed="81"/>
            <rFont val="Tahoma"/>
            <family val="2"/>
          </rPr>
          <t>Conventional labels for each group: A1 to A6</t>
        </r>
        <r>
          <rPr>
            <sz val="9"/>
            <color indexed="81"/>
            <rFont val="Tahoma"/>
            <family val="2"/>
          </rPr>
          <t xml:space="preserve">
</t>
        </r>
      </text>
    </comment>
    <comment ref="F16" authorId="0">
      <text>
        <r>
          <rPr>
            <sz val="9"/>
            <color indexed="81"/>
            <rFont val="Tahoma"/>
            <family val="2"/>
          </rPr>
          <t>Upper limit (UL) of the pooled CIs on group means</t>
        </r>
        <r>
          <rPr>
            <sz val="9"/>
            <color indexed="81"/>
            <rFont val="Tahoma"/>
            <family val="2"/>
          </rPr>
          <t xml:space="preserve">
</t>
        </r>
      </text>
    </comment>
    <comment ref="F17" authorId="0">
      <text>
        <r>
          <rPr>
            <sz val="9"/>
            <color indexed="81"/>
            <rFont val="Tahoma"/>
            <family val="2"/>
          </rPr>
          <t>Lower limit (LL) of the pooled CIs on group means</t>
        </r>
        <r>
          <rPr>
            <sz val="9"/>
            <color indexed="81"/>
            <rFont val="Tahoma"/>
            <family val="2"/>
          </rPr>
          <t xml:space="preserve">
</t>
        </r>
      </text>
    </comment>
    <comment ref="F18" authorId="0">
      <text>
        <r>
          <rPr>
            <i/>
            <sz val="9"/>
            <color indexed="81"/>
            <rFont val="Tahoma"/>
            <family val="2"/>
          </rPr>
          <t>df</t>
        </r>
        <r>
          <rPr>
            <sz val="9"/>
            <color indexed="81"/>
            <rFont val="Tahoma"/>
            <family val="2"/>
          </rPr>
          <t xml:space="preserve"> for calculating the pooled CIs on group means</t>
        </r>
        <r>
          <rPr>
            <sz val="9"/>
            <color indexed="81"/>
            <rFont val="Tahoma"/>
            <family val="2"/>
          </rPr>
          <t xml:space="preserve">
</t>
        </r>
      </text>
    </comment>
    <comment ref="G19" authorId="0">
      <text>
        <r>
          <rPr>
            <sz val="9"/>
            <color indexed="81"/>
            <rFont val="Tahoma"/>
            <family val="2"/>
          </rPr>
          <t>Conventional labels for a group, in terms of:
Levels 1 and 2 of independent variable 'A', and
Levels 1 and 2 of independent variable 'B'</t>
        </r>
      </text>
    </comment>
    <comment ref="H19" authorId="0">
      <text>
        <r>
          <rPr>
            <sz val="9"/>
            <color indexed="81"/>
            <rFont val="Tahoma"/>
            <family val="2"/>
          </rPr>
          <t>Conventional labels for a group, in terms of:
Levels 1 and 2 of independent variable 'A', and
Levels 1 and 2 of independent variable 'B'</t>
        </r>
      </text>
    </comment>
    <comment ref="F20" authorId="0">
      <text>
        <r>
          <rPr>
            <sz val="9"/>
            <color indexed="81"/>
            <rFont val="Tahoma"/>
            <family val="2"/>
          </rPr>
          <t>Sizes of the groups</t>
        </r>
        <r>
          <rPr>
            <sz val="9"/>
            <color indexed="81"/>
            <rFont val="Tahoma"/>
            <family val="2"/>
          </rPr>
          <t xml:space="preserve">
</t>
        </r>
      </text>
    </comment>
    <comment ref="F21" authorId="0">
      <text>
        <r>
          <rPr>
            <sz val="9"/>
            <color indexed="81"/>
            <rFont val="Tahoma"/>
            <family val="2"/>
          </rPr>
          <t>Means of the groups</t>
        </r>
        <r>
          <rPr>
            <sz val="9"/>
            <color indexed="81"/>
            <rFont val="Tahoma"/>
            <family val="2"/>
          </rPr>
          <t xml:space="preserve">
</t>
        </r>
      </text>
    </comment>
    <comment ref="D22" authorId="0">
      <text>
        <r>
          <rPr>
            <sz val="9"/>
            <color indexed="81"/>
            <rFont val="Tahoma"/>
            <family val="2"/>
          </rPr>
          <t>Type in a short name for B2, the second level of the B independent variable</t>
        </r>
        <r>
          <rPr>
            <sz val="9"/>
            <color indexed="81"/>
            <rFont val="Tahoma"/>
            <family val="2"/>
          </rPr>
          <t xml:space="preserve">
</t>
        </r>
      </text>
    </comment>
    <comment ref="F22" authorId="0">
      <text>
        <r>
          <rPr>
            <sz val="9"/>
            <color indexed="81"/>
            <rFont val="Tahoma"/>
            <family val="2"/>
          </rPr>
          <t>Standard deviations of the groups</t>
        </r>
        <r>
          <rPr>
            <sz val="9"/>
            <color indexed="81"/>
            <rFont val="Tahoma"/>
            <family val="2"/>
          </rPr>
          <t xml:space="preserve">
</t>
        </r>
      </text>
    </comment>
    <comment ref="F23" authorId="0">
      <text>
        <r>
          <rPr>
            <sz val="9"/>
            <color indexed="81"/>
            <rFont val="Tahoma"/>
            <family val="2"/>
          </rPr>
          <t>Margin of error (MoE) of the pooled CIs on group means</t>
        </r>
        <r>
          <rPr>
            <sz val="9"/>
            <color indexed="81"/>
            <rFont val="Tahoma"/>
            <family val="2"/>
          </rPr>
          <t xml:space="preserve">
</t>
        </r>
      </text>
    </comment>
    <comment ref="F24" authorId="0">
      <text>
        <r>
          <rPr>
            <sz val="9"/>
            <color indexed="81"/>
            <rFont val="Tahoma"/>
            <family val="2"/>
          </rPr>
          <t>Upper limit (UL) of the pooled CIs on group means</t>
        </r>
        <r>
          <rPr>
            <sz val="9"/>
            <color indexed="81"/>
            <rFont val="Tahoma"/>
            <family val="2"/>
          </rPr>
          <t xml:space="preserve">
</t>
        </r>
      </text>
    </comment>
    <comment ref="F25" authorId="0">
      <text>
        <r>
          <rPr>
            <sz val="9"/>
            <color indexed="81"/>
            <rFont val="Tahoma"/>
            <family val="2"/>
          </rPr>
          <t>Lower limit (LL) of the pooled CIs on group means</t>
        </r>
        <r>
          <rPr>
            <sz val="9"/>
            <color indexed="81"/>
            <rFont val="Tahoma"/>
            <family val="2"/>
          </rPr>
          <t xml:space="preserve">
</t>
        </r>
      </text>
    </comment>
    <comment ref="F26" authorId="0">
      <text>
        <r>
          <rPr>
            <i/>
            <sz val="9"/>
            <color indexed="81"/>
            <rFont val="Tahoma"/>
            <family val="2"/>
          </rPr>
          <t>df</t>
        </r>
        <r>
          <rPr>
            <sz val="9"/>
            <color indexed="81"/>
            <rFont val="Tahoma"/>
            <family val="2"/>
          </rPr>
          <t xml:space="preserve"> for calculating the pooled CIs on group means</t>
        </r>
        <r>
          <rPr>
            <sz val="9"/>
            <color indexed="81"/>
            <rFont val="Tahoma"/>
            <family val="2"/>
          </rPr>
          <t xml:space="preserve">
</t>
        </r>
      </text>
    </comment>
    <comment ref="I27" authorId="0">
      <text>
        <r>
          <rPr>
            <sz val="9"/>
            <color indexed="81"/>
            <rFont val="Tahoma"/>
            <family val="2"/>
          </rPr>
          <t xml:space="preserve">Grand total, the sum of all four group sizes, the values of  </t>
        </r>
        <r>
          <rPr>
            <i/>
            <sz val="9"/>
            <color indexed="81"/>
            <rFont val="Tahoma"/>
            <family val="2"/>
          </rPr>
          <t>n</t>
        </r>
        <r>
          <rPr>
            <sz val="9"/>
            <color indexed="81"/>
            <rFont val="Tahoma"/>
            <family val="2"/>
          </rPr>
          <t xml:space="preserve"> </t>
        </r>
        <r>
          <rPr>
            <sz val="9"/>
            <color indexed="81"/>
            <rFont val="Tahoma"/>
            <family val="2"/>
          </rPr>
          <t xml:space="preserve">
</t>
        </r>
      </text>
    </comment>
    <comment ref="E28" authorId="0">
      <text>
        <r>
          <rPr>
            <sz val="9"/>
            <color indexed="81"/>
            <rFont val="Tahoma"/>
            <family val="2"/>
          </rPr>
          <t>Click below to choose between two data entry options</t>
        </r>
        <r>
          <rPr>
            <sz val="9"/>
            <color indexed="81"/>
            <rFont val="Tahoma"/>
            <family val="2"/>
          </rPr>
          <t xml:space="preserve">
</t>
        </r>
      </text>
    </comment>
    <comment ref="G28" authorId="0">
      <text>
        <r>
          <rPr>
            <sz val="9"/>
            <color indexed="81"/>
            <rFont val="Tahoma"/>
            <family val="2"/>
          </rPr>
          <t xml:space="preserve">When lower button clicked at </t>
        </r>
        <r>
          <rPr>
            <b/>
            <sz val="10"/>
            <color indexed="10"/>
            <rFont val="Tahoma"/>
            <family val="2"/>
          </rPr>
          <t>2</t>
        </r>
        <r>
          <rPr>
            <sz val="9"/>
            <color indexed="81"/>
            <rFont val="Tahoma"/>
            <family val="2"/>
          </rPr>
          <t>, enter full data below for every group</t>
        </r>
      </text>
    </comment>
    <comment ref="F29" authorId="0">
      <text>
        <r>
          <rPr>
            <sz val="9"/>
            <color indexed="81"/>
            <rFont val="Tahoma"/>
            <family val="2"/>
          </rPr>
          <t>If group names are typed in above, they are copied here</t>
        </r>
        <r>
          <rPr>
            <sz val="9"/>
            <color indexed="81"/>
            <rFont val="Tahoma"/>
            <family val="2"/>
          </rPr>
          <t xml:space="preserve">
</t>
        </r>
      </text>
    </comment>
    <comment ref="G29" authorId="0">
      <text>
        <r>
          <rPr>
            <sz val="9"/>
            <color indexed="81"/>
            <rFont val="Tahoma"/>
            <family val="2"/>
          </rPr>
          <t>If group names are typed in above, they are copied here</t>
        </r>
        <r>
          <rPr>
            <sz val="9"/>
            <color indexed="81"/>
            <rFont val="Tahoma"/>
            <family val="2"/>
          </rPr>
          <t xml:space="preserve">
</t>
        </r>
      </text>
    </comment>
    <comment ref="H29" authorId="0">
      <text>
        <r>
          <rPr>
            <sz val="9"/>
            <color indexed="81"/>
            <rFont val="Tahoma"/>
            <family val="2"/>
          </rPr>
          <t>If group names are typed in above, they are copied here</t>
        </r>
        <r>
          <rPr>
            <sz val="9"/>
            <color indexed="81"/>
            <rFont val="Tahoma"/>
            <family val="2"/>
          </rPr>
          <t xml:space="preserve">
</t>
        </r>
      </text>
    </comment>
    <comment ref="I29" authorId="0">
      <text>
        <r>
          <rPr>
            <sz val="9"/>
            <color indexed="81"/>
            <rFont val="Tahoma"/>
            <family val="2"/>
          </rPr>
          <t>If group names are typed in above, they are copied here</t>
        </r>
        <r>
          <rPr>
            <sz val="9"/>
            <color indexed="81"/>
            <rFont val="Tahoma"/>
            <family val="2"/>
          </rPr>
          <t xml:space="preserve">
</t>
        </r>
      </text>
    </comment>
  </commentList>
</comments>
</file>

<file path=xl/comments13.xml><?xml version="1.0" encoding="utf-8"?>
<comments xmlns="http://schemas.openxmlformats.org/spreadsheetml/2006/main">
  <authors>
    <author>Geoff Cumming</author>
  </authors>
  <commentList>
    <comment ref="M2" authorId="0">
      <text>
        <r>
          <rPr>
            <sz val="9"/>
            <color indexed="81"/>
            <rFont val="Tahoma"/>
            <family val="2"/>
          </rPr>
          <t xml:space="preserve">Click to clear your data
</t>
        </r>
      </text>
    </comment>
    <comment ref="BJ2" author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
___________
You can also enter new data below, for later transfer left. </t>
        </r>
      </text>
    </comment>
    <comment ref="BR2" author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
___________
You can also enter new data below, for later transfer left. </t>
        </r>
      </text>
    </comment>
    <comment ref="BZ2" author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
___________
You can also enter new data below, for later transfer left. </t>
        </r>
      </text>
    </comment>
    <comment ref="C5" authorId="0">
      <text>
        <r>
          <rPr>
            <sz val="9"/>
            <color indexed="81"/>
            <rFont val="Tahoma"/>
            <family val="2"/>
          </rPr>
          <t>Type a short name for the dataset if you wish</t>
        </r>
        <r>
          <rPr>
            <sz val="9"/>
            <color indexed="81"/>
            <rFont val="Tahoma"/>
            <family val="2"/>
          </rPr>
          <t xml:space="preserve">
</t>
        </r>
      </text>
    </comment>
    <comment ref="H5" authorId="0">
      <text>
        <r>
          <rPr>
            <sz val="9"/>
            <color indexed="81"/>
            <rFont val="Tahoma"/>
            <family val="2"/>
          </rPr>
          <t xml:space="preserve">Set basic features of the display
</t>
        </r>
      </text>
    </comment>
    <comment ref="BL5" authorId="0">
      <text>
        <r>
          <rPr>
            <sz val="9"/>
            <color indexed="81"/>
            <rFont val="Tahoma"/>
            <family val="2"/>
          </rPr>
          <t>Type a short name for the dataset if you wish</t>
        </r>
        <r>
          <rPr>
            <sz val="9"/>
            <color indexed="81"/>
            <rFont val="Tahoma"/>
            <family val="2"/>
          </rPr>
          <t xml:space="preserve">
</t>
        </r>
      </text>
    </comment>
    <comment ref="BT5" authorId="0">
      <text>
        <r>
          <rPr>
            <sz val="9"/>
            <color indexed="81"/>
            <rFont val="Tahoma"/>
            <family val="2"/>
          </rPr>
          <t>Type a short name for the dataset if you wish</t>
        </r>
        <r>
          <rPr>
            <sz val="9"/>
            <color indexed="81"/>
            <rFont val="Tahoma"/>
            <family val="2"/>
          </rPr>
          <t xml:space="preserve">
</t>
        </r>
      </text>
    </comment>
    <comment ref="CB5" authorId="0">
      <text>
        <r>
          <rPr>
            <sz val="9"/>
            <color indexed="81"/>
            <rFont val="Tahoma"/>
            <family val="2"/>
          </rPr>
          <t>Type a short name for the dataset if you wish</t>
        </r>
        <r>
          <rPr>
            <sz val="9"/>
            <color indexed="81"/>
            <rFont val="Tahoma"/>
            <family val="2"/>
          </rPr>
          <t xml:space="preserve">
</t>
        </r>
      </text>
    </comment>
    <comment ref="A6" authorId="0">
      <text>
        <r>
          <rPr>
            <sz val="9"/>
            <color indexed="81"/>
            <rFont val="Tahoma"/>
            <family val="2"/>
          </rPr>
          <t xml:space="preserve">At right, type name for dataset, units, and a label for each group
</t>
        </r>
      </text>
    </comment>
    <comment ref="B6" authorId="0">
      <text>
        <r>
          <rPr>
            <sz val="9"/>
            <color indexed="81"/>
            <rFont val="Tahoma"/>
            <family val="2"/>
          </rPr>
          <t xml:space="preserve">Type units at right
</t>
        </r>
      </text>
    </comment>
    <comment ref="E6" authorId="0">
      <text>
        <r>
          <rPr>
            <sz val="9"/>
            <color indexed="81"/>
            <rFont val="Tahoma"/>
            <family val="2"/>
          </rPr>
          <t xml:space="preserve">The original units of measurement, e.g., cm, $
</t>
        </r>
      </text>
    </comment>
    <comment ref="K6" authorId="0">
      <text>
        <r>
          <rPr>
            <sz val="9"/>
            <color indexed="81"/>
            <rFont val="Tahoma"/>
            <family val="2"/>
          </rPr>
          <t xml:space="preserve">Offset points horizontally so all are visible
____________
To adjust the appearance of offset points, scroll right and adjust x and y at </t>
        </r>
        <r>
          <rPr>
            <b/>
            <sz val="9"/>
            <color indexed="10"/>
            <rFont val="Tahoma"/>
            <family val="2"/>
          </rPr>
          <t>12</t>
        </r>
      </text>
    </comment>
    <comment ref="M6" authorId="0">
      <text>
        <r>
          <rPr>
            <sz val="9"/>
            <color indexed="81"/>
            <rFont val="Tahoma"/>
            <family val="2"/>
          </rPr>
          <t xml:space="preserve">Use the spinner to set confidence level (%) for CIs.  
Min 80, max 99
</t>
        </r>
      </text>
    </comment>
    <comment ref="BK6" authorId="0">
      <text>
        <r>
          <rPr>
            <sz val="9"/>
            <color indexed="81"/>
            <rFont val="Tahoma"/>
            <family val="2"/>
          </rPr>
          <t xml:space="preserve">Type units at right
</t>
        </r>
      </text>
    </comment>
    <comment ref="BN6" authorId="0">
      <text>
        <r>
          <rPr>
            <sz val="9"/>
            <color indexed="81"/>
            <rFont val="Tahoma"/>
            <family val="2"/>
          </rPr>
          <t xml:space="preserve">The original units of measurement, e.g., cm, $
</t>
        </r>
      </text>
    </comment>
    <comment ref="BS6" authorId="0">
      <text>
        <r>
          <rPr>
            <sz val="9"/>
            <color indexed="81"/>
            <rFont val="Tahoma"/>
            <family val="2"/>
          </rPr>
          <t xml:space="preserve">Type units at right
</t>
        </r>
      </text>
    </comment>
    <comment ref="BV6" authorId="0">
      <text>
        <r>
          <rPr>
            <sz val="9"/>
            <color indexed="81"/>
            <rFont val="Tahoma"/>
            <family val="2"/>
          </rPr>
          <t xml:space="preserve">The original units of measurement, e.g., cm, $
</t>
        </r>
      </text>
    </comment>
    <comment ref="CA6" authorId="0">
      <text>
        <r>
          <rPr>
            <sz val="9"/>
            <color indexed="81"/>
            <rFont val="Tahoma"/>
            <family val="2"/>
          </rPr>
          <t xml:space="preserve">Type units at right
</t>
        </r>
      </text>
    </comment>
    <comment ref="CD6" authorId="0">
      <text>
        <r>
          <rPr>
            <sz val="9"/>
            <color indexed="81"/>
            <rFont val="Tahoma"/>
            <family val="2"/>
          </rPr>
          <t xml:space="preserve">The original units of measurement, e.g., cm, $
</t>
        </r>
      </text>
    </comment>
    <comment ref="N7" authorId="0">
      <text>
        <r>
          <rPr>
            <sz val="9"/>
            <color indexed="81"/>
            <rFont val="Tahoma"/>
            <family val="2"/>
          </rPr>
          <t xml:space="preserve">Click to reveal or hide a figure at far right that displays the difference, with its CI, on a floating Difference axis
</t>
        </r>
      </text>
    </comment>
    <comment ref="C8" authorId="0">
      <text>
        <r>
          <rPr>
            <sz val="9"/>
            <color indexed="81"/>
            <rFont val="Tahoma"/>
            <family val="2"/>
          </rPr>
          <t>Type a short label for Group 1, to appear at bottom of the figure
______________
Should be at least 3 characters long</t>
        </r>
      </text>
    </comment>
    <comment ref="F8" authorId="0">
      <text>
        <r>
          <rPr>
            <sz val="9"/>
            <color indexed="81"/>
            <rFont val="Tahoma"/>
            <family val="2"/>
          </rPr>
          <t xml:space="preserve">Type a short label for Group 2, to appear at bottom of the figure
</t>
        </r>
      </text>
    </comment>
    <comment ref="H8" authorId="0">
      <text>
        <r>
          <rPr>
            <sz val="9"/>
            <color indexed="81"/>
            <rFont val="Tahoma"/>
            <family val="2"/>
          </rPr>
          <t xml:space="preserve">Conventional analysis 
__________
Descriptive statistics for your two groups
</t>
        </r>
      </text>
    </comment>
    <comment ref="AL8" authorId="0">
      <text>
        <r>
          <rPr>
            <sz val="9"/>
            <color indexed="81"/>
            <rFont val="Tahoma"/>
            <family val="2"/>
          </rPr>
          <t xml:space="preserve">Adjust the vertical and horizontal spacing that governs how data points are displayed when 'Offset data points' is selected near </t>
        </r>
        <r>
          <rPr>
            <b/>
            <sz val="9"/>
            <color indexed="10"/>
            <rFont val="Tahoma"/>
            <family val="2"/>
          </rPr>
          <t>3</t>
        </r>
        <r>
          <rPr>
            <sz val="9"/>
            <color indexed="81"/>
            <rFont val="Tahoma"/>
            <family val="2"/>
          </rPr>
          <t xml:space="preserve">
</t>
        </r>
      </text>
    </comment>
    <comment ref="BL8" authorId="0">
      <text>
        <r>
          <rPr>
            <sz val="9"/>
            <color indexed="81"/>
            <rFont val="Tahoma"/>
            <family val="2"/>
          </rPr>
          <t xml:space="preserve">Type a short label for Group 1, to appear at bottom of the figure
</t>
        </r>
      </text>
    </comment>
    <comment ref="BO8" authorId="0">
      <text>
        <r>
          <rPr>
            <sz val="9"/>
            <color indexed="81"/>
            <rFont val="Tahoma"/>
            <family val="2"/>
          </rPr>
          <t xml:space="preserve">Type a short label for Group 2, to appear at bottom of the figure
</t>
        </r>
      </text>
    </comment>
    <comment ref="BT8" authorId="0">
      <text>
        <r>
          <rPr>
            <sz val="9"/>
            <color indexed="81"/>
            <rFont val="Tahoma"/>
            <family val="2"/>
          </rPr>
          <t xml:space="preserve">Type a short label for Group 1, to appear at bottom of the figure
</t>
        </r>
      </text>
    </comment>
    <comment ref="BW8" authorId="0">
      <text>
        <r>
          <rPr>
            <sz val="9"/>
            <color indexed="81"/>
            <rFont val="Tahoma"/>
            <family val="2"/>
          </rPr>
          <t xml:space="preserve">Type a short label for Group 2, to appear at bottom of the figure
</t>
        </r>
      </text>
    </comment>
    <comment ref="CB8" authorId="0">
      <text>
        <r>
          <rPr>
            <sz val="9"/>
            <color indexed="81"/>
            <rFont val="Tahoma"/>
            <family val="2"/>
          </rPr>
          <t xml:space="preserve">Type a short label for Group 1, to appear at bottom of the figure
</t>
        </r>
      </text>
    </comment>
    <comment ref="CE8" authorId="0">
      <text>
        <r>
          <rPr>
            <sz val="9"/>
            <color indexed="81"/>
            <rFont val="Tahoma"/>
            <family val="2"/>
          </rPr>
          <t xml:space="preserve">Type a short label for Group 2, to appear at bottom of the figure
</t>
        </r>
      </text>
    </comment>
    <comment ref="A9" authorId="0">
      <text>
        <r>
          <rPr>
            <sz val="9"/>
            <color indexed="81"/>
            <rFont val="Tahoma"/>
            <family val="2"/>
          </rPr>
          <t>Type in your two groups of data points.  Press Enter after each value.  Max 200 points per set.  
(To clear all data, click at</t>
        </r>
        <r>
          <rPr>
            <b/>
            <sz val="9"/>
            <color indexed="10"/>
            <rFont val="Tahoma"/>
            <family val="2"/>
          </rPr>
          <t xml:space="preserve"> </t>
        </r>
        <r>
          <rPr>
            <b/>
            <sz val="9"/>
            <color indexed="10"/>
            <rFont val="Arial"/>
            <family val="2"/>
          </rPr>
          <t>11</t>
        </r>
        <r>
          <rPr>
            <sz val="9"/>
            <color indexed="81"/>
            <rFont val="Tahoma"/>
            <family val="2"/>
          </rPr>
          <t xml:space="preserve">)
You can paste data from the clipboard, one group at a time, by clicking to select the top cell, then using Paste Special/Values.
</t>
        </r>
      </text>
    </comment>
    <comment ref="BJ9" authorId="0">
      <text>
        <r>
          <rPr>
            <sz val="9"/>
            <color indexed="81"/>
            <rFont val="Tahoma"/>
            <family val="2"/>
          </rPr>
          <t xml:space="preserve">Type in your two groups of data points.  Press Enter after each value.  Max 200 points per group.
________________  
You can paste data from the clipboard, one group at a time, by clicking to select the top cell, then using Paste Special/Values.
</t>
        </r>
      </text>
    </comment>
    <comment ref="BR9" authorId="0">
      <text>
        <r>
          <rPr>
            <sz val="9"/>
            <color indexed="81"/>
            <rFont val="Tahoma"/>
            <family val="2"/>
          </rPr>
          <t xml:space="preserve">Type in your two groups of data points.  Press Enter after each value.  Max 200 points per group.
________________  
You can paste data from the clipboard, one group at a time, by clicking to select the top cell, then using Paste Special/Values.
</t>
        </r>
      </text>
    </comment>
    <comment ref="BZ9" authorId="0">
      <text>
        <r>
          <rPr>
            <sz val="9"/>
            <color indexed="81"/>
            <rFont val="Tahoma"/>
            <family val="2"/>
          </rPr>
          <t xml:space="preserve">Type in your two groups of data points.  Press Enter after each value.  Max 200 points per group.
________________  
You can paste data from the clipboard, one group at a time, by clicking to select the top cell, then using Paste Special/Values.
</t>
        </r>
      </text>
    </comment>
    <comment ref="K10" authorId="0">
      <text>
        <r>
          <rPr>
            <sz val="9"/>
            <color indexed="81"/>
            <rFont val="Tahoma"/>
            <family val="2"/>
          </rPr>
          <t xml:space="preserve">Type in this label near </t>
        </r>
        <r>
          <rPr>
            <b/>
            <sz val="9"/>
            <color indexed="10"/>
            <rFont val="Tahoma"/>
            <family val="2"/>
          </rPr>
          <t>1</t>
        </r>
        <r>
          <rPr>
            <sz val="9"/>
            <color indexed="81"/>
            <rFont val="Tahoma"/>
            <family val="2"/>
          </rPr>
          <t xml:space="preserve">
</t>
        </r>
      </text>
    </comment>
    <comment ref="M10" authorId="0">
      <text>
        <r>
          <rPr>
            <sz val="9"/>
            <color indexed="81"/>
            <rFont val="Tahoma"/>
            <family val="2"/>
          </rPr>
          <t xml:space="preserve">Type in this label near </t>
        </r>
        <r>
          <rPr>
            <b/>
            <sz val="9"/>
            <color indexed="10"/>
            <rFont val="Tahoma"/>
            <family val="2"/>
          </rPr>
          <t>1</t>
        </r>
        <r>
          <rPr>
            <sz val="9"/>
            <color indexed="81"/>
            <rFont val="Tahoma"/>
            <family val="2"/>
          </rPr>
          <t xml:space="preserve">
</t>
        </r>
      </text>
    </comment>
    <comment ref="AN10" authorId="0">
      <text>
        <r>
          <rPr>
            <sz val="9"/>
            <color indexed="81"/>
            <rFont val="Tahoma"/>
            <family val="2"/>
          </rPr>
          <t>Use spinner, or type in a value, to adjust the vertical spacing of the offset points.
___________
It's usually best to aim for points just touching those above and below.</t>
        </r>
      </text>
    </comment>
    <comment ref="J11" authorId="0">
      <text>
        <r>
          <rPr>
            <sz val="9"/>
            <color indexed="81"/>
            <rFont val="Tahoma"/>
            <family val="2"/>
          </rPr>
          <t xml:space="preserve">Conventional analysis 
__________
Number of data points, Group 1
</t>
        </r>
      </text>
    </comment>
    <comment ref="L11" authorId="0">
      <text>
        <r>
          <rPr>
            <sz val="9"/>
            <color indexed="81"/>
            <rFont val="Tahoma"/>
            <family val="2"/>
          </rPr>
          <t xml:space="preserve">Conventional analysis 
__________
Number of data points, Group 2
</t>
        </r>
      </text>
    </comment>
    <comment ref="J12" authorId="0">
      <text>
        <r>
          <rPr>
            <sz val="9"/>
            <color indexed="81"/>
            <rFont val="Tahoma"/>
            <family val="2"/>
          </rPr>
          <t xml:space="preserve">Conventional analysis 
__________
Sample mean, Group 1
</t>
        </r>
      </text>
    </comment>
    <comment ref="L12" authorId="0">
      <text>
        <r>
          <rPr>
            <sz val="9"/>
            <color indexed="81"/>
            <rFont val="Tahoma"/>
            <family val="2"/>
          </rPr>
          <t xml:space="preserve">Conventional analysis 
__________
Sample mean, Group 2
</t>
        </r>
      </text>
    </comment>
    <comment ref="J13" authorId="0">
      <text>
        <r>
          <rPr>
            <sz val="9"/>
            <color indexed="81"/>
            <rFont val="Tahoma"/>
            <family val="2"/>
          </rPr>
          <t xml:space="preserve">Conventional analysis 
__________
Sample standard deviation, Group 1
</t>
        </r>
      </text>
    </comment>
    <comment ref="L13" authorId="0">
      <text>
        <r>
          <rPr>
            <sz val="9"/>
            <color indexed="81"/>
            <rFont val="Tahoma"/>
            <family val="2"/>
          </rPr>
          <t xml:space="preserve">Conventional analysis 
__________
Sample standard deviation, Group 2
</t>
        </r>
      </text>
    </comment>
    <comment ref="AN13" authorId="0">
      <text>
        <r>
          <rPr>
            <sz val="9"/>
            <color indexed="81"/>
            <rFont val="Tahoma"/>
            <family val="2"/>
          </rPr>
          <t xml:space="preserve">Use spinner, or type in a value, to adjust the horizontal spacing of the offset points.
___________
It's usually best to aim for points just touching, or overlapping a little with those to left and right. </t>
        </r>
      </text>
    </comment>
    <comment ref="H14" authorId="0">
      <text>
        <r>
          <rPr>
            <sz val="9"/>
            <color indexed="81"/>
            <rFont val="Tahoma"/>
            <family val="2"/>
          </rPr>
          <t>Conventional analysis 
__________
Information about the CIs on the two means, and initial information for comparing the two groups.</t>
        </r>
      </text>
    </comment>
    <comment ref="J15" authorId="0">
      <text>
        <r>
          <rPr>
            <sz val="9"/>
            <color indexed="81"/>
            <rFont val="Tahoma"/>
            <family val="2"/>
          </rPr>
          <t>Conventional analysis 
__________
Margin of error (</t>
        </r>
        <r>
          <rPr>
            <i/>
            <sz val="9"/>
            <color indexed="81"/>
            <rFont val="Tahoma"/>
            <family val="2"/>
          </rPr>
          <t>MoE</t>
        </r>
        <r>
          <rPr>
            <sz val="9"/>
            <color indexed="81"/>
            <rFont val="Tahoma"/>
            <family val="2"/>
          </rPr>
          <t xml:space="preserve">) of the CI on the Group 1 mean.
</t>
        </r>
      </text>
    </comment>
    <comment ref="L15" authorId="0">
      <text>
        <r>
          <rPr>
            <sz val="9"/>
            <color indexed="81"/>
            <rFont val="Tahoma"/>
            <family val="2"/>
          </rPr>
          <t>Conventional analysis 
__________
Margin of error (</t>
        </r>
        <r>
          <rPr>
            <i/>
            <sz val="9"/>
            <color indexed="81"/>
            <rFont val="Tahoma"/>
            <family val="2"/>
          </rPr>
          <t>MoE</t>
        </r>
        <r>
          <rPr>
            <sz val="9"/>
            <color indexed="81"/>
            <rFont val="Tahoma"/>
            <family val="2"/>
          </rPr>
          <t xml:space="preserve">) of the CI on the Group 2 mean.
</t>
        </r>
      </text>
    </comment>
    <comment ref="J16" authorId="0">
      <text>
        <r>
          <rPr>
            <sz val="9"/>
            <color indexed="81"/>
            <rFont val="Tahoma"/>
            <family val="2"/>
          </rPr>
          <t xml:space="preserve">Conventional analysis 
__________
CI lower limit
</t>
        </r>
      </text>
    </comment>
    <comment ref="L16" authorId="0">
      <text>
        <r>
          <rPr>
            <sz val="9"/>
            <color indexed="81"/>
            <rFont val="Tahoma"/>
            <family val="2"/>
          </rPr>
          <t xml:space="preserve">Conventional analysis 
__________
CI lower limit
</t>
        </r>
      </text>
    </comment>
    <comment ref="J17" authorId="0">
      <text>
        <r>
          <rPr>
            <sz val="9"/>
            <color indexed="81"/>
            <rFont val="Tahoma"/>
            <family val="2"/>
          </rPr>
          <t xml:space="preserve">Conventional analysis 
__________
CI lower limit
</t>
        </r>
      </text>
    </comment>
    <comment ref="L17" authorId="0">
      <text>
        <r>
          <rPr>
            <sz val="9"/>
            <color indexed="81"/>
            <rFont val="Tahoma"/>
            <family val="2"/>
          </rPr>
          <t xml:space="preserve">Conventional analysis 
__________
CI lower limit
</t>
        </r>
      </text>
    </comment>
    <comment ref="K18" authorId="0">
      <text>
        <r>
          <rPr>
            <sz val="9"/>
            <color indexed="81"/>
            <rFont val="Tahoma"/>
            <family val="2"/>
          </rPr>
          <t xml:space="preserve">Conventional analysis
______________
The difference between the two sample means, </t>
        </r>
        <r>
          <rPr>
            <sz val="10"/>
            <color indexed="81"/>
            <rFont val="Tahoma"/>
            <family val="2"/>
          </rPr>
          <t>(</t>
        </r>
        <r>
          <rPr>
            <i/>
            <sz val="9"/>
            <color indexed="81"/>
            <rFont val="Tahoma"/>
            <family val="2"/>
          </rPr>
          <t>M</t>
        </r>
        <r>
          <rPr>
            <vertAlign val="subscript"/>
            <sz val="10"/>
            <color indexed="81"/>
            <rFont val="Tahoma"/>
            <family val="2"/>
          </rPr>
          <t xml:space="preserve">2 </t>
        </r>
        <r>
          <rPr>
            <i/>
            <sz val="9"/>
            <color indexed="81"/>
            <rFont val="Tahoma"/>
            <family val="2"/>
          </rPr>
          <t>- M</t>
        </r>
        <r>
          <rPr>
            <vertAlign val="subscript"/>
            <sz val="11"/>
            <color indexed="81"/>
            <rFont val="Tahoma"/>
            <family val="2"/>
          </rPr>
          <t>1</t>
        </r>
        <r>
          <rPr>
            <sz val="10"/>
            <color indexed="81"/>
            <rFont val="Tahoma"/>
            <family val="2"/>
          </rPr>
          <t>)</t>
        </r>
        <r>
          <rPr>
            <sz val="9"/>
            <color indexed="81"/>
            <rFont val="Tahoma"/>
            <family val="2"/>
          </rPr>
          <t xml:space="preserve">, in original units
</t>
        </r>
      </text>
    </comment>
    <comment ref="H19" authorId="0">
      <text>
        <r>
          <rPr>
            <sz val="9"/>
            <color indexed="81"/>
            <rFont val="Tahoma"/>
            <family val="2"/>
          </rPr>
          <t xml:space="preserve">Conventional analysis 
__________
Choice of assumption affects calculation of the CI on the difference between means, and inference about that difference.
</t>
        </r>
      </text>
    </comment>
    <comment ref="L20" authorId="0">
      <text>
        <r>
          <rPr>
            <sz val="9"/>
            <color indexed="81"/>
            <rFont val="Tahoma"/>
            <family val="2"/>
          </rPr>
          <t xml:space="preserve">Conventional analysis
______________
Click </t>
        </r>
        <r>
          <rPr>
            <b/>
            <sz val="9"/>
            <color indexed="81"/>
            <rFont val="Tahoma"/>
            <family val="2"/>
          </rPr>
          <t>Yes</t>
        </r>
        <r>
          <rPr>
            <sz val="9"/>
            <color indexed="81"/>
            <rFont val="Tahoma"/>
            <family val="2"/>
          </rPr>
          <t xml:space="preserve"> to assume the two population variances are equal.  (This is the conventional assumption of homogeneity of variance.)
Click </t>
        </r>
        <r>
          <rPr>
            <b/>
            <sz val="9"/>
            <color indexed="81"/>
            <rFont val="Tahoma"/>
            <family val="2"/>
          </rPr>
          <t>No</t>
        </r>
        <r>
          <rPr>
            <sz val="9"/>
            <color indexed="81"/>
            <rFont val="Tahoma"/>
            <family val="2"/>
          </rPr>
          <t xml:space="preserve"> and use the Welch-Satterthwaite approximation, which does not assume equality of variances.
</t>
        </r>
      </text>
    </comment>
    <comment ref="H22" authorId="0">
      <text>
        <r>
          <rPr>
            <sz val="9"/>
            <color indexed="81"/>
            <rFont val="Tahoma"/>
            <family val="2"/>
          </rPr>
          <t xml:space="preserve">Conventional analysis 
CI and </t>
        </r>
        <r>
          <rPr>
            <i/>
            <sz val="9"/>
            <color indexed="81"/>
            <rFont val="Tahoma"/>
            <family val="2"/>
          </rPr>
          <t>p</t>
        </r>
        <r>
          <rPr>
            <sz val="9"/>
            <color indexed="81"/>
            <rFont val="Tahoma"/>
            <family val="2"/>
          </rPr>
          <t xml:space="preserve"> value to compare the two group means
__________
All these values depend on which assumption is made about variances just above
</t>
        </r>
      </text>
    </comment>
    <comment ref="K22" authorId="0">
      <text>
        <r>
          <rPr>
            <sz val="9"/>
            <color indexed="81"/>
            <rFont val="Tahoma"/>
            <family val="2"/>
          </rPr>
          <t xml:space="preserve">Conventional analysis
______________
Pooled SD for the two groups. Displayed only when </t>
        </r>
        <r>
          <rPr>
            <b/>
            <sz val="9"/>
            <color indexed="81"/>
            <rFont val="Tahoma"/>
            <family val="2"/>
          </rPr>
          <t>Yes</t>
        </r>
        <r>
          <rPr>
            <sz val="9"/>
            <color indexed="81"/>
            <rFont val="Tahoma"/>
            <family val="2"/>
          </rPr>
          <t xml:space="preserve"> is selected at </t>
        </r>
        <r>
          <rPr>
            <b/>
            <sz val="9"/>
            <color indexed="10"/>
            <rFont val="Tahoma"/>
            <family val="2"/>
          </rPr>
          <t>6</t>
        </r>
        <r>
          <rPr>
            <sz val="9"/>
            <color indexed="81"/>
            <rFont val="Tahoma"/>
            <family val="2"/>
          </rPr>
          <t xml:space="preserve">
</t>
        </r>
      </text>
    </comment>
    <comment ref="K23" authorId="0">
      <text>
        <r>
          <rPr>
            <sz val="9"/>
            <color indexed="81"/>
            <rFont val="Tahoma"/>
            <family val="2"/>
          </rPr>
          <t xml:space="preserve">Conventional analysis
______________
</t>
        </r>
        <r>
          <rPr>
            <i/>
            <sz val="9"/>
            <color indexed="81"/>
            <rFont val="Tahoma"/>
            <family val="2"/>
          </rPr>
          <t>MoE</t>
        </r>
        <r>
          <rPr>
            <sz val="9"/>
            <color indexed="81"/>
            <rFont val="Tahoma"/>
            <family val="2"/>
          </rPr>
          <t xml:space="preserve"> for the CI on the difference between the two means.  
</t>
        </r>
      </text>
    </comment>
    <comment ref="K24" authorId="0">
      <text>
        <r>
          <rPr>
            <sz val="9"/>
            <color indexed="81"/>
            <rFont val="Tahoma"/>
            <family val="2"/>
          </rPr>
          <t xml:space="preserve">Conventional analysis
______________
CI on the difference: The lower limit
</t>
        </r>
      </text>
    </comment>
    <comment ref="K25" authorId="0">
      <text>
        <r>
          <rPr>
            <sz val="9"/>
            <color indexed="81"/>
            <rFont val="Tahoma"/>
            <family val="2"/>
          </rPr>
          <t xml:space="preserve">Conventional analysis
______________
CI on the difference: The upper limit
</t>
        </r>
      </text>
    </comment>
    <comment ref="M25" authorId="0">
      <text>
        <r>
          <rPr>
            <sz val="9"/>
            <color indexed="81"/>
            <rFont val="Tahoma"/>
            <family val="2"/>
          </rPr>
          <t xml:space="preserve">Conventional analysis
______________
For variances assumed equal, </t>
        </r>
        <r>
          <rPr>
            <i/>
            <sz val="9"/>
            <color indexed="81"/>
            <rFont val="Tahoma"/>
            <family val="2"/>
          </rPr>
          <t>degrees of freedom</t>
        </r>
        <r>
          <rPr>
            <sz val="9"/>
            <color indexed="81"/>
            <rFont val="Tahoma"/>
            <family val="2"/>
          </rPr>
          <t xml:space="preserve"> = (</t>
        </r>
        <r>
          <rPr>
            <i/>
            <sz val="9"/>
            <color indexed="81"/>
            <rFont val="Tahoma"/>
            <family val="2"/>
          </rPr>
          <t>N</t>
        </r>
        <r>
          <rPr>
            <vertAlign val="subscript"/>
            <sz val="10"/>
            <color indexed="81"/>
            <rFont val="Tahoma"/>
            <family val="2"/>
          </rPr>
          <t>1</t>
        </r>
        <r>
          <rPr>
            <sz val="9"/>
            <color indexed="81"/>
            <rFont val="Tahoma"/>
            <family val="2"/>
          </rPr>
          <t xml:space="preserve"> + </t>
        </r>
        <r>
          <rPr>
            <i/>
            <sz val="9"/>
            <color indexed="81"/>
            <rFont val="Tahoma"/>
            <family val="2"/>
          </rPr>
          <t>N</t>
        </r>
        <r>
          <rPr>
            <vertAlign val="subscript"/>
            <sz val="10"/>
            <color indexed="81"/>
            <rFont val="Tahoma"/>
            <family val="2"/>
          </rPr>
          <t>2</t>
        </r>
        <r>
          <rPr>
            <sz val="9"/>
            <color indexed="81"/>
            <rFont val="Tahoma"/>
            <family val="2"/>
          </rPr>
          <t xml:space="preserve"> - 2).
For variances not assumed equal, use Welch-Satterthwaite, and find </t>
        </r>
        <r>
          <rPr>
            <i/>
            <sz val="10"/>
            <color indexed="81"/>
            <rFont val="Tahoma"/>
            <family val="2"/>
          </rPr>
          <t>df</t>
        </r>
        <r>
          <rPr>
            <sz val="10"/>
            <color indexed="81"/>
            <rFont val="Tahoma"/>
            <family val="2"/>
          </rPr>
          <t xml:space="preserve"> </t>
        </r>
        <r>
          <rPr>
            <sz val="9"/>
            <color indexed="81"/>
            <rFont val="Tahoma"/>
            <family val="2"/>
          </rPr>
          <t xml:space="preserve">is typically a non-integer.  
</t>
        </r>
      </text>
    </comment>
    <comment ref="K26" authorId="0">
      <text>
        <r>
          <rPr>
            <sz val="9"/>
            <color indexed="81"/>
            <rFont val="Tahoma"/>
            <family val="2"/>
          </rPr>
          <t xml:space="preserve">Conventional analysis
_______________
Value of </t>
        </r>
        <r>
          <rPr>
            <i/>
            <sz val="9"/>
            <color indexed="81"/>
            <rFont val="Tahoma"/>
            <family val="2"/>
          </rPr>
          <t xml:space="preserve">t </t>
        </r>
        <r>
          <rPr>
            <sz val="9"/>
            <color indexed="81"/>
            <rFont val="Tahoma"/>
            <family val="2"/>
          </rPr>
          <t>for testing the difference against zero</t>
        </r>
      </text>
    </comment>
    <comment ref="M26" authorId="0">
      <text>
        <r>
          <rPr>
            <sz val="9"/>
            <color indexed="81"/>
            <rFont val="Tahoma"/>
            <family val="2"/>
          </rPr>
          <t>Conventional analysis</t>
        </r>
        <r>
          <rPr>
            <sz val="10"/>
            <color indexed="81"/>
            <rFont val="Tahoma"/>
            <family val="2"/>
          </rPr>
          <t xml:space="preserve">
________________
</t>
        </r>
        <r>
          <rPr>
            <i/>
            <sz val="10"/>
            <color indexed="81"/>
            <rFont val="Tahoma"/>
            <family val="2"/>
          </rPr>
          <t>p</t>
        </r>
        <r>
          <rPr>
            <sz val="10"/>
            <color indexed="81"/>
            <rFont val="Tahoma"/>
            <family val="2"/>
          </rPr>
          <t xml:space="preserve"> </t>
        </r>
        <r>
          <rPr>
            <sz val="9"/>
            <color indexed="81"/>
            <rFont val="Tahoma"/>
            <family val="2"/>
          </rPr>
          <t xml:space="preserve">value for testing the null hypothesis of no difference between the two group means.
It's a two-tailed </t>
        </r>
        <r>
          <rPr>
            <i/>
            <sz val="10"/>
            <color indexed="81"/>
            <rFont val="Tahoma"/>
            <family val="2"/>
          </rPr>
          <t>p</t>
        </r>
        <r>
          <rPr>
            <sz val="9"/>
            <color indexed="81"/>
            <rFont val="Tahoma"/>
            <family val="2"/>
          </rPr>
          <t xml:space="preserve"> value</t>
        </r>
      </text>
    </comment>
    <comment ref="H28" authorId="0">
      <text>
        <r>
          <rPr>
            <sz val="9"/>
            <color indexed="81"/>
            <rFont val="Tahoma"/>
            <family val="2"/>
          </rPr>
          <t xml:space="preserve">Robust analysis 
__________
Robust analysis, based on trimmed means, is shown below and displayed in red. Conventional analysis above is grayed out.) </t>
        </r>
      </text>
    </comment>
    <comment ref="K29" authorId="0">
      <text>
        <r>
          <rPr>
            <sz val="9"/>
            <color indexed="81"/>
            <rFont val="Tahoma"/>
            <family val="2"/>
          </rPr>
          <t>Click for robust analysis, based on trimmed means</t>
        </r>
        <r>
          <rPr>
            <sz val="9"/>
            <color indexed="81"/>
            <rFont val="Tahoma"/>
            <family val="2"/>
          </rPr>
          <t xml:space="preserve">
</t>
        </r>
      </text>
    </comment>
    <comment ref="M29" authorId="0">
      <text>
        <r>
          <rPr>
            <sz val="9"/>
            <color indexed="81"/>
            <rFont val="Tahoma"/>
            <family val="2"/>
          </rPr>
          <t>For robust analysis, use spinner to set % to trim from each end of each data set. Min 0, max 50.
_______________
20% trim (from each end of a data set) is most common. Round down the number of data points to remove from each end of the data set. Removed data points are displayed as crosses. Retained points are red.</t>
        </r>
        <r>
          <rPr>
            <sz val="9"/>
            <color indexed="81"/>
            <rFont val="Tahoma"/>
            <family val="2"/>
          </rPr>
          <t xml:space="preserve">
</t>
        </r>
      </text>
    </comment>
    <comment ref="K31" authorId="0">
      <text>
        <r>
          <rPr>
            <sz val="9"/>
            <color indexed="81"/>
            <rFont val="Tahoma"/>
            <family val="2"/>
          </rPr>
          <t xml:space="preserve">Type in this label near </t>
        </r>
        <r>
          <rPr>
            <b/>
            <sz val="9"/>
            <color indexed="10"/>
            <rFont val="Tahoma"/>
            <family val="2"/>
          </rPr>
          <t>1</t>
        </r>
        <r>
          <rPr>
            <sz val="9"/>
            <color indexed="81"/>
            <rFont val="Tahoma"/>
            <family val="2"/>
          </rPr>
          <t xml:space="preserve">
</t>
        </r>
      </text>
    </comment>
    <comment ref="M31" authorId="0">
      <text>
        <r>
          <rPr>
            <sz val="9"/>
            <color indexed="81"/>
            <rFont val="Tahoma"/>
            <family val="2"/>
          </rPr>
          <t xml:space="preserve">Type in this label near </t>
        </r>
        <r>
          <rPr>
            <b/>
            <sz val="9"/>
            <color indexed="10"/>
            <rFont val="Tahoma"/>
            <family val="2"/>
          </rPr>
          <t>1</t>
        </r>
        <r>
          <rPr>
            <sz val="9"/>
            <color indexed="81"/>
            <rFont val="Tahoma"/>
            <family val="2"/>
          </rPr>
          <t xml:space="preserve">
</t>
        </r>
      </text>
    </comment>
    <comment ref="J32" authorId="0">
      <text>
        <r>
          <rPr>
            <sz val="9"/>
            <color indexed="81"/>
            <rFont val="Tahoma"/>
            <family val="2"/>
          </rPr>
          <t xml:space="preserve">Robust analysis 
__________
Number of data points left in Group 1 after trimming. These points are displayed red.
</t>
        </r>
      </text>
    </comment>
    <comment ref="L32" authorId="0">
      <text>
        <r>
          <rPr>
            <sz val="9"/>
            <color indexed="81"/>
            <rFont val="Tahoma"/>
            <family val="2"/>
          </rPr>
          <t xml:space="preserve">Robust analysis 
__________
Number of data points left in Group 2 after trimming. These points are displayed red.
</t>
        </r>
      </text>
    </comment>
    <comment ref="J33" authorId="0">
      <text>
        <r>
          <rPr>
            <sz val="9"/>
            <color indexed="81"/>
            <rFont val="Tahoma"/>
            <family val="2"/>
          </rPr>
          <t xml:space="preserve">Robust analysis 
__________
Number of data points trimmed from each end of Group 1. These points are displayed as crosses.
</t>
        </r>
      </text>
    </comment>
    <comment ref="L33" authorId="0">
      <text>
        <r>
          <rPr>
            <sz val="9"/>
            <color indexed="81"/>
            <rFont val="Tahoma"/>
            <family val="2"/>
          </rPr>
          <t xml:space="preserve">Robust analysis 
__________
Number of data points trimmed from each end of Group 2. These points are displayed as crosses.
</t>
        </r>
      </text>
    </comment>
    <comment ref="J34" authorId="0">
      <text>
        <r>
          <rPr>
            <sz val="9"/>
            <color indexed="81"/>
            <rFont val="Tahoma"/>
            <family val="2"/>
          </rPr>
          <t xml:space="preserve">Robust analysis 
__________
Trimmed mean of Group 1 </t>
        </r>
      </text>
    </comment>
    <comment ref="L34" authorId="0">
      <text>
        <r>
          <rPr>
            <sz val="9"/>
            <color indexed="81"/>
            <rFont val="Tahoma"/>
            <family val="2"/>
          </rPr>
          <t xml:space="preserve">Robust analysis 
__________
Trimmed mean of Group 2 </t>
        </r>
      </text>
    </comment>
    <comment ref="J35" authorId="0">
      <text>
        <r>
          <rPr>
            <sz val="9"/>
            <color indexed="81"/>
            <rFont val="Tahoma"/>
            <family val="2"/>
          </rPr>
          <t xml:space="preserve">Robust analysis 
__________
The type of standard deviation of Group 1 that's used to calculate the CI for the trimmed mean. 
(It's a Winsorized SD.) </t>
        </r>
      </text>
    </comment>
    <comment ref="L35" authorId="0">
      <text>
        <r>
          <rPr>
            <sz val="9"/>
            <color indexed="81"/>
            <rFont val="Tahoma"/>
            <family val="2"/>
          </rPr>
          <t xml:space="preserve">Robust analysis 
__________
The type of standard deviation of Group 2 that's used to calculate the CI for the trimmed mean. 
(It's a Winsorized SD.) </t>
        </r>
      </text>
    </comment>
    <comment ref="H36" authorId="0">
      <text>
        <r>
          <rPr>
            <sz val="9"/>
            <color indexed="81"/>
            <rFont val="Tahoma"/>
            <family val="2"/>
          </rPr>
          <t>Robust analysis
___________
Information about the CIs on the two trimmed means, and initial information for comparing the two groups.</t>
        </r>
      </text>
    </comment>
    <comment ref="J37" authorId="0">
      <text>
        <r>
          <rPr>
            <sz val="9"/>
            <color indexed="81"/>
            <rFont val="Tahoma"/>
            <family val="2"/>
          </rPr>
          <t>Robust analysis 
__________
Margin of error (</t>
        </r>
        <r>
          <rPr>
            <i/>
            <sz val="9"/>
            <color indexed="81"/>
            <rFont val="Tahoma"/>
            <family val="2"/>
          </rPr>
          <t>MoE</t>
        </r>
        <r>
          <rPr>
            <sz val="9"/>
            <color indexed="81"/>
            <rFont val="Tahoma"/>
            <family val="2"/>
          </rPr>
          <t xml:space="preserve">) of the CI on the trimmed mean of Group 1.
</t>
        </r>
      </text>
    </comment>
    <comment ref="L37" authorId="0">
      <text>
        <r>
          <rPr>
            <sz val="9"/>
            <color indexed="81"/>
            <rFont val="Tahoma"/>
            <family val="2"/>
          </rPr>
          <t>Robust analysis 
__________
Margin of error (</t>
        </r>
        <r>
          <rPr>
            <i/>
            <sz val="9"/>
            <color indexed="81"/>
            <rFont val="Tahoma"/>
            <family val="2"/>
          </rPr>
          <t>MoE</t>
        </r>
        <r>
          <rPr>
            <sz val="9"/>
            <color indexed="81"/>
            <rFont val="Tahoma"/>
            <family val="2"/>
          </rPr>
          <t xml:space="preserve">) of the CI on the trimmed mean of Group 2.
</t>
        </r>
      </text>
    </comment>
    <comment ref="J38" authorId="0">
      <text>
        <r>
          <rPr>
            <sz val="9"/>
            <color indexed="81"/>
            <rFont val="Tahoma"/>
            <family val="2"/>
          </rPr>
          <t xml:space="preserve">Robust analysis
___________
CI lower limit
</t>
        </r>
      </text>
    </comment>
    <comment ref="L38" authorId="0">
      <text>
        <r>
          <rPr>
            <sz val="9"/>
            <color indexed="81"/>
            <rFont val="Tahoma"/>
            <family val="2"/>
          </rPr>
          <t xml:space="preserve">Robust analysis
___________
CI lower limit
</t>
        </r>
      </text>
    </comment>
    <comment ref="J39" authorId="0">
      <text>
        <r>
          <rPr>
            <sz val="9"/>
            <color indexed="81"/>
            <rFont val="Tahoma"/>
            <family val="2"/>
          </rPr>
          <t xml:space="preserve">Robust analysis
___________
CI upper limit
</t>
        </r>
      </text>
    </comment>
    <comment ref="L39" authorId="0">
      <text>
        <r>
          <rPr>
            <sz val="9"/>
            <color indexed="81"/>
            <rFont val="Tahoma"/>
            <family val="2"/>
          </rPr>
          <t xml:space="preserve">Robust analysis
___________
CI upper limit
</t>
        </r>
      </text>
    </comment>
    <comment ref="H40" authorId="0">
      <text>
        <r>
          <rPr>
            <sz val="9"/>
            <color indexed="81"/>
            <rFont val="Tahoma"/>
            <family val="2"/>
          </rPr>
          <t xml:space="preserve">Robust analysis
___________
Calculate CI and </t>
        </r>
        <r>
          <rPr>
            <i/>
            <sz val="9"/>
            <color indexed="81"/>
            <rFont val="Tahoma"/>
            <family val="2"/>
          </rPr>
          <t>p</t>
        </r>
        <r>
          <rPr>
            <sz val="9"/>
            <color indexed="81"/>
            <rFont val="Tahoma"/>
            <family val="2"/>
          </rPr>
          <t xml:space="preserve"> value to compare the two trimmed means, using the method of Yuen:
Yuen, K. K. (1974). The two sample trimmed </t>
        </r>
        <r>
          <rPr>
            <i/>
            <sz val="9"/>
            <color indexed="81"/>
            <rFont val="Tahoma"/>
            <family val="2"/>
          </rPr>
          <t>t</t>
        </r>
        <r>
          <rPr>
            <sz val="9"/>
            <color indexed="81"/>
            <rFont val="Tahoma"/>
            <family val="2"/>
          </rPr>
          <t xml:space="preserve"> for unequal population variances. </t>
        </r>
        <r>
          <rPr>
            <i/>
            <sz val="9"/>
            <color indexed="81"/>
            <rFont val="Tahoma"/>
            <family val="2"/>
          </rPr>
          <t xml:space="preserve">Biometrika, 61, </t>
        </r>
        <r>
          <rPr>
            <sz val="9"/>
            <color indexed="81"/>
            <rFont val="Tahoma"/>
            <family val="2"/>
          </rPr>
          <t>165-170.</t>
        </r>
      </text>
    </comment>
    <comment ref="K40" authorId="0">
      <text>
        <r>
          <rPr>
            <sz val="9"/>
            <color indexed="81"/>
            <rFont val="Tahoma"/>
            <family val="2"/>
          </rPr>
          <t xml:space="preserve">Robust analysis
______________
The effect size: the difference between the two trimmed means, </t>
        </r>
        <r>
          <rPr>
            <sz val="10"/>
            <color indexed="81"/>
            <rFont val="Tahoma"/>
            <family val="2"/>
          </rPr>
          <t>(</t>
        </r>
        <r>
          <rPr>
            <i/>
            <sz val="9"/>
            <color indexed="81"/>
            <rFont val="Tahoma"/>
            <family val="2"/>
          </rPr>
          <t>Mt</t>
        </r>
        <r>
          <rPr>
            <vertAlign val="subscript"/>
            <sz val="10"/>
            <color indexed="81"/>
            <rFont val="Tahoma"/>
            <family val="2"/>
          </rPr>
          <t xml:space="preserve">2 </t>
        </r>
        <r>
          <rPr>
            <i/>
            <sz val="9"/>
            <color indexed="81"/>
            <rFont val="Tahoma"/>
            <family val="2"/>
          </rPr>
          <t>- Mt</t>
        </r>
        <r>
          <rPr>
            <vertAlign val="subscript"/>
            <sz val="11"/>
            <color indexed="81"/>
            <rFont val="Tahoma"/>
            <family val="2"/>
          </rPr>
          <t>1</t>
        </r>
        <r>
          <rPr>
            <sz val="10"/>
            <color indexed="81"/>
            <rFont val="Tahoma"/>
            <family val="2"/>
          </rPr>
          <t>)</t>
        </r>
        <r>
          <rPr>
            <sz val="9"/>
            <color indexed="81"/>
            <rFont val="Tahoma"/>
            <family val="2"/>
          </rPr>
          <t xml:space="preserve">, in original units
</t>
        </r>
      </text>
    </comment>
    <comment ref="K41" authorId="0">
      <text>
        <r>
          <rPr>
            <sz val="9"/>
            <color indexed="81"/>
            <rFont val="Tahoma"/>
            <family val="2"/>
          </rPr>
          <t xml:space="preserve">Robust analysis
___________
</t>
        </r>
        <r>
          <rPr>
            <i/>
            <sz val="9"/>
            <color indexed="81"/>
            <rFont val="Tahoma"/>
            <family val="2"/>
          </rPr>
          <t>MoE</t>
        </r>
        <r>
          <rPr>
            <sz val="9"/>
            <color indexed="81"/>
            <rFont val="Tahoma"/>
            <family val="2"/>
          </rPr>
          <t xml:space="preserve"> for the CI on the difference between the two trimmed means.  
</t>
        </r>
      </text>
    </comment>
    <comment ref="K42" authorId="0">
      <text>
        <r>
          <rPr>
            <sz val="9"/>
            <color indexed="81"/>
            <rFont val="Tahoma"/>
            <family val="2"/>
          </rPr>
          <t xml:space="preserve">Robust analysis
___________
CI on the difference between the two trimmed means: The lower limit
</t>
        </r>
      </text>
    </comment>
    <comment ref="M42" authorId="0">
      <text>
        <r>
          <rPr>
            <sz val="9"/>
            <color indexed="81"/>
            <rFont val="Tahoma"/>
            <family val="2"/>
          </rPr>
          <t>Robust analysis
___________
Degrees of freedom for the comparison of the two trimmed means</t>
        </r>
      </text>
    </comment>
    <comment ref="K43" authorId="0">
      <text>
        <r>
          <rPr>
            <sz val="9"/>
            <color indexed="81"/>
            <rFont val="Tahoma"/>
            <family val="2"/>
          </rPr>
          <t xml:space="preserve">Robust analysis
___________
CI on the difference between the two trimmed means: The upper limit
</t>
        </r>
      </text>
    </comment>
    <comment ref="M43" authorId="0">
      <text>
        <r>
          <rPr>
            <sz val="9"/>
            <color indexed="81"/>
            <rFont val="Tahoma"/>
            <family val="2"/>
          </rPr>
          <t>Robust analysis</t>
        </r>
        <r>
          <rPr>
            <sz val="10"/>
            <color indexed="81"/>
            <rFont val="Tahoma"/>
            <family val="2"/>
          </rPr>
          <t xml:space="preserve">
_____________
</t>
        </r>
        <r>
          <rPr>
            <i/>
            <sz val="10"/>
            <color indexed="81"/>
            <rFont val="Tahoma"/>
            <family val="2"/>
          </rPr>
          <t>p</t>
        </r>
        <r>
          <rPr>
            <sz val="10"/>
            <color indexed="81"/>
            <rFont val="Tahoma"/>
            <family val="2"/>
          </rPr>
          <t xml:space="preserve"> </t>
        </r>
        <r>
          <rPr>
            <sz val="9"/>
            <color indexed="81"/>
            <rFont val="Tahoma"/>
            <family val="2"/>
          </rPr>
          <t xml:space="preserve">value for testing the null hypothesis of no difference between the two trimmed means. It's a two-tailed </t>
        </r>
        <r>
          <rPr>
            <i/>
            <sz val="10"/>
            <color indexed="81"/>
            <rFont val="Tahoma"/>
            <family val="2"/>
          </rPr>
          <t>p</t>
        </r>
        <r>
          <rPr>
            <sz val="9"/>
            <color indexed="81"/>
            <rFont val="Tahoma"/>
            <family val="2"/>
          </rPr>
          <t xml:space="preserve"> value</t>
        </r>
      </text>
    </comment>
  </commentList>
</comments>
</file>

<file path=xl/sharedStrings.xml><?xml version="1.0" encoding="utf-8"?>
<sst xmlns="http://schemas.openxmlformats.org/spreadsheetml/2006/main" count="2768" uniqueCount="1567">
  <si>
    <t xml:space="preserve">    permission to license the work in any other way, but it does not</t>
  </si>
  <si>
    <r>
      <t xml:space="preserve">for </t>
    </r>
    <r>
      <rPr>
        <i/>
        <sz val="9"/>
        <rFont val="Arial"/>
        <family val="2"/>
      </rPr>
      <t>C</t>
    </r>
  </si>
  <si>
    <r>
      <t xml:space="preserve">display </t>
    </r>
    <r>
      <rPr>
        <sz val="9"/>
        <rFont val="Arial"/>
        <family val="2"/>
      </rPr>
      <t>MOE</t>
    </r>
    <r>
      <rPr>
        <sz val="9"/>
        <rFont val="Arial"/>
        <family val="2"/>
      </rPr>
      <t xml:space="preserve"> cursor</t>
    </r>
  </si>
  <si>
    <t>Blank Ntg series</t>
  </si>
  <si>
    <t>For disp</t>
  </si>
  <si>
    <t>NATSAL21</t>
  </si>
  <si>
    <t>Precision, two independent groups</t>
  </si>
  <si>
    <t>Target MoE</t>
  </si>
  <si>
    <t>Truncate display</t>
  </si>
  <si>
    <t>Frenda summary</t>
  </si>
  <si>
    <t>Formulas to copy for summary data</t>
  </si>
  <si>
    <r>
      <t>N</t>
    </r>
    <r>
      <rPr>
        <sz val="9"/>
        <rFont val="Arial"/>
        <family val="2"/>
      </rPr>
      <t xml:space="preserve"> is the size of each of the groups</t>
    </r>
  </si>
  <si>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</si>
  <si>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</si>
  <si>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</si>
  <si>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</si>
  <si>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</si>
  <si>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With chi-square SHORT</t>
  </si>
  <si>
    <t>reqd N</t>
  </si>
  <si>
    <t xml:space="preserve">t  </t>
  </si>
  <si>
    <t>ass</t>
  </si>
  <si>
    <t>meanMoE</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</si>
  <si>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</si>
  <si>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</si>
  <si>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</si>
  <si>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</si>
  <si>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</si>
  <si>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</si>
  <si>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</si>
  <si>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</si>
  <si>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</si>
  <si>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</si>
  <si>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</si>
  <si>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</si>
  <si>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</si>
  <si>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</si>
  <si>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</si>
  <si>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</si>
  <si>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</si>
  <si>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</si>
  <si>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</si>
  <si>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</si>
  <si>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</si>
  <si>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</si>
  <si>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</si>
  <si>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</si>
  <si>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</si>
  <si>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The correlation line for:</t>
  </si>
  <si>
    <t>For main scatterplot:</t>
  </si>
  <si>
    <t xml:space="preserve">   Reveal regression panel</t>
  </si>
  <si>
    <r>
      <t xml:space="preserve">Regression line for </t>
    </r>
    <r>
      <rPr>
        <b/>
        <i/>
        <sz val="10"/>
        <rFont val="Arial"/>
        <family val="2"/>
      </rPr>
      <t>Z</t>
    </r>
    <r>
      <rPr>
        <b/>
        <vertAlign val="subscript"/>
        <sz val="10"/>
        <rFont val="Arial"/>
        <family val="2"/>
      </rPr>
      <t>Y</t>
    </r>
    <r>
      <rPr>
        <b/>
        <sz val="9"/>
        <rFont val="Arial"/>
        <family val="2"/>
      </rPr>
      <t xml:space="preserve"> on </t>
    </r>
    <r>
      <rPr>
        <b/>
        <i/>
        <sz val="10"/>
        <rFont val="Arial"/>
        <family val="2"/>
      </rPr>
      <t>Z</t>
    </r>
    <r>
      <rPr>
        <b/>
        <vertAlign val="subscript"/>
        <sz val="10"/>
        <rFont val="Arial"/>
        <family val="2"/>
      </rPr>
      <t>X</t>
    </r>
  </si>
  <si>
    <t xml:space="preserve">  15</t>
  </si>
  <si>
    <t>[</t>
  </si>
  <si>
    <t>LSAT Pretest</t>
  </si>
  <si>
    <t>LSAT Posttest</t>
  </si>
  <si>
    <t>slider</t>
  </si>
  <si>
    <r>
      <t xml:space="preserve">Confidence interval on </t>
    </r>
    <r>
      <rPr>
        <b/>
        <i/>
        <sz val="10"/>
        <rFont val="Arial"/>
        <family val="2"/>
      </rPr>
      <t>r</t>
    </r>
  </si>
  <si>
    <r>
      <t xml:space="preserve">Display scatterplot of </t>
    </r>
    <r>
      <rPr>
        <i/>
        <sz val="10"/>
        <rFont val="Arial"/>
        <family val="2"/>
      </rPr>
      <t>Z</t>
    </r>
    <r>
      <rPr>
        <i/>
        <vertAlign val="subscript"/>
        <sz val="11"/>
        <rFont val="Arial"/>
        <family val="2"/>
      </rPr>
      <t>X</t>
    </r>
    <r>
      <rPr>
        <sz val="10"/>
        <rFont val="Arial"/>
        <family val="2"/>
      </rPr>
      <t xml:space="preserve"> and </t>
    </r>
    <r>
      <rPr>
        <i/>
        <sz val="10"/>
        <rFont val="Arial"/>
        <family val="2"/>
      </rPr>
      <t>Z</t>
    </r>
    <r>
      <rPr>
        <i/>
        <vertAlign val="subscript"/>
        <sz val="11"/>
        <rFont val="Arial"/>
        <family val="2"/>
      </rPr>
      <t>Y</t>
    </r>
  </si>
  <si>
    <r>
      <t xml:space="preserve">        Enter your own data of (</t>
    </r>
    <r>
      <rPr>
        <i/>
        <sz val="9"/>
        <rFont val="Arial"/>
        <family val="2"/>
      </rPr>
      <t>X, Y</t>
    </r>
    <r>
      <rPr>
        <sz val="9"/>
        <rFont val="Arial"/>
        <family val="2"/>
      </rPr>
      <t>) pairs</t>
    </r>
  </si>
  <si>
    <r>
      <t xml:space="preserve">]           </t>
    </r>
    <r>
      <rPr>
        <i/>
        <sz val="9"/>
        <rFont val="Arial"/>
        <family val="2"/>
      </rPr>
      <t xml:space="preserve">C </t>
    </r>
  </si>
  <si>
    <r>
      <t xml:space="preserve">    Value of </t>
    </r>
    <r>
      <rPr>
        <i/>
        <sz val="10"/>
        <rFont val="Arial"/>
        <family val="2"/>
      </rPr>
      <t>r</t>
    </r>
    <r>
      <rPr>
        <sz val="9"/>
        <rFont val="Arial"/>
        <family val="2"/>
      </rPr>
      <t xml:space="preserve"> in figure</t>
    </r>
  </si>
  <si>
    <r>
      <t xml:space="preserve">        See scatterplots: </t>
    </r>
    <r>
      <rPr>
        <i/>
        <sz val="9"/>
        <rFont val="Arial"/>
        <family val="2"/>
      </rPr>
      <t>X</t>
    </r>
    <r>
      <rPr>
        <sz val="9"/>
        <rFont val="Arial"/>
        <family val="2"/>
      </rPr>
      <t xml:space="preserve"> and </t>
    </r>
    <r>
      <rPr>
        <i/>
        <sz val="9"/>
        <rFont val="Arial"/>
        <family val="2"/>
      </rPr>
      <t>Y</t>
    </r>
    <r>
      <rPr>
        <sz val="9"/>
        <rFont val="Arial"/>
        <family val="2"/>
      </rPr>
      <t xml:space="preserve">, and </t>
    </r>
    <r>
      <rPr>
        <i/>
        <sz val="9"/>
        <rFont val="Arial"/>
        <family val="2"/>
      </rPr>
      <t>Z</t>
    </r>
    <r>
      <rPr>
        <i/>
        <vertAlign val="subscript"/>
        <sz val="9"/>
        <rFont val="Arial"/>
        <family val="2"/>
      </rPr>
      <t>X</t>
    </r>
    <r>
      <rPr>
        <sz val="9"/>
        <rFont val="Arial"/>
        <family val="2"/>
      </rPr>
      <t xml:space="preserve"> and</t>
    </r>
    <r>
      <rPr>
        <i/>
        <sz val="9"/>
        <rFont val="Arial"/>
        <family val="2"/>
      </rPr>
      <t xml:space="preserve"> Z</t>
    </r>
    <r>
      <rPr>
        <i/>
        <vertAlign val="subscript"/>
        <sz val="10"/>
        <rFont val="Arial"/>
        <family val="2"/>
      </rPr>
      <t>Y</t>
    </r>
  </si>
  <si>
    <r>
      <t xml:space="preserve">Display </t>
    </r>
    <r>
      <rPr>
        <i/>
        <sz val="10"/>
        <rFont val="Arial"/>
        <family val="2"/>
      </rPr>
      <t>p</t>
    </r>
    <r>
      <rPr>
        <sz val="9"/>
        <rFont val="Arial"/>
        <family val="2"/>
      </rPr>
      <t xml:space="preserve"> value</t>
    </r>
  </si>
  <si>
    <r>
      <t xml:space="preserve">Scatterplot of </t>
    </r>
    <r>
      <rPr>
        <b/>
        <i/>
        <sz val="10"/>
        <rFont val="Arial"/>
        <family val="2"/>
      </rPr>
      <t>X</t>
    </r>
    <r>
      <rPr>
        <b/>
        <sz val="10"/>
        <rFont val="Arial"/>
        <family val="2"/>
      </rPr>
      <t xml:space="preserve"> and </t>
    </r>
    <r>
      <rPr>
        <b/>
        <i/>
        <sz val="10"/>
        <rFont val="Arial"/>
        <family val="2"/>
      </rPr>
      <t>Y</t>
    </r>
  </si>
  <si>
    <r>
      <t xml:space="preserve">Scatterplot of </t>
    </r>
    <r>
      <rPr>
        <b/>
        <i/>
        <sz val="10"/>
        <rFont val="Arial"/>
        <family val="2"/>
      </rPr>
      <t>Z</t>
    </r>
    <r>
      <rPr>
        <b/>
        <i/>
        <vertAlign val="subscript"/>
        <sz val="11"/>
        <rFont val="Arial"/>
        <family val="2"/>
      </rPr>
      <t>X</t>
    </r>
    <r>
      <rPr>
        <b/>
        <sz val="10"/>
        <rFont val="Arial"/>
        <family val="2"/>
      </rPr>
      <t xml:space="preserve"> and </t>
    </r>
    <r>
      <rPr>
        <b/>
        <i/>
        <sz val="10"/>
        <rFont val="Arial"/>
        <family val="2"/>
      </rPr>
      <t>Z</t>
    </r>
    <r>
      <rPr>
        <b/>
        <i/>
        <vertAlign val="subscript"/>
        <sz val="11"/>
        <rFont val="Arial"/>
        <family val="2"/>
      </rPr>
      <t>Y</t>
    </r>
  </si>
  <si>
    <r>
      <t xml:space="preserve">z for </t>
    </r>
    <r>
      <rPr>
        <i/>
        <sz val="9"/>
        <rFont val="Arial"/>
        <family val="2"/>
      </rPr>
      <t>C</t>
    </r>
  </si>
  <si>
    <r>
      <t>1</t>
    </r>
    <r>
      <rPr>
        <sz val="9"/>
        <rFont val="Arial"/>
        <family val="2"/>
      </rPr>
      <t xml:space="preserve"> Data set name</t>
    </r>
  </si>
  <si>
    <r>
      <t xml:space="preserve">      Show </t>
    </r>
    <r>
      <rPr>
        <i/>
        <sz val="10"/>
        <rFont val="Arial"/>
        <family val="2"/>
      </rPr>
      <t>z</t>
    </r>
    <r>
      <rPr>
        <sz val="9"/>
        <rFont val="Arial"/>
        <family val="2"/>
      </rPr>
      <t xml:space="preserve"> scores</t>
    </r>
  </si>
  <si>
    <r>
      <t>r</t>
    </r>
    <r>
      <rPr>
        <sz val="9"/>
        <rFont val="Arial"/>
        <family val="2"/>
      </rPr>
      <t>(</t>
    </r>
    <r>
      <rPr>
        <i/>
        <sz val="9"/>
        <rFont val="Arial"/>
        <family val="2"/>
      </rPr>
      <t>X, Y</t>
    </r>
    <r>
      <rPr>
        <sz val="9"/>
        <rFont val="Arial"/>
        <family val="2"/>
      </rPr>
      <t xml:space="preserve">) </t>
    </r>
  </si>
  <si>
    <r>
      <t>r</t>
    </r>
    <r>
      <rPr>
        <sz val="9"/>
        <rFont val="Arial"/>
        <family val="2"/>
      </rPr>
      <t>(</t>
    </r>
    <r>
      <rPr>
        <i/>
        <sz val="9"/>
        <rFont val="Arial"/>
        <family val="2"/>
      </rPr>
      <t>Z</t>
    </r>
    <r>
      <rPr>
        <i/>
        <vertAlign val="subscript"/>
        <sz val="10"/>
        <rFont val="Arial"/>
        <family val="2"/>
      </rPr>
      <t>X</t>
    </r>
    <r>
      <rPr>
        <sz val="9"/>
        <rFont val="Arial"/>
        <family val="2"/>
      </rPr>
      <t xml:space="preserve">, </t>
    </r>
    <r>
      <rPr>
        <i/>
        <sz val="9"/>
        <rFont val="Arial"/>
        <family val="2"/>
      </rPr>
      <t>Z</t>
    </r>
    <r>
      <rPr>
        <i/>
        <vertAlign val="subscript"/>
        <sz val="9"/>
        <rFont val="Arial"/>
        <family val="2"/>
      </rPr>
      <t>Y</t>
    </r>
    <r>
      <rPr>
        <sz val="9"/>
        <rFont val="Arial"/>
        <family val="2"/>
      </rPr>
      <t>)</t>
    </r>
  </si>
  <si>
    <r>
      <t>Z</t>
    </r>
    <r>
      <rPr>
        <vertAlign val="subscript"/>
        <sz val="10"/>
        <rFont val="Arial"/>
        <family val="2"/>
      </rPr>
      <t>X</t>
    </r>
  </si>
  <si>
    <r>
      <t>Z</t>
    </r>
    <r>
      <rPr>
        <vertAlign val="subscript"/>
        <sz val="10"/>
        <rFont val="Arial"/>
        <family val="2"/>
      </rPr>
      <t>Y</t>
    </r>
  </si>
  <si>
    <r>
      <t>Z</t>
    </r>
    <r>
      <rPr>
        <b/>
        <i/>
        <vertAlign val="subscript"/>
        <sz val="10"/>
        <rFont val="Arial"/>
        <family val="2"/>
      </rPr>
      <t>X</t>
    </r>
  </si>
  <si>
    <r>
      <t>Z</t>
    </r>
    <r>
      <rPr>
        <b/>
        <i/>
        <vertAlign val="subscript"/>
        <sz val="10"/>
        <rFont val="Arial"/>
        <family val="2"/>
      </rPr>
      <t>Y</t>
    </r>
  </si>
  <si>
    <r>
      <t>Z</t>
    </r>
    <r>
      <rPr>
        <b/>
        <i/>
        <vertAlign val="subscript"/>
        <sz val="10"/>
        <rFont val="Arial"/>
        <family val="2"/>
      </rPr>
      <t>X</t>
    </r>
    <r>
      <rPr>
        <b/>
        <i/>
        <sz val="9"/>
        <rFont val="Arial"/>
        <family val="2"/>
      </rPr>
      <t>Z</t>
    </r>
    <r>
      <rPr>
        <b/>
        <i/>
        <vertAlign val="subscript"/>
        <sz val="10"/>
        <rFont val="Arial"/>
        <family val="2"/>
      </rPr>
      <t>Y</t>
    </r>
  </si>
  <si>
    <r>
      <t xml:space="preserve">  12</t>
    </r>
    <r>
      <rPr>
        <b/>
        <sz val="9"/>
        <rFont val="Arial"/>
        <family val="2"/>
      </rPr>
      <t xml:space="preserve">  The equation   </t>
    </r>
  </si>
  <si>
    <r>
      <t xml:space="preserve">Display </t>
    </r>
    <r>
      <rPr>
        <i/>
        <sz val="9"/>
        <rFont val="Arial"/>
        <family val="2"/>
      </rPr>
      <t>p</t>
    </r>
    <r>
      <rPr>
        <sz val="9"/>
        <rFont val="Arial"/>
        <family val="2"/>
      </rPr>
      <t xml:space="preserve"> value</t>
    </r>
    <r>
      <rPr>
        <sz val="9"/>
        <color indexed="45"/>
        <rFont val="Arial"/>
        <family val="2"/>
      </rPr>
      <t>..</t>
    </r>
  </si>
  <si>
    <r>
      <t xml:space="preserve">Display regression line for </t>
    </r>
    <r>
      <rPr>
        <i/>
        <sz val="9"/>
        <rFont val="Arial"/>
        <family val="2"/>
      </rPr>
      <t>Y</t>
    </r>
    <r>
      <rPr>
        <sz val="9"/>
        <rFont val="Arial"/>
        <family val="2"/>
      </rPr>
      <t xml:space="preserve"> on </t>
    </r>
    <r>
      <rPr>
        <i/>
        <sz val="9"/>
        <rFont val="Arial"/>
        <family val="2"/>
      </rPr>
      <t>X</t>
    </r>
  </si>
  <si>
    <r>
      <t>Ŷ</t>
    </r>
    <r>
      <rPr>
        <sz val="12"/>
        <rFont val="Arial"/>
        <family val="2"/>
      </rPr>
      <t xml:space="preserve"> =</t>
    </r>
  </si>
  <si>
    <r>
      <t xml:space="preserve">CI on </t>
    </r>
    <r>
      <rPr>
        <i/>
        <sz val="10"/>
        <rFont val="Arial"/>
        <family val="2"/>
      </rPr>
      <t>b</t>
    </r>
    <r>
      <rPr>
        <sz val="9"/>
        <rFont val="Arial"/>
        <family val="2"/>
      </rPr>
      <t xml:space="preserve"> </t>
    </r>
    <r>
      <rPr>
        <b/>
        <sz val="9"/>
        <rFont val="Arial"/>
        <family val="2"/>
      </rPr>
      <t>[</t>
    </r>
  </si>
  <si>
    <r>
      <t xml:space="preserve">          Choose </t>
    </r>
    <r>
      <rPr>
        <i/>
        <sz val="9"/>
        <rFont val="Arial"/>
        <family val="2"/>
      </rPr>
      <t>X</t>
    </r>
  </si>
  <si>
    <r>
      <t xml:space="preserve"> 13  </t>
    </r>
    <r>
      <rPr>
        <b/>
        <sz val="9"/>
        <rFont val="Arial"/>
        <family val="2"/>
      </rPr>
      <t>Residuals</t>
    </r>
  </si>
  <si>
    <r>
      <t xml:space="preserve">        Display (</t>
    </r>
    <r>
      <rPr>
        <i/>
        <sz val="9"/>
        <rFont val="Arial"/>
        <family val="2"/>
      </rPr>
      <t>Y</t>
    </r>
    <r>
      <rPr>
        <sz val="9"/>
        <rFont val="Arial"/>
        <family val="2"/>
      </rPr>
      <t xml:space="preserve"> - </t>
    </r>
    <r>
      <rPr>
        <i/>
        <sz val="9"/>
        <rFont val="Arial"/>
        <family val="2"/>
      </rPr>
      <t>Ŷ</t>
    </r>
    <r>
      <rPr>
        <sz val="9"/>
        <rFont val="Arial"/>
        <family val="2"/>
      </rPr>
      <t>) residuals</t>
    </r>
  </si>
  <si>
    <r>
      <t>s</t>
    </r>
    <r>
      <rPr>
        <i/>
        <vertAlign val="subscript"/>
        <sz val="10"/>
        <rFont val="Arial"/>
        <family val="2"/>
      </rPr>
      <t>Y.X</t>
    </r>
    <r>
      <rPr>
        <sz val="10"/>
        <color indexed="43"/>
        <rFont val="Arial"/>
        <family val="2"/>
      </rPr>
      <t>.</t>
    </r>
  </si>
  <si>
    <r>
      <t xml:space="preserve">Display CI curves for mean of </t>
    </r>
    <r>
      <rPr>
        <i/>
        <sz val="9"/>
        <rFont val="Arial"/>
        <family val="2"/>
      </rPr>
      <t>Y</t>
    </r>
  </si>
  <si>
    <r>
      <t xml:space="preserve">When the black regression line for </t>
    </r>
    <r>
      <rPr>
        <i/>
        <sz val="9"/>
        <rFont val="Arial"/>
        <family val="2"/>
      </rPr>
      <t>Y</t>
    </r>
    <r>
      <rPr>
        <sz val="9"/>
        <rFont val="Arial"/>
        <family val="2"/>
      </rPr>
      <t xml:space="preserve"> on </t>
    </r>
    <r>
      <rPr>
        <i/>
        <sz val="9"/>
        <rFont val="Arial"/>
        <family val="2"/>
      </rPr>
      <t>X</t>
    </r>
    <r>
      <rPr>
        <sz val="9"/>
        <rFont val="Arial"/>
        <family val="2"/>
      </rPr>
      <t xml:space="preserve"> is displayed in the left figure,</t>
    </r>
  </si>
  <si>
    <r>
      <t xml:space="preserve">CI  </t>
    </r>
    <r>
      <rPr>
        <b/>
        <sz val="9"/>
        <rFont val="Arial"/>
        <family val="2"/>
      </rPr>
      <t>[</t>
    </r>
  </si>
  <si>
    <r>
      <t xml:space="preserve"> 14</t>
    </r>
    <r>
      <rPr>
        <sz val="9"/>
        <rFont val="Arial"/>
        <family val="2"/>
      </rPr>
      <t xml:space="preserve">       Display adjustable line</t>
    </r>
  </si>
  <si>
    <r>
      <t xml:space="preserve">Display prediction interval curves for </t>
    </r>
    <r>
      <rPr>
        <i/>
        <sz val="9"/>
        <rFont val="Arial"/>
        <family val="2"/>
      </rPr>
      <t>Y</t>
    </r>
  </si>
  <si>
    <r>
      <t>Z</t>
    </r>
    <r>
      <rPr>
        <i/>
        <vertAlign val="subscript"/>
        <sz val="12"/>
        <rFont val="Arial"/>
        <family val="2"/>
      </rPr>
      <t>Ŷ</t>
    </r>
    <r>
      <rPr>
        <sz val="12"/>
        <rFont val="Arial"/>
        <family val="2"/>
      </rPr>
      <t xml:space="preserve">  =  </t>
    </r>
    <r>
      <rPr>
        <i/>
        <sz val="12"/>
        <rFont val="Arial"/>
        <family val="2"/>
      </rPr>
      <t xml:space="preserve">r  x  </t>
    </r>
    <r>
      <rPr>
        <sz val="12"/>
        <rFont val="Arial"/>
        <family val="2"/>
      </rPr>
      <t>Z</t>
    </r>
    <r>
      <rPr>
        <vertAlign val="subscript"/>
        <sz val="12"/>
        <rFont val="Arial"/>
        <family val="2"/>
      </rPr>
      <t xml:space="preserve">X  </t>
    </r>
  </si>
  <si>
    <r>
      <t xml:space="preserve">Prediction interval </t>
    </r>
    <r>
      <rPr>
        <b/>
        <sz val="9"/>
        <rFont val="Arial"/>
        <family val="2"/>
      </rPr>
      <t xml:space="preserve">( </t>
    </r>
  </si>
  <si>
    <r>
      <t xml:space="preserve">See one chosen correlation </t>
    </r>
    <r>
      <rPr>
        <i/>
        <sz val="10"/>
        <rFont val="Arial"/>
        <family val="2"/>
      </rPr>
      <t>r</t>
    </r>
    <r>
      <rPr>
        <sz val="9"/>
        <rFont val="Arial"/>
        <family val="2"/>
      </rPr>
      <t>, with its CI.</t>
    </r>
  </si>
  <si>
    <r>
      <t xml:space="preserve">See the cat's eye picture on </t>
    </r>
    <r>
      <rPr>
        <i/>
        <sz val="10"/>
        <rFont val="Arial"/>
        <family val="2"/>
      </rPr>
      <t>r</t>
    </r>
    <r>
      <rPr>
        <sz val="9"/>
        <rFont val="Arial"/>
        <family val="2"/>
      </rPr>
      <t>.</t>
    </r>
  </si>
  <si>
    <r>
      <t xml:space="preserve">Sample size and </t>
    </r>
    <r>
      <rPr>
        <b/>
        <i/>
        <sz val="10"/>
        <rFont val="Arial"/>
        <family val="2"/>
      </rPr>
      <t>r</t>
    </r>
  </si>
  <si>
    <r>
      <t>d</t>
    </r>
    <r>
      <rPr>
        <sz val="9"/>
        <rFont val="Arial"/>
        <family val="2"/>
      </rPr>
      <t>z/</t>
    </r>
    <r>
      <rPr>
        <sz val="9"/>
        <rFont val="Symbol"/>
        <family val="1"/>
        <charset val="2"/>
      </rPr>
      <t>d</t>
    </r>
    <r>
      <rPr>
        <sz val="9"/>
        <rFont val="Arial"/>
        <family val="2"/>
      </rPr>
      <t>r</t>
    </r>
  </si>
  <si>
    <r>
      <t xml:space="preserve">CI on </t>
    </r>
    <r>
      <rPr>
        <i/>
        <sz val="10"/>
        <rFont val="Arial"/>
        <family val="2"/>
      </rPr>
      <t>r</t>
    </r>
  </si>
  <si>
    <r>
      <t>MoE</t>
    </r>
    <r>
      <rPr>
        <vertAlign val="subscript"/>
        <sz val="10"/>
        <rFont val="Arial"/>
        <family val="2"/>
      </rPr>
      <t xml:space="preserve">av </t>
    </r>
  </si>
  <si>
    <r>
      <t>p</t>
    </r>
    <r>
      <rPr>
        <b/>
        <sz val="9"/>
        <rFont val="Arial"/>
        <family val="2"/>
      </rPr>
      <t xml:space="preserve"> value</t>
    </r>
  </si>
  <si>
    <r>
      <t xml:space="preserve">     Display H</t>
    </r>
    <r>
      <rPr>
        <vertAlign val="subscript"/>
        <sz val="10"/>
        <rFont val="Arial"/>
        <family val="2"/>
      </rPr>
      <t>0</t>
    </r>
    <r>
      <rPr>
        <sz val="9"/>
        <rFont val="Arial"/>
        <family val="2"/>
      </rPr>
      <t xml:space="preserve"> value and </t>
    </r>
    <r>
      <rPr>
        <i/>
        <sz val="10"/>
        <rFont val="Arial"/>
        <family val="2"/>
      </rPr>
      <t>p</t>
    </r>
    <r>
      <rPr>
        <sz val="9"/>
        <rFont val="Arial"/>
        <family val="2"/>
      </rPr>
      <t xml:space="preserve"> value</t>
    </r>
  </si>
  <si>
    <r>
      <t xml:space="preserve">p </t>
    </r>
    <r>
      <rPr>
        <sz val="9"/>
        <rFont val="Arial"/>
        <family val="2"/>
      </rPr>
      <t xml:space="preserve">value </t>
    </r>
  </si>
  <si>
    <r>
      <t>Population correlation for H</t>
    </r>
    <r>
      <rPr>
        <vertAlign val="subscript"/>
        <sz val="10"/>
        <rFont val="Arial"/>
        <family val="2"/>
      </rPr>
      <t>0</t>
    </r>
  </si>
  <si>
    <r>
      <t>r</t>
    </r>
    <r>
      <rPr>
        <vertAlign val="subscript"/>
        <sz val="11"/>
        <rFont val="Arial"/>
        <family val="2"/>
      </rPr>
      <t>0</t>
    </r>
  </si>
  <si>
    <r>
      <t xml:space="preserve">See CIs on two independent correlations, </t>
    </r>
    <r>
      <rPr>
        <i/>
        <sz val="10"/>
        <rFont val="Arial"/>
        <family val="2"/>
      </rPr>
      <t>r</t>
    </r>
    <r>
      <rPr>
        <vertAlign val="subscript"/>
        <sz val="10"/>
        <rFont val="Arial"/>
        <family val="2"/>
      </rPr>
      <t>1</t>
    </r>
    <r>
      <rPr>
        <sz val="9"/>
        <rFont val="Arial"/>
        <family val="2"/>
      </rPr>
      <t xml:space="preserve"> and </t>
    </r>
    <r>
      <rPr>
        <i/>
        <sz val="10"/>
        <rFont val="Arial"/>
        <family val="2"/>
      </rPr>
      <t>r</t>
    </r>
    <r>
      <rPr>
        <vertAlign val="subscript"/>
        <sz val="10"/>
        <rFont val="Arial"/>
        <family val="2"/>
      </rPr>
      <t>2</t>
    </r>
    <r>
      <rPr>
        <sz val="9"/>
        <rFont val="Arial"/>
        <family val="2"/>
      </rPr>
      <t>.</t>
    </r>
  </si>
  <si>
    <r>
      <t xml:space="preserve">Display the difference </t>
    </r>
    <r>
      <rPr>
        <sz val="10"/>
        <rFont val="Arial"/>
        <family val="2"/>
      </rPr>
      <t>(</t>
    </r>
    <r>
      <rPr>
        <i/>
        <sz val="10"/>
        <rFont val="Arial"/>
        <family val="2"/>
      </rPr>
      <t>r</t>
    </r>
    <r>
      <rPr>
        <vertAlign val="subscript"/>
        <sz val="10"/>
        <rFont val="Arial"/>
        <family val="2"/>
      </rPr>
      <t>2</t>
    </r>
    <r>
      <rPr>
        <sz val="9"/>
        <rFont val="Arial"/>
        <family val="2"/>
      </rPr>
      <t xml:space="preserve"> - </t>
    </r>
    <r>
      <rPr>
        <i/>
        <sz val="10"/>
        <rFont val="Arial"/>
        <family val="2"/>
      </rPr>
      <t>r</t>
    </r>
    <r>
      <rPr>
        <vertAlign val="subscript"/>
        <sz val="10"/>
        <rFont val="Arial"/>
        <family val="2"/>
      </rPr>
      <t>1</t>
    </r>
    <r>
      <rPr>
        <sz val="9"/>
        <rFont val="Arial"/>
        <family val="2"/>
      </rPr>
      <t>),</t>
    </r>
  </si>
  <si>
    <r>
      <t xml:space="preserve">   with the CI on the difference, and the </t>
    </r>
    <r>
      <rPr>
        <i/>
        <sz val="10"/>
        <rFont val="Arial"/>
        <family val="2"/>
      </rPr>
      <t>p</t>
    </r>
    <r>
      <rPr>
        <sz val="9"/>
        <rFont val="Arial"/>
        <family val="2"/>
      </rPr>
      <t xml:space="preserve"> value</t>
    </r>
  </si>
  <si>
    <r>
      <t>Difference (</t>
    </r>
    <r>
      <rPr>
        <b/>
        <i/>
        <sz val="10"/>
        <rFont val="Arial"/>
        <family val="2"/>
      </rPr>
      <t>r</t>
    </r>
    <r>
      <rPr>
        <b/>
        <vertAlign val="subscript"/>
        <sz val="10"/>
        <rFont val="Arial"/>
        <family val="2"/>
      </rPr>
      <t>2</t>
    </r>
    <r>
      <rPr>
        <b/>
        <sz val="10"/>
        <rFont val="Arial"/>
        <family val="2"/>
      </rPr>
      <t xml:space="preserve"> - </t>
    </r>
    <r>
      <rPr>
        <b/>
        <i/>
        <sz val="10"/>
        <rFont val="Arial"/>
        <family val="2"/>
      </rPr>
      <t>r</t>
    </r>
    <r>
      <rPr>
        <b/>
        <vertAlign val="subscript"/>
        <sz val="10"/>
        <rFont val="Arial"/>
        <family val="2"/>
      </rPr>
      <t>1</t>
    </r>
    <r>
      <rPr>
        <b/>
        <sz val="9"/>
        <rFont val="Arial"/>
        <family val="2"/>
      </rPr>
      <t>)</t>
    </r>
  </si>
  <si>
    <r>
      <t xml:space="preserve">For </t>
    </r>
    <r>
      <rPr>
        <b/>
        <i/>
        <sz val="10"/>
        <rFont val="Arial"/>
        <family val="2"/>
      </rPr>
      <t>r</t>
    </r>
    <r>
      <rPr>
        <b/>
        <vertAlign val="subscript"/>
        <sz val="10"/>
        <rFont val="Arial"/>
        <family val="2"/>
      </rPr>
      <t>1</t>
    </r>
  </si>
  <si>
    <r>
      <t xml:space="preserve">For </t>
    </r>
    <r>
      <rPr>
        <b/>
        <i/>
        <sz val="10"/>
        <rFont val="Arial"/>
        <family val="2"/>
      </rPr>
      <t>r</t>
    </r>
    <r>
      <rPr>
        <b/>
        <vertAlign val="subscript"/>
        <sz val="10"/>
        <rFont val="Arial"/>
        <family val="2"/>
      </rPr>
      <t>2</t>
    </r>
  </si>
  <si>
    <r>
      <t>r</t>
    </r>
    <r>
      <rPr>
        <vertAlign val="subscript"/>
        <sz val="10"/>
        <rFont val="Arial"/>
        <family val="2"/>
      </rPr>
      <t>2</t>
    </r>
    <r>
      <rPr>
        <sz val="10"/>
        <rFont val="Arial"/>
        <family val="2"/>
      </rPr>
      <t xml:space="preserve"> - </t>
    </r>
    <r>
      <rPr>
        <i/>
        <sz val="10"/>
        <rFont val="Arial"/>
        <family val="2"/>
      </rPr>
      <t>r</t>
    </r>
    <r>
      <rPr>
        <vertAlign val="subscript"/>
        <sz val="10"/>
        <rFont val="Arial"/>
        <family val="2"/>
      </rPr>
      <t>1</t>
    </r>
  </si>
  <si>
    <r>
      <t>CI on (</t>
    </r>
    <r>
      <rPr>
        <i/>
        <sz val="10"/>
        <rFont val="Arial"/>
        <family val="2"/>
      </rPr>
      <t>r</t>
    </r>
    <r>
      <rPr>
        <vertAlign val="subscript"/>
        <sz val="10"/>
        <rFont val="Arial"/>
        <family val="2"/>
      </rPr>
      <t>2</t>
    </r>
    <r>
      <rPr>
        <sz val="10"/>
        <rFont val="Arial"/>
        <family val="2"/>
      </rPr>
      <t xml:space="preserve"> - </t>
    </r>
    <r>
      <rPr>
        <i/>
        <sz val="10"/>
        <rFont val="Arial"/>
        <family val="2"/>
      </rPr>
      <t>r</t>
    </r>
    <r>
      <rPr>
        <vertAlign val="subscript"/>
        <sz val="10"/>
        <rFont val="Arial"/>
        <family val="2"/>
      </rPr>
      <t>1</t>
    </r>
    <r>
      <rPr>
        <vertAlign val="subscript"/>
        <sz val="9"/>
        <rFont val="Arial"/>
        <family val="2"/>
      </rPr>
      <t>)</t>
    </r>
  </si>
  <si>
    <r>
      <t>r</t>
    </r>
    <r>
      <rPr>
        <vertAlign val="subscript"/>
        <sz val="9"/>
        <rFont val="Arial"/>
        <family val="2"/>
      </rPr>
      <t>1</t>
    </r>
  </si>
  <si>
    <r>
      <t>r</t>
    </r>
    <r>
      <rPr>
        <vertAlign val="subscript"/>
        <sz val="9"/>
        <rFont val="Arial"/>
        <family val="2"/>
      </rPr>
      <t>2</t>
    </r>
  </si>
  <si>
    <r>
      <t xml:space="preserve">CI on </t>
    </r>
    <r>
      <rPr>
        <b/>
        <i/>
        <sz val="10"/>
        <rFont val="Arial"/>
        <family val="2"/>
      </rPr>
      <t>r</t>
    </r>
    <r>
      <rPr>
        <b/>
        <vertAlign val="subscript"/>
        <sz val="10"/>
        <rFont val="Arial"/>
        <family val="2"/>
      </rPr>
      <t>1</t>
    </r>
  </si>
  <si>
    <r>
      <t xml:space="preserve">CI on </t>
    </r>
    <r>
      <rPr>
        <b/>
        <i/>
        <sz val="10"/>
        <rFont val="Arial"/>
        <family val="2"/>
      </rPr>
      <t>r</t>
    </r>
    <r>
      <rPr>
        <b/>
        <vertAlign val="subscript"/>
        <sz val="10"/>
        <rFont val="Arial"/>
        <family val="2"/>
      </rPr>
      <t>2</t>
    </r>
  </si>
  <si>
    <r>
      <t xml:space="preserve">CI on </t>
    </r>
    <r>
      <rPr>
        <i/>
        <sz val="10"/>
        <rFont val="Arial"/>
        <family val="2"/>
      </rPr>
      <t>r</t>
    </r>
    <r>
      <rPr>
        <vertAlign val="subscript"/>
        <sz val="10"/>
        <rFont val="Arial"/>
        <family val="2"/>
      </rPr>
      <t>1</t>
    </r>
  </si>
  <si>
    <r>
      <t xml:space="preserve">CI on </t>
    </r>
    <r>
      <rPr>
        <i/>
        <sz val="10"/>
        <rFont val="Arial"/>
        <family val="2"/>
      </rPr>
      <t>r</t>
    </r>
    <r>
      <rPr>
        <vertAlign val="subscript"/>
        <sz val="10"/>
        <rFont val="Arial"/>
        <family val="2"/>
      </rPr>
      <t>2</t>
    </r>
  </si>
  <si>
    <r>
      <t>MoE</t>
    </r>
    <r>
      <rPr>
        <vertAlign val="subscript"/>
        <sz val="10"/>
        <rFont val="Arial"/>
        <family val="2"/>
      </rPr>
      <t>av</t>
    </r>
  </si>
  <si>
    <r>
      <t>p</t>
    </r>
    <r>
      <rPr>
        <b/>
        <sz val="9"/>
        <rFont val="Arial"/>
        <family val="2"/>
      </rPr>
      <t xml:space="preserve"> value for difference</t>
    </r>
  </si>
  <si>
    <r>
      <t xml:space="preserve">          Show </t>
    </r>
    <r>
      <rPr>
        <i/>
        <sz val="10"/>
        <rFont val="Arial"/>
        <family val="2"/>
      </rPr>
      <t>p</t>
    </r>
    <r>
      <rPr>
        <sz val="9"/>
        <rFont val="Arial"/>
        <family val="2"/>
      </rPr>
      <t xml:space="preserve"> value</t>
    </r>
  </si>
  <si>
    <r>
      <t xml:space="preserve">See one chosen proportion </t>
    </r>
    <r>
      <rPr>
        <i/>
        <sz val="10"/>
        <rFont val="Arial"/>
        <family val="2"/>
      </rPr>
      <t>P</t>
    </r>
    <r>
      <rPr>
        <sz val="9"/>
        <rFont val="Arial"/>
        <family val="2"/>
      </rPr>
      <t>, with its CI</t>
    </r>
  </si>
  <si>
    <r>
      <t xml:space="preserve">See the </t>
    </r>
    <r>
      <rPr>
        <i/>
        <sz val="9"/>
        <rFont val="Arial"/>
        <family val="2"/>
      </rPr>
      <t>p</t>
    </r>
    <r>
      <rPr>
        <sz val="9"/>
        <rFont val="Arial"/>
        <family val="2"/>
      </rPr>
      <t xml:space="preserve"> value for a chosen null hypothesis</t>
    </r>
  </si>
  <si>
    <r>
      <t>P</t>
    </r>
    <r>
      <rPr>
        <sz val="14"/>
        <rFont val="Arial"/>
        <family val="2"/>
      </rPr>
      <t xml:space="preserve"> = </t>
    </r>
    <r>
      <rPr>
        <i/>
        <sz val="14"/>
        <rFont val="Arial"/>
        <family val="2"/>
      </rPr>
      <t>X / N</t>
    </r>
  </si>
  <si>
    <r>
      <t xml:space="preserve">Confidence interval on </t>
    </r>
    <r>
      <rPr>
        <b/>
        <i/>
        <sz val="9"/>
        <rFont val="Arial"/>
        <family val="2"/>
      </rPr>
      <t>P</t>
    </r>
  </si>
  <si>
    <r>
      <t xml:space="preserve">Display </t>
    </r>
    <r>
      <rPr>
        <i/>
        <sz val="9"/>
        <rFont val="Arial"/>
        <family val="2"/>
      </rPr>
      <t>p</t>
    </r>
    <r>
      <rPr>
        <sz val="9"/>
        <rFont val="Arial"/>
        <family val="2"/>
      </rPr>
      <t xml:space="preserve"> value?</t>
    </r>
  </si>
  <si>
    <r>
      <t>Population proportion for H</t>
    </r>
    <r>
      <rPr>
        <vertAlign val="subscript"/>
        <sz val="10"/>
        <rFont val="Arial"/>
        <family val="2"/>
      </rPr>
      <t>0</t>
    </r>
  </si>
  <si>
    <r>
      <t>P</t>
    </r>
    <r>
      <rPr>
        <vertAlign val="subscript"/>
        <sz val="11"/>
        <rFont val="Arial"/>
        <family val="2"/>
      </rPr>
      <t>0</t>
    </r>
  </si>
  <si>
    <r>
      <t xml:space="preserve">See CIs on two independent proportions, </t>
    </r>
    <r>
      <rPr>
        <i/>
        <sz val="10"/>
        <rFont val="Arial"/>
        <family val="2"/>
      </rPr>
      <t>P</t>
    </r>
    <r>
      <rPr>
        <vertAlign val="subscript"/>
        <sz val="10"/>
        <rFont val="Arial"/>
        <family val="2"/>
      </rPr>
      <t>1</t>
    </r>
    <r>
      <rPr>
        <sz val="9"/>
        <rFont val="Arial"/>
        <family val="2"/>
      </rPr>
      <t xml:space="preserve"> and </t>
    </r>
    <r>
      <rPr>
        <i/>
        <sz val="10"/>
        <rFont val="Arial"/>
        <family val="2"/>
      </rPr>
      <t>P</t>
    </r>
    <r>
      <rPr>
        <vertAlign val="subscript"/>
        <sz val="10"/>
        <rFont val="Arial"/>
        <family val="2"/>
      </rPr>
      <t>2</t>
    </r>
    <r>
      <rPr>
        <sz val="9"/>
        <rFont val="Arial"/>
        <family val="2"/>
      </rPr>
      <t>.</t>
    </r>
  </si>
  <si>
    <r>
      <t xml:space="preserve">Display the difference </t>
    </r>
    <r>
      <rPr>
        <sz val="10"/>
        <rFont val="Arial"/>
        <family val="2"/>
      </rPr>
      <t>(</t>
    </r>
    <r>
      <rPr>
        <i/>
        <sz val="10"/>
        <rFont val="Arial"/>
        <family val="2"/>
      </rPr>
      <t>P</t>
    </r>
    <r>
      <rPr>
        <vertAlign val="subscript"/>
        <sz val="10"/>
        <rFont val="Arial"/>
        <family val="2"/>
      </rPr>
      <t>2</t>
    </r>
    <r>
      <rPr>
        <sz val="9"/>
        <rFont val="Arial"/>
        <family val="2"/>
      </rPr>
      <t xml:space="preserve"> - </t>
    </r>
    <r>
      <rPr>
        <i/>
        <sz val="10"/>
        <rFont val="Arial"/>
        <family val="2"/>
      </rPr>
      <t>P</t>
    </r>
    <r>
      <rPr>
        <vertAlign val="subscript"/>
        <sz val="10"/>
        <rFont val="Arial"/>
        <family val="2"/>
      </rPr>
      <t>1</t>
    </r>
    <r>
      <rPr>
        <sz val="9"/>
        <rFont val="Arial"/>
        <family val="2"/>
      </rPr>
      <t>),</t>
    </r>
  </si>
  <si>
    <r>
      <t>Difference (</t>
    </r>
    <r>
      <rPr>
        <b/>
        <i/>
        <sz val="9"/>
        <rFont val="Arial"/>
        <family val="2"/>
      </rPr>
      <t>P</t>
    </r>
    <r>
      <rPr>
        <b/>
        <vertAlign val="subscript"/>
        <sz val="10"/>
        <rFont val="Arial"/>
        <family val="2"/>
      </rPr>
      <t>2</t>
    </r>
    <r>
      <rPr>
        <b/>
        <sz val="10"/>
        <rFont val="Arial"/>
        <family val="2"/>
      </rPr>
      <t xml:space="preserve"> - </t>
    </r>
    <r>
      <rPr>
        <b/>
        <i/>
        <sz val="9"/>
        <rFont val="Arial"/>
        <family val="2"/>
      </rPr>
      <t>P</t>
    </r>
    <r>
      <rPr>
        <b/>
        <vertAlign val="subscript"/>
        <sz val="10"/>
        <rFont val="Arial"/>
        <family val="2"/>
      </rPr>
      <t>1</t>
    </r>
    <r>
      <rPr>
        <b/>
        <sz val="9"/>
        <rFont val="Arial"/>
        <family val="2"/>
      </rPr>
      <t>)</t>
    </r>
  </si>
  <si>
    <r>
      <t xml:space="preserve">For </t>
    </r>
    <r>
      <rPr>
        <b/>
        <i/>
        <sz val="10"/>
        <rFont val="Arial"/>
        <family val="2"/>
      </rPr>
      <t>P</t>
    </r>
    <r>
      <rPr>
        <b/>
        <vertAlign val="subscript"/>
        <sz val="10"/>
        <rFont val="Arial"/>
        <family val="2"/>
      </rPr>
      <t>1</t>
    </r>
  </si>
  <si>
    <r>
      <t xml:space="preserve">For </t>
    </r>
    <r>
      <rPr>
        <b/>
        <i/>
        <sz val="9"/>
        <rFont val="Arial"/>
        <family val="2"/>
      </rPr>
      <t>P</t>
    </r>
    <r>
      <rPr>
        <b/>
        <vertAlign val="subscript"/>
        <sz val="10"/>
        <rFont val="Arial"/>
        <family val="2"/>
      </rPr>
      <t>2</t>
    </r>
  </si>
  <si>
    <r>
      <t>P</t>
    </r>
    <r>
      <rPr>
        <vertAlign val="subscript"/>
        <sz val="12"/>
        <rFont val="Arial"/>
        <family val="2"/>
      </rPr>
      <t>1</t>
    </r>
    <r>
      <rPr>
        <sz val="12"/>
        <rFont val="Arial"/>
        <family val="2"/>
      </rPr>
      <t xml:space="preserve"> = </t>
    </r>
    <r>
      <rPr>
        <i/>
        <sz val="12"/>
        <rFont val="Arial"/>
        <family val="2"/>
      </rPr>
      <t>X</t>
    </r>
    <r>
      <rPr>
        <vertAlign val="subscript"/>
        <sz val="12"/>
        <rFont val="Arial"/>
        <family val="2"/>
      </rPr>
      <t>1</t>
    </r>
    <r>
      <rPr>
        <i/>
        <sz val="12"/>
        <rFont val="Arial"/>
        <family val="2"/>
      </rPr>
      <t xml:space="preserve"> / N</t>
    </r>
    <r>
      <rPr>
        <vertAlign val="subscript"/>
        <sz val="12"/>
        <rFont val="Arial"/>
        <family val="2"/>
      </rPr>
      <t>1</t>
    </r>
  </si>
  <si>
    <r>
      <t>P</t>
    </r>
    <r>
      <rPr>
        <vertAlign val="subscript"/>
        <sz val="12"/>
        <rFont val="Arial"/>
        <family val="2"/>
      </rPr>
      <t>2</t>
    </r>
    <r>
      <rPr>
        <sz val="12"/>
        <rFont val="Arial"/>
        <family val="2"/>
      </rPr>
      <t xml:space="preserve"> = </t>
    </r>
    <r>
      <rPr>
        <i/>
        <sz val="12"/>
        <rFont val="Arial"/>
        <family val="2"/>
      </rPr>
      <t>X</t>
    </r>
    <r>
      <rPr>
        <vertAlign val="subscript"/>
        <sz val="12"/>
        <rFont val="Arial"/>
        <family val="2"/>
      </rPr>
      <t>2</t>
    </r>
    <r>
      <rPr>
        <i/>
        <sz val="12"/>
        <rFont val="Arial"/>
        <family val="2"/>
      </rPr>
      <t xml:space="preserve"> / N</t>
    </r>
    <r>
      <rPr>
        <vertAlign val="subscript"/>
        <sz val="12"/>
        <rFont val="Arial"/>
        <family val="2"/>
      </rPr>
      <t>2</t>
    </r>
  </si>
  <si>
    <r>
      <t>X</t>
    </r>
    <r>
      <rPr>
        <vertAlign val="subscript"/>
        <sz val="10"/>
        <rFont val="Arial"/>
        <family val="2"/>
      </rPr>
      <t xml:space="preserve">1  </t>
    </r>
  </si>
  <si>
    <r>
      <t>P</t>
    </r>
    <r>
      <rPr>
        <vertAlign val="subscript"/>
        <sz val="10"/>
        <rFont val="Arial"/>
        <family val="2"/>
      </rPr>
      <t>1</t>
    </r>
  </si>
  <si>
    <r>
      <t>X</t>
    </r>
    <r>
      <rPr>
        <vertAlign val="subscript"/>
        <sz val="10"/>
        <rFont val="Arial"/>
        <family val="2"/>
      </rPr>
      <t xml:space="preserve">2  </t>
    </r>
  </si>
  <si>
    <r>
      <t>P</t>
    </r>
    <r>
      <rPr>
        <vertAlign val="subscript"/>
        <sz val="10"/>
        <rFont val="Arial"/>
        <family val="2"/>
      </rPr>
      <t>2</t>
    </r>
  </si>
  <si>
    <r>
      <t>CI on (</t>
    </r>
    <r>
      <rPr>
        <i/>
        <sz val="10"/>
        <rFont val="Arial"/>
        <family val="2"/>
      </rPr>
      <t>P</t>
    </r>
    <r>
      <rPr>
        <vertAlign val="subscript"/>
        <sz val="10"/>
        <rFont val="Arial"/>
        <family val="2"/>
      </rPr>
      <t>2</t>
    </r>
    <r>
      <rPr>
        <sz val="10"/>
        <rFont val="Arial"/>
        <family val="2"/>
      </rPr>
      <t xml:space="preserve"> - </t>
    </r>
    <r>
      <rPr>
        <i/>
        <sz val="10"/>
        <rFont val="Arial"/>
        <family val="2"/>
      </rPr>
      <t>P</t>
    </r>
    <r>
      <rPr>
        <vertAlign val="subscript"/>
        <sz val="10"/>
        <rFont val="Arial"/>
        <family val="2"/>
      </rPr>
      <t>1</t>
    </r>
    <r>
      <rPr>
        <vertAlign val="subscript"/>
        <sz val="9"/>
        <rFont val="Arial"/>
        <family val="2"/>
      </rPr>
      <t>)</t>
    </r>
  </si>
  <si>
    <r>
      <t>N</t>
    </r>
    <r>
      <rPr>
        <vertAlign val="subscript"/>
        <sz val="10"/>
        <rFont val="Arial"/>
        <family val="2"/>
      </rPr>
      <t xml:space="preserve">1  </t>
    </r>
  </si>
  <si>
    <r>
      <t>N</t>
    </r>
    <r>
      <rPr>
        <vertAlign val="subscript"/>
        <sz val="10"/>
        <rFont val="Arial"/>
        <family val="2"/>
      </rPr>
      <t xml:space="preserve">2  </t>
    </r>
  </si>
  <si>
    <r>
      <t xml:space="preserve">CI on </t>
    </r>
    <r>
      <rPr>
        <b/>
        <i/>
        <sz val="9"/>
        <rFont val="Arial"/>
        <family val="2"/>
      </rPr>
      <t>P</t>
    </r>
    <r>
      <rPr>
        <b/>
        <vertAlign val="subscript"/>
        <sz val="10"/>
        <rFont val="Arial"/>
        <family val="2"/>
      </rPr>
      <t>1</t>
    </r>
  </si>
  <si>
    <r>
      <t xml:space="preserve">CI on </t>
    </r>
    <r>
      <rPr>
        <b/>
        <i/>
        <sz val="9"/>
        <rFont val="Arial"/>
        <family val="2"/>
      </rPr>
      <t>P</t>
    </r>
    <r>
      <rPr>
        <b/>
        <vertAlign val="subscript"/>
        <sz val="10"/>
        <rFont val="Arial"/>
        <family val="2"/>
      </rPr>
      <t>2</t>
    </r>
  </si>
  <si>
    <r>
      <t xml:space="preserve"> 9  </t>
    </r>
    <r>
      <rPr>
        <b/>
        <sz val="9"/>
        <rFont val="Arial"/>
        <family val="2"/>
      </rPr>
      <t>Chi-square analysis</t>
    </r>
  </si>
  <si>
    <r>
      <t>P</t>
    </r>
    <r>
      <rPr>
        <b/>
        <vertAlign val="subscript"/>
        <sz val="10"/>
        <rFont val="Arial"/>
        <family val="2"/>
      </rPr>
      <t>1</t>
    </r>
  </si>
  <si>
    <r>
      <t>P</t>
    </r>
    <r>
      <rPr>
        <b/>
        <vertAlign val="subscript"/>
        <sz val="10"/>
        <rFont val="Arial"/>
        <family val="2"/>
      </rPr>
      <t>2</t>
    </r>
  </si>
  <si>
    <r>
      <t>(</t>
    </r>
    <r>
      <rPr>
        <i/>
        <sz val="10"/>
        <rFont val="Arial"/>
        <family val="2"/>
      </rPr>
      <t>N - X</t>
    </r>
    <r>
      <rPr>
        <sz val="10"/>
        <rFont val="Arial"/>
        <family val="2"/>
      </rPr>
      <t>)</t>
    </r>
  </si>
  <si>
    <r>
      <t>c</t>
    </r>
    <r>
      <rPr>
        <vertAlign val="superscript"/>
        <sz val="10"/>
        <rFont val="Arial"/>
        <family val="2"/>
      </rPr>
      <t>2</t>
    </r>
  </si>
  <si>
    <r>
      <t>Phi</t>
    </r>
    <r>
      <rPr>
        <sz val="11"/>
        <rFont val="Arial"/>
        <family val="2"/>
      </rPr>
      <t xml:space="preserve">  </t>
    </r>
    <r>
      <rPr>
        <sz val="11"/>
        <rFont val="Symbol"/>
        <family val="1"/>
        <charset val="2"/>
      </rPr>
      <t xml:space="preserve"> f</t>
    </r>
  </si>
  <si>
    <r>
      <t xml:space="preserve">Find </t>
    </r>
    <r>
      <rPr>
        <i/>
        <sz val="9"/>
        <rFont val="Arial"/>
        <family val="2"/>
      </rPr>
      <t>N</t>
    </r>
    <r>
      <rPr>
        <sz val="9"/>
        <rFont val="Arial"/>
        <family val="2"/>
      </rPr>
      <t xml:space="preserve"> needed for target MoE, on average</t>
    </r>
  </si>
  <si>
    <t xml:space="preserve">      …set by slider below figure</t>
  </si>
  <si>
    <r>
      <t xml:space="preserve">     N</t>
    </r>
    <r>
      <rPr>
        <sz val="9"/>
        <rFont val="Arial"/>
        <family val="2"/>
      </rPr>
      <t xml:space="preserve"> curve for target MoE, </t>
    </r>
    <r>
      <rPr>
        <b/>
        <sz val="9"/>
        <rFont val="Arial"/>
        <family val="2"/>
      </rPr>
      <t>on average</t>
    </r>
  </si>
  <si>
    <r>
      <t xml:space="preserve">     N</t>
    </r>
    <r>
      <rPr>
        <sz val="9"/>
        <rFont val="Arial"/>
        <family val="2"/>
      </rPr>
      <t xml:space="preserve"> curve for target MoE, </t>
    </r>
    <r>
      <rPr>
        <b/>
        <sz val="9"/>
        <rFont val="Arial"/>
        <family val="2"/>
      </rPr>
      <t>with 99% assurance</t>
    </r>
  </si>
  <si>
    <r>
      <t xml:space="preserve">       Display all </t>
    </r>
    <r>
      <rPr>
        <i/>
        <sz val="9"/>
        <rFont val="Arial"/>
        <family val="2"/>
      </rPr>
      <t>N</t>
    </r>
    <r>
      <rPr>
        <sz val="9"/>
        <rFont val="Arial"/>
        <family val="2"/>
      </rPr>
      <t xml:space="preserve"> values</t>
    </r>
  </si>
  <si>
    <t xml:space="preserve">        …set by slider below figure</t>
  </si>
  <si>
    <r>
      <t xml:space="preserve">     Mark possible values of proportion </t>
    </r>
    <r>
      <rPr>
        <i/>
        <sz val="10"/>
        <rFont val="Arial"/>
        <family val="2"/>
      </rPr>
      <t>P</t>
    </r>
    <r>
      <rPr>
        <sz val="9"/>
        <rFont val="Arial"/>
        <family val="2"/>
      </rPr>
      <t xml:space="preserve"> </t>
    </r>
  </si>
  <si>
    <r>
      <t xml:space="preserve">CI on proportion </t>
    </r>
    <r>
      <rPr>
        <i/>
        <sz val="10"/>
        <rFont val="Arial"/>
        <family val="2"/>
      </rPr>
      <t>P</t>
    </r>
  </si>
  <si>
    <r>
      <t>P</t>
    </r>
    <r>
      <rPr>
        <vertAlign val="subscript"/>
        <sz val="10"/>
        <rFont val="Arial"/>
        <family val="2"/>
      </rPr>
      <t>2</t>
    </r>
    <r>
      <rPr>
        <sz val="10"/>
        <rFont val="Arial"/>
        <family val="2"/>
      </rPr>
      <t xml:space="preserve"> - </t>
    </r>
    <r>
      <rPr>
        <i/>
        <sz val="10"/>
        <rFont val="Arial"/>
        <family val="2"/>
      </rPr>
      <t>P</t>
    </r>
    <r>
      <rPr>
        <vertAlign val="subscript"/>
        <sz val="10"/>
        <rFont val="Arial"/>
        <family val="2"/>
      </rPr>
      <t>1</t>
    </r>
  </si>
  <si>
    <r>
      <t xml:space="preserve">CI on proportion </t>
    </r>
    <r>
      <rPr>
        <i/>
        <sz val="10"/>
        <rFont val="Arial"/>
        <family val="2"/>
      </rPr>
      <t>P</t>
    </r>
    <r>
      <rPr>
        <vertAlign val="subscript"/>
        <sz val="10"/>
        <rFont val="Arial"/>
        <family val="2"/>
      </rPr>
      <t>1</t>
    </r>
  </si>
  <si>
    <r>
      <t xml:space="preserve">CI on proportion </t>
    </r>
    <r>
      <rPr>
        <i/>
        <sz val="10"/>
        <rFont val="Arial"/>
        <family val="2"/>
      </rPr>
      <t>P</t>
    </r>
    <r>
      <rPr>
        <vertAlign val="subscript"/>
        <sz val="10"/>
        <rFont val="Arial"/>
        <family val="2"/>
      </rPr>
      <t>2</t>
    </r>
  </si>
  <si>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</si>
  <si>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</si>
  <si>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</si>
  <si>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</si>
  <si>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</si>
  <si>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</si>
  <si>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</si>
  <si>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</si>
  <si>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</si>
  <si>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</si>
  <si>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</si>
  <si>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</si>
  <si>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</si>
  <si>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</si>
  <si>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</si>
  <si>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</si>
  <si>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</si>
  <si>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Kord</t>
  </si>
  <si>
    <t>K</t>
  </si>
  <si>
    <t>ifx&gt;Kord</t>
  </si>
  <si>
    <t>Display Y axis for MoE curve</t>
  </si>
  <si>
    <t>x at maxord</t>
  </si>
  <si>
    <t xml:space="preserve">    clear directions next to the object code saying where to find the</t>
  </si>
  <si>
    <t xml:space="preserve">    Corresponding Source.  Regardless of what server hosts the</t>
  </si>
  <si>
    <t>Between-groups IV</t>
  </si>
  <si>
    <t>Between-groups independent variable (IV)</t>
  </si>
  <si>
    <t>=</t>
  </si>
  <si>
    <t xml:space="preserve">)  </t>
  </si>
  <si>
    <r>
      <t>CI</t>
    </r>
    <r>
      <rPr>
        <b/>
        <sz val="9"/>
        <rFont val="Arial"/>
        <family val="2"/>
      </rPr>
      <t xml:space="preserve"> [ </t>
    </r>
  </si>
  <si>
    <t>Colour switch (dod)</t>
  </si>
  <si>
    <t xml:space="preserve">    Corresponding Source, you remain obligated to ensure that it is</t>
  </si>
  <si>
    <t xml:space="preserve">    available for as long as needed to satisfy these requirements.</t>
  </si>
  <si>
    <t xml:space="preserve">    e) Convey the object code using peer-to-peer transmission, provided</t>
  </si>
  <si>
    <t>For RH figure with differences</t>
  </si>
  <si>
    <r>
      <t xml:space="preserve">SDs   </t>
    </r>
    <r>
      <rPr>
        <i/>
        <sz val="9"/>
        <rFont val="Arial"/>
        <family val="2"/>
      </rPr>
      <t>st</t>
    </r>
    <r>
      <rPr>
        <vertAlign val="subscript"/>
        <sz val="10"/>
        <rFont val="Arial"/>
        <family val="2"/>
      </rPr>
      <t>1</t>
    </r>
  </si>
  <si>
    <r>
      <t>st</t>
    </r>
    <r>
      <rPr>
        <vertAlign val="subscript"/>
        <sz val="10"/>
        <rFont val="Arial"/>
        <family val="2"/>
      </rPr>
      <t>2</t>
    </r>
  </si>
  <si>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</si>
  <si>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</si>
  <si>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</si>
  <si>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</si>
  <si>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</si>
  <si>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</si>
  <si>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</si>
  <si>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</si>
  <si>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</si>
  <si>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</si>
  <si>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</si>
  <si>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</si>
  <si>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</si>
  <si>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</si>
  <si>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</si>
  <si>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</si>
  <si>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</si>
  <si>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</si>
  <si>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</si>
  <si>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</si>
  <si>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</si>
  <si>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</si>
  <si>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</si>
  <si>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</si>
  <si>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</si>
  <si>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</si>
  <si>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</si>
  <si>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</si>
  <si>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</si>
  <si>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</si>
  <si>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</si>
  <si>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</si>
  <si>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Evening</t>
  </si>
  <si>
    <t>Morning</t>
  </si>
  <si>
    <t>Name</t>
  </si>
  <si>
    <t xml:space="preserve">  User enters:</t>
  </si>
  <si>
    <t xml:space="preserve">         Statistics</t>
  </si>
  <si>
    <t xml:space="preserve">         above</t>
  </si>
  <si>
    <t xml:space="preserve">         Full data</t>
  </si>
  <si>
    <t>Enter your own data, for two independent groups</t>
  </si>
  <si>
    <t xml:space="preserve">13 </t>
  </si>
  <si>
    <t xml:space="preserve">14 </t>
  </si>
  <si>
    <t xml:space="preserve">15 </t>
  </si>
  <si>
    <t xml:space="preserve"> Dataset name </t>
  </si>
  <si>
    <t>PenLaptop 2</t>
  </si>
  <si>
    <t xml:space="preserve">Units </t>
  </si>
  <si>
    <t>Transcription %</t>
  </si>
  <si>
    <t>Group 1</t>
  </si>
  <si>
    <t>Group 2</t>
  </si>
  <si>
    <t>C</t>
  </si>
  <si>
    <t>Pen</t>
  </si>
  <si>
    <t>Laptop</t>
  </si>
  <si>
    <t>N1</t>
  </si>
  <si>
    <r>
      <t>2</t>
    </r>
    <r>
      <rPr>
        <sz val="8"/>
        <rFont val="Arial"/>
        <family val="2"/>
      </rPr>
      <t xml:space="preserve">  1</t>
    </r>
  </si>
  <si>
    <t>N2</t>
  </si>
  <si>
    <t>CIs and inference</t>
  </si>
  <si>
    <t>to</t>
  </si>
  <si>
    <t>Challng</t>
  </si>
  <si>
    <t>Effect Size</t>
  </si>
  <si>
    <t>Assumption</t>
  </si>
  <si>
    <t xml:space="preserve">       Yes</t>
  </si>
  <si>
    <t xml:space="preserve">Assume variances equal?  </t>
  </si>
  <si>
    <t xml:space="preserve">       No</t>
  </si>
  <si>
    <t>Inference</t>
  </si>
  <si>
    <t>offset?</t>
  </si>
  <si>
    <t>For Display</t>
  </si>
  <si>
    <t>Group1</t>
  </si>
  <si>
    <t>Group2</t>
  </si>
  <si>
    <t>oldy1disp</t>
  </si>
  <si>
    <t>y1dispround</t>
  </si>
  <si>
    <t>y1ticks</t>
  </si>
  <si>
    <t>x1ticks</t>
  </si>
  <si>
    <t>x1dispinc</t>
  </si>
  <si>
    <t>oldy2disp</t>
  </si>
  <si>
    <t>y2dispround</t>
  </si>
  <si>
    <t>y2ticks</t>
  </si>
  <si>
    <t>x2ticks</t>
  </si>
  <si>
    <t>x2dispinc</t>
  </si>
  <si>
    <t>Show CI</t>
  </si>
  <si>
    <t>To get wide figure</t>
  </si>
  <si>
    <t>Dotted lines</t>
  </si>
  <si>
    <t>maxy</t>
  </si>
  <si>
    <t>Group 1?</t>
  </si>
  <si>
    <t>Show O'lap</t>
  </si>
  <si>
    <t>ytick</t>
  </si>
  <si>
    <t>Group 2?</t>
  </si>
  <si>
    <t>Dot only</t>
  </si>
  <si>
    <t>miny</t>
  </si>
  <si>
    <t>Disp data</t>
  </si>
  <si>
    <t>Yes-No</t>
  </si>
  <si>
    <t>Reveal Diff fig</t>
  </si>
  <si>
    <t>xtick</t>
  </si>
  <si>
    <t>X-axis labels</t>
  </si>
  <si>
    <t>Disp difference</t>
  </si>
  <si>
    <t>Bar</t>
  </si>
  <si>
    <t>Dot Means</t>
  </si>
  <si>
    <t>Col Means</t>
  </si>
  <si>
    <t>Disp all diff stuff</t>
  </si>
  <si>
    <t>CI bars</t>
  </si>
  <si>
    <t>Bar widths</t>
  </si>
  <si>
    <t>Overlap</t>
  </si>
  <si>
    <t>Max y needed</t>
  </si>
  <si>
    <t>Min y needed</t>
  </si>
  <si>
    <t>(Invisible points to keep y axis stable)</t>
  </si>
  <si>
    <t>y axis label</t>
  </si>
  <si>
    <t>tcrit C</t>
  </si>
  <si>
    <t>For Welch-Satterthwaite</t>
  </si>
  <si>
    <t>For WS SE</t>
  </si>
  <si>
    <t>WS SE</t>
  </si>
  <si>
    <t>WS t</t>
  </si>
  <si>
    <t>WS df</t>
  </si>
  <si>
    <t>WS p rddown</t>
  </si>
  <si>
    <t>tcrit C rddn</t>
  </si>
  <si>
    <t>WS p rdup</t>
  </si>
  <si>
    <t>tcrit C rdup</t>
  </si>
  <si>
    <t>WS interp frac</t>
  </si>
  <si>
    <t>WS p</t>
  </si>
  <si>
    <r>
      <t>N</t>
    </r>
    <r>
      <rPr>
        <vertAlign val="subscript"/>
        <sz val="10"/>
        <rFont val="Arial"/>
        <family val="2"/>
      </rPr>
      <t>1</t>
    </r>
  </si>
  <si>
    <r>
      <t>N</t>
    </r>
    <r>
      <rPr>
        <vertAlign val="subscript"/>
        <sz val="10"/>
        <rFont val="Arial"/>
        <family val="2"/>
      </rPr>
      <t>2</t>
    </r>
  </si>
  <si>
    <r>
      <t xml:space="preserve">Means   </t>
    </r>
    <r>
      <rPr>
        <i/>
        <sz val="9"/>
        <rFont val="Arial"/>
        <family val="2"/>
      </rPr>
      <t>M</t>
    </r>
    <r>
      <rPr>
        <vertAlign val="subscript"/>
        <sz val="10"/>
        <rFont val="Arial"/>
        <family val="2"/>
      </rPr>
      <t>1</t>
    </r>
  </si>
  <si>
    <r>
      <t>M</t>
    </r>
    <r>
      <rPr>
        <vertAlign val="subscript"/>
        <sz val="10"/>
        <rFont val="Arial"/>
        <family val="2"/>
      </rPr>
      <t>2</t>
    </r>
  </si>
  <si>
    <r>
      <t xml:space="preserve">SDs   </t>
    </r>
    <r>
      <rPr>
        <i/>
        <sz val="9"/>
        <rFont val="Arial"/>
        <family val="2"/>
      </rPr>
      <t>s</t>
    </r>
    <r>
      <rPr>
        <vertAlign val="subscript"/>
        <sz val="10"/>
        <rFont val="Arial"/>
        <family val="2"/>
      </rPr>
      <t>1</t>
    </r>
  </si>
  <si>
    <r>
      <t>s</t>
    </r>
    <r>
      <rPr>
        <vertAlign val="subscript"/>
        <sz val="10"/>
        <rFont val="Arial"/>
        <family val="2"/>
      </rPr>
      <t>2</t>
    </r>
  </si>
  <si>
    <r>
      <t>MoE</t>
    </r>
    <r>
      <rPr>
        <vertAlign val="subscript"/>
        <sz val="10"/>
        <rFont val="Arial"/>
        <family val="2"/>
      </rPr>
      <t>1</t>
    </r>
  </si>
  <si>
    <r>
      <t>MoE</t>
    </r>
    <r>
      <rPr>
        <vertAlign val="subscript"/>
        <sz val="10"/>
        <rFont val="Arial"/>
        <family val="2"/>
      </rPr>
      <t>2</t>
    </r>
  </si>
  <si>
    <r>
      <t>CI</t>
    </r>
    <r>
      <rPr>
        <b/>
        <sz val="9"/>
        <rFont val="Arial"/>
        <family val="2"/>
      </rPr>
      <t xml:space="preserve"> [</t>
    </r>
    <r>
      <rPr>
        <b/>
        <sz val="9"/>
        <color indexed="45"/>
        <rFont val="Arial"/>
        <family val="2"/>
      </rPr>
      <t>i</t>
    </r>
    <r>
      <rPr>
        <b/>
        <sz val="9"/>
        <rFont val="Arial"/>
        <family val="2"/>
      </rPr>
      <t xml:space="preserve">    </t>
    </r>
  </si>
  <si>
    <r>
      <t xml:space="preserve">to  </t>
    </r>
    <r>
      <rPr>
        <b/>
        <sz val="9"/>
        <rFont val="Arial"/>
        <family val="2"/>
      </rPr>
      <t xml:space="preserve">       [</t>
    </r>
  </si>
  <si>
    <r>
      <t>s</t>
    </r>
    <r>
      <rPr>
        <vertAlign val="subscript"/>
        <sz val="10"/>
        <rFont val="Arial"/>
        <family val="2"/>
      </rPr>
      <t xml:space="preserve">p </t>
    </r>
  </si>
  <si>
    <r>
      <t>MoE</t>
    </r>
    <r>
      <rPr>
        <vertAlign val="subscript"/>
        <sz val="10"/>
        <rFont val="Arial"/>
        <family val="2"/>
      </rPr>
      <t>diff</t>
    </r>
  </si>
  <si>
    <r>
      <t>Independent groups</t>
    </r>
    <r>
      <rPr>
        <i/>
        <sz val="9"/>
        <rFont val="Arial"/>
        <family val="2"/>
      </rPr>
      <t xml:space="preserve"> t </t>
    </r>
  </si>
  <si>
    <r>
      <t xml:space="preserve"> </t>
    </r>
    <r>
      <rPr>
        <i/>
        <sz val="9"/>
        <rFont val="Arial"/>
        <family val="2"/>
      </rPr>
      <t>p</t>
    </r>
    <r>
      <rPr>
        <sz val="9"/>
        <rFont val="Arial"/>
        <family val="2"/>
      </rPr>
      <t xml:space="preserve"> value </t>
    </r>
  </si>
  <si>
    <r>
      <t xml:space="preserve">Disp </t>
    </r>
    <r>
      <rPr>
        <i/>
        <sz val="9"/>
        <rFont val="Arial"/>
        <family val="2"/>
      </rPr>
      <t>d</t>
    </r>
    <r>
      <rPr>
        <sz val="9"/>
        <rFont val="Arial"/>
        <family val="2"/>
      </rPr>
      <t>, CI?</t>
    </r>
  </si>
  <si>
    <r>
      <t>C</t>
    </r>
    <r>
      <rPr>
        <sz val="9"/>
        <rFont val="Arial"/>
        <family val="2"/>
      </rPr>
      <t xml:space="preserve"> OK?</t>
    </r>
  </si>
  <si>
    <t>Display</t>
  </si>
  <si>
    <t xml:space="preserve">Trim % </t>
  </si>
  <si>
    <t>central</t>
  </si>
  <si>
    <t>ends</t>
  </si>
  <si>
    <t>Robust?</t>
  </si>
  <si>
    <t>blankRcol</t>
  </si>
  <si>
    <t>Group 1 display dots</t>
  </si>
  <si>
    <t>Group 2 display dots</t>
  </si>
  <si>
    <t>trim%</t>
  </si>
  <si>
    <t>g1</t>
  </si>
  <si>
    <t>g2</t>
  </si>
  <si>
    <t>x1disp</t>
  </si>
  <si>
    <t>x2disp</t>
  </si>
  <si>
    <t>stepy1</t>
  </si>
  <si>
    <t>rawy1</t>
  </si>
  <si>
    <t>step y2</t>
  </si>
  <si>
    <t>raw y2</t>
  </si>
  <si>
    <t>blank</t>
  </si>
  <si>
    <t>winsor</t>
  </si>
  <si>
    <t>trimM</t>
  </si>
  <si>
    <t>Winsd</t>
  </si>
  <si>
    <r>
      <t xml:space="preserve">]          </t>
    </r>
    <r>
      <rPr>
        <i/>
        <sz val="9"/>
        <rFont val="Arial"/>
        <family val="2"/>
      </rPr>
      <t xml:space="preserve">df </t>
    </r>
  </si>
  <si>
    <t xml:space="preserve">Descriptives </t>
  </si>
  <si>
    <t>Robust analysis</t>
  </si>
  <si>
    <t xml:space="preserve">       Robust analysis</t>
  </si>
  <si>
    <t>Descriptives</t>
  </si>
  <si>
    <t>Robustsw</t>
  </si>
  <si>
    <t>Dotted lines ROBUST</t>
  </si>
  <si>
    <t>Means ROBUST</t>
  </si>
  <si>
    <t>h1</t>
  </si>
  <si>
    <t>h2</t>
  </si>
  <si>
    <t>d1</t>
  </si>
  <si>
    <t>d2</t>
  </si>
  <si>
    <t>df+</t>
  </si>
  <si>
    <t>df-</t>
  </si>
  <si>
    <t>MoE diff</t>
  </si>
  <si>
    <t>ROBUST diff</t>
  </si>
  <si>
    <t>p2</t>
  </si>
  <si>
    <r>
      <t>]</t>
    </r>
    <r>
      <rPr>
        <sz val="9"/>
        <rFont val="Arial"/>
        <family val="2"/>
      </rPr>
      <t xml:space="preserve"> </t>
    </r>
    <r>
      <rPr>
        <i/>
        <sz val="9"/>
        <rFont val="Arial"/>
        <family val="2"/>
      </rPr>
      <t>p</t>
    </r>
    <r>
      <rPr>
        <sz val="9"/>
        <rFont val="Arial"/>
        <family val="2"/>
      </rPr>
      <t xml:space="preserve"> value </t>
    </r>
  </si>
  <si>
    <r>
      <t>to</t>
    </r>
    <r>
      <rPr>
        <b/>
        <sz val="9"/>
        <rFont val="Arial"/>
        <family val="2"/>
      </rPr>
      <t xml:space="preserve">        </t>
    </r>
    <r>
      <rPr>
        <i/>
        <sz val="9"/>
        <rFont val="Arial"/>
        <family val="2"/>
      </rPr>
      <t xml:space="preserve">df </t>
    </r>
  </si>
  <si>
    <t xml:space="preserve">  Reveal figure displaying difference</t>
  </si>
  <si>
    <t xml:space="preserve">       Offset data points</t>
  </si>
  <si>
    <t>for C</t>
  </si>
  <si>
    <t xml:space="preserve">         at right</t>
  </si>
  <si>
    <t>Sleep</t>
  </si>
  <si>
    <r>
      <t xml:space="preserve">8 </t>
    </r>
    <r>
      <rPr>
        <b/>
        <sz val="9"/>
        <rFont val="Arial"/>
        <family val="2"/>
      </rPr>
      <t>Main effects</t>
    </r>
  </si>
  <si>
    <t>False Memory Score</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</si>
  <si>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</si>
  <si>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</si>
  <si>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</si>
  <si>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</si>
  <si>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</si>
  <si>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</si>
  <si>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</si>
  <si>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</si>
  <si>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</si>
  <si>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</si>
  <si>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</si>
  <si>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Display horiz at 0</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</si>
  <si>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</si>
  <si>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</si>
  <si>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</si>
  <si>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</si>
  <si>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</si>
  <si>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</si>
  <si>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</si>
  <si>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</si>
  <si>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BodyWellFM</t>
  </si>
  <si>
    <t>BodyWellF</t>
  </si>
  <si>
    <t>BodyWellM</t>
  </si>
  <si>
    <t>Body Satisfaction</t>
  </si>
  <si>
    <t>Wellbeing</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</si>
  <si>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</si>
  <si>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</si>
  <si>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</si>
  <si>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</si>
  <si>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</si>
  <si>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</si>
  <si>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 xml:space="preserve">Validation </t>
  </si>
  <si>
    <t>summary</t>
  </si>
  <si>
    <t>table</t>
  </si>
  <si>
    <t>Series 5 for labels on X axis, and to control display width</t>
  </si>
  <si>
    <t>Diff of diffs</t>
  </si>
  <si>
    <t>Slants</t>
  </si>
  <si>
    <t>Horizontals</t>
  </si>
  <si>
    <t>Display DoD?</t>
  </si>
  <si>
    <t>DoD</t>
  </si>
  <si>
    <t xml:space="preserve">SE </t>
  </si>
  <si>
    <t>SE based on sum of 4 variances</t>
  </si>
  <si>
    <t>MoE for DoD</t>
  </si>
  <si>
    <t>Zero</t>
  </si>
  <si>
    <t>DoD value</t>
  </si>
  <si>
    <t>Any check?</t>
  </si>
  <si>
    <t>Diff axis label:</t>
  </si>
  <si>
    <t>Main effect label</t>
  </si>
  <si>
    <t>p value</t>
  </si>
  <si>
    <t>Difference of</t>
  </si>
  <si>
    <t xml:space="preserve">  differences</t>
  </si>
  <si>
    <t>B1</t>
  </si>
  <si>
    <t>B2</t>
  </si>
  <si>
    <t xml:space="preserve">M </t>
  </si>
  <si>
    <t xml:space="preserve">n </t>
  </si>
  <si>
    <t xml:space="preserve">s </t>
  </si>
  <si>
    <r>
      <t>2</t>
    </r>
    <r>
      <rPr>
        <b/>
        <sz val="9"/>
        <rFont val="Arial"/>
        <family val="2"/>
      </rPr>
      <t xml:space="preserve">  Data entry</t>
    </r>
  </si>
  <si>
    <t xml:space="preserve">   options</t>
  </si>
  <si>
    <t xml:space="preserve">    Enter summary statistics, or full data, for four independent</t>
  </si>
  <si>
    <t xml:space="preserve">      groups, with 2 x 2 factorial design</t>
  </si>
  <si>
    <r>
      <t xml:space="preserve">      4</t>
    </r>
    <r>
      <rPr>
        <b/>
        <sz val="9"/>
        <rFont val="Arial"/>
        <family val="2"/>
      </rPr>
      <t xml:space="preserve">  Full data</t>
    </r>
  </si>
  <si>
    <r>
      <t xml:space="preserve"> 5</t>
    </r>
    <r>
      <rPr>
        <sz val="9"/>
        <rFont val="Arial"/>
        <family val="2"/>
      </rPr>
      <t xml:space="preserve">       C</t>
    </r>
  </si>
  <si>
    <r>
      <t xml:space="preserve"> 7</t>
    </r>
    <r>
      <rPr>
        <b/>
        <sz val="9"/>
        <rFont val="Arial"/>
        <family val="2"/>
      </rPr>
      <t xml:space="preserve">  Means to compare</t>
    </r>
    <r>
      <rPr>
        <sz val="9"/>
        <rFont val="Arial"/>
        <family val="2"/>
      </rPr>
      <t xml:space="preserve">:  (Top </t>
    </r>
    <r>
      <rPr>
        <b/>
        <sz val="9"/>
        <color indexed="17"/>
        <rFont val="Arial"/>
        <family val="2"/>
      </rPr>
      <t>green</t>
    </r>
    <r>
      <rPr>
        <sz val="9"/>
        <rFont val="Arial"/>
        <family val="2"/>
      </rPr>
      <t xml:space="preserve"> </t>
    </r>
    <r>
      <rPr>
        <sz val="9"/>
        <rFont val="Arial"/>
        <family val="2"/>
      </rPr>
      <t>–</t>
    </r>
    <r>
      <rPr>
        <sz val="9"/>
        <rFont val="Arial"/>
        <family val="2"/>
      </rPr>
      <t xml:space="preserve"> Bottom </t>
    </r>
    <r>
      <rPr>
        <b/>
        <sz val="9"/>
        <color indexed="12"/>
        <rFont val="Arial"/>
        <family val="2"/>
      </rPr>
      <t>blue</t>
    </r>
    <r>
      <rPr>
        <sz val="9"/>
        <rFont val="Arial"/>
        <family val="2"/>
      </rPr>
      <t xml:space="preserve"> subset)</t>
    </r>
  </si>
  <si>
    <r>
      <t xml:space="preserve">  10</t>
    </r>
    <r>
      <rPr>
        <b/>
        <sz val="9"/>
        <rFont val="Arial"/>
        <family val="2"/>
      </rPr>
      <t xml:space="preserve">  Selected effect </t>
    </r>
  </si>
  <si>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</si>
  <si>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</si>
  <si>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</si>
  <si>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</si>
  <si>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</si>
  <si>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</si>
  <si>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</si>
  <si>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For A main effect</t>
  </si>
  <si>
    <t>For B main effect</t>
  </si>
  <si>
    <t>Clear A B m e</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</si>
  <si>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</si>
  <si>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</si>
  <si>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</si>
  <si>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</si>
  <si>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</si>
  <si>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Halagappa</t>
  </si>
  <si>
    <t>Control10</t>
  </si>
  <si>
    <t>Free10</t>
  </si>
  <si>
    <t>Diet10</t>
  </si>
  <si>
    <t>Control17</t>
  </si>
  <si>
    <t>Free17</t>
  </si>
  <si>
    <t>Diet17</t>
  </si>
  <si>
    <t xml:space="preserve">    Notices displayed by works containing it; or</t>
  </si>
  <si>
    <t xml:space="preserve">    c) Prohibiting misrepresentation of the origin of that material, or</t>
  </si>
  <si>
    <t xml:space="preserve">    requiring that modified versions of such material be marked in</t>
  </si>
  <si>
    <t>Diff</t>
  </si>
  <si>
    <t>Min</t>
  </si>
  <si>
    <t>blue</t>
  </si>
  <si>
    <t>green</t>
  </si>
  <si>
    <t>,after?</t>
  </si>
  <si>
    <t>df for s pooled</t>
  </si>
  <si>
    <r>
      <t>p</t>
    </r>
    <r>
      <rPr>
        <sz val="9"/>
        <rFont val="Arial"/>
        <family val="2"/>
      </rPr>
      <t xml:space="preserve"> value</t>
    </r>
  </si>
  <si>
    <t>means</t>
  </si>
  <si>
    <r>
      <t>5</t>
    </r>
    <r>
      <rPr>
        <b/>
        <sz val="9"/>
        <rFont val="Arial"/>
        <family val="2"/>
      </rPr>
      <t xml:space="preserve">  Full</t>
    </r>
  </si>
  <si>
    <r>
      <t xml:space="preserve"> 6</t>
    </r>
    <r>
      <rPr>
        <sz val="9"/>
        <rFont val="Arial"/>
        <family val="2"/>
      </rPr>
      <t xml:space="preserve">       C</t>
    </r>
  </si>
  <si>
    <t xml:space="preserve">Green </t>
  </si>
  <si>
    <t xml:space="preserve">Blue </t>
  </si>
  <si>
    <t xml:space="preserve">Mean of </t>
  </si>
  <si>
    <r>
      <t xml:space="preserve">  CI</t>
    </r>
    <r>
      <rPr>
        <b/>
        <sz val="9"/>
        <rFont val="Arial"/>
        <family val="2"/>
      </rPr>
      <t xml:space="preserve"> [</t>
    </r>
  </si>
  <si>
    <r>
      <t xml:space="preserve">  CI </t>
    </r>
    <r>
      <rPr>
        <b/>
        <sz val="9"/>
        <rFont val="Arial"/>
        <family val="2"/>
      </rPr>
      <t>[</t>
    </r>
  </si>
  <si>
    <t>Calculations for the green and blue sets of means</t>
  </si>
  <si>
    <t>For top (green)</t>
  </si>
  <si>
    <t>For bottom (blue)</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</si>
  <si>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</si>
  <si>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</si>
  <si>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</si>
  <si>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</si>
  <si>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Population correlation</t>
  </si>
  <si>
    <r>
      <t xml:space="preserve">Correlation </t>
    </r>
    <r>
      <rPr>
        <sz val="11"/>
        <rFont val="Symbol"/>
        <family val="1"/>
        <charset val="2"/>
      </rPr>
      <t>r</t>
    </r>
    <r>
      <rPr>
        <sz val="9"/>
        <color indexed="9"/>
        <rFont val="Symbol"/>
        <family val="1"/>
        <charset val="2"/>
      </rPr>
      <t>.</t>
    </r>
    <r>
      <rPr>
        <sz val="9"/>
        <rFont val="Arial"/>
        <family val="2"/>
      </rPr>
      <t xml:space="preserve"> </t>
    </r>
  </si>
  <si>
    <t>Precision, paired data</t>
  </si>
  <si>
    <r>
      <t>N</t>
    </r>
    <r>
      <rPr>
        <sz val="9"/>
        <rFont val="Arial"/>
        <family val="2"/>
      </rPr>
      <t xml:space="preserve"> is the number of data pairs</t>
    </r>
  </si>
  <si>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</si>
  <si>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</si>
  <si>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</si>
  <si>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</si>
  <si>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See group means with CIs. Examine any comparison of two means.</t>
  </si>
  <si>
    <r>
      <t>4</t>
    </r>
    <r>
      <rPr>
        <b/>
        <sz val="9"/>
        <rFont val="Arial"/>
        <family val="2"/>
      </rPr>
      <t xml:space="preserve">  Confidence intervals</t>
    </r>
  </si>
  <si>
    <t xml:space="preserve"> 7</t>
  </si>
  <si>
    <r>
      <t xml:space="preserve">   9</t>
    </r>
    <r>
      <rPr>
        <b/>
        <sz val="9"/>
        <rFont val="Arial"/>
        <family val="2"/>
      </rPr>
      <t xml:space="preserve">   Comparison of means</t>
    </r>
  </si>
  <si>
    <r>
      <t xml:space="preserve">   8</t>
    </r>
    <r>
      <rPr>
        <b/>
        <sz val="9"/>
        <rFont val="Arial"/>
        <family val="2"/>
      </rPr>
      <t xml:space="preserve">   Means to compare</t>
    </r>
    <r>
      <rPr>
        <sz val="9"/>
        <rFont val="Arial"/>
        <family val="2"/>
      </rPr>
      <t xml:space="preserve">: (Top selection </t>
    </r>
    <r>
      <rPr>
        <sz val="9"/>
        <rFont val="Arial"/>
        <family val="2"/>
      </rPr>
      <t>–</t>
    </r>
    <r>
      <rPr>
        <sz val="9"/>
        <rFont val="Arial"/>
        <family val="2"/>
      </rPr>
      <t xml:space="preserve"> Bottom selection)</t>
    </r>
  </si>
  <si>
    <t>% time near target</t>
  </si>
  <si>
    <r>
      <t xml:space="preserve">   8</t>
    </r>
    <r>
      <rPr>
        <b/>
        <sz val="9"/>
        <rFont val="Arial"/>
        <family val="2"/>
      </rPr>
      <t xml:space="preserve">    Means to compare</t>
    </r>
    <r>
      <rPr>
        <sz val="9"/>
        <rFont val="Arial"/>
        <family val="2"/>
      </rPr>
      <t xml:space="preserve">:  (Top </t>
    </r>
    <r>
      <rPr>
        <b/>
        <sz val="9"/>
        <color indexed="17"/>
        <rFont val="Arial"/>
        <family val="2"/>
      </rPr>
      <t>green</t>
    </r>
    <r>
      <rPr>
        <sz val="9"/>
        <rFont val="Arial"/>
        <family val="2"/>
      </rPr>
      <t xml:space="preserve"> subset </t>
    </r>
    <r>
      <rPr>
        <sz val="9"/>
        <rFont val="Arial"/>
        <family val="2"/>
      </rPr>
      <t>–</t>
    </r>
    <r>
      <rPr>
        <sz val="9"/>
        <rFont val="Arial"/>
        <family val="2"/>
      </rPr>
      <t xml:space="preserve"> Bottom </t>
    </r>
    <r>
      <rPr>
        <b/>
        <sz val="9"/>
        <color indexed="12"/>
        <rFont val="Arial"/>
        <family val="2"/>
      </rPr>
      <t>blue</t>
    </r>
    <r>
      <rPr>
        <sz val="9"/>
        <rFont val="Arial"/>
        <family val="2"/>
      </rPr>
      <t xml:space="preserve"> subset)</t>
    </r>
  </si>
  <si>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</si>
  <si>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</si>
  <si>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</si>
  <si>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</si>
  <si>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</si>
  <si>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</si>
  <si>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</si>
  <si>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</si>
  <si>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</si>
  <si>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</si>
  <si>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</si>
  <si>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</si>
  <si>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</si>
  <si>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</si>
  <si>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</si>
  <si>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</si>
  <si>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</si>
  <si>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</si>
  <si>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</si>
  <si>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</si>
  <si>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</si>
  <si>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</si>
  <si>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</si>
  <si>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</si>
  <si>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</si>
  <si>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</si>
  <si>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</si>
  <si>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</si>
  <si>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</si>
  <si>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</si>
  <si>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</si>
  <si>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</si>
  <si>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</si>
  <si>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</si>
  <si>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</si>
  <si>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</si>
  <si>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</si>
  <si>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</si>
  <si>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</si>
  <si>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</si>
  <si>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</si>
  <si>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</si>
  <si>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</si>
  <si>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</si>
  <si>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</si>
  <si>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Thomason 3</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</si>
  <si>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</si>
  <si>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</si>
  <si>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</si>
  <si>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</si>
  <si>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</si>
  <si>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</si>
  <si>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</si>
  <si>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</si>
  <si>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</si>
  <si>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</si>
  <si>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For distribution curve of MoE</t>
  </si>
  <si>
    <t>f^2/df</t>
  </si>
  <si>
    <t>Rcum</t>
  </si>
  <si>
    <t>ord</t>
  </si>
  <si>
    <t>^2/( )</t>
  </si>
  <si>
    <t>Lend</t>
  </si>
  <si>
    <t>N points</t>
  </si>
  <si>
    <t>Rend</t>
  </si>
  <si>
    <t>xinc</t>
  </si>
  <si>
    <t>index</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</si>
  <si>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</si>
  <si>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</si>
  <si>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</si>
  <si>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</si>
  <si>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</si>
  <si>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</si>
  <si>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</si>
  <si>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</si>
  <si>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</si>
  <si>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</si>
  <si>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</si>
  <si>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A1</t>
  </si>
  <si>
    <t>A2</t>
  </si>
  <si>
    <t>A3</t>
  </si>
  <si>
    <t>A4</t>
  </si>
  <si>
    <t>A5</t>
  </si>
  <si>
    <t>A6</t>
  </si>
  <si>
    <t>x shift for offset</t>
  </si>
  <si>
    <t>Males</t>
  </si>
  <si>
    <t>Females</t>
  </si>
  <si>
    <t>N sex partners</t>
  </si>
  <si>
    <t>Full data?</t>
  </si>
  <si>
    <t>Statistics above</t>
  </si>
  <si>
    <t>Full data below</t>
  </si>
  <si>
    <t>A1?</t>
  </si>
  <si>
    <t>A2?</t>
  </si>
  <si>
    <t>A3?</t>
  </si>
  <si>
    <t>A4?</t>
  </si>
  <si>
    <t>A5?</t>
  </si>
  <si>
    <t>A6?</t>
  </si>
  <si>
    <t>Some?</t>
  </si>
  <si>
    <t>Pooled s</t>
  </si>
  <si>
    <t>Contrib</t>
  </si>
  <si>
    <t>M</t>
  </si>
  <si>
    <t>DV label</t>
  </si>
  <si>
    <t>–</t>
  </si>
  <si>
    <t>Left</t>
  </si>
  <si>
    <t>Right</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</si>
  <si>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</si>
  <si>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</si>
  <si>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</si>
  <si>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</si>
  <si>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</si>
  <si>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</si>
  <si>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</si>
  <si>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</si>
  <si>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</si>
  <si>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</si>
  <si>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</si>
  <si>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</si>
  <si>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</si>
  <si>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</si>
  <si>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</si>
  <si>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</si>
  <si>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</si>
  <si>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</si>
  <si>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</si>
  <si>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</si>
  <si>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limit</t>
  </si>
  <si>
    <t>height</t>
  </si>
  <si>
    <t>Nt grey</t>
  </si>
  <si>
    <t>greyvalues</t>
  </si>
  <si>
    <t>t black</t>
  </si>
  <si>
    <t>Target' label</t>
  </si>
  <si>
    <r>
      <t xml:space="preserve">Find </t>
    </r>
    <r>
      <rPr>
        <i/>
        <sz val="9"/>
        <rFont val="Arial"/>
        <family val="2"/>
      </rPr>
      <t>N</t>
    </r>
    <r>
      <rPr>
        <sz val="9"/>
        <rFont val="Arial"/>
        <family val="2"/>
      </rPr>
      <t xml:space="preserve"> for 99% assurance</t>
    </r>
  </si>
  <si>
    <t>1=t, 2=assurance</t>
  </si>
  <si>
    <r>
      <t>N</t>
    </r>
    <r>
      <rPr>
        <b/>
        <sz val="9"/>
        <rFont val="Arial"/>
        <family val="2"/>
      </rPr>
      <t xml:space="preserve"> curves</t>
    </r>
  </si>
  <si>
    <t>MoE curve number labels</t>
  </si>
  <si>
    <t>maxord</t>
  </si>
  <si>
    <t xml:space="preserve">Target MoE of 95% CI </t>
  </si>
  <si>
    <r>
      <t>N</t>
    </r>
    <r>
      <rPr>
        <sz val="9"/>
        <rFont val="Arial"/>
        <family val="2"/>
      </rPr>
      <t>, on average, LONG</t>
    </r>
  </si>
  <si>
    <t>make, use, sell, offer for sale, import and otherwise run, modify and</t>
  </si>
  <si>
    <t>propagate the contents of its contributor version.</t>
  </si>
  <si>
    <t xml:space="preserve">  In the following three paragraphs, a "patent license" is any express</t>
  </si>
  <si>
    <t>for zoom</t>
  </si>
  <si>
    <t>y against</t>
  </si>
  <si>
    <t>slope</t>
  </si>
  <si>
    <t>x against</t>
  </si>
  <si>
    <t>diagline</t>
  </si>
  <si>
    <t>covariance</t>
  </si>
  <si>
    <t>Regression lines</t>
  </si>
  <si>
    <t xml:space="preserve">   See scatterplots for generated data sets</t>
  </si>
  <si>
    <t>zoom ctr</t>
  </si>
  <si>
    <t>intercept</t>
  </si>
  <si>
    <t>in'cept</t>
  </si>
  <si>
    <t>r</t>
  </si>
  <si>
    <t>For seed</t>
  </si>
  <si>
    <t>sliders</t>
  </si>
  <si>
    <t>target</t>
  </si>
  <si>
    <t>sampling</t>
  </si>
  <si>
    <t>correl</t>
  </si>
  <si>
    <t>display zero axes?</t>
  </si>
  <si>
    <t>Disp y against x?</t>
  </si>
  <si>
    <t>Disp av line?</t>
  </si>
  <si>
    <t>For slope of diag line</t>
  </si>
  <si>
    <t>slope y ag x</t>
  </si>
  <si>
    <t>Seed</t>
  </si>
  <si>
    <t>tweak</t>
  </si>
  <si>
    <t>Disp x against y?</t>
  </si>
  <si>
    <t>Disp big value?</t>
  </si>
  <si>
    <t>SDy/SDx</t>
  </si>
  <si>
    <t>intercept y ag x</t>
  </si>
  <si>
    <t>Slope</t>
  </si>
  <si>
    <t>sqrt(1-r^2)</t>
  </si>
  <si>
    <t>for zero</t>
  </si>
  <si>
    <t>display means?</t>
  </si>
  <si>
    <t>x marg?</t>
  </si>
  <si>
    <t>slope x ag y</t>
  </si>
  <si>
    <t>For change</t>
  </si>
  <si>
    <t>r or rho</t>
  </si>
  <si>
    <t>for tweak</t>
  </si>
  <si>
    <t>mean</t>
  </si>
  <si>
    <t>y marg?</t>
  </si>
  <si>
    <t>spacer</t>
  </si>
  <si>
    <t>intercept x ag y</t>
  </si>
  <si>
    <t>sd</t>
  </si>
  <si>
    <t xml:space="preserve">     Main display</t>
  </si>
  <si>
    <t>point past</t>
  </si>
  <si>
    <t xml:space="preserve"> Disp pts past edge</t>
  </si>
  <si>
    <t>Disp x marginal dbn</t>
  </si>
  <si>
    <t>Disp y marginal dbn</t>
  </si>
  <si>
    <t>x marg dbn ext pts</t>
  </si>
  <si>
    <t>y marg dbn ext pts</t>
  </si>
  <si>
    <t xml:space="preserve">    To calc r and reg lines</t>
  </si>
  <si>
    <t>1=sample, 2=fixed</t>
  </si>
  <si>
    <t>n</t>
  </si>
  <si>
    <t>Rand x</t>
  </si>
  <si>
    <t>Rand y</t>
  </si>
  <si>
    <t>x disp</t>
  </si>
  <si>
    <t>edge?</t>
  </si>
  <si>
    <t>x ext</t>
  </si>
  <si>
    <t>y ext</t>
  </si>
  <si>
    <t>x dbn</t>
  </si>
  <si>
    <t>min x</t>
  </si>
  <si>
    <t>y dbn</t>
  </si>
  <si>
    <t>x dbn ed</t>
  </si>
  <si>
    <t>y dbn ed</t>
  </si>
  <si>
    <t>x-Mx</t>
  </si>
  <si>
    <t>y-My</t>
  </si>
  <si>
    <t>Xprod</t>
  </si>
  <si>
    <t>sqrt of product of two slopes</t>
  </si>
  <si>
    <t>Chosen</t>
  </si>
  <si>
    <t>r for big disp</t>
  </si>
  <si>
    <t>point</t>
  </si>
  <si>
    <t>r=</t>
  </si>
  <si>
    <t xml:space="preserve">For CI on r, </t>
  </si>
  <si>
    <t>Sample from population</t>
  </si>
  <si>
    <t>Population</t>
  </si>
  <si>
    <t>only when sampled</t>
  </si>
  <si>
    <t>correlation</t>
  </si>
  <si>
    <t>z</t>
  </si>
  <si>
    <t>SD</t>
  </si>
  <si>
    <t>Data set is a random sample from the population</t>
  </si>
  <si>
    <t>Do display</t>
  </si>
  <si>
    <t>Display features</t>
  </si>
  <si>
    <t xml:space="preserve">   Display cross through means</t>
  </si>
  <si>
    <t xml:space="preserve">   Display the diagonal line of best fit -- the correlation line</t>
  </si>
  <si>
    <t xml:space="preserve">   Display marginal distributions</t>
  </si>
  <si>
    <r>
      <t xml:space="preserve">   See </t>
    </r>
    <r>
      <rPr>
        <b/>
        <i/>
        <sz val="9"/>
        <color indexed="12"/>
        <rFont val="Arial"/>
        <family val="2"/>
      </rPr>
      <t>r</t>
    </r>
  </si>
  <si>
    <r>
      <t xml:space="preserve">           </t>
    </r>
    <r>
      <rPr>
        <i/>
        <sz val="9"/>
        <rFont val="Arial"/>
        <family val="2"/>
      </rPr>
      <t>Y</t>
    </r>
    <r>
      <rPr>
        <sz val="9"/>
        <rFont val="Arial"/>
        <family val="2"/>
      </rPr>
      <t xml:space="preserve"> against </t>
    </r>
    <r>
      <rPr>
        <i/>
        <sz val="9"/>
        <rFont val="Arial"/>
        <family val="2"/>
      </rPr>
      <t>X</t>
    </r>
  </si>
  <si>
    <r>
      <t xml:space="preserve"> </t>
    </r>
    <r>
      <rPr>
        <b/>
        <i/>
        <sz val="9"/>
        <rFont val="Arial"/>
        <family val="2"/>
      </rPr>
      <t>N</t>
    </r>
  </si>
  <si>
    <r>
      <t xml:space="preserve">           </t>
    </r>
    <r>
      <rPr>
        <i/>
        <sz val="9"/>
        <rFont val="Arial"/>
        <family val="2"/>
      </rPr>
      <t>X</t>
    </r>
    <r>
      <rPr>
        <sz val="9"/>
        <rFont val="Arial"/>
        <family val="2"/>
      </rPr>
      <t xml:space="preserve"> against </t>
    </r>
    <r>
      <rPr>
        <i/>
        <sz val="9"/>
        <rFont val="Arial"/>
        <family val="2"/>
      </rPr>
      <t>Y</t>
    </r>
  </si>
  <si>
    <r>
      <t xml:space="preserve">Generate data set with chosen </t>
    </r>
    <r>
      <rPr>
        <b/>
        <i/>
        <sz val="10"/>
        <rFont val="Arial"/>
        <family val="2"/>
      </rPr>
      <t>r</t>
    </r>
  </si>
  <si>
    <r>
      <t>r</t>
    </r>
    <r>
      <rPr>
        <sz val="9"/>
        <rFont val="Arial"/>
        <family val="2"/>
      </rPr>
      <t xml:space="preserve"> of data set</t>
    </r>
    <r>
      <rPr>
        <sz val="9"/>
        <color indexed="42"/>
        <rFont val="Arial"/>
        <family val="2"/>
      </rPr>
      <t>.</t>
    </r>
  </si>
  <si>
    <r>
      <t xml:space="preserve">95% CI on </t>
    </r>
    <r>
      <rPr>
        <i/>
        <sz val="10"/>
        <rFont val="Arial"/>
        <family val="2"/>
      </rPr>
      <t>r</t>
    </r>
    <r>
      <rPr>
        <sz val="9"/>
        <rFont val="Arial"/>
        <family val="2"/>
      </rPr>
      <t xml:space="preserve"> </t>
    </r>
    <r>
      <rPr>
        <b/>
        <sz val="9"/>
        <rFont val="Arial"/>
        <family val="2"/>
      </rPr>
      <t>[</t>
    </r>
  </si>
  <si>
    <r>
      <t xml:space="preserve">   Display value of </t>
    </r>
    <r>
      <rPr>
        <i/>
        <sz val="10"/>
        <rFont val="Arial"/>
        <family val="2"/>
      </rPr>
      <t>r</t>
    </r>
    <r>
      <rPr>
        <sz val="9"/>
        <rFont val="Arial"/>
        <family val="2"/>
      </rPr>
      <t xml:space="preserve"> in the figure</t>
    </r>
  </si>
  <si>
    <t>+</t>
  </si>
  <si>
    <t>Dispreg</t>
  </si>
  <si>
    <t>CI(r) ul</t>
  </si>
  <si>
    <t>CI(r) ll</t>
  </si>
  <si>
    <t>For CI on r</t>
  </si>
  <si>
    <t>x -</t>
  </si>
  <si>
    <t>x +</t>
  </si>
  <si>
    <t xml:space="preserve">2 </t>
  </si>
  <si>
    <t xml:space="preserve">5 </t>
  </si>
  <si>
    <t>HCTA pretest</t>
  </si>
  <si>
    <t>HCTA posttest</t>
  </si>
  <si>
    <t>One correlation</t>
  </si>
  <si>
    <t xml:space="preserve">r </t>
  </si>
  <si>
    <t xml:space="preserve">C </t>
  </si>
  <si>
    <t>Lower</t>
  </si>
  <si>
    <t>Upper</t>
  </si>
  <si>
    <t>Cat's eye picture</t>
  </si>
  <si>
    <t xml:space="preserve">           Display cat's eye picture</t>
  </si>
  <si>
    <t>For H0</t>
  </si>
  <si>
    <t>DispH0?</t>
  </si>
  <si>
    <t>pfromz</t>
  </si>
  <si>
    <t>pdirect</t>
  </si>
  <si>
    <t>H0</t>
  </si>
  <si>
    <t>To display H0</t>
  </si>
  <si>
    <t>For X axis line</t>
  </si>
  <si>
    <t>z of H0</t>
  </si>
  <si>
    <t>z test</t>
  </si>
  <si>
    <t>Main bars</t>
  </si>
  <si>
    <t>dispolap?</t>
  </si>
  <si>
    <t>corr zz</t>
  </si>
  <si>
    <t>corr xy</t>
  </si>
  <si>
    <t>extreme points</t>
  </si>
  <si>
    <t>big r disp XY</t>
  </si>
  <si>
    <t>For CIs</t>
  </si>
  <si>
    <t>show p?</t>
  </si>
  <si>
    <t xml:space="preserve">          Display difference axis</t>
  </si>
  <si>
    <t xml:space="preserve">          Mark overlap</t>
  </si>
  <si>
    <t>X</t>
  </si>
  <si>
    <t>Y</t>
  </si>
  <si>
    <t>Show z scores?</t>
  </si>
  <si>
    <t>Valid</t>
  </si>
  <si>
    <t>data</t>
  </si>
  <si>
    <t>pair?</t>
  </si>
  <si>
    <t>Do display?</t>
  </si>
  <si>
    <t>XY axis</t>
  </si>
  <si>
    <t>Disp diag line?</t>
  </si>
  <si>
    <t>disp mean cross</t>
  </si>
  <si>
    <t>xbars</t>
  </si>
  <si>
    <t>ybars</t>
  </si>
  <si>
    <t>limited X</t>
  </si>
  <si>
    <t>One proportion</t>
  </si>
  <si>
    <t>For X</t>
  </si>
  <si>
    <t>For N</t>
  </si>
  <si>
    <t>X, N ok</t>
  </si>
  <si>
    <t>The proportion</t>
  </si>
  <si>
    <t>CI calculations</t>
  </si>
  <si>
    <t>crit z</t>
  </si>
  <si>
    <t xml:space="preserve">X </t>
  </si>
  <si>
    <t xml:space="preserve">P </t>
  </si>
  <si>
    <t>Ratio MoE/dist to H0</t>
  </si>
  <si>
    <t>Approx z</t>
  </si>
  <si>
    <t>p for just touch</t>
  </si>
  <si>
    <t>Possible values</t>
  </si>
  <si>
    <t>z to just touch</t>
  </si>
  <si>
    <t>to be zero</t>
  </si>
  <si>
    <t>P</t>
  </si>
  <si>
    <t>Q</t>
  </si>
  <si>
    <t>A</t>
  </si>
  <si>
    <t>B</t>
  </si>
  <si>
    <t>Mark units</t>
  </si>
  <si>
    <t>for p</t>
  </si>
  <si>
    <t>MoEl</t>
  </si>
  <si>
    <t>MoEu</t>
  </si>
  <si>
    <t>For lines to mark units</t>
  </si>
  <si>
    <t>Brand Recognition</t>
  </si>
  <si>
    <t>disp y</t>
  </si>
  <si>
    <t>LLD</t>
  </si>
  <si>
    <t>ULD</t>
  </si>
  <si>
    <t>Difference (P2 - P1)</t>
  </si>
  <si>
    <t>P2 - P1</t>
  </si>
  <si>
    <t>Disp p?</t>
  </si>
  <si>
    <t>Using C</t>
  </si>
  <si>
    <t>0 and 1 fences</t>
  </si>
  <si>
    <t>all X, N ok</t>
  </si>
  <si>
    <t>P1</t>
  </si>
  <si>
    <t>P2</t>
  </si>
  <si>
    <t>Two proportions</t>
  </si>
  <si>
    <t xml:space="preserve">3 </t>
  </si>
  <si>
    <t>Z regression line</t>
  </si>
  <si>
    <t xml:space="preserve">19 </t>
  </si>
  <si>
    <t xml:space="preserve">20 </t>
  </si>
  <si>
    <t xml:space="preserve">21 </t>
  </si>
  <si>
    <t>For adjustable line</t>
  </si>
  <si>
    <t>Extra length</t>
  </si>
  <si>
    <t>scale</t>
  </si>
  <si>
    <t>L end X</t>
  </si>
  <si>
    <t>rounded L X</t>
  </si>
  <si>
    <t>X slider</t>
  </si>
  <si>
    <t xml:space="preserve"> )</t>
  </si>
  <si>
    <t>Cursor</t>
  </si>
  <si>
    <t>no. ints</t>
  </si>
  <si>
    <t>max slider</t>
  </si>
  <si>
    <t>downbar</t>
  </si>
  <si>
    <t>leftbar</t>
  </si>
  <si>
    <t>lowest</t>
  </si>
  <si>
    <t>Low</t>
  </si>
  <si>
    <t>curve</t>
  </si>
  <si>
    <t>low label</t>
  </si>
  <si>
    <t>left label</t>
  </si>
  <si>
    <t>for X</t>
  </si>
  <si>
    <t>for Y</t>
  </si>
  <si>
    <t>Partic X</t>
  </si>
  <si>
    <t xml:space="preserve">Ŷ </t>
  </si>
  <si>
    <t>Disp symbols</t>
  </si>
  <si>
    <t>mean Y</t>
  </si>
  <si>
    <t>Can't calc chisq?</t>
  </si>
  <si>
    <t>Dataset name</t>
  </si>
  <si>
    <t>Regline?</t>
  </si>
  <si>
    <t>YonXline?</t>
  </si>
  <si>
    <t>b</t>
  </si>
  <si>
    <t>a</t>
  </si>
  <si>
    <t>Yerrors?</t>
  </si>
  <si>
    <t>Yerrors display</t>
  </si>
  <si>
    <t>error</t>
  </si>
  <si>
    <t>Slopescroll</t>
  </si>
  <si>
    <t>Adjustslope?</t>
  </si>
  <si>
    <t>Black line</t>
  </si>
  <si>
    <t>Red line to adjust</t>
  </si>
  <si>
    <t>Tolerance</t>
  </si>
  <si>
    <t>Adjust</t>
  </si>
  <si>
    <t>Sy.x</t>
  </si>
  <si>
    <t>No. X</t>
  </si>
  <si>
    <t>Xinc</t>
  </si>
  <si>
    <t>Ypred</t>
  </si>
  <si>
    <t>S''y.x</t>
  </si>
  <si>
    <t>CI mean</t>
  </si>
  <si>
    <t>S'y.x</t>
  </si>
  <si>
    <t>Y pred</t>
  </si>
  <si>
    <t>Obs</t>
  </si>
  <si>
    <t>Exp</t>
  </si>
  <si>
    <t>Label1</t>
  </si>
  <si>
    <t>Label2</t>
  </si>
  <si>
    <t>Total</t>
  </si>
  <si>
    <t>show chi?</t>
  </si>
  <si>
    <t xml:space="preserve">      Reveal chi-square analysis</t>
  </si>
  <si>
    <t>Chi-square</t>
  </si>
  <si>
    <t>Cell calcs</t>
  </si>
  <si>
    <t xml:space="preserve">       Correlation line, the diagonal line to fit the points</t>
  </si>
  <si>
    <t>When displayed, the fine blue correlation line above is extended beyond the data</t>
  </si>
  <si>
    <t>r zz ok?</t>
  </si>
  <si>
    <t>r xy ok?</t>
  </si>
  <si>
    <t xml:space="preserve">        Scatterplots</t>
  </si>
  <si>
    <t>XY diagonal line</t>
  </si>
  <si>
    <t>X Y</t>
  </si>
  <si>
    <t>MoE b</t>
  </si>
  <si>
    <t>Calc t for b</t>
  </si>
  <si>
    <t>dispr p?</t>
  </si>
  <si>
    <t>dispb p?</t>
  </si>
  <si>
    <t>r for big zz disp</t>
  </si>
  <si>
    <t>r for big xy disp</t>
  </si>
  <si>
    <t xml:space="preserve">7 </t>
  </si>
  <si>
    <t xml:space="preserve">4 </t>
  </si>
  <si>
    <t>CI on mean: Disp curves</t>
  </si>
  <si>
    <t>Pred Int for Y: Curves</t>
  </si>
  <si>
    <t>squared</t>
  </si>
  <si>
    <t>Red-black switch</t>
  </si>
  <si>
    <t xml:space="preserve">        See correlation and linear regression</t>
  </si>
  <si>
    <t>From pred errors Sy.x</t>
  </si>
  <si>
    <t>Its equation is:</t>
  </si>
  <si>
    <t>Disp z plot?</t>
  </si>
  <si>
    <t>Thomason 1</t>
  </si>
  <si>
    <t>Thomason 2</t>
  </si>
  <si>
    <t>Mean</t>
  </si>
  <si>
    <t xml:space="preserve">6 </t>
  </si>
  <si>
    <t xml:space="preserve"> Regression</t>
  </si>
  <si>
    <t xml:space="preserve">points to illustrate that it passes through the lower left point (-4, -4), </t>
  </si>
  <si>
    <t xml:space="preserve">9   </t>
  </si>
  <si>
    <t xml:space="preserve">Cross through means  </t>
  </si>
  <si>
    <t xml:space="preserve">16 </t>
  </si>
  <si>
    <t xml:space="preserve">17 </t>
  </si>
  <si>
    <t xml:space="preserve">18 </t>
  </si>
  <si>
    <t>If r = 0</t>
  </si>
  <si>
    <t>DispX,Y</t>
  </si>
  <si>
    <t>Values</t>
  </si>
  <si>
    <t>r1</t>
  </si>
  <si>
    <t>r2</t>
  </si>
  <si>
    <t>For overlap lines</t>
  </si>
  <si>
    <t>SD of z</t>
  </si>
  <si>
    <t>CI(z) ul</t>
  </si>
  <si>
    <t>CI(z) ll</t>
  </si>
  <si>
    <t>Arm ratio</t>
  </si>
  <si>
    <t>Diff z</t>
  </si>
  <si>
    <t>SD diff z</t>
  </si>
  <si>
    <t>z for diff</t>
  </si>
  <si>
    <t>CI(z)moe</t>
  </si>
  <si>
    <t>Two correlations</t>
  </si>
  <si>
    <t>for cond'l format</t>
  </si>
  <si>
    <t xml:space="preserve">Overlap </t>
  </si>
  <si>
    <t>Average overlap arm</t>
  </si>
  <si>
    <t>For bulges</t>
  </si>
  <si>
    <t>No pts</t>
  </si>
  <si>
    <t>z low</t>
  </si>
  <si>
    <t>z inc</t>
  </si>
  <si>
    <t>curve+</t>
  </si>
  <si>
    <t>bulge height</t>
  </si>
  <si>
    <t>Cat's eye on z CI</t>
  </si>
  <si>
    <t>r bulge</t>
  </si>
  <si>
    <t>r back</t>
  </si>
  <si>
    <t>r for bar</t>
  </si>
  <si>
    <t>Amount of bulge</t>
  </si>
  <si>
    <t>Cat's eye on z</t>
  </si>
  <si>
    <t>cat's eye on r</t>
  </si>
  <si>
    <t>Difference (r2 - r1)</t>
  </si>
  <si>
    <t>r2 - r1</t>
  </si>
  <si>
    <t>UL(r)diff</t>
  </si>
  <si>
    <t>LL(r)diff</t>
  </si>
  <si>
    <t>DiffAxis?</t>
  </si>
  <si>
    <t>Diff for display</t>
  </si>
  <si>
    <t>Dashed horiz</t>
  </si>
  <si>
    <t>point for label</t>
  </si>
  <si>
    <t>part X axis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</si>
  <si>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</si>
  <si>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</si>
  <si>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</si>
  <si>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</si>
  <si>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</si>
  <si>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</si>
  <si>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</si>
  <si>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</si>
  <si>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</si>
  <si>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</si>
  <si>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</si>
  <si>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 xml:space="preserve">MoE </t>
  </si>
  <si>
    <r>
      <t xml:space="preserve">)  </t>
    </r>
    <r>
      <rPr>
        <b/>
        <sz val="10"/>
        <rFont val="Arial"/>
        <family val="2"/>
      </rPr>
      <t>=</t>
    </r>
  </si>
  <si>
    <t>p</t>
  </si>
  <si>
    <r>
      <t xml:space="preserve">  p</t>
    </r>
    <r>
      <rPr>
        <sz val="9"/>
        <rFont val="Arial"/>
        <family val="2"/>
      </rPr>
      <t xml:space="preserve"> value</t>
    </r>
  </si>
  <si>
    <t>p value?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</si>
  <si>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</si>
  <si>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</si>
  <si>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</si>
  <si>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</si>
  <si>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</si>
  <si>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</si>
  <si>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</si>
  <si>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</si>
  <si>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</si>
  <si>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</si>
  <si>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</si>
  <si>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</si>
  <si>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</si>
  <si>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</si>
  <si>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</si>
  <si>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</si>
  <si>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</si>
  <si>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</si>
  <si>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</si>
  <si>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</si>
  <si>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</si>
  <si>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</si>
  <si>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</si>
  <si>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</si>
  <si>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</si>
  <si>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</si>
  <si>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</si>
  <si>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</si>
  <si>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</si>
  <si>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</si>
  <si>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</si>
  <si>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Measure </t>
  </si>
  <si>
    <r>
      <t>2</t>
    </r>
    <r>
      <rPr>
        <b/>
        <sz val="9"/>
        <rFont val="Arial"/>
        <family val="2"/>
      </rPr>
      <t xml:space="preserve">  Data entry options</t>
    </r>
  </si>
  <si>
    <r>
      <t>3</t>
    </r>
    <r>
      <rPr>
        <b/>
        <sz val="9"/>
        <rFont val="Arial"/>
        <family val="2"/>
      </rPr>
      <t xml:space="preserve">  Summary statistics</t>
    </r>
  </si>
  <si>
    <t xml:space="preserve">Dataset name </t>
  </si>
  <si>
    <r>
      <t>1</t>
    </r>
    <r>
      <rPr>
        <b/>
        <sz val="9"/>
        <color indexed="10"/>
        <rFont val="Arial"/>
        <family val="2"/>
      </rPr>
      <t xml:space="preserve"> </t>
    </r>
    <r>
      <rPr>
        <b/>
        <sz val="9"/>
        <rFont val="Arial"/>
        <family val="2"/>
      </rPr>
      <t>Names</t>
    </r>
    <r>
      <rPr>
        <sz val="9"/>
        <rFont val="Arial"/>
        <family val="2"/>
      </rPr>
      <t xml:space="preserve"> </t>
    </r>
  </si>
  <si>
    <t xml:space="preserve">    Full</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</si>
  <si>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</si>
  <si>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</si>
  <si>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</si>
  <si>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</si>
  <si>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</si>
  <si>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</si>
  <si>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</si>
  <si>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</si>
  <si>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Extra copy of</t>
  </si>
  <si>
    <t>floating diff axis</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</si>
  <si>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</si>
  <si>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</si>
  <si>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</si>
  <si>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</si>
  <si>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</si>
  <si>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</si>
  <si>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</si>
  <si>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</si>
  <si>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</si>
  <si>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</si>
  <si>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</si>
  <si>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</si>
  <si>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</si>
  <si>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</si>
  <si>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</si>
  <si>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</si>
  <si>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</si>
  <si>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</si>
  <si>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</si>
  <si>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</si>
  <si>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</si>
  <si>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</si>
  <si>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Individual CIs</t>
  </si>
  <si>
    <t>Pooled CIs</t>
  </si>
  <si>
    <r>
      <t>CI</t>
    </r>
    <r>
      <rPr>
        <b/>
        <sz val="9"/>
        <rFont val="Arial"/>
        <family val="2"/>
      </rPr>
      <t xml:space="preserve"> [</t>
    </r>
  </si>
  <si>
    <t>Control</t>
  </si>
  <si>
    <t>GNU General Public License, you may choose any version ever published</t>
  </si>
  <si>
    <t>by the Free Software Foundation.</t>
  </si>
  <si>
    <t>symbol</t>
  </si>
  <si>
    <t xml:space="preserve">Difference </t>
  </si>
  <si>
    <t>RH diff</t>
  </si>
  <si>
    <t>M22 - M12</t>
  </si>
  <si>
    <t>LH diff</t>
  </si>
  <si>
    <r>
      <t>9</t>
    </r>
    <r>
      <rPr>
        <b/>
        <sz val="10"/>
        <rFont val="Arial"/>
        <family val="2"/>
      </rPr>
      <t xml:space="preserve"> </t>
    </r>
    <r>
      <rPr>
        <b/>
        <sz val="9"/>
        <rFont val="Arial"/>
        <family val="2"/>
      </rPr>
      <t>Interaction</t>
    </r>
  </si>
  <si>
    <t>(green</t>
  </si>
  <si>
    <t>blue)</t>
  </si>
  <si>
    <t>Condit'l formats</t>
  </si>
  <si>
    <t>M21 - M11</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</si>
  <si>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</si>
  <si>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</si>
  <si>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</si>
  <si>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</si>
  <si>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</si>
  <si>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</si>
  <si>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</si>
  <si>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</si>
  <si>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</si>
  <si>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</si>
  <si>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</si>
  <si>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</si>
  <si>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</si>
  <si>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</si>
  <si>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</si>
  <si>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</si>
  <si>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</si>
  <si>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</si>
  <si>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</si>
  <si>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</si>
  <si>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</si>
  <si>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</si>
  <si>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</si>
  <si>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</si>
  <si>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</si>
  <si>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No. true</t>
  </si>
  <si>
    <t>EVEN IF SUCH HOLDER OR OTHER PARTY HAS BEEN ADVISED OF THE POSSIBILITY OF</t>
  </si>
  <si>
    <t>SUCH DAMAGES.</t>
  </si>
  <si>
    <t xml:space="preserve">  17. Interpretation of Sections 15 and 16.</t>
  </si>
  <si>
    <t xml:space="preserve">  If the disclaimer of warranty and limitation of liability provided</t>
  </si>
  <si>
    <t xml:space="preserve">None  </t>
  </si>
  <si>
    <t>no.true</t>
  </si>
  <si>
    <t>also data ok?</t>
  </si>
  <si>
    <t>double?</t>
  </si>
  <si>
    <t>Means only?</t>
  </si>
  <si>
    <t>either?</t>
  </si>
  <si>
    <t>Top</t>
  </si>
  <si>
    <t>Summary data</t>
  </si>
  <si>
    <t>Bottom</t>
  </si>
  <si>
    <t>Group</t>
  </si>
  <si>
    <t>Need average?</t>
  </si>
  <si>
    <t>For av.</t>
  </si>
  <si>
    <t>coeff</t>
  </si>
  <si>
    <t xml:space="preserve">no. </t>
  </si>
  <si>
    <t>coeff^2</t>
  </si>
  <si>
    <t>cff^2/ni</t>
  </si>
  <si>
    <t>SE</t>
  </si>
  <si>
    <t>tcrit</t>
  </si>
  <si>
    <t>Display combined means and contrast--values from below</t>
  </si>
  <si>
    <t>Contrast</t>
  </si>
  <si>
    <t>Horiz spacing</t>
  </si>
  <si>
    <t>A main eff</t>
  </si>
  <si>
    <t>B main eff</t>
  </si>
  <si>
    <t>D of Ds</t>
  </si>
  <si>
    <t xml:space="preserve">      See group means with CIs. Compare two subsets of means.</t>
  </si>
  <si>
    <r>
      <t>9</t>
    </r>
    <r>
      <rPr>
        <b/>
        <sz val="9"/>
        <rFont val="Arial"/>
        <family val="2"/>
      </rPr>
      <t xml:space="preserve">  Comparison of two subsets of means</t>
    </r>
  </si>
  <si>
    <t xml:space="preserve"> (top - </t>
  </si>
  <si>
    <t>bottom)</t>
  </si>
  <si>
    <t>Dotted verticals</t>
  </si>
  <si>
    <t>max</t>
  </si>
  <si>
    <t>min</t>
  </si>
  <si>
    <t>Right dotted horizontal</t>
  </si>
  <si>
    <t>Display contrast</t>
  </si>
  <si>
    <t>above cannot be given local legal effect according to their terms,</t>
  </si>
  <si>
    <t>reviewing courts shall apply local law that most closely approximates</t>
  </si>
  <si>
    <t>an absolute waiver of all civil liability in connection with the</t>
  </si>
  <si>
    <t>Mlabels</t>
  </si>
  <si>
    <t>disp x</t>
  </si>
  <si>
    <t>disp M</t>
  </si>
  <si>
    <t>Alabels</t>
  </si>
  <si>
    <t>Program, unless a warranty or assumption of liability accompanies a</t>
  </si>
  <si>
    <t>copy of the Program in return for a fee.</t>
  </si>
  <si>
    <t xml:space="preserve">                     END OF TERMS AND CONDITIONS</t>
  </si>
  <si>
    <t xml:space="preserve">            How to Apply These Terms to Your New Programs</t>
  </si>
  <si>
    <t xml:space="preserve">  If you develop a new program, and you want it to be of the greatest</t>
  </si>
  <si>
    <t>possible use to the public, the best way to achieve this is to make it</t>
  </si>
  <si>
    <t>free software which everyone can redistribute and change under these terms.</t>
  </si>
  <si>
    <t xml:space="preserve">  To do so, attach the following notices to the program.  It is safest</t>
  </si>
  <si>
    <t>to attach them to the start of each source file to most effectively</t>
  </si>
  <si>
    <t>state the exclusion of warranty; and each file should have at least</t>
  </si>
  <si>
    <t>the "copyright" line and a pointer to where the full notice is found.</t>
  </si>
  <si>
    <t xml:space="preserve">    &lt;one line to give the program's name and a brief idea of what it does.&gt;</t>
  </si>
  <si>
    <t xml:space="preserve">    Copyright (C) &lt;year&gt;  &lt;name of author&gt;</t>
  </si>
  <si>
    <t xml:space="preserve">    This program is free software: you can redistribute it and/or modify</t>
  </si>
  <si>
    <t xml:space="preserve">    it under the terms of the GNU General Public License as published by</t>
  </si>
  <si>
    <t xml:space="preserve">    the Free Software Foundation, either version 3 of the License, or</t>
  </si>
  <si>
    <t xml:space="preserve">    (at your option) any later version.</t>
  </si>
  <si>
    <t xml:space="preserve">    This program is distributed in the hope that it will be useful,</t>
  </si>
  <si>
    <t xml:space="preserve">    but WITHOUT ANY WARRANTY; without even the implied warranty of</t>
  </si>
  <si>
    <t xml:space="preserve">    MERCHANTABILITY or FITNESS FOR A PARTICULAR PURPOSE.  See the</t>
  </si>
  <si>
    <t xml:space="preserve">    GNU General Public License for more details.</t>
  </si>
  <si>
    <t xml:space="preserve">    You should have received a copy of the GNU General Public License</t>
  </si>
  <si>
    <t xml:space="preserve">    along with this program.  If not, see &lt;http://www.gnu.org/licenses/&gt;.</t>
  </si>
  <si>
    <t>Also add information on how to contact you by electronic and paper mail.</t>
  </si>
  <si>
    <t xml:space="preserve">  If the program does terminal interaction, make it output a short</t>
  </si>
  <si>
    <t>notice like this when it starts in an interactive mode:</t>
  </si>
  <si>
    <t xml:space="preserve">    &lt;program&gt;  Copyright (C) &lt;year&gt;  &lt;name of author&gt;</t>
  </si>
  <si>
    <t xml:space="preserve">    This program comes with ABSOLUTELY NO WARRANTY; for details type `show w'.</t>
  </si>
  <si>
    <t xml:space="preserve">    This is free software, and you are welcome to redistribute it</t>
  </si>
  <si>
    <r>
      <t>r</t>
    </r>
    <r>
      <rPr>
        <sz val="9"/>
        <rFont val="Arial"/>
        <family val="2"/>
      </rPr>
      <t xml:space="preserve"> slider</t>
    </r>
  </si>
  <si>
    <r>
      <t xml:space="preserve">=2(1 - </t>
    </r>
    <r>
      <rPr>
        <sz val="9"/>
        <rFont val="Symbol"/>
        <family val="1"/>
        <charset val="2"/>
      </rPr>
      <t>r</t>
    </r>
    <r>
      <rPr>
        <sz val="9"/>
        <rFont val="Arial"/>
        <family val="2"/>
      </rPr>
      <t>)</t>
    </r>
  </si>
  <si>
    <t xml:space="preserve">    under certain conditions; type `show c' for details.</t>
  </si>
  <si>
    <t>The hypothetical commands `show w' and `show c' should show the appropriate</t>
  </si>
  <si>
    <t>parts of the General Public License.  Of course, your program's commands</t>
  </si>
  <si>
    <t>might be different; for a GUI interface, you would use an "about box".</t>
  </si>
  <si>
    <t xml:space="preserve">  You should also get your employer (if you work as a programmer) or school,</t>
  </si>
  <si>
    <t>f</t>
  </si>
  <si>
    <t>For mean MoE</t>
  </si>
  <si>
    <t>No!</t>
  </si>
  <si>
    <t>if any, to sign a "copyright disclaimer" for the program, if necessary.</t>
  </si>
  <si>
    <t>For more information on this, and how to apply and follow the GNU GPL, see</t>
  </si>
  <si>
    <t>Dana</t>
  </si>
  <si>
    <t>&lt;http://www.gnu.org/licenses/&gt;.</t>
  </si>
  <si>
    <t xml:space="preserve">  The GNU General Public License does not permit incorporating your program</t>
  </si>
  <si>
    <t>into proprietary programs.  If your program is a subroutine library, you</t>
  </si>
  <si>
    <t>may consider it more useful to permit linking proprietary applications with</t>
  </si>
  <si>
    <t>the library.  If this is what you want to do, use the GNU Lesser General</t>
  </si>
  <si>
    <t>Public License instead of this License.  But first, please read</t>
  </si>
  <si>
    <t>&lt;http://www.gnu.org/philosophy/why-not-lgpl.html&gt;.</t>
  </si>
  <si>
    <t>Exploratory Software for Confidence Intervals</t>
  </si>
  <si>
    <t>Geoff Cumming</t>
  </si>
  <si>
    <t>School of Psychological Science</t>
  </si>
  <si>
    <t>esci@latrobe.edu.au</t>
  </si>
  <si>
    <t>Click the tabs at the bottom of the screen to go to these pages:</t>
  </si>
  <si>
    <r>
      <t xml:space="preserve">► </t>
    </r>
    <r>
      <rPr>
        <sz val="9"/>
        <color indexed="8"/>
        <rFont val="Arial"/>
        <family val="2"/>
      </rPr>
      <t xml:space="preserve">Use the </t>
    </r>
    <r>
      <rPr>
        <b/>
        <sz val="9"/>
        <color indexed="8"/>
        <rFont val="Arial"/>
        <family val="2"/>
      </rPr>
      <t>tabs</t>
    </r>
    <r>
      <rPr>
        <sz val="9"/>
        <color indexed="8"/>
        <rFont val="Arial"/>
        <family val="2"/>
      </rPr>
      <t xml:space="preserve"> below to go to your page of choice.</t>
    </r>
  </si>
  <si>
    <r>
      <t xml:space="preserve">► </t>
    </r>
    <r>
      <rPr>
        <sz val="9"/>
        <color indexed="8"/>
        <rFont val="Arial"/>
        <family val="2"/>
      </rPr>
      <t xml:space="preserve">For </t>
    </r>
    <r>
      <rPr>
        <b/>
        <sz val="9"/>
        <color indexed="8"/>
        <rFont val="Arial"/>
        <family val="2"/>
      </rPr>
      <t>help,</t>
    </r>
    <r>
      <rPr>
        <sz val="9"/>
        <color indexed="8"/>
        <rFont val="Arial"/>
        <family val="2"/>
      </rPr>
      <t xml:space="preserve"> see the book's Appendix A.</t>
    </r>
  </si>
  <si>
    <t>Nosleep</t>
  </si>
  <si>
    <t>Frenda</t>
  </si>
  <si>
    <r>
      <t xml:space="preserve">► </t>
    </r>
    <r>
      <rPr>
        <sz val="9"/>
        <color indexed="8"/>
        <rFont val="Arial"/>
        <family val="2"/>
      </rPr>
      <t xml:space="preserve">At any page, </t>
    </r>
    <r>
      <rPr>
        <b/>
        <sz val="9"/>
        <color indexed="8"/>
        <rFont val="Arial"/>
        <family val="2"/>
      </rPr>
      <t>explore</t>
    </r>
    <r>
      <rPr>
        <sz val="9"/>
        <color indexed="8"/>
        <rFont val="Arial"/>
        <family val="2"/>
      </rPr>
      <t>--with guidance from the relevant chapters of the book.</t>
    </r>
  </si>
  <si>
    <t>x</t>
  </si>
  <si>
    <t>N</t>
  </si>
  <si>
    <t xml:space="preserve">N </t>
  </si>
  <si>
    <t>df</t>
  </si>
  <si>
    <t>Level of confidence</t>
  </si>
  <si>
    <t>Labels</t>
  </si>
  <si>
    <t>Vert cursor</t>
  </si>
  <si>
    <r>
      <t xml:space="preserve">for </t>
    </r>
    <r>
      <rPr>
        <sz val="9"/>
        <rFont val="Symbol"/>
        <family val="1"/>
        <charset val="2"/>
      </rPr>
      <t>d</t>
    </r>
  </si>
  <si>
    <t>Ratio</t>
  </si>
  <si>
    <t>z crit</t>
  </si>
  <si>
    <t>Nz</t>
  </si>
  <si>
    <t>Nt</t>
  </si>
  <si>
    <t>Nt1</t>
  </si>
  <si>
    <t>Nt2</t>
  </si>
  <si>
    <t>Nt3</t>
  </si>
  <si>
    <t>Nt4</t>
  </si>
  <si>
    <t>Nt5</t>
  </si>
  <si>
    <t>Nt6</t>
  </si>
  <si>
    <t>Nt7</t>
  </si>
  <si>
    <t>Nt8</t>
  </si>
  <si>
    <t>Nt9</t>
  </si>
  <si>
    <t>alpha</t>
  </si>
  <si>
    <t>df1</t>
  </si>
  <si>
    <t>df2</t>
  </si>
  <si>
    <t>df3</t>
  </si>
  <si>
    <t>df4</t>
  </si>
  <si>
    <t>df5</t>
  </si>
  <si>
    <t>df6</t>
  </si>
  <si>
    <t>df7</t>
  </si>
  <si>
    <t>df8</t>
  </si>
  <si>
    <t>df9</t>
  </si>
  <si>
    <t>MinNz</t>
  </si>
  <si>
    <t>NzRound</t>
  </si>
  <si>
    <t>For display</t>
  </si>
  <si>
    <t>for left limit</t>
  </si>
  <si>
    <t>Index</t>
  </si>
  <si>
    <r>
      <t xml:space="preserve">for </t>
    </r>
    <r>
      <rPr>
        <sz val="9"/>
        <rFont val="Symbol"/>
        <family val="1"/>
        <charset val="2"/>
      </rPr>
      <t>g</t>
    </r>
  </si>
  <si>
    <r>
      <t>Nt</t>
    </r>
    <r>
      <rPr>
        <sz val="9"/>
        <rFont val="Symbol"/>
        <family val="1"/>
        <charset val="2"/>
      </rPr>
      <t>g</t>
    </r>
  </si>
  <si>
    <r>
      <t xml:space="preserve">from </t>
    </r>
    <r>
      <rPr>
        <sz val="9"/>
        <rFont val="Symbol"/>
        <family val="1"/>
        <charset val="2"/>
      </rPr>
      <t>g</t>
    </r>
  </si>
  <si>
    <t>Ntg</t>
  </si>
  <si>
    <t>display z series</t>
  </si>
  <si>
    <t>display t series</t>
  </si>
  <si>
    <t>display t+gamma series</t>
  </si>
  <si>
    <t>display z values</t>
  </si>
  <si>
    <t>display t values</t>
  </si>
  <si>
    <t>display t+gamma values</t>
  </si>
  <si>
    <t>Nz values</t>
  </si>
  <si>
    <t>Nt values</t>
  </si>
  <si>
    <t>Ntgvalues</t>
  </si>
  <si>
    <t>for MOE slider</t>
  </si>
  <si>
    <t>bar</t>
  </si>
  <si>
    <t>display values with cursor</t>
  </si>
  <si>
    <t>Cursor values</t>
  </si>
  <si>
    <t>targ tailpr</t>
  </si>
  <si>
    <t>display 3 calculated points</t>
  </si>
  <si>
    <t>use unbiased d</t>
  </si>
  <si>
    <t>for MOE</t>
  </si>
  <si>
    <t>1=biased d; 2=unbiased d</t>
  </si>
  <si>
    <t>max y</t>
  </si>
  <si>
    <t>min y</t>
  </si>
  <si>
    <t>black</t>
  </si>
  <si>
    <t>red</t>
  </si>
  <si>
    <t>Disp points to keep y axis stable</t>
  </si>
  <si>
    <t>DispCIs?</t>
  </si>
  <si>
    <t>Diff axis</t>
  </si>
  <si>
    <t>display</t>
  </si>
  <si>
    <t>high point</t>
  </si>
  <si>
    <t>low point</t>
  </si>
  <si>
    <t>Calcs for unit on diff axis</t>
  </si>
  <si>
    <t>Range</t>
  </si>
  <si>
    <t>Powerof10</t>
  </si>
  <si>
    <t>Copyright ©  Geoff Cumming 2015</t>
  </si>
  <si>
    <t>Estnoints</t>
  </si>
  <si>
    <t>divisor</t>
  </si>
  <si>
    <t>intsize</t>
  </si>
  <si>
    <t>For diff axis</t>
  </si>
  <si>
    <t>effective</t>
  </si>
  <si>
    <t>labels</t>
  </si>
  <si>
    <t>y</t>
  </si>
  <si>
    <t>y disp</t>
  </si>
  <si>
    <t>y full</t>
  </si>
  <si>
    <t>Display diff on diff axis</t>
  </si>
  <si>
    <t>for diff</t>
  </si>
  <si>
    <t>dispdiff</t>
  </si>
  <si>
    <t>Dotted horizontals</t>
  </si>
  <si>
    <t>Series 1 for labels on X axis, and to control display width</t>
  </si>
  <si>
    <t>User enters:</t>
  </si>
  <si>
    <t xml:space="preserve">    data</t>
  </si>
  <si>
    <t>Max</t>
  </si>
  <si>
    <t>www.thenewstatistics.com</t>
  </si>
  <si>
    <t>ESCI is free software: you can redistribute it and/or modify it under the terms of the GNU General Public License</t>
  </si>
  <si>
    <t>bars</t>
  </si>
  <si>
    <t>La Trobe University, Melbourne</t>
  </si>
  <si>
    <t xml:space="preserve">      as published by the Free Software Foundation, either version 3 of the License, or (at your option) any later version.</t>
  </si>
  <si>
    <t>Australia  3086</t>
  </si>
  <si>
    <t>This program is distributed in the hope that it will be useful, but WITHOUT ANY WARRANTY; without even the implied warranty of</t>
  </si>
  <si>
    <t>MoE</t>
  </si>
  <si>
    <t xml:space="preserve">      MERCHANTABILITY or FITNESS FOR A PARTICULAR PURPOSE.  Scroll down to see the GNU General Public License for more details.</t>
  </si>
  <si>
    <t>Please scroll down to see the GNU General Public License below</t>
  </si>
  <si>
    <t xml:space="preserve">                    GNU GENERAL PUBLIC LICENSE</t>
  </si>
  <si>
    <t xml:space="preserve">                       Version 3, 29 June 2007</t>
  </si>
  <si>
    <t xml:space="preserve"> Copyright (C) 2007 Free Software Foundation, Inc. &lt;http://fsf.org/&gt;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</si>
  <si>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</si>
  <si>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</si>
  <si>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</si>
  <si>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</si>
  <si>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</si>
  <si>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</si>
  <si>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</si>
  <si>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</si>
  <si>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</si>
  <si>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</si>
  <si>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</si>
  <si>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</si>
  <si>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</si>
  <si>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</si>
  <si>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</si>
  <si>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</si>
  <si>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</si>
  <si>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</si>
  <si>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</si>
  <si>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See conventional and robust analyses</t>
  </si>
  <si>
    <t>Conventional analysis</t>
  </si>
  <si>
    <r>
      <t>CI</t>
    </r>
    <r>
      <rPr>
        <b/>
        <sz val="9"/>
        <rFont val="Arial"/>
        <family val="2"/>
      </rPr>
      <t xml:space="preserve"> [</t>
    </r>
    <r>
      <rPr>
        <b/>
        <sz val="9"/>
        <color indexed="41"/>
        <rFont val="Arial"/>
        <family val="2"/>
      </rPr>
      <t xml:space="preserve">i   </t>
    </r>
    <r>
      <rPr>
        <b/>
        <sz val="9"/>
        <rFont val="Arial"/>
        <family val="2"/>
      </rPr>
      <t xml:space="preserve"> </t>
    </r>
  </si>
  <si>
    <r>
      <t>CI</t>
    </r>
    <r>
      <rPr>
        <b/>
        <sz val="9"/>
        <rFont val="Arial"/>
        <family val="2"/>
      </rPr>
      <t xml:space="preserve"> [</t>
    </r>
    <r>
      <rPr>
        <b/>
        <sz val="9"/>
        <color indexed="41"/>
        <rFont val="Arial"/>
        <family val="2"/>
      </rPr>
      <t xml:space="preserve">i    </t>
    </r>
  </si>
  <si>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</si>
  <si>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</si>
  <si>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</si>
  <si>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</si>
  <si>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</si>
  <si>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</si>
  <si>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</si>
  <si>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</si>
  <si>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</si>
  <si>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</si>
  <si>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</si>
  <si>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</si>
  <si>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</si>
  <si>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Rattan</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</si>
  <si>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</si>
  <si>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</si>
  <si>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</si>
  <si>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</si>
  <si>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</si>
  <si>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</si>
  <si>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</si>
  <si>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 xml:space="preserve">ESCI intro chapters 10-16 </t>
  </si>
  <si>
    <r>
      <t>►</t>
    </r>
    <r>
      <rPr>
        <sz val="9"/>
        <rFont val="Arial"/>
        <family val="2"/>
      </rPr>
      <t xml:space="preserve"> </t>
    </r>
    <r>
      <rPr>
        <b/>
        <sz val="9"/>
        <color indexed="10"/>
        <rFont val="Arial"/>
        <family val="2"/>
      </rPr>
      <t>ESCI intro chapters 10-16</t>
    </r>
    <r>
      <rPr>
        <sz val="9"/>
        <rFont val="Arial"/>
        <family val="2"/>
      </rPr>
      <t xml:space="preserve"> accompanies the book </t>
    </r>
    <r>
      <rPr>
        <i/>
        <sz val="9"/>
        <rFont val="Arial"/>
        <family val="2"/>
      </rPr>
      <t xml:space="preserve">Introduction to The New Statistics &amp; Open Science: Estimation for Better Understanding </t>
    </r>
    <r>
      <rPr>
        <sz val="9"/>
        <rFont val="Arial"/>
        <family val="2"/>
      </rPr>
      <t>(Routledge, 2016)</t>
    </r>
  </si>
  <si>
    <r>
      <t>Precision two</t>
    </r>
    <r>
      <rPr>
        <sz val="9"/>
        <rFont val="Arial"/>
        <family val="2"/>
      </rPr>
      <t xml:space="preserve">  See </t>
    </r>
    <r>
      <rPr>
        <sz val="9"/>
        <color indexed="12"/>
        <rFont val="Arial"/>
        <family val="2"/>
      </rPr>
      <t>Chapter 10</t>
    </r>
    <r>
      <rPr>
        <sz val="9"/>
        <rFont val="Arial"/>
        <family val="2"/>
      </rPr>
      <t>.  See</t>
    </r>
    <r>
      <rPr>
        <b/>
        <sz val="9"/>
        <rFont val="Arial"/>
        <family val="2"/>
      </rPr>
      <t xml:space="preserve"> precision </t>
    </r>
    <r>
      <rPr>
        <sz val="9"/>
        <rFont val="Arial"/>
        <family val="2"/>
      </rPr>
      <t>curves</t>
    </r>
    <r>
      <rPr>
        <b/>
        <sz val="9"/>
        <rFont val="Arial"/>
        <family val="2"/>
      </rPr>
      <t xml:space="preserve"> </t>
    </r>
    <r>
      <rPr>
        <sz val="9"/>
        <rFont val="Arial"/>
        <family val="2"/>
      </rPr>
      <t xml:space="preserve">for </t>
    </r>
    <r>
      <rPr>
        <b/>
        <sz val="9"/>
        <rFont val="Arial"/>
        <family val="2"/>
      </rPr>
      <t>two independent groups</t>
    </r>
    <r>
      <rPr>
        <sz val="9"/>
        <rFont val="Arial"/>
        <family val="2"/>
      </rPr>
      <t xml:space="preserve">.  Find </t>
    </r>
    <r>
      <rPr>
        <i/>
        <sz val="9"/>
        <rFont val="Arial"/>
        <family val="2"/>
      </rPr>
      <t>N</t>
    </r>
    <r>
      <rPr>
        <sz val="9"/>
        <rFont val="Arial"/>
        <family val="2"/>
      </rPr>
      <t xml:space="preserve"> for target MoE </t>
    </r>
    <r>
      <rPr>
        <b/>
        <sz val="9"/>
        <rFont val="Arial"/>
        <family val="2"/>
      </rPr>
      <t>on average</t>
    </r>
    <r>
      <rPr>
        <sz val="9"/>
        <rFont val="Arial"/>
        <family val="2"/>
      </rPr>
      <t xml:space="preserve">, and </t>
    </r>
    <r>
      <rPr>
        <b/>
        <sz val="9"/>
        <rFont val="Arial"/>
        <family val="2"/>
      </rPr>
      <t>with assurance</t>
    </r>
    <r>
      <rPr>
        <sz val="9"/>
        <rFont val="Arial"/>
        <family val="2"/>
      </rPr>
      <t>.</t>
    </r>
  </si>
  <si>
    <r>
      <t>Precision paired</t>
    </r>
    <r>
      <rPr>
        <sz val="9"/>
        <rFont val="Arial"/>
        <family val="2"/>
      </rPr>
      <t xml:space="preserve">  See </t>
    </r>
    <r>
      <rPr>
        <sz val="9"/>
        <color indexed="12"/>
        <rFont val="Arial"/>
        <family val="2"/>
      </rPr>
      <t>Chapter 10</t>
    </r>
    <r>
      <rPr>
        <sz val="9"/>
        <rFont val="Arial"/>
        <family val="2"/>
      </rPr>
      <t>.  See</t>
    </r>
    <r>
      <rPr>
        <b/>
        <sz val="9"/>
        <rFont val="Arial"/>
        <family val="2"/>
      </rPr>
      <t xml:space="preserve"> precision </t>
    </r>
    <r>
      <rPr>
        <sz val="9"/>
        <rFont val="Arial"/>
        <family val="2"/>
      </rPr>
      <t>curves</t>
    </r>
    <r>
      <rPr>
        <b/>
        <sz val="9"/>
        <rFont val="Arial"/>
        <family val="2"/>
      </rPr>
      <t xml:space="preserve"> </t>
    </r>
    <r>
      <rPr>
        <sz val="9"/>
        <rFont val="Arial"/>
        <family val="2"/>
      </rPr>
      <t xml:space="preserve">for </t>
    </r>
    <r>
      <rPr>
        <b/>
        <sz val="9"/>
        <rFont val="Arial"/>
        <family val="2"/>
      </rPr>
      <t>paired data</t>
    </r>
    <r>
      <rPr>
        <sz val="9"/>
        <rFont val="Arial"/>
        <family val="2"/>
      </rPr>
      <t xml:space="preserve">.  Find </t>
    </r>
    <r>
      <rPr>
        <i/>
        <sz val="9"/>
        <rFont val="Arial"/>
        <family val="2"/>
      </rPr>
      <t>N</t>
    </r>
    <r>
      <rPr>
        <sz val="9"/>
        <rFont val="Arial"/>
        <family val="2"/>
      </rPr>
      <t xml:space="preserve"> for target MoE</t>
    </r>
    <r>
      <rPr>
        <b/>
        <sz val="9"/>
        <rFont val="Arial"/>
        <family val="2"/>
      </rPr>
      <t xml:space="preserve"> on average</t>
    </r>
    <r>
      <rPr>
        <sz val="9"/>
        <rFont val="Arial"/>
        <family val="2"/>
      </rPr>
      <t>,</t>
    </r>
    <r>
      <rPr>
        <b/>
        <sz val="9"/>
        <rFont val="Arial"/>
        <family val="2"/>
      </rPr>
      <t xml:space="preserve"> </t>
    </r>
    <r>
      <rPr>
        <sz val="9"/>
        <rFont val="Arial"/>
        <family val="2"/>
      </rPr>
      <t>and</t>
    </r>
    <r>
      <rPr>
        <b/>
        <sz val="9"/>
        <rFont val="Arial"/>
        <family val="2"/>
      </rPr>
      <t xml:space="preserve"> with assurance.</t>
    </r>
  </si>
  <si>
    <r>
      <t xml:space="preserve">See r  </t>
    </r>
    <r>
      <rPr>
        <sz val="9"/>
        <rFont val="Arial"/>
        <family val="2"/>
      </rPr>
      <t xml:space="preserve">See </t>
    </r>
    <r>
      <rPr>
        <sz val="9"/>
        <color indexed="12"/>
        <rFont val="Arial"/>
        <family val="2"/>
      </rPr>
      <t>Chapter 11</t>
    </r>
    <r>
      <rPr>
        <sz val="9"/>
        <rFont val="Arial"/>
        <family val="2"/>
      </rPr>
      <t xml:space="preserve">.  See scatterplots with a </t>
    </r>
    <r>
      <rPr>
        <b/>
        <sz val="9"/>
        <rFont val="Arial"/>
        <family val="2"/>
      </rPr>
      <t xml:space="preserve">chosen value of </t>
    </r>
    <r>
      <rPr>
        <b/>
        <i/>
        <sz val="10"/>
        <rFont val="Arial"/>
        <family val="2"/>
      </rPr>
      <t>r</t>
    </r>
    <r>
      <rPr>
        <sz val="9"/>
        <rFont val="Arial"/>
        <family val="2"/>
      </rPr>
      <t xml:space="preserve">, OR for random samples from a population with chosen </t>
    </r>
    <r>
      <rPr>
        <b/>
        <sz val="9"/>
        <rFont val="Arial"/>
        <family val="2"/>
      </rPr>
      <t xml:space="preserve">Pearson's </t>
    </r>
    <r>
      <rPr>
        <b/>
        <i/>
        <sz val="10"/>
        <rFont val="Symbol"/>
        <family val="1"/>
        <charset val="2"/>
      </rPr>
      <t>r</t>
    </r>
    <r>
      <rPr>
        <sz val="9"/>
        <rFont val="Arial"/>
        <family val="2"/>
      </rPr>
      <t>. Turn on and see</t>
    </r>
    <r>
      <rPr>
        <b/>
        <sz val="9"/>
        <rFont val="Arial"/>
        <family val="2"/>
      </rPr>
      <t xml:space="preserve"> regression</t>
    </r>
    <r>
      <rPr>
        <sz val="9"/>
        <rFont val="Arial"/>
        <family val="2"/>
      </rPr>
      <t>.</t>
    </r>
  </si>
  <si>
    <r>
      <t xml:space="preserve">Scatterplots  </t>
    </r>
    <r>
      <rPr>
        <sz val="9"/>
        <rFont val="Arial"/>
        <family val="2"/>
      </rPr>
      <t xml:space="preserve">See </t>
    </r>
    <r>
      <rPr>
        <sz val="9"/>
        <color indexed="12"/>
        <rFont val="Arial"/>
        <family val="2"/>
      </rPr>
      <t>Chapters 11 and 12</t>
    </r>
    <r>
      <rPr>
        <sz val="9"/>
        <rFont val="Arial"/>
        <family val="2"/>
      </rPr>
      <t xml:space="preserve">.  See a </t>
    </r>
    <r>
      <rPr>
        <b/>
        <sz val="9"/>
        <rFont val="Arial"/>
        <family val="2"/>
      </rPr>
      <t>scatterplot</t>
    </r>
    <r>
      <rPr>
        <sz val="9"/>
        <rFont val="Arial"/>
        <family val="2"/>
      </rPr>
      <t xml:space="preserve"> and </t>
    </r>
    <r>
      <rPr>
        <b/>
        <sz val="9"/>
        <rFont val="Arial"/>
        <family val="2"/>
      </rPr>
      <t xml:space="preserve">correlation, </t>
    </r>
    <r>
      <rPr>
        <b/>
        <i/>
        <sz val="10"/>
        <rFont val="Arial"/>
        <family val="2"/>
      </rPr>
      <t>r</t>
    </r>
    <r>
      <rPr>
        <sz val="9"/>
        <rFont val="Arial"/>
        <family val="2"/>
      </rPr>
      <t xml:space="preserve">, for your own data set of two variable, X and Y. See also the scatterplot of </t>
    </r>
    <r>
      <rPr>
        <b/>
        <i/>
        <sz val="10"/>
        <rFont val="Arial"/>
        <family val="2"/>
      </rPr>
      <t>z</t>
    </r>
    <r>
      <rPr>
        <b/>
        <sz val="9"/>
        <rFont val="Arial"/>
        <family val="2"/>
      </rPr>
      <t xml:space="preserve"> scores</t>
    </r>
    <r>
      <rPr>
        <sz val="9"/>
        <rFont val="Arial"/>
        <family val="2"/>
      </rPr>
      <t xml:space="preserve">. Turn on and see </t>
    </r>
    <r>
      <rPr>
        <b/>
        <sz val="9"/>
        <rFont val="Arial"/>
        <family val="2"/>
      </rPr>
      <t>regression</t>
    </r>
    <r>
      <rPr>
        <sz val="9"/>
        <rFont val="Arial"/>
        <family val="2"/>
      </rPr>
      <t>.</t>
    </r>
  </si>
  <si>
    <r>
      <t xml:space="preserve">One correlation  </t>
    </r>
    <r>
      <rPr>
        <sz val="9"/>
        <rFont val="Arial"/>
        <family val="2"/>
      </rPr>
      <t xml:space="preserve">See </t>
    </r>
    <r>
      <rPr>
        <sz val="9"/>
        <color indexed="12"/>
        <rFont val="Arial"/>
        <family val="2"/>
      </rPr>
      <t>Chapter 11</t>
    </r>
    <r>
      <rPr>
        <sz val="9"/>
        <rFont val="Arial"/>
        <family val="2"/>
      </rPr>
      <t xml:space="preserve">.  See a figure showing a </t>
    </r>
    <r>
      <rPr>
        <b/>
        <sz val="9"/>
        <rFont val="Arial"/>
        <family val="2"/>
      </rPr>
      <t xml:space="preserve"> correlation, </t>
    </r>
    <r>
      <rPr>
        <b/>
        <i/>
        <sz val="10"/>
        <rFont val="Arial"/>
        <family val="2"/>
      </rPr>
      <t>r</t>
    </r>
    <r>
      <rPr>
        <b/>
        <sz val="9"/>
        <rFont val="Arial"/>
        <family val="2"/>
      </rPr>
      <t>,</t>
    </r>
    <r>
      <rPr>
        <sz val="9"/>
        <rFont val="Arial"/>
        <family val="2"/>
      </rPr>
      <t xml:space="preserve"> with its </t>
    </r>
    <r>
      <rPr>
        <b/>
        <sz val="9"/>
        <rFont val="Arial"/>
        <family val="2"/>
      </rPr>
      <t>CI</t>
    </r>
    <r>
      <rPr>
        <sz val="9"/>
        <rFont val="Arial"/>
        <family val="2"/>
      </rPr>
      <t xml:space="preserve">.  See a </t>
    </r>
    <r>
      <rPr>
        <b/>
        <sz val="9"/>
        <rFont val="Arial"/>
        <family val="2"/>
      </rPr>
      <t>cat's eye picture</t>
    </r>
    <r>
      <rPr>
        <sz val="9"/>
        <rFont val="Arial"/>
        <family val="2"/>
      </rPr>
      <t xml:space="preserve"> on the CI.</t>
    </r>
  </si>
  <si>
    <r>
      <t xml:space="preserve">Two correlations  </t>
    </r>
    <r>
      <rPr>
        <sz val="9"/>
        <rFont val="Arial"/>
        <family val="2"/>
      </rPr>
      <t xml:space="preserve">See </t>
    </r>
    <r>
      <rPr>
        <sz val="9"/>
        <color indexed="12"/>
        <rFont val="Arial"/>
        <family val="2"/>
      </rPr>
      <t>Chapter 11</t>
    </r>
    <r>
      <rPr>
        <sz val="9"/>
        <rFont val="Arial"/>
        <family val="2"/>
      </rPr>
      <t xml:space="preserve">.  See a figure showing any </t>
    </r>
    <r>
      <rPr>
        <b/>
        <sz val="9"/>
        <rFont val="Arial"/>
        <family val="2"/>
      </rPr>
      <t xml:space="preserve">two independent </t>
    </r>
    <r>
      <rPr>
        <b/>
        <i/>
        <sz val="10"/>
        <rFont val="Arial"/>
        <family val="2"/>
      </rPr>
      <t>r</t>
    </r>
    <r>
      <rPr>
        <b/>
        <sz val="9"/>
        <rFont val="Arial"/>
        <family val="2"/>
      </rPr>
      <t xml:space="preserve"> values</t>
    </r>
    <r>
      <rPr>
        <sz val="9"/>
        <rFont val="Arial"/>
        <family val="2"/>
      </rPr>
      <t xml:space="preserve">, with their </t>
    </r>
    <r>
      <rPr>
        <b/>
        <sz val="9"/>
        <rFont val="Arial"/>
        <family val="2"/>
      </rPr>
      <t>CIs</t>
    </r>
    <r>
      <rPr>
        <sz val="9"/>
        <rFont val="Arial"/>
        <family val="2"/>
      </rPr>
      <t xml:space="preserve">.  See the CI on the </t>
    </r>
    <r>
      <rPr>
        <b/>
        <sz val="9"/>
        <rFont val="Arial"/>
        <family val="2"/>
      </rPr>
      <t>difference</t>
    </r>
    <r>
      <rPr>
        <sz val="9"/>
        <rFont val="Arial"/>
        <family val="2"/>
      </rPr>
      <t>.</t>
    </r>
  </si>
  <si>
    <r>
      <t xml:space="preserve">One proportion  </t>
    </r>
    <r>
      <rPr>
        <sz val="9"/>
        <rFont val="Arial"/>
        <family val="2"/>
      </rPr>
      <t xml:space="preserve">See </t>
    </r>
    <r>
      <rPr>
        <sz val="9"/>
        <color indexed="12"/>
        <rFont val="Arial"/>
        <family val="2"/>
      </rPr>
      <t>Chapter 13</t>
    </r>
    <r>
      <rPr>
        <sz val="9"/>
        <rFont val="Arial"/>
        <family val="2"/>
      </rPr>
      <t xml:space="preserve">.  See a figure showing a </t>
    </r>
    <r>
      <rPr>
        <b/>
        <sz val="9"/>
        <rFont val="Arial"/>
        <family val="2"/>
      </rPr>
      <t xml:space="preserve"> proportion, </t>
    </r>
    <r>
      <rPr>
        <b/>
        <i/>
        <sz val="10"/>
        <rFont val="Arial"/>
        <family val="2"/>
      </rPr>
      <t>P</t>
    </r>
    <r>
      <rPr>
        <b/>
        <sz val="9"/>
        <rFont val="Arial"/>
        <family val="2"/>
      </rPr>
      <t>,</t>
    </r>
    <r>
      <rPr>
        <sz val="9"/>
        <rFont val="Arial"/>
        <family val="2"/>
      </rPr>
      <t xml:space="preserve"> with its </t>
    </r>
    <r>
      <rPr>
        <b/>
        <sz val="9"/>
        <rFont val="Arial"/>
        <family val="2"/>
      </rPr>
      <t>CI</t>
    </r>
    <r>
      <rPr>
        <sz val="9"/>
        <rFont val="Arial"/>
        <family val="2"/>
      </rPr>
      <t xml:space="preserve">.  See the </t>
    </r>
    <r>
      <rPr>
        <b/>
        <i/>
        <sz val="10"/>
        <rFont val="Arial"/>
        <family val="2"/>
      </rPr>
      <t>p</t>
    </r>
    <r>
      <rPr>
        <b/>
        <sz val="9"/>
        <rFont val="Arial"/>
        <family val="2"/>
      </rPr>
      <t xml:space="preserve"> value </t>
    </r>
    <r>
      <rPr>
        <sz val="9"/>
        <rFont val="Arial"/>
        <family val="2"/>
      </rPr>
      <t>for testing a chosen null hypothesis.</t>
    </r>
  </si>
  <si>
    <r>
      <t xml:space="preserve">Two proportions  </t>
    </r>
    <r>
      <rPr>
        <sz val="9"/>
        <rFont val="Arial"/>
        <family val="2"/>
      </rPr>
      <t xml:space="preserve">See </t>
    </r>
    <r>
      <rPr>
        <sz val="9"/>
        <color indexed="12"/>
        <rFont val="Arial"/>
        <family val="2"/>
      </rPr>
      <t>Chapter 13</t>
    </r>
    <r>
      <rPr>
        <sz val="9"/>
        <rFont val="Arial"/>
        <family val="2"/>
      </rPr>
      <t xml:space="preserve">.  See a figure showing any </t>
    </r>
    <r>
      <rPr>
        <b/>
        <sz val="9"/>
        <rFont val="Arial"/>
        <family val="2"/>
      </rPr>
      <t>two independent proportions</t>
    </r>
    <r>
      <rPr>
        <sz val="9"/>
        <rFont val="Arial"/>
        <family val="2"/>
      </rPr>
      <t xml:space="preserve">, with their </t>
    </r>
    <r>
      <rPr>
        <b/>
        <sz val="9"/>
        <rFont val="Arial"/>
        <family val="2"/>
      </rPr>
      <t>CIs</t>
    </r>
    <r>
      <rPr>
        <sz val="9"/>
        <rFont val="Arial"/>
        <family val="2"/>
      </rPr>
      <t xml:space="preserve">.  See the CI on the </t>
    </r>
    <r>
      <rPr>
        <b/>
        <sz val="9"/>
        <rFont val="Arial"/>
        <family val="2"/>
      </rPr>
      <t>difference</t>
    </r>
    <r>
      <rPr>
        <sz val="9"/>
        <rFont val="Arial"/>
        <family val="2"/>
      </rPr>
      <t>, and the</t>
    </r>
    <r>
      <rPr>
        <b/>
        <sz val="9"/>
        <rFont val="Arial"/>
        <family val="2"/>
      </rPr>
      <t xml:space="preserve"> </t>
    </r>
    <r>
      <rPr>
        <b/>
        <i/>
        <sz val="10"/>
        <rFont val="Arial"/>
        <family val="2"/>
      </rPr>
      <t>p</t>
    </r>
    <r>
      <rPr>
        <b/>
        <sz val="9"/>
        <rFont val="Arial"/>
        <family val="2"/>
      </rPr>
      <t xml:space="preserve"> value</t>
    </r>
    <r>
      <rPr>
        <sz val="9"/>
        <rFont val="Arial"/>
        <family val="2"/>
      </rPr>
      <t>.</t>
    </r>
  </si>
  <si>
    <r>
      <t xml:space="preserve">Ind groups comparisons  </t>
    </r>
    <r>
      <rPr>
        <sz val="9"/>
        <rFont val="Arial"/>
        <family val="2"/>
      </rPr>
      <t xml:space="preserve">See </t>
    </r>
    <r>
      <rPr>
        <sz val="9"/>
        <color indexed="12"/>
        <rFont val="Arial"/>
        <family val="2"/>
      </rPr>
      <t>Chapter 14</t>
    </r>
    <r>
      <rPr>
        <sz val="9"/>
        <rFont val="Arial"/>
        <family val="2"/>
      </rPr>
      <t xml:space="preserve">.  Enter either summary statistics or full data for up to </t>
    </r>
    <r>
      <rPr>
        <b/>
        <sz val="9"/>
        <rFont val="Arial"/>
        <family val="2"/>
      </rPr>
      <t>six independent groups</t>
    </r>
    <r>
      <rPr>
        <sz val="9"/>
        <rFont val="Arial"/>
        <family val="2"/>
      </rPr>
      <t xml:space="preserve">. See </t>
    </r>
    <r>
      <rPr>
        <b/>
        <sz val="9"/>
        <rFont val="Arial"/>
        <family val="2"/>
      </rPr>
      <t>means and CIs</t>
    </r>
    <r>
      <rPr>
        <sz val="9"/>
        <rFont val="Arial"/>
        <family val="2"/>
      </rPr>
      <t xml:space="preserve">, and investigate any </t>
    </r>
    <r>
      <rPr>
        <b/>
        <sz val="9"/>
        <rFont val="Arial"/>
        <family val="2"/>
      </rPr>
      <t>comparison</t>
    </r>
    <r>
      <rPr>
        <sz val="9"/>
        <rFont val="Arial"/>
        <family val="2"/>
      </rPr>
      <t xml:space="preserve"> of two means. </t>
    </r>
  </si>
  <si>
    <r>
      <t xml:space="preserve">Ind groups contrasts  </t>
    </r>
    <r>
      <rPr>
        <sz val="9"/>
        <rFont val="Arial"/>
        <family val="2"/>
      </rPr>
      <t xml:space="preserve">See </t>
    </r>
    <r>
      <rPr>
        <sz val="9"/>
        <color indexed="12"/>
        <rFont val="Arial"/>
        <family val="2"/>
      </rPr>
      <t>Chapter 14</t>
    </r>
    <r>
      <rPr>
        <sz val="9"/>
        <rFont val="Arial"/>
        <family val="2"/>
      </rPr>
      <t xml:space="preserve">.  Enter either summary statistics or full data for up to </t>
    </r>
    <r>
      <rPr>
        <b/>
        <sz val="9"/>
        <rFont val="Arial"/>
        <family val="2"/>
      </rPr>
      <t>six independent groups</t>
    </r>
    <r>
      <rPr>
        <sz val="9"/>
        <rFont val="Arial"/>
        <family val="2"/>
      </rPr>
      <t xml:space="preserve">. See </t>
    </r>
    <r>
      <rPr>
        <b/>
        <sz val="9"/>
        <rFont val="Arial"/>
        <family val="2"/>
      </rPr>
      <t>means and CIs</t>
    </r>
    <r>
      <rPr>
        <sz val="9"/>
        <rFont val="Arial"/>
        <family val="2"/>
      </rPr>
      <t xml:space="preserve">, and investigate any </t>
    </r>
    <r>
      <rPr>
        <b/>
        <sz val="9"/>
        <rFont val="Arial"/>
        <family val="2"/>
      </rPr>
      <t>contrast</t>
    </r>
    <r>
      <rPr>
        <sz val="9"/>
        <rFont val="Arial"/>
        <family val="2"/>
      </rPr>
      <t xml:space="preserve"> of two </t>
    </r>
    <r>
      <rPr>
        <b/>
        <sz val="9"/>
        <rFont val="Arial"/>
        <family val="2"/>
      </rPr>
      <t>subset</t>
    </r>
    <r>
      <rPr>
        <sz val="9"/>
        <rFont val="Arial"/>
        <family val="2"/>
      </rPr>
      <t xml:space="preserve"> means. </t>
    </r>
  </si>
  <si>
    <r>
      <t xml:space="preserve">Ind groups 2 x 2  </t>
    </r>
    <r>
      <rPr>
        <sz val="9"/>
        <rFont val="Arial"/>
        <family val="2"/>
      </rPr>
      <t xml:space="preserve">See </t>
    </r>
    <r>
      <rPr>
        <sz val="9"/>
        <color indexed="12"/>
        <rFont val="Arial"/>
        <family val="2"/>
      </rPr>
      <t>Chapter 15</t>
    </r>
    <r>
      <rPr>
        <sz val="9"/>
        <rFont val="Arial"/>
        <family val="2"/>
      </rPr>
      <t>.  Enter either summary statistics or full data for a</t>
    </r>
    <r>
      <rPr>
        <b/>
        <sz val="9"/>
        <rFont val="Arial"/>
        <family val="2"/>
      </rPr>
      <t xml:space="preserve"> 2 x 2 two-way factorial design </t>
    </r>
    <r>
      <rPr>
        <sz val="9"/>
        <rFont val="Arial"/>
        <family val="2"/>
      </rPr>
      <t>with</t>
    </r>
    <r>
      <rPr>
        <b/>
        <sz val="9"/>
        <rFont val="Arial"/>
        <family val="2"/>
      </rPr>
      <t xml:space="preserve"> two between-groups </t>
    </r>
    <r>
      <rPr>
        <sz val="9"/>
        <rFont val="Arial"/>
        <family val="2"/>
      </rPr>
      <t>independent variables. See means and CIs, and the</t>
    </r>
    <r>
      <rPr>
        <b/>
        <sz val="9"/>
        <rFont val="Arial"/>
        <family val="2"/>
      </rPr>
      <t xml:space="preserve"> interaction</t>
    </r>
    <r>
      <rPr>
        <sz val="9"/>
        <rFont val="Arial"/>
        <family val="2"/>
      </rPr>
      <t>.</t>
    </r>
  </si>
  <si>
    <r>
      <t>Robust two</t>
    </r>
    <r>
      <rPr>
        <sz val="9"/>
        <rFont val="Arial"/>
        <family val="2"/>
      </rPr>
      <t xml:space="preserve">  See </t>
    </r>
    <r>
      <rPr>
        <sz val="9"/>
        <color indexed="12"/>
        <rFont val="Arial"/>
        <family val="2"/>
      </rPr>
      <t>Chapter 16</t>
    </r>
    <r>
      <rPr>
        <sz val="9"/>
        <rFont val="Arial"/>
        <family val="2"/>
      </rPr>
      <t>.  Enter data</t>
    </r>
    <r>
      <rPr>
        <b/>
        <sz val="9"/>
        <rFont val="Arial"/>
        <family val="2"/>
      </rPr>
      <t xml:space="preserve"> </t>
    </r>
    <r>
      <rPr>
        <sz val="9"/>
        <rFont val="Arial"/>
        <family val="2"/>
      </rPr>
      <t xml:space="preserve">for </t>
    </r>
    <r>
      <rPr>
        <b/>
        <sz val="9"/>
        <rFont val="Arial"/>
        <family val="2"/>
      </rPr>
      <t xml:space="preserve">two independent groups. </t>
    </r>
    <r>
      <rPr>
        <sz val="9"/>
        <rFont val="Arial"/>
        <family val="2"/>
      </rPr>
      <t>See means and difference between the means, with CIs, for</t>
    </r>
    <r>
      <rPr>
        <b/>
        <sz val="9"/>
        <rFont val="Arial"/>
        <family val="2"/>
      </rPr>
      <t xml:space="preserve"> conventional </t>
    </r>
    <r>
      <rPr>
        <sz val="9"/>
        <rFont val="Arial"/>
        <family val="2"/>
      </rPr>
      <t>and</t>
    </r>
    <r>
      <rPr>
        <b/>
        <sz val="9"/>
        <rFont val="Arial"/>
        <family val="2"/>
      </rPr>
      <t xml:space="preserve"> robust analyses.</t>
    </r>
  </si>
  <si>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</si>
  <si>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</si>
  <si>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</si>
  <si>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</si>
  <si>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</si>
  <si>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</si>
  <si>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 xml:space="preserve">  Ind groups 2 x 2 </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</si>
  <si>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</si>
  <si>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</si>
  <si>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</si>
  <si>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</si>
  <si>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</si>
  <si>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</si>
  <si>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</si>
  <si>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</si>
  <si>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</si>
  <si>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</si>
  <si>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</si>
  <si>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</si>
  <si>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</si>
  <si>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</si>
  <si>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</si>
  <si>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minus</t>
  </si>
  <si>
    <t>top</t>
  </si>
  <si>
    <t>bottom</t>
  </si>
  <si>
    <t>data ok?</t>
  </si>
  <si>
    <t>for none</t>
  </si>
  <si>
    <t>For buttons</t>
  </si>
  <si>
    <t>(top - bottom)</t>
  </si>
  <si>
    <t>License.  Each licensee is addressed as "you".  "Licensees" and</t>
  </si>
  <si>
    <t>Yuen test statistic</t>
  </si>
  <si>
    <t>Robust two</t>
  </si>
  <si>
    <t xml:space="preserve">Contact time (s) </t>
  </si>
  <si>
    <t>5</t>
  </si>
  <si>
    <t>9</t>
  </si>
  <si>
    <t>11</t>
  </si>
  <si>
    <t>12</t>
  </si>
  <si>
    <t>Offset data points</t>
  </si>
  <si>
    <t>Group 1 display dots ROBUST</t>
  </si>
  <si>
    <t>Group 2 display dots ROBUST</t>
  </si>
  <si>
    <r>
      <t xml:space="preserve">Central  </t>
    </r>
    <r>
      <rPr>
        <i/>
        <sz val="9"/>
        <rFont val="Arial"/>
        <family val="2"/>
      </rPr>
      <t>Nh</t>
    </r>
    <r>
      <rPr>
        <vertAlign val="subscript"/>
        <sz val="10"/>
        <rFont val="Arial"/>
        <family val="2"/>
      </rPr>
      <t>1</t>
    </r>
  </si>
  <si>
    <r>
      <t>Nh</t>
    </r>
    <r>
      <rPr>
        <vertAlign val="subscript"/>
        <sz val="10"/>
        <rFont val="Arial"/>
        <family val="2"/>
      </rPr>
      <t>2</t>
    </r>
  </si>
  <si>
    <r>
      <t xml:space="preserve">Trimmed  </t>
    </r>
    <r>
      <rPr>
        <i/>
        <sz val="9"/>
        <rFont val="Arial"/>
        <family val="2"/>
      </rPr>
      <t>Ng</t>
    </r>
    <r>
      <rPr>
        <vertAlign val="subscript"/>
        <sz val="10"/>
        <rFont val="Arial"/>
        <family val="2"/>
      </rPr>
      <t>1</t>
    </r>
  </si>
  <si>
    <r>
      <t>Ng</t>
    </r>
    <r>
      <rPr>
        <vertAlign val="subscript"/>
        <sz val="10"/>
        <rFont val="Arial"/>
        <family val="2"/>
      </rPr>
      <t>2</t>
    </r>
  </si>
  <si>
    <r>
      <t xml:space="preserve">Means   </t>
    </r>
    <r>
      <rPr>
        <i/>
        <sz val="9"/>
        <rFont val="Arial"/>
        <family val="2"/>
      </rPr>
      <t>Mt</t>
    </r>
    <r>
      <rPr>
        <vertAlign val="subscript"/>
        <sz val="10"/>
        <rFont val="Arial"/>
        <family val="2"/>
      </rPr>
      <t>1</t>
    </r>
  </si>
  <si>
    <r>
      <t>Mt</t>
    </r>
    <r>
      <rPr>
        <vertAlign val="subscript"/>
        <sz val="10"/>
        <rFont val="Arial"/>
        <family val="2"/>
      </rPr>
      <t>2</t>
    </r>
  </si>
  <si>
    <t>ESt</t>
  </si>
  <si>
    <r>
      <t xml:space="preserve">to   </t>
    </r>
    <r>
      <rPr>
        <b/>
        <sz val="9"/>
        <rFont val="Arial"/>
        <family val="2"/>
      </rPr>
      <t xml:space="preserve">       [</t>
    </r>
  </si>
  <si>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</si>
  <si>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</si>
  <si>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</si>
  <si>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</si>
  <si>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</si>
  <si>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</si>
  <si>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</si>
  <si>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</si>
  <si>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</si>
  <si>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</si>
  <si>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</si>
  <si>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A1B1</t>
  </si>
  <si>
    <t>A1B2</t>
  </si>
  <si>
    <t>A2B1</t>
  </si>
  <si>
    <t>A2B2</t>
  </si>
  <si>
    <t>distribution (with or without modification), making available to the</t>
  </si>
  <si>
    <t>public, and in some countries other activities as well.</t>
  </si>
  <si>
    <t xml:space="preserve">Truncate display at target MoE of: </t>
  </si>
  <si>
    <t>Set target MoE</t>
  </si>
  <si>
    <r>
      <t xml:space="preserve"> p</t>
    </r>
    <r>
      <rPr>
        <sz val="9"/>
        <rFont val="Arial"/>
        <family val="2"/>
      </rPr>
      <t xml:space="preserve"> value</t>
    </r>
  </si>
  <si>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</si>
  <si>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</si>
  <si>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</si>
  <si>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</si>
  <si>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</si>
  <si>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</si>
  <si>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</si>
  <si>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</si>
  <si>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</si>
  <si>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</si>
  <si>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</si>
  <si>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</si>
  <si>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</si>
  <si>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</si>
  <si>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</si>
  <si>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</si>
  <si>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</si>
  <si>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</si>
  <si>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</si>
  <si>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</si>
  <si>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</si>
  <si>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</si>
  <si>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 xml:space="preserve">Slope of adjustable line </t>
  </si>
  <si>
    <r>
      <t xml:space="preserve">Calculated slope, </t>
    </r>
    <r>
      <rPr>
        <i/>
        <sz val="10"/>
        <rFont val="Arial"/>
        <family val="2"/>
      </rPr>
      <t>b</t>
    </r>
    <r>
      <rPr>
        <sz val="9"/>
        <rFont val="Arial"/>
        <family val="2"/>
      </rPr>
      <t xml:space="preserve"> </t>
    </r>
  </si>
  <si>
    <r>
      <t xml:space="preserve">the regression line for </t>
    </r>
    <r>
      <rPr>
        <i/>
        <sz val="10"/>
        <rFont val="Arial"/>
        <family val="2"/>
      </rPr>
      <t>Z</t>
    </r>
    <r>
      <rPr>
        <vertAlign val="subscript"/>
        <sz val="10"/>
        <rFont val="Arial"/>
        <family val="2"/>
      </rPr>
      <t>Y</t>
    </r>
    <r>
      <rPr>
        <sz val="9"/>
        <rFont val="Arial"/>
        <family val="2"/>
      </rPr>
      <t xml:space="preserve"> on </t>
    </r>
    <r>
      <rPr>
        <i/>
        <sz val="10"/>
        <rFont val="Arial"/>
        <family val="2"/>
      </rPr>
      <t>Z</t>
    </r>
    <r>
      <rPr>
        <vertAlign val="subscript"/>
        <sz val="10"/>
        <rFont val="Arial"/>
        <family val="2"/>
      </rPr>
      <t>X</t>
    </r>
    <r>
      <rPr>
        <sz val="9"/>
        <rFont val="Arial"/>
        <family val="2"/>
      </rPr>
      <t xml:space="preserve"> is displayed above. Its slope is </t>
    </r>
    <r>
      <rPr>
        <i/>
        <sz val="10"/>
        <rFont val="Arial"/>
        <family val="2"/>
      </rPr>
      <t>r</t>
    </r>
    <r>
      <rPr>
        <sz val="9"/>
        <rFont val="Arial"/>
        <family val="2"/>
      </rPr>
      <t>.</t>
    </r>
  </si>
  <si>
    <t xml:space="preserve">Correlation line slope </t>
  </si>
  <si>
    <r>
      <t xml:space="preserve">with slope 45°, or the upper left point (-4, 4), with slope </t>
    </r>
    <r>
      <rPr>
        <sz val="10"/>
        <rFont val="Arial"/>
        <family val="2"/>
      </rPr>
      <t>-</t>
    </r>
    <r>
      <rPr>
        <sz val="9"/>
        <rFont val="Arial"/>
        <family val="2"/>
      </rPr>
      <t>45°.</t>
    </r>
  </si>
  <si>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</si>
  <si>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</si>
  <si>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</si>
  <si>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</si>
  <si>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</si>
  <si>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</si>
  <si>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</si>
  <si>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</si>
  <si>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</si>
  <si>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</si>
  <si>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</si>
  <si>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</si>
  <si>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</si>
  <si>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</si>
  <si>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</si>
  <si>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</si>
  <si>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</si>
  <si>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</si>
  <si>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</si>
  <si>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</si>
  <si>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</si>
  <si>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</si>
  <si>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</si>
  <si>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</si>
  <si>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</si>
  <si>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</si>
  <si>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Neutral</t>
  </si>
  <si>
    <t>Violent</t>
  </si>
  <si>
    <t>Sexual</t>
  </si>
  <si>
    <t>Bushman 2005</t>
  </si>
  <si>
    <t>Motivation</t>
  </si>
  <si>
    <t>Comfort</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</si>
  <si>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</si>
  <si>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</si>
  <si>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</si>
  <si>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</si>
  <si>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</si>
  <si>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</si>
  <si>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</si>
  <si>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</si>
  <si>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</si>
  <si>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</si>
  <si>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</si>
  <si>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</si>
  <si>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</si>
  <si>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</si>
  <si>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</si>
  <si>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</si>
  <si>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Display values</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</si>
  <si>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</si>
  <si>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</si>
  <si>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</si>
  <si>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</si>
  <si>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Trial data set</t>
  </si>
  <si>
    <t>Our dep variable</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</si>
  <si>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</si>
  <si>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</si>
  <si>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</si>
  <si>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</si>
  <si>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</si>
  <si>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</si>
  <si>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</si>
  <si>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</si>
  <si>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</si>
  <si>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</si>
  <si>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</si>
  <si>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</si>
  <si>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</si>
  <si>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</si>
  <si>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</si>
  <si>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</si>
  <si>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</si>
  <si>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</si>
  <si>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</si>
  <si>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</si>
  <si>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</si>
  <si>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</si>
  <si>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</si>
  <si>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</si>
  <si>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</si>
  <si>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</si>
  <si>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t crit</t>
  </si>
  <si>
    <t>Label</t>
  </si>
  <si>
    <t>Disp pair?</t>
  </si>
  <si>
    <t>ni</t>
  </si>
  <si>
    <t>Mi</t>
  </si>
  <si>
    <t>si</t>
  </si>
  <si>
    <t>M1</t>
  </si>
  <si>
    <t>M2</t>
  </si>
  <si>
    <t>M3</t>
  </si>
  <si>
    <t>M4</t>
  </si>
  <si>
    <t>M5</t>
  </si>
  <si>
    <t>M6</t>
  </si>
  <si>
    <t>Difference</t>
  </si>
  <si>
    <t>For grey</t>
  </si>
  <si>
    <t>Grey?</t>
  </si>
  <si>
    <t>,</t>
  </si>
  <si>
    <t>]</t>
  </si>
  <si>
    <t>UL</t>
  </si>
  <si>
    <t>LL</t>
  </si>
  <si>
    <t>(</t>
  </si>
  <si>
    <t>)</t>
  </si>
  <si>
    <t>Mean of</t>
  </si>
  <si>
    <t xml:space="preserve">    Independent groups</t>
  </si>
  <si>
    <t xml:space="preserve">      Enter summary statistics, or full data, for up to six independent groups.</t>
  </si>
  <si>
    <t xml:space="preserve">ni </t>
  </si>
  <si>
    <t xml:space="preserve">Mi </t>
  </si>
  <si>
    <t xml:space="preserve">si </t>
  </si>
  <si>
    <t xml:space="preserve">df </t>
  </si>
  <si>
    <t xml:space="preserve">Names </t>
  </si>
  <si>
    <t xml:space="preserve">UL </t>
  </si>
  <si>
    <t xml:space="preserve">LL </t>
  </si>
  <si>
    <t>Current</t>
  </si>
  <si>
    <t>Formulas to copy for entry of full data</t>
  </si>
  <si>
    <t>Validation for summary data</t>
  </si>
  <si>
    <t>Example data</t>
  </si>
  <si>
    <t>Example summary data</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</si>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</sst>
</file>

<file path=xl/styles.xml><?xml version="1.0" encoding="utf-8"?>
<styleSheet xmlns="http://schemas.openxmlformats.org/spreadsheetml/2006/main">
  <numFmts count="14">
    <numFmt numFmtId="164" formatCode="0.000"/>
    <numFmt numFmtId="165" formatCode="0.0"/>
    <numFmt numFmtId="166" formatCode="0.0000"/>
    <numFmt numFmtId="167" formatCode=".0##"/>
    <numFmt numFmtId="168" formatCode=".00;\-.00;0"/>
    <numFmt numFmtId="169" formatCode="0.00000000"/>
    <numFmt numFmtId="170" formatCode="0.00000000000000000000"/>
    <numFmt numFmtId="171" formatCode="0.0##"/>
    <numFmt numFmtId="172" formatCode=".0##;\-.0##;0"/>
    <numFmt numFmtId="173" formatCode=".0#;\-.0#;0"/>
    <numFmt numFmtId="174" formatCode=".0##;0;0"/>
    <numFmt numFmtId="175" formatCode="0.0#"/>
    <numFmt numFmtId="176" formatCode="0.0##;\-0.0##;0"/>
    <numFmt numFmtId="177" formatCode="0.00000"/>
  </numFmts>
  <fonts count="107">
    <font>
      <sz val="10"/>
      <name val="Arial"/>
    </font>
    <font>
      <sz val="10"/>
      <name val="Arial"/>
      <family val="2"/>
    </font>
    <font>
      <sz val="8"/>
      <name val="Arial"/>
      <family val="2"/>
    </font>
    <font>
      <i/>
      <sz val="8"/>
      <name val="Arial"/>
      <family val="2"/>
    </font>
    <font>
      <sz val="8"/>
      <color indexed="81"/>
      <name val="Tahoma"/>
      <family val="2"/>
    </font>
    <font>
      <b/>
      <sz val="9"/>
      <color indexed="10"/>
      <name val="Arial"/>
      <family val="2"/>
    </font>
    <font>
      <sz val="11"/>
      <color indexed="8"/>
      <name val="Calibri"/>
      <family val="2"/>
    </font>
    <font>
      <sz val="11"/>
      <color indexed="9"/>
      <name val="Calibri"/>
      <family val="2"/>
    </font>
    <font>
      <i/>
      <sz val="9"/>
      <name val="Arial"/>
      <family val="2"/>
    </font>
    <font>
      <i/>
      <sz val="9"/>
      <color indexed="81"/>
      <name val="Tahoma"/>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b/>
      <i/>
      <sz val="16"/>
      <color indexed="12"/>
      <name val="Arial"/>
      <family val="2"/>
    </font>
    <font>
      <b/>
      <sz val="12"/>
      <color indexed="10"/>
      <name val="Arial"/>
      <family val="2"/>
    </font>
    <font>
      <b/>
      <i/>
      <sz val="10"/>
      <color indexed="12"/>
      <name val="Arial"/>
      <family val="2"/>
    </font>
    <font>
      <sz val="9"/>
      <name val="Arial"/>
      <family val="2"/>
    </font>
    <font>
      <b/>
      <sz val="9"/>
      <name val="Arial"/>
      <family val="2"/>
    </font>
    <font>
      <sz val="9"/>
      <color indexed="8"/>
      <name val="Arial"/>
      <family val="2"/>
    </font>
    <font>
      <b/>
      <sz val="9"/>
      <color indexed="8"/>
      <name val="Arial"/>
      <family val="2"/>
    </font>
    <font>
      <b/>
      <i/>
      <sz val="9"/>
      <color indexed="10"/>
      <name val="Arial"/>
      <family val="2"/>
    </font>
    <font>
      <b/>
      <i/>
      <sz val="9"/>
      <name val="Arial"/>
      <family val="2"/>
    </font>
    <font>
      <sz val="9"/>
      <color indexed="81"/>
      <name val="Tahoma"/>
      <family val="2"/>
    </font>
    <font>
      <sz val="9"/>
      <color indexed="12"/>
      <name val="Arial"/>
      <family val="2"/>
    </font>
    <font>
      <sz val="9"/>
      <name val="Symbol"/>
      <family val="1"/>
      <charset val="2"/>
    </font>
    <font>
      <sz val="8"/>
      <name val="Arial"/>
      <family val="2"/>
    </font>
    <font>
      <b/>
      <sz val="9"/>
      <color indexed="12"/>
      <name val="Arial"/>
      <family val="2"/>
    </font>
    <font>
      <sz val="10"/>
      <color indexed="81"/>
      <name val="Tahoma"/>
      <family val="2"/>
    </font>
    <font>
      <sz val="10"/>
      <color indexed="81"/>
      <name val="Symbol"/>
      <family val="1"/>
      <charset val="2"/>
    </font>
    <font>
      <i/>
      <sz val="10"/>
      <name val="Arial"/>
      <family val="2"/>
    </font>
    <font>
      <sz val="10"/>
      <name val="Symbol"/>
      <family val="1"/>
      <charset val="2"/>
    </font>
    <font>
      <sz val="9"/>
      <color indexed="10"/>
      <name val="Arial"/>
      <family val="2"/>
    </font>
    <font>
      <b/>
      <sz val="9"/>
      <color indexed="10"/>
      <name val="Tahoma"/>
      <family val="2"/>
    </font>
    <font>
      <b/>
      <i/>
      <sz val="10"/>
      <name val="Symbol"/>
      <family val="1"/>
      <charset val="2"/>
    </font>
    <font>
      <sz val="9"/>
      <name val="Courier New"/>
      <family val="3"/>
    </font>
    <font>
      <i/>
      <sz val="9"/>
      <color indexed="10"/>
      <name val="Arial"/>
      <family val="2"/>
    </font>
    <font>
      <sz val="26"/>
      <name val="Arial"/>
      <family val="2"/>
    </font>
    <font>
      <i/>
      <sz val="14"/>
      <name val="Arial"/>
      <family val="2"/>
    </font>
    <font>
      <sz val="9"/>
      <name val="Arial"/>
      <family val="2"/>
    </font>
    <font>
      <sz val="14"/>
      <name val="Arial"/>
      <family val="2"/>
    </font>
    <font>
      <b/>
      <sz val="10"/>
      <color indexed="10"/>
      <name val="Arial"/>
      <family val="2"/>
    </font>
    <font>
      <b/>
      <sz val="10"/>
      <name val="Arial"/>
      <family val="2"/>
    </font>
    <font>
      <b/>
      <sz val="10"/>
      <color indexed="10"/>
      <name val="Tahoma"/>
      <family val="2"/>
    </font>
    <font>
      <sz val="12"/>
      <name val="Arial"/>
      <family val="2"/>
    </font>
    <font>
      <sz val="9"/>
      <color indexed="17"/>
      <name val="Arial"/>
      <family val="2"/>
    </font>
    <font>
      <b/>
      <sz val="9"/>
      <color indexed="17"/>
      <name val="Arial"/>
      <family val="2"/>
    </font>
    <font>
      <b/>
      <sz val="9"/>
      <color indexed="58"/>
      <name val="Arial"/>
      <family val="2"/>
    </font>
    <font>
      <b/>
      <sz val="9"/>
      <color indexed="12"/>
      <name val="Tahoma"/>
      <family val="2"/>
    </font>
    <font>
      <b/>
      <sz val="9"/>
      <color indexed="17"/>
      <name val="Tahoma"/>
      <family val="2"/>
    </font>
    <font>
      <i/>
      <sz val="12"/>
      <name val="Arial"/>
      <family val="2"/>
    </font>
    <font>
      <b/>
      <sz val="9"/>
      <name val="Arial"/>
      <family val="2"/>
    </font>
    <font>
      <sz val="11"/>
      <name val="Symbol"/>
      <family val="1"/>
      <charset val="2"/>
    </font>
    <font>
      <sz val="9"/>
      <name val="Tahoma"/>
      <family val="2"/>
    </font>
    <font>
      <sz val="9"/>
      <color indexed="9"/>
      <name val="Symbol"/>
      <family val="1"/>
      <charset val="2"/>
    </font>
    <font>
      <vertAlign val="subscript"/>
      <sz val="11"/>
      <color indexed="81"/>
      <name val="Tahoma"/>
      <family val="2"/>
    </font>
    <font>
      <i/>
      <sz val="10"/>
      <color indexed="81"/>
      <name val="Tahoma"/>
      <family val="2"/>
    </font>
    <font>
      <b/>
      <sz val="8"/>
      <name val="Arial"/>
      <family val="2"/>
    </font>
    <font>
      <vertAlign val="subscript"/>
      <sz val="10"/>
      <name val="Arial"/>
      <family val="2"/>
    </font>
    <font>
      <b/>
      <sz val="9"/>
      <color indexed="45"/>
      <name val="Arial"/>
      <family val="2"/>
    </font>
    <font>
      <vertAlign val="subscript"/>
      <sz val="10"/>
      <color indexed="81"/>
      <name val="Tahoma"/>
      <family val="2"/>
    </font>
    <font>
      <b/>
      <sz val="9"/>
      <color indexed="81"/>
      <name val="Tahoma"/>
      <family val="2"/>
    </font>
    <font>
      <b/>
      <sz val="9"/>
      <color indexed="41"/>
      <name val="Arial"/>
      <family val="2"/>
    </font>
    <font>
      <b/>
      <i/>
      <sz val="9"/>
      <color indexed="12"/>
      <name val="Arial"/>
      <family val="2"/>
    </font>
    <font>
      <b/>
      <i/>
      <sz val="10"/>
      <name val="Arial"/>
      <family val="2"/>
    </font>
    <font>
      <sz val="9"/>
      <color indexed="42"/>
      <name val="Arial"/>
      <family val="2"/>
    </font>
    <font>
      <i/>
      <sz val="11"/>
      <color indexed="81"/>
      <name val="Tahoma"/>
      <family val="2"/>
    </font>
    <font>
      <sz val="11"/>
      <color indexed="81"/>
      <name val="Symbol"/>
      <family val="1"/>
      <charset val="2"/>
    </font>
    <font>
      <i/>
      <sz val="8"/>
      <color indexed="81"/>
      <name val="Tahoma"/>
      <family val="2"/>
    </font>
    <font>
      <sz val="11"/>
      <color indexed="81"/>
      <name val="Tahoma"/>
      <family val="2"/>
    </font>
    <font>
      <i/>
      <vertAlign val="subscript"/>
      <sz val="11"/>
      <name val="Arial"/>
      <family val="2"/>
    </font>
    <font>
      <i/>
      <vertAlign val="subscript"/>
      <sz val="9"/>
      <name val="Arial"/>
      <family val="2"/>
    </font>
    <font>
      <i/>
      <vertAlign val="subscript"/>
      <sz val="10"/>
      <name val="Arial"/>
      <family val="2"/>
    </font>
    <font>
      <b/>
      <i/>
      <vertAlign val="subscript"/>
      <sz val="11"/>
      <name val="Arial"/>
      <family val="2"/>
    </font>
    <font>
      <b/>
      <i/>
      <vertAlign val="subscript"/>
      <sz val="10"/>
      <name val="Arial"/>
      <family val="2"/>
    </font>
    <font>
      <sz val="9"/>
      <color indexed="45"/>
      <name val="Arial"/>
      <family val="2"/>
    </font>
    <font>
      <sz val="10"/>
      <color indexed="43"/>
      <name val="Arial"/>
      <family val="2"/>
    </font>
    <font>
      <b/>
      <vertAlign val="subscript"/>
      <sz val="10"/>
      <name val="Arial"/>
      <family val="2"/>
    </font>
    <font>
      <i/>
      <vertAlign val="subscript"/>
      <sz val="12"/>
      <name val="Arial"/>
      <family val="2"/>
    </font>
    <font>
      <vertAlign val="subscript"/>
      <sz val="12"/>
      <name val="Arial"/>
      <family val="2"/>
    </font>
    <font>
      <i/>
      <vertAlign val="subscript"/>
      <sz val="11"/>
      <color indexed="81"/>
      <name val="Tahoma"/>
      <family val="2"/>
    </font>
    <font>
      <i/>
      <vertAlign val="subscript"/>
      <sz val="10"/>
      <color indexed="81"/>
      <name val="Tahoma"/>
      <family val="2"/>
    </font>
    <font>
      <i/>
      <vertAlign val="subscript"/>
      <sz val="9"/>
      <color indexed="81"/>
      <name val="Tahoma"/>
      <family val="2"/>
    </font>
    <font>
      <sz val="12"/>
      <color indexed="81"/>
      <name val="Arial"/>
      <family val="2"/>
    </font>
    <font>
      <b/>
      <i/>
      <sz val="9"/>
      <color indexed="81"/>
      <name val="Tahoma"/>
      <family val="2"/>
    </font>
    <font>
      <vertAlign val="subscript"/>
      <sz val="11"/>
      <name val="Arial"/>
      <family val="2"/>
    </font>
    <font>
      <sz val="12"/>
      <color indexed="81"/>
      <name val="Symbol"/>
      <family val="1"/>
      <charset val="2"/>
    </font>
    <font>
      <vertAlign val="subscript"/>
      <sz val="12"/>
      <color indexed="81"/>
      <name val="Tahoma"/>
      <family val="2"/>
    </font>
    <font>
      <vertAlign val="subscript"/>
      <sz val="9"/>
      <name val="Arial"/>
      <family val="2"/>
    </font>
    <font>
      <vertAlign val="subscript"/>
      <sz val="9"/>
      <color indexed="81"/>
      <name val="Tahoma"/>
      <family val="2"/>
    </font>
    <font>
      <sz val="8"/>
      <color indexed="10"/>
      <name val="Tahoma"/>
      <family val="2"/>
    </font>
    <font>
      <sz val="11"/>
      <name val="Arial"/>
      <family val="2"/>
    </font>
    <font>
      <i/>
      <sz val="9"/>
      <color indexed="12"/>
      <name val="Arial"/>
      <family val="2"/>
    </font>
    <font>
      <vertAlign val="superscript"/>
      <sz val="10"/>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indexed="41"/>
        <bgColor indexed="64"/>
      </patternFill>
    </fill>
    <fill>
      <patternFill patternType="solid">
        <fgColor indexed="45"/>
        <bgColor indexed="64"/>
      </patternFill>
    </fill>
    <fill>
      <patternFill patternType="solid">
        <fgColor indexed="47"/>
        <bgColor indexed="64"/>
      </patternFill>
    </fill>
    <fill>
      <patternFill patternType="solid">
        <fgColor indexed="10"/>
        <bgColor indexed="64"/>
      </patternFill>
    </fill>
    <fill>
      <patternFill patternType="solid">
        <fgColor indexed="22"/>
        <bgColor indexed="64"/>
      </patternFill>
    </fill>
    <fill>
      <patternFill patternType="solid">
        <fgColor indexed="51"/>
        <bgColor indexed="64"/>
      </patternFill>
    </fill>
    <fill>
      <patternFill patternType="solid">
        <fgColor indexed="15"/>
        <bgColor indexed="64"/>
      </patternFill>
    </fill>
    <fill>
      <patternFill patternType="solid">
        <fgColor indexed="11"/>
        <bgColor indexed="64"/>
      </patternFill>
    </fill>
    <fill>
      <patternFill patternType="solid">
        <fgColor indexed="13"/>
        <bgColor indexed="64"/>
      </patternFill>
    </fill>
    <fill>
      <patternFill patternType="solid">
        <fgColor indexed="44"/>
        <bgColor indexed="64"/>
      </patternFill>
    </fill>
    <fill>
      <patternFill patternType="solid">
        <fgColor indexed="46"/>
        <bgColor indexed="64"/>
      </patternFill>
    </fill>
    <fill>
      <patternFill patternType="solid">
        <fgColor indexed="52"/>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22"/>
      </bottom>
      <diagonal/>
    </border>
    <border>
      <left style="thin">
        <color indexed="64"/>
      </left>
      <right style="thin">
        <color indexed="64"/>
      </right>
      <top/>
      <bottom style="thin">
        <color indexed="22"/>
      </bottom>
      <diagonal/>
    </border>
    <border>
      <left style="thin">
        <color indexed="64"/>
      </left>
      <right/>
      <top style="thin">
        <color indexed="22"/>
      </top>
      <bottom style="thin">
        <color indexed="22"/>
      </bottom>
      <diagonal/>
    </border>
    <border>
      <left style="thin">
        <color indexed="64"/>
      </left>
      <right style="thin">
        <color indexed="64"/>
      </right>
      <top style="thin">
        <color indexed="22"/>
      </top>
      <bottom style="thin">
        <color indexed="22"/>
      </bottom>
      <diagonal/>
    </border>
    <border>
      <left/>
      <right/>
      <top style="thin">
        <color indexed="22"/>
      </top>
      <bottom style="thin">
        <color indexed="22"/>
      </bottom>
      <diagonal/>
    </border>
    <border>
      <left/>
      <right style="thin">
        <color indexed="64"/>
      </right>
      <top style="thin">
        <color indexed="22"/>
      </top>
      <bottom style="thin">
        <color indexed="22"/>
      </bottom>
      <diagonal/>
    </border>
    <border>
      <left style="thin">
        <color indexed="64"/>
      </left>
      <right/>
      <top/>
      <bottom style="thin">
        <color indexed="22"/>
      </bottom>
      <diagonal/>
    </border>
    <border>
      <left style="thick">
        <color indexed="53"/>
      </left>
      <right style="thick">
        <color indexed="53"/>
      </right>
      <top style="thin">
        <color indexed="64"/>
      </top>
      <bottom style="thin">
        <color indexed="64"/>
      </bottom>
      <diagonal/>
    </border>
    <border>
      <left style="thick">
        <color indexed="53"/>
      </left>
      <right style="thick">
        <color indexed="53"/>
      </right>
      <top/>
      <bottom style="thick">
        <color indexed="53"/>
      </bottom>
      <diagonal/>
    </border>
    <border>
      <left/>
      <right/>
      <top style="thick">
        <color indexed="61"/>
      </top>
      <bottom/>
      <diagonal/>
    </border>
    <border>
      <left/>
      <right style="thick">
        <color indexed="61"/>
      </right>
      <top style="thick">
        <color indexed="61"/>
      </top>
      <bottom/>
      <diagonal/>
    </border>
    <border>
      <left/>
      <right style="thick">
        <color indexed="61"/>
      </right>
      <top/>
      <bottom/>
      <diagonal/>
    </border>
    <border>
      <left/>
      <right style="thick">
        <color indexed="61"/>
      </right>
      <top/>
      <bottom style="thick">
        <color indexed="61"/>
      </bottom>
      <diagonal/>
    </border>
    <border>
      <left/>
      <right style="thick">
        <color indexed="53"/>
      </right>
      <top/>
      <bottom/>
      <diagonal/>
    </border>
    <border>
      <left style="thick">
        <color indexed="53"/>
      </left>
      <right style="thick">
        <color indexed="53"/>
      </right>
      <top/>
      <bottom/>
      <diagonal/>
    </border>
    <border>
      <left/>
      <right style="thick">
        <color indexed="53"/>
      </right>
      <top style="thick">
        <color indexed="53"/>
      </top>
      <bottom/>
      <diagonal/>
    </border>
    <border>
      <left style="thick">
        <color indexed="53"/>
      </left>
      <right/>
      <top style="thick">
        <color indexed="53"/>
      </top>
      <bottom/>
      <diagonal/>
    </border>
    <border>
      <left/>
      <right/>
      <top/>
      <bottom style="thick">
        <color indexed="61"/>
      </bottom>
      <diagonal/>
    </border>
    <border>
      <left/>
      <right/>
      <top/>
      <bottom style="medium">
        <color indexed="64"/>
      </bottom>
      <diagonal/>
    </border>
    <border>
      <left style="thin">
        <color indexed="64"/>
      </left>
      <right style="thin">
        <color indexed="64"/>
      </right>
      <top style="thin">
        <color indexed="64"/>
      </top>
      <bottom style="thin">
        <color indexed="22"/>
      </bottom>
      <diagonal/>
    </border>
    <border>
      <left/>
      <right style="thin">
        <color indexed="22"/>
      </right>
      <top/>
      <bottom/>
      <diagonal/>
    </border>
    <border>
      <left style="thick">
        <color indexed="53"/>
      </left>
      <right style="thick">
        <color indexed="53"/>
      </right>
      <top style="thin">
        <color indexed="64"/>
      </top>
      <bottom/>
      <diagonal/>
    </border>
    <border>
      <left style="thick">
        <color indexed="53"/>
      </left>
      <right style="thick">
        <color indexed="53"/>
      </right>
      <top style="thick">
        <color indexed="61"/>
      </top>
      <bottom style="thin">
        <color indexed="64"/>
      </bottom>
      <diagonal/>
    </border>
    <border>
      <left style="thick">
        <color indexed="53"/>
      </left>
      <right style="thick">
        <color indexed="53"/>
      </right>
      <top style="thin">
        <color indexed="22"/>
      </top>
      <bottom style="thin">
        <color indexed="22"/>
      </bottom>
      <diagonal/>
    </border>
    <border>
      <left style="thick">
        <color indexed="53"/>
      </left>
      <right style="thick">
        <color indexed="53"/>
      </right>
      <top/>
      <bottom style="thin">
        <color indexed="22"/>
      </bottom>
      <diagonal/>
    </border>
    <border>
      <left style="thick">
        <color indexed="53"/>
      </left>
      <right style="thick">
        <color indexed="53"/>
      </right>
      <top/>
      <bottom style="thick">
        <color indexed="61"/>
      </bottom>
      <diagonal/>
    </border>
    <border>
      <left/>
      <right/>
      <top style="thin">
        <color indexed="64"/>
      </top>
      <bottom style="thin">
        <color indexed="22"/>
      </bottom>
      <diagonal/>
    </border>
    <border>
      <left style="thin">
        <color indexed="64"/>
      </left>
      <right style="thin">
        <color indexed="22"/>
      </right>
      <top/>
      <bottom style="thin">
        <color indexed="64"/>
      </bottom>
      <diagonal/>
    </border>
    <border>
      <left style="thin">
        <color indexed="22"/>
      </left>
      <right style="thin">
        <color indexed="64"/>
      </right>
      <top/>
      <bottom style="thin">
        <color indexed="64"/>
      </bottom>
      <diagonal/>
    </border>
    <border>
      <left style="thin">
        <color indexed="64"/>
      </left>
      <right style="thin">
        <color indexed="22"/>
      </right>
      <top style="thin">
        <color indexed="64"/>
      </top>
      <bottom style="thin">
        <color indexed="64"/>
      </bottom>
      <diagonal/>
    </border>
    <border>
      <left style="thin">
        <color indexed="22"/>
      </left>
      <right style="thin">
        <color indexed="64"/>
      </right>
      <top style="thin">
        <color indexed="64"/>
      </top>
      <bottom style="thin">
        <color indexed="64"/>
      </bottom>
      <diagonal/>
    </border>
    <border>
      <left style="thin">
        <color indexed="22"/>
      </left>
      <right/>
      <top/>
      <bottom style="thin">
        <color indexed="64"/>
      </bottom>
      <diagonal/>
    </border>
    <border>
      <left style="thin">
        <color indexed="22"/>
      </left>
      <right/>
      <top style="thin">
        <color indexed="64"/>
      </top>
      <bottom style="thin">
        <color indexed="64"/>
      </bottom>
      <diagonal/>
    </border>
    <border>
      <left/>
      <right style="thin">
        <color indexed="22"/>
      </right>
      <top/>
      <bottom style="thin">
        <color indexed="22"/>
      </bottom>
      <diagonal/>
    </border>
    <border>
      <left style="thin">
        <color indexed="22"/>
      </left>
      <right/>
      <top style="thin">
        <color indexed="22"/>
      </top>
      <bottom/>
      <diagonal/>
    </border>
    <border>
      <left/>
      <right style="thin">
        <color indexed="22"/>
      </right>
      <top style="thin">
        <color indexed="22"/>
      </top>
      <bottom/>
      <diagonal/>
    </border>
    <border>
      <left style="thick">
        <color indexed="61"/>
      </left>
      <right/>
      <top style="thick">
        <color indexed="61"/>
      </top>
      <bottom/>
      <diagonal/>
    </border>
    <border>
      <left style="thick">
        <color indexed="61"/>
      </left>
      <right/>
      <top/>
      <bottom/>
      <diagonal/>
    </border>
    <border>
      <left style="thick">
        <color indexed="61"/>
      </left>
      <right/>
      <top/>
      <bottom style="thick">
        <color indexed="61"/>
      </bottom>
      <diagonal/>
    </border>
  </borders>
  <cellStyleXfs count="42">
    <xf numFmtId="0" fontId="0" fillId="0" borderId="0"/>
    <xf numFmtId="0" fontId="6" fillId="2"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10" fillId="3" borderId="0" applyNumberFormat="0" applyBorder="0" applyAlignment="0" applyProtection="0"/>
    <xf numFmtId="0" fontId="11" fillId="20" borderId="1" applyNumberFormat="0" applyAlignment="0" applyProtection="0"/>
    <xf numFmtId="0" fontId="12" fillId="21" borderId="2" applyNumberFormat="0" applyAlignment="0" applyProtection="0"/>
    <xf numFmtId="0" fontId="14" fillId="0" borderId="0" applyNumberFormat="0" applyFill="0" applyBorder="0" applyAlignment="0" applyProtection="0"/>
    <xf numFmtId="0" fontId="15" fillId="4" borderId="0" applyNumberFormat="0" applyBorder="0" applyAlignment="0" applyProtection="0"/>
    <xf numFmtId="0" fontId="16" fillId="0" borderId="3" applyNumberFormat="0" applyFill="0" applyAlignment="0" applyProtection="0"/>
    <xf numFmtId="0" fontId="17" fillId="0" borderId="4" applyNumberFormat="0" applyFill="0" applyAlignment="0" applyProtection="0"/>
    <xf numFmtId="0" fontId="18" fillId="0" borderId="5" applyNumberFormat="0" applyFill="0" applyAlignment="0" applyProtection="0"/>
    <xf numFmtId="0" fontId="18" fillId="0" borderId="0" applyNumberFormat="0" applyFill="0" applyBorder="0" applyAlignment="0" applyProtection="0"/>
    <xf numFmtId="0" fontId="19" fillId="7" borderId="1" applyNumberFormat="0" applyAlignment="0" applyProtection="0"/>
    <xf numFmtId="0" fontId="20" fillId="0" borderId="6" applyNumberFormat="0" applyFill="0" applyAlignment="0" applyProtection="0"/>
    <xf numFmtId="0" fontId="21" fillId="22" borderId="0" applyNumberFormat="0" applyBorder="0" applyAlignment="0" applyProtection="0"/>
    <xf numFmtId="0" fontId="13" fillId="23" borderId="7" applyNumberFormat="0" applyFont="0" applyAlignment="0" applyProtection="0"/>
    <xf numFmtId="0" fontId="22" fillId="20" borderId="8" applyNumberFormat="0" applyAlignment="0" applyProtection="0"/>
    <xf numFmtId="0" fontId="23" fillId="0" borderId="0" applyNumberFormat="0" applyFill="0" applyBorder="0" applyAlignment="0" applyProtection="0"/>
    <xf numFmtId="0" fontId="24" fillId="0" borderId="9" applyNumberFormat="0" applyFill="0" applyAlignment="0" applyProtection="0"/>
    <xf numFmtId="0" fontId="25" fillId="0" borderId="0" applyNumberFormat="0" applyFill="0" applyBorder="0" applyAlignment="0" applyProtection="0"/>
  </cellStyleXfs>
  <cellXfs count="1345">
    <xf numFmtId="0" fontId="0" fillId="0" borderId="0" xfId="0"/>
    <xf numFmtId="0" fontId="26" fillId="0" borderId="0" xfId="0" applyFont="1"/>
    <xf numFmtId="0" fontId="27" fillId="0" borderId="0" xfId="0" applyFont="1" applyAlignment="1">
      <alignment horizontal="left"/>
    </xf>
    <xf numFmtId="0" fontId="28" fillId="0" borderId="0" xfId="0" applyFont="1"/>
    <xf numFmtId="0" fontId="29" fillId="0" borderId="0" xfId="0" applyFont="1"/>
    <xf numFmtId="0" fontId="30" fillId="0" borderId="0" xfId="0" applyFont="1"/>
    <xf numFmtId="0" fontId="31" fillId="0" borderId="0" xfId="0" applyFont="1" applyAlignment="1">
      <alignment horizontal="right"/>
    </xf>
    <xf numFmtId="0" fontId="31" fillId="0" borderId="0" xfId="0" applyFont="1"/>
    <xf numFmtId="0" fontId="30" fillId="24" borderId="10" xfId="0" applyFont="1" applyFill="1" applyBorder="1"/>
    <xf numFmtId="0" fontId="30" fillId="24" borderId="11" xfId="0" applyFont="1" applyFill="1" applyBorder="1"/>
    <xf numFmtId="0" fontId="30" fillId="24" borderId="12" xfId="0" applyFont="1" applyFill="1" applyBorder="1"/>
    <xf numFmtId="0" fontId="5" fillId="24" borderId="13" xfId="0" applyFont="1" applyFill="1" applyBorder="1"/>
    <xf numFmtId="0" fontId="30" fillId="24" borderId="0" xfId="0" applyFont="1" applyFill="1" applyBorder="1"/>
    <xf numFmtId="0" fontId="30" fillId="24" borderId="14" xfId="0" applyFont="1" applyFill="1" applyBorder="1"/>
    <xf numFmtId="0" fontId="30" fillId="0" borderId="0" xfId="0" applyFont="1" applyFill="1"/>
    <xf numFmtId="0" fontId="5" fillId="24" borderId="15" xfId="0" applyFont="1" applyFill="1" applyBorder="1"/>
    <xf numFmtId="0" fontId="30" fillId="24" borderId="16" xfId="0" applyFont="1" applyFill="1" applyBorder="1"/>
    <xf numFmtId="0" fontId="30" fillId="24" borderId="17" xfId="0" applyFont="1" applyFill="1" applyBorder="1"/>
    <xf numFmtId="0" fontId="5" fillId="0" borderId="0" xfId="0" applyFont="1" applyFill="1" applyBorder="1"/>
    <xf numFmtId="0" fontId="30" fillId="0" borderId="0" xfId="0" applyFont="1" applyFill="1" applyBorder="1"/>
    <xf numFmtId="0" fontId="5" fillId="0" borderId="0" xfId="0" applyFont="1"/>
    <xf numFmtId="0" fontId="30" fillId="25" borderId="0" xfId="0" applyFont="1" applyFill="1"/>
    <xf numFmtId="0" fontId="34" fillId="0" borderId="0" xfId="0" applyFont="1"/>
    <xf numFmtId="0" fontId="30" fillId="24" borderId="0" xfId="0" applyFont="1" applyFill="1"/>
    <xf numFmtId="0" fontId="8" fillId="0" borderId="0" xfId="0" applyFont="1"/>
    <xf numFmtId="0" fontId="31" fillId="0" borderId="0" xfId="0" applyFont="1" applyAlignment="1"/>
    <xf numFmtId="0" fontId="35" fillId="0" borderId="0" xfId="0" applyFont="1"/>
    <xf numFmtId="0" fontId="39" fillId="24" borderId="11" xfId="0" applyFont="1" applyFill="1" applyBorder="1"/>
    <xf numFmtId="0" fontId="39" fillId="24" borderId="11" xfId="0" applyFont="1" applyFill="1" applyBorder="1" applyAlignment="1">
      <alignment horizontal="right"/>
    </xf>
    <xf numFmtId="0" fontId="5" fillId="24" borderId="10" xfId="0" applyFont="1" applyFill="1" applyBorder="1" applyAlignment="1">
      <alignment horizontal="center"/>
    </xf>
    <xf numFmtId="0" fontId="5" fillId="26" borderId="10" xfId="0" applyFont="1" applyFill="1" applyBorder="1" applyAlignment="1">
      <alignment horizontal="center"/>
    </xf>
    <xf numFmtId="0" fontId="5" fillId="27" borderId="10" xfId="0" applyFont="1" applyFill="1" applyBorder="1" applyAlignment="1">
      <alignment horizontal="center"/>
    </xf>
    <xf numFmtId="0" fontId="31" fillId="0" borderId="0" xfId="0" applyFont="1" applyAlignment="1">
      <alignment vertical="center"/>
    </xf>
    <xf numFmtId="0" fontId="39" fillId="24" borderId="12" xfId="0" applyFont="1" applyFill="1" applyBorder="1"/>
    <xf numFmtId="0" fontId="5" fillId="28" borderId="10" xfId="0" applyFont="1" applyFill="1" applyBorder="1" applyAlignment="1">
      <alignment horizontal="center"/>
    </xf>
    <xf numFmtId="0" fontId="38" fillId="0" borderId="0" xfId="0" applyFont="1" applyAlignment="1">
      <alignment horizontal="right"/>
    </xf>
    <xf numFmtId="0" fontId="0" fillId="29" borderId="16" xfId="0" applyFill="1" applyBorder="1"/>
    <xf numFmtId="0" fontId="39" fillId="30" borderId="0" xfId="0" applyFont="1" applyFill="1" applyProtection="1"/>
    <xf numFmtId="0" fontId="31" fillId="0" borderId="0" xfId="0" applyFont="1" applyFill="1"/>
    <xf numFmtId="0" fontId="5" fillId="0" borderId="0" xfId="0" applyFont="1" applyFill="1"/>
    <xf numFmtId="0" fontId="30" fillId="0" borderId="0" xfId="0" applyFont="1" applyAlignment="1"/>
    <xf numFmtId="0" fontId="30" fillId="24" borderId="0" xfId="0" applyFont="1" applyFill="1" applyAlignment="1"/>
    <xf numFmtId="0" fontId="48" fillId="0" borderId="0" xfId="0" applyFont="1"/>
    <xf numFmtId="0" fontId="30" fillId="0" borderId="0" xfId="0" applyFont="1" applyProtection="1"/>
    <xf numFmtId="0" fontId="40" fillId="0" borderId="0" xfId="0" applyFont="1" applyAlignment="1" applyProtection="1">
      <alignment horizontal="left" vertical="top"/>
    </xf>
    <xf numFmtId="0" fontId="40" fillId="0" borderId="0" xfId="0" applyFont="1" applyAlignment="1" applyProtection="1">
      <alignment horizontal="right"/>
    </xf>
    <xf numFmtId="0" fontId="30" fillId="0" borderId="0" xfId="0" applyFont="1" applyAlignment="1" applyProtection="1">
      <alignment horizontal="left" vertical="center"/>
    </xf>
    <xf numFmtId="0" fontId="30" fillId="0" borderId="0" xfId="0" applyFont="1" applyFill="1" applyProtection="1"/>
    <xf numFmtId="0" fontId="30" fillId="0" borderId="0" xfId="0" applyFont="1" applyBorder="1" applyProtection="1"/>
    <xf numFmtId="0" fontId="30" fillId="0" borderId="0" xfId="0" applyFont="1" applyAlignment="1" applyProtection="1">
      <alignment horizontal="center"/>
    </xf>
    <xf numFmtId="0" fontId="30" fillId="0" borderId="0" xfId="0" applyFont="1" applyFill="1" applyBorder="1" applyProtection="1"/>
    <xf numFmtId="0" fontId="30" fillId="0" borderId="0" xfId="0" applyNumberFormat="1" applyFont="1" applyProtection="1"/>
    <xf numFmtId="0" fontId="30" fillId="0" borderId="18" xfId="0" applyFont="1" applyBorder="1" applyProtection="1"/>
    <xf numFmtId="0" fontId="30" fillId="0" borderId="0" xfId="0" applyFont="1" applyAlignment="1" applyProtection="1">
      <alignment horizontal="right"/>
    </xf>
    <xf numFmtId="0" fontId="30" fillId="0" borderId="0" xfId="0" applyFont="1" applyBorder="1" applyAlignment="1" applyProtection="1">
      <alignment horizontal="center"/>
    </xf>
    <xf numFmtId="0" fontId="30" fillId="0" borderId="0" xfId="0" applyFont="1" applyFill="1" applyBorder="1" applyAlignment="1" applyProtection="1">
      <alignment horizontal="right"/>
    </xf>
    <xf numFmtId="0" fontId="30" fillId="0" borderId="0" xfId="0" applyFont="1" applyFill="1" applyBorder="1" applyAlignment="1" applyProtection="1">
      <alignment horizontal="center"/>
    </xf>
    <xf numFmtId="166" fontId="30" fillId="0" borderId="0" xfId="0" applyNumberFormat="1" applyFont="1" applyFill="1" applyBorder="1" applyProtection="1"/>
    <xf numFmtId="0" fontId="30" fillId="0" borderId="0" xfId="0" applyFont="1" applyAlignment="1">
      <alignment horizontal="center"/>
    </xf>
    <xf numFmtId="0" fontId="31" fillId="0" borderId="0" xfId="0" applyFont="1" applyBorder="1" applyAlignment="1" applyProtection="1">
      <alignment horizontal="center"/>
    </xf>
    <xf numFmtId="166" fontId="30" fillId="0" borderId="0" xfId="0" applyNumberFormat="1" applyFont="1" applyProtection="1"/>
    <xf numFmtId="0" fontId="30" fillId="0" borderId="0" xfId="0" applyFont="1" applyFill="1" applyAlignment="1" applyProtection="1">
      <alignment horizontal="center"/>
    </xf>
    <xf numFmtId="0" fontId="30" fillId="0" borderId="0" xfId="0" applyFont="1" applyAlignment="1">
      <alignment horizontal="right"/>
    </xf>
    <xf numFmtId="0" fontId="8" fillId="0" borderId="0" xfId="0" applyFont="1" applyAlignment="1">
      <alignment horizontal="right" vertical="center"/>
    </xf>
    <xf numFmtId="0" fontId="49" fillId="0" borderId="0" xfId="0" applyFont="1" applyAlignment="1">
      <alignment horizontal="right" vertical="center"/>
    </xf>
    <xf numFmtId="0" fontId="30" fillId="0" borderId="10" xfId="0" applyFont="1" applyBorder="1"/>
    <xf numFmtId="0" fontId="30" fillId="0" borderId="11" xfId="0" applyFont="1" applyBorder="1"/>
    <xf numFmtId="0" fontId="30" fillId="0" borderId="13" xfId="0" applyFont="1" applyBorder="1"/>
    <xf numFmtId="0" fontId="30" fillId="0" borderId="0" xfId="0" applyFont="1" applyBorder="1"/>
    <xf numFmtId="0" fontId="30" fillId="0" borderId="15" xfId="0" applyFont="1" applyBorder="1"/>
    <xf numFmtId="0" fontId="30" fillId="0" borderId="16" xfId="0" applyFont="1" applyBorder="1"/>
    <xf numFmtId="0" fontId="30" fillId="0" borderId="19" xfId="0" applyFont="1" applyBorder="1"/>
    <xf numFmtId="0" fontId="30" fillId="0" borderId="20" xfId="0" applyFont="1" applyBorder="1"/>
    <xf numFmtId="0" fontId="30" fillId="0" borderId="21" xfId="0" applyFont="1" applyBorder="1"/>
    <xf numFmtId="0" fontId="45" fillId="0" borderId="0" xfId="0" applyFont="1" applyBorder="1"/>
    <xf numFmtId="0" fontId="45" fillId="0" borderId="16" xfId="0" applyFont="1" applyBorder="1"/>
    <xf numFmtId="0" fontId="45" fillId="0" borderId="0" xfId="0" applyFont="1" applyAlignment="1">
      <alignment horizontal="center"/>
    </xf>
    <xf numFmtId="0" fontId="45" fillId="0" borderId="0" xfId="0" applyFont="1"/>
    <xf numFmtId="0" fontId="50" fillId="0" borderId="0" xfId="0" applyFont="1" applyAlignment="1">
      <alignment horizontal="center" vertical="top"/>
    </xf>
    <xf numFmtId="0" fontId="30" fillId="0" borderId="0" xfId="0" applyFont="1" applyAlignment="1">
      <alignment horizontal="left"/>
    </xf>
    <xf numFmtId="0" fontId="8" fillId="0" borderId="0" xfId="0" quotePrefix="1" applyFont="1"/>
    <xf numFmtId="0" fontId="45" fillId="0" borderId="0" xfId="0" applyFont="1" applyAlignment="1">
      <alignment horizontal="right"/>
    </xf>
    <xf numFmtId="1" fontId="30" fillId="0" borderId="0" xfId="0" applyNumberFormat="1" applyFont="1"/>
    <xf numFmtId="1" fontId="30" fillId="0" borderId="0" xfId="0" applyNumberFormat="1" applyFont="1" applyProtection="1"/>
    <xf numFmtId="1" fontId="30" fillId="0" borderId="0" xfId="0" applyNumberFormat="1" applyFont="1" applyAlignment="1">
      <alignment horizontal="left"/>
    </xf>
    <xf numFmtId="0" fontId="30" fillId="24" borderId="15" xfId="0" applyFont="1" applyFill="1" applyBorder="1"/>
    <xf numFmtId="0" fontId="30" fillId="27" borderId="13" xfId="0" applyFont="1" applyFill="1" applyBorder="1"/>
    <xf numFmtId="0" fontId="30" fillId="24" borderId="13" xfId="0" applyFont="1" applyFill="1" applyBorder="1"/>
    <xf numFmtId="0" fontId="30" fillId="24" borderId="20" xfId="0" applyFont="1" applyFill="1" applyBorder="1"/>
    <xf numFmtId="0" fontId="30" fillId="24" borderId="16" xfId="0" applyFont="1" applyFill="1" applyBorder="1" applyProtection="1"/>
    <xf numFmtId="0" fontId="30" fillId="24" borderId="15" xfId="0" applyFont="1" applyFill="1" applyBorder="1" applyProtection="1"/>
    <xf numFmtId="0" fontId="30" fillId="0" borderId="14" xfId="0" applyFont="1" applyBorder="1"/>
    <xf numFmtId="0" fontId="30" fillId="0" borderId="13" xfId="0" applyFont="1" applyBorder="1" applyProtection="1"/>
    <xf numFmtId="0" fontId="30" fillId="0" borderId="12" xfId="0" applyFont="1" applyBorder="1"/>
    <xf numFmtId="0" fontId="30" fillId="29" borderId="0" xfId="0" applyFont="1" applyFill="1"/>
    <xf numFmtId="0" fontId="30" fillId="0" borderId="0" xfId="0" applyFont="1" applyProtection="1">
      <protection locked="0"/>
    </xf>
    <xf numFmtId="0" fontId="52" fillId="0" borderId="0" xfId="0" applyFont="1"/>
    <xf numFmtId="0" fontId="30" fillId="0" borderId="17" xfId="0" applyFont="1" applyBorder="1"/>
    <xf numFmtId="0" fontId="30" fillId="0" borderId="22" xfId="0" applyFont="1" applyBorder="1" applyAlignment="1" applyProtection="1">
      <alignment horizontal="left"/>
      <protection locked="0"/>
    </xf>
    <xf numFmtId="0" fontId="30" fillId="0" borderId="23" xfId="0" applyFont="1" applyBorder="1" applyProtection="1">
      <protection locked="0"/>
    </xf>
    <xf numFmtId="0" fontId="30" fillId="29" borderId="0" xfId="0" applyFont="1" applyFill="1" applyBorder="1"/>
    <xf numFmtId="0" fontId="30" fillId="29" borderId="16" xfId="0" applyFont="1" applyFill="1" applyBorder="1"/>
    <xf numFmtId="0" fontId="43" fillId="24" borderId="14" xfId="0" applyFont="1" applyFill="1" applyBorder="1" applyAlignment="1">
      <alignment horizontal="right" vertical="center"/>
    </xf>
    <xf numFmtId="0" fontId="8" fillId="24" borderId="14" xfId="0" applyFont="1" applyFill="1" applyBorder="1" applyAlignment="1">
      <alignment horizontal="right" vertical="center"/>
    </xf>
    <xf numFmtId="0" fontId="43" fillId="24" borderId="16" xfId="0" applyFont="1" applyFill="1" applyBorder="1" applyAlignment="1">
      <alignment horizontal="right" vertical="center"/>
    </xf>
    <xf numFmtId="0" fontId="30" fillId="0" borderId="19" xfId="0" applyFont="1" applyBorder="1" applyProtection="1">
      <protection locked="0"/>
    </xf>
    <xf numFmtId="0" fontId="30" fillId="0" borderId="20" xfId="0" applyFont="1" applyBorder="1" applyProtection="1">
      <protection locked="0"/>
    </xf>
    <xf numFmtId="0" fontId="30" fillId="0" borderId="0" xfId="0" applyFont="1" applyBorder="1" applyProtection="1">
      <protection locked="0"/>
    </xf>
    <xf numFmtId="0" fontId="8" fillId="0" borderId="0" xfId="0" applyFont="1" applyBorder="1" applyAlignment="1">
      <alignment horizontal="right" vertical="center"/>
    </xf>
    <xf numFmtId="0" fontId="30" fillId="0" borderId="0" xfId="0" applyFont="1" applyBorder="1" applyAlignment="1">
      <alignment horizontal="right"/>
    </xf>
    <xf numFmtId="0" fontId="30" fillId="0" borderId="21" xfId="0" applyFont="1" applyBorder="1" applyProtection="1">
      <protection locked="0"/>
    </xf>
    <xf numFmtId="0" fontId="45" fillId="0" borderId="19" xfId="0" applyFont="1" applyBorder="1" applyAlignment="1">
      <alignment horizontal="center"/>
    </xf>
    <xf numFmtId="0" fontId="30" fillId="0" borderId="19" xfId="0" applyFont="1" applyBorder="1" applyAlignment="1">
      <alignment horizontal="center"/>
    </xf>
    <xf numFmtId="0" fontId="45" fillId="0" borderId="0" xfId="0" applyFont="1" applyFill="1" applyBorder="1"/>
    <xf numFmtId="0" fontId="30" fillId="0" borderId="10" xfId="0" applyFont="1" applyBorder="1" applyAlignment="1">
      <alignment horizontal="right"/>
    </xf>
    <xf numFmtId="0" fontId="30" fillId="0" borderId="15" xfId="0" applyFont="1" applyBorder="1" applyAlignment="1">
      <alignment horizontal="right"/>
    </xf>
    <xf numFmtId="0" fontId="30" fillId="26" borderId="11" xfId="0" applyFont="1" applyFill="1" applyBorder="1"/>
    <xf numFmtId="0" fontId="30" fillId="26" borderId="13" xfId="0" applyFont="1" applyFill="1" applyBorder="1"/>
    <xf numFmtId="0" fontId="30" fillId="26" borderId="0" xfId="0" applyFont="1" applyFill="1" applyBorder="1"/>
    <xf numFmtId="0" fontId="53" fillId="26" borderId="0" xfId="0" applyFont="1" applyFill="1" applyBorder="1" applyAlignment="1">
      <alignment horizontal="center" vertical="center"/>
    </xf>
    <xf numFmtId="0" fontId="31" fillId="26" borderId="0" xfId="0" applyFont="1" applyFill="1" applyBorder="1" applyAlignment="1">
      <alignment horizontal="center"/>
    </xf>
    <xf numFmtId="0" fontId="31" fillId="26" borderId="13" xfId="0" applyFont="1" applyFill="1" applyBorder="1" applyAlignment="1">
      <alignment horizontal="right"/>
    </xf>
    <xf numFmtId="0" fontId="31" fillId="26" borderId="0" xfId="0" applyFont="1" applyFill="1" applyBorder="1" applyAlignment="1">
      <alignment horizontal="left"/>
    </xf>
    <xf numFmtId="0" fontId="5" fillId="26" borderId="0" xfId="0" applyFont="1" applyFill="1" applyBorder="1" applyAlignment="1">
      <alignment horizontal="center"/>
    </xf>
    <xf numFmtId="0" fontId="30" fillId="26" borderId="14" xfId="0" applyFont="1" applyFill="1" applyBorder="1"/>
    <xf numFmtId="0" fontId="30" fillId="29" borderId="11" xfId="0" applyFont="1" applyFill="1" applyBorder="1"/>
    <xf numFmtId="0" fontId="30" fillId="29" borderId="12" xfId="0" applyFont="1" applyFill="1" applyBorder="1"/>
    <xf numFmtId="0" fontId="30" fillId="29" borderId="15" xfId="0" applyFont="1" applyFill="1" applyBorder="1"/>
    <xf numFmtId="0" fontId="30" fillId="29" borderId="17" xfId="0" applyFont="1" applyFill="1" applyBorder="1"/>
    <xf numFmtId="0" fontId="30" fillId="24" borderId="0" xfId="0" applyFont="1" applyFill="1" applyBorder="1" applyAlignment="1">
      <alignment horizontal="right"/>
    </xf>
    <xf numFmtId="0" fontId="8" fillId="24" borderId="23" xfId="0" applyFont="1" applyFill="1" applyBorder="1" applyAlignment="1" applyProtection="1">
      <alignment horizontal="right"/>
    </xf>
    <xf numFmtId="0" fontId="0" fillId="24" borderId="11" xfId="0" applyFill="1" applyBorder="1"/>
    <xf numFmtId="0" fontId="0" fillId="24" borderId="24" xfId="0" applyFill="1" applyBorder="1"/>
    <xf numFmtId="0" fontId="30" fillId="24" borderId="11" xfId="0" applyFont="1" applyFill="1" applyBorder="1" applyProtection="1"/>
    <xf numFmtId="0" fontId="30" fillId="24" borderId="14" xfId="0" applyFont="1" applyFill="1" applyBorder="1" applyProtection="1"/>
    <xf numFmtId="0" fontId="30" fillId="24" borderId="24" xfId="0" applyFont="1" applyFill="1" applyBorder="1" applyAlignment="1">
      <alignment horizontal="center"/>
    </xf>
    <xf numFmtId="0" fontId="30" fillId="24" borderId="18" xfId="0" applyFont="1" applyFill="1" applyBorder="1" applyAlignment="1">
      <alignment horizontal="center"/>
    </xf>
    <xf numFmtId="0" fontId="30" fillId="24" borderId="13" xfId="0" applyFont="1" applyFill="1" applyBorder="1" applyProtection="1"/>
    <xf numFmtId="0" fontId="31" fillId="24" borderId="13" xfId="0" applyFont="1" applyFill="1" applyBorder="1"/>
    <xf numFmtId="0" fontId="54" fillId="29" borderId="0" xfId="0" applyFont="1" applyFill="1" applyBorder="1"/>
    <xf numFmtId="0" fontId="54" fillId="24" borderId="10" xfId="0" applyFont="1" applyFill="1" applyBorder="1"/>
    <xf numFmtId="0" fontId="54" fillId="24" borderId="13" xfId="0" applyFont="1" applyFill="1" applyBorder="1"/>
    <xf numFmtId="0" fontId="54" fillId="29" borderId="10" xfId="0" applyFont="1" applyFill="1" applyBorder="1"/>
    <xf numFmtId="0" fontId="54" fillId="26" borderId="10" xfId="0" applyFont="1" applyFill="1" applyBorder="1"/>
    <xf numFmtId="0" fontId="30" fillId="0" borderId="24" xfId="0" applyFont="1" applyBorder="1"/>
    <xf numFmtId="0" fontId="8" fillId="28" borderId="11" xfId="0" applyFont="1" applyFill="1" applyBorder="1" applyAlignment="1">
      <alignment horizontal="right" vertical="center"/>
    </xf>
    <xf numFmtId="0" fontId="30" fillId="28" borderId="24" xfId="0" applyFont="1" applyFill="1" applyBorder="1"/>
    <xf numFmtId="0" fontId="45" fillId="28" borderId="16" xfId="0" applyFont="1" applyFill="1" applyBorder="1"/>
    <xf numFmtId="0" fontId="30" fillId="28" borderId="15" xfId="0" applyFont="1" applyFill="1" applyBorder="1"/>
    <xf numFmtId="0" fontId="49" fillId="28" borderId="16" xfId="0" applyFont="1" applyFill="1" applyBorder="1" applyAlignment="1" applyProtection="1">
      <alignment horizontal="right" vertical="center"/>
    </xf>
    <xf numFmtId="0" fontId="45" fillId="0" borderId="25" xfId="0" applyFont="1" applyFill="1" applyBorder="1"/>
    <xf numFmtId="0" fontId="45" fillId="0" borderId="26" xfId="0" applyFont="1" applyFill="1" applyBorder="1"/>
    <xf numFmtId="0" fontId="45" fillId="0" borderId="13" xfId="0" applyFont="1" applyFill="1" applyBorder="1"/>
    <xf numFmtId="0" fontId="45" fillId="0" borderId="20" xfId="0" applyFont="1" applyFill="1" applyBorder="1"/>
    <xf numFmtId="0" fontId="45" fillId="0" borderId="27" xfId="0" applyFont="1" applyFill="1" applyBorder="1"/>
    <xf numFmtId="0" fontId="45" fillId="0" borderId="28" xfId="0" applyFont="1" applyFill="1" applyBorder="1"/>
    <xf numFmtId="0" fontId="45" fillId="0" borderId="29" xfId="0" applyFont="1" applyFill="1" applyBorder="1"/>
    <xf numFmtId="0" fontId="45" fillId="0" borderId="16" xfId="0" applyFont="1" applyFill="1" applyBorder="1"/>
    <xf numFmtId="0" fontId="45" fillId="0" borderId="21" xfId="0" applyFont="1" applyFill="1" applyBorder="1"/>
    <xf numFmtId="0" fontId="54" fillId="28" borderId="10" xfId="0" applyFont="1" applyFill="1" applyBorder="1"/>
    <xf numFmtId="0" fontId="30" fillId="24" borderId="16" xfId="0" applyFont="1" applyFill="1" applyBorder="1" applyAlignment="1">
      <alignment horizontal="center" vertical="center"/>
    </xf>
    <xf numFmtId="0" fontId="30" fillId="24" borderId="24" xfId="0" applyFont="1" applyFill="1" applyBorder="1" applyAlignment="1">
      <alignment horizontal="center" vertical="center"/>
    </xf>
    <xf numFmtId="0" fontId="30" fillId="27" borderId="15" xfId="0" applyFont="1" applyFill="1" applyBorder="1"/>
    <xf numFmtId="0" fontId="30" fillId="26" borderId="0" xfId="0" applyFont="1" applyFill="1"/>
    <xf numFmtId="0" fontId="31" fillId="26" borderId="0" xfId="0" applyFont="1" applyFill="1" applyBorder="1" applyAlignment="1">
      <alignment horizontal="left" vertical="center"/>
    </xf>
    <xf numFmtId="0" fontId="30" fillId="0" borderId="0" xfId="0" applyFont="1" applyFill="1" applyBorder="1" applyAlignment="1">
      <alignment vertical="center"/>
    </xf>
    <xf numFmtId="0" fontId="43" fillId="26" borderId="0" xfId="0" applyFont="1" applyFill="1" applyBorder="1" applyAlignment="1">
      <alignment horizontal="center"/>
    </xf>
    <xf numFmtId="0" fontId="1" fillId="26" borderId="0" xfId="0" applyFont="1" applyFill="1" applyBorder="1" applyAlignment="1">
      <alignment horizontal="center"/>
    </xf>
    <xf numFmtId="0" fontId="3" fillId="24" borderId="14" xfId="0" applyFont="1" applyFill="1" applyBorder="1" applyAlignment="1">
      <alignment horizontal="right" vertical="center"/>
    </xf>
    <xf numFmtId="0" fontId="54" fillId="0" borderId="0" xfId="0" applyFont="1" applyFill="1" applyBorder="1" applyAlignment="1">
      <alignment vertical="center"/>
    </xf>
    <xf numFmtId="0" fontId="30" fillId="0" borderId="0" xfId="0" applyFont="1" applyFill="1" applyBorder="1" applyProtection="1">
      <protection locked="0"/>
    </xf>
    <xf numFmtId="0" fontId="30" fillId="0" borderId="19" xfId="0" applyFont="1" applyFill="1" applyBorder="1" applyProtection="1">
      <protection locked="0"/>
    </xf>
    <xf numFmtId="0" fontId="30" fillId="0" borderId="27" xfId="0" applyFont="1" applyFill="1" applyBorder="1" applyProtection="1">
      <protection locked="0"/>
    </xf>
    <xf numFmtId="0" fontId="30" fillId="0" borderId="28" xfId="0" applyFont="1" applyFill="1" applyBorder="1" applyProtection="1">
      <protection locked="0"/>
    </xf>
    <xf numFmtId="0" fontId="30" fillId="0" borderId="29" xfId="0" applyFont="1" applyFill="1" applyBorder="1" applyProtection="1">
      <protection locked="0"/>
    </xf>
    <xf numFmtId="0" fontId="30" fillId="0" borderId="30" xfId="0" applyFont="1" applyFill="1" applyBorder="1" applyProtection="1">
      <protection locked="0"/>
    </xf>
    <xf numFmtId="0" fontId="30" fillId="0" borderId="15" xfId="0" applyFont="1" applyFill="1" applyBorder="1" applyProtection="1">
      <protection locked="0"/>
    </xf>
    <xf numFmtId="0" fontId="30" fillId="0" borderId="21" xfId="0" applyFont="1" applyFill="1" applyBorder="1" applyProtection="1">
      <protection locked="0"/>
    </xf>
    <xf numFmtId="0" fontId="30" fillId="0" borderId="16" xfId="0" applyFont="1" applyFill="1" applyBorder="1" applyProtection="1">
      <protection locked="0"/>
    </xf>
    <xf numFmtId="0" fontId="5" fillId="26" borderId="0" xfId="0" applyFont="1" applyFill="1" applyBorder="1" applyAlignment="1">
      <alignment horizontal="left"/>
    </xf>
    <xf numFmtId="0" fontId="30" fillId="26" borderId="0" xfId="0" applyFont="1" applyFill="1" applyBorder="1" applyAlignment="1">
      <alignment horizontal="center"/>
    </xf>
    <xf numFmtId="0" fontId="30" fillId="0" borderId="0" xfId="0" applyFont="1" applyBorder="1" applyAlignment="1">
      <alignment vertical="top"/>
    </xf>
    <xf numFmtId="0" fontId="30" fillId="0" borderId="25" xfId="0" applyFont="1" applyFill="1" applyBorder="1"/>
    <xf numFmtId="0" fontId="8" fillId="26" borderId="0" xfId="0" applyFont="1" applyFill="1" applyBorder="1" applyAlignment="1">
      <alignment horizontal="center"/>
    </xf>
    <xf numFmtId="0" fontId="30" fillId="24" borderId="24" xfId="0" applyFont="1" applyFill="1" applyBorder="1" applyProtection="1"/>
    <xf numFmtId="0" fontId="30" fillId="26" borderId="12" xfId="0" applyFont="1" applyFill="1" applyBorder="1" applyAlignment="1"/>
    <xf numFmtId="0" fontId="8" fillId="27" borderId="14" xfId="0" applyFont="1" applyFill="1" applyBorder="1" applyAlignment="1">
      <alignment horizontal="right" vertical="center"/>
    </xf>
    <xf numFmtId="0" fontId="8" fillId="27" borderId="0" xfId="0" applyFont="1" applyFill="1" applyBorder="1" applyAlignment="1">
      <alignment horizontal="right" vertical="center"/>
    </xf>
    <xf numFmtId="0" fontId="30" fillId="27" borderId="11" xfId="0" applyFont="1" applyFill="1" applyBorder="1"/>
    <xf numFmtId="0" fontId="30" fillId="0" borderId="26" xfId="0" applyFont="1" applyFill="1" applyBorder="1"/>
    <xf numFmtId="0" fontId="30" fillId="0" borderId="13" xfId="0" applyFont="1" applyFill="1" applyBorder="1"/>
    <xf numFmtId="0" fontId="30" fillId="0" borderId="20" xfId="0" applyFont="1" applyFill="1" applyBorder="1"/>
    <xf numFmtId="0" fontId="30" fillId="0" borderId="27" xfId="0" applyFont="1" applyFill="1" applyBorder="1"/>
    <xf numFmtId="0" fontId="30" fillId="0" borderId="28" xfId="0" applyFont="1" applyFill="1" applyBorder="1"/>
    <xf numFmtId="0" fontId="30" fillId="0" borderId="29" xfId="0" applyFont="1" applyFill="1" applyBorder="1"/>
    <xf numFmtId="0" fontId="8" fillId="26" borderId="0" xfId="0" applyFont="1" applyFill="1" applyBorder="1"/>
    <xf numFmtId="0" fontId="8" fillId="0" borderId="0" xfId="0" applyFont="1" applyAlignment="1">
      <alignment horizontal="right"/>
    </xf>
    <xf numFmtId="0" fontId="49" fillId="0" borderId="0" xfId="0" applyFont="1" applyAlignment="1">
      <alignment horizontal="right"/>
    </xf>
    <xf numFmtId="167" fontId="45" fillId="0" borderId="0" xfId="0" applyNumberFormat="1" applyFont="1" applyFill="1" applyBorder="1" applyAlignment="1">
      <alignment horizontal="right"/>
    </xf>
    <xf numFmtId="1" fontId="30" fillId="0" borderId="0" xfId="0" applyNumberFormat="1" applyFont="1" applyProtection="1">
      <protection locked="0"/>
    </xf>
    <xf numFmtId="0" fontId="31" fillId="28" borderId="13" xfId="0" applyFont="1" applyFill="1" applyBorder="1"/>
    <xf numFmtId="0" fontId="30" fillId="26" borderId="0" xfId="0" applyFont="1" applyFill="1" applyBorder="1" applyAlignment="1">
      <alignment horizontal="left"/>
    </xf>
    <xf numFmtId="0" fontId="45" fillId="26" borderId="0" xfId="0" applyFont="1" applyFill="1" applyBorder="1" applyAlignment="1">
      <alignment horizontal="left"/>
    </xf>
    <xf numFmtId="0" fontId="30" fillId="0" borderId="22" xfId="0" applyFont="1" applyBorder="1" applyProtection="1">
      <protection locked="0"/>
    </xf>
    <xf numFmtId="0" fontId="30" fillId="29" borderId="0" xfId="0" applyFont="1" applyFill="1" applyBorder="1" applyProtection="1"/>
    <xf numFmtId="0" fontId="30" fillId="29" borderId="0" xfId="0" applyFont="1" applyFill="1" applyBorder="1" applyAlignment="1" applyProtection="1">
      <alignment horizontal="right"/>
    </xf>
    <xf numFmtId="0" fontId="54" fillId="24" borderId="0" xfId="0" applyFont="1" applyFill="1" applyBorder="1" applyAlignment="1">
      <alignment horizontal="left"/>
    </xf>
    <xf numFmtId="0" fontId="54" fillId="29" borderId="10" xfId="0" applyFont="1" applyFill="1" applyBorder="1" applyAlignment="1" applyProtection="1">
      <alignment horizontal="left"/>
    </xf>
    <xf numFmtId="0" fontId="30" fillId="29" borderId="11" xfId="0" applyFont="1" applyFill="1" applyBorder="1" applyProtection="1"/>
    <xf numFmtId="0" fontId="30" fillId="29" borderId="12" xfId="0" applyFont="1" applyFill="1" applyBorder="1" applyAlignment="1" applyProtection="1">
      <alignment horizontal="right"/>
    </xf>
    <xf numFmtId="0" fontId="0" fillId="29" borderId="13" xfId="0" applyFill="1" applyBorder="1"/>
    <xf numFmtId="0" fontId="0" fillId="29" borderId="15" xfId="0" applyFill="1" applyBorder="1"/>
    <xf numFmtId="0" fontId="30" fillId="29" borderId="16" xfId="0" applyFont="1" applyFill="1" applyBorder="1" applyAlignment="1" applyProtection="1">
      <alignment horizontal="right"/>
    </xf>
    <xf numFmtId="0" fontId="52" fillId="29" borderId="0" xfId="0" applyFont="1" applyFill="1" applyBorder="1"/>
    <xf numFmtId="0" fontId="52" fillId="29" borderId="11" xfId="0" applyFont="1" applyFill="1" applyBorder="1"/>
    <xf numFmtId="0" fontId="52" fillId="29" borderId="12" xfId="0" applyFont="1" applyFill="1" applyBorder="1"/>
    <xf numFmtId="0" fontId="30" fillId="29" borderId="13" xfId="0" applyFont="1" applyFill="1" applyBorder="1"/>
    <xf numFmtId="0" fontId="30" fillId="29" borderId="14" xfId="0" applyFont="1" applyFill="1" applyBorder="1"/>
    <xf numFmtId="0" fontId="45" fillId="29" borderId="0" xfId="0" applyFont="1" applyFill="1" applyBorder="1" applyAlignment="1" applyProtection="1">
      <alignment horizontal="left"/>
    </xf>
    <xf numFmtId="0" fontId="52" fillId="29" borderId="16" xfId="0" applyFont="1" applyFill="1" applyBorder="1"/>
    <xf numFmtId="0" fontId="30" fillId="0" borderId="22" xfId="0" applyFont="1" applyFill="1" applyBorder="1" applyProtection="1">
      <protection locked="0"/>
    </xf>
    <xf numFmtId="0" fontId="30" fillId="0" borderId="18" xfId="0" applyFont="1" applyFill="1" applyBorder="1" applyProtection="1"/>
    <xf numFmtId="0" fontId="30" fillId="0" borderId="22" xfId="0" applyFont="1" applyFill="1" applyBorder="1" applyAlignment="1" applyProtection="1">
      <alignment horizontal="left"/>
      <protection locked="0"/>
    </xf>
    <xf numFmtId="0" fontId="30" fillId="0" borderId="18" xfId="0" applyFont="1" applyBorder="1" applyProtection="1">
      <protection locked="0"/>
    </xf>
    <xf numFmtId="0" fontId="0" fillId="24" borderId="10" xfId="0" applyFill="1" applyBorder="1"/>
    <xf numFmtId="0" fontId="52" fillId="24" borderId="24" xfId="0" applyFont="1" applyFill="1" applyBorder="1"/>
    <xf numFmtId="0" fontId="52" fillId="24" borderId="11" xfId="0" applyFont="1" applyFill="1" applyBorder="1"/>
    <xf numFmtId="0" fontId="30" fillId="24" borderId="20" xfId="0" applyFont="1" applyFill="1" applyBorder="1" applyAlignment="1">
      <alignment horizontal="right"/>
    </xf>
    <xf numFmtId="0" fontId="30" fillId="0" borderId="10" xfId="0" applyFont="1" applyFill="1" applyBorder="1" applyProtection="1">
      <protection locked="0"/>
    </xf>
    <xf numFmtId="0" fontId="30" fillId="0" borderId="11" xfId="0" applyFont="1" applyFill="1" applyBorder="1" applyProtection="1">
      <protection locked="0"/>
    </xf>
    <xf numFmtId="0" fontId="30" fillId="0" borderId="12" xfId="0" applyFont="1" applyFill="1" applyBorder="1" applyProtection="1">
      <protection locked="0"/>
    </xf>
    <xf numFmtId="0" fontId="30" fillId="0" borderId="17" xfId="0" applyFont="1" applyFill="1" applyBorder="1" applyProtection="1">
      <protection locked="0"/>
    </xf>
    <xf numFmtId="0" fontId="54" fillId="29" borderId="10" xfId="0" applyFont="1" applyFill="1" applyBorder="1" applyAlignment="1">
      <alignment horizontal="center"/>
    </xf>
    <xf numFmtId="0" fontId="30" fillId="0" borderId="15" xfId="0" applyFont="1" applyFill="1" applyBorder="1"/>
    <xf numFmtId="0" fontId="30" fillId="0" borderId="21" xfId="0" applyFont="1" applyFill="1" applyBorder="1"/>
    <xf numFmtId="0" fontId="30" fillId="0" borderId="16" xfId="0" applyFont="1" applyFill="1" applyBorder="1"/>
    <xf numFmtId="0" fontId="45" fillId="0" borderId="31" xfId="0" applyFont="1" applyFill="1" applyBorder="1"/>
    <xf numFmtId="0" fontId="45" fillId="0" borderId="15" xfId="0" applyFont="1" applyFill="1" applyBorder="1"/>
    <xf numFmtId="0" fontId="30" fillId="26" borderId="0" xfId="0" applyFont="1" applyFill="1" applyBorder="1" applyAlignment="1">
      <alignment vertical="center"/>
    </xf>
    <xf numFmtId="0" fontId="30" fillId="26" borderId="0" xfId="0" applyFont="1" applyFill="1" applyBorder="1" applyAlignment="1">
      <alignment horizontal="center" vertical="center"/>
    </xf>
    <xf numFmtId="0" fontId="45" fillId="26" borderId="0" xfId="0" applyFont="1" applyFill="1" applyBorder="1" applyAlignment="1">
      <alignment horizontal="right"/>
    </xf>
    <xf numFmtId="0" fontId="54" fillId="0" borderId="0" xfId="0" quotePrefix="1" applyFont="1" applyFill="1" applyBorder="1" applyAlignment="1">
      <alignment horizontal="left" vertical="center"/>
    </xf>
    <xf numFmtId="167" fontId="30" fillId="26" borderId="0" xfId="0" applyNumberFormat="1" applyFont="1" applyFill="1" applyBorder="1" applyAlignment="1">
      <alignment horizontal="right" vertical="center"/>
    </xf>
    <xf numFmtId="167" fontId="45" fillId="26" borderId="0" xfId="0" applyNumberFormat="1" applyFont="1" applyFill="1" applyBorder="1" applyAlignment="1">
      <alignment horizontal="right"/>
    </xf>
    <xf numFmtId="0" fontId="30" fillId="0" borderId="13" xfId="0" applyFont="1" applyBorder="1" applyProtection="1">
      <protection locked="0"/>
    </xf>
    <xf numFmtId="0" fontId="31" fillId="29" borderId="11" xfId="0" applyFont="1" applyFill="1" applyBorder="1" applyAlignment="1">
      <alignment horizontal="right"/>
    </xf>
    <xf numFmtId="0" fontId="30" fillId="29" borderId="11" xfId="0" applyFont="1" applyFill="1" applyBorder="1" applyAlignment="1">
      <alignment horizontal="center" vertical="center"/>
    </xf>
    <xf numFmtId="0" fontId="1" fillId="29" borderId="11" xfId="0" applyFont="1" applyFill="1" applyBorder="1" applyAlignment="1">
      <alignment horizontal="center"/>
    </xf>
    <xf numFmtId="0" fontId="31" fillId="29" borderId="11" xfId="0" applyFont="1" applyFill="1" applyBorder="1" applyAlignment="1">
      <alignment horizontal="left"/>
    </xf>
    <xf numFmtId="0" fontId="45" fillId="29" borderId="11" xfId="0" applyFont="1" applyFill="1" applyBorder="1" applyAlignment="1">
      <alignment horizontal="right"/>
    </xf>
    <xf numFmtId="0" fontId="31" fillId="29" borderId="0" xfId="0" applyFont="1" applyFill="1" applyBorder="1" applyAlignment="1">
      <alignment horizontal="right"/>
    </xf>
    <xf numFmtId="0" fontId="30" fillId="29" borderId="0" xfId="0" applyFont="1" applyFill="1" applyBorder="1" applyAlignment="1">
      <alignment horizontal="center" vertical="center"/>
    </xf>
    <xf numFmtId="0" fontId="1" fillId="29" borderId="0" xfId="0" applyFont="1" applyFill="1" applyBorder="1" applyAlignment="1">
      <alignment horizontal="center"/>
    </xf>
    <xf numFmtId="0" fontId="31" fillId="29" borderId="0" xfId="0" applyFont="1" applyFill="1" applyBorder="1" applyAlignment="1">
      <alignment horizontal="left"/>
    </xf>
    <xf numFmtId="0" fontId="45" fillId="29" borderId="0" xfId="0" applyFont="1" applyFill="1" applyBorder="1" applyAlignment="1">
      <alignment horizontal="right"/>
    </xf>
    <xf numFmtId="0" fontId="31" fillId="29" borderId="0" xfId="0" applyFont="1" applyFill="1" applyBorder="1" applyAlignment="1">
      <alignment horizontal="center" vertical="center"/>
    </xf>
    <xf numFmtId="0" fontId="30" fillId="0" borderId="0" xfId="0" applyFont="1" applyFill="1" applyBorder="1" applyAlignment="1">
      <alignment horizontal="right"/>
    </xf>
    <xf numFmtId="0" fontId="30" fillId="0" borderId="0" xfId="0" applyFont="1" applyFill="1" applyAlignment="1">
      <alignment horizontal="right"/>
    </xf>
    <xf numFmtId="0" fontId="30" fillId="0" borderId="0" xfId="0" applyFont="1" applyFill="1" applyProtection="1">
      <protection locked="0"/>
    </xf>
    <xf numFmtId="0" fontId="30" fillId="0" borderId="11" xfId="0" applyFont="1" applyBorder="1" applyAlignment="1">
      <alignment horizontal="right"/>
    </xf>
    <xf numFmtId="0" fontId="30" fillId="0" borderId="13" xfId="0" applyFont="1" applyBorder="1" applyAlignment="1">
      <alignment horizontal="right"/>
    </xf>
    <xf numFmtId="0" fontId="30" fillId="0" borderId="16" xfId="0" applyFont="1" applyBorder="1" applyAlignment="1">
      <alignment horizontal="right"/>
    </xf>
    <xf numFmtId="0" fontId="30" fillId="0" borderId="22" xfId="0" applyFont="1" applyBorder="1"/>
    <xf numFmtId="0" fontId="30" fillId="0" borderId="24" xfId="0" applyFont="1" applyBorder="1" applyAlignment="1">
      <alignment horizontal="right"/>
    </xf>
    <xf numFmtId="0" fontId="30" fillId="0" borderId="18" xfId="0" applyFont="1" applyBorder="1"/>
    <xf numFmtId="0" fontId="30" fillId="24" borderId="24" xfId="0" applyFont="1" applyFill="1" applyBorder="1"/>
    <xf numFmtId="0" fontId="30" fillId="24" borderId="18" xfId="0" applyFont="1" applyFill="1" applyBorder="1"/>
    <xf numFmtId="0" fontId="30" fillId="0" borderId="0" xfId="0" applyFont="1" applyBorder="1" applyAlignment="1">
      <alignment horizontal="center"/>
    </xf>
    <xf numFmtId="0" fontId="30" fillId="0" borderId="14" xfId="0" applyFont="1" applyBorder="1" applyAlignment="1">
      <alignment horizontal="center"/>
    </xf>
    <xf numFmtId="0" fontId="30" fillId="26" borderId="16" xfId="0" applyFont="1" applyFill="1" applyBorder="1"/>
    <xf numFmtId="0" fontId="45" fillId="0" borderId="21" xfId="0" applyFont="1" applyBorder="1" applyProtection="1"/>
    <xf numFmtId="0" fontId="30" fillId="0" borderId="21" xfId="0" applyFont="1" applyBorder="1" applyProtection="1"/>
    <xf numFmtId="0" fontId="52" fillId="0" borderId="0" xfId="0" applyFont="1" applyBorder="1"/>
    <xf numFmtId="0" fontId="52" fillId="0" borderId="16" xfId="0" applyFont="1" applyBorder="1"/>
    <xf numFmtId="0" fontId="30" fillId="0" borderId="0" xfId="0" applyFont="1" applyFill="1" applyAlignment="1">
      <alignment horizontal="center"/>
    </xf>
    <xf numFmtId="0" fontId="30" fillId="0" borderId="22" xfId="0" applyFont="1" applyBorder="1" applyAlignment="1">
      <alignment horizontal="right"/>
    </xf>
    <xf numFmtId="0" fontId="30" fillId="0" borderId="22" xfId="0" applyFont="1" applyFill="1" applyBorder="1"/>
    <xf numFmtId="0" fontId="30" fillId="0" borderId="23" xfId="0" applyFont="1" applyFill="1" applyBorder="1"/>
    <xf numFmtId="0" fontId="30" fillId="0" borderId="24" xfId="0" applyFont="1" applyFill="1" applyBorder="1"/>
    <xf numFmtId="0" fontId="37" fillId="0" borderId="0" xfId="0" applyFont="1"/>
    <xf numFmtId="0" fontId="37" fillId="0" borderId="0" xfId="0" applyFont="1" applyAlignment="1">
      <alignment horizontal="center"/>
    </xf>
    <xf numFmtId="0" fontId="58" fillId="0" borderId="0" xfId="0" applyFont="1"/>
    <xf numFmtId="0" fontId="58" fillId="0" borderId="0" xfId="0" applyFont="1" applyAlignment="1">
      <alignment horizontal="center"/>
    </xf>
    <xf numFmtId="0" fontId="8" fillId="0" borderId="0" xfId="0" applyFont="1" applyFill="1" applyAlignment="1">
      <alignment horizontal="center"/>
    </xf>
    <xf numFmtId="0" fontId="37" fillId="0" borderId="11" xfId="0" applyFont="1" applyBorder="1" applyAlignment="1">
      <alignment horizontal="center"/>
    </xf>
    <xf numFmtId="0" fontId="58" fillId="0" borderId="11" xfId="0" applyFont="1" applyBorder="1" applyAlignment="1">
      <alignment horizontal="center"/>
    </xf>
    <xf numFmtId="0" fontId="8" fillId="0" borderId="13" xfId="0" applyFont="1" applyBorder="1" applyAlignment="1">
      <alignment horizontal="right" vertical="center"/>
    </xf>
    <xf numFmtId="0" fontId="8" fillId="0" borderId="15" xfId="0" applyFont="1" applyBorder="1" applyAlignment="1">
      <alignment horizontal="right" vertical="center"/>
    </xf>
    <xf numFmtId="0" fontId="30" fillId="29" borderId="22" xfId="0" applyFont="1" applyFill="1" applyBorder="1"/>
    <xf numFmtId="0" fontId="30" fillId="29" borderId="24" xfId="0" applyFont="1" applyFill="1" applyBorder="1" applyAlignment="1">
      <alignment horizontal="center"/>
    </xf>
    <xf numFmtId="0" fontId="30" fillId="29" borderId="24" xfId="0" applyFont="1" applyFill="1" applyBorder="1"/>
    <xf numFmtId="0" fontId="52" fillId="29" borderId="24" xfId="0" applyFont="1" applyFill="1" applyBorder="1"/>
    <xf numFmtId="0" fontId="31" fillId="29" borderId="24" xfId="0" applyFont="1" applyFill="1" applyBorder="1" applyAlignment="1">
      <alignment horizontal="right"/>
    </xf>
    <xf numFmtId="0" fontId="30" fillId="29" borderId="24" xfId="0" applyFont="1" applyFill="1" applyBorder="1" applyAlignment="1">
      <alignment horizontal="center" vertical="center"/>
    </xf>
    <xf numFmtId="0" fontId="1" fillId="29" borderId="24" xfId="0" applyFont="1" applyFill="1" applyBorder="1" applyAlignment="1">
      <alignment horizontal="center"/>
    </xf>
    <xf numFmtId="0" fontId="31" fillId="29" borderId="24" xfId="0" applyFont="1" applyFill="1" applyBorder="1" applyAlignment="1">
      <alignment horizontal="center" vertical="center"/>
    </xf>
    <xf numFmtId="0" fontId="31" fillId="29" borderId="24" xfId="0" applyFont="1" applyFill="1" applyBorder="1" applyAlignment="1">
      <alignment horizontal="left"/>
    </xf>
    <xf numFmtId="0" fontId="45" fillId="29" borderId="24" xfId="0" applyFont="1" applyFill="1" applyBorder="1" applyAlignment="1">
      <alignment horizontal="right"/>
    </xf>
    <xf numFmtId="0" fontId="30" fillId="29" borderId="18" xfId="0" applyFont="1" applyFill="1" applyBorder="1"/>
    <xf numFmtId="0" fontId="30" fillId="26" borderId="10" xfId="0" applyFont="1" applyFill="1" applyBorder="1"/>
    <xf numFmtId="0" fontId="52" fillId="26" borderId="11" xfId="0" applyFont="1" applyFill="1" applyBorder="1"/>
    <xf numFmtId="0" fontId="31" fillId="26" borderId="11" xfId="0" applyFont="1" applyFill="1" applyBorder="1" applyAlignment="1">
      <alignment horizontal="right"/>
    </xf>
    <xf numFmtId="0" fontId="30" fillId="26" borderId="11" xfId="0" applyFont="1" applyFill="1" applyBorder="1" applyAlignment="1">
      <alignment horizontal="center" vertical="center"/>
    </xf>
    <xf numFmtId="0" fontId="1" fillId="26" borderId="11" xfId="0" applyFont="1" applyFill="1" applyBorder="1" applyAlignment="1">
      <alignment horizontal="center"/>
    </xf>
    <xf numFmtId="0" fontId="31" fillId="26" borderId="11" xfId="0" applyFont="1" applyFill="1" applyBorder="1" applyAlignment="1">
      <alignment horizontal="left"/>
    </xf>
    <xf numFmtId="0" fontId="45" fillId="26" borderId="11" xfId="0" applyFont="1" applyFill="1" applyBorder="1" applyAlignment="1">
      <alignment horizontal="right"/>
    </xf>
    <xf numFmtId="0" fontId="30" fillId="26" borderId="12" xfId="0" applyFont="1" applyFill="1" applyBorder="1"/>
    <xf numFmtId="0" fontId="30" fillId="26" borderId="15" xfId="0" applyFont="1" applyFill="1" applyBorder="1"/>
    <xf numFmtId="0" fontId="52" fillId="26" borderId="16" xfId="0" applyFont="1" applyFill="1" applyBorder="1"/>
    <xf numFmtId="0" fontId="31" fillId="26" borderId="16" xfId="0" applyFont="1" applyFill="1" applyBorder="1" applyAlignment="1">
      <alignment horizontal="right"/>
    </xf>
    <xf numFmtId="0" fontId="30" fillId="26" borderId="16" xfId="0" applyFont="1" applyFill="1" applyBorder="1" applyAlignment="1">
      <alignment horizontal="center" vertical="center"/>
    </xf>
    <xf numFmtId="0" fontId="1" fillId="26" borderId="16" xfId="0" applyFont="1" applyFill="1" applyBorder="1" applyAlignment="1">
      <alignment horizontal="center"/>
    </xf>
    <xf numFmtId="0" fontId="31" fillId="26" borderId="16" xfId="0" applyFont="1" applyFill="1" applyBorder="1" applyAlignment="1">
      <alignment horizontal="left"/>
    </xf>
    <xf numFmtId="0" fontId="30" fillId="26" borderId="17" xfId="0" applyFont="1" applyFill="1" applyBorder="1"/>
    <xf numFmtId="0" fontId="30" fillId="27" borderId="12" xfId="0" applyFont="1" applyFill="1" applyBorder="1"/>
    <xf numFmtId="0" fontId="30" fillId="27" borderId="16" xfId="0" applyFont="1" applyFill="1" applyBorder="1"/>
    <xf numFmtId="0" fontId="30" fillId="27" borderId="17" xfId="0" applyFont="1" applyFill="1" applyBorder="1"/>
    <xf numFmtId="0" fontId="30" fillId="26" borderId="11" xfId="0" applyFont="1" applyFill="1" applyBorder="1" applyAlignment="1">
      <alignment horizontal="right"/>
    </xf>
    <xf numFmtId="0" fontId="8" fillId="26" borderId="11" xfId="0" applyFont="1" applyFill="1" applyBorder="1" applyAlignment="1">
      <alignment horizontal="left"/>
    </xf>
    <xf numFmtId="0" fontId="52" fillId="24" borderId="0" xfId="0" applyFont="1" applyFill="1" applyBorder="1"/>
    <xf numFmtId="0" fontId="54" fillId="24" borderId="11" xfId="0" applyFont="1" applyFill="1" applyBorder="1"/>
    <xf numFmtId="0" fontId="1" fillId="24" borderId="0" xfId="0" applyFont="1" applyFill="1" applyBorder="1" applyAlignment="1">
      <alignment horizontal="center"/>
    </xf>
    <xf numFmtId="0" fontId="53" fillId="24" borderId="0" xfId="0" applyFont="1" applyFill="1" applyBorder="1" applyAlignment="1">
      <alignment horizontal="center" vertical="center"/>
    </xf>
    <xf numFmtId="0" fontId="30" fillId="24" borderId="0" xfId="0" applyFont="1" applyFill="1" applyBorder="1" applyAlignment="1">
      <alignment horizontal="center"/>
    </xf>
    <xf numFmtId="0" fontId="8" fillId="24" borderId="0" xfId="0" applyFont="1" applyFill="1" applyBorder="1" applyAlignment="1">
      <alignment horizontal="center"/>
    </xf>
    <xf numFmtId="0" fontId="31" fillId="24" borderId="0" xfId="0" applyFont="1" applyFill="1" applyBorder="1" applyAlignment="1">
      <alignment horizontal="right"/>
    </xf>
    <xf numFmtId="0" fontId="30" fillId="24" borderId="0" xfId="0" applyFont="1" applyFill="1" applyBorder="1" applyAlignment="1">
      <alignment horizontal="left"/>
    </xf>
    <xf numFmtId="0" fontId="31" fillId="24" borderId="0" xfId="0" applyFont="1" applyFill="1" applyBorder="1" applyAlignment="1">
      <alignment horizontal="left"/>
    </xf>
    <xf numFmtId="0" fontId="31" fillId="24" borderId="0" xfId="0" applyFont="1" applyFill="1" applyBorder="1" applyAlignment="1">
      <alignment horizontal="left" vertical="center"/>
    </xf>
    <xf numFmtId="0" fontId="30" fillId="24" borderId="0" xfId="0" applyFont="1" applyFill="1" applyBorder="1" applyAlignment="1">
      <alignment vertical="center"/>
    </xf>
    <xf numFmtId="0" fontId="52" fillId="24" borderId="13" xfId="0" applyFont="1" applyFill="1" applyBorder="1"/>
    <xf numFmtId="0" fontId="52" fillId="24" borderId="15" xfId="0" applyFont="1" applyFill="1" applyBorder="1"/>
    <xf numFmtId="0" fontId="52" fillId="24" borderId="16" xfId="0" applyFont="1" applyFill="1" applyBorder="1"/>
    <xf numFmtId="0" fontId="31" fillId="24" borderId="16" xfId="0" applyFont="1" applyFill="1" applyBorder="1" applyAlignment="1">
      <alignment horizontal="right"/>
    </xf>
    <xf numFmtId="0" fontId="8" fillId="24" borderId="16" xfId="0" applyFont="1" applyFill="1" applyBorder="1" applyAlignment="1">
      <alignment horizontal="right" vertical="center"/>
    </xf>
    <xf numFmtId="0" fontId="1" fillId="24" borderId="16" xfId="0" applyFont="1" applyFill="1" applyBorder="1" applyAlignment="1">
      <alignment horizontal="center"/>
    </xf>
    <xf numFmtId="0" fontId="8" fillId="24" borderId="16" xfId="0" applyFont="1" applyFill="1" applyBorder="1" applyAlignment="1">
      <alignment horizontal="left" vertical="center"/>
    </xf>
    <xf numFmtId="0" fontId="31" fillId="24" borderId="16" xfId="0" applyFont="1" applyFill="1" applyBorder="1" applyAlignment="1">
      <alignment horizontal="left"/>
    </xf>
    <xf numFmtId="0" fontId="45" fillId="24" borderId="16" xfId="0" applyFont="1" applyFill="1" applyBorder="1" applyAlignment="1">
      <alignment horizontal="right"/>
    </xf>
    <xf numFmtId="0" fontId="30" fillId="27" borderId="11" xfId="0" applyFont="1" applyFill="1" applyBorder="1" applyAlignment="1">
      <alignment horizontal="right"/>
    </xf>
    <xf numFmtId="0" fontId="8" fillId="27" borderId="11" xfId="0" applyFont="1" applyFill="1" applyBorder="1" applyAlignment="1">
      <alignment horizontal="left"/>
    </xf>
    <xf numFmtId="0" fontId="31" fillId="24" borderId="0" xfId="0" applyFont="1" applyFill="1" applyBorder="1" applyAlignment="1">
      <alignment horizontal="center"/>
    </xf>
    <xf numFmtId="0" fontId="8" fillId="24" borderId="11" xfId="0" applyFont="1" applyFill="1" applyBorder="1" applyAlignment="1">
      <alignment horizontal="left"/>
    </xf>
    <xf numFmtId="0" fontId="8" fillId="0" borderId="0" xfId="0" applyFont="1" applyFill="1" applyBorder="1" applyAlignment="1">
      <alignment horizontal="center"/>
    </xf>
    <xf numFmtId="167" fontId="30" fillId="0" borderId="0" xfId="0" applyNumberFormat="1" applyFont="1" applyFill="1" applyBorder="1" applyAlignment="1">
      <alignment horizontal="right" vertical="center"/>
    </xf>
    <xf numFmtId="0" fontId="8" fillId="0" borderId="0" xfId="0" applyFont="1" applyFill="1" applyBorder="1"/>
    <xf numFmtId="0" fontId="30" fillId="0" borderId="0" xfId="0" applyFont="1" applyFill="1" applyBorder="1" applyAlignment="1"/>
    <xf numFmtId="0" fontId="8" fillId="24" borderId="12" xfId="0" applyFont="1" applyFill="1" applyBorder="1"/>
    <xf numFmtId="0" fontId="43" fillId="24" borderId="0" xfId="0" applyFont="1" applyFill="1" applyBorder="1" applyAlignment="1">
      <alignment horizontal="center"/>
    </xf>
    <xf numFmtId="0" fontId="31" fillId="27" borderId="16" xfId="0" applyFont="1" applyFill="1" applyBorder="1" applyAlignment="1">
      <alignment horizontal="left" vertical="center"/>
    </xf>
    <xf numFmtId="0" fontId="31" fillId="26" borderId="16" xfId="0" applyFont="1" applyFill="1" applyBorder="1" applyAlignment="1">
      <alignment horizontal="left" vertical="center"/>
    </xf>
    <xf numFmtId="0" fontId="30" fillId="26" borderId="11" xfId="0" applyFont="1" applyFill="1" applyBorder="1" applyAlignment="1">
      <alignment horizontal="center"/>
    </xf>
    <xf numFmtId="0" fontId="30" fillId="27" borderId="11" xfId="0" applyFont="1" applyFill="1" applyBorder="1" applyAlignment="1">
      <alignment horizontal="center"/>
    </xf>
    <xf numFmtId="0" fontId="59" fillId="0" borderId="16" xfId="0" applyFont="1" applyFill="1" applyBorder="1"/>
    <xf numFmtId="0" fontId="59" fillId="0" borderId="16" xfId="0" applyFont="1" applyFill="1" applyBorder="1" applyAlignment="1">
      <alignment horizontal="right"/>
    </xf>
    <xf numFmtId="0" fontId="40" fillId="0" borderId="16" xfId="0" applyFont="1" applyFill="1" applyBorder="1"/>
    <xf numFmtId="0" fontId="40" fillId="24" borderId="0" xfId="0" applyFont="1" applyFill="1" applyBorder="1"/>
    <xf numFmtId="0" fontId="60" fillId="24" borderId="0" xfId="0" applyFont="1" applyFill="1" applyBorder="1" applyAlignment="1">
      <alignment horizontal="right"/>
    </xf>
    <xf numFmtId="0" fontId="30" fillId="28" borderId="12" xfId="0" applyFont="1" applyFill="1" applyBorder="1"/>
    <xf numFmtId="0" fontId="30" fillId="28" borderId="14" xfId="0" applyFont="1" applyFill="1" applyBorder="1"/>
    <xf numFmtId="0" fontId="60" fillId="26" borderId="11" xfId="0" applyFont="1" applyFill="1" applyBorder="1" applyAlignment="1">
      <alignment horizontal="right"/>
    </xf>
    <xf numFmtId="0" fontId="60" fillId="26" borderId="16" xfId="0" applyFont="1" applyFill="1" applyBorder="1" applyAlignment="1">
      <alignment horizontal="right"/>
    </xf>
    <xf numFmtId="0" fontId="40" fillId="27" borderId="11" xfId="0" applyFont="1" applyFill="1" applyBorder="1" applyAlignment="1">
      <alignment horizontal="right"/>
    </xf>
    <xf numFmtId="0" fontId="40" fillId="27" borderId="16" xfId="0" applyFont="1" applyFill="1" applyBorder="1" applyAlignment="1">
      <alignment horizontal="right"/>
    </xf>
    <xf numFmtId="0" fontId="5" fillId="28" borderId="10" xfId="0" applyFont="1" applyFill="1" applyBorder="1"/>
    <xf numFmtId="0" fontId="31" fillId="26" borderId="16" xfId="0" applyFont="1" applyFill="1" applyBorder="1" applyAlignment="1">
      <alignment horizontal="center"/>
    </xf>
    <xf numFmtId="0" fontId="31" fillId="27" borderId="16" xfId="0" applyFont="1" applyFill="1" applyBorder="1" applyAlignment="1">
      <alignment horizontal="center"/>
    </xf>
    <xf numFmtId="0" fontId="30" fillId="27" borderId="16" xfId="0" applyFont="1" applyFill="1" applyBorder="1" applyAlignment="1">
      <alignment horizontal="center" vertical="center"/>
    </xf>
    <xf numFmtId="0" fontId="59" fillId="0" borderId="0" xfId="0" applyFont="1" applyBorder="1" applyAlignment="1">
      <alignment vertical="top"/>
    </xf>
    <xf numFmtId="0" fontId="40" fillId="0" borderId="0" xfId="0" applyFont="1" applyBorder="1" applyAlignment="1">
      <alignment vertical="top"/>
    </xf>
    <xf numFmtId="0" fontId="30" fillId="31" borderId="0" xfId="0" applyFont="1" applyFill="1" applyBorder="1" applyProtection="1"/>
    <xf numFmtId="0" fontId="30" fillId="31" borderId="19" xfId="0" applyFont="1" applyFill="1" applyBorder="1" applyProtection="1"/>
    <xf numFmtId="0" fontId="30" fillId="31" borderId="27" xfId="0" applyFont="1" applyFill="1" applyBorder="1" applyProtection="1"/>
    <xf numFmtId="0" fontId="30" fillId="31" borderId="28" xfId="0" applyFont="1" applyFill="1" applyBorder="1" applyProtection="1"/>
    <xf numFmtId="0" fontId="30" fillId="31" borderId="29" xfId="0" applyFont="1" applyFill="1" applyBorder="1" applyProtection="1"/>
    <xf numFmtId="0" fontId="30" fillId="31" borderId="30" xfId="0" applyFont="1" applyFill="1" applyBorder="1" applyProtection="1"/>
    <xf numFmtId="0" fontId="30" fillId="31" borderId="15" xfId="0" applyFont="1" applyFill="1" applyBorder="1" applyProtection="1"/>
    <xf numFmtId="0" fontId="30" fillId="31" borderId="21" xfId="0" applyFont="1" applyFill="1" applyBorder="1" applyProtection="1"/>
    <xf numFmtId="0" fontId="30" fillId="31" borderId="16" xfId="0" applyFont="1" applyFill="1" applyBorder="1" applyProtection="1"/>
    <xf numFmtId="0" fontId="30" fillId="0" borderId="10" xfId="0" applyFont="1" applyBorder="1" applyProtection="1">
      <protection locked="0"/>
    </xf>
    <xf numFmtId="0" fontId="30" fillId="0" borderId="27" xfId="0" applyFont="1" applyBorder="1" applyProtection="1">
      <protection locked="0"/>
    </xf>
    <xf numFmtId="0" fontId="30" fillId="0" borderId="28" xfId="0" applyFont="1" applyBorder="1" applyProtection="1">
      <protection locked="0"/>
    </xf>
    <xf numFmtId="0" fontId="30" fillId="0" borderId="29" xfId="0" applyFont="1" applyBorder="1" applyProtection="1">
      <protection locked="0"/>
    </xf>
    <xf numFmtId="0" fontId="30" fillId="24" borderId="0" xfId="0" applyFont="1" applyFill="1" applyBorder="1" applyProtection="1"/>
    <xf numFmtId="0" fontId="30" fillId="31" borderId="0" xfId="0" applyFont="1" applyFill="1"/>
    <xf numFmtId="0" fontId="45" fillId="31" borderId="0" xfId="0" applyFont="1" applyFill="1"/>
    <xf numFmtId="0" fontId="37" fillId="31" borderId="0" xfId="0" applyFont="1" applyFill="1"/>
    <xf numFmtId="0" fontId="58" fillId="31" borderId="0" xfId="0" applyFont="1" applyFill="1"/>
    <xf numFmtId="0" fontId="8" fillId="31" borderId="13" xfId="0" applyFont="1" applyFill="1" applyBorder="1" applyAlignment="1">
      <alignment horizontal="right" vertical="center"/>
    </xf>
    <xf numFmtId="0" fontId="30" fillId="31" borderId="0" xfId="0" applyFont="1" applyFill="1" applyBorder="1"/>
    <xf numFmtId="0" fontId="30" fillId="31" borderId="14" xfId="0" applyFont="1" applyFill="1" applyBorder="1"/>
    <xf numFmtId="0" fontId="30" fillId="31" borderId="16" xfId="0" applyFont="1" applyFill="1" applyBorder="1"/>
    <xf numFmtId="0" fontId="30" fillId="31" borderId="17" xfId="0" applyFont="1" applyFill="1" applyBorder="1"/>
    <xf numFmtId="0" fontId="30" fillId="31" borderId="11" xfId="0" applyFont="1" applyFill="1" applyBorder="1"/>
    <xf numFmtId="0" fontId="30" fillId="31" borderId="0" xfId="0" applyFont="1" applyFill="1" applyAlignment="1">
      <alignment horizontal="right"/>
    </xf>
    <xf numFmtId="0" fontId="30" fillId="29" borderId="0" xfId="0" applyFont="1" applyFill="1" applyBorder="1" applyAlignment="1">
      <alignment horizontal="right"/>
    </xf>
    <xf numFmtId="0" fontId="30" fillId="29" borderId="0" xfId="0" applyFont="1" applyFill="1" applyBorder="1" applyAlignment="1">
      <alignment horizontal="center"/>
    </xf>
    <xf numFmtId="0" fontId="31" fillId="29" borderId="0" xfId="0" applyFont="1" applyFill="1" applyBorder="1" applyAlignment="1">
      <alignment horizontal="center"/>
    </xf>
    <xf numFmtId="0" fontId="31" fillId="29" borderId="0" xfId="0" applyFont="1" applyFill="1" applyBorder="1" applyAlignment="1">
      <alignment horizontal="left" vertical="center"/>
    </xf>
    <xf numFmtId="0" fontId="30" fillId="29" borderId="16" xfId="0" applyFont="1" applyFill="1" applyBorder="1" applyAlignment="1">
      <alignment horizontal="center" vertical="center"/>
    </xf>
    <xf numFmtId="0" fontId="31" fillId="29" borderId="16" xfId="0" applyFont="1" applyFill="1" applyBorder="1" applyAlignment="1">
      <alignment horizontal="center"/>
    </xf>
    <xf numFmtId="0" fontId="31" fillId="29" borderId="16" xfId="0" applyFont="1" applyFill="1" applyBorder="1" applyAlignment="1">
      <alignment horizontal="left" vertical="center"/>
    </xf>
    <xf numFmtId="0" fontId="30" fillId="0" borderId="19" xfId="0" applyFont="1" applyFill="1" applyBorder="1"/>
    <xf numFmtId="0" fontId="30" fillId="0" borderId="10" xfId="0" applyFont="1" applyFill="1" applyBorder="1"/>
    <xf numFmtId="0" fontId="30" fillId="0" borderId="11" xfId="0" applyFont="1" applyFill="1" applyBorder="1" applyAlignment="1">
      <alignment horizontal="right"/>
    </xf>
    <xf numFmtId="0" fontId="30" fillId="0" borderId="16" xfId="0" applyFont="1" applyFill="1" applyBorder="1" applyAlignment="1">
      <alignment horizontal="right"/>
    </xf>
    <xf numFmtId="0" fontId="30" fillId="31" borderId="24" xfId="0" applyFont="1" applyFill="1" applyBorder="1"/>
    <xf numFmtId="0" fontId="30" fillId="31" borderId="22" xfId="0" applyFont="1" applyFill="1" applyBorder="1"/>
    <xf numFmtId="0" fontId="45" fillId="31" borderId="25" xfId="0" applyFont="1" applyFill="1" applyBorder="1"/>
    <xf numFmtId="0" fontId="45" fillId="31" borderId="26" xfId="0" applyFont="1" applyFill="1" applyBorder="1"/>
    <xf numFmtId="0" fontId="45" fillId="31" borderId="0" xfId="0" applyFont="1" applyFill="1" applyBorder="1"/>
    <xf numFmtId="0" fontId="45" fillId="31" borderId="20" xfId="0" applyFont="1" applyFill="1" applyBorder="1"/>
    <xf numFmtId="0" fontId="45" fillId="31" borderId="29" xfId="0" applyFont="1" applyFill="1" applyBorder="1"/>
    <xf numFmtId="0" fontId="45" fillId="31" borderId="28" xfId="0" applyFont="1" applyFill="1" applyBorder="1"/>
    <xf numFmtId="0" fontId="45" fillId="31" borderId="16" xfId="0" applyFont="1" applyFill="1" applyBorder="1"/>
    <xf numFmtId="0" fontId="45" fillId="31" borderId="21" xfId="0" applyFont="1" applyFill="1" applyBorder="1"/>
    <xf numFmtId="0" fontId="30" fillId="31" borderId="11" xfId="0" applyFont="1" applyFill="1" applyBorder="1" applyAlignment="1">
      <alignment horizontal="right"/>
    </xf>
    <xf numFmtId="0" fontId="30" fillId="31" borderId="13" xfId="0" applyFont="1" applyFill="1" applyBorder="1" applyAlignment="1">
      <alignment horizontal="right"/>
    </xf>
    <xf numFmtId="0" fontId="30" fillId="31" borderId="0" xfId="0" applyFont="1" applyFill="1" applyBorder="1" applyAlignment="1">
      <alignment horizontal="right"/>
    </xf>
    <xf numFmtId="0" fontId="30" fillId="31" borderId="16" xfId="0" applyFont="1" applyFill="1" applyBorder="1" applyAlignment="1">
      <alignment horizontal="right"/>
    </xf>
    <xf numFmtId="1" fontId="30" fillId="0" borderId="12" xfId="0" applyNumberFormat="1" applyFont="1" applyBorder="1" applyAlignment="1">
      <alignment horizontal="left"/>
    </xf>
    <xf numFmtId="0" fontId="30" fillId="0" borderId="13" xfId="0" applyFont="1" applyBorder="1" applyAlignment="1">
      <alignment horizontal="center"/>
    </xf>
    <xf numFmtId="0" fontId="30" fillId="0" borderId="23" xfId="0" applyFont="1" applyBorder="1"/>
    <xf numFmtId="0" fontId="59" fillId="0" borderId="0" xfId="0" applyFont="1" applyBorder="1" applyAlignment="1">
      <alignment horizontal="center" vertical="top"/>
    </xf>
    <xf numFmtId="0" fontId="40" fillId="0" borderId="0" xfId="0" applyFont="1" applyBorder="1" applyAlignment="1">
      <alignment horizontal="center" vertical="top"/>
    </xf>
    <xf numFmtId="0" fontId="30" fillId="24" borderId="11" xfId="0" applyFont="1" applyFill="1" applyBorder="1" applyAlignment="1">
      <alignment horizontal="center"/>
    </xf>
    <xf numFmtId="0" fontId="59" fillId="0" borderId="0" xfId="0" applyFont="1" applyFill="1" applyBorder="1"/>
    <xf numFmtId="0" fontId="59" fillId="0" borderId="0" xfId="0" applyFont="1" applyFill="1" applyBorder="1" applyAlignment="1">
      <alignment horizontal="right"/>
    </xf>
    <xf numFmtId="0" fontId="30" fillId="28" borderId="13" xfId="0" applyFont="1" applyFill="1" applyBorder="1"/>
    <xf numFmtId="0" fontId="30" fillId="28" borderId="17" xfId="0" applyFont="1" applyFill="1" applyBorder="1"/>
    <xf numFmtId="0" fontId="30" fillId="32" borderId="13" xfId="0" applyFont="1" applyFill="1" applyBorder="1"/>
    <xf numFmtId="0" fontId="30" fillId="32" borderId="14" xfId="0" applyFont="1" applyFill="1" applyBorder="1"/>
    <xf numFmtId="0" fontId="30" fillId="32" borderId="15" xfId="0" applyFont="1" applyFill="1" applyBorder="1"/>
    <xf numFmtId="0" fontId="54" fillId="32" borderId="12" xfId="0" applyFont="1" applyFill="1" applyBorder="1" applyAlignment="1">
      <alignment horizontal="left"/>
    </xf>
    <xf numFmtId="0" fontId="0" fillId="24" borderId="0" xfId="0" applyFill="1" applyBorder="1"/>
    <xf numFmtId="0" fontId="30" fillId="24" borderId="32" xfId="0" applyFont="1" applyFill="1" applyBorder="1" applyAlignment="1">
      <alignment horizontal="center" vertical="center"/>
    </xf>
    <xf numFmtId="0" fontId="52" fillId="0" borderId="33" xfId="0" applyFont="1" applyBorder="1"/>
    <xf numFmtId="0" fontId="30" fillId="0" borderId="34" xfId="0" applyFont="1" applyBorder="1" applyProtection="1"/>
    <xf numFmtId="0" fontId="30" fillId="0" borderId="35" xfId="0" applyFont="1" applyBorder="1" applyProtection="1"/>
    <xf numFmtId="0" fontId="30" fillId="0" borderId="36" xfId="0" applyFont="1" applyBorder="1" applyProtection="1"/>
    <xf numFmtId="0" fontId="30" fillId="0" borderId="37" xfId="0" applyFont="1" applyBorder="1" applyProtection="1"/>
    <xf numFmtId="0" fontId="52" fillId="0" borderId="36" xfId="0" applyFont="1" applyBorder="1"/>
    <xf numFmtId="0" fontId="52" fillId="0" borderId="37" xfId="0" applyFont="1" applyBorder="1"/>
    <xf numFmtId="0" fontId="43" fillId="0" borderId="0" xfId="0" applyFont="1" applyFill="1" applyBorder="1" applyAlignment="1">
      <alignment horizontal="right" vertical="center"/>
    </xf>
    <xf numFmtId="0" fontId="8" fillId="0" borderId="0" xfId="0" applyFont="1" applyFill="1" applyBorder="1" applyAlignment="1">
      <alignment horizontal="right" vertical="center"/>
    </xf>
    <xf numFmtId="0" fontId="30" fillId="24" borderId="23" xfId="0" applyFont="1" applyFill="1" applyBorder="1" applyAlignment="1">
      <alignment horizontal="center"/>
    </xf>
    <xf numFmtId="0" fontId="30" fillId="24" borderId="22" xfId="0" applyFont="1" applyFill="1" applyBorder="1" applyAlignment="1">
      <alignment horizontal="center"/>
    </xf>
    <xf numFmtId="0" fontId="30" fillId="24" borderId="0" xfId="0" applyFont="1" applyFill="1" applyProtection="1"/>
    <xf numFmtId="0" fontId="54" fillId="24" borderId="0" xfId="0" applyFont="1" applyFill="1" applyBorder="1"/>
    <xf numFmtId="0" fontId="55" fillId="24" borderId="13" xfId="0" applyFont="1" applyFill="1" applyBorder="1"/>
    <xf numFmtId="0" fontId="52" fillId="24" borderId="0" xfId="0" applyFont="1" applyFill="1"/>
    <xf numFmtId="0" fontId="30" fillId="24" borderId="0" xfId="0" applyFont="1" applyFill="1" applyProtection="1">
      <protection locked="0"/>
    </xf>
    <xf numFmtId="0" fontId="52" fillId="24" borderId="34" xfId="0" applyFont="1" applyFill="1" applyBorder="1"/>
    <xf numFmtId="0" fontId="52" fillId="24" borderId="38" xfId="0" applyFont="1" applyFill="1" applyBorder="1"/>
    <xf numFmtId="0" fontId="30" fillId="0" borderId="16" xfId="0" applyFont="1" applyBorder="1" applyProtection="1"/>
    <xf numFmtId="0" fontId="54" fillId="0" borderId="15" xfId="0" applyFont="1" applyFill="1" applyBorder="1" applyAlignment="1">
      <alignment vertical="center"/>
    </xf>
    <xf numFmtId="0" fontId="5" fillId="24" borderId="10" xfId="0" applyFont="1" applyFill="1" applyBorder="1"/>
    <xf numFmtId="0" fontId="8" fillId="24" borderId="14" xfId="0" applyFont="1" applyFill="1" applyBorder="1" applyAlignment="1" applyProtection="1">
      <alignment horizontal="center" vertical="center"/>
    </xf>
    <xf numFmtId="0" fontId="30" fillId="0" borderId="23" xfId="0" applyFont="1" applyBorder="1" applyProtection="1"/>
    <xf numFmtId="0" fontId="30" fillId="0" borderId="12" xfId="0" applyFont="1" applyBorder="1" applyProtection="1"/>
    <xf numFmtId="0" fontId="31" fillId="0" borderId="39" xfId="0" applyFont="1" applyFill="1" applyBorder="1" applyAlignment="1">
      <alignment horizontal="center" vertical="center"/>
    </xf>
    <xf numFmtId="0" fontId="31" fillId="0" borderId="39" xfId="0" applyFont="1" applyFill="1" applyBorder="1" applyAlignment="1" applyProtection="1">
      <alignment horizontal="center" vertical="center"/>
    </xf>
    <xf numFmtId="0" fontId="8" fillId="0" borderId="40" xfId="0" applyFont="1" applyFill="1" applyBorder="1" applyAlignment="1" applyProtection="1">
      <alignment horizontal="right"/>
    </xf>
    <xf numFmtId="0" fontId="52" fillId="0" borderId="41" xfId="0" applyFont="1" applyFill="1" applyBorder="1"/>
    <xf numFmtId="0" fontId="30" fillId="0" borderId="42" xfId="0" applyFont="1" applyBorder="1" applyProtection="1"/>
    <xf numFmtId="0" fontId="31" fillId="0" borderId="0" xfId="0" applyFont="1" applyBorder="1" applyAlignment="1">
      <alignment horizontal="center"/>
    </xf>
    <xf numFmtId="0" fontId="52" fillId="0" borderId="42" xfId="0" applyFont="1" applyBorder="1"/>
    <xf numFmtId="0" fontId="30" fillId="32" borderId="17" xfId="0" applyFont="1" applyFill="1" applyBorder="1" applyAlignment="1">
      <alignment horizontal="right"/>
    </xf>
    <xf numFmtId="0" fontId="8" fillId="0" borderId="11" xfId="0" applyFont="1" applyBorder="1" applyAlignment="1">
      <alignment horizontal="right"/>
    </xf>
    <xf numFmtId="0" fontId="30" fillId="0" borderId="14" xfId="0" applyFont="1" applyFill="1" applyBorder="1" applyAlignment="1">
      <alignment horizontal="center"/>
    </xf>
    <xf numFmtId="0" fontId="30" fillId="0" borderId="14" xfId="0" applyFont="1" applyFill="1" applyBorder="1"/>
    <xf numFmtId="0" fontId="0" fillId="24" borderId="0" xfId="0" applyFill="1" applyBorder="1" applyAlignment="1">
      <alignment horizontal="right"/>
    </xf>
    <xf numFmtId="0" fontId="30" fillId="0" borderId="34" xfId="0" applyFont="1" applyBorder="1"/>
    <xf numFmtId="0" fontId="30" fillId="0" borderId="42" xfId="0" applyFont="1" applyBorder="1"/>
    <xf numFmtId="0" fontId="54" fillId="28" borderId="10" xfId="0" applyFont="1" applyFill="1" applyBorder="1" applyAlignment="1">
      <alignment horizontal="left"/>
    </xf>
    <xf numFmtId="0" fontId="39" fillId="0" borderId="0" xfId="0" applyFont="1" applyProtection="1"/>
    <xf numFmtId="1" fontId="52" fillId="0" borderId="0" xfId="0" applyNumberFormat="1" applyFont="1" applyBorder="1"/>
    <xf numFmtId="1" fontId="52" fillId="0" borderId="0" xfId="0" applyNumberFormat="1" applyFont="1"/>
    <xf numFmtId="1" fontId="52" fillId="0" borderId="0" xfId="0" applyNumberFormat="1" applyFont="1" applyAlignment="1">
      <alignment horizontal="left"/>
    </xf>
    <xf numFmtId="0" fontId="52" fillId="0" borderId="0" xfId="0" applyFont="1" applyProtection="1">
      <protection locked="0"/>
    </xf>
    <xf numFmtId="164" fontId="31" fillId="0" borderId="0" xfId="0" applyNumberFormat="1" applyFont="1"/>
    <xf numFmtId="0" fontId="52" fillId="0" borderId="0" xfId="0" applyFont="1" applyAlignment="1">
      <alignment horizontal="right"/>
    </xf>
    <xf numFmtId="0" fontId="52" fillId="0" borderId="0" xfId="0" applyFont="1" applyFill="1"/>
    <xf numFmtId="0" fontId="31" fillId="24" borderId="11" xfId="0" applyFont="1" applyFill="1" applyBorder="1"/>
    <xf numFmtId="0" fontId="52" fillId="0" borderId="0" xfId="0" applyFont="1" applyBorder="1" applyAlignment="1">
      <alignment horizontal="left"/>
    </xf>
    <xf numFmtId="0" fontId="52" fillId="24" borderId="0" xfId="0" applyFont="1" applyFill="1" applyBorder="1" applyAlignment="1">
      <alignment horizontal="right"/>
    </xf>
    <xf numFmtId="0" fontId="52" fillId="0" borderId="23" xfId="0" applyNumberFormat="1" applyFont="1" applyFill="1" applyBorder="1" applyAlignment="1" applyProtection="1">
      <alignment vertical="top"/>
    </xf>
    <xf numFmtId="0" fontId="64" fillId="0" borderId="0" xfId="0" applyFont="1" applyBorder="1" applyAlignment="1">
      <alignment horizontal="right"/>
    </xf>
    <xf numFmtId="0" fontId="52" fillId="0" borderId="23" xfId="0" applyFont="1" applyBorder="1"/>
    <xf numFmtId="0" fontId="64" fillId="0" borderId="0" xfId="0" applyFont="1" applyAlignment="1">
      <alignment horizontal="right"/>
    </xf>
    <xf numFmtId="1" fontId="52" fillId="0" borderId="0" xfId="0" applyNumberFormat="1" applyFont="1" applyFill="1"/>
    <xf numFmtId="0" fontId="64" fillId="0" borderId="0" xfId="0" applyFont="1"/>
    <xf numFmtId="0" fontId="52" fillId="28" borderId="13" xfId="0" applyFont="1" applyFill="1" applyBorder="1"/>
    <xf numFmtId="0" fontId="52" fillId="28" borderId="0" xfId="0" applyFont="1" applyFill="1" applyBorder="1"/>
    <xf numFmtId="0" fontId="52" fillId="28" borderId="14" xfId="0" applyFont="1" applyFill="1" applyBorder="1"/>
    <xf numFmtId="0" fontId="52" fillId="0" borderId="0" xfId="0" applyFont="1" applyFill="1" applyBorder="1"/>
    <xf numFmtId="0" fontId="31" fillId="29" borderId="11" xfId="0" applyFont="1" applyFill="1" applyBorder="1"/>
    <xf numFmtId="0" fontId="52" fillId="29" borderId="13" xfId="0" applyFont="1" applyFill="1" applyBorder="1"/>
    <xf numFmtId="0" fontId="52" fillId="0" borderId="23" xfId="0" applyFont="1" applyFill="1" applyBorder="1"/>
    <xf numFmtId="0" fontId="52" fillId="29" borderId="14" xfId="0" applyFont="1" applyFill="1" applyBorder="1"/>
    <xf numFmtId="0" fontId="52" fillId="29" borderId="15" xfId="0" applyFont="1" applyFill="1" applyBorder="1"/>
    <xf numFmtId="0" fontId="52" fillId="29" borderId="17" xfId="0" applyFont="1" applyFill="1" applyBorder="1"/>
    <xf numFmtId="0" fontId="52" fillId="0" borderId="0" xfId="0" applyFont="1" applyProtection="1"/>
    <xf numFmtId="0" fontId="52" fillId="0" borderId="10" xfId="0" applyFont="1" applyBorder="1" applyAlignment="1">
      <alignment horizontal="right"/>
    </xf>
    <xf numFmtId="0" fontId="52" fillId="0" borderId="11" xfId="0" applyFont="1" applyBorder="1"/>
    <xf numFmtId="0" fontId="52" fillId="0" borderId="12" xfId="0" applyFont="1" applyBorder="1"/>
    <xf numFmtId="0" fontId="52" fillId="0" borderId="13" xfId="0" applyFont="1" applyBorder="1" applyAlignment="1">
      <alignment horizontal="center"/>
    </xf>
    <xf numFmtId="0" fontId="52" fillId="0" borderId="0" xfId="0" applyFont="1" applyBorder="1" applyAlignment="1">
      <alignment horizontal="center"/>
    </xf>
    <xf numFmtId="0" fontId="52" fillId="0" borderId="14" xfId="0" applyFont="1" applyBorder="1"/>
    <xf numFmtId="0" fontId="52" fillId="29" borderId="10" xfId="0" applyFont="1" applyFill="1" applyBorder="1" applyAlignment="1">
      <alignment horizontal="center"/>
    </xf>
    <xf numFmtId="0" fontId="52" fillId="28" borderId="19" xfId="0" applyFont="1" applyFill="1" applyBorder="1" applyAlignment="1">
      <alignment horizontal="center"/>
    </xf>
    <xf numFmtId="0" fontId="52" fillId="33" borderId="19" xfId="0" applyFont="1" applyFill="1" applyBorder="1" applyAlignment="1">
      <alignment horizontal="center"/>
    </xf>
    <xf numFmtId="0" fontId="52" fillId="34" borderId="19" xfId="0" applyFont="1" applyFill="1" applyBorder="1" applyAlignment="1">
      <alignment horizontal="center"/>
    </xf>
    <xf numFmtId="0" fontId="52" fillId="0" borderId="10" xfId="0" applyFont="1" applyBorder="1" applyAlignment="1">
      <alignment horizontal="center"/>
    </xf>
    <xf numFmtId="0" fontId="52" fillId="0" borderId="11" xfId="0" applyFont="1" applyBorder="1" applyAlignment="1">
      <alignment horizontal="center"/>
    </xf>
    <xf numFmtId="0" fontId="52" fillId="0" borderId="12" xfId="0" applyFont="1" applyBorder="1" applyAlignment="1">
      <alignment horizontal="center"/>
    </xf>
    <xf numFmtId="0" fontId="52" fillId="0" borderId="13" xfId="0" applyFont="1" applyBorder="1"/>
    <xf numFmtId="0" fontId="52" fillId="0" borderId="20" xfId="0" applyFont="1" applyBorder="1"/>
    <xf numFmtId="0" fontId="52" fillId="28" borderId="20" xfId="0" applyFont="1" applyFill="1" applyBorder="1"/>
    <xf numFmtId="0" fontId="52" fillId="26" borderId="20" xfId="0" applyFont="1" applyFill="1" applyBorder="1"/>
    <xf numFmtId="0" fontId="52" fillId="0" borderId="0" xfId="0" applyFont="1" applyAlignment="1">
      <alignment horizontal="center"/>
    </xf>
    <xf numFmtId="0" fontId="52" fillId="0" borderId="0" xfId="0" applyFont="1" applyFill="1" applyBorder="1" applyAlignment="1">
      <alignment horizontal="right"/>
    </xf>
    <xf numFmtId="0" fontId="52" fillId="0" borderId="0" xfId="0" applyFont="1" applyBorder="1" applyAlignment="1">
      <alignment horizontal="right"/>
    </xf>
    <xf numFmtId="0" fontId="52" fillId="30" borderId="0" xfId="0" applyFont="1" applyFill="1" applyProtection="1"/>
    <xf numFmtId="0" fontId="52" fillId="30" borderId="0" xfId="0" applyFont="1" applyFill="1"/>
    <xf numFmtId="0" fontId="52" fillId="0" borderId="10" xfId="0" applyFont="1" applyBorder="1"/>
    <xf numFmtId="0" fontId="52" fillId="0" borderId="11" xfId="0" applyFont="1" applyBorder="1" applyAlignment="1">
      <alignment horizontal="right"/>
    </xf>
    <xf numFmtId="0" fontId="52" fillId="0" borderId="11" xfId="0" applyFont="1" applyBorder="1" applyAlignment="1">
      <alignment horizontal="left"/>
    </xf>
    <xf numFmtId="0" fontId="52" fillId="0" borderId="11" xfId="0" applyFont="1" applyFill="1" applyBorder="1" applyAlignment="1">
      <alignment horizontal="right"/>
    </xf>
    <xf numFmtId="0" fontId="52" fillId="0" borderId="12" xfId="0" applyFont="1" applyFill="1" applyBorder="1"/>
    <xf numFmtId="0" fontId="52" fillId="0" borderId="15" xfId="0" applyFont="1" applyBorder="1"/>
    <xf numFmtId="0" fontId="52" fillId="0" borderId="16" xfId="0" applyFont="1" applyBorder="1" applyAlignment="1">
      <alignment horizontal="right"/>
    </xf>
    <xf numFmtId="167" fontId="52" fillId="0" borderId="16" xfId="0" applyNumberFormat="1" applyFont="1" applyBorder="1"/>
    <xf numFmtId="0" fontId="52" fillId="0" borderId="17" xfId="0" applyFont="1" applyBorder="1"/>
    <xf numFmtId="0" fontId="52" fillId="0" borderId="0" xfId="0" applyNumberFormat="1" applyFont="1"/>
    <xf numFmtId="0" fontId="52" fillId="26" borderId="23" xfId="0" applyFont="1" applyFill="1" applyBorder="1"/>
    <xf numFmtId="0" fontId="52" fillId="0" borderId="22" xfId="0" applyFont="1" applyBorder="1"/>
    <xf numFmtId="0" fontId="52" fillId="0" borderId="24" xfId="0" applyFont="1" applyBorder="1"/>
    <xf numFmtId="0" fontId="52" fillId="0" borderId="18" xfId="0" applyFont="1" applyBorder="1"/>
    <xf numFmtId="0" fontId="52" fillId="35" borderId="22" xfId="0" applyFont="1" applyFill="1" applyBorder="1"/>
    <xf numFmtId="0" fontId="52" fillId="35" borderId="24" xfId="0" applyFont="1" applyFill="1" applyBorder="1"/>
    <xf numFmtId="0" fontId="52" fillId="35" borderId="18" xfId="0" applyFont="1" applyFill="1" applyBorder="1"/>
    <xf numFmtId="0" fontId="40" fillId="0" borderId="0" xfId="0" applyFont="1"/>
    <xf numFmtId="0" fontId="52" fillId="0" borderId="0" xfId="0" applyFont="1" applyAlignment="1">
      <alignment vertical="center"/>
    </xf>
    <xf numFmtId="0" fontId="52" fillId="26" borderId="13" xfId="0" applyFont="1" applyFill="1" applyBorder="1"/>
    <xf numFmtId="0" fontId="52" fillId="26" borderId="0" xfId="0" applyFont="1" applyFill="1" applyBorder="1"/>
    <xf numFmtId="0" fontId="8" fillId="26" borderId="0" xfId="0" applyFont="1" applyFill="1" applyBorder="1" applyAlignment="1">
      <alignment horizontal="right" vertical="center"/>
    </xf>
    <xf numFmtId="0" fontId="52" fillId="26" borderId="15" xfId="0" applyFont="1" applyFill="1" applyBorder="1"/>
    <xf numFmtId="0" fontId="31" fillId="26" borderId="11" xfId="0" applyFont="1" applyFill="1" applyBorder="1"/>
    <xf numFmtId="0" fontId="52" fillId="27" borderId="11" xfId="0" applyFont="1" applyFill="1" applyBorder="1"/>
    <xf numFmtId="0" fontId="52" fillId="27" borderId="13" xfId="0" applyFont="1" applyFill="1" applyBorder="1"/>
    <xf numFmtId="0" fontId="52" fillId="27" borderId="0" xfId="0" applyFont="1" applyFill="1" applyBorder="1"/>
    <xf numFmtId="0" fontId="52" fillId="27" borderId="0" xfId="0" applyFont="1" applyFill="1" applyBorder="1" applyAlignment="1">
      <alignment horizontal="right"/>
    </xf>
    <xf numFmtId="0" fontId="52" fillId="27" borderId="15" xfId="0" applyFont="1" applyFill="1" applyBorder="1"/>
    <xf numFmtId="0" fontId="52" fillId="27" borderId="16" xfId="0" applyFont="1" applyFill="1" applyBorder="1"/>
    <xf numFmtId="0" fontId="52" fillId="28" borderId="11" xfId="0" applyFont="1" applyFill="1" applyBorder="1"/>
    <xf numFmtId="0" fontId="52" fillId="28" borderId="12" xfId="0" applyFont="1" applyFill="1" applyBorder="1"/>
    <xf numFmtId="0" fontId="52" fillId="28" borderId="15" xfId="0" applyFont="1" applyFill="1" applyBorder="1"/>
    <xf numFmtId="0" fontId="52" fillId="28" borderId="16" xfId="0" applyFont="1" applyFill="1" applyBorder="1"/>
    <xf numFmtId="0" fontId="52" fillId="28" borderId="17" xfId="0" applyFont="1" applyFill="1" applyBorder="1"/>
    <xf numFmtId="0" fontId="52" fillId="24" borderId="0" xfId="0" applyFont="1" applyFill="1" applyProtection="1">
      <protection locked="0"/>
    </xf>
    <xf numFmtId="0" fontId="52" fillId="24" borderId="12" xfId="0" applyFont="1" applyFill="1" applyBorder="1"/>
    <xf numFmtId="0" fontId="52" fillId="24" borderId="14" xfId="0" applyFont="1" applyFill="1" applyBorder="1"/>
    <xf numFmtId="0" fontId="52" fillId="24" borderId="17" xfId="0" applyFont="1" applyFill="1" applyBorder="1"/>
    <xf numFmtId="0" fontId="52" fillId="31" borderId="0" xfId="0" applyFont="1" applyFill="1" applyProtection="1"/>
    <xf numFmtId="0" fontId="52" fillId="0" borderId="10" xfId="0" applyFont="1" applyBorder="1" applyAlignment="1">
      <alignment horizontal="left"/>
    </xf>
    <xf numFmtId="0" fontId="52" fillId="31" borderId="0" xfId="0" applyFont="1" applyFill="1" applyProtection="1">
      <protection locked="0"/>
    </xf>
    <xf numFmtId="0" fontId="66" fillId="24" borderId="0" xfId="0" applyFont="1" applyFill="1" applyBorder="1" applyAlignment="1">
      <alignment horizontal="right"/>
    </xf>
    <xf numFmtId="0" fontId="52" fillId="0" borderId="0" xfId="0" quotePrefix="1" applyFont="1"/>
    <xf numFmtId="0" fontId="5" fillId="29" borderId="11" xfId="0" applyFont="1" applyFill="1" applyBorder="1" applyAlignment="1">
      <alignment horizontal="center"/>
    </xf>
    <xf numFmtId="0" fontId="52" fillId="29" borderId="10" xfId="0" applyFont="1" applyFill="1" applyBorder="1"/>
    <xf numFmtId="0" fontId="31" fillId="28" borderId="11" xfId="0" applyFont="1" applyFill="1" applyBorder="1"/>
    <xf numFmtId="168" fontId="52" fillId="0" borderId="23" xfId="0" applyNumberFormat="1" applyFont="1" applyFill="1" applyBorder="1" applyAlignment="1"/>
    <xf numFmtId="0" fontId="52" fillId="35" borderId="0" xfId="0" applyFont="1" applyFill="1" applyBorder="1" applyAlignment="1">
      <alignment horizontal="center"/>
    </xf>
    <xf numFmtId="0" fontId="70" fillId="0" borderId="43" xfId="0" applyFont="1" applyBorder="1" applyAlignment="1">
      <alignment horizontal="center"/>
    </xf>
    <xf numFmtId="0" fontId="70" fillId="35" borderId="43" xfId="0" applyFont="1" applyFill="1" applyBorder="1" applyAlignment="1">
      <alignment horizontal="center"/>
    </xf>
    <xf numFmtId="0" fontId="52" fillId="35" borderId="43" xfId="0" applyFont="1" applyFill="1" applyBorder="1"/>
    <xf numFmtId="0" fontId="52" fillId="0" borderId="43" xfId="0" applyFont="1" applyBorder="1"/>
    <xf numFmtId="0" fontId="52" fillId="35" borderId="0" xfId="0" applyFont="1" applyFill="1"/>
    <xf numFmtId="0" fontId="52" fillId="0" borderId="13" xfId="0" applyFont="1" applyBorder="1" applyAlignment="1">
      <alignment horizontal="right"/>
    </xf>
    <xf numFmtId="0" fontId="52" fillId="0" borderId="15" xfId="0" applyFont="1" applyBorder="1" applyAlignment="1">
      <alignment horizontal="right"/>
    </xf>
    <xf numFmtId="169" fontId="52" fillId="0" borderId="0" xfId="0" applyNumberFormat="1" applyFont="1"/>
    <xf numFmtId="0" fontId="52" fillId="0" borderId="24" xfId="0" quotePrefix="1" applyFont="1" applyBorder="1" applyAlignment="1">
      <alignment horizontal="right"/>
    </xf>
    <xf numFmtId="0" fontId="52" fillId="29" borderId="11" xfId="0" applyFont="1" applyFill="1" applyBorder="1" applyAlignment="1">
      <alignment horizontal="center"/>
    </xf>
    <xf numFmtId="0" fontId="52" fillId="31" borderId="10" xfId="0" applyFont="1" applyFill="1" applyBorder="1"/>
    <xf numFmtId="0" fontId="52" fillId="31" borderId="12" xfId="0" applyFont="1" applyFill="1" applyBorder="1"/>
    <xf numFmtId="0" fontId="52" fillId="0" borderId="0" xfId="0" applyFont="1" applyFill="1" applyProtection="1"/>
    <xf numFmtId="0" fontId="52" fillId="24" borderId="23" xfId="0" applyFont="1" applyFill="1" applyBorder="1" applyProtection="1">
      <protection locked="0"/>
    </xf>
    <xf numFmtId="0" fontId="35" fillId="27" borderId="11" xfId="0" applyFont="1" applyFill="1" applyBorder="1"/>
    <xf numFmtId="49" fontId="52" fillId="26" borderId="0" xfId="0" applyNumberFormat="1" applyFont="1" applyFill="1" applyBorder="1" applyAlignment="1">
      <alignment horizontal="right"/>
    </xf>
    <xf numFmtId="0" fontId="52" fillId="29" borderId="19" xfId="0" applyFont="1" applyFill="1" applyBorder="1"/>
    <xf numFmtId="0" fontId="52" fillId="29" borderId="20" xfId="0" applyFont="1" applyFill="1" applyBorder="1"/>
    <xf numFmtId="0" fontId="52" fillId="29" borderId="21" xfId="0" applyFont="1" applyFill="1" applyBorder="1"/>
    <xf numFmtId="1" fontId="52" fillId="0" borderId="11" xfId="0" applyNumberFormat="1" applyFont="1" applyBorder="1" applyAlignment="1">
      <alignment horizontal="left"/>
    </xf>
    <xf numFmtId="1" fontId="52" fillId="0" borderId="0" xfId="0" applyNumberFormat="1" applyFont="1" applyBorder="1" applyAlignment="1">
      <alignment horizontal="left"/>
    </xf>
    <xf numFmtId="1" fontId="52" fillId="0" borderId="16" xfId="0" applyNumberFormat="1" applyFont="1" applyBorder="1" applyAlignment="1">
      <alignment horizontal="left"/>
    </xf>
    <xf numFmtId="0" fontId="52" fillId="0" borderId="0" xfId="0" applyFont="1" applyBorder="1" applyProtection="1">
      <protection locked="0"/>
    </xf>
    <xf numFmtId="1" fontId="52" fillId="29" borderId="11" xfId="0" applyNumberFormat="1" applyFont="1" applyFill="1" applyBorder="1" applyAlignment="1">
      <alignment horizontal="left"/>
    </xf>
    <xf numFmtId="1" fontId="52" fillId="29" borderId="0" xfId="0" applyNumberFormat="1" applyFont="1" applyFill="1" applyBorder="1" applyAlignment="1">
      <alignment horizontal="left"/>
    </xf>
    <xf numFmtId="1" fontId="52" fillId="29" borderId="16" xfId="0" applyNumberFormat="1" applyFont="1" applyFill="1" applyBorder="1" applyAlignment="1">
      <alignment horizontal="left"/>
    </xf>
    <xf numFmtId="0" fontId="8" fillId="35" borderId="22" xfId="0" applyFont="1" applyFill="1" applyBorder="1"/>
    <xf numFmtId="0" fontId="5" fillId="0" borderId="0" xfId="0" applyFont="1" applyFill="1" applyBorder="1" applyAlignment="1">
      <alignment horizontal="center"/>
    </xf>
    <xf numFmtId="0" fontId="31" fillId="0" borderId="0" xfId="0" applyFont="1" applyFill="1" applyBorder="1"/>
    <xf numFmtId="0" fontId="52" fillId="26" borderId="12" xfId="0" applyFont="1" applyFill="1" applyBorder="1"/>
    <xf numFmtId="0" fontId="52" fillId="26" borderId="14" xfId="0" applyFont="1" applyFill="1" applyBorder="1"/>
    <xf numFmtId="0" fontId="8" fillId="26" borderId="14" xfId="0" applyFont="1" applyFill="1" applyBorder="1" applyAlignment="1">
      <alignment horizontal="right" vertical="center"/>
    </xf>
    <xf numFmtId="0" fontId="52" fillId="26" borderId="17" xfId="0" applyFont="1" applyFill="1" applyBorder="1"/>
    <xf numFmtId="0" fontId="52" fillId="27" borderId="12" xfId="0" applyFont="1" applyFill="1" applyBorder="1"/>
    <xf numFmtId="0" fontId="52" fillId="27" borderId="14" xfId="0" applyFont="1" applyFill="1" applyBorder="1"/>
    <xf numFmtId="0" fontId="52" fillId="27" borderId="17" xfId="0" applyFont="1" applyFill="1" applyBorder="1"/>
    <xf numFmtId="0" fontId="5" fillId="24" borderId="13" xfId="0" applyFont="1" applyFill="1" applyBorder="1" applyAlignment="1">
      <alignment horizontal="center"/>
    </xf>
    <xf numFmtId="0" fontId="31" fillId="24" borderId="0" xfId="0" applyFont="1" applyFill="1" applyBorder="1"/>
    <xf numFmtId="0" fontId="70" fillId="0" borderId="0" xfId="0" applyFont="1" applyBorder="1" applyAlignment="1">
      <alignment horizontal="center"/>
    </xf>
    <xf numFmtId="0" fontId="8" fillId="27" borderId="0" xfId="0" applyFont="1" applyFill="1" applyBorder="1"/>
    <xf numFmtId="1" fontId="30" fillId="0" borderId="0" xfId="0" applyNumberFormat="1" applyFont="1" applyAlignment="1">
      <alignment horizontal="right"/>
    </xf>
    <xf numFmtId="0" fontId="34" fillId="24" borderId="0" xfId="0" applyFont="1" applyFill="1" applyBorder="1"/>
    <xf numFmtId="49" fontId="5" fillId="0" borderId="0" xfId="0" applyNumberFormat="1" applyFont="1" applyAlignment="1">
      <alignment horizontal="right"/>
    </xf>
    <xf numFmtId="0" fontId="5" fillId="24" borderId="13" xfId="0" quotePrefix="1" applyFont="1" applyFill="1" applyBorder="1" applyAlignment="1" applyProtection="1">
      <alignment horizontal="right"/>
    </xf>
    <xf numFmtId="0" fontId="30" fillId="24" borderId="11" xfId="0" applyFont="1" applyFill="1" applyBorder="1" applyAlignment="1">
      <alignment horizontal="right"/>
    </xf>
    <xf numFmtId="0" fontId="30" fillId="0" borderId="22" xfId="0" applyFont="1" applyFill="1" applyBorder="1" applyAlignment="1" applyProtection="1">
      <alignment horizontal="left" vertical="center"/>
      <protection locked="0"/>
    </xf>
    <xf numFmtId="0" fontId="30" fillId="0" borderId="18" xfId="0" applyFont="1" applyFill="1" applyBorder="1" applyAlignment="1" applyProtection="1">
      <alignment vertical="center"/>
    </xf>
    <xf numFmtId="0" fontId="30" fillId="24" borderId="19" xfId="0" applyFont="1" applyFill="1" applyBorder="1"/>
    <xf numFmtId="0" fontId="5" fillId="24" borderId="0" xfId="0" applyFont="1" applyFill="1" applyBorder="1" applyAlignment="1">
      <alignment horizontal="center"/>
    </xf>
    <xf numFmtId="49" fontId="30" fillId="24" borderId="0" xfId="0" applyNumberFormat="1" applyFont="1" applyFill="1" applyBorder="1" applyAlignment="1">
      <alignment horizontal="right"/>
    </xf>
    <xf numFmtId="0" fontId="30" fillId="0" borderId="24" xfId="0" applyFont="1" applyFill="1" applyBorder="1" applyAlignment="1" applyProtection="1">
      <alignment vertical="center"/>
    </xf>
    <xf numFmtId="0" fontId="5" fillId="24" borderId="14" xfId="0" applyFont="1" applyFill="1" applyBorder="1" applyAlignment="1">
      <alignment horizontal="center"/>
    </xf>
    <xf numFmtId="0" fontId="32" fillId="24" borderId="23" xfId="0" applyFont="1" applyFill="1" applyBorder="1" applyAlignment="1">
      <alignment horizontal="center"/>
    </xf>
    <xf numFmtId="0" fontId="5" fillId="24" borderId="13" xfId="0" applyFont="1" applyFill="1" applyBorder="1" applyAlignment="1" applyProtection="1">
      <alignment horizontal="left"/>
    </xf>
    <xf numFmtId="0" fontId="30" fillId="24" borderId="14" xfId="0" applyFont="1" applyFill="1" applyBorder="1" applyAlignment="1">
      <alignment horizontal="center"/>
    </xf>
    <xf numFmtId="0" fontId="52" fillId="0" borderId="0" xfId="0" applyFont="1" applyFill="1" applyBorder="1" applyAlignment="1" applyProtection="1">
      <alignment horizontal="center"/>
      <protection locked="0"/>
    </xf>
    <xf numFmtId="0" fontId="5" fillId="24" borderId="20" xfId="0" applyFont="1" applyFill="1" applyBorder="1" applyAlignment="1">
      <alignment horizontal="center"/>
    </xf>
    <xf numFmtId="0" fontId="37" fillId="0" borderId="22" xfId="0" applyFont="1" applyFill="1" applyBorder="1" applyAlignment="1" applyProtection="1">
      <alignment horizontal="left"/>
      <protection locked="0"/>
    </xf>
    <xf numFmtId="0" fontId="37" fillId="0" borderId="18" xfId="0" applyFont="1" applyFill="1" applyBorder="1" applyAlignment="1" applyProtection="1"/>
    <xf numFmtId="49" fontId="5" fillId="26" borderId="10" xfId="0" applyNumberFormat="1" applyFont="1" applyFill="1" applyBorder="1" applyAlignment="1">
      <alignment horizontal="center" vertical="center"/>
    </xf>
    <xf numFmtId="0" fontId="37" fillId="0" borderId="21" xfId="0" applyNumberFormat="1" applyFont="1" applyFill="1" applyBorder="1" applyAlignment="1" applyProtection="1">
      <alignment horizontal="right" vertical="center"/>
      <protection locked="0"/>
    </xf>
    <xf numFmtId="0" fontId="2" fillId="24" borderId="0" xfId="0" applyNumberFormat="1" applyFont="1" applyFill="1" applyBorder="1" applyAlignment="1">
      <alignment vertical="center"/>
    </xf>
    <xf numFmtId="0" fontId="37" fillId="0" borderId="21" xfId="0" applyNumberFormat="1" applyFont="1" applyFill="1" applyBorder="1" applyAlignment="1" applyProtection="1">
      <alignment vertical="center"/>
      <protection locked="0"/>
    </xf>
    <xf numFmtId="0" fontId="30" fillId="24" borderId="13" xfId="0" applyFont="1" applyFill="1" applyBorder="1" applyAlignment="1" applyProtection="1"/>
    <xf numFmtId="0" fontId="30" fillId="24" borderId="14" xfId="0" applyFont="1" applyFill="1" applyBorder="1" applyAlignment="1" applyProtection="1"/>
    <xf numFmtId="0" fontId="30" fillId="0" borderId="23" xfId="0" applyFont="1" applyFill="1" applyBorder="1" applyProtection="1">
      <protection locked="0"/>
    </xf>
    <xf numFmtId="0" fontId="2" fillId="24" borderId="13" xfId="0" applyFont="1" applyFill="1" applyBorder="1" applyAlignment="1">
      <alignment horizontal="right"/>
    </xf>
    <xf numFmtId="0" fontId="37" fillId="0" borderId="23" xfId="0" applyNumberFormat="1" applyFont="1" applyFill="1" applyBorder="1" applyAlignment="1" applyProtection="1">
      <alignment horizontal="right" vertical="center"/>
      <protection locked="0"/>
    </xf>
    <xf numFmtId="0" fontId="37" fillId="24" borderId="0" xfId="0" applyNumberFormat="1" applyFont="1" applyFill="1" applyBorder="1" applyAlignment="1" applyProtection="1">
      <alignment horizontal="right" vertical="center"/>
    </xf>
    <xf numFmtId="0" fontId="37" fillId="0" borderId="23" xfId="0" applyNumberFormat="1" applyFont="1" applyFill="1" applyBorder="1" applyAlignment="1" applyProtection="1">
      <alignment vertical="center"/>
      <protection locked="0"/>
    </xf>
    <xf numFmtId="0" fontId="30" fillId="26" borderId="0" xfId="0" applyFont="1" applyFill="1" applyBorder="1" applyAlignment="1">
      <alignment horizontal="right"/>
    </xf>
    <xf numFmtId="0" fontId="30" fillId="26" borderId="14" xfId="0" applyFont="1" applyFill="1" applyBorder="1" applyAlignment="1">
      <alignment horizontal="left"/>
    </xf>
    <xf numFmtId="0" fontId="30" fillId="0" borderId="23" xfId="0" applyFont="1" applyFill="1" applyBorder="1" applyAlignment="1" applyProtection="1">
      <alignment horizontal="right" vertical="center"/>
      <protection locked="0"/>
    </xf>
    <xf numFmtId="0" fontId="30" fillId="27" borderId="0" xfId="0" applyFont="1" applyFill="1" applyBorder="1" applyAlignment="1">
      <alignment horizontal="right"/>
    </xf>
    <xf numFmtId="0" fontId="30" fillId="27" borderId="0" xfId="0" applyFont="1" applyFill="1" applyBorder="1"/>
    <xf numFmtId="0" fontId="32" fillId="27" borderId="0" xfId="0" applyFont="1" applyFill="1" applyBorder="1" applyAlignment="1">
      <alignment horizontal="center"/>
    </xf>
    <xf numFmtId="0" fontId="30" fillId="27" borderId="14" xfId="0" applyFont="1" applyFill="1" applyBorder="1"/>
    <xf numFmtId="0" fontId="37" fillId="0" borderId="23" xfId="0" applyFont="1" applyFill="1" applyBorder="1" applyAlignment="1">
      <alignment horizontal="center"/>
    </xf>
    <xf numFmtId="0" fontId="30" fillId="27" borderId="0" xfId="0" applyFont="1" applyFill="1" applyBorder="1" applyAlignment="1">
      <alignment horizontal="center"/>
    </xf>
    <xf numFmtId="0" fontId="30" fillId="0" borderId="23" xfId="0" applyFont="1" applyFill="1" applyBorder="1" applyAlignment="1" applyProtection="1">
      <alignment horizontal="right"/>
      <protection locked="0"/>
    </xf>
    <xf numFmtId="0" fontId="8" fillId="27" borderId="0" xfId="0" applyFont="1" applyFill="1" applyBorder="1" applyAlignment="1">
      <alignment horizontal="right"/>
    </xf>
    <xf numFmtId="0" fontId="30" fillId="0" borderId="21" xfId="0" applyNumberFormat="1" applyFont="1" applyFill="1" applyBorder="1" applyAlignment="1">
      <alignment horizontal="right" vertical="center"/>
    </xf>
    <xf numFmtId="0" fontId="30" fillId="0" borderId="23" xfId="0" applyNumberFormat="1" applyFont="1" applyFill="1" applyBorder="1" applyAlignment="1">
      <alignment horizontal="right" vertical="center"/>
    </xf>
    <xf numFmtId="0" fontId="37" fillId="0" borderId="23" xfId="0" applyNumberFormat="1" applyFont="1" applyFill="1" applyBorder="1" applyAlignment="1">
      <alignment vertical="center"/>
    </xf>
    <xf numFmtId="0" fontId="8" fillId="27" borderId="0" xfId="0" applyNumberFormat="1" applyFont="1" applyFill="1" applyBorder="1" applyAlignment="1">
      <alignment horizontal="right"/>
    </xf>
    <xf numFmtId="0" fontId="30" fillId="27" borderId="0" xfId="0" applyFont="1" applyFill="1"/>
    <xf numFmtId="0" fontId="30" fillId="27" borderId="16" xfId="0" applyFont="1" applyFill="1" applyBorder="1" applyAlignment="1">
      <alignment horizontal="right"/>
    </xf>
    <xf numFmtId="0" fontId="8" fillId="27" borderId="16" xfId="0" applyNumberFormat="1" applyFont="1" applyFill="1" applyBorder="1" applyAlignment="1">
      <alignment horizontal="right"/>
    </xf>
    <xf numFmtId="1" fontId="30" fillId="0" borderId="0" xfId="0" applyNumberFormat="1" applyFont="1" applyAlignment="1">
      <alignment horizontal="right" vertical="center"/>
    </xf>
    <xf numFmtId="2" fontId="30" fillId="0" borderId="11" xfId="0" applyNumberFormat="1" applyFont="1" applyBorder="1"/>
    <xf numFmtId="0" fontId="30" fillId="28" borderId="11" xfId="0" applyFont="1" applyFill="1" applyBorder="1"/>
    <xf numFmtId="0" fontId="30" fillId="28" borderId="0" xfId="0" applyFont="1" applyFill="1" applyBorder="1"/>
    <xf numFmtId="0" fontId="37" fillId="0" borderId="19" xfId="0" applyNumberFormat="1" applyFont="1" applyFill="1" applyBorder="1" applyAlignment="1">
      <alignment vertical="center"/>
    </xf>
    <xf numFmtId="0" fontId="30" fillId="28" borderId="0" xfId="0" applyFont="1" applyFill="1"/>
    <xf numFmtId="0" fontId="37" fillId="0" borderId="21" xfId="0" applyNumberFormat="1" applyFont="1" applyFill="1" applyBorder="1"/>
    <xf numFmtId="0" fontId="2" fillId="24" borderId="13" xfId="0" applyFont="1" applyFill="1" applyBorder="1" applyAlignment="1">
      <alignment horizontal="right" vertical="center"/>
    </xf>
    <xf numFmtId="0" fontId="30" fillId="24" borderId="14" xfId="0" applyFont="1" applyFill="1" applyBorder="1" applyAlignment="1">
      <alignment vertical="center"/>
    </xf>
    <xf numFmtId="164" fontId="32" fillId="0" borderId="18" xfId="0" applyNumberFormat="1" applyFont="1" applyFill="1" applyBorder="1"/>
    <xf numFmtId="0" fontId="30" fillId="0" borderId="23" xfId="0" applyNumberFormat="1" applyFont="1" applyFill="1" applyBorder="1" applyAlignment="1"/>
    <xf numFmtId="0" fontId="30" fillId="28" borderId="16" xfId="0" applyFont="1" applyFill="1" applyBorder="1"/>
    <xf numFmtId="0" fontId="31" fillId="29" borderId="14" xfId="0" applyFont="1" applyFill="1" applyBorder="1"/>
    <xf numFmtId="2" fontId="30" fillId="0" borderId="0" xfId="0" applyNumberFormat="1" applyFont="1"/>
    <xf numFmtId="2" fontId="30" fillId="0" borderId="0" xfId="0" applyNumberFormat="1" applyFont="1" applyAlignment="1">
      <alignment horizontal="right"/>
    </xf>
    <xf numFmtId="0" fontId="30" fillId="0" borderId="11" xfId="0" applyNumberFormat="1" applyFont="1" applyBorder="1"/>
    <xf numFmtId="0" fontId="30" fillId="0" borderId="16" xfId="0" applyNumberFormat="1" applyFont="1" applyBorder="1" applyAlignment="1">
      <alignment vertical="center"/>
    </xf>
    <xf numFmtId="2" fontId="30" fillId="0" borderId="16" xfId="0" applyNumberFormat="1" applyFont="1" applyBorder="1"/>
    <xf numFmtId="0" fontId="30" fillId="28" borderId="10" xfId="0" applyFont="1" applyFill="1" applyBorder="1" applyAlignment="1">
      <alignment horizontal="left"/>
    </xf>
    <xf numFmtId="2" fontId="30" fillId="0" borderId="0" xfId="0" applyNumberFormat="1" applyFont="1" applyBorder="1"/>
    <xf numFmtId="170" fontId="30" fillId="0" borderId="16" xfId="0" applyNumberFormat="1" applyFont="1" applyBorder="1"/>
    <xf numFmtId="0" fontId="37" fillId="0" borderId="23" xfId="0" applyNumberFormat="1" applyFont="1" applyFill="1" applyBorder="1" applyAlignment="1" applyProtection="1">
      <alignment horizontal="right"/>
      <protection locked="0"/>
    </xf>
    <xf numFmtId="0" fontId="37" fillId="24" borderId="0" xfId="0" applyNumberFormat="1" applyFont="1" applyFill="1" applyBorder="1" applyAlignment="1" applyProtection="1">
      <alignment horizontal="right"/>
    </xf>
    <xf numFmtId="0" fontId="2" fillId="24" borderId="0" xfId="0" applyNumberFormat="1" applyFont="1" applyFill="1" applyBorder="1" applyAlignment="1"/>
    <xf numFmtId="0" fontId="37" fillId="0" borderId="23" xfId="0" applyNumberFormat="1" applyFont="1" applyFill="1" applyBorder="1" applyProtection="1">
      <protection locked="0"/>
    </xf>
    <xf numFmtId="1" fontId="52" fillId="0" borderId="0" xfId="0" applyNumberFormat="1" applyFont="1" applyAlignment="1">
      <alignment horizontal="right"/>
    </xf>
    <xf numFmtId="0" fontId="31" fillId="27" borderId="0" xfId="0" applyFont="1" applyFill="1" applyBorder="1"/>
    <xf numFmtId="167" fontId="45" fillId="0" borderId="23" xfId="0" applyNumberFormat="1" applyFont="1" applyFill="1" applyBorder="1" applyAlignment="1">
      <alignment vertical="center"/>
    </xf>
    <xf numFmtId="0" fontId="31" fillId="27" borderId="0" xfId="0" applyFont="1" applyFill="1" applyBorder="1" applyAlignment="1"/>
    <xf numFmtId="0" fontId="32" fillId="27" borderId="16" xfId="0" applyFont="1" applyFill="1" applyBorder="1" applyAlignment="1">
      <alignment horizontal="center"/>
    </xf>
    <xf numFmtId="49" fontId="5" fillId="27" borderId="11" xfId="0" applyNumberFormat="1" applyFont="1" applyFill="1" applyBorder="1" applyAlignment="1">
      <alignment horizontal="center"/>
    </xf>
    <xf numFmtId="0" fontId="31" fillId="27" borderId="11" xfId="0" applyFont="1" applyFill="1" applyBorder="1"/>
    <xf numFmtId="0" fontId="30" fillId="27" borderId="0" xfId="0" applyFont="1" applyFill="1" applyBorder="1" applyAlignment="1">
      <alignment vertical="center"/>
    </xf>
    <xf numFmtId="0" fontId="30" fillId="27" borderId="20" xfId="0" applyNumberFormat="1" applyFont="1" applyFill="1" applyBorder="1"/>
    <xf numFmtId="0" fontId="31" fillId="27" borderId="20" xfId="0" applyNumberFormat="1" applyFont="1" applyFill="1" applyBorder="1" applyAlignment="1">
      <alignment vertical="center"/>
    </xf>
    <xf numFmtId="0" fontId="31" fillId="27" borderId="14" xfId="0" applyFont="1" applyFill="1" applyBorder="1"/>
    <xf numFmtId="0" fontId="30" fillId="27" borderId="14" xfId="0" applyFont="1" applyFill="1" applyBorder="1" applyAlignment="1">
      <alignment horizontal="right"/>
    </xf>
    <xf numFmtId="0" fontId="37" fillId="0" borderId="23" xfId="0" applyFont="1" applyFill="1" applyBorder="1"/>
    <xf numFmtId="0" fontId="5" fillId="27" borderId="11" xfId="0" applyFont="1" applyFill="1" applyBorder="1" applyAlignment="1">
      <alignment horizontal="center" vertical="center"/>
    </xf>
    <xf numFmtId="0" fontId="31" fillId="27" borderId="11" xfId="0" applyFont="1" applyFill="1" applyBorder="1" applyAlignment="1">
      <alignment vertical="center"/>
    </xf>
    <xf numFmtId="0" fontId="30" fillId="27" borderId="11" xfId="0" applyFont="1" applyFill="1" applyBorder="1" applyAlignment="1">
      <alignment vertical="center"/>
    </xf>
    <xf numFmtId="49" fontId="8" fillId="27" borderId="11" xfId="0" applyNumberFormat="1" applyFont="1" applyFill="1" applyBorder="1" applyAlignment="1">
      <alignment horizontal="right"/>
    </xf>
    <xf numFmtId="0" fontId="8" fillId="27" borderId="0" xfId="0" applyFont="1" applyFill="1" applyBorder="1" applyAlignment="1"/>
    <xf numFmtId="0" fontId="31" fillId="27" borderId="0" xfId="0" applyFont="1" applyFill="1" applyBorder="1" applyAlignment="1">
      <alignment horizontal="right"/>
    </xf>
    <xf numFmtId="49" fontId="30" fillId="27" borderId="14" xfId="0" applyNumberFormat="1" applyFont="1" applyFill="1" applyBorder="1" applyAlignment="1">
      <alignment horizontal="right"/>
    </xf>
    <xf numFmtId="0" fontId="30" fillId="27" borderId="0" xfId="0" applyFont="1" applyFill="1" applyBorder="1" applyAlignment="1">
      <alignment horizontal="right" vertical="center"/>
    </xf>
    <xf numFmtId="0" fontId="37" fillId="0" borderId="23" xfId="0" applyFont="1" applyFill="1" applyBorder="1" applyAlignment="1">
      <alignment vertical="center"/>
    </xf>
    <xf numFmtId="0" fontId="30" fillId="0" borderId="23" xfId="0" applyFont="1" applyFill="1" applyBorder="1" applyAlignment="1">
      <alignment vertical="center"/>
    </xf>
    <xf numFmtId="0" fontId="5" fillId="29" borderId="10" xfId="0" applyFont="1" applyFill="1" applyBorder="1" applyAlignment="1">
      <alignment horizontal="center"/>
    </xf>
    <xf numFmtId="0" fontId="52" fillId="29" borderId="0" xfId="0" applyFont="1" applyFill="1" applyBorder="1" applyAlignment="1">
      <alignment horizontal="right"/>
    </xf>
    <xf numFmtId="0" fontId="31" fillId="29" borderId="0" xfId="0" applyFont="1" applyFill="1" applyBorder="1"/>
    <xf numFmtId="0" fontId="8" fillId="29" borderId="0" xfId="0" applyFont="1" applyFill="1" applyBorder="1" applyAlignment="1">
      <alignment horizontal="right"/>
    </xf>
    <xf numFmtId="0" fontId="8" fillId="29" borderId="0" xfId="0" applyNumberFormat="1" applyFont="1" applyFill="1" applyBorder="1" applyAlignment="1">
      <alignment horizontal="right"/>
    </xf>
    <xf numFmtId="0" fontId="30" fillId="29" borderId="16" xfId="0" applyFont="1" applyFill="1" applyBorder="1" applyAlignment="1">
      <alignment horizontal="right"/>
    </xf>
    <xf numFmtId="0" fontId="8" fillId="29" borderId="16" xfId="0" applyNumberFormat="1" applyFont="1" applyFill="1" applyBorder="1" applyAlignment="1">
      <alignment horizontal="right"/>
    </xf>
    <xf numFmtId="0" fontId="30" fillId="29" borderId="0" xfId="0" applyFont="1" applyFill="1" applyBorder="1" applyAlignment="1">
      <alignment vertical="center"/>
    </xf>
    <xf numFmtId="0" fontId="30" fillId="29" borderId="20" xfId="0" applyNumberFormat="1" applyFont="1" applyFill="1" applyBorder="1"/>
    <xf numFmtId="0" fontId="31" fillId="29" borderId="20" xfId="0" applyNumberFormat="1" applyFont="1" applyFill="1" applyBorder="1" applyAlignment="1">
      <alignment vertical="center"/>
    </xf>
    <xf numFmtId="0" fontId="31" fillId="29" borderId="0" xfId="0" applyFont="1" applyFill="1" applyBorder="1" applyAlignment="1">
      <alignment vertical="center"/>
    </xf>
    <xf numFmtId="0" fontId="8" fillId="29" borderId="0" xfId="0" applyFont="1" applyFill="1" applyBorder="1" applyAlignment="1"/>
    <xf numFmtId="0" fontId="8" fillId="28" borderId="0" xfId="0" applyFont="1" applyFill="1" applyBorder="1" applyAlignment="1">
      <alignment horizontal="right" vertical="center"/>
    </xf>
    <xf numFmtId="0" fontId="5" fillId="28" borderId="16" xfId="0" applyFont="1" applyFill="1" applyBorder="1" applyAlignment="1">
      <alignment horizontal="right"/>
    </xf>
    <xf numFmtId="0" fontId="31" fillId="27" borderId="13" xfId="0" applyFont="1" applyFill="1" applyBorder="1" applyAlignment="1">
      <alignment horizontal="left"/>
    </xf>
    <xf numFmtId="0" fontId="30" fillId="31" borderId="18" xfId="0" applyFont="1" applyFill="1" applyBorder="1"/>
    <xf numFmtId="0" fontId="30" fillId="29" borderId="14" xfId="0" applyFont="1" applyFill="1" applyBorder="1" applyAlignment="1">
      <alignment horizontal="right"/>
    </xf>
    <xf numFmtId="0" fontId="31" fillId="29" borderId="0" xfId="0" applyFont="1" applyFill="1" applyBorder="1" applyAlignment="1">
      <alignment horizontal="right" vertical="center"/>
    </xf>
    <xf numFmtId="0" fontId="37" fillId="0" borderId="44" xfId="0" applyNumberFormat="1" applyFont="1" applyFill="1" applyBorder="1"/>
    <xf numFmtId="0" fontId="52" fillId="0" borderId="23" xfId="0" applyFont="1" applyFill="1" applyBorder="1" applyProtection="1">
      <protection locked="0"/>
    </xf>
    <xf numFmtId="0" fontId="30" fillId="26" borderId="16" xfId="0" applyFont="1" applyFill="1" applyBorder="1" applyProtection="1">
      <protection locked="0"/>
    </xf>
    <xf numFmtId="0" fontId="31" fillId="29" borderId="13" xfId="0" applyFont="1" applyFill="1" applyBorder="1" applyAlignment="1"/>
    <xf numFmtId="0" fontId="32" fillId="29" borderId="16" xfId="0" applyFont="1" applyFill="1" applyBorder="1" applyAlignment="1">
      <alignment horizontal="center"/>
    </xf>
    <xf numFmtId="0" fontId="32" fillId="29" borderId="0" xfId="0" applyFont="1" applyFill="1" applyBorder="1" applyAlignment="1">
      <alignment horizontal="center"/>
    </xf>
    <xf numFmtId="49" fontId="5" fillId="29" borderId="10" xfId="0" applyNumberFormat="1" applyFont="1" applyFill="1" applyBorder="1" applyAlignment="1">
      <alignment horizontal="center"/>
    </xf>
    <xf numFmtId="0" fontId="5" fillId="29" borderId="13" xfId="0" applyFont="1" applyFill="1" applyBorder="1" applyAlignment="1">
      <alignment horizontal="center" vertical="center"/>
    </xf>
    <xf numFmtId="0" fontId="30" fillId="28" borderId="14" xfId="0" applyFont="1" applyFill="1" applyBorder="1" applyAlignment="1">
      <alignment horizontal="right" vertical="center"/>
    </xf>
    <xf numFmtId="0" fontId="8" fillId="28" borderId="14" xfId="0" applyFont="1" applyFill="1" applyBorder="1" applyAlignment="1" applyProtection="1">
      <alignment horizontal="right" vertical="center"/>
    </xf>
    <xf numFmtId="0" fontId="45" fillId="31" borderId="0" xfId="0" applyFont="1" applyFill="1" applyAlignment="1">
      <alignment horizontal="center"/>
    </xf>
    <xf numFmtId="0" fontId="30" fillId="31" borderId="13" xfId="0" applyFont="1" applyFill="1" applyBorder="1"/>
    <xf numFmtId="0" fontId="30" fillId="31" borderId="31" xfId="0" applyFont="1" applyFill="1" applyBorder="1"/>
    <xf numFmtId="0" fontId="30" fillId="31" borderId="26" xfId="0" applyFont="1" applyFill="1" applyBorder="1"/>
    <xf numFmtId="0" fontId="30" fillId="31" borderId="25" xfId="0" applyFont="1" applyFill="1" applyBorder="1"/>
    <xf numFmtId="0" fontId="30" fillId="31" borderId="20" xfId="0" applyFont="1" applyFill="1" applyBorder="1"/>
    <xf numFmtId="0" fontId="30" fillId="31" borderId="27" xfId="0" applyFont="1" applyFill="1" applyBorder="1"/>
    <xf numFmtId="0" fontId="30" fillId="31" borderId="28" xfId="0" applyFont="1" applyFill="1" applyBorder="1"/>
    <xf numFmtId="0" fontId="30" fillId="31" borderId="29" xfId="0" applyFont="1" applyFill="1" applyBorder="1"/>
    <xf numFmtId="0" fontId="8" fillId="31" borderId="0" xfId="0" applyFont="1" applyFill="1" applyAlignment="1">
      <alignment horizontal="center"/>
    </xf>
    <xf numFmtId="0" fontId="8" fillId="31" borderId="0" xfId="0" applyFont="1" applyFill="1" applyAlignment="1">
      <alignment horizontal="right"/>
    </xf>
    <xf numFmtId="0" fontId="45" fillId="26" borderId="0" xfId="0" applyFont="1" applyFill="1" applyBorder="1"/>
    <xf numFmtId="0" fontId="30" fillId="0" borderId="45" xfId="0" applyFont="1" applyFill="1" applyBorder="1"/>
    <xf numFmtId="0" fontId="45" fillId="31" borderId="11" xfId="0" applyFont="1" applyFill="1" applyBorder="1"/>
    <xf numFmtId="0" fontId="45" fillId="31" borderId="0" xfId="0" applyFont="1" applyFill="1" applyAlignment="1">
      <alignment horizontal="right"/>
    </xf>
    <xf numFmtId="0" fontId="45" fillId="31" borderId="19" xfId="0" applyFont="1" applyFill="1" applyBorder="1" applyAlignment="1">
      <alignment horizontal="center"/>
    </xf>
    <xf numFmtId="0" fontId="45" fillId="31" borderId="21" xfId="0" applyFont="1" applyFill="1" applyBorder="1" applyProtection="1">
      <protection locked="0"/>
    </xf>
    <xf numFmtId="0" fontId="30" fillId="28" borderId="18" xfId="0" applyFont="1" applyFill="1" applyBorder="1"/>
    <xf numFmtId="0" fontId="45" fillId="28" borderId="18" xfId="0" applyFont="1" applyFill="1" applyBorder="1"/>
    <xf numFmtId="0" fontId="30" fillId="24" borderId="18" xfId="0" applyFont="1" applyFill="1" applyBorder="1" applyAlignment="1">
      <alignment horizontal="center" vertical="center"/>
    </xf>
    <xf numFmtId="0" fontId="30" fillId="24" borderId="18" xfId="0" applyFont="1" applyFill="1" applyBorder="1" applyProtection="1"/>
    <xf numFmtId="0" fontId="30" fillId="0" borderId="23" xfId="0" applyFont="1" applyBorder="1" applyAlignment="1" applyProtection="1">
      <alignment vertical="center"/>
      <protection locked="0"/>
    </xf>
    <xf numFmtId="0" fontId="30" fillId="0" borderId="20" xfId="0" applyFont="1" applyBorder="1" applyAlignment="1" applyProtection="1">
      <alignment vertical="center"/>
      <protection locked="0"/>
    </xf>
    <xf numFmtId="0" fontId="30" fillId="29" borderId="14" xfId="0" applyFont="1" applyFill="1" applyBorder="1" applyAlignment="1">
      <alignment horizontal="center" vertical="center"/>
    </xf>
    <xf numFmtId="0" fontId="30" fillId="31" borderId="14" xfId="0" applyFont="1" applyFill="1" applyBorder="1" applyProtection="1"/>
    <xf numFmtId="0" fontId="52" fillId="0" borderId="23" xfId="0" applyNumberFormat="1" applyFont="1" applyFill="1" applyBorder="1" applyAlignment="1" applyProtection="1">
      <alignment vertical="center"/>
      <protection locked="0"/>
    </xf>
    <xf numFmtId="167" fontId="30" fillId="0" borderId="0" xfId="0" applyNumberFormat="1" applyFont="1" applyFill="1" applyBorder="1" applyAlignment="1">
      <alignment horizontal="right"/>
    </xf>
    <xf numFmtId="0" fontId="52" fillId="0" borderId="0" xfId="0" applyFont="1" applyBorder="1" applyProtection="1"/>
    <xf numFmtId="0" fontId="30" fillId="0" borderId="46" xfId="0" applyFont="1" applyFill="1" applyBorder="1" applyAlignment="1" applyProtection="1">
      <alignment horizontal="center" vertical="center"/>
      <protection locked="0"/>
    </xf>
    <xf numFmtId="0" fontId="30" fillId="0" borderId="34" xfId="0" applyFont="1" applyFill="1" applyBorder="1"/>
    <xf numFmtId="0" fontId="30" fillId="24" borderId="47" xfId="0" applyFont="1" applyFill="1" applyBorder="1" applyAlignment="1">
      <alignment horizontal="center" vertical="center"/>
    </xf>
    <xf numFmtId="0" fontId="30" fillId="0" borderId="19" xfId="0" applyFont="1" applyBorder="1" applyProtection="1"/>
    <xf numFmtId="0" fontId="30" fillId="0" borderId="44" xfId="0" applyFont="1" applyFill="1" applyBorder="1" applyAlignment="1">
      <alignment horizontal="center"/>
    </xf>
    <xf numFmtId="0" fontId="30" fillId="0" borderId="21" xfId="0" applyFont="1" applyFill="1" applyBorder="1" applyAlignment="1">
      <alignment horizontal="center"/>
    </xf>
    <xf numFmtId="0" fontId="54" fillId="28" borderId="11" xfId="0" applyFont="1" applyFill="1" applyBorder="1" applyAlignment="1">
      <alignment horizontal="left"/>
    </xf>
    <xf numFmtId="0" fontId="31" fillId="24" borderId="0" xfId="0" applyFont="1" applyFill="1" applyAlignment="1">
      <alignment vertical="center"/>
    </xf>
    <xf numFmtId="0" fontId="52" fillId="0" borderId="23" xfId="0" applyNumberFormat="1" applyFont="1" applyFill="1" applyBorder="1" applyAlignment="1" applyProtection="1">
      <protection locked="0"/>
    </xf>
    <xf numFmtId="0" fontId="30" fillId="0" borderId="46" xfId="0" applyFont="1" applyBorder="1" applyProtection="1">
      <protection locked="0"/>
    </xf>
    <xf numFmtId="0" fontId="30" fillId="0" borderId="39" xfId="0" applyFont="1" applyBorder="1" applyProtection="1">
      <protection locked="0"/>
    </xf>
    <xf numFmtId="0" fontId="30" fillId="0" borderId="48" xfId="0" applyFont="1" applyBorder="1" applyProtection="1">
      <protection locked="0"/>
    </xf>
    <xf numFmtId="0" fontId="30" fillId="31" borderId="44" xfId="0" applyFont="1" applyFill="1" applyBorder="1" applyProtection="1"/>
    <xf numFmtId="0" fontId="0" fillId="24" borderId="13" xfId="0" applyFill="1" applyBorder="1"/>
    <xf numFmtId="0" fontId="52" fillId="24" borderId="11" xfId="0" applyFont="1" applyFill="1" applyBorder="1" applyProtection="1"/>
    <xf numFmtId="0" fontId="31" fillId="24" borderId="0" xfId="0" applyFont="1" applyFill="1" applyBorder="1" applyAlignment="1" applyProtection="1">
      <alignment horizontal="center"/>
    </xf>
    <xf numFmtId="0" fontId="30" fillId="24" borderId="13" xfId="0" applyFont="1" applyFill="1" applyBorder="1" applyAlignment="1">
      <alignment horizontal="right"/>
    </xf>
    <xf numFmtId="0" fontId="30" fillId="24" borderId="14" xfId="0" applyFont="1" applyFill="1" applyBorder="1" applyAlignment="1">
      <alignment horizontal="right"/>
    </xf>
    <xf numFmtId="0" fontId="30" fillId="0" borderId="49" xfId="0" applyFont="1" applyFill="1" applyBorder="1"/>
    <xf numFmtId="0" fontId="30" fillId="0" borderId="39" xfId="0" applyFont="1" applyFill="1" applyBorder="1"/>
    <xf numFmtId="0" fontId="30" fillId="0" borderId="48" xfId="0" applyFont="1" applyFill="1" applyBorder="1"/>
    <xf numFmtId="0" fontId="30" fillId="0" borderId="50" xfId="0" applyFont="1" applyFill="1" applyBorder="1"/>
    <xf numFmtId="0" fontId="30" fillId="0" borderId="0" xfId="0" applyFont="1" applyFill="1" applyBorder="1" applyAlignment="1">
      <alignment horizontal="right" vertical="center"/>
    </xf>
    <xf numFmtId="0" fontId="8" fillId="0" borderId="42" xfId="0" applyFont="1" applyFill="1" applyBorder="1" applyAlignment="1" applyProtection="1">
      <alignment horizontal="right" vertical="center"/>
    </xf>
    <xf numFmtId="0" fontId="54" fillId="32" borderId="10" xfId="0" quotePrefix="1" applyFont="1" applyFill="1" applyBorder="1" applyAlignment="1">
      <alignment horizontal="left"/>
    </xf>
    <xf numFmtId="0" fontId="30" fillId="0" borderId="10" xfId="0" applyFont="1" applyBorder="1" applyProtection="1"/>
    <xf numFmtId="0" fontId="30" fillId="0" borderId="14" xfId="0" applyFont="1" applyBorder="1" applyProtection="1"/>
    <xf numFmtId="0" fontId="30" fillId="29" borderId="0" xfId="0" applyFont="1" applyFill="1" applyBorder="1" applyAlignment="1">
      <alignment horizontal="left"/>
    </xf>
    <xf numFmtId="0" fontId="30" fillId="0" borderId="13" xfId="0" applyFont="1" applyBorder="1" applyAlignment="1">
      <alignment horizontal="right" vertical="center"/>
    </xf>
    <xf numFmtId="0" fontId="30" fillId="24" borderId="16" xfId="0" applyFont="1" applyFill="1" applyBorder="1" applyAlignment="1">
      <alignment horizontal="right" vertical="center"/>
    </xf>
    <xf numFmtId="0" fontId="30" fillId="24" borderId="16" xfId="0" applyFont="1" applyFill="1" applyBorder="1" applyAlignment="1">
      <alignment horizontal="left" vertical="center"/>
    </xf>
    <xf numFmtId="0" fontId="30" fillId="0" borderId="15" xfId="0" applyFont="1" applyFill="1" applyBorder="1" applyProtection="1"/>
    <xf numFmtId="0" fontId="30" fillId="0" borderId="17" xfId="0" applyFont="1" applyFill="1" applyBorder="1" applyProtection="1"/>
    <xf numFmtId="0" fontId="40" fillId="0" borderId="0" xfId="0" applyFont="1" applyProtection="1"/>
    <xf numFmtId="49" fontId="5" fillId="0" borderId="0" xfId="0" applyNumberFormat="1" applyFont="1" applyAlignment="1" applyProtection="1">
      <alignment horizontal="right"/>
    </xf>
    <xf numFmtId="1" fontId="30" fillId="0" borderId="0" xfId="0" applyNumberFormat="1" applyFont="1" applyAlignment="1" applyProtection="1">
      <alignment horizontal="right"/>
    </xf>
    <xf numFmtId="1" fontId="30" fillId="0" borderId="0" xfId="0" applyNumberFormat="1" applyFont="1" applyAlignment="1" applyProtection="1">
      <alignment horizontal="left"/>
    </xf>
    <xf numFmtId="0" fontId="30" fillId="0" borderId="10" xfId="0" applyFont="1" applyBorder="1" applyAlignment="1" applyProtection="1">
      <alignment horizontal="right"/>
    </xf>
    <xf numFmtId="0" fontId="30" fillId="0" borderId="11" xfId="0" applyFont="1" applyBorder="1" applyAlignment="1" applyProtection="1">
      <alignment horizontal="right"/>
    </xf>
    <xf numFmtId="0" fontId="30" fillId="0" borderId="11" xfId="0" applyFont="1" applyBorder="1" applyProtection="1"/>
    <xf numFmtId="0" fontId="30" fillId="0" borderId="10" xfId="0" applyFont="1" applyBorder="1" applyAlignment="1" applyProtection="1"/>
    <xf numFmtId="0" fontId="30" fillId="0" borderId="12" xfId="0" applyFont="1" applyBorder="1" applyAlignment="1" applyProtection="1">
      <alignment horizontal="right"/>
    </xf>
    <xf numFmtId="0" fontId="5" fillId="28" borderId="10" xfId="0" applyFont="1" applyFill="1" applyBorder="1" applyAlignment="1" applyProtection="1">
      <alignment horizontal="center"/>
    </xf>
    <xf numFmtId="0" fontId="31" fillId="28" borderId="11" xfId="0" applyFont="1" applyFill="1" applyBorder="1" applyProtection="1"/>
    <xf numFmtId="0" fontId="30" fillId="28" borderId="11" xfId="0" applyFont="1" applyFill="1" applyBorder="1" applyProtection="1"/>
    <xf numFmtId="0" fontId="30" fillId="28" borderId="12" xfId="0" applyFont="1" applyFill="1" applyBorder="1" applyProtection="1"/>
    <xf numFmtId="0" fontId="30" fillId="0" borderId="14" xfId="0" applyFont="1" applyBorder="1" applyProtection="1">
      <protection locked="0"/>
    </xf>
    <xf numFmtId="0" fontId="30" fillId="0" borderId="15" xfId="0" applyFont="1" applyBorder="1" applyAlignment="1" applyProtection="1">
      <alignment horizontal="right"/>
    </xf>
    <xf numFmtId="0" fontId="30" fillId="0" borderId="16" xfId="0" applyFont="1" applyBorder="1" applyAlignment="1" applyProtection="1">
      <alignment horizontal="right"/>
    </xf>
    <xf numFmtId="0" fontId="30" fillId="0" borderId="0" xfId="0" applyFont="1" applyBorder="1" applyAlignment="1" applyProtection="1">
      <alignment horizontal="right"/>
    </xf>
    <xf numFmtId="0" fontId="30" fillId="28" borderId="13" xfId="0" applyFont="1" applyFill="1" applyBorder="1" applyProtection="1"/>
    <xf numFmtId="0" fontId="30" fillId="28" borderId="0" xfId="0" applyFont="1" applyFill="1" applyBorder="1" applyProtection="1"/>
    <xf numFmtId="0" fontId="30" fillId="28" borderId="14" xfId="0" applyFont="1" applyFill="1" applyBorder="1" applyProtection="1"/>
    <xf numFmtId="0" fontId="30" fillId="0" borderId="11" xfId="0" applyFont="1" applyBorder="1" applyAlignment="1" applyProtection="1">
      <alignment horizontal="center"/>
    </xf>
    <xf numFmtId="0" fontId="30" fillId="0" borderId="12" xfId="0" applyFont="1" applyBorder="1" applyAlignment="1" applyProtection="1">
      <alignment horizontal="center"/>
    </xf>
    <xf numFmtId="0" fontId="30" fillId="0" borderId="13" xfId="0" applyFont="1" applyBorder="1" applyAlignment="1" applyProtection="1">
      <alignment horizontal="right"/>
    </xf>
    <xf numFmtId="173" fontId="30" fillId="0" borderId="14" xfId="0" applyNumberFormat="1" applyFont="1" applyBorder="1" applyProtection="1"/>
    <xf numFmtId="0" fontId="30" fillId="0" borderId="22" xfId="0" applyFont="1" applyBorder="1" applyAlignment="1" applyProtection="1">
      <alignment horizontal="right"/>
    </xf>
    <xf numFmtId="0" fontId="30" fillId="0" borderId="24" xfId="0" applyFont="1" applyBorder="1" applyAlignment="1" applyProtection="1">
      <alignment horizontal="right"/>
    </xf>
    <xf numFmtId="0" fontId="30" fillId="0" borderId="16" xfId="0" applyFont="1" applyBorder="1" applyProtection="1">
      <protection locked="0"/>
    </xf>
    <xf numFmtId="0" fontId="30" fillId="0" borderId="15" xfId="0" applyFont="1" applyBorder="1" applyProtection="1"/>
    <xf numFmtId="0" fontId="30" fillId="0" borderId="17" xfId="0" applyFont="1" applyBorder="1" applyProtection="1">
      <protection locked="0"/>
    </xf>
    <xf numFmtId="0" fontId="30" fillId="36" borderId="17" xfId="0" applyFont="1" applyFill="1" applyBorder="1" applyProtection="1">
      <protection locked="0"/>
    </xf>
    <xf numFmtId="0" fontId="30" fillId="0" borderId="17" xfId="0" applyFont="1" applyBorder="1" applyProtection="1"/>
    <xf numFmtId="0" fontId="30" fillId="0" borderId="24" xfId="0" applyFont="1" applyBorder="1" applyProtection="1">
      <protection locked="0"/>
    </xf>
    <xf numFmtId="0" fontId="30" fillId="28" borderId="0" xfId="0" applyFont="1" applyFill="1" applyBorder="1" applyAlignment="1" applyProtection="1">
      <alignment horizontal="right"/>
    </xf>
    <xf numFmtId="0" fontId="30" fillId="0" borderId="0" xfId="0" applyNumberFormat="1" applyFont="1" applyFill="1" applyBorder="1" applyProtection="1"/>
    <xf numFmtId="0" fontId="5" fillId="24" borderId="10" xfId="0" applyFont="1" applyFill="1" applyBorder="1" applyAlignment="1" applyProtection="1">
      <alignment horizontal="center"/>
    </xf>
    <xf numFmtId="0" fontId="31" fillId="24" borderId="11" xfId="0" applyFont="1" applyFill="1" applyBorder="1" applyProtection="1"/>
    <xf numFmtId="0" fontId="30" fillId="24" borderId="12" xfId="0" applyFont="1" applyFill="1" applyBorder="1" applyProtection="1"/>
    <xf numFmtId="0" fontId="30" fillId="0" borderId="12" xfId="0" applyFont="1" applyBorder="1" applyProtection="1">
      <protection locked="0"/>
    </xf>
    <xf numFmtId="164" fontId="30" fillId="28" borderId="0" xfId="0" applyNumberFormat="1" applyFont="1" applyFill="1" applyBorder="1" applyProtection="1"/>
    <xf numFmtId="0" fontId="8" fillId="24" borderId="0" xfId="0" applyFont="1" applyFill="1" applyBorder="1" applyAlignment="1" applyProtection="1">
      <alignment horizontal="right"/>
    </xf>
    <xf numFmtId="0" fontId="30" fillId="0" borderId="19" xfId="0" applyFont="1" applyBorder="1" applyAlignment="1" applyProtection="1">
      <alignment horizontal="center"/>
    </xf>
    <xf numFmtId="0" fontId="30" fillId="37" borderId="0" xfId="0" applyFont="1" applyFill="1" applyAlignment="1" applyProtection="1">
      <alignment horizontal="right"/>
    </xf>
    <xf numFmtId="0" fontId="30" fillId="37" borderId="0" xfId="0" applyFont="1" applyFill="1" applyProtection="1"/>
    <xf numFmtId="0" fontId="30" fillId="29" borderId="0" xfId="0" applyFont="1" applyFill="1" applyProtection="1"/>
    <xf numFmtId="0" fontId="30" fillId="29" borderId="0" xfId="0" applyFont="1" applyFill="1" applyAlignment="1" applyProtection="1">
      <alignment horizontal="left"/>
    </xf>
    <xf numFmtId="0" fontId="30" fillId="0" borderId="17" xfId="0" applyFont="1" applyBorder="1" applyAlignment="1" applyProtection="1">
      <alignment horizontal="right"/>
    </xf>
    <xf numFmtId="0" fontId="30" fillId="24" borderId="0" xfId="0" applyFont="1" applyFill="1" applyBorder="1" applyProtection="1">
      <protection locked="0"/>
    </xf>
    <xf numFmtId="172" fontId="30" fillId="0" borderId="21" xfId="0" applyNumberFormat="1" applyFont="1" applyFill="1" applyBorder="1" applyAlignment="1" applyProtection="1">
      <alignment vertical="center"/>
    </xf>
    <xf numFmtId="0" fontId="30" fillId="35" borderId="0" xfId="0" applyFont="1" applyFill="1" applyProtection="1"/>
    <xf numFmtId="0" fontId="30" fillId="36" borderId="0" xfId="0" applyFont="1" applyFill="1" applyProtection="1"/>
    <xf numFmtId="0" fontId="30" fillId="30" borderId="0" xfId="0" applyFont="1" applyFill="1" applyBorder="1" applyProtection="1"/>
    <xf numFmtId="0" fontId="30" fillId="30" borderId="0" xfId="0" applyFont="1" applyFill="1" applyProtection="1"/>
    <xf numFmtId="0" fontId="30" fillId="28" borderId="15" xfId="0" applyFont="1" applyFill="1" applyBorder="1" applyProtection="1"/>
    <xf numFmtId="0" fontId="30" fillId="28" borderId="16" xfId="0" applyFont="1" applyFill="1" applyBorder="1" applyProtection="1"/>
    <xf numFmtId="172" fontId="30" fillId="0" borderId="0" xfId="0" applyNumberFormat="1" applyFont="1" applyProtection="1"/>
    <xf numFmtId="0" fontId="5" fillId="26" borderId="10" xfId="0" applyFont="1" applyFill="1" applyBorder="1" applyAlignment="1" applyProtection="1">
      <alignment horizontal="center"/>
    </xf>
    <xf numFmtId="0" fontId="30" fillId="26" borderId="11" xfId="0" applyFont="1" applyFill="1" applyBorder="1" applyProtection="1"/>
    <xf numFmtId="0" fontId="31" fillId="26" borderId="11" xfId="0" applyFont="1" applyFill="1" applyBorder="1" applyProtection="1"/>
    <xf numFmtId="0" fontId="30" fillId="26" borderId="12" xfId="0" applyFont="1" applyFill="1" applyBorder="1" applyProtection="1"/>
    <xf numFmtId="0" fontId="30" fillId="38" borderId="0" xfId="0" applyFont="1" applyFill="1" applyAlignment="1" applyProtection="1">
      <alignment horizontal="center"/>
    </xf>
    <xf numFmtId="0" fontId="30" fillId="35" borderId="0" xfId="0" applyFont="1" applyFill="1" applyAlignment="1" applyProtection="1">
      <alignment horizontal="center"/>
    </xf>
    <xf numFmtId="0" fontId="30" fillId="36" borderId="0" xfId="0" applyFont="1" applyFill="1" applyAlignment="1" applyProtection="1">
      <alignment horizontal="center"/>
    </xf>
    <xf numFmtId="0" fontId="30" fillId="37" borderId="0" xfId="0" applyFont="1" applyFill="1" applyAlignment="1" applyProtection="1">
      <alignment horizontal="center"/>
    </xf>
    <xf numFmtId="0" fontId="30" fillId="29" borderId="0" xfId="0" applyFont="1" applyFill="1" applyAlignment="1" applyProtection="1">
      <alignment horizontal="center"/>
    </xf>
    <xf numFmtId="0" fontId="30" fillId="30" borderId="0" xfId="0" applyFont="1" applyFill="1" applyAlignment="1" applyProtection="1">
      <alignment horizontal="center"/>
    </xf>
    <xf numFmtId="0" fontId="30" fillId="0" borderId="22" xfId="0" applyFont="1" applyBorder="1" applyProtection="1"/>
    <xf numFmtId="0" fontId="30" fillId="0" borderId="24" xfId="0" applyFont="1" applyBorder="1" applyProtection="1"/>
    <xf numFmtId="0" fontId="30" fillId="26" borderId="0" xfId="0" applyFont="1" applyFill="1" applyProtection="1"/>
    <xf numFmtId="0" fontId="43" fillId="26" borderId="0" xfId="0" applyFont="1" applyFill="1" applyAlignment="1" applyProtection="1">
      <alignment horizontal="center"/>
    </xf>
    <xf numFmtId="173" fontId="30" fillId="0" borderId="18" xfId="0" applyNumberFormat="1" applyFont="1" applyBorder="1" applyProtection="1"/>
    <xf numFmtId="172" fontId="30" fillId="0" borderId="23" xfId="0" applyNumberFormat="1" applyFont="1" applyFill="1" applyBorder="1" applyProtection="1"/>
    <xf numFmtId="0" fontId="43" fillId="26" borderId="0" xfId="0" applyFont="1" applyFill="1" applyBorder="1" applyAlignment="1" applyProtection="1">
      <alignment horizontal="right"/>
    </xf>
    <xf numFmtId="172" fontId="30" fillId="0" borderId="0" xfId="0" applyNumberFormat="1" applyFont="1" applyFill="1" applyBorder="1" applyProtection="1"/>
    <xf numFmtId="0" fontId="30" fillId="26" borderId="15" xfId="0" applyFont="1" applyFill="1" applyBorder="1" applyProtection="1"/>
    <xf numFmtId="0" fontId="30" fillId="26" borderId="16" xfId="0" applyFont="1" applyFill="1" applyBorder="1" applyProtection="1"/>
    <xf numFmtId="0" fontId="30" fillId="26" borderId="17" xfId="0" applyFont="1" applyFill="1" applyBorder="1" applyProtection="1"/>
    <xf numFmtId="0" fontId="5" fillId="29" borderId="0" xfId="0" applyFont="1" applyFill="1" applyAlignment="1" applyProtection="1">
      <alignment horizontal="center"/>
    </xf>
    <xf numFmtId="0" fontId="31" fillId="29" borderId="0" xfId="0" applyFont="1" applyFill="1" applyProtection="1"/>
    <xf numFmtId="0" fontId="30" fillId="29" borderId="11" xfId="0" applyFont="1" applyFill="1" applyBorder="1" applyAlignment="1" applyProtection="1">
      <alignment horizontal="center"/>
    </xf>
    <xf numFmtId="0" fontId="0" fillId="0" borderId="13" xfId="0" applyBorder="1"/>
    <xf numFmtId="0" fontId="0" fillId="0" borderId="0" xfId="0" applyBorder="1"/>
    <xf numFmtId="0" fontId="30" fillId="29" borderId="0" xfId="0" applyFont="1" applyFill="1" applyBorder="1" applyAlignment="1" applyProtection="1">
      <alignment horizontal="center"/>
    </xf>
    <xf numFmtId="0" fontId="30" fillId="0" borderId="14" xfId="0" applyFont="1" applyBorder="1" applyAlignment="1" applyProtection="1">
      <alignment horizontal="center"/>
    </xf>
    <xf numFmtId="0" fontId="65" fillId="29" borderId="0" xfId="0" applyFont="1" applyFill="1" applyBorder="1" applyAlignment="1" applyProtection="1">
      <alignment horizontal="center"/>
    </xf>
    <xf numFmtId="172" fontId="30" fillId="0" borderId="0" xfId="0" applyNumberFormat="1" applyFont="1" applyBorder="1" applyProtection="1"/>
    <xf numFmtId="0" fontId="30" fillId="29" borderId="13" xfId="0" applyFont="1" applyFill="1" applyBorder="1" applyProtection="1"/>
    <xf numFmtId="0" fontId="30" fillId="29" borderId="0" xfId="0" applyFont="1" applyFill="1" applyBorder="1" applyProtection="1">
      <protection locked="0"/>
    </xf>
    <xf numFmtId="0" fontId="30" fillId="29" borderId="14" xfId="0" applyFont="1" applyFill="1" applyBorder="1" applyProtection="1"/>
    <xf numFmtId="0" fontId="43" fillId="29" borderId="0" xfId="0" applyFont="1" applyFill="1" applyBorder="1" applyAlignment="1" applyProtection="1">
      <alignment horizontal="right"/>
    </xf>
    <xf numFmtId="172" fontId="30" fillId="0" borderId="25" xfId="0" applyNumberFormat="1" applyFont="1" applyFill="1" applyBorder="1" applyProtection="1"/>
    <xf numFmtId="0" fontId="31" fillId="29" borderId="0" xfId="0" applyFont="1" applyFill="1" applyBorder="1" applyAlignment="1" applyProtection="1">
      <alignment horizontal="center"/>
    </xf>
    <xf numFmtId="0" fontId="31" fillId="29" borderId="14" xfId="0" applyFont="1" applyFill="1" applyBorder="1" applyProtection="1"/>
    <xf numFmtId="0" fontId="30" fillId="29" borderId="15" xfId="0" applyFont="1" applyFill="1" applyBorder="1" applyProtection="1"/>
    <xf numFmtId="0" fontId="30" fillId="29" borderId="16" xfId="0" applyFont="1" applyFill="1" applyBorder="1" applyProtection="1"/>
    <xf numFmtId="0" fontId="30" fillId="29" borderId="17" xfId="0" applyFont="1" applyFill="1" applyBorder="1" applyProtection="1"/>
    <xf numFmtId="170" fontId="30" fillId="0" borderId="0" xfId="0" applyNumberFormat="1" applyFont="1" applyAlignment="1" applyProtection="1"/>
    <xf numFmtId="0" fontId="5" fillId="0" borderId="0" xfId="0" applyFont="1" applyFill="1" applyAlignment="1" applyProtection="1">
      <alignment horizontal="center"/>
    </xf>
    <xf numFmtId="0" fontId="30" fillId="0" borderId="14" xfId="0" applyFont="1" applyFill="1" applyBorder="1" applyProtection="1"/>
    <xf numFmtId="0" fontId="30" fillId="0" borderId="13" xfId="0" applyFont="1" applyFill="1" applyBorder="1" applyProtection="1"/>
    <xf numFmtId="0" fontId="5" fillId="27" borderId="10" xfId="0" applyFont="1" applyFill="1" applyBorder="1" applyAlignment="1" applyProtection="1">
      <alignment horizontal="center"/>
    </xf>
    <xf numFmtId="0" fontId="31" fillId="27" borderId="11" xfId="0" applyFont="1" applyFill="1" applyBorder="1" applyProtection="1"/>
    <xf numFmtId="0" fontId="30" fillId="27" borderId="11" xfId="0" applyFont="1" applyFill="1" applyBorder="1" applyProtection="1"/>
    <xf numFmtId="0" fontId="5" fillId="27" borderId="11" xfId="0" quotePrefix="1" applyFont="1" applyFill="1" applyBorder="1" applyAlignment="1" applyProtection="1">
      <alignment horizontal="right"/>
    </xf>
    <xf numFmtId="0" fontId="30" fillId="27" borderId="12" xfId="0" applyFont="1" applyFill="1" applyBorder="1" applyProtection="1"/>
    <xf numFmtId="0" fontId="30" fillId="27" borderId="13" xfId="0" applyFont="1" applyFill="1" applyBorder="1" applyProtection="1"/>
    <xf numFmtId="0" fontId="30" fillId="27" borderId="0" xfId="0" applyFont="1" applyFill="1" applyProtection="1"/>
    <xf numFmtId="0" fontId="30" fillId="27" borderId="0" xfId="0" applyFont="1" applyFill="1" applyBorder="1" applyAlignment="1" applyProtection="1">
      <alignment vertical="center"/>
    </xf>
    <xf numFmtId="0" fontId="30" fillId="27" borderId="0" xfId="0" applyFont="1" applyFill="1" applyBorder="1" applyProtection="1"/>
    <xf numFmtId="0" fontId="30" fillId="27" borderId="14" xfId="0" applyFont="1" applyFill="1" applyBorder="1" applyProtection="1"/>
    <xf numFmtId="0" fontId="30" fillId="27" borderId="15" xfId="0" applyFont="1" applyFill="1" applyBorder="1" applyProtection="1"/>
    <xf numFmtId="0" fontId="30" fillId="27" borderId="16" xfId="0" applyFont="1" applyFill="1" applyBorder="1" applyAlignment="1" applyProtection="1">
      <alignment horizontal="right"/>
    </xf>
    <xf numFmtId="0" fontId="30" fillId="27" borderId="16" xfId="0" applyFont="1" applyFill="1" applyBorder="1" applyProtection="1"/>
    <xf numFmtId="0" fontId="30" fillId="27" borderId="16" xfId="0" applyFont="1" applyFill="1" applyBorder="1" applyAlignment="1" applyProtection="1">
      <alignment horizontal="left"/>
    </xf>
    <xf numFmtId="0" fontId="30" fillId="27" borderId="17" xfId="0" applyFont="1" applyFill="1" applyBorder="1" applyProtection="1"/>
    <xf numFmtId="0" fontId="30" fillId="0" borderId="0" xfId="0" applyFont="1" applyAlignment="1" applyProtection="1">
      <alignment horizontal="left"/>
    </xf>
    <xf numFmtId="0" fontId="40" fillId="0" borderId="0" xfId="0" applyFont="1" applyAlignment="1">
      <alignment vertical="center"/>
    </xf>
    <xf numFmtId="0" fontId="5" fillId="0" borderId="0" xfId="0" applyFont="1" applyFill="1" applyBorder="1" applyAlignment="1" applyProtection="1">
      <alignment horizontal="center"/>
    </xf>
    <xf numFmtId="0" fontId="5" fillId="0" borderId="11" xfId="0" quotePrefix="1" applyFont="1" applyFill="1" applyBorder="1" applyAlignment="1">
      <alignment horizontal="right"/>
    </xf>
    <xf numFmtId="0" fontId="5" fillId="26" borderId="10" xfId="0" quotePrefix="1" applyFont="1" applyFill="1" applyBorder="1" applyAlignment="1" applyProtection="1">
      <alignment horizontal="right"/>
    </xf>
    <xf numFmtId="0" fontId="31" fillId="26" borderId="11" xfId="0" applyFont="1" applyFill="1" applyBorder="1" applyAlignment="1" applyProtection="1">
      <alignment vertical="center"/>
    </xf>
    <xf numFmtId="0" fontId="31" fillId="27" borderId="11" xfId="0" applyFont="1" applyFill="1" applyBorder="1" applyAlignment="1" applyProtection="1">
      <alignment vertical="center"/>
    </xf>
    <xf numFmtId="0" fontId="30" fillId="27" borderId="11" xfId="0" applyFont="1" applyFill="1" applyBorder="1" applyAlignment="1" applyProtection="1">
      <alignment vertical="center"/>
    </xf>
    <xf numFmtId="0" fontId="30" fillId="27" borderId="11" xfId="0" applyFont="1" applyFill="1" applyBorder="1" applyAlignment="1" applyProtection="1">
      <alignment horizontal="right"/>
    </xf>
    <xf numFmtId="0" fontId="5" fillId="0" borderId="0" xfId="0" quotePrefix="1" applyFont="1" applyAlignment="1" applyProtection="1">
      <alignment horizontal="left"/>
    </xf>
    <xf numFmtId="1" fontId="30" fillId="24" borderId="10" xfId="0" applyNumberFormat="1" applyFont="1" applyFill="1" applyBorder="1" applyAlignment="1" applyProtection="1">
      <alignment horizontal="left"/>
    </xf>
    <xf numFmtId="1" fontId="30" fillId="24" borderId="11" xfId="0" applyNumberFormat="1" applyFont="1" applyFill="1" applyBorder="1" applyAlignment="1" applyProtection="1">
      <alignment horizontal="left"/>
    </xf>
    <xf numFmtId="0" fontId="30" fillId="24" borderId="10" xfId="0" applyFont="1" applyFill="1" applyBorder="1" applyProtection="1"/>
    <xf numFmtId="0" fontId="30" fillId="0" borderId="0" xfId="0" applyFont="1" applyAlignment="1">
      <alignment vertical="center"/>
    </xf>
    <xf numFmtId="0" fontId="31" fillId="26" borderId="13" xfId="0" applyFont="1" applyFill="1" applyBorder="1" applyAlignment="1" applyProtection="1">
      <alignment horizontal="right" vertical="center"/>
    </xf>
    <xf numFmtId="172" fontId="30" fillId="0" borderId="0" xfId="0" applyNumberFormat="1" applyFont="1" applyFill="1" applyBorder="1" applyAlignment="1" applyProtection="1">
      <alignment vertical="center"/>
    </xf>
    <xf numFmtId="0" fontId="31" fillId="26" borderId="0" xfId="0" applyFont="1" applyFill="1" applyBorder="1" applyAlignment="1" applyProtection="1">
      <alignment horizontal="center" vertical="center"/>
    </xf>
    <xf numFmtId="0" fontId="31" fillId="26" borderId="0" xfId="0" applyFont="1" applyFill="1" applyBorder="1" applyAlignment="1">
      <alignment horizontal="right" vertical="center"/>
    </xf>
    <xf numFmtId="0" fontId="30" fillId="0" borderId="23" xfId="0" applyFont="1" applyFill="1" applyBorder="1" applyAlignment="1" applyProtection="1">
      <alignment vertical="center"/>
      <protection locked="0"/>
    </xf>
    <xf numFmtId="0" fontId="30" fillId="0" borderId="11" xfId="0" applyFont="1" applyFill="1" applyBorder="1" applyProtection="1"/>
    <xf numFmtId="0" fontId="30" fillId="0" borderId="12" xfId="0" applyFont="1" applyFill="1" applyBorder="1" applyProtection="1"/>
    <xf numFmtId="0" fontId="30" fillId="0" borderId="0" xfId="0" applyFont="1" applyBorder="1" applyAlignment="1">
      <alignment vertical="center"/>
    </xf>
    <xf numFmtId="0" fontId="5" fillId="0" borderId="0" xfId="0" applyFont="1" applyBorder="1" applyAlignment="1">
      <alignment horizontal="right"/>
    </xf>
    <xf numFmtId="0" fontId="30" fillId="26" borderId="13" xfId="0" applyFont="1" applyFill="1" applyBorder="1" applyProtection="1"/>
    <xf numFmtId="0" fontId="30" fillId="26" borderId="0" xfId="0" applyFont="1" applyFill="1" applyBorder="1" applyProtection="1"/>
    <xf numFmtId="0" fontId="30" fillId="26" borderId="0" xfId="0" applyFont="1" applyFill="1" applyBorder="1" applyProtection="1">
      <protection locked="0"/>
    </xf>
    <xf numFmtId="0" fontId="30" fillId="26" borderId="14" xfId="0" applyFont="1" applyFill="1" applyBorder="1" applyProtection="1"/>
    <xf numFmtId="0" fontId="5" fillId="27" borderId="16" xfId="0" quotePrefix="1" applyFont="1" applyFill="1" applyBorder="1" applyAlignment="1" applyProtection="1">
      <alignment horizontal="right"/>
    </xf>
    <xf numFmtId="0" fontId="30" fillId="27" borderId="16" xfId="0" applyFont="1" applyFill="1" applyBorder="1" applyAlignment="1" applyProtection="1">
      <alignment vertical="center"/>
    </xf>
    <xf numFmtId="168" fontId="30" fillId="0" borderId="18" xfId="0" applyNumberFormat="1" applyFont="1" applyBorder="1" applyProtection="1"/>
    <xf numFmtId="0" fontId="30" fillId="26" borderId="16" xfId="0" applyFont="1" applyFill="1" applyBorder="1" applyAlignment="1" applyProtection="1">
      <alignment vertical="top"/>
    </xf>
    <xf numFmtId="0" fontId="43" fillId="26" borderId="0" xfId="0" applyFont="1" applyFill="1" applyBorder="1" applyAlignment="1">
      <alignment horizontal="right" vertical="top"/>
    </xf>
    <xf numFmtId="172" fontId="30" fillId="0" borderId="0" xfId="0" applyNumberFormat="1" applyFont="1" applyFill="1" applyBorder="1" applyAlignment="1">
      <alignment vertical="center"/>
    </xf>
    <xf numFmtId="0" fontId="55" fillId="0" borderId="0" xfId="0" applyFont="1" applyAlignment="1" applyProtection="1">
      <alignment vertical="center"/>
    </xf>
    <xf numFmtId="0" fontId="55" fillId="0" borderId="0" xfId="0" applyFont="1" applyProtection="1"/>
    <xf numFmtId="0" fontId="30" fillId="0" borderId="18" xfId="0" applyFont="1" applyFill="1" applyBorder="1" applyAlignment="1" applyProtection="1">
      <alignment vertical="center"/>
      <protection locked="0"/>
    </xf>
    <xf numFmtId="0" fontId="30" fillId="0" borderId="18" xfId="0" applyNumberFormat="1" applyFont="1" applyBorder="1" applyProtection="1"/>
    <xf numFmtId="0" fontId="5" fillId="0" borderId="16" xfId="0" applyFont="1" applyBorder="1" applyAlignment="1">
      <alignment horizontal="right"/>
    </xf>
    <xf numFmtId="0" fontId="5" fillId="24" borderId="15" xfId="0" quotePrefix="1" applyFont="1" applyFill="1" applyBorder="1" applyAlignment="1" applyProtection="1">
      <alignment horizontal="right"/>
    </xf>
    <xf numFmtId="2" fontId="35" fillId="24" borderId="16" xfId="0" applyNumberFormat="1" applyFont="1" applyFill="1" applyBorder="1" applyAlignment="1" applyProtection="1">
      <alignment horizontal="center"/>
    </xf>
    <xf numFmtId="2" fontId="30" fillId="24" borderId="17" xfId="0" applyNumberFormat="1" applyFont="1" applyFill="1" applyBorder="1" applyAlignment="1" applyProtection="1"/>
    <xf numFmtId="2" fontId="35" fillId="24" borderId="0" xfId="0" applyNumberFormat="1" applyFont="1" applyFill="1" applyBorder="1" applyAlignment="1" applyProtection="1">
      <alignment horizontal="center"/>
    </xf>
    <xf numFmtId="0" fontId="30" fillId="0" borderId="13" xfId="0" applyFont="1" applyBorder="1" applyAlignment="1" applyProtection="1">
      <alignment horizontal="right" vertical="center"/>
    </xf>
    <xf numFmtId="0" fontId="30" fillId="0" borderId="0" xfId="0" applyFont="1" applyBorder="1" applyAlignment="1" applyProtection="1">
      <alignment vertical="center"/>
    </xf>
    <xf numFmtId="0" fontId="30" fillId="0" borderId="14" xfId="0" applyFont="1" applyBorder="1" applyAlignment="1" applyProtection="1">
      <alignment vertical="center"/>
    </xf>
    <xf numFmtId="0" fontId="30" fillId="0" borderId="24" xfId="0" applyFont="1" applyBorder="1" applyAlignment="1" applyProtection="1">
      <alignment horizontal="right" vertical="center"/>
    </xf>
    <xf numFmtId="0" fontId="30" fillId="0" borderId="24" xfId="0" applyFont="1" applyBorder="1" applyAlignment="1" applyProtection="1">
      <alignment vertical="center"/>
    </xf>
    <xf numFmtId="0" fontId="30" fillId="0" borderId="18" xfId="0" applyFont="1" applyBorder="1" applyAlignment="1" applyProtection="1">
      <alignment vertical="center"/>
    </xf>
    <xf numFmtId="0" fontId="30" fillId="0" borderId="0" xfId="0" applyFont="1" applyAlignment="1" applyProtection="1">
      <alignment horizontal="right" vertical="center"/>
    </xf>
    <xf numFmtId="0" fontId="30" fillId="0" borderId="0" xfId="0" applyFont="1" applyAlignment="1" applyProtection="1">
      <alignment vertical="center"/>
    </xf>
    <xf numFmtId="0" fontId="30" fillId="0" borderId="18" xfId="0" applyFont="1" applyBorder="1" applyAlignment="1" applyProtection="1">
      <alignment vertical="center"/>
      <protection locked="0"/>
    </xf>
    <xf numFmtId="0" fontId="30" fillId="24" borderId="15" xfId="0" applyFont="1" applyFill="1" applyBorder="1" applyAlignment="1">
      <alignment horizontal="right"/>
    </xf>
    <xf numFmtId="0" fontId="5" fillId="24" borderId="16" xfId="0" applyFont="1" applyFill="1" applyBorder="1" applyAlignment="1">
      <alignment horizontal="right"/>
    </xf>
    <xf numFmtId="0" fontId="30" fillId="0" borderId="15" xfId="0" applyFont="1" applyBorder="1" applyAlignment="1" applyProtection="1">
      <alignment horizontal="left"/>
      <protection locked="0"/>
    </xf>
    <xf numFmtId="0" fontId="30" fillId="0" borderId="17" xfId="0" applyFont="1" applyBorder="1" applyAlignment="1" applyProtection="1"/>
    <xf numFmtId="0" fontId="5" fillId="29" borderId="13" xfId="0" quotePrefix="1" applyFont="1" applyFill="1" applyBorder="1" applyAlignment="1">
      <alignment horizontal="right"/>
    </xf>
    <xf numFmtId="0" fontId="30" fillId="29" borderId="0" xfId="0" applyFont="1" applyFill="1" applyBorder="1" applyAlignment="1" applyProtection="1">
      <alignment horizontal="left"/>
    </xf>
    <xf numFmtId="0" fontId="37" fillId="0" borderId="23" xfId="0" applyNumberFormat="1" applyFont="1" applyBorder="1" applyAlignment="1" applyProtection="1">
      <alignment horizontal="right" vertical="center"/>
      <protection locked="0"/>
    </xf>
    <xf numFmtId="0" fontId="37" fillId="0" borderId="22" xfId="0" applyNumberFormat="1" applyFont="1" applyBorder="1" applyAlignment="1" applyProtection="1">
      <alignment horizontal="left" vertical="center"/>
      <protection locked="0"/>
    </xf>
    <xf numFmtId="0" fontId="37" fillId="0" borderId="18" xfId="0" applyNumberFormat="1" applyFont="1" applyBorder="1" applyAlignment="1" applyProtection="1">
      <alignment vertical="center"/>
      <protection locked="0"/>
    </xf>
    <xf numFmtId="0" fontId="37" fillId="0" borderId="18" xfId="0" applyNumberFormat="1" applyFont="1" applyBorder="1" applyAlignment="1" applyProtection="1">
      <alignment horizontal="right" vertical="center"/>
      <protection locked="0"/>
    </xf>
    <xf numFmtId="0" fontId="37" fillId="0" borderId="24" xfId="0" applyNumberFormat="1" applyFont="1" applyBorder="1" applyAlignment="1" applyProtection="1">
      <alignment horizontal="left" vertical="center"/>
      <protection locked="0"/>
    </xf>
    <xf numFmtId="0" fontId="37" fillId="0" borderId="18" xfId="0" applyNumberFormat="1" applyFont="1" applyBorder="1" applyAlignment="1" applyProtection="1">
      <alignment vertical="center"/>
    </xf>
    <xf numFmtId="0" fontId="30" fillId="0" borderId="16" xfId="0" applyFont="1" applyBorder="1" applyAlignment="1" applyProtection="1">
      <alignment vertical="center"/>
    </xf>
    <xf numFmtId="0" fontId="30" fillId="0" borderId="17" xfId="0" applyFont="1" applyBorder="1" applyAlignment="1" applyProtection="1">
      <alignment vertical="center"/>
    </xf>
    <xf numFmtId="0" fontId="52" fillId="0" borderId="0" xfId="0" applyFont="1" applyAlignment="1">
      <alignment horizontal="right" vertical="center"/>
    </xf>
    <xf numFmtId="0" fontId="5" fillId="24" borderId="13" xfId="0" quotePrefix="1" applyFont="1" applyFill="1" applyBorder="1" applyAlignment="1">
      <alignment horizontal="right"/>
    </xf>
    <xf numFmtId="0" fontId="8" fillId="24" borderId="0" xfId="0" applyFont="1" applyFill="1" applyAlignment="1" applyProtection="1">
      <alignment horizontal="right"/>
    </xf>
    <xf numFmtId="0" fontId="30" fillId="0" borderId="51" xfId="0" applyFont="1" applyBorder="1" applyAlignment="1" applyProtection="1">
      <alignment vertical="center"/>
    </xf>
    <xf numFmtId="0" fontId="30" fillId="29" borderId="0" xfId="0" applyFont="1" applyFill="1" applyAlignment="1" applyProtection="1">
      <alignment vertical="top"/>
    </xf>
    <xf numFmtId="0" fontId="2" fillId="24" borderId="13" xfId="0" applyFont="1" applyFill="1" applyBorder="1" applyAlignment="1" applyProtection="1">
      <alignment horizontal="right"/>
    </xf>
    <xf numFmtId="0" fontId="37" fillId="0" borderId="52" xfId="0" applyNumberFormat="1" applyFont="1" applyBorder="1" applyAlignment="1" applyProtection="1">
      <alignment vertical="center"/>
      <protection locked="0"/>
    </xf>
    <xf numFmtId="0" fontId="37" fillId="0" borderId="53" xfId="0" applyNumberFormat="1" applyFont="1" applyBorder="1" applyAlignment="1" applyProtection="1">
      <alignment vertical="center"/>
      <protection locked="0"/>
    </xf>
    <xf numFmtId="0" fontId="37" fillId="24" borderId="14" xfId="0" applyNumberFormat="1" applyFont="1" applyFill="1" applyBorder="1" applyAlignment="1" applyProtection="1">
      <alignment vertical="center"/>
    </xf>
    <xf numFmtId="165" fontId="37" fillId="0" borderId="52" xfId="0" applyNumberFormat="1" applyFont="1" applyBorder="1" applyAlignment="1" applyProtection="1">
      <alignment vertical="center"/>
      <protection locked="0"/>
    </xf>
    <xf numFmtId="165" fontId="37" fillId="0" borderId="53" xfId="0" applyNumberFormat="1" applyFont="1" applyBorder="1" applyAlignment="1" applyProtection="1">
      <alignment vertical="center"/>
      <protection locked="0"/>
    </xf>
    <xf numFmtId="0" fontId="0" fillId="0" borderId="10" xfId="0" applyBorder="1"/>
    <xf numFmtId="164" fontId="30" fillId="0" borderId="0" xfId="0" applyNumberFormat="1" applyFont="1" applyFill="1" applyBorder="1" applyProtection="1"/>
    <xf numFmtId="49" fontId="43" fillId="24" borderId="0" xfId="0" applyNumberFormat="1" applyFont="1" applyFill="1" applyBorder="1" applyAlignment="1">
      <alignment horizontal="right" vertical="center"/>
    </xf>
    <xf numFmtId="172" fontId="30" fillId="0" borderId="16" xfId="0" applyNumberFormat="1" applyFont="1" applyFill="1" applyBorder="1" applyAlignment="1">
      <alignment horizontal="center" vertical="center"/>
    </xf>
    <xf numFmtId="172" fontId="30" fillId="0" borderId="16" xfId="0" applyNumberFormat="1" applyFont="1" applyFill="1" applyBorder="1" applyAlignment="1" applyProtection="1">
      <alignment horizontal="center" vertical="center"/>
    </xf>
    <xf numFmtId="0" fontId="37" fillId="0" borderId="54" xfId="0" applyNumberFormat="1" applyFont="1" applyBorder="1" applyAlignment="1" applyProtection="1">
      <alignment vertical="center"/>
      <protection locked="0"/>
    </xf>
    <xf numFmtId="0" fontId="37" fillId="0" borderId="55" xfId="0" applyNumberFormat="1" applyFont="1" applyBorder="1" applyAlignment="1" applyProtection="1">
      <alignment vertical="center"/>
      <protection locked="0"/>
    </xf>
    <xf numFmtId="165" fontId="37" fillId="0" borderId="54" xfId="0" applyNumberFormat="1" applyFont="1" applyBorder="1" applyAlignment="1" applyProtection="1">
      <alignment vertical="center"/>
      <protection locked="0"/>
    </xf>
    <xf numFmtId="165" fontId="37" fillId="0" borderId="55" xfId="0" applyNumberFormat="1" applyFont="1" applyBorder="1" applyAlignment="1" applyProtection="1">
      <alignment vertical="center"/>
      <protection locked="0"/>
    </xf>
    <xf numFmtId="0" fontId="30" fillId="0" borderId="17" xfId="0" quotePrefix="1" applyFont="1" applyBorder="1" applyProtection="1"/>
    <xf numFmtId="0" fontId="30" fillId="0" borderId="0" xfId="0" applyFont="1" applyFill="1" applyBorder="1" applyAlignment="1" applyProtection="1">
      <alignment horizontal="right" vertical="center"/>
    </xf>
    <xf numFmtId="0" fontId="30" fillId="0" borderId="0" xfId="0" applyFont="1" applyBorder="1" applyAlignment="1" applyProtection="1">
      <alignment horizontal="right" vertical="center"/>
    </xf>
    <xf numFmtId="0" fontId="30" fillId="0" borderId="0" xfId="0" applyFont="1" applyFill="1" applyBorder="1" applyAlignment="1" applyProtection="1">
      <alignment horizontal="left"/>
    </xf>
    <xf numFmtId="0" fontId="30" fillId="24" borderId="22" xfId="0" applyFont="1" applyFill="1" applyBorder="1" applyAlignment="1">
      <alignment horizontal="right" vertical="center"/>
    </xf>
    <xf numFmtId="0" fontId="30" fillId="0" borderId="24" xfId="0" applyNumberFormat="1" applyFont="1" applyFill="1" applyBorder="1" applyAlignment="1">
      <alignment vertical="center"/>
    </xf>
    <xf numFmtId="0" fontId="30" fillId="0" borderId="56" xfId="0" applyNumberFormat="1" applyFont="1" applyFill="1" applyBorder="1" applyAlignment="1">
      <alignment vertical="center"/>
    </xf>
    <xf numFmtId="0" fontId="30" fillId="24" borderId="24" xfId="0" applyFont="1" applyFill="1" applyBorder="1" applyAlignment="1" applyProtection="1">
      <alignment vertical="center"/>
    </xf>
    <xf numFmtId="0" fontId="30" fillId="29" borderId="22" xfId="0" applyFont="1" applyFill="1" applyBorder="1" applyAlignment="1" applyProtection="1">
      <alignment horizontal="right" vertical="center"/>
    </xf>
    <xf numFmtId="164" fontId="30" fillId="0" borderId="24" xfId="0" applyNumberFormat="1" applyFont="1" applyFill="1" applyBorder="1" applyAlignment="1">
      <alignment vertical="center"/>
    </xf>
    <xf numFmtId="164" fontId="30" fillId="0" borderId="57" xfId="0" applyNumberFormat="1" applyFont="1" applyFill="1" applyBorder="1" applyAlignment="1">
      <alignment vertical="center"/>
    </xf>
    <xf numFmtId="0" fontId="30" fillId="29" borderId="18" xfId="0" applyFont="1" applyFill="1" applyBorder="1" applyProtection="1"/>
    <xf numFmtId="0" fontId="30" fillId="27" borderId="0" xfId="0" applyFont="1" applyFill="1" applyBorder="1" applyAlignment="1" applyProtection="1">
      <alignment horizontal="left"/>
    </xf>
    <xf numFmtId="0" fontId="30" fillId="28" borderId="0" xfId="0" applyFont="1" applyFill="1" applyProtection="1"/>
    <xf numFmtId="0" fontId="30" fillId="28" borderId="0" xfId="0" applyFont="1" applyFill="1" applyBorder="1" applyAlignment="1" applyProtection="1">
      <alignment horizontal="center"/>
    </xf>
    <xf numFmtId="0" fontId="30" fillId="24" borderId="0" xfId="0" applyFont="1" applyFill="1" applyBorder="1" applyAlignment="1" applyProtection="1">
      <alignment horizontal="center"/>
    </xf>
    <xf numFmtId="0" fontId="30" fillId="0" borderId="57" xfId="0" applyNumberFormat="1" applyFont="1" applyFill="1" applyBorder="1" applyAlignment="1">
      <alignment vertical="center"/>
    </xf>
    <xf numFmtId="0" fontId="30" fillId="29" borderId="24" xfId="0" applyFont="1" applyFill="1" applyBorder="1" applyProtection="1"/>
    <xf numFmtId="0" fontId="8" fillId="29" borderId="0" xfId="0" applyFont="1" applyFill="1" applyBorder="1" applyAlignment="1" applyProtection="1">
      <alignment horizontal="center"/>
    </xf>
    <xf numFmtId="0" fontId="30" fillId="27" borderId="0" xfId="0" applyFont="1" applyFill="1" applyAlignment="1" applyProtection="1">
      <alignment horizontal="center"/>
    </xf>
    <xf numFmtId="0" fontId="30" fillId="28" borderId="0" xfId="0" applyFont="1" applyFill="1" applyAlignment="1" applyProtection="1">
      <alignment horizontal="center"/>
    </xf>
    <xf numFmtId="2" fontId="35" fillId="24" borderId="0" xfId="0" applyNumberFormat="1" applyFont="1" applyFill="1" applyBorder="1" applyAlignment="1">
      <alignment horizontal="center"/>
    </xf>
    <xf numFmtId="2" fontId="30" fillId="24" borderId="0" xfId="0" applyNumberFormat="1" applyFont="1" applyFill="1" applyBorder="1" applyAlignment="1" applyProtection="1"/>
    <xf numFmtId="0" fontId="30" fillId="29" borderId="10" xfId="0" applyFont="1" applyFill="1" applyBorder="1" applyProtection="1"/>
    <xf numFmtId="0" fontId="5" fillId="29" borderId="0" xfId="0" quotePrefix="1" applyFont="1" applyFill="1" applyBorder="1" applyAlignment="1">
      <alignment horizontal="center"/>
    </xf>
    <xf numFmtId="0" fontId="37" fillId="0" borderId="18" xfId="0" applyNumberFormat="1" applyFont="1" applyBorder="1" applyAlignment="1" applyProtection="1">
      <alignment horizontal="left" vertical="center"/>
    </xf>
    <xf numFmtId="0" fontId="35" fillId="29" borderId="0" xfId="0" applyFont="1" applyFill="1" applyBorder="1" applyAlignment="1" applyProtection="1">
      <alignment horizontal="center"/>
    </xf>
    <xf numFmtId="0" fontId="30" fillId="0" borderId="13" xfId="0" quotePrefix="1" applyFont="1" applyBorder="1" applyProtection="1"/>
    <xf numFmtId="0" fontId="37" fillId="24" borderId="0" xfId="0" applyNumberFormat="1" applyFont="1" applyFill="1" applyBorder="1" applyAlignment="1">
      <alignment vertical="center"/>
    </xf>
    <xf numFmtId="0" fontId="30" fillId="0" borderId="54" xfId="0" applyFont="1" applyFill="1" applyBorder="1" applyProtection="1"/>
    <xf numFmtId="0" fontId="30" fillId="0" borderId="55" xfId="0" applyFont="1" applyFill="1" applyBorder="1" applyProtection="1"/>
    <xf numFmtId="0" fontId="30" fillId="0" borderId="15" xfId="0" applyFont="1" applyBorder="1" applyAlignment="1" applyProtection="1">
      <alignment vertical="center"/>
    </xf>
    <xf numFmtId="0" fontId="30" fillId="0" borderId="0" xfId="0" applyFont="1" applyFill="1" applyAlignment="1" applyProtection="1">
      <alignment horizontal="right"/>
    </xf>
    <xf numFmtId="1" fontId="30" fillId="0" borderId="0" xfId="0" applyNumberFormat="1" applyFont="1" applyFill="1" applyBorder="1" applyProtection="1"/>
    <xf numFmtId="1" fontId="30" fillId="0" borderId="0" xfId="0" applyNumberFormat="1" applyFont="1" applyFill="1" applyProtection="1"/>
    <xf numFmtId="1" fontId="30" fillId="0" borderId="0" xfId="0" applyNumberFormat="1" applyFont="1" applyBorder="1" applyAlignment="1" applyProtection="1">
      <alignment horizontal="right"/>
    </xf>
    <xf numFmtId="0" fontId="2" fillId="24" borderId="13" xfId="0" applyFont="1" applyFill="1" applyBorder="1" applyAlignment="1" applyProtection="1">
      <alignment horizontal="right" vertical="center"/>
    </xf>
    <xf numFmtId="170" fontId="30" fillId="0" borderId="0" xfId="0" applyNumberFormat="1" applyFont="1" applyAlignment="1" applyProtection="1">
      <alignment horizontal="right"/>
    </xf>
    <xf numFmtId="0" fontId="30" fillId="0" borderId="0" xfId="0" applyNumberFormat="1" applyFont="1" applyAlignment="1" applyProtection="1"/>
    <xf numFmtId="168" fontId="30" fillId="0" borderId="23" xfId="0" applyNumberFormat="1" applyFont="1" applyFill="1" applyBorder="1" applyProtection="1"/>
    <xf numFmtId="1" fontId="5" fillId="0" borderId="0" xfId="0" applyNumberFormat="1" applyFont="1" applyAlignment="1" applyProtection="1">
      <alignment horizontal="right"/>
    </xf>
    <xf numFmtId="1" fontId="5" fillId="28" borderId="10" xfId="0" applyNumberFormat="1" applyFont="1" applyFill="1" applyBorder="1" applyAlignment="1" applyProtection="1">
      <alignment horizontal="right"/>
    </xf>
    <xf numFmtId="1" fontId="30" fillId="28" borderId="11" xfId="0" applyNumberFormat="1" applyFont="1" applyFill="1" applyBorder="1" applyProtection="1"/>
    <xf numFmtId="0" fontId="5" fillId="28" borderId="11" xfId="0" quotePrefix="1" applyFont="1" applyFill="1" applyBorder="1" applyAlignment="1" applyProtection="1">
      <alignment horizontal="left"/>
    </xf>
    <xf numFmtId="0" fontId="5" fillId="28" borderId="11" xfId="0" applyFont="1" applyFill="1" applyBorder="1" applyAlignment="1" applyProtection="1">
      <alignment horizontal="right"/>
    </xf>
    <xf numFmtId="0" fontId="43" fillId="28" borderId="11" xfId="0" applyFont="1" applyFill="1" applyBorder="1" applyAlignment="1" applyProtection="1">
      <alignment horizontal="center"/>
    </xf>
    <xf numFmtId="0" fontId="30" fillId="28" borderId="11" xfId="0" applyFont="1" applyFill="1" applyBorder="1" applyAlignment="1" applyProtection="1">
      <alignment horizontal="right" vertical="top"/>
    </xf>
    <xf numFmtId="1" fontId="30" fillId="28" borderId="12" xfId="0" applyNumberFormat="1" applyFont="1" applyFill="1" applyBorder="1" applyAlignment="1" applyProtection="1">
      <alignment horizontal="right"/>
    </xf>
    <xf numFmtId="0" fontId="30" fillId="0" borderId="0" xfId="0" quotePrefix="1" applyFont="1" applyProtection="1"/>
    <xf numFmtId="1" fontId="30" fillId="28" borderId="0" xfId="0" applyNumberFormat="1" applyFont="1" applyFill="1" applyBorder="1" applyAlignment="1" applyProtection="1">
      <alignment vertical="center"/>
    </xf>
    <xf numFmtId="1" fontId="30" fillId="28" borderId="0" xfId="0" applyNumberFormat="1" applyFont="1" applyFill="1" applyBorder="1" applyProtection="1"/>
    <xf numFmtId="0" fontId="43" fillId="28" borderId="0" xfId="0" applyFont="1" applyFill="1" applyBorder="1" applyAlignment="1" applyProtection="1">
      <alignment horizontal="center"/>
    </xf>
    <xf numFmtId="0" fontId="43" fillId="28" borderId="0" xfId="0" applyFont="1" applyFill="1" applyBorder="1" applyAlignment="1">
      <alignment horizontal="right" vertical="top"/>
    </xf>
    <xf numFmtId="0" fontId="31" fillId="0" borderId="0" xfId="0" applyFont="1" applyAlignment="1" applyProtection="1">
      <alignment horizontal="left"/>
    </xf>
    <xf numFmtId="0" fontId="63" fillId="28" borderId="0" xfId="0" applyFont="1" applyFill="1" applyBorder="1" applyAlignment="1">
      <alignment horizontal="right" vertical="center"/>
    </xf>
    <xf numFmtId="0" fontId="30" fillId="0" borderId="0" xfId="0" applyFont="1" applyFill="1" applyBorder="1" applyAlignment="1" applyProtection="1">
      <alignment vertical="center"/>
    </xf>
    <xf numFmtId="0" fontId="57" fillId="28" borderId="0" xfId="0" applyFont="1" applyFill="1" applyBorder="1" applyAlignment="1" applyProtection="1">
      <alignment horizontal="center" vertical="center"/>
    </xf>
    <xf numFmtId="0" fontId="30" fillId="0" borderId="25" xfId="0" applyFont="1" applyFill="1" applyBorder="1" applyAlignment="1" applyProtection="1">
      <alignment vertical="center"/>
    </xf>
    <xf numFmtId="0" fontId="63" fillId="28" borderId="0" xfId="0" applyFont="1" applyFill="1" applyBorder="1" applyProtection="1"/>
    <xf numFmtId="0" fontId="30" fillId="28" borderId="17" xfId="0" applyFont="1" applyFill="1" applyBorder="1" applyProtection="1"/>
    <xf numFmtId="0" fontId="8" fillId="28" borderId="0" xfId="0" applyFont="1" applyFill="1" applyBorder="1" applyAlignment="1" applyProtection="1">
      <alignment horizontal="right"/>
    </xf>
    <xf numFmtId="0" fontId="30" fillId="0" borderId="23" xfId="0" applyFont="1" applyFill="1" applyBorder="1" applyAlignment="1" applyProtection="1">
      <alignment vertical="center"/>
    </xf>
    <xf numFmtId="0" fontId="43" fillId="28" borderId="0" xfId="0" quotePrefix="1" applyFont="1" applyFill="1" applyBorder="1" applyAlignment="1">
      <alignment horizontal="right"/>
    </xf>
    <xf numFmtId="0" fontId="5" fillId="28" borderId="13" xfId="0" applyFont="1" applyFill="1" applyBorder="1" applyAlignment="1" applyProtection="1">
      <alignment horizontal="center"/>
    </xf>
    <xf numFmtId="0" fontId="43" fillId="24" borderId="0" xfId="0" applyFont="1" applyFill="1" applyBorder="1" applyAlignment="1" applyProtection="1">
      <alignment horizontal="right"/>
    </xf>
    <xf numFmtId="0" fontId="8" fillId="0" borderId="0" xfId="0" applyFont="1" applyProtection="1"/>
    <xf numFmtId="0" fontId="30" fillId="28" borderId="0" xfId="0" applyFont="1" applyFill="1" applyBorder="1" applyAlignment="1" applyProtection="1">
      <alignment vertical="center"/>
    </xf>
    <xf numFmtId="0" fontId="30" fillId="28" borderId="0" xfId="0" applyFont="1" applyFill="1" applyBorder="1" applyAlignment="1" applyProtection="1">
      <alignment horizontal="right" vertical="center"/>
    </xf>
    <xf numFmtId="0" fontId="31" fillId="28" borderId="0" xfId="0" applyFont="1" applyFill="1" applyBorder="1" applyAlignment="1" applyProtection="1">
      <alignment horizontal="center" vertical="center"/>
    </xf>
    <xf numFmtId="0" fontId="31" fillId="28" borderId="0" xfId="0" applyFont="1" applyFill="1" applyBorder="1" applyAlignment="1" applyProtection="1">
      <alignment vertical="center"/>
    </xf>
    <xf numFmtId="0" fontId="5" fillId="24" borderId="0" xfId="0" applyFont="1" applyFill="1" applyBorder="1" applyAlignment="1" applyProtection="1">
      <alignment vertical="center"/>
    </xf>
    <xf numFmtId="164" fontId="30" fillId="0" borderId="0" xfId="0" applyNumberFormat="1" applyFont="1" applyProtection="1"/>
    <xf numFmtId="0" fontId="30" fillId="24" borderId="0" xfId="0" applyFont="1" applyFill="1" applyBorder="1" applyAlignment="1" applyProtection="1">
      <alignment horizontal="right"/>
    </xf>
    <xf numFmtId="0" fontId="30" fillId="0" borderId="23" xfId="0" applyNumberFormat="1" applyFont="1" applyFill="1" applyBorder="1" applyProtection="1"/>
    <xf numFmtId="0" fontId="30" fillId="24" borderId="0" xfId="0" applyFont="1" applyFill="1" applyBorder="1" applyAlignment="1" applyProtection="1">
      <alignment horizontal="right" vertical="center"/>
    </xf>
    <xf numFmtId="0" fontId="30" fillId="0" borderId="0" xfId="0" applyNumberFormat="1" applyFont="1" applyFill="1" applyBorder="1" applyAlignment="1" applyProtection="1">
      <alignment vertical="center"/>
    </xf>
    <xf numFmtId="0" fontId="31" fillId="28" borderId="0" xfId="0" applyFont="1" applyFill="1" applyBorder="1" applyAlignment="1" applyProtection="1">
      <alignment horizontal="center"/>
    </xf>
    <xf numFmtId="0" fontId="31" fillId="28" borderId="0" xfId="0" applyFont="1" applyFill="1" applyBorder="1" applyProtection="1"/>
    <xf numFmtId="171" fontId="30" fillId="0" borderId="0" xfId="0" applyNumberFormat="1" applyFont="1" applyProtection="1"/>
    <xf numFmtId="0" fontId="88" fillId="28" borderId="15" xfId="0" applyFont="1" applyFill="1" applyBorder="1" applyProtection="1"/>
    <xf numFmtId="0" fontId="88" fillId="28" borderId="16" xfId="0" applyFont="1" applyFill="1" applyBorder="1" applyProtection="1"/>
    <xf numFmtId="0" fontId="30" fillId="24" borderId="16" xfId="0" applyFont="1" applyFill="1" applyBorder="1" applyAlignment="1" applyProtection="1">
      <alignment horizontal="right"/>
    </xf>
    <xf numFmtId="0" fontId="30" fillId="24" borderId="17" xfId="0" applyFont="1" applyFill="1" applyBorder="1" applyProtection="1"/>
    <xf numFmtId="0" fontId="88" fillId="0" borderId="0" xfId="0" applyFont="1" applyFill="1" applyBorder="1" applyProtection="1"/>
    <xf numFmtId="0" fontId="43" fillId="0" borderId="0" xfId="0" applyFont="1" applyFill="1" applyAlignment="1" applyProtection="1">
      <alignment horizontal="right"/>
    </xf>
    <xf numFmtId="0" fontId="30" fillId="24" borderId="14" xfId="0" applyFont="1" applyFill="1" applyBorder="1" applyAlignment="1" applyProtection="1">
      <alignment vertical="center"/>
    </xf>
    <xf numFmtId="0" fontId="30" fillId="24" borderId="15" xfId="0" applyFont="1" applyFill="1" applyBorder="1" applyAlignment="1" applyProtection="1">
      <alignment horizontal="right"/>
    </xf>
    <xf numFmtId="0" fontId="30" fillId="24" borderId="16" xfId="0" applyFont="1" applyFill="1" applyBorder="1" applyAlignment="1" applyProtection="1">
      <alignment vertical="center"/>
    </xf>
    <xf numFmtId="0" fontId="30" fillId="24" borderId="17" xfId="0" applyFont="1" applyFill="1" applyBorder="1" applyAlignment="1" applyProtection="1">
      <alignment vertical="center"/>
    </xf>
    <xf numFmtId="0" fontId="30" fillId="24" borderId="16" xfId="0" applyFont="1" applyFill="1" applyBorder="1" applyAlignment="1">
      <alignment vertical="center"/>
    </xf>
    <xf numFmtId="0" fontId="30" fillId="36" borderId="10" xfId="0" applyFont="1" applyFill="1" applyBorder="1"/>
    <xf numFmtId="0" fontId="30" fillId="36" borderId="11" xfId="0" applyFont="1" applyFill="1" applyBorder="1"/>
    <xf numFmtId="0" fontId="30" fillId="36" borderId="12" xfId="0" applyFont="1" applyFill="1" applyBorder="1"/>
    <xf numFmtId="0" fontId="30" fillId="36" borderId="13" xfId="0" applyFont="1" applyFill="1" applyBorder="1"/>
    <xf numFmtId="0" fontId="30" fillId="36" borderId="0" xfId="0" applyFont="1" applyFill="1" applyBorder="1"/>
    <xf numFmtId="0" fontId="30" fillId="36" borderId="14" xfId="0" applyFont="1" applyFill="1" applyBorder="1"/>
    <xf numFmtId="0" fontId="52" fillId="36" borderId="0" xfId="0" applyFont="1" applyFill="1" applyBorder="1" applyProtection="1">
      <protection locked="0"/>
    </xf>
    <xf numFmtId="0" fontId="5" fillId="36" borderId="10" xfId="0" applyFont="1" applyFill="1" applyBorder="1" applyAlignment="1" applyProtection="1">
      <alignment horizontal="center"/>
    </xf>
    <xf numFmtId="0" fontId="31" fillId="36" borderId="11" xfId="0" applyFont="1" applyFill="1" applyBorder="1"/>
    <xf numFmtId="0" fontId="30" fillId="0" borderId="0" xfId="0" applyFont="1" applyAlignment="1" applyProtection="1">
      <alignment horizontal="center"/>
      <protection locked="0"/>
    </xf>
    <xf numFmtId="0" fontId="38" fillId="0" borderId="0" xfId="0" applyFont="1" applyAlignment="1">
      <alignment horizontal="center"/>
    </xf>
    <xf numFmtId="0" fontId="52" fillId="36" borderId="13" xfId="0" applyFont="1" applyFill="1" applyBorder="1"/>
    <xf numFmtId="0" fontId="8" fillId="36" borderId="0" xfId="0" applyFont="1" applyFill="1" applyBorder="1" applyAlignment="1">
      <alignment horizontal="right" vertical="top"/>
    </xf>
    <xf numFmtId="0" fontId="30" fillId="36" borderId="0" xfId="0" applyFont="1" applyFill="1"/>
    <xf numFmtId="0" fontId="43" fillId="36" borderId="0" xfId="0" applyFont="1" applyFill="1" applyBorder="1" applyAlignment="1">
      <alignment horizontal="right" vertical="center"/>
    </xf>
    <xf numFmtId="172" fontId="30" fillId="0" borderId="23" xfId="0" applyNumberFormat="1" applyFont="1" applyFill="1" applyBorder="1"/>
    <xf numFmtId="0" fontId="52" fillId="36" borderId="15" xfId="0" applyFont="1" applyFill="1" applyBorder="1"/>
    <xf numFmtId="0" fontId="30" fillId="36" borderId="16" xfId="0" applyFont="1" applyFill="1" applyBorder="1"/>
    <xf numFmtId="0" fontId="30" fillId="36" borderId="16" xfId="0" applyFont="1" applyFill="1" applyBorder="1" applyProtection="1">
      <protection locked="0"/>
    </xf>
    <xf numFmtId="0" fontId="5" fillId="29" borderId="10" xfId="0" applyFont="1" applyFill="1" applyBorder="1" applyAlignment="1" applyProtection="1">
      <alignment horizontal="center"/>
    </xf>
    <xf numFmtId="49" fontId="5" fillId="29" borderId="11" xfId="0" applyNumberFormat="1" applyFont="1" applyFill="1" applyBorder="1" applyAlignment="1" applyProtection="1">
      <alignment horizontal="right"/>
    </xf>
    <xf numFmtId="0" fontId="30" fillId="29" borderId="11" xfId="0" applyFont="1" applyFill="1" applyBorder="1" applyAlignment="1">
      <alignment horizontal="center"/>
    </xf>
    <xf numFmtId="172" fontId="30" fillId="0" borderId="0" xfId="0" applyNumberFormat="1" applyFont="1" applyFill="1" applyBorder="1"/>
    <xf numFmtId="172" fontId="30" fillId="0" borderId="25" xfId="0" applyNumberFormat="1" applyFont="1" applyFill="1" applyBorder="1"/>
    <xf numFmtId="0" fontId="31" fillId="36" borderId="13" xfId="0" applyFont="1" applyFill="1" applyBorder="1"/>
    <xf numFmtId="172" fontId="30" fillId="0" borderId="25" xfId="0" applyNumberFormat="1" applyFont="1" applyFill="1" applyBorder="1" applyAlignment="1">
      <alignment vertical="center"/>
    </xf>
    <xf numFmtId="0" fontId="30" fillId="0" borderId="23" xfId="0" applyFont="1" applyFill="1" applyBorder="1" applyProtection="1"/>
    <xf numFmtId="0" fontId="77" fillId="28" borderId="11" xfId="0" applyFont="1" applyFill="1" applyBorder="1"/>
    <xf numFmtId="164" fontId="30" fillId="0" borderId="0" xfId="0" applyNumberFormat="1" applyFont="1" applyBorder="1" applyAlignment="1">
      <alignment horizontal="right"/>
    </xf>
    <xf numFmtId="0" fontId="43" fillId="28" borderId="0" xfId="0" applyFont="1" applyFill="1" applyBorder="1" applyAlignment="1">
      <alignment horizontal="right" vertical="center"/>
    </xf>
    <xf numFmtId="172" fontId="45" fillId="0" borderId="0" xfId="0" applyNumberFormat="1" applyFont="1" applyFill="1" applyBorder="1" applyAlignment="1">
      <alignment vertical="center"/>
    </xf>
    <xf numFmtId="0" fontId="30" fillId="28" borderId="0" xfId="0" applyFont="1" applyFill="1" applyBorder="1" applyAlignment="1">
      <alignment horizontal="right" vertical="center"/>
    </xf>
    <xf numFmtId="0" fontId="65" fillId="28" borderId="0" xfId="0" applyFont="1" applyFill="1" applyBorder="1" applyAlignment="1">
      <alignment horizontal="right"/>
    </xf>
    <xf numFmtId="172" fontId="45" fillId="0" borderId="23" xfId="0" applyNumberFormat="1" applyFont="1" applyFill="1" applyBorder="1" applyAlignment="1">
      <alignment vertical="center"/>
    </xf>
    <xf numFmtId="1" fontId="30" fillId="0" borderId="0" xfId="0" applyNumberFormat="1" applyFont="1" applyBorder="1"/>
    <xf numFmtId="0" fontId="52" fillId="36" borderId="0" xfId="0" applyFont="1" applyFill="1" applyBorder="1"/>
    <xf numFmtId="0" fontId="52" fillId="36" borderId="14" xfId="0" applyFont="1" applyFill="1" applyBorder="1"/>
    <xf numFmtId="0" fontId="30" fillId="36" borderId="15" xfId="0" applyFont="1" applyFill="1" applyBorder="1"/>
    <xf numFmtId="0" fontId="30" fillId="36" borderId="17" xfId="0" applyFont="1" applyFill="1" applyBorder="1"/>
    <xf numFmtId="172" fontId="30" fillId="0" borderId="0" xfId="0" applyNumberFormat="1" applyFont="1" applyBorder="1"/>
    <xf numFmtId="172" fontId="30" fillId="0" borderId="14" xfId="0" applyNumberFormat="1" applyFont="1" applyBorder="1"/>
    <xf numFmtId="0" fontId="30" fillId="0" borderId="17" xfId="0" applyFont="1" applyFill="1" applyBorder="1"/>
    <xf numFmtId="172" fontId="30" fillId="0" borderId="16" xfId="0" applyNumberFormat="1" applyFont="1" applyBorder="1"/>
    <xf numFmtId="0" fontId="31" fillId="24" borderId="11" xfId="0" applyFont="1" applyFill="1" applyBorder="1" applyAlignment="1">
      <alignment vertical="center"/>
    </xf>
    <xf numFmtId="0" fontId="30" fillId="0" borderId="11" xfId="0" applyFont="1" applyBorder="1" applyAlignment="1">
      <alignment horizontal="center"/>
    </xf>
    <xf numFmtId="0" fontId="30" fillId="0" borderId="12" xfId="0" applyFont="1" applyBorder="1" applyAlignment="1">
      <alignment horizontal="center"/>
    </xf>
    <xf numFmtId="0" fontId="8" fillId="36" borderId="0" xfId="0" applyFont="1" applyFill="1" applyBorder="1" applyAlignment="1">
      <alignment horizontal="center"/>
    </xf>
    <xf numFmtId="0" fontId="43" fillId="24" borderId="0" xfId="0" applyFont="1" applyFill="1" applyBorder="1" applyAlignment="1">
      <alignment horizontal="right"/>
    </xf>
    <xf numFmtId="176" fontId="30" fillId="0" borderId="0" xfId="0" applyNumberFormat="1" applyFont="1" applyFill="1" applyBorder="1" applyAlignment="1">
      <alignment vertical="center"/>
    </xf>
    <xf numFmtId="0" fontId="30" fillId="36" borderId="0" xfId="0" applyFont="1" applyFill="1" applyBorder="1" applyProtection="1">
      <protection locked="0"/>
    </xf>
    <xf numFmtId="0" fontId="30" fillId="36" borderId="24" xfId="0" applyFont="1" applyFill="1" applyBorder="1" applyProtection="1">
      <protection locked="0"/>
    </xf>
    <xf numFmtId="172" fontId="30" fillId="0" borderId="23" xfId="0" applyNumberFormat="1" applyFont="1" applyFill="1" applyBorder="1" applyAlignment="1">
      <alignment vertical="center"/>
    </xf>
    <xf numFmtId="176" fontId="30" fillId="0" borderId="0" xfId="0" applyNumberFormat="1" applyFont="1" applyFill="1" applyBorder="1" applyAlignment="1"/>
    <xf numFmtId="0" fontId="31" fillId="24" borderId="14" xfId="0" applyFont="1" applyFill="1" applyBorder="1" applyAlignment="1">
      <alignment horizontal="left"/>
    </xf>
    <xf numFmtId="0" fontId="30" fillId="36" borderId="18" xfId="0" applyFont="1" applyFill="1" applyBorder="1" applyProtection="1">
      <protection locked="0"/>
    </xf>
    <xf numFmtId="0" fontId="30" fillId="29" borderId="14" xfId="0" applyFont="1" applyFill="1" applyBorder="1" applyAlignment="1">
      <alignment vertical="center"/>
    </xf>
    <xf numFmtId="0" fontId="30" fillId="29" borderId="13" xfId="0" applyFont="1" applyFill="1" applyBorder="1" applyAlignment="1">
      <alignment vertical="center"/>
    </xf>
    <xf numFmtId="0" fontId="30" fillId="36" borderId="12" xfId="0" applyFont="1" applyFill="1" applyBorder="1" applyProtection="1">
      <protection locked="0"/>
    </xf>
    <xf numFmtId="172" fontId="30" fillId="0" borderId="0" xfId="0" applyNumberFormat="1" applyFont="1" applyFill="1" applyBorder="1" applyAlignment="1"/>
    <xf numFmtId="172" fontId="30" fillId="0" borderId="58" xfId="0" applyNumberFormat="1" applyFont="1" applyFill="1" applyBorder="1" applyAlignment="1"/>
    <xf numFmtId="0" fontId="31" fillId="29" borderId="14" xfId="0" applyFont="1" applyFill="1" applyBorder="1" applyAlignment="1">
      <alignment vertical="center"/>
    </xf>
    <xf numFmtId="0" fontId="30" fillId="36" borderId="0" xfId="0" applyFont="1" applyFill="1" applyBorder="1" applyAlignment="1">
      <alignment vertical="center"/>
    </xf>
    <xf numFmtId="0" fontId="30" fillId="36" borderId="14" xfId="0" applyFont="1" applyFill="1" applyBorder="1" applyAlignment="1">
      <alignment vertical="center"/>
    </xf>
    <xf numFmtId="172" fontId="30" fillId="0" borderId="59" xfId="0" applyNumberFormat="1" applyFont="1" applyFill="1" applyBorder="1" applyAlignment="1"/>
    <xf numFmtId="0" fontId="8" fillId="24" borderId="0" xfId="0" applyFont="1" applyFill="1" applyBorder="1" applyAlignment="1">
      <alignment horizontal="right"/>
    </xf>
    <xf numFmtId="172" fontId="30" fillId="0" borderId="13" xfId="0" applyNumberFormat="1" applyFont="1" applyBorder="1"/>
    <xf numFmtId="172" fontId="30" fillId="0" borderId="58" xfId="0" applyNumberFormat="1" applyFont="1" applyFill="1" applyBorder="1"/>
    <xf numFmtId="172" fontId="30" fillId="0" borderId="59" xfId="0" applyNumberFormat="1" applyFont="1" applyFill="1" applyBorder="1"/>
    <xf numFmtId="172" fontId="30" fillId="0" borderId="15" xfId="0" applyNumberFormat="1" applyFont="1" applyBorder="1"/>
    <xf numFmtId="172" fontId="30" fillId="0" borderId="17" xfId="0" applyNumberFormat="1" applyFont="1" applyBorder="1"/>
    <xf numFmtId="0" fontId="30" fillId="28" borderId="0" xfId="0" applyFont="1" applyFill="1" applyBorder="1" applyAlignment="1">
      <alignment vertical="center"/>
    </xf>
    <xf numFmtId="172" fontId="30" fillId="0" borderId="60" xfId="0" applyNumberFormat="1" applyFont="1" applyFill="1" applyBorder="1" applyAlignment="1">
      <alignment vertical="center"/>
    </xf>
    <xf numFmtId="172" fontId="30" fillId="0" borderId="59" xfId="0" applyNumberFormat="1" applyFont="1" applyFill="1" applyBorder="1" applyAlignment="1">
      <alignment vertical="center"/>
    </xf>
    <xf numFmtId="0" fontId="43" fillId="28" borderId="13" xfId="0" applyFont="1" applyFill="1" applyBorder="1" applyAlignment="1">
      <alignment horizontal="right"/>
    </xf>
    <xf numFmtId="174" fontId="45" fillId="0" borderId="0" xfId="0" applyNumberFormat="1" applyFont="1" applyFill="1" applyBorder="1"/>
    <xf numFmtId="0" fontId="30" fillId="0" borderId="12" xfId="0" applyFont="1" applyFill="1" applyBorder="1"/>
    <xf numFmtId="175" fontId="30" fillId="0" borderId="0" xfId="0" applyNumberFormat="1" applyFont="1" applyFill="1" applyBorder="1"/>
    <xf numFmtId="0" fontId="43" fillId="0" borderId="0" xfId="0" applyFont="1" applyFill="1" applyBorder="1" applyAlignment="1">
      <alignment horizontal="right"/>
    </xf>
    <xf numFmtId="1" fontId="30" fillId="0" borderId="0" xfId="0" applyNumberFormat="1" applyFont="1" applyAlignment="1"/>
    <xf numFmtId="0" fontId="30" fillId="0" borderId="24" xfId="0" applyFont="1" applyFill="1" applyBorder="1" applyAlignment="1">
      <alignment horizontal="right"/>
    </xf>
    <xf numFmtId="172" fontId="30" fillId="0" borderId="18" xfId="0" applyNumberFormat="1" applyFont="1" applyFill="1" applyBorder="1"/>
    <xf numFmtId="0" fontId="30" fillId="0" borderId="13" xfId="0" applyFont="1" applyBorder="1" applyAlignment="1"/>
    <xf numFmtId="0" fontId="30" fillId="0" borderId="0" xfId="0" applyFont="1" applyBorder="1" applyAlignment="1"/>
    <xf numFmtId="0" fontId="30" fillId="0" borderId="14" xfId="0" applyFont="1" applyBorder="1" applyAlignment="1"/>
    <xf numFmtId="2" fontId="30" fillId="0" borderId="18" xfId="0" applyNumberFormat="1" applyFont="1" applyFill="1" applyBorder="1"/>
    <xf numFmtId="0" fontId="30" fillId="36" borderId="19" xfId="0" applyFont="1" applyFill="1" applyBorder="1" applyProtection="1"/>
    <xf numFmtId="0" fontId="0" fillId="0" borderId="0" xfId="0" applyProtection="1"/>
    <xf numFmtId="0" fontId="30" fillId="36" borderId="20" xfId="0" applyFont="1" applyFill="1" applyBorder="1" applyProtection="1"/>
    <xf numFmtId="0" fontId="31" fillId="36" borderId="11" xfId="0" applyFont="1" applyFill="1" applyBorder="1" applyProtection="1"/>
    <xf numFmtId="0" fontId="30" fillId="36" borderId="11" xfId="0" applyFont="1" applyFill="1" applyBorder="1" applyProtection="1"/>
    <xf numFmtId="0" fontId="30" fillId="36" borderId="14" xfId="0" applyFont="1" applyFill="1" applyBorder="1" applyProtection="1"/>
    <xf numFmtId="0" fontId="30" fillId="28" borderId="0" xfId="0" applyFont="1" applyFill="1" applyProtection="1">
      <protection locked="0"/>
    </xf>
    <xf numFmtId="0" fontId="30" fillId="36" borderId="13" xfId="0" applyFont="1" applyFill="1" applyBorder="1" applyProtection="1"/>
    <xf numFmtId="0" fontId="30" fillId="36" borderId="0" xfId="0" applyFont="1" applyFill="1" applyBorder="1" applyProtection="1"/>
    <xf numFmtId="0" fontId="51" fillId="36" borderId="0" xfId="0" applyFont="1" applyFill="1" applyBorder="1" applyProtection="1"/>
    <xf numFmtId="0" fontId="30" fillId="35" borderId="10" xfId="0" applyNumberFormat="1" applyFont="1" applyFill="1" applyBorder="1" applyAlignment="1" applyProtection="1">
      <alignment horizontal="left"/>
    </xf>
    <xf numFmtId="0" fontId="30" fillId="35" borderId="12" xfId="0" applyNumberFormat="1" applyFont="1" applyFill="1" applyBorder="1" applyAlignment="1" applyProtection="1">
      <alignment horizontal="left"/>
    </xf>
    <xf numFmtId="0" fontId="30" fillId="28" borderId="0" xfId="0" applyFont="1" applyFill="1" applyAlignment="1" applyProtection="1">
      <alignment horizontal="center"/>
      <protection locked="0"/>
    </xf>
    <xf numFmtId="0" fontId="52" fillId="36" borderId="13" xfId="0" applyFont="1" applyFill="1" applyBorder="1" applyProtection="1"/>
    <xf numFmtId="0" fontId="30" fillId="0" borderId="15" xfId="0" applyNumberFormat="1" applyFont="1" applyBorder="1" applyProtection="1"/>
    <xf numFmtId="0" fontId="30" fillId="0" borderId="17" xfId="0" applyNumberFormat="1" applyFont="1" applyBorder="1" applyAlignment="1" applyProtection="1">
      <alignment horizontal="left"/>
    </xf>
    <xf numFmtId="0" fontId="52" fillId="36" borderId="0" xfId="0" applyFont="1" applyFill="1" applyBorder="1" applyProtection="1"/>
    <xf numFmtId="0" fontId="43" fillId="36" borderId="0" xfId="0" applyFont="1" applyFill="1" applyBorder="1" applyAlignment="1" applyProtection="1">
      <alignment horizontal="right" vertical="top"/>
    </xf>
    <xf numFmtId="0" fontId="43" fillId="36" borderId="0" xfId="0" applyFont="1" applyFill="1" applyBorder="1" applyAlignment="1" applyProtection="1">
      <alignment horizontal="right" vertical="center"/>
    </xf>
    <xf numFmtId="0" fontId="30" fillId="36" borderId="16" xfId="0" applyFont="1" applyFill="1" applyBorder="1" applyProtection="1"/>
    <xf numFmtId="0" fontId="31" fillId="36" borderId="20" xfId="0" applyFont="1" applyFill="1" applyBorder="1" applyProtection="1"/>
    <xf numFmtId="0" fontId="30" fillId="0" borderId="0" xfId="0" applyFont="1" applyAlignment="1" applyProtection="1"/>
    <xf numFmtId="0" fontId="30" fillId="29" borderId="0" xfId="0" applyNumberFormat="1" applyFont="1" applyFill="1" applyAlignment="1" applyProtection="1">
      <alignment horizontal="center"/>
    </xf>
    <xf numFmtId="0" fontId="31" fillId="29" borderId="11" xfId="0" applyFont="1" applyFill="1" applyBorder="1" applyProtection="1"/>
    <xf numFmtId="172" fontId="30" fillId="0" borderId="0" xfId="0" applyNumberFormat="1" applyFont="1" applyAlignment="1" applyProtection="1">
      <alignment horizontal="left"/>
    </xf>
    <xf numFmtId="0" fontId="30" fillId="0" borderId="0" xfId="0" applyNumberFormat="1" applyFont="1" applyAlignment="1" applyProtection="1">
      <alignment horizontal="left"/>
    </xf>
    <xf numFmtId="0" fontId="31" fillId="29" borderId="0" xfId="0" applyFont="1" applyFill="1" applyBorder="1" applyAlignment="1" applyProtection="1">
      <alignment horizontal="right"/>
    </xf>
    <xf numFmtId="0" fontId="31" fillId="29" borderId="0" xfId="0" applyFont="1" applyFill="1" applyBorder="1" applyProtection="1"/>
    <xf numFmtId="0" fontId="8" fillId="29" borderId="0" xfId="0" applyFont="1" applyFill="1" applyBorder="1" applyAlignment="1" applyProtection="1">
      <alignment horizontal="right"/>
    </xf>
    <xf numFmtId="0" fontId="0" fillId="0" borderId="0" xfId="0" applyNumberFormat="1" applyProtection="1"/>
    <xf numFmtId="0" fontId="30" fillId="0" borderId="0" xfId="0" applyFont="1" applyAlignment="1" applyProtection="1">
      <alignment horizontal="right"/>
      <protection locked="0"/>
    </xf>
    <xf numFmtId="172" fontId="30" fillId="0" borderId="25" xfId="0" applyNumberFormat="1" applyFont="1" applyFill="1" applyBorder="1" applyAlignment="1" applyProtection="1">
      <alignment vertical="center"/>
    </xf>
    <xf numFmtId="0" fontId="30" fillId="29" borderId="0" xfId="0" applyFont="1" applyFill="1" applyBorder="1" applyAlignment="1" applyProtection="1">
      <alignment vertical="center"/>
    </xf>
    <xf numFmtId="0" fontId="0" fillId="0" borderId="0" xfId="0" applyAlignment="1" applyProtection="1">
      <alignment horizontal="center"/>
    </xf>
    <xf numFmtId="0" fontId="77" fillId="28" borderId="11" xfId="0" applyFont="1" applyFill="1" applyBorder="1" applyProtection="1"/>
    <xf numFmtId="164" fontId="30" fillId="0" borderId="0" xfId="0" applyNumberFormat="1" applyFont="1" applyBorder="1" applyAlignment="1" applyProtection="1">
      <alignment horizontal="right"/>
    </xf>
    <xf numFmtId="1" fontId="30" fillId="0" borderId="0" xfId="0" applyNumberFormat="1" applyFont="1" applyBorder="1" applyProtection="1"/>
    <xf numFmtId="0" fontId="43" fillId="28" borderId="0" xfId="0" applyFont="1" applyFill="1" applyBorder="1" applyAlignment="1" applyProtection="1">
      <alignment horizontal="right" vertical="center"/>
    </xf>
    <xf numFmtId="172" fontId="45" fillId="0" borderId="0" xfId="0" applyNumberFormat="1" applyFont="1" applyFill="1" applyBorder="1" applyAlignment="1" applyProtection="1">
      <alignment vertical="center"/>
    </xf>
    <xf numFmtId="0" fontId="65" fillId="28" borderId="0" xfId="0" applyFont="1" applyFill="1" applyBorder="1" applyAlignment="1" applyProtection="1">
      <alignment horizontal="right" vertical="center"/>
    </xf>
    <xf numFmtId="172" fontId="45" fillId="0" borderId="23" xfId="0" applyNumberFormat="1" applyFont="1" applyFill="1" applyBorder="1" applyAlignment="1" applyProtection="1">
      <alignment vertical="center"/>
    </xf>
    <xf numFmtId="0" fontId="52" fillId="28" borderId="0" xfId="0" applyFont="1" applyFill="1" applyBorder="1" applyProtection="1"/>
    <xf numFmtId="0" fontId="52" fillId="36" borderId="20" xfId="0" applyFont="1" applyFill="1" applyBorder="1" applyProtection="1"/>
    <xf numFmtId="0" fontId="52" fillId="28" borderId="15" xfId="0" applyFont="1" applyFill="1" applyBorder="1" applyProtection="1"/>
    <xf numFmtId="0" fontId="52" fillId="28" borderId="16" xfId="0" applyFont="1" applyFill="1" applyBorder="1" applyProtection="1"/>
    <xf numFmtId="0" fontId="52" fillId="28" borderId="17" xfId="0" applyFont="1" applyFill="1" applyBorder="1" applyProtection="1"/>
    <xf numFmtId="0" fontId="52" fillId="36" borderId="14" xfId="0" applyFont="1" applyFill="1" applyBorder="1" applyProtection="1"/>
    <xf numFmtId="0" fontId="52" fillId="0" borderId="0" xfId="0" applyFont="1" applyFill="1" applyBorder="1" applyProtection="1"/>
    <xf numFmtId="0" fontId="30" fillId="36" borderId="21" xfId="0" applyFont="1" applyFill="1" applyBorder="1" applyProtection="1"/>
    <xf numFmtId="1" fontId="30" fillId="36" borderId="0" xfId="0" applyNumberFormat="1" applyFont="1" applyFill="1" applyProtection="1">
      <protection locked="0"/>
    </xf>
    <xf numFmtId="0" fontId="30" fillId="0" borderId="22" xfId="0" applyFont="1" applyFill="1" applyBorder="1" applyAlignment="1" applyProtection="1">
      <alignment horizontal="right"/>
    </xf>
    <xf numFmtId="0" fontId="30" fillId="0" borderId="18" xfId="0" applyFont="1" applyFill="1" applyBorder="1" applyAlignment="1" applyProtection="1">
      <alignment horizontal="right"/>
    </xf>
    <xf numFmtId="0" fontId="8" fillId="27" borderId="0" xfId="0" applyFont="1" applyFill="1" applyBorder="1" applyAlignment="1" applyProtection="1">
      <alignment horizontal="right"/>
    </xf>
    <xf numFmtId="172" fontId="30" fillId="0" borderId="13" xfId="0" applyNumberFormat="1" applyFont="1" applyBorder="1" applyProtection="1"/>
    <xf numFmtId="172" fontId="30" fillId="0" borderId="14" xfId="0" applyNumberFormat="1" applyFont="1" applyBorder="1" applyProtection="1"/>
    <xf numFmtId="0" fontId="30" fillId="0" borderId="18" xfId="0" applyFont="1" applyFill="1" applyBorder="1" applyProtection="1">
      <protection locked="0"/>
    </xf>
    <xf numFmtId="0" fontId="30" fillId="27" borderId="16" xfId="0" applyFont="1" applyFill="1" applyBorder="1" applyProtection="1">
      <protection locked="0"/>
    </xf>
    <xf numFmtId="172" fontId="30" fillId="0" borderId="15" xfId="0" applyNumberFormat="1" applyFont="1" applyBorder="1" applyProtection="1"/>
    <xf numFmtId="172" fontId="30" fillId="0" borderId="17" xfId="0" applyNumberFormat="1" applyFont="1" applyBorder="1" applyProtection="1"/>
    <xf numFmtId="0" fontId="30" fillId="0" borderId="12" xfId="0" applyNumberFormat="1" applyFont="1" applyBorder="1" applyProtection="1"/>
    <xf numFmtId="0" fontId="30" fillId="0" borderId="16" xfId="0" applyFont="1" applyFill="1" applyBorder="1" applyProtection="1"/>
    <xf numFmtId="0" fontId="30" fillId="0" borderId="17" xfId="0" applyNumberFormat="1" applyFont="1" applyBorder="1" applyProtection="1"/>
    <xf numFmtId="0" fontId="31" fillId="24" borderId="11" xfId="0" applyFont="1" applyFill="1" applyBorder="1" applyAlignment="1" applyProtection="1">
      <alignment vertical="center"/>
    </xf>
    <xf numFmtId="0" fontId="30" fillId="36" borderId="12" xfId="0" applyFont="1" applyFill="1" applyBorder="1" applyProtection="1"/>
    <xf numFmtId="0" fontId="5" fillId="36" borderId="11" xfId="0" applyFont="1" applyFill="1" applyBorder="1" applyAlignment="1" applyProtection="1">
      <alignment horizontal="center"/>
    </xf>
    <xf numFmtId="0" fontId="30" fillId="36" borderId="11" xfId="0" applyFont="1" applyFill="1" applyBorder="1" applyProtection="1">
      <protection locked="0"/>
    </xf>
    <xf numFmtId="0" fontId="63" fillId="36" borderId="0" xfId="0" applyFont="1" applyFill="1" applyBorder="1" applyProtection="1"/>
    <xf numFmtId="0" fontId="30" fillId="36" borderId="0" xfId="0" applyFont="1" applyFill="1" applyProtection="1">
      <protection locked="0"/>
    </xf>
    <xf numFmtId="176" fontId="30" fillId="0" borderId="0" xfId="0" applyNumberFormat="1" applyFont="1" applyFill="1" applyBorder="1" applyAlignment="1" applyProtection="1">
      <alignment vertical="center"/>
    </xf>
    <xf numFmtId="0" fontId="8" fillId="36" borderId="0" xfId="0" applyFont="1" applyFill="1" applyBorder="1" applyAlignment="1" applyProtection="1">
      <alignment horizontal="right"/>
    </xf>
    <xf numFmtId="0" fontId="31" fillId="24" borderId="0" xfId="0" applyFont="1" applyFill="1" applyBorder="1" applyAlignment="1" applyProtection="1">
      <alignment horizontal="right"/>
    </xf>
    <xf numFmtId="176" fontId="30" fillId="0" borderId="0" xfId="0" applyNumberFormat="1" applyFont="1" applyFill="1" applyBorder="1" applyAlignment="1" applyProtection="1"/>
    <xf numFmtId="0" fontId="31" fillId="24" borderId="14" xfId="0" applyFont="1" applyFill="1" applyBorder="1" applyAlignment="1" applyProtection="1">
      <alignment horizontal="left"/>
    </xf>
    <xf numFmtId="0" fontId="30" fillId="24" borderId="14" xfId="0" applyFont="1" applyFill="1" applyBorder="1" applyAlignment="1" applyProtection="1">
      <alignment horizontal="right"/>
    </xf>
    <xf numFmtId="0" fontId="30" fillId="36" borderId="15" xfId="0" applyFont="1" applyFill="1" applyBorder="1" applyProtection="1"/>
    <xf numFmtId="0" fontId="30" fillId="36" borderId="17" xfId="0" applyFont="1" applyFill="1" applyBorder="1" applyProtection="1"/>
    <xf numFmtId="0" fontId="30" fillId="29" borderId="12" xfId="0" applyFont="1" applyFill="1" applyBorder="1" applyProtection="1"/>
    <xf numFmtId="0" fontId="30" fillId="29" borderId="11" xfId="0" applyFont="1" applyFill="1" applyBorder="1" applyProtection="1">
      <protection locked="0"/>
    </xf>
    <xf numFmtId="0" fontId="30" fillId="29" borderId="0" xfId="0" applyFont="1" applyFill="1" applyBorder="1" applyAlignment="1" applyProtection="1">
      <alignment horizontal="center" vertical="center"/>
    </xf>
    <xf numFmtId="0" fontId="30" fillId="29" borderId="14" xfId="0" applyFont="1" applyFill="1" applyBorder="1" applyAlignment="1" applyProtection="1">
      <alignment vertical="center"/>
    </xf>
    <xf numFmtId="0" fontId="30" fillId="29" borderId="13" xfId="0" applyFont="1" applyFill="1" applyBorder="1" applyAlignment="1" applyProtection="1">
      <alignment vertical="center"/>
    </xf>
    <xf numFmtId="0" fontId="31" fillId="29" borderId="0" xfId="0" applyFont="1" applyFill="1" applyBorder="1" applyAlignment="1" applyProtection="1">
      <alignment horizontal="center" vertical="center"/>
    </xf>
    <xf numFmtId="172" fontId="30" fillId="0" borderId="58" xfId="0" applyNumberFormat="1" applyFont="1" applyFill="1" applyBorder="1" applyAlignment="1" applyProtection="1">
      <alignment vertical="center"/>
    </xf>
    <xf numFmtId="0" fontId="31" fillId="29" borderId="14" xfId="0" applyFont="1" applyFill="1" applyBorder="1" applyAlignment="1" applyProtection="1">
      <alignment vertical="center"/>
    </xf>
    <xf numFmtId="0" fontId="31" fillId="29" borderId="0" xfId="0" applyFont="1" applyFill="1" applyBorder="1" applyAlignment="1" applyProtection="1">
      <alignment horizontal="right" vertical="center"/>
    </xf>
    <xf numFmtId="172" fontId="30" fillId="0" borderId="59" xfId="0" applyNumberFormat="1" applyFont="1" applyFill="1" applyBorder="1" applyAlignment="1" applyProtection="1">
      <alignment vertical="center"/>
    </xf>
    <xf numFmtId="172" fontId="30" fillId="0" borderId="60" xfId="0" applyNumberFormat="1" applyFont="1" applyFill="1" applyBorder="1" applyAlignment="1" applyProtection="1">
      <alignment vertical="center"/>
    </xf>
    <xf numFmtId="0" fontId="30" fillId="0" borderId="24" xfId="0" applyFont="1" applyFill="1" applyBorder="1" applyProtection="1"/>
    <xf numFmtId="0" fontId="43" fillId="28" borderId="13" xfId="0" applyFont="1" applyFill="1" applyBorder="1" applyAlignment="1" applyProtection="1">
      <alignment horizontal="right" vertical="center"/>
    </xf>
    <xf numFmtId="174" fontId="45" fillId="0" borderId="0" xfId="0" applyNumberFormat="1" applyFont="1" applyFill="1" applyBorder="1" applyAlignment="1" applyProtection="1">
      <alignment vertical="center"/>
    </xf>
    <xf numFmtId="0" fontId="5" fillId="27" borderId="10" xfId="0" applyFont="1" applyFill="1" applyBorder="1" applyProtection="1"/>
    <xf numFmtId="175" fontId="30" fillId="27" borderId="11" xfId="0" applyNumberFormat="1" applyFont="1" applyFill="1" applyBorder="1" applyProtection="1"/>
    <xf numFmtId="0" fontId="52" fillId="27" borderId="11" xfId="0" applyFont="1" applyFill="1" applyBorder="1" applyProtection="1"/>
    <xf numFmtId="172" fontId="30" fillId="0" borderId="0" xfId="0" applyNumberFormat="1" applyFont="1" applyAlignment="1" applyProtection="1"/>
    <xf numFmtId="0" fontId="77" fillId="0" borderId="23" xfId="0" applyFont="1" applyFill="1" applyBorder="1" applyAlignment="1" applyProtection="1">
      <alignment horizontal="center" vertical="center"/>
    </xf>
    <xf numFmtId="172" fontId="30" fillId="0" borderId="0" xfId="0" applyNumberFormat="1" applyFont="1" applyAlignment="1" applyProtection="1">
      <alignment vertical="center"/>
    </xf>
    <xf numFmtId="0" fontId="30" fillId="0" borderId="0" xfId="0" applyNumberFormat="1" applyFont="1" applyAlignment="1" applyProtection="1">
      <alignment vertical="center"/>
    </xf>
    <xf numFmtId="0" fontId="30" fillId="0" borderId="0" xfId="0" applyNumberFormat="1" applyFont="1" applyAlignment="1" applyProtection="1">
      <alignment horizontal="left" vertical="center"/>
    </xf>
    <xf numFmtId="0" fontId="30" fillId="27" borderId="0" xfId="0" applyFont="1" applyFill="1" applyBorder="1" applyAlignment="1" applyProtection="1">
      <alignment horizontal="right"/>
    </xf>
    <xf numFmtId="0" fontId="43" fillId="27" borderId="0" xfId="0" applyFont="1" applyFill="1" applyBorder="1" applyAlignment="1" applyProtection="1">
      <alignment horizontal="right"/>
    </xf>
    <xf numFmtId="0" fontId="30" fillId="0" borderId="23" xfId="0" applyFont="1" applyFill="1" applyBorder="1" applyAlignment="1" applyProtection="1">
      <alignment horizontal="center"/>
    </xf>
    <xf numFmtId="0" fontId="52" fillId="0" borderId="23" xfId="0" applyFont="1" applyFill="1" applyBorder="1" applyAlignment="1" applyProtection="1">
      <alignment horizontal="center"/>
    </xf>
    <xf numFmtId="0" fontId="43" fillId="0" borderId="23" xfId="0" applyFont="1" applyFill="1" applyBorder="1" applyAlignment="1" applyProtection="1">
      <alignment horizontal="right"/>
    </xf>
    <xf numFmtId="0" fontId="31" fillId="0" borderId="17" xfId="0" applyFont="1" applyFill="1" applyBorder="1" applyProtection="1"/>
    <xf numFmtId="0" fontId="31" fillId="0" borderId="21" xfId="0" applyFont="1" applyFill="1" applyBorder="1" applyProtection="1"/>
    <xf numFmtId="0" fontId="30" fillId="0" borderId="21" xfId="0" applyFont="1" applyFill="1" applyBorder="1" applyProtection="1"/>
    <xf numFmtId="0" fontId="30" fillId="32" borderId="0" xfId="0" applyNumberFormat="1" applyFont="1" applyFill="1" applyProtection="1"/>
    <xf numFmtId="0" fontId="30" fillId="27" borderId="22" xfId="0" applyFont="1" applyFill="1" applyBorder="1" applyProtection="1"/>
    <xf numFmtId="0" fontId="30" fillId="27" borderId="24" xfId="0" applyFont="1" applyFill="1" applyBorder="1" applyProtection="1"/>
    <xf numFmtId="0" fontId="30" fillId="27" borderId="18" xfId="0" applyFont="1" applyFill="1" applyBorder="1" applyProtection="1"/>
    <xf numFmtId="0" fontId="30" fillId="0" borderId="10" xfId="0" applyFont="1" applyFill="1" applyBorder="1" applyProtection="1"/>
    <xf numFmtId="0" fontId="30" fillId="27" borderId="13" xfId="0" applyFont="1" applyFill="1" applyBorder="1" applyAlignment="1" applyProtection="1"/>
    <xf numFmtId="0" fontId="13" fillId="0" borderId="23" xfId="0" applyFont="1" applyFill="1" applyBorder="1" applyAlignment="1" applyProtection="1">
      <alignment horizontal="right"/>
    </xf>
    <xf numFmtId="0" fontId="30" fillId="0" borderId="18" xfId="0" applyFont="1" applyFill="1" applyBorder="1" applyAlignment="1" applyProtection="1"/>
    <xf numFmtId="0" fontId="30" fillId="0" borderId="0" xfId="0" applyFont="1" applyFill="1" applyBorder="1" applyAlignment="1" applyProtection="1"/>
    <xf numFmtId="1" fontId="30" fillId="0" borderId="0" xfId="0" applyNumberFormat="1" applyFont="1" applyAlignment="1" applyProtection="1"/>
    <xf numFmtId="0" fontId="30" fillId="0" borderId="13" xfId="0" applyFont="1" applyFill="1" applyBorder="1" applyAlignment="1" applyProtection="1"/>
    <xf numFmtId="0" fontId="30" fillId="0" borderId="14" xfId="0" applyFont="1" applyFill="1" applyBorder="1" applyAlignment="1" applyProtection="1"/>
    <xf numFmtId="0" fontId="30" fillId="0" borderId="13" xfId="0" applyFont="1" applyBorder="1" applyAlignment="1" applyProtection="1"/>
    <xf numFmtId="0" fontId="30" fillId="0" borderId="0" xfId="0" applyFont="1" applyBorder="1" applyAlignment="1" applyProtection="1"/>
    <xf numFmtId="0" fontId="30" fillId="27" borderId="0" xfId="0" applyFont="1" applyFill="1" applyBorder="1" applyAlignment="1" applyProtection="1"/>
    <xf numFmtId="0" fontId="30" fillId="27" borderId="22" xfId="0" applyFont="1" applyFill="1" applyBorder="1" applyAlignment="1" applyProtection="1"/>
    <xf numFmtId="0" fontId="30" fillId="27" borderId="24" xfId="0" applyFont="1" applyFill="1" applyBorder="1" applyAlignment="1" applyProtection="1"/>
    <xf numFmtId="0" fontId="52" fillId="0" borderId="0" xfId="0" applyNumberFormat="1" applyFont="1" applyProtection="1"/>
    <xf numFmtId="0" fontId="30" fillId="0" borderId="22" xfId="0" applyFont="1" applyFill="1" applyBorder="1" applyProtection="1"/>
    <xf numFmtId="0" fontId="31" fillId="0" borderId="23" xfId="0" applyFont="1" applyFill="1" applyBorder="1" applyProtection="1"/>
    <xf numFmtId="0" fontId="31" fillId="0" borderId="23" xfId="0" applyFont="1" applyFill="1" applyBorder="1" applyAlignment="1" applyProtection="1"/>
    <xf numFmtId="0" fontId="30" fillId="0" borderId="23" xfId="0" applyFont="1" applyFill="1" applyBorder="1" applyAlignment="1" applyProtection="1"/>
    <xf numFmtId="0" fontId="30" fillId="27" borderId="14" xfId="0" applyFont="1" applyFill="1" applyBorder="1" applyAlignment="1" applyProtection="1"/>
    <xf numFmtId="0" fontId="5" fillId="24" borderId="10" xfId="0" applyFont="1" applyFill="1" applyBorder="1" applyAlignment="1" applyProtection="1">
      <alignment horizontal="left"/>
    </xf>
    <xf numFmtId="0" fontId="30" fillId="24" borderId="11" xfId="0" applyFont="1" applyFill="1" applyBorder="1" applyAlignment="1" applyProtection="1">
      <alignment horizontal="left"/>
    </xf>
    <xf numFmtId="0" fontId="44" fillId="24" borderId="11" xfId="0" applyFont="1" applyFill="1" applyBorder="1" applyAlignment="1" applyProtection="1">
      <alignment horizontal="right"/>
    </xf>
    <xf numFmtId="0" fontId="30" fillId="0" borderId="11" xfId="0" applyFont="1" applyFill="1" applyBorder="1" applyAlignment="1" applyProtection="1"/>
    <xf numFmtId="0" fontId="8" fillId="24" borderId="11" xfId="0" applyFont="1" applyFill="1" applyBorder="1" applyAlignment="1" applyProtection="1">
      <alignment horizontal="right" vertical="center"/>
    </xf>
    <xf numFmtId="0" fontId="30" fillId="0" borderId="11" xfId="0" applyFont="1" applyFill="1" applyBorder="1" applyAlignment="1" applyProtection="1">
      <alignment vertical="center"/>
    </xf>
    <xf numFmtId="174" fontId="45" fillId="0" borderId="11" xfId="0" applyNumberFormat="1" applyFont="1" applyFill="1" applyBorder="1" applyAlignment="1" applyProtection="1">
      <alignment vertical="center"/>
    </xf>
    <xf numFmtId="0" fontId="30" fillId="24" borderId="16" xfId="0" applyFont="1" applyFill="1" applyBorder="1" applyAlignment="1" applyProtection="1">
      <alignment horizontal="center"/>
    </xf>
    <xf numFmtId="168" fontId="30" fillId="0" borderId="16" xfId="0" applyNumberFormat="1" applyFont="1" applyFill="1" applyBorder="1" applyProtection="1"/>
    <xf numFmtId="0" fontId="31" fillId="0" borderId="0" xfId="0" applyFont="1" applyFill="1" applyBorder="1" applyProtection="1"/>
    <xf numFmtId="0" fontId="38" fillId="0" borderId="0" xfId="0" applyFont="1" applyFill="1" applyBorder="1" applyAlignment="1" applyProtection="1"/>
    <xf numFmtId="0" fontId="2" fillId="0" borderId="0" xfId="0" applyFont="1"/>
    <xf numFmtId="0" fontId="2" fillId="24" borderId="0" xfId="0" applyFont="1" applyFill="1"/>
    <xf numFmtId="0" fontId="2" fillId="0" borderId="0" xfId="0" applyFont="1" applyFill="1"/>
    <xf numFmtId="0" fontId="5" fillId="27" borderId="10" xfId="0" quotePrefix="1" applyFont="1" applyFill="1" applyBorder="1" applyAlignment="1" applyProtection="1">
      <alignment horizontal="center"/>
    </xf>
    <xf numFmtId="0" fontId="30" fillId="27" borderId="11" xfId="0" applyFont="1" applyFill="1" applyBorder="1" applyAlignment="1" applyProtection="1">
      <alignment horizontal="right" vertical="center"/>
    </xf>
    <xf numFmtId="0" fontId="30" fillId="28" borderId="0" xfId="0" applyFont="1" applyFill="1" applyBorder="1" applyAlignment="1" applyProtection="1">
      <alignment horizontal="right" vertical="top"/>
    </xf>
    <xf numFmtId="177" fontId="70" fillId="0" borderId="0" xfId="0" applyNumberFormat="1" applyFont="1" applyBorder="1" applyAlignment="1">
      <alignment horizontal="center"/>
    </xf>
    <xf numFmtId="0" fontId="52" fillId="30" borderId="0" xfId="0" quotePrefix="1" applyFont="1" applyFill="1"/>
    <xf numFmtId="0" fontId="52" fillId="0" borderId="10" xfId="0" applyFont="1" applyFill="1" applyBorder="1"/>
    <xf numFmtId="0" fontId="52" fillId="31" borderId="0" xfId="0" applyFont="1" applyFill="1" applyAlignment="1">
      <alignment horizontal="right"/>
    </xf>
    <xf numFmtId="0" fontId="52" fillId="31" borderId="0" xfId="0" applyFont="1" applyFill="1"/>
    <xf numFmtId="0" fontId="30" fillId="0" borderId="22" xfId="0" applyFont="1" applyFill="1" applyBorder="1" applyAlignment="1" applyProtection="1">
      <alignment horizontal="center"/>
      <protection locked="0"/>
    </xf>
    <xf numFmtId="0" fontId="30" fillId="0" borderId="24" xfId="0" applyFont="1" applyFill="1" applyBorder="1" applyAlignment="1" applyProtection="1">
      <alignment horizontal="center"/>
      <protection locked="0"/>
    </xf>
    <xf numFmtId="0" fontId="30" fillId="0" borderId="18" xfId="0" applyFont="1" applyFill="1" applyBorder="1" applyAlignment="1" applyProtection="1">
      <alignment horizontal="center"/>
      <protection locked="0"/>
    </xf>
    <xf numFmtId="0" fontId="52" fillId="0" borderId="22" xfId="0" applyFont="1" applyFill="1" applyBorder="1" applyAlignment="1" applyProtection="1">
      <alignment horizontal="center"/>
      <protection locked="0"/>
    </xf>
    <xf numFmtId="0" fontId="52" fillId="0" borderId="24" xfId="0" applyFont="1" applyFill="1" applyBorder="1" applyAlignment="1" applyProtection="1">
      <alignment horizontal="center"/>
      <protection locked="0"/>
    </xf>
    <xf numFmtId="0" fontId="52" fillId="0" borderId="18" xfId="0" applyFont="1" applyFill="1" applyBorder="1" applyAlignment="1" applyProtection="1">
      <alignment horizontal="center"/>
      <protection locked="0"/>
    </xf>
    <xf numFmtId="0" fontId="105" fillId="0" borderId="15" xfId="0" applyFont="1" applyFill="1" applyBorder="1" applyAlignment="1" applyProtection="1">
      <alignment horizontal="center"/>
    </xf>
    <xf numFmtId="0" fontId="105" fillId="0" borderId="16" xfId="0" applyFont="1" applyFill="1" applyBorder="1" applyAlignment="1" applyProtection="1">
      <alignment horizontal="center"/>
    </xf>
    <xf numFmtId="0" fontId="105" fillId="0" borderId="17" xfId="0" applyFont="1" applyFill="1" applyBorder="1" applyAlignment="1" applyProtection="1">
      <alignment horizontal="center"/>
    </xf>
    <xf numFmtId="0" fontId="8" fillId="0" borderId="22" xfId="0" applyFont="1" applyFill="1" applyBorder="1" applyAlignment="1" applyProtection="1">
      <alignment horizontal="center"/>
    </xf>
    <xf numFmtId="0" fontId="8" fillId="0" borderId="24" xfId="0" applyFont="1" applyFill="1" applyBorder="1" applyAlignment="1" applyProtection="1">
      <alignment horizontal="center"/>
    </xf>
    <xf numFmtId="0" fontId="8" fillId="0" borderId="18" xfId="0" applyFont="1" applyFill="1" applyBorder="1" applyAlignment="1" applyProtection="1">
      <alignment horizontal="center"/>
    </xf>
    <xf numFmtId="0" fontId="105" fillId="0" borderId="22" xfId="0" applyFont="1" applyFill="1" applyBorder="1" applyAlignment="1" applyProtection="1">
      <alignment horizontal="center"/>
    </xf>
    <xf numFmtId="0" fontId="105" fillId="0" borderId="24" xfId="0" applyFont="1" applyFill="1" applyBorder="1" applyAlignment="1" applyProtection="1">
      <alignment horizontal="center"/>
    </xf>
    <xf numFmtId="0" fontId="105" fillId="0" borderId="18" xfId="0" applyFont="1" applyFill="1" applyBorder="1" applyAlignment="1" applyProtection="1">
      <alignment horizontal="center"/>
    </xf>
    <xf numFmtId="0" fontId="52" fillId="0" borderId="61" xfId="0" applyFont="1" applyFill="1" applyBorder="1" applyAlignment="1">
      <alignment horizontal="center" vertical="center" textRotation="90"/>
    </xf>
    <xf numFmtId="0" fontId="52" fillId="0" borderId="62" xfId="0" applyFont="1" applyFill="1" applyBorder="1" applyAlignment="1">
      <alignment horizontal="center" vertical="center" textRotation="90"/>
    </xf>
    <xf numFmtId="0" fontId="52" fillId="0" borderId="63" xfId="0" applyFont="1" applyFill="1" applyBorder="1" applyAlignment="1">
      <alignment horizontal="center" vertical="center" textRotation="90"/>
    </xf>
    <xf numFmtId="0" fontId="13" fillId="0" borderId="0" xfId="0" applyFont="1" applyAlignment="1" applyProtection="1"/>
    <xf numFmtId="0" fontId="31" fillId="0" borderId="0" xfId="0" applyFont="1" applyAlignment="1" applyProtection="1"/>
    <xf numFmtId="0" fontId="63" fillId="0" borderId="0" xfId="0" applyFont="1" applyAlignment="1" applyProtection="1"/>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14">
    <dxf>
      <fill>
        <patternFill>
          <bgColor indexed="22"/>
        </patternFill>
      </fill>
    </dxf>
    <dxf>
      <fill>
        <patternFill>
          <bgColor indexed="22"/>
        </patternFill>
      </fill>
    </dxf>
    <dxf>
      <font>
        <b val="0"/>
        <i val="0"/>
        <condense val="0"/>
        <extend val="0"/>
        <color auto="1"/>
      </font>
    </dxf>
    <dxf>
      <font>
        <b/>
        <i val="0"/>
        <condense val="0"/>
        <extend val="0"/>
        <color indexed="12"/>
      </font>
    </dxf>
    <dxf>
      <font>
        <b val="0"/>
        <i val="0"/>
        <condense val="0"/>
        <extend val="0"/>
        <color auto="1"/>
      </font>
    </dxf>
    <dxf>
      <font>
        <b/>
        <i val="0"/>
        <condense val="0"/>
        <extend val="0"/>
        <color indexed="17"/>
      </font>
    </dxf>
    <dxf>
      <font>
        <b val="0"/>
        <i val="0"/>
        <condense val="0"/>
        <extend val="0"/>
        <color auto="1"/>
      </font>
    </dxf>
    <dxf>
      <font>
        <b/>
        <i val="0"/>
        <condense val="0"/>
        <extend val="0"/>
        <color indexed="12"/>
      </font>
    </dxf>
    <dxf>
      <font>
        <b val="0"/>
        <i val="0"/>
        <condense val="0"/>
        <extend val="0"/>
        <color auto="1"/>
      </font>
    </dxf>
    <dxf>
      <font>
        <b/>
        <i val="0"/>
        <condense val="0"/>
        <extend val="0"/>
        <color indexed="17"/>
      </font>
    </dxf>
    <dxf>
      <font>
        <b val="0"/>
        <i val="0"/>
        <condense val="0"/>
        <extend val="0"/>
        <color indexed="8"/>
      </font>
    </dxf>
    <dxf>
      <font>
        <b/>
        <i val="0"/>
        <condense val="0"/>
        <extend val="0"/>
        <color indexed="10"/>
      </font>
      <fill>
        <patternFill patternType="none">
          <bgColor indexed="65"/>
        </patternFill>
      </fill>
    </dxf>
    <dxf>
      <font>
        <b val="0"/>
        <i val="0"/>
        <condense val="0"/>
        <extend val="0"/>
        <color indexed="8"/>
      </font>
    </dxf>
    <dxf>
      <font>
        <b/>
        <i val="0"/>
        <condense val="0"/>
        <extend val="0"/>
        <color indexed="10"/>
      </font>
      <fill>
        <patternFill patternType="none">
          <bgColor indexed="65"/>
        </patternFill>
      </fill>
      <border>
        <left style="thin">
          <color indexed="10"/>
        </left>
        <right style="thin">
          <color indexed="10"/>
        </right>
        <top style="thin">
          <color indexed="10"/>
        </top>
        <bottom style="thin">
          <color indexed="10"/>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openxmlformats.org/officeDocument/2006/relationships/externalLink" Target="externalLinks/externalLink13.xml"/><Relationship Id="rId39" Type="http://schemas.openxmlformats.org/officeDocument/2006/relationships/externalLink" Target="externalLinks/externalLink26.xml"/><Relationship Id="rId21" Type="http://schemas.openxmlformats.org/officeDocument/2006/relationships/externalLink" Target="externalLinks/externalLink8.xml"/><Relationship Id="rId34" Type="http://schemas.openxmlformats.org/officeDocument/2006/relationships/externalLink" Target="externalLinks/externalLink21.xml"/><Relationship Id="rId42" Type="http://schemas.openxmlformats.org/officeDocument/2006/relationships/externalLink" Target="externalLinks/externalLink29.xml"/><Relationship Id="rId47" Type="http://schemas.openxmlformats.org/officeDocument/2006/relationships/externalLink" Target="externalLinks/externalLink34.xml"/><Relationship Id="rId50" Type="http://schemas.openxmlformats.org/officeDocument/2006/relationships/externalLink" Target="externalLinks/externalLink37.xml"/><Relationship Id="rId55"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externalLink" Target="externalLinks/externalLink12.xml"/><Relationship Id="rId33" Type="http://schemas.openxmlformats.org/officeDocument/2006/relationships/externalLink" Target="externalLinks/externalLink20.xml"/><Relationship Id="rId38" Type="http://schemas.openxmlformats.org/officeDocument/2006/relationships/externalLink" Target="externalLinks/externalLink25.xml"/><Relationship Id="rId46" Type="http://schemas.openxmlformats.org/officeDocument/2006/relationships/externalLink" Target="externalLinks/externalLink33.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29" Type="http://schemas.openxmlformats.org/officeDocument/2006/relationships/externalLink" Target="externalLinks/externalLink16.xml"/><Relationship Id="rId41" Type="http://schemas.openxmlformats.org/officeDocument/2006/relationships/externalLink" Target="externalLinks/externalLink28.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1.xml"/><Relationship Id="rId32" Type="http://schemas.openxmlformats.org/officeDocument/2006/relationships/externalLink" Target="externalLinks/externalLink19.xml"/><Relationship Id="rId37" Type="http://schemas.openxmlformats.org/officeDocument/2006/relationships/externalLink" Target="externalLinks/externalLink24.xml"/><Relationship Id="rId40" Type="http://schemas.openxmlformats.org/officeDocument/2006/relationships/externalLink" Target="externalLinks/externalLink27.xml"/><Relationship Id="rId45" Type="http://schemas.openxmlformats.org/officeDocument/2006/relationships/externalLink" Target="externalLinks/externalLink32.xml"/><Relationship Id="rId53" Type="http://schemas.openxmlformats.org/officeDocument/2006/relationships/externalLink" Target="externalLinks/externalLink40.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externalLink" Target="externalLinks/externalLink10.xml"/><Relationship Id="rId28" Type="http://schemas.openxmlformats.org/officeDocument/2006/relationships/externalLink" Target="externalLinks/externalLink15.xml"/><Relationship Id="rId36" Type="http://schemas.openxmlformats.org/officeDocument/2006/relationships/externalLink" Target="externalLinks/externalLink23.xml"/><Relationship Id="rId49" Type="http://schemas.openxmlformats.org/officeDocument/2006/relationships/externalLink" Target="externalLinks/externalLink36.xml"/><Relationship Id="rId57"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6.xml"/><Relationship Id="rId31" Type="http://schemas.openxmlformats.org/officeDocument/2006/relationships/externalLink" Target="externalLinks/externalLink18.xml"/><Relationship Id="rId44" Type="http://schemas.openxmlformats.org/officeDocument/2006/relationships/externalLink" Target="externalLinks/externalLink31.xml"/><Relationship Id="rId52" Type="http://schemas.openxmlformats.org/officeDocument/2006/relationships/externalLink" Target="externalLinks/externalLink3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externalLink" Target="externalLinks/externalLink9.xml"/><Relationship Id="rId27" Type="http://schemas.openxmlformats.org/officeDocument/2006/relationships/externalLink" Target="externalLinks/externalLink14.xml"/><Relationship Id="rId30" Type="http://schemas.openxmlformats.org/officeDocument/2006/relationships/externalLink" Target="externalLinks/externalLink17.xml"/><Relationship Id="rId35" Type="http://schemas.openxmlformats.org/officeDocument/2006/relationships/externalLink" Target="externalLinks/externalLink22.xml"/><Relationship Id="rId43" Type="http://schemas.openxmlformats.org/officeDocument/2006/relationships/externalLink" Target="externalLinks/externalLink30.xml"/><Relationship Id="rId48" Type="http://schemas.openxmlformats.org/officeDocument/2006/relationships/externalLink" Target="externalLinks/externalLink35.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externalLink" Target="externalLinks/externalLink3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chart1.xml><?xml version="1.0" encoding="utf-8"?>
<c:chartSpace xmlns:c="http://schemas.openxmlformats.org/drawingml/2006/chart" xmlns:a="http://schemas.openxmlformats.org/drawingml/2006/main" xmlns:r="http://schemas.openxmlformats.org/officeDocument/2006/relationships">
  <c:lang val="en-AU"/>
  <c:chart>
    <c:title>
      <c:tx>
        <c:rich>
          <a:bodyPr/>
          <a:lstStyle/>
          <a:p>
            <a:pPr>
              <a:defRPr sz="1200" b="0" i="0" u="none" strike="noStrike" baseline="0">
                <a:solidFill>
                  <a:srgbClr val="000000"/>
                </a:solidFill>
                <a:latin typeface="Arial"/>
                <a:ea typeface="Arial"/>
                <a:cs typeface="Arial"/>
              </a:defRPr>
            </a:pPr>
            <a:r>
              <a:rPr lang="en-AU" sz="1200" b="0" i="0" u="none" strike="noStrike" baseline="0">
                <a:solidFill>
                  <a:srgbClr val="000000"/>
                </a:solidFill>
                <a:latin typeface="Arial"/>
                <a:cs typeface="Arial"/>
              </a:rPr>
              <a:t>Two groups: </a:t>
            </a:r>
            <a:r>
              <a:rPr lang="en-AU" sz="1200" b="0" i="1" u="none" strike="noStrike" baseline="0">
                <a:solidFill>
                  <a:srgbClr val="000000"/>
                </a:solidFill>
                <a:latin typeface="Arial"/>
                <a:cs typeface="Arial"/>
              </a:rPr>
              <a:t>N</a:t>
            </a:r>
            <a:r>
              <a:rPr lang="en-AU" sz="1200" b="0" i="0" u="none" strike="noStrike" baseline="0">
                <a:solidFill>
                  <a:srgbClr val="000000"/>
                </a:solidFill>
                <a:latin typeface="Arial"/>
                <a:cs typeface="Arial"/>
              </a:rPr>
              <a:t> for each group, for desired precision</a:t>
            </a:r>
          </a:p>
        </c:rich>
      </c:tx>
      <c:layout>
        <c:manualLayout>
          <c:xMode val="edge"/>
          <c:yMode val="edge"/>
          <c:x val="0.3150686552603974"/>
          <c:y val="8.4033682406842846E-3"/>
        </c:manualLayout>
      </c:layout>
      <c:spPr>
        <a:solidFill>
          <a:srgbClr val="FFFFFF"/>
        </a:solidFill>
        <a:ln w="25400">
          <a:noFill/>
        </a:ln>
      </c:spPr>
    </c:title>
    <c:plotArea>
      <c:layout>
        <c:manualLayout>
          <c:layoutTarget val="inner"/>
          <c:xMode val="edge"/>
          <c:yMode val="edge"/>
          <c:x val="7.6923116501702291E-2"/>
          <c:y val="3.0252125666463455E-2"/>
          <c:w val="0.90411005422548762"/>
          <c:h val="0.86386625514234439"/>
        </c:manualLayout>
      </c:layout>
      <c:scatterChart>
        <c:scatterStyle val="lineMarker"/>
        <c:ser>
          <c:idx val="2"/>
          <c:order val="0"/>
          <c:tx>
            <c:v/>
          </c:tx>
          <c:spPr>
            <a:ln w="25400">
              <a:solidFill>
                <a:srgbClr val="FF0000"/>
              </a:solidFill>
              <a:prstDash val="solid"/>
            </a:ln>
          </c:spPr>
          <c:marker>
            <c:symbol val="circle"/>
            <c:size val="5"/>
            <c:spPr>
              <a:solidFill>
                <a:srgbClr val="FF0000"/>
              </a:solidFill>
              <a:ln>
                <a:solidFill>
                  <a:srgbClr val="FF0000"/>
                </a:solidFill>
                <a:prstDash val="solid"/>
              </a:ln>
            </c:spPr>
          </c:marker>
          <c:xVal>
            <c:numRef>
              <c:f>'Precision two'!$O$79:$O$107</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two'!$R$79:$R$107</c:f>
              <c:numCache>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numCache>
            </c:numRef>
          </c:yVal>
        </c:ser>
        <c:ser>
          <c:idx val="1"/>
          <c:order val="1"/>
          <c:tx>
            <c:v/>
          </c:tx>
          <c:spPr>
            <a:ln w="25400">
              <a:solidFill>
                <a:srgbClr val="000000"/>
              </a:solidFill>
              <a:prstDash val="solid"/>
            </a:ln>
          </c:spPr>
          <c:marker>
            <c:symbol val="circle"/>
            <c:size val="5"/>
            <c:spPr>
              <a:solidFill>
                <a:srgbClr val="000000"/>
              </a:solidFill>
              <a:ln>
                <a:solidFill>
                  <a:srgbClr val="000000"/>
                </a:solidFill>
                <a:prstDash val="solid"/>
              </a:ln>
            </c:spPr>
          </c:marker>
          <c:xVal>
            <c:numRef>
              <c:f>'Precision two'!$O$79:$O$107</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two'!$Q$79:$Q$107</c:f>
              <c:numCache>
                <c:formatCode>General</c:formatCode>
                <c:ptCount val="29"/>
                <c:pt idx="0">
                  <c:v>#N/A</c:v>
                </c:pt>
                <c:pt idx="1">
                  <c:v>#N/A</c:v>
                </c:pt>
                <c:pt idx="2">
                  <c:v>#N/A</c:v>
                </c:pt>
                <c:pt idx="3">
                  <c:v>125</c:v>
                </c:pt>
                <c:pt idx="4">
                  <c:v>87</c:v>
                </c:pt>
                <c:pt idx="5">
                  <c:v>64</c:v>
                </c:pt>
                <c:pt idx="6">
                  <c:v>50</c:v>
                </c:pt>
                <c:pt idx="7">
                  <c:v>40</c:v>
                </c:pt>
                <c:pt idx="8">
                  <c:v>32</c:v>
                </c:pt>
                <c:pt idx="9">
                  <c:v>27</c:v>
                </c:pt>
                <c:pt idx="10">
                  <c:v>23</c:v>
                </c:pt>
                <c:pt idx="11">
                  <c:v>20</c:v>
                </c:pt>
                <c:pt idx="12">
                  <c:v>17</c:v>
                </c:pt>
                <c:pt idx="13">
                  <c:v>15</c:v>
                </c:pt>
                <c:pt idx="14">
                  <c:v>14</c:v>
                </c:pt>
                <c:pt idx="15">
                  <c:v>12</c:v>
                </c:pt>
                <c:pt idx="16">
                  <c:v>11</c:v>
                </c:pt>
                <c:pt idx="17">
                  <c:v>10</c:v>
                </c:pt>
                <c:pt idx="18">
                  <c:v>9</c:v>
                </c:pt>
                <c:pt idx="19">
                  <c:v>8</c:v>
                </c:pt>
                <c:pt idx="20">
                  <c:v>7</c:v>
                </c:pt>
                <c:pt idx="21">
                  <c:v>6</c:v>
                </c:pt>
                <c:pt idx="22">
                  <c:v>6</c:v>
                </c:pt>
                <c:pt idx="23">
                  <c:v>5</c:v>
                </c:pt>
                <c:pt idx="24">
                  <c:v>5</c:v>
                </c:pt>
                <c:pt idx="25">
                  <c:v>5</c:v>
                </c:pt>
                <c:pt idx="26">
                  <c:v>4</c:v>
                </c:pt>
                <c:pt idx="27">
                  <c:v>4</c:v>
                </c:pt>
                <c:pt idx="28">
                  <c:v>4</c:v>
                </c:pt>
              </c:numCache>
            </c:numRef>
          </c:yVal>
        </c:ser>
        <c:ser>
          <c:idx val="4"/>
          <c:order val="2"/>
          <c:spPr>
            <a:ln w="28575">
              <a:noFill/>
            </a:ln>
          </c:spPr>
          <c:marker>
            <c:symbol val="none"/>
          </c:marker>
          <c:dLbls>
            <c:spPr>
              <a:solidFill>
                <a:srgbClr val="FFFFFF"/>
              </a:solidFill>
              <a:ln w="25400">
                <a:noFill/>
              </a:ln>
            </c:spPr>
            <c:txPr>
              <a:bodyPr/>
              <a:lstStyle/>
              <a:p>
                <a:pPr>
                  <a:defRPr sz="800" b="0" i="0" u="none" strike="noStrike" baseline="0">
                    <a:solidFill>
                      <a:srgbClr val="000000"/>
                    </a:solidFill>
                    <a:latin typeface="Arial"/>
                    <a:ea typeface="Arial"/>
                    <a:cs typeface="Arial"/>
                  </a:defRPr>
                </a:pPr>
                <a:endParaRPr lang="en-US"/>
              </a:p>
            </c:txPr>
            <c:dLblPos val="b"/>
            <c:showVal val="1"/>
          </c:dLbls>
          <c:xVal>
            <c:numRef>
              <c:f>'Precision two'!$O$79:$O$107</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two'!$T$79:$T$107</c:f>
              <c:numCache>
                <c:formatCode>General</c:formatCode>
                <c:ptCount val="29"/>
                <c:pt idx="0">
                  <c:v>#N/A</c:v>
                </c:pt>
                <c:pt idx="1">
                  <c:v>#N/A</c:v>
                </c:pt>
                <c:pt idx="2">
                  <c:v>#N/A</c:v>
                </c:pt>
                <c:pt idx="3">
                  <c:v>125</c:v>
                </c:pt>
                <c:pt idx="4">
                  <c:v>87</c:v>
                </c:pt>
                <c:pt idx="5">
                  <c:v>64</c:v>
                </c:pt>
                <c:pt idx="6">
                  <c:v>50</c:v>
                </c:pt>
                <c:pt idx="7">
                  <c:v>40</c:v>
                </c:pt>
                <c:pt idx="8">
                  <c:v>32</c:v>
                </c:pt>
                <c:pt idx="9">
                  <c:v>27</c:v>
                </c:pt>
                <c:pt idx="10">
                  <c:v>23</c:v>
                </c:pt>
                <c:pt idx="11">
                  <c:v>20</c:v>
                </c:pt>
                <c:pt idx="12">
                  <c:v>17</c:v>
                </c:pt>
                <c:pt idx="13">
                  <c:v>15</c:v>
                </c:pt>
                <c:pt idx="14">
                  <c:v>14</c:v>
                </c:pt>
                <c:pt idx="15">
                  <c:v>12</c:v>
                </c:pt>
                <c:pt idx="16">
                  <c:v>11</c:v>
                </c:pt>
                <c:pt idx="17">
                  <c:v>10</c:v>
                </c:pt>
                <c:pt idx="18">
                  <c:v>9</c:v>
                </c:pt>
                <c:pt idx="19">
                  <c:v>8</c:v>
                </c:pt>
                <c:pt idx="20">
                  <c:v>7</c:v>
                </c:pt>
                <c:pt idx="21">
                  <c:v>6</c:v>
                </c:pt>
                <c:pt idx="22">
                  <c:v>6</c:v>
                </c:pt>
                <c:pt idx="23">
                  <c:v>5</c:v>
                </c:pt>
                <c:pt idx="24">
                  <c:v>5</c:v>
                </c:pt>
                <c:pt idx="25">
                  <c:v>5</c:v>
                </c:pt>
                <c:pt idx="26">
                  <c:v>4</c:v>
                </c:pt>
                <c:pt idx="27">
                  <c:v>4</c:v>
                </c:pt>
                <c:pt idx="28">
                  <c:v>4</c:v>
                </c:pt>
              </c:numCache>
            </c:numRef>
          </c:yVal>
        </c:ser>
        <c:ser>
          <c:idx val="5"/>
          <c:order val="3"/>
          <c:spPr>
            <a:ln w="28575">
              <a:noFill/>
            </a:ln>
          </c:spPr>
          <c:marker>
            <c:symbol val="none"/>
          </c:marker>
          <c:dLbls>
            <c:spPr>
              <a:solidFill>
                <a:srgbClr val="FFFFFF"/>
              </a:solidFill>
              <a:ln w="25400">
                <a:noFill/>
              </a:ln>
            </c:spPr>
            <c:txPr>
              <a:bodyPr/>
              <a:lstStyle/>
              <a:p>
                <a:pPr>
                  <a:defRPr sz="800" b="0" i="0" u="none" strike="noStrike" baseline="0">
                    <a:solidFill>
                      <a:srgbClr val="FF0000"/>
                    </a:solidFill>
                    <a:latin typeface="Arial"/>
                    <a:ea typeface="Arial"/>
                    <a:cs typeface="Arial"/>
                  </a:defRPr>
                </a:pPr>
                <a:endParaRPr lang="en-US"/>
              </a:p>
            </c:txPr>
            <c:dLblPos val="t"/>
            <c:showVal val="1"/>
          </c:dLbls>
          <c:xVal>
            <c:numRef>
              <c:f>'Precision two'!$O$79:$O$107</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two'!$U$79:$U$107</c:f>
              <c:numCache>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numCache>
            </c:numRef>
          </c:yVal>
        </c:ser>
        <c:ser>
          <c:idx val="0"/>
          <c:order val="4"/>
          <c:spPr>
            <a:ln w="28575">
              <a:noFill/>
            </a:ln>
          </c:spPr>
          <c:marker>
            <c:symbol val="none"/>
          </c:marker>
          <c:xVal>
            <c:numRef>
              <c:f>'Precision two'!$L$79:$L$107</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two'!$M$79:$M$107</c:f>
              <c:numCache>
                <c:formatCode>General</c:formatCode>
                <c:ptCount val="29"/>
                <c:pt idx="0">
                  <c:v>#N/A</c:v>
                </c:pt>
                <c:pt idx="1">
                  <c:v>#N/A</c:v>
                </c:pt>
                <c:pt idx="2">
                  <c:v>#N/A</c:v>
                </c:pt>
                <c:pt idx="3">
                  <c:v>149</c:v>
                </c:pt>
                <c:pt idx="4">
                  <c:v>108</c:v>
                </c:pt>
                <c:pt idx="5">
                  <c:v>82</c:v>
                </c:pt>
                <c:pt idx="6">
                  <c:v>65</c:v>
                </c:pt>
                <c:pt idx="7">
                  <c:v>53</c:v>
                </c:pt>
                <c:pt idx="8">
                  <c:v>44</c:v>
                </c:pt>
                <c:pt idx="9">
                  <c:v>38</c:v>
                </c:pt>
                <c:pt idx="10">
                  <c:v>33</c:v>
                </c:pt>
                <c:pt idx="11">
                  <c:v>29</c:v>
                </c:pt>
                <c:pt idx="12">
                  <c:v>26</c:v>
                </c:pt>
                <c:pt idx="13">
                  <c:v>23</c:v>
                </c:pt>
                <c:pt idx="14">
                  <c:v>21</c:v>
                </c:pt>
                <c:pt idx="15">
                  <c:v>19</c:v>
                </c:pt>
                <c:pt idx="16">
                  <c:v>18</c:v>
                </c:pt>
                <c:pt idx="17">
                  <c:v>16</c:v>
                </c:pt>
                <c:pt idx="18">
                  <c:v>15</c:v>
                </c:pt>
                <c:pt idx="19">
                  <c:v>13</c:v>
                </c:pt>
                <c:pt idx="20">
                  <c:v>12</c:v>
                </c:pt>
                <c:pt idx="21">
                  <c:v>11</c:v>
                </c:pt>
                <c:pt idx="22">
                  <c:v>10</c:v>
                </c:pt>
                <c:pt idx="23">
                  <c:v>9</c:v>
                </c:pt>
                <c:pt idx="24">
                  <c:v>8</c:v>
                </c:pt>
                <c:pt idx="25">
                  <c:v>8</c:v>
                </c:pt>
                <c:pt idx="26">
                  <c:v>7</c:v>
                </c:pt>
                <c:pt idx="27">
                  <c:v>7</c:v>
                </c:pt>
                <c:pt idx="28">
                  <c:v>6</c:v>
                </c:pt>
              </c:numCache>
            </c:numRef>
          </c:yVal>
        </c:ser>
        <c:ser>
          <c:idx val="3"/>
          <c:order val="5"/>
          <c:spPr>
            <a:ln w="28575">
              <a:noFill/>
            </a:ln>
          </c:spPr>
          <c:marker>
            <c:symbol val="none"/>
          </c:marker>
          <c:errBars>
            <c:errDir val="y"/>
            <c:errBarType val="minus"/>
            <c:errValType val="cust"/>
            <c:noEndCap val="1"/>
            <c:minus>
              <c:numRef>
                <c:f>'Precision two'!$G$104:$G$1103</c:f>
                <c:numCache>
                  <c:formatCode>General</c:formatCode>
                  <c:ptCount val="1000"/>
                  <c:pt idx="0">
                    <c:v>-0.29799999999999999</c:v>
                  </c:pt>
                  <c:pt idx="1">
                    <c:v>-0.29799999999999999</c:v>
                  </c:pt>
                  <c:pt idx="2">
                    <c:v>-0.29799999999999999</c:v>
                  </c:pt>
                  <c:pt idx="3">
                    <c:v>-0.29799999999999999</c:v>
                  </c:pt>
                  <c:pt idx="4">
                    <c:v>-0.29799999999999999</c:v>
                  </c:pt>
                  <c:pt idx="5">
                    <c:v>-0.29799999999999999</c:v>
                  </c:pt>
                  <c:pt idx="6">
                    <c:v>-0.29799999999999999</c:v>
                  </c:pt>
                  <c:pt idx="7">
                    <c:v>-0.29799999999999999</c:v>
                  </c:pt>
                  <c:pt idx="8">
                    <c:v>-0.29799999999999999</c:v>
                  </c:pt>
                  <c:pt idx="9">
                    <c:v>-0.29799999999999999</c:v>
                  </c:pt>
                  <c:pt idx="10">
                    <c:v>-0.29799999999999999</c:v>
                  </c:pt>
                  <c:pt idx="11">
                    <c:v>-0.29799999999999999</c:v>
                  </c:pt>
                  <c:pt idx="12">
                    <c:v>-0.29799999999999999</c:v>
                  </c:pt>
                  <c:pt idx="13">
                    <c:v>-0.29799999999999999</c:v>
                  </c:pt>
                  <c:pt idx="14">
                    <c:v>-0.29799999999999999</c:v>
                  </c:pt>
                  <c:pt idx="15">
                    <c:v>-0.29799999999999999</c:v>
                  </c:pt>
                  <c:pt idx="16">
                    <c:v>-0.29799999999999999</c:v>
                  </c:pt>
                  <c:pt idx="17">
                    <c:v>-0.29799999999999999</c:v>
                  </c:pt>
                  <c:pt idx="18">
                    <c:v>-0.29799999999999999</c:v>
                  </c:pt>
                  <c:pt idx="19">
                    <c:v>-0.29799999999999999</c:v>
                  </c:pt>
                  <c:pt idx="20">
                    <c:v>-0.29799999999999999</c:v>
                  </c:pt>
                  <c:pt idx="21">
                    <c:v>-0.29799999999999999</c:v>
                  </c:pt>
                  <c:pt idx="22">
                    <c:v>-0.29799999999999999</c:v>
                  </c:pt>
                  <c:pt idx="23">
                    <c:v>-0.29799999999999999</c:v>
                  </c:pt>
                  <c:pt idx="24">
                    <c:v>-0.29799999999999999</c:v>
                  </c:pt>
                  <c:pt idx="25">
                    <c:v>-0.29799999999999999</c:v>
                  </c:pt>
                  <c:pt idx="26">
                    <c:v>-0.29799999999999999</c:v>
                  </c:pt>
                  <c:pt idx="27">
                    <c:v>-0.29799999999999999</c:v>
                  </c:pt>
                  <c:pt idx="28">
                    <c:v>-0.29799999999999999</c:v>
                  </c:pt>
                  <c:pt idx="29">
                    <c:v>-0.29799999999999999</c:v>
                  </c:pt>
                  <c:pt idx="30">
                    <c:v>-0.29799999999999999</c:v>
                  </c:pt>
                  <c:pt idx="31">
                    <c:v>-0.29799999999999999</c:v>
                  </c:pt>
                  <c:pt idx="32">
                    <c:v>-0.29799999999999999</c:v>
                  </c:pt>
                  <c:pt idx="33">
                    <c:v>-0.29799999999999999</c:v>
                  </c:pt>
                  <c:pt idx="34">
                    <c:v>-0.29799999999999999</c:v>
                  </c:pt>
                  <c:pt idx="35">
                    <c:v>-0.29799999999999999</c:v>
                  </c:pt>
                  <c:pt idx="36">
                    <c:v>-0.29799999999999999</c:v>
                  </c:pt>
                  <c:pt idx="37">
                    <c:v>-0.29799999999999999</c:v>
                  </c:pt>
                  <c:pt idx="38">
                    <c:v>-0.29799999999999999</c:v>
                  </c:pt>
                  <c:pt idx="39">
                    <c:v>-0.29799999999999999</c:v>
                  </c:pt>
                  <c:pt idx="40">
                    <c:v>-0.29799999999999999</c:v>
                  </c:pt>
                  <c:pt idx="41">
                    <c:v>-0.29799999999999999</c:v>
                  </c:pt>
                  <c:pt idx="42">
                    <c:v>-0.29799999999999999</c:v>
                  </c:pt>
                  <c:pt idx="43">
                    <c:v>-0.29799999999999999</c:v>
                  </c:pt>
                  <c:pt idx="44">
                    <c:v>-0.29799999999999999</c:v>
                  </c:pt>
                  <c:pt idx="45">
                    <c:v>-0.29799999999999999</c:v>
                  </c:pt>
                  <c:pt idx="46">
                    <c:v>-0.29799999999999999</c:v>
                  </c:pt>
                  <c:pt idx="47">
                    <c:v>-0.29799999999999999</c:v>
                  </c:pt>
                  <c:pt idx="48">
                    <c:v>-0.29799999999999999</c:v>
                  </c:pt>
                  <c:pt idx="49">
                    <c:v>-0.29799999999999999</c:v>
                  </c:pt>
                  <c:pt idx="50">
                    <c:v>-0.29799999999999999</c:v>
                  </c:pt>
                  <c:pt idx="51">
                    <c:v>-0.29799999999999999</c:v>
                  </c:pt>
                  <c:pt idx="52">
                    <c:v>-0.29799999999999999</c:v>
                  </c:pt>
                  <c:pt idx="53">
                    <c:v>-0.29799999999999999</c:v>
                  </c:pt>
                  <c:pt idx="54">
                    <c:v>-0.29799999999999999</c:v>
                  </c:pt>
                  <c:pt idx="55">
                    <c:v>-0.29799999999999999</c:v>
                  </c:pt>
                  <c:pt idx="56">
                    <c:v>-0.29799999999999999</c:v>
                  </c:pt>
                  <c:pt idx="57">
                    <c:v>-0.29799999999999999</c:v>
                  </c:pt>
                  <c:pt idx="58">
                    <c:v>-0.29799999999999999</c:v>
                  </c:pt>
                  <c:pt idx="59">
                    <c:v>-0.29799999999999999</c:v>
                  </c:pt>
                  <c:pt idx="60">
                    <c:v>-0.29799999999999999</c:v>
                  </c:pt>
                  <c:pt idx="61">
                    <c:v>-0.29799999999999999</c:v>
                  </c:pt>
                  <c:pt idx="62">
                    <c:v>-0.29799999999999999</c:v>
                  </c:pt>
                  <c:pt idx="63">
                    <c:v>-0.29799999999999999</c:v>
                  </c:pt>
                  <c:pt idx="64">
                    <c:v>-0.29799999999999999</c:v>
                  </c:pt>
                  <c:pt idx="65">
                    <c:v>-0.29799999999999999</c:v>
                  </c:pt>
                  <c:pt idx="66">
                    <c:v>-0.29799999999999999</c:v>
                  </c:pt>
                  <c:pt idx="67">
                    <c:v>-0.29799999999999999</c:v>
                  </c:pt>
                  <c:pt idx="68">
                    <c:v>-0.29799999999999999</c:v>
                  </c:pt>
                  <c:pt idx="69">
                    <c:v>-0.29799999999999999</c:v>
                  </c:pt>
                  <c:pt idx="70">
                    <c:v>-0.29799999999999999</c:v>
                  </c:pt>
                  <c:pt idx="71">
                    <c:v>-0.29799999999999999</c:v>
                  </c:pt>
                  <c:pt idx="72">
                    <c:v>-0.29799999999999999</c:v>
                  </c:pt>
                  <c:pt idx="73">
                    <c:v>-0.29799999999999999</c:v>
                  </c:pt>
                  <c:pt idx="74">
                    <c:v>-0.29799999999999999</c:v>
                  </c:pt>
                  <c:pt idx="75">
                    <c:v>-0.29799999999999999</c:v>
                  </c:pt>
                  <c:pt idx="76">
                    <c:v>-0.29799999999999999</c:v>
                  </c:pt>
                  <c:pt idx="77">
                    <c:v>-0.29799999999999999</c:v>
                  </c:pt>
                  <c:pt idx="78">
                    <c:v>-0.29799999999999999</c:v>
                  </c:pt>
                  <c:pt idx="79">
                    <c:v>-0.29799999999999999</c:v>
                  </c:pt>
                  <c:pt idx="80">
                    <c:v>-0.29799999999999999</c:v>
                  </c:pt>
                  <c:pt idx="81">
                    <c:v>-0.29799999999999999</c:v>
                  </c:pt>
                  <c:pt idx="82">
                    <c:v>-0.29799999999999999</c:v>
                  </c:pt>
                  <c:pt idx="83">
                    <c:v>-0.29799999999999999</c:v>
                  </c:pt>
                  <c:pt idx="84">
                    <c:v>-0.29799999999999999</c:v>
                  </c:pt>
                  <c:pt idx="85">
                    <c:v>-0.29799999999999999</c:v>
                  </c:pt>
                  <c:pt idx="86">
                    <c:v>-0.29799999999999999</c:v>
                  </c:pt>
                  <c:pt idx="87">
                    <c:v>-0.29799999999999999</c:v>
                  </c:pt>
                  <c:pt idx="88">
                    <c:v>-0.29799999999999999</c:v>
                  </c:pt>
                  <c:pt idx="89">
                    <c:v>-0.29799999999999999</c:v>
                  </c:pt>
                  <c:pt idx="90">
                    <c:v>-0.29799999999999999</c:v>
                  </c:pt>
                  <c:pt idx="91">
                    <c:v>-0.29799999999999999</c:v>
                  </c:pt>
                  <c:pt idx="92">
                    <c:v>-0.29799999999999999</c:v>
                  </c:pt>
                  <c:pt idx="93">
                    <c:v>-0.29799999999999999</c:v>
                  </c:pt>
                  <c:pt idx="94">
                    <c:v>-0.29799999999999999</c:v>
                  </c:pt>
                  <c:pt idx="95">
                    <c:v>-0.29799999999999999</c:v>
                  </c:pt>
                  <c:pt idx="96">
                    <c:v>-0.29799999999999999</c:v>
                  </c:pt>
                  <c:pt idx="97">
                    <c:v>-0.29799999999999999</c:v>
                  </c:pt>
                  <c:pt idx="98">
                    <c:v>-0.29799999999999999</c:v>
                  </c:pt>
                  <c:pt idx="99">
                    <c:v>-0.29799999999999999</c:v>
                  </c:pt>
                  <c:pt idx="100">
                    <c:v>-0.29799999999999999</c:v>
                  </c:pt>
                  <c:pt idx="101">
                    <c:v>-0.29799999999999999</c:v>
                  </c:pt>
                  <c:pt idx="102">
                    <c:v>-0.29799999999999999</c:v>
                  </c:pt>
                  <c:pt idx="103">
                    <c:v>-0.29799999999999999</c:v>
                  </c:pt>
                  <c:pt idx="104">
                    <c:v>-0.29799999999999999</c:v>
                  </c:pt>
                  <c:pt idx="105">
                    <c:v>-0.29799999999999999</c:v>
                  </c:pt>
                  <c:pt idx="106">
                    <c:v>-0.29799999999999999</c:v>
                  </c:pt>
                  <c:pt idx="107">
                    <c:v>-0.29799999999999999</c:v>
                  </c:pt>
                  <c:pt idx="108">
                    <c:v>-0.29799999999999999</c:v>
                  </c:pt>
                  <c:pt idx="109">
                    <c:v>-0.29799999999999999</c:v>
                  </c:pt>
                  <c:pt idx="110">
                    <c:v>-0.29799999999999999</c:v>
                  </c:pt>
                  <c:pt idx="111">
                    <c:v>-0.29799999999999999</c:v>
                  </c:pt>
                  <c:pt idx="112">
                    <c:v>-0.29799999999999999</c:v>
                  </c:pt>
                  <c:pt idx="113">
                    <c:v>-0.29799999999999999</c:v>
                  </c:pt>
                  <c:pt idx="114">
                    <c:v>-0.29799999999999999</c:v>
                  </c:pt>
                  <c:pt idx="115">
                    <c:v>-0.29799999999999999</c:v>
                  </c:pt>
                  <c:pt idx="116">
                    <c:v>-0.29799999999999999</c:v>
                  </c:pt>
                  <c:pt idx="117">
                    <c:v>-0.29799999999999999</c:v>
                  </c:pt>
                  <c:pt idx="118">
                    <c:v>-0.29799999999999999</c:v>
                  </c:pt>
                  <c:pt idx="119">
                    <c:v>-0.29799999999999999</c:v>
                  </c:pt>
                  <c:pt idx="120">
                    <c:v>-0.29799999999999999</c:v>
                  </c:pt>
                  <c:pt idx="121">
                    <c:v>-0.29799999999999999</c:v>
                  </c:pt>
                  <c:pt idx="122">
                    <c:v>-0.29799999999999999</c:v>
                  </c:pt>
                  <c:pt idx="123">
                    <c:v>-0.29799999999999999</c:v>
                  </c:pt>
                  <c:pt idx="124">
                    <c:v>-0.29799999999999999</c:v>
                  </c:pt>
                  <c:pt idx="125">
                    <c:v>-0.29799999999995819</c:v>
                  </c:pt>
                  <c:pt idx="126">
                    <c:v>-0.29799999999991633</c:v>
                  </c:pt>
                  <c:pt idx="127">
                    <c:v>-0.29799999999991633</c:v>
                  </c:pt>
                  <c:pt idx="128">
                    <c:v>-0.29799999999987453</c:v>
                  </c:pt>
                  <c:pt idx="129">
                    <c:v>-0.29799999999974908</c:v>
                  </c:pt>
                  <c:pt idx="130">
                    <c:v>-0.29799999999949817</c:v>
                  </c:pt>
                  <c:pt idx="131">
                    <c:v>-0.2979999999991636</c:v>
                  </c:pt>
                  <c:pt idx="132">
                    <c:v>-0.29799999999861998</c:v>
                  </c:pt>
                  <c:pt idx="133">
                    <c:v>-0.29799999999761634</c:v>
                  </c:pt>
                  <c:pt idx="134">
                    <c:v>-0.29799999999590177</c:v>
                  </c:pt>
                  <c:pt idx="135">
                    <c:v>-0.29799999999305815</c:v>
                  </c:pt>
                  <c:pt idx="136">
                    <c:v>-0.29799999998833265</c:v>
                  </c:pt>
                  <c:pt idx="137">
                    <c:v>-0.29799999998055443</c:v>
                  </c:pt>
                  <c:pt idx="138">
                    <c:v>-0.2979999999677998</c:v>
                  </c:pt>
                  <c:pt idx="139">
                    <c:v>-0.29799999994697424</c:v>
                  </c:pt>
                  <c:pt idx="140">
                    <c:v>-0.29799999991318499</c:v>
                  </c:pt>
                  <c:pt idx="141">
                    <c:v>-0.29799999985873743</c:v>
                  </c:pt>
                  <c:pt idx="142">
                    <c:v>-0.29799999977167152</c:v>
                  </c:pt>
                  <c:pt idx="143">
                    <c:v>-0.29799999963321078</c:v>
                  </c:pt>
                  <c:pt idx="144">
                    <c:v>-0.29799999941424965</c:v>
                  </c:pt>
                  <c:pt idx="145">
                    <c:v>-0.29799999907012603</c:v>
                  </c:pt>
                  <c:pt idx="146">
                    <c:v>-0.29799999853263415</c:v>
                  </c:pt>
                  <c:pt idx="147">
                    <c:v>-0.29799999769806429</c:v>
                  </c:pt>
                  <c:pt idx="148">
                    <c:v>-0.29799999640968122</c:v>
                  </c:pt>
                  <c:pt idx="149">
                    <c:v>-0.29799999443225633</c:v>
                  </c:pt>
                  <c:pt idx="150">
                    <c:v>-0.29799999141476596</c:v>
                  </c:pt>
                  <c:pt idx="151">
                    <c:v>-0.29799998683632023</c:v>
                  </c:pt>
                  <c:pt idx="152">
                    <c:v>-0.29799997992863136</c:v>
                  </c:pt>
                  <c:pt idx="153">
                    <c:v>-0.29799996956469349</c:v>
                  </c:pt>
                  <c:pt idx="154">
                    <c:v>-0.29799995410116897</c:v>
                  </c:pt>
                  <c:pt idx="155">
                    <c:v>-0.29799993115524526</c:v>
                  </c:pt>
                  <c:pt idx="156">
                    <c:v>-0.29799989729103904</c:v>
                  </c:pt>
                  <c:pt idx="157">
                    <c:v>-0.2979998475823008</c:v>
                  </c:pt>
                  <c:pt idx="158">
                    <c:v>-0.29799977500458474</c:v>
                  </c:pt>
                  <c:pt idx="159">
                    <c:v>-0.2979996695969151</c:v>
                  </c:pt>
                  <c:pt idx="160">
                    <c:v>-0.29799951731106933</c:v>
                  </c:pt>
                  <c:pt idx="161">
                    <c:v>-0.2979992984419243</c:v>
                  </c:pt>
                  <c:pt idx="162">
                    <c:v>-0.29799898549839798</c:v>
                  </c:pt>
                  <c:pt idx="163">
                    <c:v>-0.29799854033140361</c:v>
                  </c:pt>
                  <c:pt idx="164">
                    <c:v>-0.29799791028375477</c:v>
                  </c:pt>
                  <c:pt idx="165">
                    <c:v>-0.2979970230557859</c:v>
                  </c:pt>
                  <c:pt idx="166">
                    <c:v>-0.2979957798987804</c:v>
                  </c:pt>
                  <c:pt idx="167">
                    <c:v>-0.29799404664136908</c:v>
                  </c:pt>
                  <c:pt idx="168">
                    <c:v>-0.29799164193207778</c:v>
                  </c:pt>
                  <c:pt idx="169">
                    <c:v>-0.29798832190681973</c:v>
                  </c:pt>
                  <c:pt idx="170">
                    <c:v>-0.29798376032126639</c:v>
                  </c:pt>
                  <c:pt idx="171">
                    <c:v>-0.29797752295334423</c:v>
                  </c:pt>
                  <c:pt idx="172">
                    <c:v>-0.2979690347939396</c:v>
                  </c:pt>
                  <c:pt idx="173">
                    <c:v>-0.29795753824627091</c:v>
                  </c:pt>
                  <c:pt idx="174">
                    <c:v>-0.29794204015293152</c:v>
                  </c:pt>
                  <c:pt idx="175">
                    <c:v>-0.2979212451187917</c:v>
                  </c:pt>
                  <c:pt idx="176">
                    <c:v>-0.29789347189623583</c:v>
                  </c:pt>
                  <c:pt idx="177">
                    <c:v>-0.29785654929071614</c:v>
                  </c:pt>
                  <c:pt idx="178">
                    <c:v>-0.29780768731671298</c:v>
                  </c:pt>
                  <c:pt idx="179">
                    <c:v>-0.29774331847720814</c:v>
                  </c:pt>
                  <c:pt idx="180">
                    <c:v>-0.29765890353185059</c:v>
                  </c:pt>
                  <c:pt idx="181">
                    <c:v>-0.29754869501151754</c:v>
                  </c:pt>
                  <c:pt idx="182">
                    <c:v>-0.29740545169210231</c:v>
                  </c:pt>
                  <c:pt idx="183">
                    <c:v>-0.29722009433356444</c:v>
                  </c:pt>
                  <c:pt idx="184">
                    <c:v>-0.29698129462349349</c:v>
                  </c:pt>
                  <c:pt idx="185">
                    <c:v>-0.29667498741757214</c:v>
                  </c:pt>
                  <c:pt idx="186">
                    <c:v>-0.29628379399997506</c:v>
                  </c:pt>
                  <c:pt idx="187">
                    <c:v>-0.29578634525364267</c:v>
                  </c:pt>
                  <c:pt idx="188">
                    <c:v>-0.29515649564910917</c:v>
                  </c:pt>
                  <c:pt idx="189">
                    <c:v>-0.29436240798202123</c:v>
                  </c:pt>
                  <c:pt idx="190">
                    <c:v>-0.29336550287036806</c:v>
                  </c:pt>
                  <c:pt idx="191">
                    <c:v>-0.29211926181303921</c:v>
                  </c:pt>
                  <c:pt idx="192">
                    <c:v>-0.29056786250900712</c:v>
                  </c:pt>
                  <c:pt idx="193">
                    <c:v>-0.28864465495888747</c:v>
                  </c:pt>
                  <c:pt idx="194">
                    <c:v>-0.28627044155801035</c:v>
                  </c:pt>
                  <c:pt idx="195">
                    <c:v>-0.28335157822229345</c:v>
                  </c:pt>
                  <c:pt idx="196">
                    <c:v>-0.2797778976465321</c:v>
                  </c:pt>
                  <c:pt idx="197">
                    <c:v>-0.27542043088517215</c:v>
                  </c:pt>
                  <c:pt idx="198">
                    <c:v>-0.27012894597812409</c:v>
                  </c:pt>
                  <c:pt idx="199">
                    <c:v>-0.26372936655329271</c:v>
                  </c:pt>
                  <c:pt idx="200">
                    <c:v>-0.25602096474444103</c:v>
                  </c:pt>
                  <c:pt idx="201">
                    <c:v>-0.24677346739303799</c:v>
                  </c:pt>
                  <c:pt idx="202">
                    <c:v>-0.235724128735879</c:v>
                  </c:pt>
                  <c:pt idx="203">
                    <c:v>-0.22257465613439875</c:v>
                  </c:pt>
                  <c:pt idx="204">
                    <c:v>-0.20698834062963234</c:v>
                  </c:pt>
                  <c:pt idx="205">
                    <c:v>-0.18858702036065458</c:v>
                  </c:pt>
                  <c:pt idx="206">
                    <c:v>-0.16694830734000082</c:v>
                  </c:pt>
                  <c:pt idx="207">
                    <c:v>-0.14160314852333294</c:v>
                  </c:pt>
                  <c:pt idx="208">
                    <c:v>-0.11203379965080648</c:v>
                  </c:pt>
                  <c:pt idx="209">
                    <c:v>-7.7671872075681825E-2</c:v>
                  </c:pt>
                  <c:pt idx="210">
                    <c:v>-3.7897131246276416E-2</c:v>
                  </c:pt>
                  <c:pt idx="211">
                    <c:v>7.9627096226365657E-3</c:v>
                  </c:pt>
                  <c:pt idx="212">
                    <c:v>6.0632064339695646E-2</c:v>
                  </c:pt>
                  <c:pt idx="213">
                    <c:v>0.12088549415824573</c:v>
                  </c:pt>
                  <c:pt idx="214">
                    <c:v>0.18954617344307856</c:v>
                  </c:pt>
                  <c:pt idx="215">
                    <c:v>0.26748256070477677</c:v>
                  </c:pt>
                  <c:pt idx="216">
                    <c:v>0.35560326087139188</c:v>
                  </c:pt>
                  <c:pt idx="217">
                    <c:v>0.45485017754705076</c:v>
                  </c:pt>
                  <c:pt idx="218">
                    <c:v>0.56619236338301082</c:v>
                  </c:pt>
                  <c:pt idx="219">
                    <c:v>0.69061726715881044</c:v>
                  </c:pt>
                  <c:pt idx="220">
                    <c:v>0.82911939920190636</c:v>
                  </c:pt>
                  <c:pt idx="221">
                    <c:v>0.98268685527142186</c:v>
                  </c:pt>
                  <c:pt idx="222">
                    <c:v>1.1522905020943499</c:v>
                  </c:pt>
                  <c:pt idx="223">
                    <c:v>1.3388705899805866</c:v>
                  </c:pt>
                  <c:pt idx="224">
                    <c:v>1.5433140275888759</c:v>
                  </c:pt>
                  <c:pt idx="225">
                    <c:v>1.7664433469492362</c:v>
                  </c:pt>
                  <c:pt idx="226">
                    <c:v>2.0089987098754678</c:v>
                  </c:pt>
                  <c:pt idx="227">
                    <c:v>2.2716169343728398</c:v>
                  </c:pt>
                  <c:pt idx="228">
                    <c:v>2.5548086457484893</c:v>
                  </c:pt>
                  <c:pt idx="229">
                    <c:v>2.8589459698165181</c:v>
                  </c:pt>
                  <c:pt idx="230">
                    <c:v>3.1842473803329101</c:v>
                  </c:pt>
                  <c:pt idx="231">
                    <c:v>3.5307424575559536</c:v>
                  </c:pt>
                  <c:pt idx="232">
                    <c:v>3.8982707686693878</c:v>
                  </c:pt>
                  <c:pt idx="233">
                    <c:v>4.2864699136357132</c:v>
                  </c:pt>
                  <c:pt idx="234">
                    <c:v>4.6947388617374148</c:v>
                  </c:pt>
                  <c:pt idx="235">
                    <c:v>5.1222481191303055</c:v>
                  </c:pt>
                  <c:pt idx="236">
                    <c:v>5.5679313159724577</c:v>
                  </c:pt>
                  <c:pt idx="237">
                    <c:v>6.0304716593660075</c:v>
                  </c:pt>
                  <c:pt idx="238">
                    <c:v>6.5082872682352857</c:v>
                  </c:pt>
                  <c:pt idx="239">
                    <c:v>6.9995559013810453</c:v>
                  </c:pt>
                  <c:pt idx="240">
                    <c:v>7.5022324628072967</c:v>
                  </c:pt>
                  <c:pt idx="241">
                    <c:v>8.0140001490380151</c:v>
                  </c:pt>
                  <c:pt idx="242">
                    <c:v>8.5323380552896619</c:v>
                  </c:pt>
                  <c:pt idx="243">
                    <c:v>9.0545502063687096</c:v>
                  </c:pt>
                  <c:pt idx="244">
                    <c:v>9.5777087892793578</c:v>
                  </c:pt>
                  <c:pt idx="245">
                    <c:v>10.09876327714351</c:v>
                  </c:pt>
                  <c:pt idx="246">
                    <c:v>10.614528370290245</c:v>
                  </c:pt>
                  <c:pt idx="247">
                    <c:v>11.121711659330961</c:v>
                  </c:pt>
                  <c:pt idx="248">
                    <c:v>11.617004787787545</c:v>
                  </c:pt>
                  <c:pt idx="249">
                    <c:v>12.097009056932343</c:v>
                  </c:pt>
                  <c:pt idx="250">
                    <c:v>12.558369245619682</c:v>
                  </c:pt>
                  <c:pt idx="251">
                    <c:v>12.997832870153635</c:v>
                  </c:pt>
                  <c:pt idx="252">
                    <c:v>13.412151418836155</c:v>
                  </c:pt>
                  <c:pt idx="253">
                    <c:v>13.798268384497121</c:v>
                  </c:pt>
                  <c:pt idx="254">
                    <c:v>14.153284242470685</c:v>
                  </c:pt>
                  <c:pt idx="255">
                    <c:v>14.474486590091276</c:v>
                  </c:pt>
                  <c:pt idx="256">
                    <c:v>14.759484860984204</c:v>
                  </c:pt>
                  <c:pt idx="257">
                    <c:v>15.006042524737856</c:v>
                  </c:pt>
                  <c:pt idx="258">
                    <c:v>15.212303221540058</c:v>
                  </c:pt>
                  <c:pt idx="259">
                    <c:v>15.376715955015595</c:v>
                  </c:pt>
                  <c:pt idx="260">
                    <c:v>15.498046616633355</c:v>
                  </c:pt>
                  <c:pt idx="261">
                    <c:v>15.575526704444242</c:v>
                  </c:pt>
                  <c:pt idx="262">
                    <c:v>15.608595441861038</c:v>
                  </c:pt>
                  <c:pt idx="263">
                    <c:v>15.597218434959231</c:v>
                  </c:pt>
                  <c:pt idx="264">
                    <c:v>15.541578535168069</c:v>
                  </c:pt>
                  <c:pt idx="265">
                    <c:v>15.442250118456492</c:v>
                  </c:pt>
                  <c:pt idx="266">
                    <c:v>15.300383469748056</c:v>
                  </c:pt>
                  <c:pt idx="267">
                    <c:v>15.117231048769543</c:v>
                  </c:pt>
                  <c:pt idx="268">
                    <c:v>14.894409932639432</c:v>
                  </c:pt>
                  <c:pt idx="269">
                    <c:v>14.633880769816265</c:v>
                  </c:pt>
                  <c:pt idx="270">
                    <c:v>14.337828488005741</c:v>
                  </c:pt>
                  <c:pt idx="271">
                    <c:v>14.008697728922483</c:v>
                  </c:pt>
                  <c:pt idx="272">
                    <c:v>13.649152085570703</c:v>
                  </c:pt>
                  <c:pt idx="273">
                    <c:v>13.261988117994287</c:v>
                  </c:pt>
                  <c:pt idx="274">
                    <c:v>12.850169693382609</c:v>
                  </c:pt>
                  <c:pt idx="275">
                    <c:v>12.416740593900148</c:v>
                  </c:pt>
                  <c:pt idx="276">
                    <c:v>11.964794410694026</c:v>
                  </c:pt>
                  <c:pt idx="277">
                    <c:v>11.497479841098119</c:v>
                  </c:pt>
                  <c:pt idx="278">
                    <c:v>11.017909930431957</c:v>
                  </c:pt>
                  <c:pt idx="279">
                    <c:v>10.529171214758417</c:v>
                  </c:pt>
                  <c:pt idx="280">
                    <c:v>10.034288155561743</c:v>
                  </c:pt>
                  <c:pt idx="281">
                    <c:v>9.536165326251945</c:v>
                  </c:pt>
                  <c:pt idx="282">
                    <c:v>9.0375866712192412</c:v>
                  </c:pt>
                  <c:pt idx="283">
                    <c:v>8.5411988703871433</c:v>
                  </c:pt>
                  <c:pt idx="284">
                    <c:v>8.0494730810463402</c:v>
                  </c:pt>
                  <c:pt idx="285">
                    <c:v>7.5646919773175094</c:v>
                  </c:pt>
                  <c:pt idx="286">
                    <c:v>7.0889549384579071</c:v>
                  </c:pt>
                  <c:pt idx="287">
                    <c:v>6.624154533010957</c:v>
                  </c:pt>
                  <c:pt idx="288">
                    <c:v>6.1719664471641744</c:v>
                  </c:pt>
                  <c:pt idx="289">
                    <c:v>5.7338591126358249</c:v>
                  </c:pt>
                  <c:pt idx="290">
                    <c:v>5.3110920611738948</c:v>
                  </c:pt>
                  <c:pt idx="291">
                    <c:v>4.9047073094281339</c:v>
                  </c:pt>
                  <c:pt idx="292">
                    <c:v>4.5155452955979891</c:v>
                  </c:pt>
                  <c:pt idx="293">
                    <c:v>4.1442483524597638</c:v>
                  </c:pt>
                  <c:pt idx="294">
                    <c:v>3.7912744486993892</c:v>
                  </c:pt>
                  <c:pt idx="295">
                    <c:v>3.4569020571890836</c:v>
                  </c:pt>
                  <c:pt idx="296">
                    <c:v>3.141243264144514</c:v>
                  </c:pt>
                  <c:pt idx="297">
                    <c:v>2.8442626620764639</c:v>
                  </c:pt>
                  <c:pt idx="298">
                    <c:v>2.5657860823942031</c:v>
                  </c:pt>
                  <c:pt idx="299">
                    <c:v>2.3055169999368701</c:v>
                  </c:pt>
                  <c:pt idx="300">
                    <c:v>2.0630486399312473</c:v>
                  </c:pt>
                  <c:pt idx="301">
                    <c:v>1.8378818598349795</c:v>
                  </c:pt>
                  <c:pt idx="302">
                    <c:v>1.6294389013828634</c:v>
                  </c:pt>
                  <c:pt idx="303">
                    <c:v>1.4370739973109581</c:v>
                  </c:pt>
                  <c:pt idx="304">
                    <c:v>1.2600894213960887</c:v>
                  </c:pt>
                  <c:pt idx="305">
                    <c:v>1.0977470914207741</c:v>
                  </c:pt>
                  <c:pt idx="306">
                    <c:v>0.94928014249352399</c:v>
                  </c:pt>
                  <c:pt idx="307">
                    <c:v>0.81390340191712718</c:v>
                  </c:pt>
                  <c:pt idx="308">
                    <c:v>0.69082384625369175</c:v>
                  </c:pt>
                  <c:pt idx="309">
                    <c:v>0.57924820822759271</c:v>
                  </c:pt>
                  <c:pt idx="310">
                    <c:v>0.47839079079616448</c:v>
                  </c:pt>
                  <c:pt idx="311">
                    <c:v>0.38748113687653823</c:v>
                  </c:pt>
                  <c:pt idx="312">
                    <c:v>0.30576880490343411</c:v>
                  </c:pt>
                  <c:pt idx="313">
                    <c:v>0.2325283748756371</c:v>
                  </c:pt>
                  <c:pt idx="314">
                    <c:v>0.16706330766339766</c:v>
                  </c:pt>
                  <c:pt idx="315">
                    <c:v>0.10870897061024531</c:v>
                  </c:pt>
                  <c:pt idx="316">
                    <c:v>5.6834893464339897E-2</c:v>
                  </c:pt>
                  <c:pt idx="317">
                    <c:v>1.0846357785660121E-2</c:v>
                  </c:pt>
                  <c:pt idx="318">
                    <c:v>-2.9814827410045375E-2</c:v>
                  </c:pt>
                  <c:pt idx="319">
                    <c:v>-6.5669752912342588E-2</c:v>
                  </c:pt>
                  <c:pt idx="320">
                    <c:v>-9.7202557249519123E-2</c:v>
                  </c:pt>
                  <c:pt idx="321">
                    <c:v>-0.12486115815255683</c:v>
                  </c:pt>
                  <c:pt idx="322">
                    <c:v>-0.14905796724399425</c:v>
                  </c:pt>
                  <c:pt idx="323">
                    <c:v>-0.17017111791579748</c:v>
                  </c:pt>
                  <c:pt idx="324">
                    <c:v>-0.18854587474816706</c:v>
                  </c:pt>
                  <c:pt idx="325">
                    <c:v>-0.20449621982431621</c:v>
                  </c:pt>
                  <c:pt idx="326">
                    <c:v>-0.21830656751185384</c:v>
                  </c:pt>
                  <c:pt idx="327">
                    <c:v>-0.23023356449809246</c:v>
                  </c:pt>
                  <c:pt idx="328">
                    <c:v>-0.2405079370846413</c:v>
                  </c:pt>
                  <c:pt idx="329">
                    <c:v>-0.2493363528579958</c:v>
                  </c:pt>
                  <c:pt idx="330">
                    <c:v>-0.25690327179217159</c:v>
                  </c:pt>
                  <c:pt idx="331">
                    <c:v>-0.26337274444163428</c:v>
                  </c:pt>
                  <c:pt idx="332">
                    <c:v>-0.26889018520218777</c:v>
                  </c:pt>
                  <c:pt idx="333">
                    <c:v>-0.27358405433430177</c:v>
                  </c:pt>
                  <c:pt idx="334">
                    <c:v>-0.27756744318859788</c:v>
                  </c:pt>
                  <c:pt idx="335">
                    <c:v>-0.28093960094444409</c:v>
                  </c:pt>
                  <c:pt idx="336">
                    <c:v>-0.28378734585712273</c:v>
                  </c:pt>
                  <c:pt idx="337">
                    <c:v>-0.28618638183261441</c:v>
                  </c:pt>
                  <c:pt idx="338">
                    <c:v>-0.28820251518738915</c:v>
                  </c:pt>
                  <c:pt idx="339">
                    <c:v>-0.28989277242818268</c:v>
                  </c:pt>
                  <c:pt idx="340">
                    <c:v>-0.29130642129698003</c:v>
                  </c:pt>
                  <c:pt idx="341">
                    <c:v>-0.29248589844673173</c:v>
                  </c:pt>
                  <c:pt idx="342">
                    <c:v>-0.29346764797305575</c:v>
                  </c:pt>
                  <c:pt idx="343">
                    <c:v>-0.29428287565635525</c:v>
                  </c:pt>
                  <c:pt idx="344">
                    <c:v>-0.29495822419671075</c:v>
                  </c:pt>
                  <c:pt idx="345">
                    <c:v>-0.29551637497922323</c:v>
                  </c:pt>
                  <c:pt idx="346">
                    <c:v>-0.29597658201734023</c:v>
                  </c:pt>
                  <c:pt idx="347">
                    <c:v>-0.29635514371103394</c:v>
                  </c:pt>
                  <c:pt idx="348">
                    <c:v>-0.29666581788802387</c:v>
                  </c:pt>
                  <c:pt idx="349">
                    <c:v>-0.2969201858544816</c:v>
                  </c:pt>
                  <c:pt idx="350">
                    <c:v>-0.29712796961260846</c:v>
                  </c:pt>
                  <c:pt idx="351">
                    <c:v>-0.29729730809447052</c:v>
                  </c:pt>
                  <c:pt idx="352">
                    <c:v>-0.29743499679604329</c:v>
                  </c:pt>
                  <c:pt idx="353">
                    <c:v>-0.29754669405086021</c:v>
                  </c:pt>
                  <c:pt idx="354">
                    <c:v>-0.29763709882060857</c:v>
                  </c:pt>
                  <c:pt idx="355">
                    <c:v>-0.29771010302642958</c:v>
                  </c:pt>
                  <c:pt idx="356">
                    <c:v>-0.29776892168251051</c:v>
                  </c:pt>
                  <c:pt idx="357">
                    <c:v>-0.2978162036925267</c:v>
                  </c:pt>
                  <c:pt idx="358">
                    <c:v>-0.29785412587012755</c:v>
                  </c:pt>
                  <c:pt idx="359">
                    <c:v>-0.29788447246363969</c:v>
                  </c:pt>
                  <c:pt idx="360">
                    <c:v>-0.2979087022040478</c:v>
                  </c:pt>
                  <c:pt idx="361">
                    <c:v>-0.2979280046549212</c:v>
                  </c:pt>
                  <c:pt idx="362">
                    <c:v>-0.29794334742347428</c:v>
                  </c:pt>
                  <c:pt idx="363">
                    <c:v>-0.2979555155930938</c:v>
                  </c:pt>
                  <c:pt idx="364">
                    <c:v>-0.2979651445587625</c:v>
                  </c:pt>
                  <c:pt idx="365">
                    <c:v>-0.29797274728691975</c:v>
                  </c:pt>
                  <c:pt idx="366">
                    <c:v>-0.2979787368792815</c:v>
                  </c:pt>
                  <c:pt idx="367">
                    <c:v>-0.29798344519473408</c:v>
                  </c:pt>
                  <c:pt idx="368">
                    <c:v>-0.29798713817328881</c:v>
                  </c:pt>
                  <c:pt idx="369">
                    <c:v>-0.29799002840988181</c:v>
                  </c:pt>
                  <c:pt idx="370">
                    <c:v>-0.29799228544218953</c:v>
                  </c:pt>
                  <c:pt idx="371">
                    <c:v>-0.2979940441443118</c:v>
                  </c:pt>
                  <c:pt idx="372">
                    <c:v>-0.2979954115559087</c:v>
                  </c:pt>
                  <c:pt idx="373">
                    <c:v>-0.29799647242301752</c:v>
                  </c:pt>
                  <c:pt idx="374">
                    <c:v>-0.29799729368123823</c:v>
                  </c:pt>
                  <c:pt idx="375">
                    <c:v>-0.29799792807328251</c:v>
                  </c:pt>
                  <c:pt idx="376">
                    <c:v>-0.29799841706013613</c:v>
                  </c:pt>
                  <c:pt idx="377">
                    <c:v>-0.29799879315748412</c:v>
                  </c:pt>
                  <c:pt idx="378">
                    <c:v>-0.2979990818058732</c:v>
                  </c:pt>
                  <c:pt idx="379">
                    <c:v>-0.29799930286371651</c:v>
                  </c:pt>
                  <c:pt idx="380">
                    <c:v>-0.29799947179599912</c:v>
                  </c:pt>
                  <c:pt idx="381">
                    <c:v>-0.29799960061840985</c:v>
                  </c:pt>
                  <c:pt idx="382">
                    <c:v>-0.29799969864511255</c:v>
                  </c:pt>
                  <c:pt idx="383">
                    <c:v>-0.29799977307946562</c:v>
                  </c:pt>
                  <c:pt idx="384">
                    <c:v>-0.29799982947965264</c:v>
                  </c:pt>
                  <c:pt idx="385">
                    <c:v>-0.29799987212461559</c:v>
                  </c:pt>
                  <c:pt idx="386">
                    <c:v>-0.29799990430097845</c:v>
                  </c:pt>
                  <c:pt idx="387">
                    <c:v>-0.29799992852744606</c:v>
                  </c:pt>
                  <c:pt idx="388">
                    <c:v>-0.29799994672986346</c:v>
                  </c:pt>
                  <c:pt idx="389">
                    <c:v>-0.29799996037744669</c:v>
                  </c:pt>
                  <c:pt idx="390">
                    <c:v>-0.29799997058853411</c:v>
                  </c:pt>
                  <c:pt idx="391">
                    <c:v>-0.29799997821247698</c:v>
                  </c:pt>
                  <c:pt idx="392">
                    <c:v>-0.29799998389289734</c:v>
                  </c:pt>
                  <c:pt idx="393">
                    <c:v>-0.29799998811643447</c:v>
                  </c:pt>
                  <c:pt idx="394">
                    <c:v>-0.29799999125021753</c:v>
                  </c:pt>
                  <c:pt idx="395">
                    <c:v>-0.29799999357060264</c:v>
                  </c:pt>
                  <c:pt idx="396">
                    <c:v>-0.2979999952851578</c:v>
                  </c:pt>
                  <c:pt idx="397">
                    <c:v>-0.29799999654944237</c:v>
                  </c:pt>
                  <c:pt idx="398">
                    <c:v>-0.29799999747978273</c:v>
                  </c:pt>
                  <c:pt idx="399">
                    <c:v>-0.29799999816297706</c:v>
                  </c:pt>
                  <c:pt idx="400">
                    <c:v>-0.2979999986636494</c:v>
                  </c:pt>
                  <c:pt idx="401">
                    <c:v>-0.29799999902981006</c:v>
                  </c:pt>
                  <c:pt idx="402">
                    <c:v>-0.29799999929704918</c:v>
                  </c:pt>
                  <c:pt idx="403">
                    <c:v>-0.29799999949169281</c:v>
                  </c:pt>
                  <c:pt idx="404">
                    <c:v>-0.29799999963317242</c:v>
                  </c:pt>
                  <c:pt idx="405">
                    <c:v>-0.29799999973579966</c:v>
                  </c:pt>
                  <c:pt idx="406">
                    <c:v>-0.29799999981009268</c:v>
                  </c:pt>
                  <c:pt idx="407">
                    <c:v>-0.29799999986376519</c:v>
                  </c:pt>
                  <c:pt idx="408">
                    <c:v>-0.29799999990246195</c:v>
                  </c:pt>
                  <c:pt idx="409">
                    <c:v>-0.29799999993030513</c:v>
                  </c:pt>
                  <c:pt idx="410">
                    <c:v>-0.29799999995029852</c:v>
                  </c:pt>
                  <c:pt idx="411">
                    <c:v>-0.29799999996462628</c:v>
                  </c:pt>
                  <c:pt idx="412">
                    <c:v>-0.2979999999748732</c:v>
                  </c:pt>
                  <c:pt idx="413">
                    <c:v>-0.29799999998218696</c:v>
                  </c:pt>
                  <c:pt idx="414">
                    <c:v>-0.29799999998739662</c:v>
                  </c:pt>
                  <c:pt idx="415">
                    <c:v>-0.29799999999110016</c:v>
                  </c:pt>
                  <c:pt idx="416">
                    <c:v>-0.29799999999372767</c:v>
                  </c:pt>
                  <c:pt idx="417">
                    <c:v>-0.29799999999558813</c:v>
                  </c:pt>
                  <c:pt idx="418">
                    <c:v>-0.2979999999969028</c:v>
                  </c:pt>
                  <c:pt idx="419">
                    <c:v>-0.29799999999782995</c:v>
                  </c:pt>
                  <c:pt idx="420">
                    <c:v>-0.29799999999848253</c:v>
                  </c:pt>
                  <c:pt idx="421">
                    <c:v>-0.29799999999894089</c:v>
                  </c:pt>
                  <c:pt idx="422">
                    <c:v>-0.29799999999926224</c:v>
                  </c:pt>
                  <c:pt idx="423">
                    <c:v>-0.29799999999948712</c:v>
                  </c:pt>
                  <c:pt idx="424">
                    <c:v>-0.29799999999964411</c:v>
                  </c:pt>
                  <c:pt idx="425">
                    <c:v>-0.29799999999975352</c:v>
                  </c:pt>
                  <c:pt idx="426">
                    <c:v>-0.29799999999982962</c:v>
                  </c:pt>
                  <c:pt idx="427">
                    <c:v>-0.29799999999988247</c:v>
                  </c:pt>
                  <c:pt idx="428">
                    <c:v>-0.29799999999991905</c:v>
                  </c:pt>
                  <c:pt idx="429">
                    <c:v>-0.29799999999994436</c:v>
                  </c:pt>
                  <c:pt idx="430">
                    <c:v>-0.29799999999996185</c:v>
                  </c:pt>
                  <c:pt idx="431">
                    <c:v>-0.2979999999999739</c:v>
                  </c:pt>
                  <c:pt idx="432">
                    <c:v>-0.29799999999998217</c:v>
                  </c:pt>
                  <c:pt idx="433">
                    <c:v>-0.29799999999998783</c:v>
                  </c:pt>
                  <c:pt idx="434">
                    <c:v>-0.29799999999999172</c:v>
                  </c:pt>
                  <c:pt idx="435">
                    <c:v>-0.29799999999999438</c:v>
                  </c:pt>
                  <c:pt idx="436">
                    <c:v>-0.29799999999999616</c:v>
                  </c:pt>
                  <c:pt idx="437">
                    <c:v>-0.29799999999999743</c:v>
                  </c:pt>
                  <c:pt idx="438">
                    <c:v>-0.29799999999999827</c:v>
                  </c:pt>
                  <c:pt idx="439">
                    <c:v>-0.29799999999999882</c:v>
                  </c:pt>
                  <c:pt idx="440">
                    <c:v>-0.29799999999999921</c:v>
                  </c:pt>
                  <c:pt idx="441">
                    <c:v>-0.29799999999999943</c:v>
                  </c:pt>
                  <c:pt idx="442">
                    <c:v>-0.29799999999999965</c:v>
                  </c:pt>
                  <c:pt idx="443">
                    <c:v>-0.29799999999999977</c:v>
                  </c:pt>
                  <c:pt idx="444">
                    <c:v>-0.29799999999999982</c:v>
                  </c:pt>
                  <c:pt idx="445">
                    <c:v>-0.29799999999999988</c:v>
                  </c:pt>
                  <c:pt idx="446">
                    <c:v>-0.29799999999999993</c:v>
                  </c:pt>
                  <c:pt idx="447">
                    <c:v>-0.29799999999999993</c:v>
                  </c:pt>
                  <c:pt idx="448">
                    <c:v>-0.29799999999999993</c:v>
                  </c:pt>
                  <c:pt idx="449">
                    <c:v>-0.29799999999999999</c:v>
                  </c:pt>
                  <c:pt idx="450">
                    <c:v>-0.29799999999999999</c:v>
                  </c:pt>
                  <c:pt idx="451">
                    <c:v>-0.29799999999999999</c:v>
                  </c:pt>
                  <c:pt idx="452">
                    <c:v>-0.29799999999999999</c:v>
                  </c:pt>
                  <c:pt idx="453">
                    <c:v>-0.29799999999999999</c:v>
                  </c:pt>
                  <c:pt idx="454">
                    <c:v>-0.29799999999999999</c:v>
                  </c:pt>
                  <c:pt idx="455">
                    <c:v>-0.29799999999999999</c:v>
                  </c:pt>
                  <c:pt idx="456">
                    <c:v>-0.29799999999999999</c:v>
                  </c:pt>
                  <c:pt idx="457">
                    <c:v>-0.29799999999999999</c:v>
                  </c:pt>
                  <c:pt idx="458">
                    <c:v>-0.29799999999999999</c:v>
                  </c:pt>
                  <c:pt idx="459">
                    <c:v>-0.29799999999999999</c:v>
                  </c:pt>
                  <c:pt idx="460">
                    <c:v>-0.29799999999999999</c:v>
                  </c:pt>
                  <c:pt idx="461">
                    <c:v>-0.29799999999999999</c:v>
                  </c:pt>
                  <c:pt idx="462">
                    <c:v>-0.29799999999999999</c:v>
                  </c:pt>
                  <c:pt idx="463">
                    <c:v>-0.29799999999999999</c:v>
                  </c:pt>
                  <c:pt idx="464">
                    <c:v>-0.29799999999999999</c:v>
                  </c:pt>
                  <c:pt idx="465">
                    <c:v>-0.29799999999999999</c:v>
                  </c:pt>
                  <c:pt idx="466">
                    <c:v>-0.29799999999999999</c:v>
                  </c:pt>
                  <c:pt idx="467">
                    <c:v>-0.29799999999999999</c:v>
                  </c:pt>
                  <c:pt idx="468">
                    <c:v>-0.29799999999999999</c:v>
                  </c:pt>
                  <c:pt idx="469">
                    <c:v>-0.29799999999999999</c:v>
                  </c:pt>
                  <c:pt idx="470">
                    <c:v>-0.29799999999999999</c:v>
                  </c:pt>
                  <c:pt idx="471">
                    <c:v>-0.29799999999999999</c:v>
                  </c:pt>
                  <c:pt idx="472">
                    <c:v>-0.29799999999999999</c:v>
                  </c:pt>
                  <c:pt idx="473">
                    <c:v>-0.29799999999999999</c:v>
                  </c:pt>
                  <c:pt idx="474">
                    <c:v>-0.29799999999999999</c:v>
                  </c:pt>
                  <c:pt idx="475">
                    <c:v>-0.29799999999999999</c:v>
                  </c:pt>
                  <c:pt idx="476">
                    <c:v>-0.29799999999999999</c:v>
                  </c:pt>
                  <c:pt idx="477">
                    <c:v>-0.29799999999999999</c:v>
                  </c:pt>
                  <c:pt idx="478">
                    <c:v>-0.29799999999999999</c:v>
                  </c:pt>
                  <c:pt idx="479">
                    <c:v>-0.29799999999999999</c:v>
                  </c:pt>
                  <c:pt idx="480">
                    <c:v>-0.29799999999999999</c:v>
                  </c:pt>
                  <c:pt idx="481">
                    <c:v>-0.29799999999999999</c:v>
                  </c:pt>
                  <c:pt idx="482">
                    <c:v>-0.29799999999999999</c:v>
                  </c:pt>
                  <c:pt idx="483">
                    <c:v>-0.29799999999999999</c:v>
                  </c:pt>
                  <c:pt idx="484">
                    <c:v>-0.29799999999999999</c:v>
                  </c:pt>
                  <c:pt idx="485">
                    <c:v>-0.29799999999999999</c:v>
                  </c:pt>
                  <c:pt idx="486">
                    <c:v>-0.29799999999999999</c:v>
                  </c:pt>
                  <c:pt idx="487">
                    <c:v>-0.29799999999999999</c:v>
                  </c:pt>
                  <c:pt idx="488">
                    <c:v>-0.29799999999999999</c:v>
                  </c:pt>
                  <c:pt idx="489">
                    <c:v>-0.29799999999999999</c:v>
                  </c:pt>
                  <c:pt idx="490">
                    <c:v>-0.29799999999999999</c:v>
                  </c:pt>
                  <c:pt idx="491">
                    <c:v>-0.29799999999999999</c:v>
                  </c:pt>
                  <c:pt idx="492">
                    <c:v>-0.29799999999999999</c:v>
                  </c:pt>
                  <c:pt idx="493">
                    <c:v>-0.29799999999999999</c:v>
                  </c:pt>
                  <c:pt idx="494">
                    <c:v>-0.29799999999999999</c:v>
                  </c:pt>
                  <c:pt idx="495">
                    <c:v>-0.29799999999999999</c:v>
                  </c:pt>
                  <c:pt idx="496">
                    <c:v>-0.29799999999999999</c:v>
                  </c:pt>
                  <c:pt idx="497">
                    <c:v>-0.29799999999999999</c:v>
                  </c:pt>
                  <c:pt idx="498">
                    <c:v>-0.29799999999999999</c:v>
                  </c:pt>
                  <c:pt idx="499">
                    <c:v>-0.29799999999999999</c:v>
                  </c:pt>
                  <c:pt idx="500">
                    <c:v>-0.29799999999999999</c:v>
                  </c:pt>
                  <c:pt idx="501">
                    <c:v>-0.29799999999999999</c:v>
                  </c:pt>
                  <c:pt idx="502">
                    <c:v>-0.29799999999999999</c:v>
                  </c:pt>
                  <c:pt idx="503">
                    <c:v>-0.29799999999999999</c:v>
                  </c:pt>
                  <c:pt idx="504">
                    <c:v>-0.29799999999999999</c:v>
                  </c:pt>
                  <c:pt idx="505">
                    <c:v>-0.29799999999999999</c:v>
                  </c:pt>
                  <c:pt idx="506">
                    <c:v>-0.29799999999999999</c:v>
                  </c:pt>
                  <c:pt idx="507">
                    <c:v>-0.29799999999999999</c:v>
                  </c:pt>
                  <c:pt idx="508">
                    <c:v>-0.29799999999999999</c:v>
                  </c:pt>
                  <c:pt idx="509">
                    <c:v>-0.29799999999999999</c:v>
                  </c:pt>
                  <c:pt idx="510">
                    <c:v>-0.29799999999999999</c:v>
                  </c:pt>
                  <c:pt idx="511">
                    <c:v>-0.29799999999999999</c:v>
                  </c:pt>
                  <c:pt idx="512">
                    <c:v>-0.29799999999999999</c:v>
                  </c:pt>
                  <c:pt idx="513">
                    <c:v>-0.29799999999999999</c:v>
                  </c:pt>
                  <c:pt idx="514">
                    <c:v>-0.29799999999999999</c:v>
                  </c:pt>
                  <c:pt idx="515">
                    <c:v>-0.29799999999999999</c:v>
                  </c:pt>
                  <c:pt idx="516">
                    <c:v>-0.29799999999999999</c:v>
                  </c:pt>
                  <c:pt idx="517">
                    <c:v>-0.29799999999999999</c:v>
                  </c:pt>
                  <c:pt idx="518">
                    <c:v>-0.29799999999999999</c:v>
                  </c:pt>
                  <c:pt idx="519">
                    <c:v>-0.29799999999999999</c:v>
                  </c:pt>
                  <c:pt idx="520">
                    <c:v>-0.29799999999999999</c:v>
                  </c:pt>
                  <c:pt idx="521">
                    <c:v>-0.29799999999999999</c:v>
                  </c:pt>
                  <c:pt idx="522">
                    <c:v>-0.29799999999999999</c:v>
                  </c:pt>
                  <c:pt idx="523">
                    <c:v>-0.29799999999999999</c:v>
                  </c:pt>
                  <c:pt idx="524">
                    <c:v>-0.29799999999999999</c:v>
                  </c:pt>
                  <c:pt idx="525">
                    <c:v>-0.29799999999999999</c:v>
                  </c:pt>
                  <c:pt idx="526">
                    <c:v>-0.29799999999999999</c:v>
                  </c:pt>
                  <c:pt idx="527">
                    <c:v>-0.29799999999999999</c:v>
                  </c:pt>
                  <c:pt idx="528">
                    <c:v>-0.29799999999999999</c:v>
                  </c:pt>
                  <c:pt idx="529">
                    <c:v>-0.29799999999999999</c:v>
                  </c:pt>
                  <c:pt idx="530">
                    <c:v>-0.29799999999999999</c:v>
                  </c:pt>
                  <c:pt idx="531">
                    <c:v>-0.29799999999999999</c:v>
                  </c:pt>
                  <c:pt idx="532">
                    <c:v>-0.29799999999999999</c:v>
                  </c:pt>
                  <c:pt idx="533">
                    <c:v>-0.29799999999999999</c:v>
                  </c:pt>
                  <c:pt idx="534">
                    <c:v>-0.29799999999999999</c:v>
                  </c:pt>
                  <c:pt idx="535">
                    <c:v>-0.29799999999999999</c:v>
                  </c:pt>
                  <c:pt idx="536">
                    <c:v>-0.29799999999999999</c:v>
                  </c:pt>
                  <c:pt idx="537">
                    <c:v>-0.29799999999999999</c:v>
                  </c:pt>
                  <c:pt idx="538">
                    <c:v>-0.29799999999999999</c:v>
                  </c:pt>
                  <c:pt idx="539">
                    <c:v>-0.29799999999999999</c:v>
                  </c:pt>
                  <c:pt idx="540">
                    <c:v>-0.29799999999999999</c:v>
                  </c:pt>
                  <c:pt idx="541">
                    <c:v>-0.29799999999999999</c:v>
                  </c:pt>
                  <c:pt idx="542">
                    <c:v>-0.29799999999999999</c:v>
                  </c:pt>
                  <c:pt idx="543">
                    <c:v>-0.29799999999999999</c:v>
                  </c:pt>
                  <c:pt idx="544">
                    <c:v>-0.29799999999999999</c:v>
                  </c:pt>
                  <c:pt idx="545">
                    <c:v>-0.29799999999999999</c:v>
                  </c:pt>
                  <c:pt idx="546">
                    <c:v>-0.29799999999999999</c:v>
                  </c:pt>
                  <c:pt idx="547">
                    <c:v>-0.29799999999999999</c:v>
                  </c:pt>
                  <c:pt idx="548">
                    <c:v>-0.29799999999999999</c:v>
                  </c:pt>
                  <c:pt idx="549">
                    <c:v>-0.29799999999999999</c:v>
                  </c:pt>
                  <c:pt idx="550">
                    <c:v>-0.29799999999999999</c:v>
                  </c:pt>
                  <c:pt idx="551">
                    <c:v>-0.29799999999999999</c:v>
                  </c:pt>
                  <c:pt idx="552">
                    <c:v>-0.29799999999999999</c:v>
                  </c:pt>
                  <c:pt idx="553">
                    <c:v>-0.29799999999999999</c:v>
                  </c:pt>
                  <c:pt idx="554">
                    <c:v>-0.29799999999999999</c:v>
                  </c:pt>
                  <c:pt idx="555">
                    <c:v>-0.29799999999999999</c:v>
                  </c:pt>
                  <c:pt idx="556">
                    <c:v>-0.29799999999999999</c:v>
                  </c:pt>
                  <c:pt idx="557">
                    <c:v>-0.29799999999999999</c:v>
                  </c:pt>
                  <c:pt idx="558">
                    <c:v>-0.29799999999999999</c:v>
                  </c:pt>
                  <c:pt idx="559">
                    <c:v>-0.29799999999999999</c:v>
                  </c:pt>
                  <c:pt idx="560">
                    <c:v>-0.29799999999999999</c:v>
                  </c:pt>
                  <c:pt idx="561">
                    <c:v>-0.29799999999999999</c:v>
                  </c:pt>
                  <c:pt idx="562">
                    <c:v>-0.29799999999999999</c:v>
                  </c:pt>
                  <c:pt idx="563">
                    <c:v>-0.29799999999999999</c:v>
                  </c:pt>
                  <c:pt idx="564">
                    <c:v>-0.29799999999999999</c:v>
                  </c:pt>
                  <c:pt idx="565">
                    <c:v>-0.29799999999999999</c:v>
                  </c:pt>
                  <c:pt idx="566">
                    <c:v>-0.29799999999999999</c:v>
                  </c:pt>
                  <c:pt idx="567">
                    <c:v>-0.29799999999999999</c:v>
                  </c:pt>
                  <c:pt idx="568">
                    <c:v>-0.29799999999999999</c:v>
                  </c:pt>
                  <c:pt idx="569">
                    <c:v>-0.29799999999999999</c:v>
                  </c:pt>
                  <c:pt idx="570">
                    <c:v>-0.29799999999999999</c:v>
                  </c:pt>
                  <c:pt idx="571">
                    <c:v>-0.29799999999999999</c:v>
                  </c:pt>
                  <c:pt idx="572">
                    <c:v>-0.29799999999999999</c:v>
                  </c:pt>
                  <c:pt idx="573">
                    <c:v>-0.29799999999999999</c:v>
                  </c:pt>
                  <c:pt idx="574">
                    <c:v>-0.29799999999999999</c:v>
                  </c:pt>
                  <c:pt idx="575">
                    <c:v>-0.29799999999999999</c:v>
                  </c:pt>
                  <c:pt idx="576">
                    <c:v>-0.29799999999999999</c:v>
                  </c:pt>
                  <c:pt idx="577">
                    <c:v>-0.29799999999999999</c:v>
                  </c:pt>
                  <c:pt idx="578">
                    <c:v>-0.29799999999999999</c:v>
                  </c:pt>
                  <c:pt idx="579">
                    <c:v>-0.29799999999999999</c:v>
                  </c:pt>
                  <c:pt idx="580">
                    <c:v>-0.29799999999999999</c:v>
                  </c:pt>
                  <c:pt idx="581">
                    <c:v>-0.29799999999999999</c:v>
                  </c:pt>
                  <c:pt idx="582">
                    <c:v>-0.29799999999999999</c:v>
                  </c:pt>
                  <c:pt idx="583">
                    <c:v>-0.29799999999999999</c:v>
                  </c:pt>
                  <c:pt idx="584">
                    <c:v>-0.29799999999999999</c:v>
                  </c:pt>
                  <c:pt idx="585">
                    <c:v>-0.29799999999999999</c:v>
                  </c:pt>
                  <c:pt idx="586">
                    <c:v>-0.29799999999999999</c:v>
                  </c:pt>
                  <c:pt idx="587">
                    <c:v>-0.29799999999999999</c:v>
                  </c:pt>
                  <c:pt idx="588">
                    <c:v>-0.29799999999999999</c:v>
                  </c:pt>
                  <c:pt idx="589">
                    <c:v>-0.29799999999999999</c:v>
                  </c:pt>
                  <c:pt idx="590">
                    <c:v>-0.29799999999999999</c:v>
                  </c:pt>
                  <c:pt idx="591">
                    <c:v>-0.29799999999999999</c:v>
                  </c:pt>
                  <c:pt idx="592">
                    <c:v>-0.29799999999999999</c:v>
                  </c:pt>
                  <c:pt idx="593">
                    <c:v>-0.29799999999999999</c:v>
                  </c:pt>
                  <c:pt idx="594">
                    <c:v>-0.29799999999999999</c:v>
                  </c:pt>
                  <c:pt idx="595">
                    <c:v>-0.29799999999999999</c:v>
                  </c:pt>
                  <c:pt idx="596">
                    <c:v>-0.29799999999999999</c:v>
                  </c:pt>
                  <c:pt idx="597">
                    <c:v>-0.29799999999999999</c:v>
                  </c:pt>
                  <c:pt idx="598">
                    <c:v>-0.29799999999999999</c:v>
                  </c:pt>
                  <c:pt idx="599">
                    <c:v>-0.29799999999999999</c:v>
                  </c:pt>
                  <c:pt idx="600">
                    <c:v>-0.29799999999999999</c:v>
                  </c:pt>
                  <c:pt idx="601">
                    <c:v>-0.29799999999999999</c:v>
                  </c:pt>
                  <c:pt idx="602">
                    <c:v>-0.29799999999999999</c:v>
                  </c:pt>
                  <c:pt idx="603">
                    <c:v>-0.29799999999999999</c:v>
                  </c:pt>
                  <c:pt idx="604">
                    <c:v>-0.29799999999999999</c:v>
                  </c:pt>
                  <c:pt idx="605">
                    <c:v>-0.29799999999999999</c:v>
                  </c:pt>
                  <c:pt idx="606">
                    <c:v>-0.29799999999999999</c:v>
                  </c:pt>
                  <c:pt idx="607">
                    <c:v>-0.29799999999999999</c:v>
                  </c:pt>
                  <c:pt idx="608">
                    <c:v>-0.29799999999999999</c:v>
                  </c:pt>
                  <c:pt idx="609">
                    <c:v>-0.29799999999999999</c:v>
                  </c:pt>
                  <c:pt idx="610">
                    <c:v>-0.29799999999999999</c:v>
                  </c:pt>
                  <c:pt idx="611">
                    <c:v>-0.29799999999999999</c:v>
                  </c:pt>
                  <c:pt idx="612">
                    <c:v>-0.29799999999999999</c:v>
                  </c:pt>
                  <c:pt idx="613">
                    <c:v>-0.29799999999999999</c:v>
                  </c:pt>
                  <c:pt idx="614">
                    <c:v>-0.29799999999999999</c:v>
                  </c:pt>
                  <c:pt idx="615">
                    <c:v>-0.29799999999999999</c:v>
                  </c:pt>
                  <c:pt idx="616">
                    <c:v>-0.29799999999999999</c:v>
                  </c:pt>
                  <c:pt idx="617">
                    <c:v>-0.29799999999999999</c:v>
                  </c:pt>
                  <c:pt idx="618">
                    <c:v>-0.29799999999999999</c:v>
                  </c:pt>
                  <c:pt idx="619">
                    <c:v>-0.29799999999999999</c:v>
                  </c:pt>
                  <c:pt idx="620">
                    <c:v>-0.29799999999999999</c:v>
                  </c:pt>
                  <c:pt idx="621">
                    <c:v>-0.29799999999999999</c:v>
                  </c:pt>
                  <c:pt idx="622">
                    <c:v>-0.29799999999999999</c:v>
                  </c:pt>
                  <c:pt idx="623">
                    <c:v>-0.29799999999999999</c:v>
                  </c:pt>
                  <c:pt idx="624">
                    <c:v>-0.29799999999999999</c:v>
                  </c:pt>
                  <c:pt idx="625">
                    <c:v>-0.29799999999999999</c:v>
                  </c:pt>
                  <c:pt idx="626">
                    <c:v>-0.29799999999999999</c:v>
                  </c:pt>
                  <c:pt idx="627">
                    <c:v>-0.29799999999999999</c:v>
                  </c:pt>
                  <c:pt idx="628">
                    <c:v>-0.29799999999999999</c:v>
                  </c:pt>
                  <c:pt idx="629">
                    <c:v>-0.29799999999999999</c:v>
                  </c:pt>
                  <c:pt idx="630">
                    <c:v>-0.29799999999999999</c:v>
                  </c:pt>
                  <c:pt idx="631">
                    <c:v>-0.29799999999999999</c:v>
                  </c:pt>
                  <c:pt idx="632">
                    <c:v>-0.29799999999999999</c:v>
                  </c:pt>
                  <c:pt idx="633">
                    <c:v>-0.29799999999999999</c:v>
                  </c:pt>
                  <c:pt idx="634">
                    <c:v>-0.29799999999999999</c:v>
                  </c:pt>
                  <c:pt idx="635">
                    <c:v>-0.29799999999999999</c:v>
                  </c:pt>
                  <c:pt idx="636">
                    <c:v>-0.29799999999999999</c:v>
                  </c:pt>
                  <c:pt idx="637">
                    <c:v>-0.29799999999999999</c:v>
                  </c:pt>
                  <c:pt idx="638">
                    <c:v>-0.29799999999999999</c:v>
                  </c:pt>
                  <c:pt idx="639">
                    <c:v>-0.29799999999999999</c:v>
                  </c:pt>
                  <c:pt idx="640">
                    <c:v>-0.29799999999999999</c:v>
                  </c:pt>
                  <c:pt idx="641">
                    <c:v>-0.29799999999999999</c:v>
                  </c:pt>
                  <c:pt idx="642">
                    <c:v>-0.29799999999999999</c:v>
                  </c:pt>
                  <c:pt idx="643">
                    <c:v>-0.29799999999999999</c:v>
                  </c:pt>
                  <c:pt idx="644">
                    <c:v>-0.29799999999999999</c:v>
                  </c:pt>
                  <c:pt idx="645">
                    <c:v>-0.29799999999999999</c:v>
                  </c:pt>
                  <c:pt idx="646">
                    <c:v>-0.29799999999999999</c:v>
                  </c:pt>
                  <c:pt idx="647">
                    <c:v>-0.29799999999999999</c:v>
                  </c:pt>
                  <c:pt idx="648">
                    <c:v>-0.29799999999999999</c:v>
                  </c:pt>
                  <c:pt idx="649">
                    <c:v>-0.29799999999999999</c:v>
                  </c:pt>
                  <c:pt idx="650">
                    <c:v>-0.29799999999999999</c:v>
                  </c:pt>
                  <c:pt idx="651">
                    <c:v>-0.29799999999999999</c:v>
                  </c:pt>
                  <c:pt idx="652">
                    <c:v>-0.29799999999999999</c:v>
                  </c:pt>
                  <c:pt idx="653">
                    <c:v>-0.29799999999999999</c:v>
                  </c:pt>
                  <c:pt idx="654">
                    <c:v>-0.29799999999999999</c:v>
                  </c:pt>
                  <c:pt idx="655">
                    <c:v>-0.29799999999999999</c:v>
                  </c:pt>
                  <c:pt idx="656">
                    <c:v>-0.29799999999999999</c:v>
                  </c:pt>
                  <c:pt idx="657">
                    <c:v>-0.29799999999999999</c:v>
                  </c:pt>
                  <c:pt idx="658">
                    <c:v>-0.29799999999999999</c:v>
                  </c:pt>
                  <c:pt idx="659">
                    <c:v>-0.29799999999999999</c:v>
                  </c:pt>
                  <c:pt idx="660">
                    <c:v>-0.29799999999999999</c:v>
                  </c:pt>
                  <c:pt idx="661">
                    <c:v>-0.29799999999999999</c:v>
                  </c:pt>
                  <c:pt idx="662">
                    <c:v>-0.29799999999999999</c:v>
                  </c:pt>
                  <c:pt idx="663">
                    <c:v>-0.29799999999999999</c:v>
                  </c:pt>
                  <c:pt idx="664">
                    <c:v>-0.29799999999999999</c:v>
                  </c:pt>
                  <c:pt idx="665">
                    <c:v>-0.29799999999999999</c:v>
                  </c:pt>
                  <c:pt idx="666">
                    <c:v>-0.29799999999999999</c:v>
                  </c:pt>
                  <c:pt idx="667">
                    <c:v>-0.29799999999999999</c:v>
                  </c:pt>
                  <c:pt idx="668">
                    <c:v>-0.29799999999999999</c:v>
                  </c:pt>
                  <c:pt idx="669">
                    <c:v>-0.29799999999999999</c:v>
                  </c:pt>
                  <c:pt idx="670">
                    <c:v>-0.29799999999999999</c:v>
                  </c:pt>
                  <c:pt idx="671">
                    <c:v>-0.29799999999999999</c:v>
                  </c:pt>
                  <c:pt idx="672">
                    <c:v>-0.29799999999999999</c:v>
                  </c:pt>
                  <c:pt idx="673">
                    <c:v>-0.29799999999999999</c:v>
                  </c:pt>
                  <c:pt idx="674">
                    <c:v>-0.29799999999999999</c:v>
                  </c:pt>
                  <c:pt idx="675">
                    <c:v>-0.29799999999999999</c:v>
                  </c:pt>
                  <c:pt idx="676">
                    <c:v>-0.29799999999999999</c:v>
                  </c:pt>
                  <c:pt idx="677">
                    <c:v>-0.29799999999999999</c:v>
                  </c:pt>
                  <c:pt idx="678">
                    <c:v>-0.29799999999999999</c:v>
                  </c:pt>
                  <c:pt idx="679">
                    <c:v>-0.29799999999999999</c:v>
                  </c:pt>
                  <c:pt idx="680">
                    <c:v>-0.29799999999999999</c:v>
                  </c:pt>
                  <c:pt idx="681">
                    <c:v>-0.29799999999999999</c:v>
                  </c:pt>
                  <c:pt idx="682">
                    <c:v>-0.29799999999999999</c:v>
                  </c:pt>
                  <c:pt idx="683">
                    <c:v>-0.29799999999999999</c:v>
                  </c:pt>
                  <c:pt idx="684">
                    <c:v>-0.29799999999999999</c:v>
                  </c:pt>
                  <c:pt idx="685">
                    <c:v>-0.29799999999999999</c:v>
                  </c:pt>
                  <c:pt idx="686">
                    <c:v>-0.29799999999999999</c:v>
                  </c:pt>
                  <c:pt idx="687">
                    <c:v>-0.29799999999999999</c:v>
                  </c:pt>
                  <c:pt idx="688">
                    <c:v>-0.29799999999999999</c:v>
                  </c:pt>
                  <c:pt idx="689">
                    <c:v>-0.29799999999999999</c:v>
                  </c:pt>
                  <c:pt idx="690">
                    <c:v>-0.29799999999999999</c:v>
                  </c:pt>
                  <c:pt idx="691">
                    <c:v>-0.29799999999999999</c:v>
                  </c:pt>
                  <c:pt idx="692">
                    <c:v>-0.29799999999999999</c:v>
                  </c:pt>
                  <c:pt idx="693">
                    <c:v>-0.29799999999999999</c:v>
                  </c:pt>
                  <c:pt idx="694">
                    <c:v>-0.29799999999999999</c:v>
                  </c:pt>
                  <c:pt idx="695">
                    <c:v>-0.29799999999999999</c:v>
                  </c:pt>
                  <c:pt idx="696">
                    <c:v>-0.29799999999999999</c:v>
                  </c:pt>
                  <c:pt idx="697">
                    <c:v>-0.29799999999999999</c:v>
                  </c:pt>
                  <c:pt idx="698">
                    <c:v>-0.29799999999999999</c:v>
                  </c:pt>
                  <c:pt idx="699">
                    <c:v>-0.29799999999999999</c:v>
                  </c:pt>
                  <c:pt idx="700">
                    <c:v>-0.29799999999999999</c:v>
                  </c:pt>
                  <c:pt idx="701">
                    <c:v>-0.29799999999999999</c:v>
                  </c:pt>
                  <c:pt idx="702">
                    <c:v>-0.29799999999999999</c:v>
                  </c:pt>
                  <c:pt idx="703">
                    <c:v>-0.29799999999999999</c:v>
                  </c:pt>
                  <c:pt idx="704">
                    <c:v>-0.29799999999999999</c:v>
                  </c:pt>
                  <c:pt idx="705">
                    <c:v>-0.29799999999999999</c:v>
                  </c:pt>
                  <c:pt idx="706">
                    <c:v>-0.29799999999999999</c:v>
                  </c:pt>
                  <c:pt idx="707">
                    <c:v>-0.29799999999999999</c:v>
                  </c:pt>
                  <c:pt idx="708">
                    <c:v>-0.29799999999999999</c:v>
                  </c:pt>
                  <c:pt idx="709">
                    <c:v>-0.29799999999999999</c:v>
                  </c:pt>
                  <c:pt idx="710">
                    <c:v>-0.29799999999999999</c:v>
                  </c:pt>
                  <c:pt idx="711">
                    <c:v>-0.29799999999999999</c:v>
                  </c:pt>
                  <c:pt idx="712">
                    <c:v>-0.29799999999999999</c:v>
                  </c:pt>
                  <c:pt idx="713">
                    <c:v>-0.29799999999999999</c:v>
                  </c:pt>
                  <c:pt idx="714">
                    <c:v>-0.29799999999999999</c:v>
                  </c:pt>
                  <c:pt idx="715">
                    <c:v>-0.29799999999999999</c:v>
                  </c:pt>
                  <c:pt idx="716">
                    <c:v>-0.29799999999999999</c:v>
                  </c:pt>
                  <c:pt idx="717">
                    <c:v>-0.29799999999999999</c:v>
                  </c:pt>
                  <c:pt idx="718">
                    <c:v>-0.29799999999999999</c:v>
                  </c:pt>
                  <c:pt idx="719">
                    <c:v>-0.29799999999999999</c:v>
                  </c:pt>
                  <c:pt idx="720">
                    <c:v>-0.29799999999999999</c:v>
                  </c:pt>
                  <c:pt idx="721">
                    <c:v>-0.29799999999999999</c:v>
                  </c:pt>
                  <c:pt idx="722">
                    <c:v>-0.29799999999999999</c:v>
                  </c:pt>
                  <c:pt idx="723">
                    <c:v>-0.29799999999999999</c:v>
                  </c:pt>
                  <c:pt idx="724">
                    <c:v>-0.29799999999999999</c:v>
                  </c:pt>
                  <c:pt idx="725">
                    <c:v>-0.29799999999999999</c:v>
                  </c:pt>
                  <c:pt idx="726">
                    <c:v>-0.29799999999999999</c:v>
                  </c:pt>
                  <c:pt idx="727">
                    <c:v>-0.29799999999999999</c:v>
                  </c:pt>
                  <c:pt idx="728">
                    <c:v>-0.29799999999999999</c:v>
                  </c:pt>
                  <c:pt idx="729">
                    <c:v>-0.29799999999999999</c:v>
                  </c:pt>
                  <c:pt idx="730">
                    <c:v>-0.29799999999999999</c:v>
                  </c:pt>
                  <c:pt idx="731">
                    <c:v>-0.29799999999999999</c:v>
                  </c:pt>
                  <c:pt idx="732">
                    <c:v>-0.29799999999999999</c:v>
                  </c:pt>
                  <c:pt idx="733">
                    <c:v>-0.29799999999999999</c:v>
                  </c:pt>
                  <c:pt idx="734">
                    <c:v>-0.29799999999999999</c:v>
                  </c:pt>
                  <c:pt idx="735">
                    <c:v>-0.29799999999999999</c:v>
                  </c:pt>
                  <c:pt idx="736">
                    <c:v>-0.29799999999999999</c:v>
                  </c:pt>
                  <c:pt idx="737">
                    <c:v>-0.29799999999999999</c:v>
                  </c:pt>
                  <c:pt idx="738">
                    <c:v>-0.29799999999999999</c:v>
                  </c:pt>
                  <c:pt idx="739">
                    <c:v>-0.29799999999999999</c:v>
                  </c:pt>
                  <c:pt idx="740">
                    <c:v>-0.29799999999999999</c:v>
                  </c:pt>
                  <c:pt idx="741">
                    <c:v>-0.29799999999999999</c:v>
                  </c:pt>
                  <c:pt idx="742">
                    <c:v>-0.29799999999999999</c:v>
                  </c:pt>
                  <c:pt idx="743">
                    <c:v>-0.29799999999999999</c:v>
                  </c:pt>
                  <c:pt idx="744">
                    <c:v>-0.29799999999999999</c:v>
                  </c:pt>
                  <c:pt idx="745">
                    <c:v>-0.29799999999999999</c:v>
                  </c:pt>
                  <c:pt idx="746">
                    <c:v>-0.29799999999999999</c:v>
                  </c:pt>
                  <c:pt idx="747">
                    <c:v>-0.29799999999999999</c:v>
                  </c:pt>
                  <c:pt idx="748">
                    <c:v>-0.29799999999999999</c:v>
                  </c:pt>
                  <c:pt idx="749">
                    <c:v>-0.29799999999999999</c:v>
                  </c:pt>
                  <c:pt idx="750">
                    <c:v>-0.29799999999999999</c:v>
                  </c:pt>
                  <c:pt idx="751">
                    <c:v>-0.29799999999999999</c:v>
                  </c:pt>
                  <c:pt idx="752">
                    <c:v>-0.29799999999999999</c:v>
                  </c:pt>
                  <c:pt idx="753">
                    <c:v>-0.29799999999999999</c:v>
                  </c:pt>
                  <c:pt idx="754">
                    <c:v>-0.29799999999999999</c:v>
                  </c:pt>
                  <c:pt idx="755">
                    <c:v>-0.29799999999999999</c:v>
                  </c:pt>
                  <c:pt idx="756">
                    <c:v>-0.29799999999999999</c:v>
                  </c:pt>
                  <c:pt idx="757">
                    <c:v>-0.29799999999999999</c:v>
                  </c:pt>
                  <c:pt idx="758">
                    <c:v>-0.29799999999999999</c:v>
                  </c:pt>
                  <c:pt idx="759">
                    <c:v>-0.29799999999999999</c:v>
                  </c:pt>
                  <c:pt idx="760">
                    <c:v>-0.29799999999999999</c:v>
                  </c:pt>
                  <c:pt idx="761">
                    <c:v>-0.29799999999999999</c:v>
                  </c:pt>
                  <c:pt idx="762">
                    <c:v>-0.29799999999999999</c:v>
                  </c:pt>
                  <c:pt idx="763">
                    <c:v>-0.29799999999999999</c:v>
                  </c:pt>
                  <c:pt idx="764">
                    <c:v>-0.29799999999999999</c:v>
                  </c:pt>
                  <c:pt idx="765">
                    <c:v>-0.29799999999999999</c:v>
                  </c:pt>
                  <c:pt idx="766">
                    <c:v>-0.29799999999999999</c:v>
                  </c:pt>
                  <c:pt idx="767">
                    <c:v>-0.29799999999999999</c:v>
                  </c:pt>
                  <c:pt idx="768">
                    <c:v>-0.29799999999999999</c:v>
                  </c:pt>
                  <c:pt idx="769">
                    <c:v>-0.29799999999999999</c:v>
                  </c:pt>
                  <c:pt idx="770">
                    <c:v>-0.29799999999999999</c:v>
                  </c:pt>
                  <c:pt idx="771">
                    <c:v>-0.29799999999999999</c:v>
                  </c:pt>
                  <c:pt idx="772">
                    <c:v>-0.29799999999999999</c:v>
                  </c:pt>
                  <c:pt idx="773">
                    <c:v>-0.29799999999999999</c:v>
                  </c:pt>
                  <c:pt idx="774">
                    <c:v>-0.29799999999999999</c:v>
                  </c:pt>
                  <c:pt idx="775">
                    <c:v>-0.29799999999999999</c:v>
                  </c:pt>
                  <c:pt idx="776">
                    <c:v>-0.29799999999999999</c:v>
                  </c:pt>
                  <c:pt idx="777">
                    <c:v>-0.29799999999999999</c:v>
                  </c:pt>
                  <c:pt idx="778">
                    <c:v>-0.29799999999999999</c:v>
                  </c:pt>
                  <c:pt idx="779">
                    <c:v>-0.29799999999999999</c:v>
                  </c:pt>
                  <c:pt idx="780">
                    <c:v>-0.29799999999999999</c:v>
                  </c:pt>
                  <c:pt idx="781">
                    <c:v>-0.29799999999999999</c:v>
                  </c:pt>
                  <c:pt idx="782">
                    <c:v>-0.29799999999999999</c:v>
                  </c:pt>
                  <c:pt idx="783">
                    <c:v>-0.29799999999999999</c:v>
                  </c:pt>
                  <c:pt idx="784">
                    <c:v>-0.29799999999999999</c:v>
                  </c:pt>
                  <c:pt idx="785">
                    <c:v>-0.29799999999999999</c:v>
                  </c:pt>
                  <c:pt idx="786">
                    <c:v>-0.29799999999999999</c:v>
                  </c:pt>
                  <c:pt idx="787">
                    <c:v>-0.29799999999999999</c:v>
                  </c:pt>
                  <c:pt idx="788">
                    <c:v>-0.29799999999999999</c:v>
                  </c:pt>
                  <c:pt idx="789">
                    <c:v>-0.29799999999999999</c:v>
                  </c:pt>
                  <c:pt idx="790">
                    <c:v>-0.29799999999999999</c:v>
                  </c:pt>
                  <c:pt idx="791">
                    <c:v>-0.29799999999999999</c:v>
                  </c:pt>
                  <c:pt idx="792">
                    <c:v>-0.29799999999999999</c:v>
                  </c:pt>
                  <c:pt idx="793">
                    <c:v>-0.29799999999999999</c:v>
                  </c:pt>
                  <c:pt idx="794">
                    <c:v>-0.29799999999999999</c:v>
                  </c:pt>
                  <c:pt idx="795">
                    <c:v>-0.29799999999999999</c:v>
                  </c:pt>
                  <c:pt idx="796">
                    <c:v>-0.29799999999999999</c:v>
                  </c:pt>
                  <c:pt idx="797">
                    <c:v>-0.29799999999999999</c:v>
                  </c:pt>
                  <c:pt idx="798">
                    <c:v>-0.29799999999999999</c:v>
                  </c:pt>
                  <c:pt idx="799">
                    <c:v>-0.29799999999999999</c:v>
                  </c:pt>
                  <c:pt idx="800">
                    <c:v>-0.29799999999999999</c:v>
                  </c:pt>
                  <c:pt idx="801">
                    <c:v>-0.29799999999999999</c:v>
                  </c:pt>
                  <c:pt idx="802">
                    <c:v>-0.29799999999999999</c:v>
                  </c:pt>
                  <c:pt idx="803">
                    <c:v>-0.29799999999999999</c:v>
                  </c:pt>
                  <c:pt idx="804">
                    <c:v>-0.29799999999999999</c:v>
                  </c:pt>
                  <c:pt idx="805">
                    <c:v>-0.29799999999999999</c:v>
                  </c:pt>
                  <c:pt idx="806">
                    <c:v>-0.29799999999999999</c:v>
                  </c:pt>
                  <c:pt idx="807">
                    <c:v>-0.29799999999999999</c:v>
                  </c:pt>
                  <c:pt idx="808">
                    <c:v>-0.29799999999999999</c:v>
                  </c:pt>
                  <c:pt idx="809">
                    <c:v>-0.29799999999999999</c:v>
                  </c:pt>
                  <c:pt idx="810">
                    <c:v>-0.29799999999999999</c:v>
                  </c:pt>
                  <c:pt idx="811">
                    <c:v>-0.29799999999999999</c:v>
                  </c:pt>
                  <c:pt idx="812">
                    <c:v>-0.29799999999999999</c:v>
                  </c:pt>
                  <c:pt idx="813">
                    <c:v>-0.29799999999999999</c:v>
                  </c:pt>
                  <c:pt idx="814">
                    <c:v>-0.29799999999999999</c:v>
                  </c:pt>
                  <c:pt idx="815">
                    <c:v>-0.29799999999999999</c:v>
                  </c:pt>
                  <c:pt idx="816">
                    <c:v>-0.29799999999999999</c:v>
                  </c:pt>
                  <c:pt idx="817">
                    <c:v>-0.29799999999999999</c:v>
                  </c:pt>
                  <c:pt idx="818">
                    <c:v>-0.29799999999999999</c:v>
                  </c:pt>
                  <c:pt idx="819">
                    <c:v>-0.29799999999999999</c:v>
                  </c:pt>
                  <c:pt idx="820">
                    <c:v>-0.29799999999999999</c:v>
                  </c:pt>
                  <c:pt idx="821">
                    <c:v>-0.29799999999999999</c:v>
                  </c:pt>
                  <c:pt idx="822">
                    <c:v>-0.29799999999999999</c:v>
                  </c:pt>
                  <c:pt idx="823">
                    <c:v>-0.29799999999999999</c:v>
                  </c:pt>
                  <c:pt idx="824">
                    <c:v>-0.29799999999999999</c:v>
                  </c:pt>
                  <c:pt idx="825">
                    <c:v>-0.29799999999999999</c:v>
                  </c:pt>
                  <c:pt idx="826">
                    <c:v>-0.29799999999999999</c:v>
                  </c:pt>
                  <c:pt idx="827">
                    <c:v>-0.29799999999999999</c:v>
                  </c:pt>
                  <c:pt idx="828">
                    <c:v>-0.29799999999999999</c:v>
                  </c:pt>
                  <c:pt idx="829">
                    <c:v>-0.29799999999999999</c:v>
                  </c:pt>
                  <c:pt idx="830">
                    <c:v>-0.29799999999999999</c:v>
                  </c:pt>
                  <c:pt idx="831">
                    <c:v>-0.29799999999999999</c:v>
                  </c:pt>
                  <c:pt idx="832">
                    <c:v>-0.29799999999999999</c:v>
                  </c:pt>
                  <c:pt idx="833">
                    <c:v>-0.29799999999999999</c:v>
                  </c:pt>
                  <c:pt idx="834">
                    <c:v>-0.29799999999999999</c:v>
                  </c:pt>
                  <c:pt idx="835">
                    <c:v>-0.29799999999999999</c:v>
                  </c:pt>
                  <c:pt idx="836">
                    <c:v>-0.29799999999999999</c:v>
                  </c:pt>
                  <c:pt idx="837">
                    <c:v>-0.29799999999999999</c:v>
                  </c:pt>
                  <c:pt idx="838">
                    <c:v>-0.29799999999999999</c:v>
                  </c:pt>
                  <c:pt idx="839">
                    <c:v>-0.29799999999999999</c:v>
                  </c:pt>
                  <c:pt idx="840">
                    <c:v>-0.29799999999999999</c:v>
                  </c:pt>
                  <c:pt idx="841">
                    <c:v>-0.29799999999999999</c:v>
                  </c:pt>
                  <c:pt idx="842">
                    <c:v>-0.29799999999999999</c:v>
                  </c:pt>
                  <c:pt idx="843">
                    <c:v>-0.29799999999999999</c:v>
                  </c:pt>
                  <c:pt idx="844">
                    <c:v>-0.29799999999999999</c:v>
                  </c:pt>
                  <c:pt idx="845">
                    <c:v>-0.29799999999999999</c:v>
                  </c:pt>
                  <c:pt idx="846">
                    <c:v>-0.29799999999999999</c:v>
                  </c:pt>
                  <c:pt idx="847">
                    <c:v>-0.29799999999999999</c:v>
                  </c:pt>
                  <c:pt idx="848">
                    <c:v>-0.29799999999999999</c:v>
                  </c:pt>
                  <c:pt idx="849">
                    <c:v>-0.29799999999999999</c:v>
                  </c:pt>
                  <c:pt idx="850">
                    <c:v>-0.29799999999999999</c:v>
                  </c:pt>
                  <c:pt idx="851">
                    <c:v>-0.29799999999999999</c:v>
                  </c:pt>
                  <c:pt idx="852">
                    <c:v>-0.29799999999999999</c:v>
                  </c:pt>
                  <c:pt idx="853">
                    <c:v>-0.29799999999999999</c:v>
                  </c:pt>
                  <c:pt idx="854">
                    <c:v>-0.29799999999999999</c:v>
                  </c:pt>
                  <c:pt idx="855">
                    <c:v>-0.29799999999999999</c:v>
                  </c:pt>
                  <c:pt idx="856">
                    <c:v>-0.29799999999999999</c:v>
                  </c:pt>
                  <c:pt idx="857">
                    <c:v>-0.29799999999999999</c:v>
                  </c:pt>
                  <c:pt idx="858">
                    <c:v>-0.29799999999999999</c:v>
                  </c:pt>
                  <c:pt idx="859">
                    <c:v>-0.29799999999999999</c:v>
                  </c:pt>
                  <c:pt idx="860">
                    <c:v>-0.29799999999999999</c:v>
                  </c:pt>
                  <c:pt idx="861">
                    <c:v>-0.29799999999999999</c:v>
                  </c:pt>
                  <c:pt idx="862">
                    <c:v>-0.29799999999999999</c:v>
                  </c:pt>
                  <c:pt idx="863">
                    <c:v>-0.29799999999999999</c:v>
                  </c:pt>
                  <c:pt idx="864">
                    <c:v>-0.29799999999999999</c:v>
                  </c:pt>
                  <c:pt idx="865">
                    <c:v>-0.29799999999999999</c:v>
                  </c:pt>
                  <c:pt idx="866">
                    <c:v>-0.29799999999999999</c:v>
                  </c:pt>
                  <c:pt idx="867">
                    <c:v>-0.29799999999999999</c:v>
                  </c:pt>
                  <c:pt idx="868">
                    <c:v>-0.29799999999999999</c:v>
                  </c:pt>
                  <c:pt idx="869">
                    <c:v>-0.29799999999999999</c:v>
                  </c:pt>
                  <c:pt idx="870">
                    <c:v>-0.29799999999999999</c:v>
                  </c:pt>
                  <c:pt idx="871">
                    <c:v>-0.29799999999999999</c:v>
                  </c:pt>
                  <c:pt idx="872">
                    <c:v>-0.29799999999999999</c:v>
                  </c:pt>
                  <c:pt idx="873">
                    <c:v>-0.29799999999999999</c:v>
                  </c:pt>
                  <c:pt idx="874">
                    <c:v>-0.29799999999999999</c:v>
                  </c:pt>
                  <c:pt idx="875">
                    <c:v>-0.29799999999999999</c:v>
                  </c:pt>
                  <c:pt idx="876">
                    <c:v>-0.29799999999999999</c:v>
                  </c:pt>
                  <c:pt idx="877">
                    <c:v>-0.29799999999999999</c:v>
                  </c:pt>
                  <c:pt idx="878">
                    <c:v>-0.29799999999999999</c:v>
                  </c:pt>
                  <c:pt idx="879">
                    <c:v>-0.29799999999999999</c:v>
                  </c:pt>
                  <c:pt idx="880">
                    <c:v>-0.29799999999999999</c:v>
                  </c:pt>
                  <c:pt idx="881">
                    <c:v>-0.29799999999999999</c:v>
                  </c:pt>
                  <c:pt idx="882">
                    <c:v>-0.29799999999999999</c:v>
                  </c:pt>
                  <c:pt idx="883">
                    <c:v>-0.29799999999999999</c:v>
                  </c:pt>
                  <c:pt idx="884">
                    <c:v>-0.29799999999999999</c:v>
                  </c:pt>
                  <c:pt idx="885">
                    <c:v>-0.29799999999999999</c:v>
                  </c:pt>
                  <c:pt idx="886">
                    <c:v>-0.29799999999999999</c:v>
                  </c:pt>
                  <c:pt idx="887">
                    <c:v>-0.29799999999999999</c:v>
                  </c:pt>
                  <c:pt idx="888">
                    <c:v>-0.29799999999999999</c:v>
                  </c:pt>
                  <c:pt idx="889">
                    <c:v>-0.29799999999999999</c:v>
                  </c:pt>
                  <c:pt idx="890">
                    <c:v>-0.29799999999999999</c:v>
                  </c:pt>
                  <c:pt idx="891">
                    <c:v>-0.29799999999999999</c:v>
                  </c:pt>
                  <c:pt idx="892">
                    <c:v>-0.29799999999999999</c:v>
                  </c:pt>
                  <c:pt idx="893">
                    <c:v>-0.29799999999999999</c:v>
                  </c:pt>
                  <c:pt idx="894">
                    <c:v>-0.29799999999999999</c:v>
                  </c:pt>
                  <c:pt idx="895">
                    <c:v>-0.29799999999999999</c:v>
                  </c:pt>
                  <c:pt idx="896">
                    <c:v>-0.29799999999999999</c:v>
                  </c:pt>
                  <c:pt idx="897">
                    <c:v>-0.29799999999999999</c:v>
                  </c:pt>
                  <c:pt idx="898">
                    <c:v>-0.29799999999999999</c:v>
                  </c:pt>
                  <c:pt idx="899">
                    <c:v>-0.29799999999999999</c:v>
                  </c:pt>
                  <c:pt idx="900">
                    <c:v>-0.29799999999999999</c:v>
                  </c:pt>
                  <c:pt idx="901">
                    <c:v>-0.29799999999999999</c:v>
                  </c:pt>
                  <c:pt idx="902">
                    <c:v>-0.29799999999999999</c:v>
                  </c:pt>
                  <c:pt idx="903">
                    <c:v>-0.29799999999999999</c:v>
                  </c:pt>
                  <c:pt idx="904">
                    <c:v>-0.29799999999999999</c:v>
                  </c:pt>
                  <c:pt idx="905">
                    <c:v>-0.29799999999999999</c:v>
                  </c:pt>
                  <c:pt idx="906">
                    <c:v>-0.29799999999999999</c:v>
                  </c:pt>
                  <c:pt idx="907">
                    <c:v>-0.29799999999999999</c:v>
                  </c:pt>
                  <c:pt idx="908">
                    <c:v>-0.29799999999999999</c:v>
                  </c:pt>
                  <c:pt idx="909">
                    <c:v>-0.29799999999999999</c:v>
                  </c:pt>
                  <c:pt idx="910">
                    <c:v>-0.29799999999999999</c:v>
                  </c:pt>
                  <c:pt idx="911">
                    <c:v>-0.29799999999999999</c:v>
                  </c:pt>
                  <c:pt idx="912">
                    <c:v>-0.29799999999999999</c:v>
                  </c:pt>
                  <c:pt idx="913">
                    <c:v>-0.29799999999999999</c:v>
                  </c:pt>
                  <c:pt idx="914">
                    <c:v>-0.29799999999999999</c:v>
                  </c:pt>
                  <c:pt idx="915">
                    <c:v>-0.29799999999999999</c:v>
                  </c:pt>
                  <c:pt idx="916">
                    <c:v>-0.29799999999999999</c:v>
                  </c:pt>
                  <c:pt idx="917">
                    <c:v>-0.29799999999999999</c:v>
                  </c:pt>
                  <c:pt idx="918">
                    <c:v>-0.29799999999999999</c:v>
                  </c:pt>
                  <c:pt idx="919">
                    <c:v>-0.29799999999999999</c:v>
                  </c:pt>
                  <c:pt idx="920">
                    <c:v>-0.29799999999999999</c:v>
                  </c:pt>
                  <c:pt idx="921">
                    <c:v>-0.29799999999999999</c:v>
                  </c:pt>
                  <c:pt idx="922">
                    <c:v>-0.29799999999999999</c:v>
                  </c:pt>
                  <c:pt idx="923">
                    <c:v>-0.29799999999999999</c:v>
                  </c:pt>
                  <c:pt idx="924">
                    <c:v>-0.29799999999999999</c:v>
                  </c:pt>
                  <c:pt idx="925">
                    <c:v>-0.29799999999999999</c:v>
                  </c:pt>
                  <c:pt idx="926">
                    <c:v>-0.29799999999999999</c:v>
                  </c:pt>
                  <c:pt idx="927">
                    <c:v>-0.29799999999999999</c:v>
                  </c:pt>
                  <c:pt idx="928">
                    <c:v>-0.29799999999999999</c:v>
                  </c:pt>
                  <c:pt idx="929">
                    <c:v>-0.29799999999999999</c:v>
                  </c:pt>
                  <c:pt idx="930">
                    <c:v>-0.29799999999999999</c:v>
                  </c:pt>
                  <c:pt idx="931">
                    <c:v>-0.29799999999999999</c:v>
                  </c:pt>
                  <c:pt idx="932">
                    <c:v>-0.29799999999999999</c:v>
                  </c:pt>
                  <c:pt idx="933">
                    <c:v>-0.29799999999999999</c:v>
                  </c:pt>
                  <c:pt idx="934">
                    <c:v>-0.29799999999999999</c:v>
                  </c:pt>
                  <c:pt idx="935">
                    <c:v>-0.29799999999999999</c:v>
                  </c:pt>
                  <c:pt idx="936">
                    <c:v>-0.29799999999999999</c:v>
                  </c:pt>
                  <c:pt idx="937">
                    <c:v>-0.29799999999999999</c:v>
                  </c:pt>
                  <c:pt idx="938">
                    <c:v>-0.29799999999999999</c:v>
                  </c:pt>
                  <c:pt idx="939">
                    <c:v>-0.29799999999999999</c:v>
                  </c:pt>
                  <c:pt idx="940">
                    <c:v>-0.29799999999999999</c:v>
                  </c:pt>
                  <c:pt idx="941">
                    <c:v>-0.29799999999999999</c:v>
                  </c:pt>
                  <c:pt idx="942">
                    <c:v>-0.29799999999999999</c:v>
                  </c:pt>
                  <c:pt idx="943">
                    <c:v>-0.29799999999999999</c:v>
                  </c:pt>
                  <c:pt idx="944">
                    <c:v>-0.29799999999999999</c:v>
                  </c:pt>
                  <c:pt idx="945">
                    <c:v>-0.29799999999999999</c:v>
                  </c:pt>
                  <c:pt idx="946">
                    <c:v>-0.29799999999999999</c:v>
                  </c:pt>
                  <c:pt idx="947">
                    <c:v>-0.29799999999999999</c:v>
                  </c:pt>
                  <c:pt idx="948">
                    <c:v>-0.29799999999999999</c:v>
                  </c:pt>
                  <c:pt idx="949">
                    <c:v>-0.29799999999999999</c:v>
                  </c:pt>
                  <c:pt idx="950">
                    <c:v>-0.29799999999999999</c:v>
                  </c:pt>
                  <c:pt idx="951">
                    <c:v>-0.29799999999999999</c:v>
                  </c:pt>
                  <c:pt idx="952">
                    <c:v>-0.29799999999999999</c:v>
                  </c:pt>
                  <c:pt idx="953">
                    <c:v>-0.29799999999999999</c:v>
                  </c:pt>
                  <c:pt idx="954">
                    <c:v>-0.29799999999999999</c:v>
                  </c:pt>
                  <c:pt idx="955">
                    <c:v>-0.29799999999999999</c:v>
                  </c:pt>
                  <c:pt idx="956">
                    <c:v>-0.29799999999999999</c:v>
                  </c:pt>
                  <c:pt idx="957">
                    <c:v>-0.29799999999999999</c:v>
                  </c:pt>
                  <c:pt idx="958">
                    <c:v>-0.29799999999999999</c:v>
                  </c:pt>
                  <c:pt idx="959">
                    <c:v>-0.29799999999999999</c:v>
                  </c:pt>
                  <c:pt idx="960">
                    <c:v>-0.29799999999999999</c:v>
                  </c:pt>
                  <c:pt idx="961">
                    <c:v>-0.29799999999999999</c:v>
                  </c:pt>
                  <c:pt idx="962">
                    <c:v>-0.29799999999999999</c:v>
                  </c:pt>
                  <c:pt idx="963">
                    <c:v>-0.29799999999999999</c:v>
                  </c:pt>
                  <c:pt idx="964">
                    <c:v>-0.29799999999999999</c:v>
                  </c:pt>
                  <c:pt idx="965">
                    <c:v>-0.29799999999999999</c:v>
                  </c:pt>
                  <c:pt idx="966">
                    <c:v>-0.29799999999999999</c:v>
                  </c:pt>
                  <c:pt idx="967">
                    <c:v>-0.29799999999999999</c:v>
                  </c:pt>
                  <c:pt idx="968">
                    <c:v>-0.29799999999999999</c:v>
                  </c:pt>
                  <c:pt idx="969">
                    <c:v>-0.29799999999999999</c:v>
                  </c:pt>
                  <c:pt idx="970">
                    <c:v>-0.29799999999999999</c:v>
                  </c:pt>
                  <c:pt idx="971">
                    <c:v>-0.29799999999999999</c:v>
                  </c:pt>
                  <c:pt idx="972">
                    <c:v>-0.29799999999999999</c:v>
                  </c:pt>
                  <c:pt idx="973">
                    <c:v>-0.29799999999999999</c:v>
                  </c:pt>
                  <c:pt idx="974">
                    <c:v>-0.29799999999999999</c:v>
                  </c:pt>
                  <c:pt idx="975">
                    <c:v>-0.29799999999999999</c:v>
                  </c:pt>
                  <c:pt idx="976">
                    <c:v>-0.29799999999999999</c:v>
                  </c:pt>
                  <c:pt idx="977">
                    <c:v>-0.29799999999999999</c:v>
                  </c:pt>
                  <c:pt idx="978">
                    <c:v>-0.29799999999999999</c:v>
                  </c:pt>
                  <c:pt idx="979">
                    <c:v>-0.29799999999999999</c:v>
                  </c:pt>
                  <c:pt idx="980">
                    <c:v>-0.29799999999999999</c:v>
                  </c:pt>
                  <c:pt idx="981">
                    <c:v>-0.29799999999999999</c:v>
                  </c:pt>
                  <c:pt idx="982">
                    <c:v>-0.29799999999999999</c:v>
                  </c:pt>
                  <c:pt idx="983">
                    <c:v>-0.29799999999999999</c:v>
                  </c:pt>
                  <c:pt idx="984">
                    <c:v>-0.29799999999999999</c:v>
                  </c:pt>
                  <c:pt idx="985">
                    <c:v>-0.29799999999999999</c:v>
                  </c:pt>
                  <c:pt idx="986">
                    <c:v>-0.29799999999999999</c:v>
                  </c:pt>
                  <c:pt idx="987">
                    <c:v>-0.29799999999999999</c:v>
                  </c:pt>
                  <c:pt idx="988">
                    <c:v>-0.29799999999999999</c:v>
                  </c:pt>
                  <c:pt idx="989">
                    <c:v>-0.29799999999999999</c:v>
                  </c:pt>
                  <c:pt idx="990">
                    <c:v>-0.29799999999999999</c:v>
                  </c:pt>
                  <c:pt idx="991">
                    <c:v>-0.29799999999999999</c:v>
                  </c:pt>
                  <c:pt idx="992">
                    <c:v>-0.29799999999999999</c:v>
                  </c:pt>
                  <c:pt idx="993">
                    <c:v>-0.29799999999999999</c:v>
                  </c:pt>
                  <c:pt idx="994">
                    <c:v>-0.29799999999999999</c:v>
                  </c:pt>
                  <c:pt idx="995">
                    <c:v>-0.29799999999999999</c:v>
                  </c:pt>
                  <c:pt idx="996">
                    <c:v>-0.29799999999999999</c:v>
                  </c:pt>
                  <c:pt idx="997">
                    <c:v>-0.29799999999999999</c:v>
                  </c:pt>
                  <c:pt idx="998">
                    <c:v>-0.29799999999999999</c:v>
                  </c:pt>
                  <c:pt idx="999">
                    <c:v>-0.29799999999999999</c:v>
                  </c:pt>
                </c:numCache>
              </c:numRef>
            </c:minus>
            <c:spPr>
              <a:ln w="25400">
                <a:solidFill>
                  <a:srgbClr val="FFCC99"/>
                </a:solidFill>
                <a:prstDash val="solid"/>
              </a:ln>
            </c:spPr>
          </c:errBars>
          <c:xVal>
            <c:numRef>
              <c:f>'Precision two'!$C$104:$C$1103</c:f>
              <c:numCache>
                <c:formatCode>General</c:formatCode>
                <c:ptCount val="1000"/>
                <c:pt idx="0">
                  <c:v>1.5E-3</c:v>
                </c:pt>
                <c:pt idx="1">
                  <c:v>3.0000000000000001E-3</c:v>
                </c:pt>
                <c:pt idx="2">
                  <c:v>4.5000000000000005E-3</c:v>
                </c:pt>
                <c:pt idx="3">
                  <c:v>6.0000000000000001E-3</c:v>
                </c:pt>
                <c:pt idx="4">
                  <c:v>7.4999999999999997E-3</c:v>
                </c:pt>
                <c:pt idx="5">
                  <c:v>8.9999999999999993E-3</c:v>
                </c:pt>
                <c:pt idx="6">
                  <c:v>1.0499999999999999E-2</c:v>
                </c:pt>
                <c:pt idx="7">
                  <c:v>1.1999999999999999E-2</c:v>
                </c:pt>
                <c:pt idx="8">
                  <c:v>1.3499999999999998E-2</c:v>
                </c:pt>
                <c:pt idx="9">
                  <c:v>1.4999999999999998E-2</c:v>
                </c:pt>
                <c:pt idx="10">
                  <c:v>1.6499999999999997E-2</c:v>
                </c:pt>
                <c:pt idx="11">
                  <c:v>1.7999999999999999E-2</c:v>
                </c:pt>
                <c:pt idx="12">
                  <c:v>1.95E-2</c:v>
                </c:pt>
                <c:pt idx="13">
                  <c:v>2.1000000000000001E-2</c:v>
                </c:pt>
                <c:pt idx="14">
                  <c:v>2.2500000000000003E-2</c:v>
                </c:pt>
                <c:pt idx="15">
                  <c:v>2.4000000000000004E-2</c:v>
                </c:pt>
                <c:pt idx="16">
                  <c:v>2.5500000000000005E-2</c:v>
                </c:pt>
                <c:pt idx="17">
                  <c:v>2.7000000000000007E-2</c:v>
                </c:pt>
                <c:pt idx="18">
                  <c:v>2.8500000000000008E-2</c:v>
                </c:pt>
                <c:pt idx="19">
                  <c:v>3.0000000000000009E-2</c:v>
                </c:pt>
                <c:pt idx="20">
                  <c:v>3.1500000000000007E-2</c:v>
                </c:pt>
                <c:pt idx="21">
                  <c:v>3.3000000000000008E-2</c:v>
                </c:pt>
                <c:pt idx="22">
                  <c:v>3.450000000000001E-2</c:v>
                </c:pt>
                <c:pt idx="23">
                  <c:v>3.6000000000000011E-2</c:v>
                </c:pt>
                <c:pt idx="24">
                  <c:v>3.7500000000000012E-2</c:v>
                </c:pt>
                <c:pt idx="25">
                  <c:v>3.9000000000000014E-2</c:v>
                </c:pt>
                <c:pt idx="26">
                  <c:v>4.0500000000000015E-2</c:v>
                </c:pt>
                <c:pt idx="27">
                  <c:v>4.2000000000000016E-2</c:v>
                </c:pt>
                <c:pt idx="28">
                  <c:v>4.3500000000000018E-2</c:v>
                </c:pt>
                <c:pt idx="29">
                  <c:v>4.5000000000000019E-2</c:v>
                </c:pt>
                <c:pt idx="30">
                  <c:v>4.650000000000002E-2</c:v>
                </c:pt>
                <c:pt idx="31">
                  <c:v>4.8000000000000022E-2</c:v>
                </c:pt>
                <c:pt idx="32">
                  <c:v>4.9500000000000023E-2</c:v>
                </c:pt>
                <c:pt idx="33">
                  <c:v>5.1000000000000024E-2</c:v>
                </c:pt>
                <c:pt idx="34">
                  <c:v>5.2500000000000026E-2</c:v>
                </c:pt>
                <c:pt idx="35">
                  <c:v>5.4000000000000027E-2</c:v>
                </c:pt>
                <c:pt idx="36">
                  <c:v>5.5500000000000028E-2</c:v>
                </c:pt>
                <c:pt idx="37">
                  <c:v>5.700000000000003E-2</c:v>
                </c:pt>
                <c:pt idx="38">
                  <c:v>5.8500000000000031E-2</c:v>
                </c:pt>
                <c:pt idx="39">
                  <c:v>6.0000000000000032E-2</c:v>
                </c:pt>
                <c:pt idx="40">
                  <c:v>6.1500000000000034E-2</c:v>
                </c:pt>
                <c:pt idx="41">
                  <c:v>6.3000000000000028E-2</c:v>
                </c:pt>
                <c:pt idx="42">
                  <c:v>6.450000000000003E-2</c:v>
                </c:pt>
                <c:pt idx="43">
                  <c:v>6.6000000000000031E-2</c:v>
                </c:pt>
                <c:pt idx="44">
                  <c:v>6.7500000000000032E-2</c:v>
                </c:pt>
                <c:pt idx="45">
                  <c:v>6.9000000000000034E-2</c:v>
                </c:pt>
                <c:pt idx="46">
                  <c:v>7.0500000000000035E-2</c:v>
                </c:pt>
                <c:pt idx="47">
                  <c:v>7.2000000000000036E-2</c:v>
                </c:pt>
                <c:pt idx="48">
                  <c:v>7.3500000000000038E-2</c:v>
                </c:pt>
                <c:pt idx="49">
                  <c:v>7.5000000000000039E-2</c:v>
                </c:pt>
                <c:pt idx="50">
                  <c:v>7.650000000000004E-2</c:v>
                </c:pt>
                <c:pt idx="51">
                  <c:v>7.8000000000000042E-2</c:v>
                </c:pt>
                <c:pt idx="52">
                  <c:v>7.9500000000000043E-2</c:v>
                </c:pt>
                <c:pt idx="53">
                  <c:v>8.1000000000000044E-2</c:v>
                </c:pt>
                <c:pt idx="54">
                  <c:v>8.2500000000000046E-2</c:v>
                </c:pt>
                <c:pt idx="55">
                  <c:v>8.4000000000000047E-2</c:v>
                </c:pt>
                <c:pt idx="56">
                  <c:v>8.5500000000000048E-2</c:v>
                </c:pt>
                <c:pt idx="57">
                  <c:v>8.700000000000005E-2</c:v>
                </c:pt>
                <c:pt idx="58">
                  <c:v>8.8500000000000051E-2</c:v>
                </c:pt>
                <c:pt idx="59">
                  <c:v>9.0000000000000052E-2</c:v>
                </c:pt>
                <c:pt idx="60">
                  <c:v>9.1500000000000054E-2</c:v>
                </c:pt>
                <c:pt idx="61">
                  <c:v>9.3000000000000055E-2</c:v>
                </c:pt>
                <c:pt idx="62">
                  <c:v>9.4500000000000056E-2</c:v>
                </c:pt>
                <c:pt idx="63">
                  <c:v>9.6000000000000058E-2</c:v>
                </c:pt>
                <c:pt idx="64">
                  <c:v>9.7500000000000059E-2</c:v>
                </c:pt>
                <c:pt idx="65">
                  <c:v>9.900000000000006E-2</c:v>
                </c:pt>
                <c:pt idx="66">
                  <c:v>0.10050000000000006</c:v>
                </c:pt>
                <c:pt idx="67">
                  <c:v>0.10200000000000006</c:v>
                </c:pt>
                <c:pt idx="68">
                  <c:v>0.10350000000000006</c:v>
                </c:pt>
                <c:pt idx="69">
                  <c:v>0.10500000000000007</c:v>
                </c:pt>
                <c:pt idx="70">
                  <c:v>0.10650000000000007</c:v>
                </c:pt>
                <c:pt idx="71">
                  <c:v>0.10800000000000007</c:v>
                </c:pt>
                <c:pt idx="72">
                  <c:v>0.10950000000000007</c:v>
                </c:pt>
                <c:pt idx="73">
                  <c:v>0.11100000000000007</c:v>
                </c:pt>
                <c:pt idx="74">
                  <c:v>0.11250000000000007</c:v>
                </c:pt>
                <c:pt idx="75">
                  <c:v>0.11400000000000007</c:v>
                </c:pt>
                <c:pt idx="76">
                  <c:v>0.11550000000000007</c:v>
                </c:pt>
                <c:pt idx="77">
                  <c:v>0.11700000000000008</c:v>
                </c:pt>
                <c:pt idx="78">
                  <c:v>0.11850000000000008</c:v>
                </c:pt>
                <c:pt idx="79">
                  <c:v>0.12000000000000008</c:v>
                </c:pt>
                <c:pt idx="80">
                  <c:v>0.12150000000000008</c:v>
                </c:pt>
                <c:pt idx="81">
                  <c:v>0.12300000000000008</c:v>
                </c:pt>
                <c:pt idx="82">
                  <c:v>0.12450000000000008</c:v>
                </c:pt>
                <c:pt idx="83">
                  <c:v>0.12600000000000008</c:v>
                </c:pt>
                <c:pt idx="84">
                  <c:v>0.12750000000000009</c:v>
                </c:pt>
                <c:pt idx="85">
                  <c:v>0.12900000000000009</c:v>
                </c:pt>
                <c:pt idx="86">
                  <c:v>0.13050000000000009</c:v>
                </c:pt>
                <c:pt idx="87">
                  <c:v>0.13200000000000009</c:v>
                </c:pt>
                <c:pt idx="88">
                  <c:v>0.13350000000000009</c:v>
                </c:pt>
                <c:pt idx="89">
                  <c:v>0.13500000000000009</c:v>
                </c:pt>
                <c:pt idx="90">
                  <c:v>0.13650000000000009</c:v>
                </c:pt>
                <c:pt idx="91">
                  <c:v>0.13800000000000009</c:v>
                </c:pt>
                <c:pt idx="92">
                  <c:v>0.1395000000000001</c:v>
                </c:pt>
                <c:pt idx="93">
                  <c:v>0.1410000000000001</c:v>
                </c:pt>
                <c:pt idx="94">
                  <c:v>0.1425000000000001</c:v>
                </c:pt>
                <c:pt idx="95">
                  <c:v>0.1440000000000001</c:v>
                </c:pt>
                <c:pt idx="96">
                  <c:v>0.1455000000000001</c:v>
                </c:pt>
                <c:pt idx="97">
                  <c:v>0.1470000000000001</c:v>
                </c:pt>
                <c:pt idx="98">
                  <c:v>0.1485000000000001</c:v>
                </c:pt>
                <c:pt idx="99">
                  <c:v>0.15000000000000011</c:v>
                </c:pt>
                <c:pt idx="100">
                  <c:v>0.15150000000000011</c:v>
                </c:pt>
                <c:pt idx="101">
                  <c:v>0.15300000000000011</c:v>
                </c:pt>
                <c:pt idx="102">
                  <c:v>0.15450000000000011</c:v>
                </c:pt>
                <c:pt idx="103">
                  <c:v>0.15600000000000011</c:v>
                </c:pt>
                <c:pt idx="104">
                  <c:v>0.15750000000000011</c:v>
                </c:pt>
                <c:pt idx="105">
                  <c:v>0.15900000000000011</c:v>
                </c:pt>
                <c:pt idx="106">
                  <c:v>0.16050000000000011</c:v>
                </c:pt>
                <c:pt idx="107">
                  <c:v>0.16200000000000012</c:v>
                </c:pt>
                <c:pt idx="108">
                  <c:v>0.16350000000000012</c:v>
                </c:pt>
                <c:pt idx="109">
                  <c:v>0.16500000000000012</c:v>
                </c:pt>
                <c:pt idx="110">
                  <c:v>0.16650000000000012</c:v>
                </c:pt>
                <c:pt idx="111">
                  <c:v>0.16800000000000012</c:v>
                </c:pt>
                <c:pt idx="112">
                  <c:v>0.16950000000000012</c:v>
                </c:pt>
                <c:pt idx="113">
                  <c:v>0.17100000000000012</c:v>
                </c:pt>
                <c:pt idx="114">
                  <c:v>0.17250000000000013</c:v>
                </c:pt>
                <c:pt idx="115">
                  <c:v>0.17400000000000013</c:v>
                </c:pt>
                <c:pt idx="116">
                  <c:v>0.17550000000000013</c:v>
                </c:pt>
                <c:pt idx="117">
                  <c:v>0.17700000000000013</c:v>
                </c:pt>
                <c:pt idx="118">
                  <c:v>0.17850000000000013</c:v>
                </c:pt>
                <c:pt idx="119">
                  <c:v>0.18000000000000013</c:v>
                </c:pt>
                <c:pt idx="120">
                  <c:v>0.18150000000000013</c:v>
                </c:pt>
                <c:pt idx="121">
                  <c:v>0.18300000000000013</c:v>
                </c:pt>
                <c:pt idx="122">
                  <c:v>0.18450000000000014</c:v>
                </c:pt>
                <c:pt idx="123">
                  <c:v>0.18600000000000014</c:v>
                </c:pt>
                <c:pt idx="124">
                  <c:v>0.18750000000000014</c:v>
                </c:pt>
                <c:pt idx="125">
                  <c:v>0.18900000000000014</c:v>
                </c:pt>
                <c:pt idx="126">
                  <c:v>0.19050000000000014</c:v>
                </c:pt>
                <c:pt idx="127">
                  <c:v>0.19200000000000014</c:v>
                </c:pt>
                <c:pt idx="128">
                  <c:v>0.19350000000000014</c:v>
                </c:pt>
                <c:pt idx="129">
                  <c:v>0.19500000000000015</c:v>
                </c:pt>
                <c:pt idx="130">
                  <c:v>0.19650000000000015</c:v>
                </c:pt>
                <c:pt idx="131">
                  <c:v>0.19800000000000015</c:v>
                </c:pt>
                <c:pt idx="132">
                  <c:v>0.19950000000000015</c:v>
                </c:pt>
                <c:pt idx="133">
                  <c:v>0.20100000000000015</c:v>
                </c:pt>
                <c:pt idx="134">
                  <c:v>0.20250000000000015</c:v>
                </c:pt>
                <c:pt idx="135">
                  <c:v>0.20400000000000015</c:v>
                </c:pt>
                <c:pt idx="136">
                  <c:v>0.20550000000000015</c:v>
                </c:pt>
                <c:pt idx="137">
                  <c:v>0.20700000000000016</c:v>
                </c:pt>
                <c:pt idx="138">
                  <c:v>0.20850000000000016</c:v>
                </c:pt>
                <c:pt idx="139">
                  <c:v>0.21000000000000016</c:v>
                </c:pt>
                <c:pt idx="140">
                  <c:v>0.21150000000000016</c:v>
                </c:pt>
                <c:pt idx="141">
                  <c:v>0.21300000000000016</c:v>
                </c:pt>
                <c:pt idx="142">
                  <c:v>0.21450000000000016</c:v>
                </c:pt>
                <c:pt idx="143">
                  <c:v>0.21600000000000016</c:v>
                </c:pt>
                <c:pt idx="144">
                  <c:v>0.21750000000000017</c:v>
                </c:pt>
                <c:pt idx="145">
                  <c:v>0.21900000000000017</c:v>
                </c:pt>
                <c:pt idx="146">
                  <c:v>0.22050000000000017</c:v>
                </c:pt>
                <c:pt idx="147">
                  <c:v>0.22200000000000017</c:v>
                </c:pt>
                <c:pt idx="148">
                  <c:v>0.22350000000000017</c:v>
                </c:pt>
                <c:pt idx="149">
                  <c:v>0.22500000000000017</c:v>
                </c:pt>
                <c:pt idx="150">
                  <c:v>0.22650000000000017</c:v>
                </c:pt>
                <c:pt idx="151">
                  <c:v>0.22800000000000017</c:v>
                </c:pt>
                <c:pt idx="152">
                  <c:v>0.22950000000000018</c:v>
                </c:pt>
                <c:pt idx="153">
                  <c:v>0.23100000000000018</c:v>
                </c:pt>
                <c:pt idx="154">
                  <c:v>0.23250000000000018</c:v>
                </c:pt>
                <c:pt idx="155">
                  <c:v>0.23400000000000018</c:v>
                </c:pt>
                <c:pt idx="156">
                  <c:v>0.23550000000000018</c:v>
                </c:pt>
                <c:pt idx="157">
                  <c:v>0.23700000000000018</c:v>
                </c:pt>
                <c:pt idx="158">
                  <c:v>0.23850000000000018</c:v>
                </c:pt>
                <c:pt idx="159">
                  <c:v>0.24000000000000019</c:v>
                </c:pt>
                <c:pt idx="160">
                  <c:v>0.24150000000000019</c:v>
                </c:pt>
                <c:pt idx="161">
                  <c:v>0.24300000000000019</c:v>
                </c:pt>
                <c:pt idx="162">
                  <c:v>0.24450000000000019</c:v>
                </c:pt>
                <c:pt idx="163">
                  <c:v>0.24600000000000019</c:v>
                </c:pt>
                <c:pt idx="164">
                  <c:v>0.24750000000000019</c:v>
                </c:pt>
                <c:pt idx="165">
                  <c:v>0.24900000000000019</c:v>
                </c:pt>
                <c:pt idx="166">
                  <c:v>0.25050000000000017</c:v>
                </c:pt>
                <c:pt idx="167">
                  <c:v>0.25200000000000017</c:v>
                </c:pt>
                <c:pt idx="168">
                  <c:v>0.25350000000000017</c:v>
                </c:pt>
                <c:pt idx="169">
                  <c:v>0.25500000000000017</c:v>
                </c:pt>
                <c:pt idx="170">
                  <c:v>0.25650000000000017</c:v>
                </c:pt>
                <c:pt idx="171">
                  <c:v>0.25800000000000017</c:v>
                </c:pt>
                <c:pt idx="172">
                  <c:v>0.25950000000000017</c:v>
                </c:pt>
                <c:pt idx="173">
                  <c:v>0.26100000000000018</c:v>
                </c:pt>
                <c:pt idx="174">
                  <c:v>0.26250000000000018</c:v>
                </c:pt>
                <c:pt idx="175">
                  <c:v>0.26400000000000018</c:v>
                </c:pt>
                <c:pt idx="176">
                  <c:v>0.26550000000000018</c:v>
                </c:pt>
                <c:pt idx="177">
                  <c:v>0.26700000000000018</c:v>
                </c:pt>
                <c:pt idx="178">
                  <c:v>0.26850000000000018</c:v>
                </c:pt>
                <c:pt idx="179">
                  <c:v>0.27000000000000018</c:v>
                </c:pt>
                <c:pt idx="180">
                  <c:v>0.27150000000000019</c:v>
                </c:pt>
                <c:pt idx="181">
                  <c:v>0.27300000000000019</c:v>
                </c:pt>
                <c:pt idx="182">
                  <c:v>0.27450000000000019</c:v>
                </c:pt>
                <c:pt idx="183">
                  <c:v>0.27600000000000019</c:v>
                </c:pt>
                <c:pt idx="184">
                  <c:v>0.27750000000000019</c:v>
                </c:pt>
                <c:pt idx="185">
                  <c:v>0.27900000000000019</c:v>
                </c:pt>
                <c:pt idx="186">
                  <c:v>0.28050000000000019</c:v>
                </c:pt>
                <c:pt idx="187">
                  <c:v>0.28200000000000019</c:v>
                </c:pt>
                <c:pt idx="188">
                  <c:v>0.2835000000000002</c:v>
                </c:pt>
                <c:pt idx="189">
                  <c:v>0.2850000000000002</c:v>
                </c:pt>
                <c:pt idx="190">
                  <c:v>0.2865000000000002</c:v>
                </c:pt>
                <c:pt idx="191">
                  <c:v>0.2880000000000002</c:v>
                </c:pt>
                <c:pt idx="192">
                  <c:v>0.2895000000000002</c:v>
                </c:pt>
                <c:pt idx="193">
                  <c:v>0.2910000000000002</c:v>
                </c:pt>
                <c:pt idx="194">
                  <c:v>0.2925000000000002</c:v>
                </c:pt>
                <c:pt idx="195">
                  <c:v>0.29400000000000021</c:v>
                </c:pt>
                <c:pt idx="196">
                  <c:v>0.29550000000000021</c:v>
                </c:pt>
                <c:pt idx="197">
                  <c:v>0.29700000000000021</c:v>
                </c:pt>
                <c:pt idx="198">
                  <c:v>0.29850000000000021</c:v>
                </c:pt>
                <c:pt idx="199">
                  <c:v>0.30000000000000021</c:v>
                </c:pt>
                <c:pt idx="200">
                  <c:v>0.30150000000000021</c:v>
                </c:pt>
                <c:pt idx="201">
                  <c:v>0.30300000000000021</c:v>
                </c:pt>
                <c:pt idx="202">
                  <c:v>0.30450000000000021</c:v>
                </c:pt>
                <c:pt idx="203">
                  <c:v>0.30600000000000022</c:v>
                </c:pt>
                <c:pt idx="204">
                  <c:v>0.30750000000000022</c:v>
                </c:pt>
                <c:pt idx="205">
                  <c:v>0.30900000000000022</c:v>
                </c:pt>
                <c:pt idx="206">
                  <c:v>0.31050000000000022</c:v>
                </c:pt>
                <c:pt idx="207">
                  <c:v>0.31200000000000022</c:v>
                </c:pt>
                <c:pt idx="208">
                  <c:v>0.31350000000000022</c:v>
                </c:pt>
                <c:pt idx="209">
                  <c:v>0.31500000000000022</c:v>
                </c:pt>
                <c:pt idx="210">
                  <c:v>0.31650000000000023</c:v>
                </c:pt>
                <c:pt idx="211">
                  <c:v>0.31800000000000023</c:v>
                </c:pt>
                <c:pt idx="212">
                  <c:v>0.31950000000000023</c:v>
                </c:pt>
                <c:pt idx="213">
                  <c:v>0.32100000000000023</c:v>
                </c:pt>
                <c:pt idx="214">
                  <c:v>0.32250000000000023</c:v>
                </c:pt>
                <c:pt idx="215">
                  <c:v>0.32400000000000023</c:v>
                </c:pt>
                <c:pt idx="216">
                  <c:v>0.32550000000000023</c:v>
                </c:pt>
                <c:pt idx="217">
                  <c:v>0.32700000000000023</c:v>
                </c:pt>
                <c:pt idx="218">
                  <c:v>0.32850000000000024</c:v>
                </c:pt>
                <c:pt idx="219">
                  <c:v>0.33000000000000024</c:v>
                </c:pt>
                <c:pt idx="220">
                  <c:v>0.33150000000000024</c:v>
                </c:pt>
                <c:pt idx="221">
                  <c:v>0.33300000000000024</c:v>
                </c:pt>
                <c:pt idx="222">
                  <c:v>0.33450000000000024</c:v>
                </c:pt>
                <c:pt idx="223">
                  <c:v>0.33600000000000024</c:v>
                </c:pt>
                <c:pt idx="224">
                  <c:v>0.33750000000000024</c:v>
                </c:pt>
                <c:pt idx="225">
                  <c:v>0.33900000000000025</c:v>
                </c:pt>
                <c:pt idx="226">
                  <c:v>0.34050000000000025</c:v>
                </c:pt>
                <c:pt idx="227">
                  <c:v>0.34200000000000025</c:v>
                </c:pt>
                <c:pt idx="228">
                  <c:v>0.34350000000000025</c:v>
                </c:pt>
                <c:pt idx="229">
                  <c:v>0.34500000000000025</c:v>
                </c:pt>
                <c:pt idx="230">
                  <c:v>0.34650000000000025</c:v>
                </c:pt>
                <c:pt idx="231">
                  <c:v>0.34800000000000025</c:v>
                </c:pt>
                <c:pt idx="232">
                  <c:v>0.34950000000000025</c:v>
                </c:pt>
                <c:pt idx="233">
                  <c:v>0.35100000000000026</c:v>
                </c:pt>
                <c:pt idx="234">
                  <c:v>0.35250000000000026</c:v>
                </c:pt>
                <c:pt idx="235">
                  <c:v>0.35400000000000026</c:v>
                </c:pt>
                <c:pt idx="236">
                  <c:v>0.35550000000000026</c:v>
                </c:pt>
                <c:pt idx="237">
                  <c:v>0.35700000000000026</c:v>
                </c:pt>
                <c:pt idx="238">
                  <c:v>0.35850000000000026</c:v>
                </c:pt>
                <c:pt idx="239">
                  <c:v>0.36000000000000026</c:v>
                </c:pt>
                <c:pt idx="240">
                  <c:v>0.36150000000000027</c:v>
                </c:pt>
                <c:pt idx="241">
                  <c:v>0.36300000000000027</c:v>
                </c:pt>
                <c:pt idx="242">
                  <c:v>0.36450000000000027</c:v>
                </c:pt>
                <c:pt idx="243">
                  <c:v>0.36600000000000027</c:v>
                </c:pt>
                <c:pt idx="244">
                  <c:v>0.36750000000000027</c:v>
                </c:pt>
                <c:pt idx="245">
                  <c:v>0.36900000000000027</c:v>
                </c:pt>
                <c:pt idx="246">
                  <c:v>0.37050000000000027</c:v>
                </c:pt>
                <c:pt idx="247">
                  <c:v>0.37200000000000027</c:v>
                </c:pt>
                <c:pt idx="248">
                  <c:v>0.37350000000000028</c:v>
                </c:pt>
                <c:pt idx="249">
                  <c:v>0.37500000000000028</c:v>
                </c:pt>
                <c:pt idx="250">
                  <c:v>0.37650000000000028</c:v>
                </c:pt>
                <c:pt idx="251">
                  <c:v>0.37800000000000028</c:v>
                </c:pt>
                <c:pt idx="252">
                  <c:v>0.37950000000000028</c:v>
                </c:pt>
                <c:pt idx="253">
                  <c:v>0.38100000000000028</c:v>
                </c:pt>
                <c:pt idx="254">
                  <c:v>0.38250000000000028</c:v>
                </c:pt>
                <c:pt idx="255">
                  <c:v>0.38400000000000029</c:v>
                </c:pt>
                <c:pt idx="256">
                  <c:v>0.38550000000000029</c:v>
                </c:pt>
                <c:pt idx="257">
                  <c:v>0.38700000000000029</c:v>
                </c:pt>
                <c:pt idx="258">
                  <c:v>0.38850000000000029</c:v>
                </c:pt>
                <c:pt idx="259">
                  <c:v>0.39000000000000029</c:v>
                </c:pt>
                <c:pt idx="260">
                  <c:v>0.39150000000000029</c:v>
                </c:pt>
                <c:pt idx="261">
                  <c:v>0.39300000000000029</c:v>
                </c:pt>
                <c:pt idx="262">
                  <c:v>0.39450000000000029</c:v>
                </c:pt>
                <c:pt idx="263">
                  <c:v>0.3960000000000003</c:v>
                </c:pt>
                <c:pt idx="264">
                  <c:v>0.3975000000000003</c:v>
                </c:pt>
                <c:pt idx="265">
                  <c:v>0.3990000000000003</c:v>
                </c:pt>
                <c:pt idx="266">
                  <c:v>0.4005000000000003</c:v>
                </c:pt>
                <c:pt idx="267">
                  <c:v>0.4020000000000003</c:v>
                </c:pt>
                <c:pt idx="268">
                  <c:v>0.4035000000000003</c:v>
                </c:pt>
                <c:pt idx="269">
                  <c:v>0.4050000000000003</c:v>
                </c:pt>
                <c:pt idx="270">
                  <c:v>0.40650000000000031</c:v>
                </c:pt>
                <c:pt idx="271">
                  <c:v>0.40800000000000031</c:v>
                </c:pt>
                <c:pt idx="272">
                  <c:v>0.40950000000000031</c:v>
                </c:pt>
                <c:pt idx="273">
                  <c:v>0.41100000000000031</c:v>
                </c:pt>
                <c:pt idx="274">
                  <c:v>0.41250000000000031</c:v>
                </c:pt>
                <c:pt idx="275">
                  <c:v>0.41400000000000031</c:v>
                </c:pt>
                <c:pt idx="276">
                  <c:v>0.41550000000000031</c:v>
                </c:pt>
                <c:pt idx="277">
                  <c:v>0.41700000000000031</c:v>
                </c:pt>
                <c:pt idx="278">
                  <c:v>0.41850000000000032</c:v>
                </c:pt>
                <c:pt idx="279">
                  <c:v>0.42000000000000032</c:v>
                </c:pt>
                <c:pt idx="280">
                  <c:v>0.42150000000000032</c:v>
                </c:pt>
                <c:pt idx="281">
                  <c:v>0.42300000000000032</c:v>
                </c:pt>
                <c:pt idx="282">
                  <c:v>0.42450000000000032</c:v>
                </c:pt>
                <c:pt idx="283">
                  <c:v>0.42600000000000032</c:v>
                </c:pt>
                <c:pt idx="284">
                  <c:v>0.42750000000000032</c:v>
                </c:pt>
                <c:pt idx="285">
                  <c:v>0.42900000000000033</c:v>
                </c:pt>
                <c:pt idx="286">
                  <c:v>0.43050000000000033</c:v>
                </c:pt>
                <c:pt idx="287">
                  <c:v>0.43200000000000033</c:v>
                </c:pt>
                <c:pt idx="288">
                  <c:v>0.43350000000000033</c:v>
                </c:pt>
                <c:pt idx="289">
                  <c:v>0.43500000000000033</c:v>
                </c:pt>
                <c:pt idx="290">
                  <c:v>0.43650000000000033</c:v>
                </c:pt>
                <c:pt idx="291">
                  <c:v>0.43800000000000033</c:v>
                </c:pt>
                <c:pt idx="292">
                  <c:v>0.43950000000000033</c:v>
                </c:pt>
                <c:pt idx="293">
                  <c:v>0.44100000000000034</c:v>
                </c:pt>
                <c:pt idx="294">
                  <c:v>0.44250000000000034</c:v>
                </c:pt>
                <c:pt idx="295">
                  <c:v>0.44400000000000034</c:v>
                </c:pt>
                <c:pt idx="296">
                  <c:v>0.44550000000000034</c:v>
                </c:pt>
                <c:pt idx="297">
                  <c:v>0.44700000000000034</c:v>
                </c:pt>
                <c:pt idx="298">
                  <c:v>0.44850000000000034</c:v>
                </c:pt>
                <c:pt idx="299">
                  <c:v>0.45000000000000034</c:v>
                </c:pt>
                <c:pt idx="300">
                  <c:v>0.45150000000000035</c:v>
                </c:pt>
                <c:pt idx="301">
                  <c:v>0.45300000000000035</c:v>
                </c:pt>
                <c:pt idx="302">
                  <c:v>0.45450000000000035</c:v>
                </c:pt>
                <c:pt idx="303">
                  <c:v>0.45600000000000035</c:v>
                </c:pt>
                <c:pt idx="304">
                  <c:v>0.45750000000000035</c:v>
                </c:pt>
                <c:pt idx="305">
                  <c:v>0.45900000000000035</c:v>
                </c:pt>
                <c:pt idx="306">
                  <c:v>0.46050000000000035</c:v>
                </c:pt>
                <c:pt idx="307">
                  <c:v>0.46200000000000035</c:v>
                </c:pt>
                <c:pt idx="308">
                  <c:v>0.46350000000000036</c:v>
                </c:pt>
                <c:pt idx="309">
                  <c:v>0.46500000000000036</c:v>
                </c:pt>
                <c:pt idx="310">
                  <c:v>0.46650000000000036</c:v>
                </c:pt>
                <c:pt idx="311">
                  <c:v>0.46800000000000036</c:v>
                </c:pt>
                <c:pt idx="312">
                  <c:v>0.46950000000000036</c:v>
                </c:pt>
                <c:pt idx="313">
                  <c:v>0.47100000000000036</c:v>
                </c:pt>
                <c:pt idx="314">
                  <c:v>0.47250000000000036</c:v>
                </c:pt>
                <c:pt idx="315">
                  <c:v>0.47400000000000037</c:v>
                </c:pt>
                <c:pt idx="316">
                  <c:v>0.47550000000000037</c:v>
                </c:pt>
                <c:pt idx="317">
                  <c:v>0.47700000000000037</c:v>
                </c:pt>
                <c:pt idx="318">
                  <c:v>0.47850000000000037</c:v>
                </c:pt>
                <c:pt idx="319">
                  <c:v>0.48000000000000037</c:v>
                </c:pt>
                <c:pt idx="320">
                  <c:v>0.48150000000000037</c:v>
                </c:pt>
                <c:pt idx="321">
                  <c:v>0.48300000000000037</c:v>
                </c:pt>
                <c:pt idx="322">
                  <c:v>0.48450000000000037</c:v>
                </c:pt>
                <c:pt idx="323">
                  <c:v>0.48600000000000038</c:v>
                </c:pt>
                <c:pt idx="324">
                  <c:v>0.48750000000000038</c:v>
                </c:pt>
                <c:pt idx="325">
                  <c:v>0.48900000000000038</c:v>
                </c:pt>
                <c:pt idx="326">
                  <c:v>0.49050000000000038</c:v>
                </c:pt>
                <c:pt idx="327">
                  <c:v>0.49200000000000038</c:v>
                </c:pt>
                <c:pt idx="328">
                  <c:v>0.49350000000000038</c:v>
                </c:pt>
                <c:pt idx="329">
                  <c:v>0.49500000000000038</c:v>
                </c:pt>
                <c:pt idx="330">
                  <c:v>0.49650000000000039</c:v>
                </c:pt>
                <c:pt idx="331">
                  <c:v>0.49800000000000039</c:v>
                </c:pt>
                <c:pt idx="332">
                  <c:v>0.49950000000000039</c:v>
                </c:pt>
                <c:pt idx="333">
                  <c:v>0.50100000000000033</c:v>
                </c:pt>
                <c:pt idx="334">
                  <c:v>0.50250000000000028</c:v>
                </c:pt>
                <c:pt idx="335">
                  <c:v>0.50400000000000023</c:v>
                </c:pt>
                <c:pt idx="336">
                  <c:v>0.50550000000000017</c:v>
                </c:pt>
                <c:pt idx="337">
                  <c:v>0.50700000000000012</c:v>
                </c:pt>
                <c:pt idx="338">
                  <c:v>0.50850000000000006</c:v>
                </c:pt>
                <c:pt idx="339">
                  <c:v>0.51</c:v>
                </c:pt>
                <c:pt idx="340">
                  <c:v>0.51149999999999995</c:v>
                </c:pt>
                <c:pt idx="341">
                  <c:v>0.5129999999999999</c:v>
                </c:pt>
                <c:pt idx="342">
                  <c:v>0.51449999999999985</c:v>
                </c:pt>
                <c:pt idx="343">
                  <c:v>0.51599999999999979</c:v>
                </c:pt>
                <c:pt idx="344">
                  <c:v>0.51749999999999974</c:v>
                </c:pt>
                <c:pt idx="345">
                  <c:v>0.51899999999999968</c:v>
                </c:pt>
                <c:pt idx="346">
                  <c:v>0.52049999999999963</c:v>
                </c:pt>
                <c:pt idx="347">
                  <c:v>0.52199999999999958</c:v>
                </c:pt>
                <c:pt idx="348">
                  <c:v>0.52349999999999952</c:v>
                </c:pt>
                <c:pt idx="349">
                  <c:v>0.52499999999999947</c:v>
                </c:pt>
                <c:pt idx="350">
                  <c:v>0.52649999999999941</c:v>
                </c:pt>
                <c:pt idx="351">
                  <c:v>0.52799999999999936</c:v>
                </c:pt>
                <c:pt idx="352">
                  <c:v>0.5294999999999993</c:v>
                </c:pt>
                <c:pt idx="353">
                  <c:v>0.53099999999999925</c:v>
                </c:pt>
                <c:pt idx="354">
                  <c:v>0.5324999999999992</c:v>
                </c:pt>
                <c:pt idx="355">
                  <c:v>0.53399999999999914</c:v>
                </c:pt>
                <c:pt idx="356">
                  <c:v>0.53549999999999909</c:v>
                </c:pt>
                <c:pt idx="357">
                  <c:v>0.53699999999999903</c:v>
                </c:pt>
                <c:pt idx="358">
                  <c:v>0.53849999999999898</c:v>
                </c:pt>
                <c:pt idx="359">
                  <c:v>0.53999999999999893</c:v>
                </c:pt>
                <c:pt idx="360">
                  <c:v>0.54149999999999887</c:v>
                </c:pt>
                <c:pt idx="361">
                  <c:v>0.54299999999999882</c:v>
                </c:pt>
                <c:pt idx="362">
                  <c:v>0.54449999999999876</c:v>
                </c:pt>
                <c:pt idx="363">
                  <c:v>0.54599999999999871</c:v>
                </c:pt>
                <c:pt idx="364">
                  <c:v>0.54749999999999865</c:v>
                </c:pt>
                <c:pt idx="365">
                  <c:v>0.5489999999999986</c:v>
                </c:pt>
                <c:pt idx="366">
                  <c:v>0.55049999999999855</c:v>
                </c:pt>
                <c:pt idx="367">
                  <c:v>0.55199999999999849</c:v>
                </c:pt>
                <c:pt idx="368">
                  <c:v>0.55349999999999844</c:v>
                </c:pt>
                <c:pt idx="369">
                  <c:v>0.55499999999999838</c:v>
                </c:pt>
                <c:pt idx="370">
                  <c:v>0.55649999999999833</c:v>
                </c:pt>
                <c:pt idx="371">
                  <c:v>0.55799999999999828</c:v>
                </c:pt>
                <c:pt idx="372">
                  <c:v>0.55949999999999822</c:v>
                </c:pt>
                <c:pt idx="373">
                  <c:v>0.56099999999999817</c:v>
                </c:pt>
                <c:pt idx="374">
                  <c:v>0.56249999999999811</c:v>
                </c:pt>
                <c:pt idx="375">
                  <c:v>0.56399999999999806</c:v>
                </c:pt>
                <c:pt idx="376">
                  <c:v>0.565499999999998</c:v>
                </c:pt>
                <c:pt idx="377">
                  <c:v>0.56699999999999795</c:v>
                </c:pt>
                <c:pt idx="378">
                  <c:v>0.5684999999999979</c:v>
                </c:pt>
                <c:pt idx="379">
                  <c:v>0.56999999999999784</c:v>
                </c:pt>
                <c:pt idx="380">
                  <c:v>0.57149999999999779</c:v>
                </c:pt>
                <c:pt idx="381">
                  <c:v>0.57299999999999773</c:v>
                </c:pt>
                <c:pt idx="382">
                  <c:v>0.57449999999999768</c:v>
                </c:pt>
                <c:pt idx="383">
                  <c:v>0.57599999999999763</c:v>
                </c:pt>
                <c:pt idx="384">
                  <c:v>0.57749999999999757</c:v>
                </c:pt>
                <c:pt idx="385">
                  <c:v>0.57899999999999752</c:v>
                </c:pt>
                <c:pt idx="386">
                  <c:v>0.58049999999999746</c:v>
                </c:pt>
                <c:pt idx="387">
                  <c:v>0.58199999999999741</c:v>
                </c:pt>
                <c:pt idx="388">
                  <c:v>0.58349999999999735</c:v>
                </c:pt>
                <c:pt idx="389">
                  <c:v>0.5849999999999973</c:v>
                </c:pt>
                <c:pt idx="390">
                  <c:v>0.58649999999999725</c:v>
                </c:pt>
                <c:pt idx="391">
                  <c:v>0.58799999999999719</c:v>
                </c:pt>
                <c:pt idx="392">
                  <c:v>0.58949999999999714</c:v>
                </c:pt>
                <c:pt idx="393">
                  <c:v>0.59099999999999708</c:v>
                </c:pt>
                <c:pt idx="394">
                  <c:v>0.59249999999999703</c:v>
                </c:pt>
                <c:pt idx="395">
                  <c:v>0.59399999999999697</c:v>
                </c:pt>
                <c:pt idx="396">
                  <c:v>0.59549999999999692</c:v>
                </c:pt>
                <c:pt idx="397">
                  <c:v>0.59699999999999687</c:v>
                </c:pt>
                <c:pt idx="398">
                  <c:v>0.59849999999999681</c:v>
                </c:pt>
                <c:pt idx="399">
                  <c:v>0.59999999999999676</c:v>
                </c:pt>
                <c:pt idx="400">
                  <c:v>0.6014999999999967</c:v>
                </c:pt>
                <c:pt idx="401">
                  <c:v>0.60299999999999665</c:v>
                </c:pt>
                <c:pt idx="402">
                  <c:v>0.6044999999999966</c:v>
                </c:pt>
                <c:pt idx="403">
                  <c:v>0.60599999999999654</c:v>
                </c:pt>
                <c:pt idx="404">
                  <c:v>0.60749999999999649</c:v>
                </c:pt>
                <c:pt idx="405">
                  <c:v>0.60899999999999643</c:v>
                </c:pt>
                <c:pt idx="406">
                  <c:v>0.61049999999999638</c:v>
                </c:pt>
                <c:pt idx="407">
                  <c:v>0.61199999999999632</c:v>
                </c:pt>
                <c:pt idx="408">
                  <c:v>0.61349999999999627</c:v>
                </c:pt>
                <c:pt idx="409">
                  <c:v>0.61499999999999622</c:v>
                </c:pt>
                <c:pt idx="410">
                  <c:v>0.61649999999999616</c:v>
                </c:pt>
                <c:pt idx="411">
                  <c:v>0.61799999999999611</c:v>
                </c:pt>
                <c:pt idx="412">
                  <c:v>0.61949999999999605</c:v>
                </c:pt>
                <c:pt idx="413">
                  <c:v>0.620999999999996</c:v>
                </c:pt>
                <c:pt idx="414">
                  <c:v>0.62249999999999595</c:v>
                </c:pt>
                <c:pt idx="415">
                  <c:v>0.62399999999999589</c:v>
                </c:pt>
                <c:pt idx="416">
                  <c:v>0.62549999999999584</c:v>
                </c:pt>
                <c:pt idx="417">
                  <c:v>0.62699999999999578</c:v>
                </c:pt>
                <c:pt idx="418">
                  <c:v>0.62849999999999573</c:v>
                </c:pt>
                <c:pt idx="419">
                  <c:v>0.62999999999999567</c:v>
                </c:pt>
                <c:pt idx="420">
                  <c:v>0.63149999999999562</c:v>
                </c:pt>
                <c:pt idx="421">
                  <c:v>0.63299999999999557</c:v>
                </c:pt>
                <c:pt idx="422">
                  <c:v>0.63449999999999551</c:v>
                </c:pt>
                <c:pt idx="423">
                  <c:v>0.63599999999999546</c:v>
                </c:pt>
                <c:pt idx="424">
                  <c:v>0.6374999999999954</c:v>
                </c:pt>
                <c:pt idx="425">
                  <c:v>0.63899999999999535</c:v>
                </c:pt>
                <c:pt idx="426">
                  <c:v>0.6404999999999953</c:v>
                </c:pt>
                <c:pt idx="427">
                  <c:v>0.64199999999999524</c:v>
                </c:pt>
                <c:pt idx="428">
                  <c:v>0.64349999999999519</c:v>
                </c:pt>
                <c:pt idx="429">
                  <c:v>0.64499999999999513</c:v>
                </c:pt>
                <c:pt idx="430">
                  <c:v>0.64649999999999508</c:v>
                </c:pt>
                <c:pt idx="431">
                  <c:v>0.64799999999999502</c:v>
                </c:pt>
                <c:pt idx="432">
                  <c:v>0.64949999999999497</c:v>
                </c:pt>
                <c:pt idx="433">
                  <c:v>0.65099999999999492</c:v>
                </c:pt>
                <c:pt idx="434">
                  <c:v>0.65249999999999486</c:v>
                </c:pt>
                <c:pt idx="435">
                  <c:v>0.65399999999999481</c:v>
                </c:pt>
                <c:pt idx="436">
                  <c:v>0.65549999999999475</c:v>
                </c:pt>
                <c:pt idx="437">
                  <c:v>0.6569999999999947</c:v>
                </c:pt>
                <c:pt idx="438">
                  <c:v>0.65849999999999465</c:v>
                </c:pt>
                <c:pt idx="439">
                  <c:v>0.65999999999999459</c:v>
                </c:pt>
                <c:pt idx="440">
                  <c:v>0.66149999999999454</c:v>
                </c:pt>
                <c:pt idx="441">
                  <c:v>0.66299999999999448</c:v>
                </c:pt>
                <c:pt idx="442">
                  <c:v>0.66449999999999443</c:v>
                </c:pt>
                <c:pt idx="443">
                  <c:v>0.66599999999999437</c:v>
                </c:pt>
                <c:pt idx="444">
                  <c:v>0.66749999999999432</c:v>
                </c:pt>
                <c:pt idx="445">
                  <c:v>0.66899999999999427</c:v>
                </c:pt>
                <c:pt idx="446">
                  <c:v>0.67049999999999421</c:v>
                </c:pt>
                <c:pt idx="447">
                  <c:v>0.67199999999999416</c:v>
                </c:pt>
                <c:pt idx="448">
                  <c:v>0.6734999999999941</c:v>
                </c:pt>
                <c:pt idx="449">
                  <c:v>0.67499999999999405</c:v>
                </c:pt>
                <c:pt idx="450">
                  <c:v>0.676499999999994</c:v>
                </c:pt>
                <c:pt idx="451">
                  <c:v>0.67799999999999394</c:v>
                </c:pt>
                <c:pt idx="452">
                  <c:v>0.67949999999999389</c:v>
                </c:pt>
                <c:pt idx="453">
                  <c:v>0.68099999999999383</c:v>
                </c:pt>
                <c:pt idx="454">
                  <c:v>0.68249999999999378</c:v>
                </c:pt>
                <c:pt idx="455">
                  <c:v>0.68399999999999372</c:v>
                </c:pt>
                <c:pt idx="456">
                  <c:v>0.68549999999999367</c:v>
                </c:pt>
                <c:pt idx="457">
                  <c:v>0.68699999999999362</c:v>
                </c:pt>
                <c:pt idx="458">
                  <c:v>0.68849999999999356</c:v>
                </c:pt>
                <c:pt idx="459">
                  <c:v>0.68999999999999351</c:v>
                </c:pt>
                <c:pt idx="460">
                  <c:v>0.69149999999999345</c:v>
                </c:pt>
                <c:pt idx="461">
                  <c:v>0.6929999999999934</c:v>
                </c:pt>
                <c:pt idx="462">
                  <c:v>0.69449999999999334</c:v>
                </c:pt>
                <c:pt idx="463">
                  <c:v>0.69599999999999329</c:v>
                </c:pt>
                <c:pt idx="464">
                  <c:v>0.69749999999999324</c:v>
                </c:pt>
                <c:pt idx="465">
                  <c:v>0.69899999999999318</c:v>
                </c:pt>
                <c:pt idx="466">
                  <c:v>0.70049999999999313</c:v>
                </c:pt>
                <c:pt idx="467">
                  <c:v>0.70199999999999307</c:v>
                </c:pt>
                <c:pt idx="468">
                  <c:v>0.70349999999999302</c:v>
                </c:pt>
                <c:pt idx="469">
                  <c:v>0.70499999999999297</c:v>
                </c:pt>
                <c:pt idx="470">
                  <c:v>0.70649999999999291</c:v>
                </c:pt>
                <c:pt idx="471">
                  <c:v>0.70799999999999286</c:v>
                </c:pt>
                <c:pt idx="472">
                  <c:v>0.7094999999999928</c:v>
                </c:pt>
                <c:pt idx="473">
                  <c:v>0.71099999999999275</c:v>
                </c:pt>
                <c:pt idx="474">
                  <c:v>0.71249999999999269</c:v>
                </c:pt>
                <c:pt idx="475">
                  <c:v>0.71399999999999264</c:v>
                </c:pt>
                <c:pt idx="476">
                  <c:v>0.71549999999999259</c:v>
                </c:pt>
                <c:pt idx="477">
                  <c:v>0.71699999999999253</c:v>
                </c:pt>
                <c:pt idx="478">
                  <c:v>0.71849999999999248</c:v>
                </c:pt>
                <c:pt idx="479">
                  <c:v>0.71999999999999242</c:v>
                </c:pt>
                <c:pt idx="480">
                  <c:v>0.72149999999999237</c:v>
                </c:pt>
                <c:pt idx="481">
                  <c:v>0.72299999999999232</c:v>
                </c:pt>
                <c:pt idx="482">
                  <c:v>0.72449999999999226</c:v>
                </c:pt>
                <c:pt idx="483">
                  <c:v>0.72599999999999221</c:v>
                </c:pt>
                <c:pt idx="484">
                  <c:v>0.72749999999999215</c:v>
                </c:pt>
                <c:pt idx="485">
                  <c:v>0.7289999999999921</c:v>
                </c:pt>
                <c:pt idx="486">
                  <c:v>0.73049999999999204</c:v>
                </c:pt>
                <c:pt idx="487">
                  <c:v>0.73199999999999199</c:v>
                </c:pt>
                <c:pt idx="488">
                  <c:v>0.73349999999999194</c:v>
                </c:pt>
                <c:pt idx="489">
                  <c:v>0.73499999999999188</c:v>
                </c:pt>
                <c:pt idx="490">
                  <c:v>0.73649999999999183</c:v>
                </c:pt>
                <c:pt idx="491">
                  <c:v>0.73799999999999177</c:v>
                </c:pt>
                <c:pt idx="492">
                  <c:v>0.73949999999999172</c:v>
                </c:pt>
                <c:pt idx="493">
                  <c:v>0.74099999999999167</c:v>
                </c:pt>
                <c:pt idx="494">
                  <c:v>0.74249999999999161</c:v>
                </c:pt>
                <c:pt idx="495">
                  <c:v>0.74399999999999156</c:v>
                </c:pt>
                <c:pt idx="496">
                  <c:v>0.7454999999999915</c:v>
                </c:pt>
                <c:pt idx="497">
                  <c:v>0.74699999999999145</c:v>
                </c:pt>
                <c:pt idx="498">
                  <c:v>0.74849999999999139</c:v>
                </c:pt>
                <c:pt idx="499">
                  <c:v>0.74999999999999134</c:v>
                </c:pt>
                <c:pt idx="500">
                  <c:v>0.75149999999999129</c:v>
                </c:pt>
                <c:pt idx="501">
                  <c:v>0.75299999999999123</c:v>
                </c:pt>
                <c:pt idx="502">
                  <c:v>0.75449999999999118</c:v>
                </c:pt>
                <c:pt idx="503">
                  <c:v>0.75599999999999112</c:v>
                </c:pt>
                <c:pt idx="504">
                  <c:v>0.75749999999999107</c:v>
                </c:pt>
                <c:pt idx="505">
                  <c:v>0.75899999999999102</c:v>
                </c:pt>
                <c:pt idx="506">
                  <c:v>0.76049999999999096</c:v>
                </c:pt>
                <c:pt idx="507">
                  <c:v>0.76199999999999091</c:v>
                </c:pt>
                <c:pt idx="508">
                  <c:v>0.76349999999999085</c:v>
                </c:pt>
                <c:pt idx="509">
                  <c:v>0.7649999999999908</c:v>
                </c:pt>
                <c:pt idx="510">
                  <c:v>0.76649999999999074</c:v>
                </c:pt>
                <c:pt idx="511">
                  <c:v>0.76799999999999069</c:v>
                </c:pt>
                <c:pt idx="512">
                  <c:v>0.76949999999999064</c:v>
                </c:pt>
                <c:pt idx="513">
                  <c:v>0.77099999999999058</c:v>
                </c:pt>
                <c:pt idx="514">
                  <c:v>0.77249999999999053</c:v>
                </c:pt>
                <c:pt idx="515">
                  <c:v>0.77399999999999047</c:v>
                </c:pt>
                <c:pt idx="516">
                  <c:v>0.77549999999999042</c:v>
                </c:pt>
                <c:pt idx="517">
                  <c:v>0.77699999999999037</c:v>
                </c:pt>
                <c:pt idx="518">
                  <c:v>0.77849999999999031</c:v>
                </c:pt>
                <c:pt idx="519">
                  <c:v>0.77999999999999026</c:v>
                </c:pt>
                <c:pt idx="520">
                  <c:v>0.7814999999999902</c:v>
                </c:pt>
                <c:pt idx="521">
                  <c:v>0.78299999999999015</c:v>
                </c:pt>
                <c:pt idx="522">
                  <c:v>0.78449999999999009</c:v>
                </c:pt>
                <c:pt idx="523">
                  <c:v>0.78599999999999004</c:v>
                </c:pt>
                <c:pt idx="524">
                  <c:v>0.78749999999998999</c:v>
                </c:pt>
                <c:pt idx="525">
                  <c:v>0.78899999999998993</c:v>
                </c:pt>
                <c:pt idx="526">
                  <c:v>0.79049999999998988</c:v>
                </c:pt>
                <c:pt idx="527">
                  <c:v>0.79199999999998982</c:v>
                </c:pt>
                <c:pt idx="528">
                  <c:v>0.79349999999998977</c:v>
                </c:pt>
                <c:pt idx="529">
                  <c:v>0.79499999999998971</c:v>
                </c:pt>
                <c:pt idx="530">
                  <c:v>0.79649999999998966</c:v>
                </c:pt>
                <c:pt idx="531">
                  <c:v>0.79799999999998961</c:v>
                </c:pt>
                <c:pt idx="532">
                  <c:v>0.79949999999998955</c:v>
                </c:pt>
                <c:pt idx="533">
                  <c:v>0.8009999999999895</c:v>
                </c:pt>
                <c:pt idx="534">
                  <c:v>0.80249999999998944</c:v>
                </c:pt>
                <c:pt idx="535">
                  <c:v>0.80399999999998939</c:v>
                </c:pt>
                <c:pt idx="536">
                  <c:v>0.80549999999998934</c:v>
                </c:pt>
                <c:pt idx="537">
                  <c:v>0.80699999999998928</c:v>
                </c:pt>
                <c:pt idx="538">
                  <c:v>0.80849999999998923</c:v>
                </c:pt>
                <c:pt idx="539">
                  <c:v>0.80999999999998917</c:v>
                </c:pt>
                <c:pt idx="540">
                  <c:v>0.81149999999998912</c:v>
                </c:pt>
                <c:pt idx="541">
                  <c:v>0.81299999999998906</c:v>
                </c:pt>
                <c:pt idx="542">
                  <c:v>0.81449999999998901</c:v>
                </c:pt>
                <c:pt idx="543">
                  <c:v>0.81599999999998896</c:v>
                </c:pt>
                <c:pt idx="544">
                  <c:v>0.8174999999999889</c:v>
                </c:pt>
                <c:pt idx="545">
                  <c:v>0.81899999999998885</c:v>
                </c:pt>
                <c:pt idx="546">
                  <c:v>0.82049999999998879</c:v>
                </c:pt>
                <c:pt idx="547">
                  <c:v>0.82199999999998874</c:v>
                </c:pt>
                <c:pt idx="548">
                  <c:v>0.82349999999998869</c:v>
                </c:pt>
                <c:pt idx="549">
                  <c:v>0.82499999999998863</c:v>
                </c:pt>
                <c:pt idx="550">
                  <c:v>0.82649999999998858</c:v>
                </c:pt>
                <c:pt idx="551">
                  <c:v>0.82799999999998852</c:v>
                </c:pt>
                <c:pt idx="552">
                  <c:v>0.82949999999998847</c:v>
                </c:pt>
                <c:pt idx="553">
                  <c:v>0.83099999999998841</c:v>
                </c:pt>
                <c:pt idx="554">
                  <c:v>0.83249999999998836</c:v>
                </c:pt>
                <c:pt idx="555">
                  <c:v>0.83399999999998831</c:v>
                </c:pt>
                <c:pt idx="556">
                  <c:v>0.83549999999998825</c:v>
                </c:pt>
                <c:pt idx="557">
                  <c:v>0.8369999999999882</c:v>
                </c:pt>
                <c:pt idx="558">
                  <c:v>0.83849999999998814</c:v>
                </c:pt>
                <c:pt idx="559">
                  <c:v>0.83999999999998809</c:v>
                </c:pt>
                <c:pt idx="560">
                  <c:v>0.84149999999998804</c:v>
                </c:pt>
                <c:pt idx="561">
                  <c:v>0.84299999999998798</c:v>
                </c:pt>
                <c:pt idx="562">
                  <c:v>0.84449999999998793</c:v>
                </c:pt>
                <c:pt idx="563">
                  <c:v>0.84599999999998787</c:v>
                </c:pt>
                <c:pt idx="564">
                  <c:v>0.84749999999998782</c:v>
                </c:pt>
                <c:pt idx="565">
                  <c:v>0.84899999999998776</c:v>
                </c:pt>
                <c:pt idx="566">
                  <c:v>0.85049999999998771</c:v>
                </c:pt>
                <c:pt idx="567">
                  <c:v>0.85199999999998766</c:v>
                </c:pt>
                <c:pt idx="568">
                  <c:v>0.8534999999999876</c:v>
                </c:pt>
                <c:pt idx="569">
                  <c:v>0.85499999999998755</c:v>
                </c:pt>
                <c:pt idx="570">
                  <c:v>0.85649999999998749</c:v>
                </c:pt>
                <c:pt idx="571">
                  <c:v>0.85799999999998744</c:v>
                </c:pt>
                <c:pt idx="572">
                  <c:v>0.85949999999998739</c:v>
                </c:pt>
                <c:pt idx="573">
                  <c:v>0.86099999999998733</c:v>
                </c:pt>
                <c:pt idx="574">
                  <c:v>0.86249999999998728</c:v>
                </c:pt>
                <c:pt idx="575">
                  <c:v>0.86399999999998722</c:v>
                </c:pt>
                <c:pt idx="576">
                  <c:v>0.86549999999998717</c:v>
                </c:pt>
                <c:pt idx="577">
                  <c:v>0.86699999999998711</c:v>
                </c:pt>
                <c:pt idx="578">
                  <c:v>0.86849999999998706</c:v>
                </c:pt>
                <c:pt idx="579">
                  <c:v>0.86999999999998701</c:v>
                </c:pt>
                <c:pt idx="580">
                  <c:v>0.87149999999998695</c:v>
                </c:pt>
                <c:pt idx="581">
                  <c:v>0.8729999999999869</c:v>
                </c:pt>
                <c:pt idx="582">
                  <c:v>0.87449999999998684</c:v>
                </c:pt>
                <c:pt idx="583">
                  <c:v>0.87599999999998679</c:v>
                </c:pt>
                <c:pt idx="584">
                  <c:v>0.87749999999998674</c:v>
                </c:pt>
                <c:pt idx="585">
                  <c:v>0.87899999999998668</c:v>
                </c:pt>
                <c:pt idx="586">
                  <c:v>0.88049999999998663</c:v>
                </c:pt>
                <c:pt idx="587">
                  <c:v>0.88199999999998657</c:v>
                </c:pt>
                <c:pt idx="588">
                  <c:v>0.88349999999998652</c:v>
                </c:pt>
                <c:pt idx="589">
                  <c:v>0.88499999999998646</c:v>
                </c:pt>
                <c:pt idx="590">
                  <c:v>0.88649999999998641</c:v>
                </c:pt>
                <c:pt idx="591">
                  <c:v>0.88799999999998636</c:v>
                </c:pt>
                <c:pt idx="592">
                  <c:v>0.8894999999999863</c:v>
                </c:pt>
                <c:pt idx="593">
                  <c:v>0.89099999999998625</c:v>
                </c:pt>
                <c:pt idx="594">
                  <c:v>0.89249999999998619</c:v>
                </c:pt>
                <c:pt idx="595">
                  <c:v>0.89399999999998614</c:v>
                </c:pt>
                <c:pt idx="596">
                  <c:v>0.89549999999998608</c:v>
                </c:pt>
                <c:pt idx="597">
                  <c:v>0.89699999999998603</c:v>
                </c:pt>
                <c:pt idx="598">
                  <c:v>0.89849999999998598</c:v>
                </c:pt>
                <c:pt idx="599">
                  <c:v>0.89999999999998592</c:v>
                </c:pt>
                <c:pt idx="600">
                  <c:v>0.90149999999998587</c:v>
                </c:pt>
                <c:pt idx="601">
                  <c:v>0.90299999999998581</c:v>
                </c:pt>
                <c:pt idx="602">
                  <c:v>0.90449999999998576</c:v>
                </c:pt>
                <c:pt idx="603">
                  <c:v>0.90599999999998571</c:v>
                </c:pt>
                <c:pt idx="604">
                  <c:v>0.90749999999998565</c:v>
                </c:pt>
                <c:pt idx="605">
                  <c:v>0.9089999999999856</c:v>
                </c:pt>
                <c:pt idx="606">
                  <c:v>0.91049999999998554</c:v>
                </c:pt>
                <c:pt idx="607">
                  <c:v>0.91199999999998549</c:v>
                </c:pt>
                <c:pt idx="608">
                  <c:v>0.91349999999998543</c:v>
                </c:pt>
                <c:pt idx="609">
                  <c:v>0.91499999999998538</c:v>
                </c:pt>
                <c:pt idx="610">
                  <c:v>0.91649999999998533</c:v>
                </c:pt>
                <c:pt idx="611">
                  <c:v>0.91799999999998527</c:v>
                </c:pt>
                <c:pt idx="612">
                  <c:v>0.91949999999998522</c:v>
                </c:pt>
                <c:pt idx="613">
                  <c:v>0.92099999999998516</c:v>
                </c:pt>
                <c:pt idx="614">
                  <c:v>0.92249999999998511</c:v>
                </c:pt>
                <c:pt idx="615">
                  <c:v>0.92399999999998506</c:v>
                </c:pt>
                <c:pt idx="616">
                  <c:v>0.925499999999985</c:v>
                </c:pt>
                <c:pt idx="617">
                  <c:v>0.92699999999998495</c:v>
                </c:pt>
                <c:pt idx="618">
                  <c:v>0.92849999999998489</c:v>
                </c:pt>
                <c:pt idx="619">
                  <c:v>0.92999999999998484</c:v>
                </c:pt>
                <c:pt idx="620">
                  <c:v>0.93149999999998478</c:v>
                </c:pt>
                <c:pt idx="621">
                  <c:v>0.93299999999998473</c:v>
                </c:pt>
                <c:pt idx="622">
                  <c:v>0.93449999999998468</c:v>
                </c:pt>
                <c:pt idx="623">
                  <c:v>0.93599999999998462</c:v>
                </c:pt>
                <c:pt idx="624">
                  <c:v>0.93749999999998457</c:v>
                </c:pt>
                <c:pt idx="625">
                  <c:v>0.93899999999998451</c:v>
                </c:pt>
                <c:pt idx="626">
                  <c:v>0.94049999999998446</c:v>
                </c:pt>
                <c:pt idx="627">
                  <c:v>0.94199999999998441</c:v>
                </c:pt>
                <c:pt idx="628">
                  <c:v>0.94349999999998435</c:v>
                </c:pt>
                <c:pt idx="629">
                  <c:v>0.9449999999999843</c:v>
                </c:pt>
                <c:pt idx="630">
                  <c:v>0.94649999999998424</c:v>
                </c:pt>
                <c:pt idx="631">
                  <c:v>0.94799999999998419</c:v>
                </c:pt>
                <c:pt idx="632">
                  <c:v>0.94949999999998413</c:v>
                </c:pt>
                <c:pt idx="633">
                  <c:v>0.95099999999998408</c:v>
                </c:pt>
                <c:pt idx="634">
                  <c:v>0.95249999999998403</c:v>
                </c:pt>
                <c:pt idx="635">
                  <c:v>0.95399999999998397</c:v>
                </c:pt>
                <c:pt idx="636">
                  <c:v>0.95549999999998392</c:v>
                </c:pt>
                <c:pt idx="637">
                  <c:v>0.95699999999998386</c:v>
                </c:pt>
                <c:pt idx="638">
                  <c:v>0.95849999999998381</c:v>
                </c:pt>
                <c:pt idx="639">
                  <c:v>0.95999999999998376</c:v>
                </c:pt>
                <c:pt idx="640">
                  <c:v>0.9614999999999837</c:v>
                </c:pt>
                <c:pt idx="641">
                  <c:v>0.96299999999998365</c:v>
                </c:pt>
                <c:pt idx="642">
                  <c:v>0.96449999999998359</c:v>
                </c:pt>
                <c:pt idx="643">
                  <c:v>0.96599999999998354</c:v>
                </c:pt>
                <c:pt idx="644">
                  <c:v>0.96749999999998348</c:v>
                </c:pt>
                <c:pt idx="645">
                  <c:v>0.96899999999998343</c:v>
                </c:pt>
                <c:pt idx="646">
                  <c:v>0.97049999999998338</c:v>
                </c:pt>
                <c:pt idx="647">
                  <c:v>0.97199999999998332</c:v>
                </c:pt>
                <c:pt idx="648">
                  <c:v>0.97349999999998327</c:v>
                </c:pt>
                <c:pt idx="649">
                  <c:v>0.97499999999998321</c:v>
                </c:pt>
                <c:pt idx="650">
                  <c:v>0.97649999999998316</c:v>
                </c:pt>
                <c:pt idx="651">
                  <c:v>0.97799999999998311</c:v>
                </c:pt>
                <c:pt idx="652">
                  <c:v>0.97949999999998305</c:v>
                </c:pt>
                <c:pt idx="653">
                  <c:v>0.980999999999983</c:v>
                </c:pt>
                <c:pt idx="654">
                  <c:v>0.98249999999998294</c:v>
                </c:pt>
                <c:pt idx="655">
                  <c:v>0.98399999999998289</c:v>
                </c:pt>
                <c:pt idx="656">
                  <c:v>0.98549999999998283</c:v>
                </c:pt>
                <c:pt idx="657">
                  <c:v>0.98699999999998278</c:v>
                </c:pt>
                <c:pt idx="658">
                  <c:v>0.98849999999998273</c:v>
                </c:pt>
                <c:pt idx="659">
                  <c:v>0.98999999999998267</c:v>
                </c:pt>
                <c:pt idx="660">
                  <c:v>0.99149999999998262</c:v>
                </c:pt>
                <c:pt idx="661">
                  <c:v>0.99299999999998256</c:v>
                </c:pt>
                <c:pt idx="662">
                  <c:v>0.99449999999998251</c:v>
                </c:pt>
                <c:pt idx="663">
                  <c:v>0.99599999999998245</c:v>
                </c:pt>
                <c:pt idx="664">
                  <c:v>0.9974999999999824</c:v>
                </c:pt>
                <c:pt idx="665">
                  <c:v>0.99899999999998235</c:v>
                </c:pt>
                <c:pt idx="666">
                  <c:v>1.0004999999999824</c:v>
                </c:pt>
                <c:pt idx="667">
                  <c:v>1.0019999999999825</c:v>
                </c:pt>
                <c:pt idx="668">
                  <c:v>1.0034999999999825</c:v>
                </c:pt>
                <c:pt idx="669">
                  <c:v>1.0049999999999826</c:v>
                </c:pt>
                <c:pt idx="670">
                  <c:v>1.0064999999999826</c:v>
                </c:pt>
                <c:pt idx="671">
                  <c:v>1.0079999999999827</c:v>
                </c:pt>
                <c:pt idx="672">
                  <c:v>1.0094999999999827</c:v>
                </c:pt>
                <c:pt idx="673">
                  <c:v>1.0109999999999828</c:v>
                </c:pt>
                <c:pt idx="674">
                  <c:v>1.0124999999999829</c:v>
                </c:pt>
                <c:pt idx="675">
                  <c:v>1.0139999999999829</c:v>
                </c:pt>
                <c:pt idx="676">
                  <c:v>1.015499999999983</c:v>
                </c:pt>
                <c:pt idx="677">
                  <c:v>1.016999999999983</c:v>
                </c:pt>
                <c:pt idx="678">
                  <c:v>1.0184999999999831</c:v>
                </c:pt>
                <c:pt idx="679">
                  <c:v>1.0199999999999831</c:v>
                </c:pt>
                <c:pt idx="680">
                  <c:v>1.0214999999999832</c:v>
                </c:pt>
                <c:pt idx="681">
                  <c:v>1.0229999999999833</c:v>
                </c:pt>
                <c:pt idx="682">
                  <c:v>1.0244999999999833</c:v>
                </c:pt>
                <c:pt idx="683">
                  <c:v>1.0259999999999834</c:v>
                </c:pt>
                <c:pt idx="684">
                  <c:v>1.0274999999999834</c:v>
                </c:pt>
                <c:pt idx="685">
                  <c:v>1.0289999999999835</c:v>
                </c:pt>
                <c:pt idx="686">
                  <c:v>1.0304999999999835</c:v>
                </c:pt>
                <c:pt idx="687">
                  <c:v>1.0319999999999836</c:v>
                </c:pt>
                <c:pt idx="688">
                  <c:v>1.0334999999999837</c:v>
                </c:pt>
                <c:pt idx="689">
                  <c:v>1.0349999999999837</c:v>
                </c:pt>
                <c:pt idx="690">
                  <c:v>1.0364999999999838</c:v>
                </c:pt>
                <c:pt idx="691">
                  <c:v>1.0379999999999838</c:v>
                </c:pt>
                <c:pt idx="692">
                  <c:v>1.0394999999999839</c:v>
                </c:pt>
                <c:pt idx="693">
                  <c:v>1.0409999999999839</c:v>
                </c:pt>
                <c:pt idx="694">
                  <c:v>1.042499999999984</c:v>
                </c:pt>
                <c:pt idx="695">
                  <c:v>1.0439999999999841</c:v>
                </c:pt>
                <c:pt idx="696">
                  <c:v>1.0454999999999841</c:v>
                </c:pt>
                <c:pt idx="697">
                  <c:v>1.0469999999999842</c:v>
                </c:pt>
                <c:pt idx="698">
                  <c:v>1.0484999999999842</c:v>
                </c:pt>
                <c:pt idx="699">
                  <c:v>1.0499999999999843</c:v>
                </c:pt>
                <c:pt idx="700">
                  <c:v>1.0514999999999843</c:v>
                </c:pt>
                <c:pt idx="701">
                  <c:v>1.0529999999999844</c:v>
                </c:pt>
                <c:pt idx="702">
                  <c:v>1.0544999999999844</c:v>
                </c:pt>
                <c:pt idx="703">
                  <c:v>1.0559999999999845</c:v>
                </c:pt>
                <c:pt idx="704">
                  <c:v>1.0574999999999846</c:v>
                </c:pt>
                <c:pt idx="705">
                  <c:v>1.0589999999999846</c:v>
                </c:pt>
                <c:pt idx="706">
                  <c:v>1.0604999999999847</c:v>
                </c:pt>
                <c:pt idx="707">
                  <c:v>1.0619999999999847</c:v>
                </c:pt>
                <c:pt idx="708">
                  <c:v>1.0634999999999848</c:v>
                </c:pt>
                <c:pt idx="709">
                  <c:v>1.0649999999999848</c:v>
                </c:pt>
                <c:pt idx="710">
                  <c:v>1.0664999999999849</c:v>
                </c:pt>
                <c:pt idx="711">
                  <c:v>1.067999999999985</c:v>
                </c:pt>
                <c:pt idx="712">
                  <c:v>1.069499999999985</c:v>
                </c:pt>
                <c:pt idx="713">
                  <c:v>1.0709999999999851</c:v>
                </c:pt>
                <c:pt idx="714">
                  <c:v>1.0724999999999851</c:v>
                </c:pt>
                <c:pt idx="715">
                  <c:v>1.0739999999999852</c:v>
                </c:pt>
                <c:pt idx="716">
                  <c:v>1.0754999999999852</c:v>
                </c:pt>
                <c:pt idx="717">
                  <c:v>1.0769999999999853</c:v>
                </c:pt>
                <c:pt idx="718">
                  <c:v>1.0784999999999854</c:v>
                </c:pt>
                <c:pt idx="719">
                  <c:v>1.0799999999999854</c:v>
                </c:pt>
                <c:pt idx="720">
                  <c:v>1.0814999999999855</c:v>
                </c:pt>
                <c:pt idx="721">
                  <c:v>1.0829999999999855</c:v>
                </c:pt>
                <c:pt idx="722">
                  <c:v>1.0844999999999856</c:v>
                </c:pt>
                <c:pt idx="723">
                  <c:v>1.0859999999999856</c:v>
                </c:pt>
                <c:pt idx="724">
                  <c:v>1.0874999999999857</c:v>
                </c:pt>
                <c:pt idx="725">
                  <c:v>1.0889999999999858</c:v>
                </c:pt>
                <c:pt idx="726">
                  <c:v>1.0904999999999858</c:v>
                </c:pt>
                <c:pt idx="727">
                  <c:v>1.0919999999999859</c:v>
                </c:pt>
                <c:pt idx="728">
                  <c:v>1.0934999999999859</c:v>
                </c:pt>
                <c:pt idx="729">
                  <c:v>1.094999999999986</c:v>
                </c:pt>
                <c:pt idx="730">
                  <c:v>1.096499999999986</c:v>
                </c:pt>
                <c:pt idx="731">
                  <c:v>1.0979999999999861</c:v>
                </c:pt>
                <c:pt idx="732">
                  <c:v>1.0994999999999862</c:v>
                </c:pt>
                <c:pt idx="733">
                  <c:v>1.1009999999999862</c:v>
                </c:pt>
                <c:pt idx="734">
                  <c:v>1.1024999999999863</c:v>
                </c:pt>
                <c:pt idx="735">
                  <c:v>1.1039999999999863</c:v>
                </c:pt>
                <c:pt idx="736">
                  <c:v>1.1054999999999864</c:v>
                </c:pt>
                <c:pt idx="737">
                  <c:v>1.1069999999999864</c:v>
                </c:pt>
                <c:pt idx="738">
                  <c:v>1.1084999999999865</c:v>
                </c:pt>
                <c:pt idx="739">
                  <c:v>1.1099999999999866</c:v>
                </c:pt>
                <c:pt idx="740">
                  <c:v>1.1114999999999866</c:v>
                </c:pt>
                <c:pt idx="741">
                  <c:v>1.1129999999999867</c:v>
                </c:pt>
                <c:pt idx="742">
                  <c:v>1.1144999999999867</c:v>
                </c:pt>
                <c:pt idx="743">
                  <c:v>1.1159999999999868</c:v>
                </c:pt>
                <c:pt idx="744">
                  <c:v>1.1174999999999868</c:v>
                </c:pt>
                <c:pt idx="745">
                  <c:v>1.1189999999999869</c:v>
                </c:pt>
                <c:pt idx="746">
                  <c:v>1.120499999999987</c:v>
                </c:pt>
                <c:pt idx="747">
                  <c:v>1.121999999999987</c:v>
                </c:pt>
                <c:pt idx="748">
                  <c:v>1.1234999999999871</c:v>
                </c:pt>
                <c:pt idx="749">
                  <c:v>1.1249999999999871</c:v>
                </c:pt>
                <c:pt idx="750">
                  <c:v>1.1264999999999872</c:v>
                </c:pt>
                <c:pt idx="751">
                  <c:v>1.1279999999999872</c:v>
                </c:pt>
                <c:pt idx="752">
                  <c:v>1.1294999999999873</c:v>
                </c:pt>
                <c:pt idx="753">
                  <c:v>1.1309999999999873</c:v>
                </c:pt>
                <c:pt idx="754">
                  <c:v>1.1324999999999874</c:v>
                </c:pt>
                <c:pt idx="755">
                  <c:v>1.1339999999999875</c:v>
                </c:pt>
                <c:pt idx="756">
                  <c:v>1.1354999999999875</c:v>
                </c:pt>
                <c:pt idx="757">
                  <c:v>1.1369999999999876</c:v>
                </c:pt>
                <c:pt idx="758">
                  <c:v>1.1384999999999876</c:v>
                </c:pt>
                <c:pt idx="759">
                  <c:v>1.1399999999999877</c:v>
                </c:pt>
                <c:pt idx="760">
                  <c:v>1.1414999999999877</c:v>
                </c:pt>
                <c:pt idx="761">
                  <c:v>1.1429999999999878</c:v>
                </c:pt>
                <c:pt idx="762">
                  <c:v>1.1444999999999879</c:v>
                </c:pt>
                <c:pt idx="763">
                  <c:v>1.1459999999999879</c:v>
                </c:pt>
                <c:pt idx="764">
                  <c:v>1.147499999999988</c:v>
                </c:pt>
                <c:pt idx="765">
                  <c:v>1.148999999999988</c:v>
                </c:pt>
                <c:pt idx="766">
                  <c:v>1.1504999999999881</c:v>
                </c:pt>
                <c:pt idx="767">
                  <c:v>1.1519999999999881</c:v>
                </c:pt>
                <c:pt idx="768">
                  <c:v>1.1534999999999882</c:v>
                </c:pt>
                <c:pt idx="769">
                  <c:v>1.1549999999999883</c:v>
                </c:pt>
                <c:pt idx="770">
                  <c:v>1.1564999999999883</c:v>
                </c:pt>
                <c:pt idx="771">
                  <c:v>1.1579999999999884</c:v>
                </c:pt>
                <c:pt idx="772">
                  <c:v>1.1594999999999884</c:v>
                </c:pt>
                <c:pt idx="773">
                  <c:v>1.1609999999999885</c:v>
                </c:pt>
                <c:pt idx="774">
                  <c:v>1.1624999999999885</c:v>
                </c:pt>
                <c:pt idx="775">
                  <c:v>1.1639999999999886</c:v>
                </c:pt>
                <c:pt idx="776">
                  <c:v>1.1654999999999887</c:v>
                </c:pt>
                <c:pt idx="777">
                  <c:v>1.1669999999999887</c:v>
                </c:pt>
                <c:pt idx="778">
                  <c:v>1.1684999999999888</c:v>
                </c:pt>
                <c:pt idx="779">
                  <c:v>1.1699999999999888</c:v>
                </c:pt>
                <c:pt idx="780">
                  <c:v>1.1714999999999889</c:v>
                </c:pt>
                <c:pt idx="781">
                  <c:v>1.1729999999999889</c:v>
                </c:pt>
                <c:pt idx="782">
                  <c:v>1.174499999999989</c:v>
                </c:pt>
                <c:pt idx="783">
                  <c:v>1.1759999999999891</c:v>
                </c:pt>
                <c:pt idx="784">
                  <c:v>1.1774999999999891</c:v>
                </c:pt>
                <c:pt idx="785">
                  <c:v>1.1789999999999892</c:v>
                </c:pt>
                <c:pt idx="786">
                  <c:v>1.1804999999999892</c:v>
                </c:pt>
                <c:pt idx="787">
                  <c:v>1.1819999999999893</c:v>
                </c:pt>
                <c:pt idx="788">
                  <c:v>1.1834999999999893</c:v>
                </c:pt>
                <c:pt idx="789">
                  <c:v>1.1849999999999894</c:v>
                </c:pt>
                <c:pt idx="790">
                  <c:v>1.1864999999999895</c:v>
                </c:pt>
                <c:pt idx="791">
                  <c:v>1.1879999999999895</c:v>
                </c:pt>
                <c:pt idx="792">
                  <c:v>1.1894999999999896</c:v>
                </c:pt>
                <c:pt idx="793">
                  <c:v>1.1909999999999896</c:v>
                </c:pt>
                <c:pt idx="794">
                  <c:v>1.1924999999999897</c:v>
                </c:pt>
                <c:pt idx="795">
                  <c:v>1.1939999999999897</c:v>
                </c:pt>
                <c:pt idx="796">
                  <c:v>1.1954999999999898</c:v>
                </c:pt>
                <c:pt idx="797">
                  <c:v>1.1969999999999898</c:v>
                </c:pt>
                <c:pt idx="798">
                  <c:v>1.1984999999999899</c:v>
                </c:pt>
                <c:pt idx="799">
                  <c:v>1.19999999999999</c:v>
                </c:pt>
                <c:pt idx="800">
                  <c:v>1.20149999999999</c:v>
                </c:pt>
                <c:pt idx="801">
                  <c:v>1.2029999999999901</c:v>
                </c:pt>
                <c:pt idx="802">
                  <c:v>1.2044999999999901</c:v>
                </c:pt>
                <c:pt idx="803">
                  <c:v>1.2059999999999902</c:v>
                </c:pt>
                <c:pt idx="804">
                  <c:v>1.2074999999999902</c:v>
                </c:pt>
                <c:pt idx="805">
                  <c:v>1.2089999999999903</c:v>
                </c:pt>
                <c:pt idx="806">
                  <c:v>1.2104999999999904</c:v>
                </c:pt>
                <c:pt idx="807">
                  <c:v>1.2119999999999904</c:v>
                </c:pt>
                <c:pt idx="808">
                  <c:v>1.2134999999999905</c:v>
                </c:pt>
                <c:pt idx="809">
                  <c:v>1.2149999999999905</c:v>
                </c:pt>
                <c:pt idx="810">
                  <c:v>1.2164999999999906</c:v>
                </c:pt>
                <c:pt idx="811">
                  <c:v>1.2179999999999906</c:v>
                </c:pt>
                <c:pt idx="812">
                  <c:v>1.2194999999999907</c:v>
                </c:pt>
                <c:pt idx="813">
                  <c:v>1.2209999999999908</c:v>
                </c:pt>
                <c:pt idx="814">
                  <c:v>1.2224999999999908</c:v>
                </c:pt>
                <c:pt idx="815">
                  <c:v>1.2239999999999909</c:v>
                </c:pt>
                <c:pt idx="816">
                  <c:v>1.2254999999999909</c:v>
                </c:pt>
                <c:pt idx="817">
                  <c:v>1.226999999999991</c:v>
                </c:pt>
                <c:pt idx="818">
                  <c:v>1.228499999999991</c:v>
                </c:pt>
                <c:pt idx="819">
                  <c:v>1.2299999999999911</c:v>
                </c:pt>
                <c:pt idx="820">
                  <c:v>1.2314999999999912</c:v>
                </c:pt>
                <c:pt idx="821">
                  <c:v>1.2329999999999912</c:v>
                </c:pt>
                <c:pt idx="822">
                  <c:v>1.2344999999999913</c:v>
                </c:pt>
                <c:pt idx="823">
                  <c:v>1.2359999999999913</c:v>
                </c:pt>
                <c:pt idx="824">
                  <c:v>1.2374999999999914</c:v>
                </c:pt>
                <c:pt idx="825">
                  <c:v>1.2389999999999914</c:v>
                </c:pt>
                <c:pt idx="826">
                  <c:v>1.2404999999999915</c:v>
                </c:pt>
                <c:pt idx="827">
                  <c:v>1.2419999999999916</c:v>
                </c:pt>
                <c:pt idx="828">
                  <c:v>1.2434999999999916</c:v>
                </c:pt>
                <c:pt idx="829">
                  <c:v>1.2449999999999917</c:v>
                </c:pt>
                <c:pt idx="830">
                  <c:v>1.2464999999999917</c:v>
                </c:pt>
                <c:pt idx="831">
                  <c:v>1.2479999999999918</c:v>
                </c:pt>
                <c:pt idx="832">
                  <c:v>1.2494999999999918</c:v>
                </c:pt>
                <c:pt idx="833">
                  <c:v>1.2509999999999919</c:v>
                </c:pt>
                <c:pt idx="834">
                  <c:v>1.252499999999992</c:v>
                </c:pt>
                <c:pt idx="835">
                  <c:v>1.253999999999992</c:v>
                </c:pt>
                <c:pt idx="836">
                  <c:v>1.2554999999999921</c:v>
                </c:pt>
                <c:pt idx="837">
                  <c:v>1.2569999999999921</c:v>
                </c:pt>
                <c:pt idx="838">
                  <c:v>1.2584999999999922</c:v>
                </c:pt>
                <c:pt idx="839">
                  <c:v>1.2599999999999922</c:v>
                </c:pt>
                <c:pt idx="840">
                  <c:v>1.2614999999999923</c:v>
                </c:pt>
                <c:pt idx="841">
                  <c:v>1.2629999999999924</c:v>
                </c:pt>
                <c:pt idx="842">
                  <c:v>1.2644999999999924</c:v>
                </c:pt>
                <c:pt idx="843">
                  <c:v>1.2659999999999925</c:v>
                </c:pt>
                <c:pt idx="844">
                  <c:v>1.2674999999999925</c:v>
                </c:pt>
                <c:pt idx="845">
                  <c:v>1.2689999999999926</c:v>
                </c:pt>
                <c:pt idx="846">
                  <c:v>1.2704999999999926</c:v>
                </c:pt>
                <c:pt idx="847">
                  <c:v>1.2719999999999927</c:v>
                </c:pt>
                <c:pt idx="848">
                  <c:v>1.2734999999999927</c:v>
                </c:pt>
                <c:pt idx="849">
                  <c:v>1.2749999999999928</c:v>
                </c:pt>
                <c:pt idx="850">
                  <c:v>1.2764999999999929</c:v>
                </c:pt>
                <c:pt idx="851">
                  <c:v>1.2779999999999929</c:v>
                </c:pt>
                <c:pt idx="852">
                  <c:v>1.279499999999993</c:v>
                </c:pt>
                <c:pt idx="853">
                  <c:v>1.280999999999993</c:v>
                </c:pt>
                <c:pt idx="854">
                  <c:v>1.2824999999999931</c:v>
                </c:pt>
                <c:pt idx="855">
                  <c:v>1.2839999999999931</c:v>
                </c:pt>
                <c:pt idx="856">
                  <c:v>1.2854999999999932</c:v>
                </c:pt>
                <c:pt idx="857">
                  <c:v>1.2869999999999933</c:v>
                </c:pt>
                <c:pt idx="858">
                  <c:v>1.2884999999999933</c:v>
                </c:pt>
                <c:pt idx="859">
                  <c:v>1.2899999999999934</c:v>
                </c:pt>
                <c:pt idx="860">
                  <c:v>1.2914999999999934</c:v>
                </c:pt>
                <c:pt idx="861">
                  <c:v>1.2929999999999935</c:v>
                </c:pt>
                <c:pt idx="862">
                  <c:v>1.2944999999999935</c:v>
                </c:pt>
                <c:pt idx="863">
                  <c:v>1.2959999999999936</c:v>
                </c:pt>
                <c:pt idx="864">
                  <c:v>1.2974999999999937</c:v>
                </c:pt>
                <c:pt idx="865">
                  <c:v>1.2989999999999937</c:v>
                </c:pt>
                <c:pt idx="866">
                  <c:v>1.3004999999999938</c:v>
                </c:pt>
                <c:pt idx="867">
                  <c:v>1.3019999999999938</c:v>
                </c:pt>
                <c:pt idx="868">
                  <c:v>1.3034999999999939</c:v>
                </c:pt>
                <c:pt idx="869">
                  <c:v>1.3049999999999939</c:v>
                </c:pt>
                <c:pt idx="870">
                  <c:v>1.306499999999994</c:v>
                </c:pt>
                <c:pt idx="871">
                  <c:v>1.3079999999999941</c:v>
                </c:pt>
                <c:pt idx="872">
                  <c:v>1.3094999999999941</c:v>
                </c:pt>
                <c:pt idx="873">
                  <c:v>1.3109999999999942</c:v>
                </c:pt>
                <c:pt idx="874">
                  <c:v>1.3124999999999942</c:v>
                </c:pt>
                <c:pt idx="875">
                  <c:v>1.3139999999999943</c:v>
                </c:pt>
                <c:pt idx="876">
                  <c:v>1.3154999999999943</c:v>
                </c:pt>
                <c:pt idx="877">
                  <c:v>1.3169999999999944</c:v>
                </c:pt>
                <c:pt idx="878">
                  <c:v>1.3184999999999945</c:v>
                </c:pt>
                <c:pt idx="879">
                  <c:v>1.3199999999999945</c:v>
                </c:pt>
                <c:pt idx="880">
                  <c:v>1.3214999999999946</c:v>
                </c:pt>
                <c:pt idx="881">
                  <c:v>1.3229999999999946</c:v>
                </c:pt>
                <c:pt idx="882">
                  <c:v>1.3244999999999947</c:v>
                </c:pt>
                <c:pt idx="883">
                  <c:v>1.3259999999999947</c:v>
                </c:pt>
                <c:pt idx="884">
                  <c:v>1.3274999999999948</c:v>
                </c:pt>
                <c:pt idx="885">
                  <c:v>1.3289999999999949</c:v>
                </c:pt>
                <c:pt idx="886">
                  <c:v>1.3304999999999949</c:v>
                </c:pt>
                <c:pt idx="887">
                  <c:v>1.331999999999995</c:v>
                </c:pt>
                <c:pt idx="888">
                  <c:v>1.333499999999995</c:v>
                </c:pt>
                <c:pt idx="889">
                  <c:v>1.3349999999999951</c:v>
                </c:pt>
                <c:pt idx="890">
                  <c:v>1.3364999999999951</c:v>
                </c:pt>
                <c:pt idx="891">
                  <c:v>1.3379999999999952</c:v>
                </c:pt>
                <c:pt idx="892">
                  <c:v>1.3394999999999953</c:v>
                </c:pt>
                <c:pt idx="893">
                  <c:v>1.3409999999999953</c:v>
                </c:pt>
                <c:pt idx="894">
                  <c:v>1.3424999999999954</c:v>
                </c:pt>
                <c:pt idx="895">
                  <c:v>1.3439999999999954</c:v>
                </c:pt>
                <c:pt idx="896">
                  <c:v>1.3454999999999955</c:v>
                </c:pt>
                <c:pt idx="897">
                  <c:v>1.3469999999999955</c:v>
                </c:pt>
                <c:pt idx="898">
                  <c:v>1.3484999999999956</c:v>
                </c:pt>
                <c:pt idx="899">
                  <c:v>1.3499999999999956</c:v>
                </c:pt>
                <c:pt idx="900">
                  <c:v>1.3514999999999957</c:v>
                </c:pt>
                <c:pt idx="901">
                  <c:v>1.3529999999999958</c:v>
                </c:pt>
                <c:pt idx="902">
                  <c:v>1.3544999999999958</c:v>
                </c:pt>
                <c:pt idx="903">
                  <c:v>1.3559999999999959</c:v>
                </c:pt>
                <c:pt idx="904">
                  <c:v>1.3574999999999959</c:v>
                </c:pt>
                <c:pt idx="905">
                  <c:v>1.358999999999996</c:v>
                </c:pt>
                <c:pt idx="906">
                  <c:v>1.360499999999996</c:v>
                </c:pt>
                <c:pt idx="907">
                  <c:v>1.3619999999999961</c:v>
                </c:pt>
                <c:pt idx="908">
                  <c:v>1.3634999999999962</c:v>
                </c:pt>
                <c:pt idx="909">
                  <c:v>1.3649999999999962</c:v>
                </c:pt>
                <c:pt idx="910">
                  <c:v>1.3664999999999963</c:v>
                </c:pt>
                <c:pt idx="911">
                  <c:v>1.3679999999999963</c:v>
                </c:pt>
                <c:pt idx="912">
                  <c:v>1.3694999999999964</c:v>
                </c:pt>
                <c:pt idx="913">
                  <c:v>1.3709999999999964</c:v>
                </c:pt>
                <c:pt idx="914">
                  <c:v>1.3724999999999965</c:v>
                </c:pt>
                <c:pt idx="915">
                  <c:v>1.3739999999999966</c:v>
                </c:pt>
                <c:pt idx="916">
                  <c:v>1.3754999999999966</c:v>
                </c:pt>
                <c:pt idx="917">
                  <c:v>1.3769999999999967</c:v>
                </c:pt>
                <c:pt idx="918">
                  <c:v>1.3784999999999967</c:v>
                </c:pt>
                <c:pt idx="919">
                  <c:v>1.3799999999999968</c:v>
                </c:pt>
                <c:pt idx="920">
                  <c:v>1.3814999999999968</c:v>
                </c:pt>
                <c:pt idx="921">
                  <c:v>1.3829999999999969</c:v>
                </c:pt>
                <c:pt idx="922">
                  <c:v>1.384499999999997</c:v>
                </c:pt>
                <c:pt idx="923">
                  <c:v>1.385999999999997</c:v>
                </c:pt>
                <c:pt idx="924">
                  <c:v>1.3874999999999971</c:v>
                </c:pt>
                <c:pt idx="925">
                  <c:v>1.3889999999999971</c:v>
                </c:pt>
                <c:pt idx="926">
                  <c:v>1.3904999999999972</c:v>
                </c:pt>
                <c:pt idx="927">
                  <c:v>1.3919999999999972</c:v>
                </c:pt>
                <c:pt idx="928">
                  <c:v>1.3934999999999973</c:v>
                </c:pt>
                <c:pt idx="929">
                  <c:v>1.3949999999999974</c:v>
                </c:pt>
                <c:pt idx="930">
                  <c:v>1.3964999999999974</c:v>
                </c:pt>
                <c:pt idx="931">
                  <c:v>1.3979999999999975</c:v>
                </c:pt>
                <c:pt idx="932">
                  <c:v>1.3994999999999975</c:v>
                </c:pt>
                <c:pt idx="933">
                  <c:v>1.4009999999999976</c:v>
                </c:pt>
                <c:pt idx="934">
                  <c:v>1.4024999999999976</c:v>
                </c:pt>
                <c:pt idx="935">
                  <c:v>1.4039999999999977</c:v>
                </c:pt>
                <c:pt idx="936">
                  <c:v>1.4054999999999978</c:v>
                </c:pt>
                <c:pt idx="937">
                  <c:v>1.4069999999999978</c:v>
                </c:pt>
                <c:pt idx="938">
                  <c:v>1.4084999999999979</c:v>
                </c:pt>
                <c:pt idx="939">
                  <c:v>1.4099999999999979</c:v>
                </c:pt>
                <c:pt idx="940">
                  <c:v>1.411499999999998</c:v>
                </c:pt>
                <c:pt idx="941">
                  <c:v>1.412999999999998</c:v>
                </c:pt>
                <c:pt idx="942">
                  <c:v>1.4144999999999981</c:v>
                </c:pt>
                <c:pt idx="943">
                  <c:v>1.4159999999999981</c:v>
                </c:pt>
                <c:pt idx="944">
                  <c:v>1.4174999999999982</c:v>
                </c:pt>
                <c:pt idx="945">
                  <c:v>1.4189999999999983</c:v>
                </c:pt>
                <c:pt idx="946">
                  <c:v>1.4204999999999983</c:v>
                </c:pt>
                <c:pt idx="947">
                  <c:v>1.4219999999999984</c:v>
                </c:pt>
                <c:pt idx="948">
                  <c:v>1.4234999999999984</c:v>
                </c:pt>
                <c:pt idx="949">
                  <c:v>1.4249999999999985</c:v>
                </c:pt>
                <c:pt idx="950">
                  <c:v>1.4264999999999985</c:v>
                </c:pt>
                <c:pt idx="951">
                  <c:v>1.4279999999999986</c:v>
                </c:pt>
                <c:pt idx="952">
                  <c:v>1.4294999999999987</c:v>
                </c:pt>
                <c:pt idx="953">
                  <c:v>1.4309999999999987</c:v>
                </c:pt>
                <c:pt idx="954">
                  <c:v>1.4324999999999988</c:v>
                </c:pt>
                <c:pt idx="955">
                  <c:v>1.4339999999999988</c:v>
                </c:pt>
                <c:pt idx="956">
                  <c:v>1.4354999999999989</c:v>
                </c:pt>
                <c:pt idx="957">
                  <c:v>1.4369999999999989</c:v>
                </c:pt>
                <c:pt idx="958">
                  <c:v>1.438499999999999</c:v>
                </c:pt>
                <c:pt idx="959">
                  <c:v>1.4399999999999991</c:v>
                </c:pt>
                <c:pt idx="960">
                  <c:v>1.4414999999999991</c:v>
                </c:pt>
                <c:pt idx="961">
                  <c:v>1.4429999999999992</c:v>
                </c:pt>
                <c:pt idx="962">
                  <c:v>1.4444999999999992</c:v>
                </c:pt>
                <c:pt idx="963">
                  <c:v>1.4459999999999993</c:v>
                </c:pt>
                <c:pt idx="964">
                  <c:v>1.4474999999999993</c:v>
                </c:pt>
                <c:pt idx="965">
                  <c:v>1.4489999999999994</c:v>
                </c:pt>
                <c:pt idx="966">
                  <c:v>1.4504999999999995</c:v>
                </c:pt>
                <c:pt idx="967">
                  <c:v>1.4519999999999995</c:v>
                </c:pt>
                <c:pt idx="968">
                  <c:v>1.4534999999999996</c:v>
                </c:pt>
                <c:pt idx="969">
                  <c:v>1.4549999999999996</c:v>
                </c:pt>
                <c:pt idx="970">
                  <c:v>1.4564999999999997</c:v>
                </c:pt>
                <c:pt idx="971">
                  <c:v>1.4579999999999997</c:v>
                </c:pt>
                <c:pt idx="972">
                  <c:v>1.4594999999999998</c:v>
                </c:pt>
                <c:pt idx="973">
                  <c:v>1.4609999999999999</c:v>
                </c:pt>
                <c:pt idx="974">
                  <c:v>1.4624999999999999</c:v>
                </c:pt>
                <c:pt idx="975">
                  <c:v>1.464</c:v>
                </c:pt>
                <c:pt idx="976">
                  <c:v>1.4655</c:v>
                </c:pt>
                <c:pt idx="977">
                  <c:v>1.4670000000000001</c:v>
                </c:pt>
                <c:pt idx="978">
                  <c:v>1.4685000000000001</c:v>
                </c:pt>
                <c:pt idx="979">
                  <c:v>1.4700000000000002</c:v>
                </c:pt>
                <c:pt idx="980">
                  <c:v>1.4715000000000003</c:v>
                </c:pt>
                <c:pt idx="981">
                  <c:v>1.4730000000000003</c:v>
                </c:pt>
                <c:pt idx="982">
                  <c:v>1.4745000000000004</c:v>
                </c:pt>
                <c:pt idx="983">
                  <c:v>1.4760000000000004</c:v>
                </c:pt>
                <c:pt idx="984">
                  <c:v>1.4775000000000005</c:v>
                </c:pt>
                <c:pt idx="985">
                  <c:v>1.4790000000000005</c:v>
                </c:pt>
                <c:pt idx="986">
                  <c:v>1.4805000000000006</c:v>
                </c:pt>
                <c:pt idx="987">
                  <c:v>1.4820000000000007</c:v>
                </c:pt>
                <c:pt idx="988">
                  <c:v>1.4835000000000007</c:v>
                </c:pt>
                <c:pt idx="989">
                  <c:v>1.4850000000000008</c:v>
                </c:pt>
                <c:pt idx="990">
                  <c:v>1.4865000000000008</c:v>
                </c:pt>
                <c:pt idx="991">
                  <c:v>1.4880000000000009</c:v>
                </c:pt>
                <c:pt idx="992">
                  <c:v>1.4895000000000009</c:v>
                </c:pt>
                <c:pt idx="993">
                  <c:v>1.491000000000001</c:v>
                </c:pt>
                <c:pt idx="994">
                  <c:v>1.492500000000001</c:v>
                </c:pt>
                <c:pt idx="995">
                  <c:v>1.4940000000000011</c:v>
                </c:pt>
                <c:pt idx="996">
                  <c:v>1.4955000000000012</c:v>
                </c:pt>
                <c:pt idx="997">
                  <c:v>1.4970000000000012</c:v>
                </c:pt>
                <c:pt idx="998">
                  <c:v>1.4985000000000013</c:v>
                </c:pt>
                <c:pt idx="999">
                  <c:v>1.5000000000000013</c:v>
                </c:pt>
              </c:numCache>
            </c:numRef>
          </c:xVal>
          <c:yVal>
            <c:numRef>
              <c:f>'Precision two'!$F$104:$F$1103</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4.1818400594214225E-14</c:v>
                </c:pt>
                <c:pt idx="126">
                  <c:v>8.3636801188428451E-14</c:v>
                </c:pt>
                <c:pt idx="127">
                  <c:v>8.3636801188428451E-14</c:v>
                </c:pt>
                <c:pt idx="128">
                  <c:v>1.2545520178264266E-13</c:v>
                </c:pt>
                <c:pt idx="129">
                  <c:v>2.5091040356528533E-13</c:v>
                </c:pt>
                <c:pt idx="130">
                  <c:v>5.0182080713057066E-13</c:v>
                </c:pt>
                <c:pt idx="131">
                  <c:v>8.3636801188428446E-13</c:v>
                </c:pt>
                <c:pt idx="132">
                  <c:v>1.3800072196090696E-12</c:v>
                </c:pt>
                <c:pt idx="133">
                  <c:v>2.3836488338702111E-12</c:v>
                </c:pt>
                <c:pt idx="134">
                  <c:v>4.098203258232994E-12</c:v>
                </c:pt>
                <c:pt idx="135">
                  <c:v>6.9418544986395611E-12</c:v>
                </c:pt>
                <c:pt idx="136">
                  <c:v>1.1667333765785768E-11</c:v>
                </c:pt>
                <c:pt idx="137">
                  <c:v>1.9445556276309614E-11</c:v>
                </c:pt>
                <c:pt idx="138">
                  <c:v>3.2200168457544955E-11</c:v>
                </c:pt>
                <c:pt idx="139">
                  <c:v>5.3025731953463641E-11</c:v>
                </c:pt>
                <c:pt idx="140">
                  <c:v>8.6814999633588728E-11</c:v>
                </c:pt>
                <c:pt idx="141">
                  <c:v>1.4126255720725564E-10</c:v>
                </c:pt>
                <c:pt idx="142">
                  <c:v>2.2832846724440967E-10</c:v>
                </c:pt>
                <c:pt idx="143">
                  <c:v>3.6678919161185297E-10</c:v>
                </c:pt>
                <c:pt idx="144">
                  <c:v>5.8575033712315861E-10</c:v>
                </c:pt>
                <c:pt idx="145">
                  <c:v>9.2987395561294751E-10</c:v>
                </c:pt>
                <c:pt idx="146">
                  <c:v>1.467365858450383E-9</c:v>
                </c:pt>
                <c:pt idx="147">
                  <c:v>2.3019356791091163E-9</c:v>
                </c:pt>
                <c:pt idx="148">
                  <c:v>3.5903187830162624E-9</c:v>
                </c:pt>
                <c:pt idx="149">
                  <c:v>5.5677436735142765E-9</c:v>
                </c:pt>
                <c:pt idx="150">
                  <c:v>8.5852340051909924E-9</c:v>
                </c:pt>
                <c:pt idx="151">
                  <c:v>1.3163679775847943E-8</c:v>
                </c:pt>
                <c:pt idx="152">
                  <c:v>2.0071368641202032E-8</c:v>
                </c:pt>
                <c:pt idx="153">
                  <c:v>3.0435306497267327E-8</c:v>
                </c:pt>
                <c:pt idx="154">
                  <c:v>4.5898831032194672E-8</c:v>
                </c:pt>
                <c:pt idx="155">
                  <c:v>6.8844754711842399E-8</c:v>
                </c:pt>
                <c:pt idx="156">
                  <c:v>1.0270896096583232E-7</c:v>
                </c:pt>
                <c:pt idx="157">
                  <c:v>1.5241769920256348E-7</c:v>
                </c:pt>
                <c:pt idx="158">
                  <c:v>2.2499541526184902E-7</c:v>
                </c:pt>
                <c:pt idx="159">
                  <c:v>3.304030848916284E-7</c:v>
                </c:pt>
                <c:pt idx="160">
                  <c:v>4.8268893067711827E-7</c:v>
                </c:pt>
                <c:pt idx="161">
                  <c:v>7.0155807570711671E-7</c:v>
                </c:pt>
                <c:pt idx="162">
                  <c:v>1.0145016019850552E-6</c:v>
                </c:pt>
                <c:pt idx="163">
                  <c:v>1.4596685963634095E-6</c:v>
                </c:pt>
                <c:pt idx="164">
                  <c:v>2.0897162452312062E-6</c:v>
                </c:pt>
                <c:pt idx="165">
                  <c:v>2.97694421410218E-6</c:v>
                </c:pt>
                <c:pt idx="166">
                  <c:v>4.220101219587491E-6</c:v>
                </c:pt>
                <c:pt idx="167">
                  <c:v>5.953358630887232E-6</c:v>
                </c:pt>
                <c:pt idx="168">
                  <c:v>8.3580679222095E-6</c:v>
                </c:pt>
                <c:pt idx="169">
                  <c:v>1.1678093180256255E-5</c:v>
                </c:pt>
                <c:pt idx="170">
                  <c:v>1.6239678733616831E-5</c:v>
                </c:pt>
                <c:pt idx="171">
                  <c:v>2.2477046655774064E-5</c:v>
                </c:pt>
                <c:pt idx="172">
                  <c:v>3.096520606038488E-5</c:v>
                </c:pt>
                <c:pt idx="173">
                  <c:v>4.2461753729054287E-5</c:v>
                </c:pt>
                <c:pt idx="174">
                  <c:v>5.7959847068467234E-5</c:v>
                </c:pt>
                <c:pt idx="175">
                  <c:v>7.8754881208305719E-5</c:v>
                </c:pt>
                <c:pt idx="176">
                  <c:v>1.0652810376414003E-4</c:v>
                </c:pt>
                <c:pt idx="177">
                  <c:v>1.4345070928382478E-4</c:v>
                </c:pt>
                <c:pt idx="178">
                  <c:v>1.9231268328701034E-4</c:v>
                </c:pt>
                <c:pt idx="179">
                  <c:v>2.5668152279186468E-4</c:v>
                </c:pt>
                <c:pt idx="180">
                  <c:v>3.4109646814939326E-4</c:v>
                </c:pt>
                <c:pt idx="181">
                  <c:v>4.5130498848244821E-4</c:v>
                </c:pt>
                <c:pt idx="182">
                  <c:v>5.9454830789766133E-4</c:v>
                </c:pt>
                <c:pt idx="183">
                  <c:v>7.7990566643556147E-4</c:v>
                </c:pt>
                <c:pt idx="184">
                  <c:v>1.0187053765065013E-3</c:v>
                </c:pt>
                <c:pt idx="185">
                  <c:v>1.3250125824278607E-3</c:v>
                </c:pt>
                <c:pt idx="186">
                  <c:v>1.7162060000249406E-3</c:v>
                </c:pt>
                <c:pt idx="187">
                  <c:v>2.2136547463573E-3</c:v>
                </c:pt>
                <c:pt idx="188">
                  <c:v>2.8435043508908313E-3</c:v>
                </c:pt>
                <c:pt idx="189">
                  <c:v>3.6375920179787524E-3</c:v>
                </c:pt>
                <c:pt idx="190">
                  <c:v>4.6344971296319306E-3</c:v>
                </c:pt>
                <c:pt idx="191">
                  <c:v>5.8807381869607758E-3</c:v>
                </c:pt>
                <c:pt idx="192">
                  <c:v>7.4321374909928437E-3</c:v>
                </c:pt>
                <c:pt idx="193">
                  <c:v>9.3553450411124964E-3</c:v>
                </c:pt>
                <c:pt idx="194">
                  <c:v>1.1729558441989639E-2</c:v>
                </c:pt>
                <c:pt idx="195">
                  <c:v>1.4648421777706529E-2</c:v>
                </c:pt>
                <c:pt idx="196">
                  <c:v>1.8222102353467884E-2</c:v>
                </c:pt>
                <c:pt idx="197">
                  <c:v>2.2579569114827835E-2</c:v>
                </c:pt>
                <c:pt idx="198">
                  <c:v>2.787105402187591E-2</c:v>
                </c:pt>
                <c:pt idx="199">
                  <c:v>3.4270633446707256E-2</c:v>
                </c:pt>
                <c:pt idx="200">
                  <c:v>4.1979035255558975E-2</c:v>
                </c:pt>
                <c:pt idx="201">
                  <c:v>5.1226532606962007E-2</c:v>
                </c:pt>
                <c:pt idx="202">
                  <c:v>6.2275871264120999E-2</c:v>
                </c:pt>
                <c:pt idx="203">
                  <c:v>7.5425343865601249E-2</c:v>
                </c:pt>
                <c:pt idx="204">
                  <c:v>9.1011659370367662E-2</c:v>
                </c:pt>
                <c:pt idx="205">
                  <c:v>0.1094129796393454</c:v>
                </c:pt>
                <c:pt idx="206">
                  <c:v>0.13105169265999916</c:v>
                </c:pt>
                <c:pt idx="207">
                  <c:v>0.15639685147666704</c:v>
                </c:pt>
                <c:pt idx="208">
                  <c:v>0.18596620034919351</c:v>
                </c:pt>
                <c:pt idx="209">
                  <c:v>0.22032812792431816</c:v>
                </c:pt>
                <c:pt idx="210">
                  <c:v>0.26010286875372357</c:v>
                </c:pt>
                <c:pt idx="211">
                  <c:v>0.30596270962263655</c:v>
                </c:pt>
                <c:pt idx="212">
                  <c:v>0.35863206433969563</c:v>
                </c:pt>
                <c:pt idx="213">
                  <c:v>0.41888549415824572</c:v>
                </c:pt>
                <c:pt idx="214">
                  <c:v>0.48754617344307855</c:v>
                </c:pt>
                <c:pt idx="215">
                  <c:v>0.56548256070477676</c:v>
                </c:pt>
                <c:pt idx="216">
                  <c:v>0.65360326087139187</c:v>
                </c:pt>
                <c:pt idx="217">
                  <c:v>0.75285017754705075</c:v>
                </c:pt>
                <c:pt idx="218">
                  <c:v>0.86419236338301086</c:v>
                </c:pt>
                <c:pt idx="219">
                  <c:v>0.98861726715881038</c:v>
                </c:pt>
                <c:pt idx="220">
                  <c:v>1.1271193992019064</c:v>
                </c:pt>
                <c:pt idx="221">
                  <c:v>1.2806868552714219</c:v>
                </c:pt>
                <c:pt idx="222">
                  <c:v>1.45029050209435</c:v>
                </c:pt>
                <c:pt idx="223">
                  <c:v>1.6368705899805867</c:v>
                </c:pt>
                <c:pt idx="224">
                  <c:v>1.841314027588876</c:v>
                </c:pt>
                <c:pt idx="225">
                  <c:v>2.0644433469492363</c:v>
                </c:pt>
                <c:pt idx="226">
                  <c:v>2.3069987098754678</c:v>
                </c:pt>
                <c:pt idx="227">
                  <c:v>2.5696169343728399</c:v>
                </c:pt>
                <c:pt idx="228">
                  <c:v>2.8528086457484894</c:v>
                </c:pt>
                <c:pt idx="229">
                  <c:v>3.1569459698165181</c:v>
                </c:pt>
                <c:pt idx="230">
                  <c:v>3.4822473803329101</c:v>
                </c:pt>
                <c:pt idx="231">
                  <c:v>3.8287424575559537</c:v>
                </c:pt>
                <c:pt idx="232">
                  <c:v>4.1962707686693879</c:v>
                </c:pt>
                <c:pt idx="233">
                  <c:v>4.5844699136357132</c:v>
                </c:pt>
                <c:pt idx="234">
                  <c:v>4.9927388617374149</c:v>
                </c:pt>
                <c:pt idx="235">
                  <c:v>5.4202481191303056</c:v>
                </c:pt>
                <c:pt idx="236">
                  <c:v>5.8659313159724578</c:v>
                </c:pt>
                <c:pt idx="237">
                  <c:v>6.3284716593660075</c:v>
                </c:pt>
                <c:pt idx="238">
                  <c:v>6.8062872682352857</c:v>
                </c:pt>
                <c:pt idx="239">
                  <c:v>7.2975559013810454</c:v>
                </c:pt>
                <c:pt idx="240">
                  <c:v>7.8002324628072968</c:v>
                </c:pt>
                <c:pt idx="241">
                  <c:v>8.3120001490380151</c:v>
                </c:pt>
                <c:pt idx="242">
                  <c:v>8.830338055289662</c:v>
                </c:pt>
                <c:pt idx="243">
                  <c:v>9.3525502063687096</c:v>
                </c:pt>
                <c:pt idx="244">
                  <c:v>9.8757087892793578</c:v>
                </c:pt>
                <c:pt idx="245">
                  <c:v>10.39676327714351</c:v>
                </c:pt>
                <c:pt idx="246">
                  <c:v>10.912528370290245</c:v>
                </c:pt>
                <c:pt idx="247">
                  <c:v>11.419711659330961</c:v>
                </c:pt>
                <c:pt idx="248">
                  <c:v>11.915004787787545</c:v>
                </c:pt>
                <c:pt idx="249">
                  <c:v>12.395009056932343</c:v>
                </c:pt>
                <c:pt idx="250">
                  <c:v>12.856369245619682</c:v>
                </c:pt>
                <c:pt idx="251">
                  <c:v>13.295832870153635</c:v>
                </c:pt>
                <c:pt idx="252">
                  <c:v>13.710151418836155</c:v>
                </c:pt>
                <c:pt idx="253">
                  <c:v>14.096268384497121</c:v>
                </c:pt>
                <c:pt idx="254">
                  <c:v>14.451284242470685</c:v>
                </c:pt>
                <c:pt idx="255">
                  <c:v>14.772486590091276</c:v>
                </c:pt>
                <c:pt idx="256">
                  <c:v>15.057484860984204</c:v>
                </c:pt>
                <c:pt idx="257">
                  <c:v>15.304042524737856</c:v>
                </c:pt>
                <c:pt idx="258">
                  <c:v>15.510303221540058</c:v>
                </c:pt>
                <c:pt idx="259">
                  <c:v>15.674715955015595</c:v>
                </c:pt>
                <c:pt idx="260">
                  <c:v>15.796046616633355</c:v>
                </c:pt>
                <c:pt idx="261">
                  <c:v>15.873526704444242</c:v>
                </c:pt>
                <c:pt idx="262">
                  <c:v>15.906595441861038</c:v>
                </c:pt>
                <c:pt idx="263">
                  <c:v>15.895218434959231</c:v>
                </c:pt>
                <c:pt idx="264">
                  <c:v>15.839578535168069</c:v>
                </c:pt>
                <c:pt idx="265">
                  <c:v>15.740250118456492</c:v>
                </c:pt>
                <c:pt idx="266">
                  <c:v>15.598383469748056</c:v>
                </c:pt>
                <c:pt idx="267">
                  <c:v>15.415231048769543</c:v>
                </c:pt>
                <c:pt idx="268">
                  <c:v>15.192409932639432</c:v>
                </c:pt>
                <c:pt idx="269">
                  <c:v>14.931880769816265</c:v>
                </c:pt>
                <c:pt idx="270">
                  <c:v>14.635828488005741</c:v>
                </c:pt>
                <c:pt idx="271">
                  <c:v>14.306697728922483</c:v>
                </c:pt>
                <c:pt idx="272">
                  <c:v>13.947152085570703</c:v>
                </c:pt>
                <c:pt idx="273">
                  <c:v>13.559988117994287</c:v>
                </c:pt>
                <c:pt idx="274">
                  <c:v>13.148169693382609</c:v>
                </c:pt>
                <c:pt idx="275">
                  <c:v>12.714740593900148</c:v>
                </c:pt>
                <c:pt idx="276">
                  <c:v>12.262794410694026</c:v>
                </c:pt>
                <c:pt idx="277">
                  <c:v>11.795479841098119</c:v>
                </c:pt>
                <c:pt idx="278">
                  <c:v>11.315909930431957</c:v>
                </c:pt>
                <c:pt idx="279">
                  <c:v>10.827171214758417</c:v>
                </c:pt>
                <c:pt idx="280">
                  <c:v>10.332288155561743</c:v>
                </c:pt>
                <c:pt idx="281">
                  <c:v>9.8341653262519451</c:v>
                </c:pt>
                <c:pt idx="282">
                  <c:v>9.3355866712192412</c:v>
                </c:pt>
                <c:pt idx="283">
                  <c:v>8.8391988703871434</c:v>
                </c:pt>
                <c:pt idx="284">
                  <c:v>8.3474730810463402</c:v>
                </c:pt>
                <c:pt idx="285">
                  <c:v>7.8626919773175095</c:v>
                </c:pt>
                <c:pt idx="286">
                  <c:v>7.3869549384579072</c:v>
                </c:pt>
                <c:pt idx="287">
                  <c:v>6.9221545330109571</c:v>
                </c:pt>
                <c:pt idx="288">
                  <c:v>6.4699664471641745</c:v>
                </c:pt>
                <c:pt idx="289">
                  <c:v>6.031859112635825</c:v>
                </c:pt>
                <c:pt idx="290">
                  <c:v>5.6090920611738948</c:v>
                </c:pt>
                <c:pt idx="291">
                  <c:v>5.202707309428134</c:v>
                </c:pt>
                <c:pt idx="292">
                  <c:v>4.8135452955979892</c:v>
                </c:pt>
                <c:pt idx="293">
                  <c:v>4.4422483524597638</c:v>
                </c:pt>
                <c:pt idx="294">
                  <c:v>4.0892744486993893</c:v>
                </c:pt>
                <c:pt idx="295">
                  <c:v>3.7549020571890837</c:v>
                </c:pt>
                <c:pt idx="296">
                  <c:v>3.4392432641445141</c:v>
                </c:pt>
                <c:pt idx="297">
                  <c:v>3.142262662076464</c:v>
                </c:pt>
                <c:pt idx="298">
                  <c:v>2.8637860823942032</c:v>
                </c:pt>
                <c:pt idx="299">
                  <c:v>2.6035169999368701</c:v>
                </c:pt>
                <c:pt idx="300">
                  <c:v>2.3610486399312474</c:v>
                </c:pt>
                <c:pt idx="301">
                  <c:v>2.1358818598349796</c:v>
                </c:pt>
                <c:pt idx="302">
                  <c:v>1.9274389013828634</c:v>
                </c:pt>
                <c:pt idx="303">
                  <c:v>1.7350739973109581</c:v>
                </c:pt>
                <c:pt idx="304">
                  <c:v>1.5580894213960887</c:v>
                </c:pt>
                <c:pt idx="305">
                  <c:v>1.3957470914207741</c:v>
                </c:pt>
                <c:pt idx="306">
                  <c:v>1.247280142493524</c:v>
                </c:pt>
                <c:pt idx="307">
                  <c:v>1.1119034019171272</c:v>
                </c:pt>
                <c:pt idx="308">
                  <c:v>0.9888238462536918</c:v>
                </c:pt>
                <c:pt idx="309">
                  <c:v>0.87724820822759264</c:v>
                </c:pt>
                <c:pt idx="310">
                  <c:v>0.77639079079616446</c:v>
                </c:pt>
                <c:pt idx="311">
                  <c:v>0.68548113687653822</c:v>
                </c:pt>
                <c:pt idx="312">
                  <c:v>0.6037688049034341</c:v>
                </c:pt>
                <c:pt idx="313">
                  <c:v>0.53052837487563709</c:v>
                </c:pt>
                <c:pt idx="314">
                  <c:v>0.46506330766339765</c:v>
                </c:pt>
                <c:pt idx="315">
                  <c:v>0.4067089706102453</c:v>
                </c:pt>
                <c:pt idx="316">
                  <c:v>0.35483489346433988</c:v>
                </c:pt>
                <c:pt idx="317">
                  <c:v>0.30884635778566011</c:v>
                </c:pt>
                <c:pt idx="318">
                  <c:v>0.26818517258995461</c:v>
                </c:pt>
                <c:pt idx="319">
                  <c:v>0.2323302470876574</c:v>
                </c:pt>
                <c:pt idx="320">
                  <c:v>0.20079744275048086</c:v>
                </c:pt>
                <c:pt idx="321">
                  <c:v>0.17313884184744316</c:v>
                </c:pt>
                <c:pt idx="322">
                  <c:v>0.14894203275600573</c:v>
                </c:pt>
                <c:pt idx="323">
                  <c:v>0.12782888208420251</c:v>
                </c:pt>
                <c:pt idx="324">
                  <c:v>0.10945412525183293</c:v>
                </c:pt>
                <c:pt idx="325">
                  <c:v>9.3503780175683796E-2</c:v>
                </c:pt>
                <c:pt idx="326">
                  <c:v>7.9693432488146143E-2</c:v>
                </c:pt>
                <c:pt idx="327">
                  <c:v>6.7766435501907515E-2</c:v>
                </c:pt>
                <c:pt idx="328">
                  <c:v>5.7492062915358681E-2</c:v>
                </c:pt>
                <c:pt idx="329">
                  <c:v>4.8663647142004184E-2</c:v>
                </c:pt>
                <c:pt idx="330">
                  <c:v>4.1096728207828406E-2</c:v>
                </c:pt>
                <c:pt idx="331">
                  <c:v>3.4627255558365717E-2</c:v>
                </c:pt>
                <c:pt idx="332">
                  <c:v>2.9109814797812227E-2</c:v>
                </c:pt>
                <c:pt idx="333">
                  <c:v>2.4415945665698227E-2</c:v>
                </c:pt>
                <c:pt idx="334">
                  <c:v>2.0432556811402099E-2</c:v>
                </c:pt>
                <c:pt idx="335">
                  <c:v>1.7060399055555921E-2</c:v>
                </c:pt>
                <c:pt idx="336">
                  <c:v>1.4212654142877281E-2</c:v>
                </c:pt>
                <c:pt idx="337">
                  <c:v>1.1813618167385558E-2</c:v>
                </c:pt>
                <c:pt idx="338">
                  <c:v>9.7974848126108332E-3</c:v>
                </c:pt>
                <c:pt idx="339">
                  <c:v>8.1072275718173312E-3</c:v>
                </c:pt>
                <c:pt idx="340">
                  <c:v>6.6935787030199282E-3</c:v>
                </c:pt>
                <c:pt idx="341">
                  <c:v>5.514101553268232E-3</c:v>
                </c:pt>
                <c:pt idx="342">
                  <c:v>4.532352026944215E-3</c:v>
                </c:pt>
                <c:pt idx="343">
                  <c:v>3.7171243436447308E-3</c:v>
                </c:pt>
                <c:pt idx="344">
                  <c:v>3.0417758032892199E-3</c:v>
                </c:pt>
                <c:pt idx="345">
                  <c:v>2.4836250207767702E-3</c:v>
                </c:pt>
                <c:pt idx="346">
                  <c:v>2.0234179826597773E-3</c:v>
                </c:pt>
                <c:pt idx="347">
                  <c:v>1.6448562889660519E-3</c:v>
                </c:pt>
                <c:pt idx="348">
                  <c:v>1.3341821119761028E-3</c:v>
                </c:pt>
                <c:pt idx="349">
                  <c:v>1.0798141455184104E-3</c:v>
                </c:pt>
                <c:pt idx="350">
                  <c:v>8.7203038739151674E-4</c:v>
                </c:pt>
                <c:pt idx="351">
                  <c:v>7.026919055294473E-4</c:v>
                </c:pt>
                <c:pt idx="352">
                  <c:v>5.6500320395666786E-4</c:v>
                </c:pt>
                <c:pt idx="353">
                  <c:v>4.5330594913980509E-4</c:v>
                </c:pt>
                <c:pt idx="354">
                  <c:v>3.629011793914025E-4</c:v>
                </c:pt>
                <c:pt idx="355">
                  <c:v>2.8989697357039492E-4</c:v>
                </c:pt>
                <c:pt idx="356">
                  <c:v>2.3107831748947298E-4</c:v>
                </c:pt>
                <c:pt idx="357">
                  <c:v>1.8379630747327813E-4</c:v>
                </c:pt>
                <c:pt idx="358">
                  <c:v>1.4587412987242363E-4</c:v>
                </c:pt>
                <c:pt idx="359">
                  <c:v>1.1552753636032126E-4</c:v>
                </c:pt>
                <c:pt idx="360">
                  <c:v>9.1297795952189253E-5</c:v>
                </c:pt>
                <c:pt idx="361">
                  <c:v>7.1995345078794252E-5</c:v>
                </c:pt>
                <c:pt idx="362">
                  <c:v>5.6652576525699013E-5</c:v>
                </c:pt>
                <c:pt idx="363">
                  <c:v>4.4484406906188217E-5</c:v>
                </c:pt>
                <c:pt idx="364">
                  <c:v>3.48554412374902E-5</c:v>
                </c:pt>
                <c:pt idx="365">
                  <c:v>2.7252713080211865E-5</c:v>
                </c:pt>
                <c:pt idx="366">
                  <c:v>2.1263120718466219E-5</c:v>
                </c:pt>
                <c:pt idx="367">
                  <c:v>1.6554805265908548E-5</c:v>
                </c:pt>
                <c:pt idx="368">
                  <c:v>1.2861826711153203E-5</c:v>
                </c:pt>
                <c:pt idx="369">
                  <c:v>9.9715901181844206E-6</c:v>
                </c:pt>
                <c:pt idx="370">
                  <c:v>7.7145578104487486E-6</c:v>
                </c:pt>
                <c:pt idx="371">
                  <c:v>5.955855688192862E-6</c:v>
                </c:pt>
                <c:pt idx="372">
                  <c:v>4.5884440913024136E-6</c:v>
                </c:pt>
                <c:pt idx="373">
                  <c:v>3.527576982471949E-6</c:v>
                </c:pt>
                <c:pt idx="374">
                  <c:v>2.7063187617543925E-6</c:v>
                </c:pt>
                <c:pt idx="375">
                  <c:v>2.0719267174939475E-6</c:v>
                </c:pt>
                <c:pt idx="376">
                  <c:v>1.5829398638620663E-6</c:v>
                </c:pt>
                <c:pt idx="377">
                  <c:v>1.2068425158815578E-6</c:v>
                </c:pt>
                <c:pt idx="378">
                  <c:v>9.1819412680448132E-7</c:v>
                </c:pt>
                <c:pt idx="379">
                  <c:v>6.9713628347780649E-7</c:v>
                </c:pt>
                <c:pt idx="380">
                  <c:v>5.2820400089585294E-7</c:v>
                </c:pt>
                <c:pt idx="381">
                  <c:v>3.9938159013041572E-7</c:v>
                </c:pt>
                <c:pt idx="382">
                  <c:v>3.0135488740573776E-7</c:v>
                </c:pt>
                <c:pt idx="383">
                  <c:v>2.2692053438916871E-7</c:v>
                </c:pt>
                <c:pt idx="384">
                  <c:v>1.7052034732676555E-7</c:v>
                </c:pt>
                <c:pt idx="385">
                  <c:v>1.2787538440561638E-7</c:v>
                </c:pt>
                <c:pt idx="386">
                  <c:v>9.5699021524279922E-8</c:v>
                </c:pt>
                <c:pt idx="387">
                  <c:v>7.1472553955121565E-8</c:v>
                </c:pt>
                <c:pt idx="388">
                  <c:v>5.3270136523748295E-8</c:v>
                </c:pt>
                <c:pt idx="389">
                  <c:v>3.9622553292334565E-8</c:v>
                </c:pt>
                <c:pt idx="390">
                  <c:v>2.9411465866012167E-8</c:v>
                </c:pt>
                <c:pt idx="391">
                  <c:v>2.1787523021787113E-8</c:v>
                </c:pt>
                <c:pt idx="392">
                  <c:v>1.6107102659717685E-8</c:v>
                </c:pt>
                <c:pt idx="393">
                  <c:v>1.1883565516075768E-8</c:v>
                </c:pt>
                <c:pt idx="394">
                  <c:v>8.749782437566481E-9</c:v>
                </c:pt>
                <c:pt idx="395">
                  <c:v>6.4293973375483875E-9</c:v>
                </c:pt>
                <c:pt idx="396">
                  <c:v>4.7148421751829576E-9</c:v>
                </c:pt>
                <c:pt idx="397">
                  <c:v>3.4505576313393325E-9</c:v>
                </c:pt>
                <c:pt idx="398">
                  <c:v>2.5202172673056401E-9</c:v>
                </c:pt>
                <c:pt idx="399">
                  <c:v>1.8370229484758162E-9</c:v>
                </c:pt>
                <c:pt idx="400">
                  <c:v>1.336350564975307E-9</c:v>
                </c:pt>
                <c:pt idx="401">
                  <c:v>9.701899076244063E-10</c:v>
                </c:pt>
                <c:pt idx="402">
                  <c:v>7.029508083602556E-10</c:v>
                </c:pt>
                <c:pt idx="403">
                  <c:v>5.0830717308519238E-10</c:v>
                </c:pt>
                <c:pt idx="404">
                  <c:v>3.6682754945215565E-10</c:v>
                </c:pt>
                <c:pt idx="405">
                  <c:v>2.6420031109994312E-10</c:v>
                </c:pt>
                <c:pt idx="406">
                  <c:v>1.8990729189654716E-10</c:v>
                </c:pt>
                <c:pt idx="407">
                  <c:v>1.3623482728716116E-10</c:v>
                </c:pt>
                <c:pt idx="408">
                  <c:v>9.7538053083235063E-11</c:v>
                </c:pt>
                <c:pt idx="409">
                  <c:v>6.969484978725658E-11</c:v>
                </c:pt>
                <c:pt idx="410">
                  <c:v>4.9701464112767787E-11</c:v>
                </c:pt>
                <c:pt idx="411">
                  <c:v>3.5373724345075363E-11</c:v>
                </c:pt>
                <c:pt idx="412">
                  <c:v>2.5126772542212858E-11</c:v>
                </c:pt>
                <c:pt idx="413">
                  <c:v>1.7813044172851519E-11</c:v>
                </c:pt>
                <c:pt idx="414">
                  <c:v>1.2603358416091394E-11</c:v>
                </c:pt>
                <c:pt idx="415">
                  <c:v>8.8998424031495039E-12</c:v>
                </c:pt>
                <c:pt idx="416">
                  <c:v>6.272308432380428E-12</c:v>
                </c:pt>
                <c:pt idx="417">
                  <c:v>4.411870141128334E-12</c:v>
                </c:pt>
                <c:pt idx="418">
                  <c:v>3.0972011893758623E-12</c:v>
                </c:pt>
                <c:pt idx="419">
                  <c:v>2.1700445182534884E-12</c:v>
                </c:pt>
                <c:pt idx="420">
                  <c:v>1.5174749797632948E-12</c:v>
                </c:pt>
                <c:pt idx="421">
                  <c:v>1.059081144867103E-12</c:v>
                </c:pt>
                <c:pt idx="422">
                  <c:v>7.3772220993737243E-13</c:v>
                </c:pt>
                <c:pt idx="423">
                  <c:v>5.1287735243085705E-13</c:v>
                </c:pt>
                <c:pt idx="424">
                  <c:v>3.5587078343385534E-13</c:v>
                </c:pt>
                <c:pt idx="425">
                  <c:v>2.4645089294432895E-13</c:v>
                </c:pt>
                <c:pt idx="426">
                  <c:v>1.70344768063717E-13</c:v>
                </c:pt>
                <c:pt idx="427">
                  <c:v>1.1751373472544501E-13</c:v>
                </c:pt>
                <c:pt idx="428">
                  <c:v>8.0911632182522334E-14</c:v>
                </c:pt>
                <c:pt idx="429">
                  <c:v>5.5602826424064448E-14</c:v>
                </c:pt>
                <c:pt idx="430">
                  <c:v>3.8137077564387598E-14</c:v>
                </c:pt>
                <c:pt idx="431">
                  <c:v>2.6107401133414926E-14</c:v>
                </c:pt>
                <c:pt idx="432">
                  <c:v>1.7838018570086432E-14</c:v>
                </c:pt>
                <c:pt idx="433">
                  <c:v>1.2164586735980783E-14</c:v>
                </c:pt>
                <c:pt idx="434">
                  <c:v>8.2797441707758139E-15</c:v>
                </c:pt>
                <c:pt idx="435">
                  <c:v>5.624790013084957E-15</c:v>
                </c:pt>
                <c:pt idx="436">
                  <c:v>3.8138759716131964E-15</c:v>
                </c:pt>
                <c:pt idx="437">
                  <c:v>2.5810634755212406E-15</c:v>
                </c:pt>
                <c:pt idx="438">
                  <c:v>1.743426639646937E-15</c:v>
                </c:pt>
                <c:pt idx="439">
                  <c:v>1.1753914882665291E-15</c:v>
                </c:pt>
                <c:pt idx="440">
                  <c:v>7.9092675622360975E-16</c:v>
                </c:pt>
                <c:pt idx="441">
                  <c:v>5.3120951144250267E-16</c:v>
                </c:pt>
                <c:pt idx="442">
                  <c:v>3.5610021900641891E-16</c:v>
                </c:pt>
                <c:pt idx="443">
                  <c:v>2.3826290429450288E-16</c:v>
                </c:pt>
                <c:pt idx="444">
                  <c:v>1.5911802784849863E-16</c:v>
                </c:pt>
                <c:pt idx="445">
                  <c:v>1.0606254966257155E-16</c:v>
                </c:pt>
                <c:pt idx="446">
                  <c:v>7.0564360503400109E-17</c:v>
                </c:pt>
                <c:pt idx="447">
                  <c:v>4.6858714909367785E-17</c:v>
                </c:pt>
                <c:pt idx="448">
                  <c:v>3.1058315261431439E-17</c:v>
                </c:pt>
                <c:pt idx="449">
                  <c:v>2.0547022807741094E-17</c:v>
                </c:pt>
                <c:pt idx="450">
                  <c:v>1.3567640502561368E-17</c:v>
                </c:pt>
                <c:pt idx="451">
                  <c:v>8.942214611281212E-18</c:v>
                </c:pt>
                <c:pt idx="452">
                  <c:v>5.8826376779660118E-18</c:v>
                </c:pt>
                <c:pt idx="453">
                  <c:v>3.8626581206091826E-18</c:v>
                </c:pt>
                <c:pt idx="454">
                  <c:v>2.5315616214342314E-18</c:v>
                </c:pt>
                <c:pt idx="455">
                  <c:v>1.6560738260496971E-18</c:v>
                </c:pt>
                <c:pt idx="456">
                  <c:v>1.0813361746117698E-18</c:v>
                </c:pt>
                <c:pt idx="457">
                  <c:v>7.0474581230243413E-19</c:v>
                </c:pt>
                <c:pt idx="458">
                  <c:v>4.5845412858606371E-19</c:v>
                </c:pt>
                <c:pt idx="459">
                  <c:v>2.9768143991113532E-19</c:v>
                </c:pt>
                <c:pt idx="460">
                  <c:v>1.9293054021971384E-19</c:v>
                </c:pt>
                <c:pt idx="461">
                  <c:v>1.2480857304435367E-19</c:v>
                </c:pt>
                <c:pt idx="462">
                  <c:v>8.0590328595995443E-20</c:v>
                </c:pt>
                <c:pt idx="463">
                  <c:v>5.1941843239002909E-20</c:v>
                </c:pt>
                <c:pt idx="464">
                  <c:v>3.3415545485787925E-20</c:v>
                </c:pt>
                <c:pt idx="465">
                  <c:v>2.1457412984330969E-20</c:v>
                </c:pt>
                <c:pt idx="466">
                  <c:v>1.3753226850555896E-20</c:v>
                </c:pt>
                <c:pt idx="467">
                  <c:v>8.7989555440122371E-21</c:v>
                </c:pt>
                <c:pt idx="468">
                  <c:v>5.6189832157552278E-21</c:v>
                </c:pt>
                <c:pt idx="469">
                  <c:v>3.5816674414871118E-21</c:v>
                </c:pt>
                <c:pt idx="470">
                  <c:v>2.2788435445576904E-21</c:v>
                </c:pt>
                <c:pt idx="471">
                  <c:v>1.4472591170777464E-21</c:v>
                </c:pt>
                <c:pt idx="472">
                  <c:v>9.1744791081859856E-22</c:v>
                </c:pt>
                <c:pt idx="473">
                  <c:v>5.8052466051705146E-22</c:v>
                </c:pt>
                <c:pt idx="474">
                  <c:v>3.6666111801075461E-22</c:v>
                </c:pt>
                <c:pt idx="475">
                  <c:v>2.3116110372799047E-22</c:v>
                </c:pt>
                <c:pt idx="476">
                  <c:v>1.4546923647035173E-22</c:v>
                </c:pt>
                <c:pt idx="477">
                  <c:v>9.1376566664543778E-23</c:v>
                </c:pt>
                <c:pt idx="478">
                  <c:v>5.7293659505094205E-23</c:v>
                </c:pt>
                <c:pt idx="479">
                  <c:v>3.5858086258044824E-23</c:v>
                </c:pt>
                <c:pt idx="480">
                  <c:v>2.2401506941894746E-23</c:v>
                </c:pt>
                <c:pt idx="481">
                  <c:v>1.3969398328290667E-23</c:v>
                </c:pt>
                <c:pt idx="482">
                  <c:v>8.6953939465389378E-24</c:v>
                </c:pt>
                <c:pt idx="483">
                  <c:v>5.4027225789105796E-24</c:v>
                </c:pt>
                <c:pt idx="484">
                  <c:v>3.3508011936488895E-24</c:v>
                </c:pt>
                <c:pt idx="485">
                  <c:v>2.0744261752089738E-24</c:v>
                </c:pt>
                <c:pt idx="486">
                  <c:v>1.2819213189810612E-24</c:v>
                </c:pt>
                <c:pt idx="487">
                  <c:v>7.907506391860142E-25</c:v>
                </c:pt>
                <c:pt idx="488">
                  <c:v>4.8689269059080393E-25</c:v>
                </c:pt>
                <c:pt idx="489">
                  <c:v>2.9925623087588457E-25</c:v>
                </c:pt>
                <c:pt idx="490">
                  <c:v>1.8359891484772996E-25</c:v>
                </c:pt>
                <c:pt idx="491">
                  <c:v>1.124384093188729E-25</c:v>
                </c:pt>
                <c:pt idx="492">
                  <c:v>6.8734956084086388E-26</c:v>
                </c:pt>
                <c:pt idx="493">
                  <c:v>4.194302162387465E-26</c:v>
                </c:pt>
                <c:pt idx="494">
                  <c:v>2.5548273559182905E-26</c:v>
                </c:pt>
                <c:pt idx="495">
                  <c:v>1.5534020925697866E-26</c:v>
                </c:pt>
                <c:pt idx="496">
                  <c:v>9.4281696933570969E-27</c:v>
                </c:pt>
                <c:pt idx="497">
                  <c:v>5.7120599873610122E-27</c:v>
                </c:pt>
                <c:pt idx="498">
                  <c:v>3.4544640449274116E-27</c:v>
                </c:pt>
                <c:pt idx="499">
                  <c:v>2.0854117746766747E-27</c:v>
                </c:pt>
                <c:pt idx="500">
                  <c:v>1.2566862659056773E-27</c:v>
                </c:pt>
                <c:pt idx="501">
                  <c:v>7.5593854520426665E-28</c:v>
                </c:pt>
                <c:pt idx="502">
                  <c:v>4.5391167564895703E-28</c:v>
                </c:pt>
                <c:pt idx="503">
                  <c:v>2.7207091828034593E-28</c:v>
                </c:pt>
                <c:pt idx="504">
                  <c:v>1.6278690098126449E-28</c:v>
                </c:pt>
                <c:pt idx="505">
                  <c:v>9.7226355932557981E-29</c:v>
                </c:pt>
                <c:pt idx="506">
                  <c:v>5.7966413896279978E-29</c:v>
                </c:pt>
                <c:pt idx="507">
                  <c:v>3.4498274853538094E-29</c:v>
                </c:pt>
                <c:pt idx="508">
                  <c:v>2.0494979394540999E-29</c:v>
                </c:pt>
                <c:pt idx="509">
                  <c:v>1.2154228528434611E-29</c:v>
                </c:pt>
                <c:pt idx="510">
                  <c:v>7.1951151697520414E-30</c:v>
                </c:pt>
                <c:pt idx="511">
                  <c:v>4.2518621418919905E-30</c:v>
                </c:pt>
                <c:pt idx="512">
                  <c:v>2.508143046613742E-30</c:v>
                </c:pt>
                <c:pt idx="513">
                  <c:v>1.4769226681704973E-30</c:v>
                </c:pt>
                <c:pt idx="514">
                  <c:v>8.681527783596258E-31</c:v>
                </c:pt>
                <c:pt idx="515">
                  <c:v>5.0941077841651893E-31</c:v>
                </c:pt>
                <c:pt idx="516">
                  <c:v>2.9838314121784233E-31</c:v>
                </c:pt>
                <c:pt idx="517">
                  <c:v>1.7446777640314889E-31</c:v>
                </c:pt>
                <c:pt idx="518">
                  <c:v>1.0183371093210692E-31</c:v>
                </c:pt>
                <c:pt idx="519">
                  <c:v>5.9334039745180449E-32</c:v>
                </c:pt>
                <c:pt idx="520">
                  <c:v>3.4510628632904099E-32</c:v>
                </c:pt>
                <c:pt idx="521">
                  <c:v>2.0037291834550572E-32</c:v>
                </c:pt>
                <c:pt idx="522">
                  <c:v>1.1613495912303751E-32</c:v>
                </c:pt>
                <c:pt idx="523">
                  <c:v>6.7193196854284355E-33</c:v>
                </c:pt>
                <c:pt idx="524">
                  <c:v>3.8808477763752188E-33</c:v>
                </c:pt>
                <c:pt idx="525">
                  <c:v>2.2375227887251519E-33</c:v>
                </c:pt>
                <c:pt idx="526">
                  <c:v>1.2878001200750021E-33</c:v>
                </c:pt>
                <c:pt idx="527">
                  <c:v>7.3989512703207653E-34</c:v>
                </c:pt>
                <c:pt idx="528">
                  <c:v>4.2435874674381331E-34</c:v>
                </c:pt>
                <c:pt idx="529">
                  <c:v>2.4296180466386123E-34</c:v>
                </c:pt>
                <c:pt idx="530">
                  <c:v>1.3886259405988767E-34</c:v>
                </c:pt>
                <c:pt idx="531">
                  <c:v>7.9227422912242664E-35</c:v>
                </c:pt>
                <c:pt idx="532">
                  <c:v>4.512418096105457E-35</c:v>
                </c:pt>
                <c:pt idx="533">
                  <c:v>2.5655899130030954E-35</c:v>
                </c:pt>
                <c:pt idx="534">
                  <c:v>1.4561623758331539E-35</c:v>
                </c:pt>
                <c:pt idx="535">
                  <c:v>8.2504489610304268E-36</c:v>
                </c:pt>
                <c:pt idx="536">
                  <c:v>4.6664983522408801E-36</c:v>
                </c:pt>
                <c:pt idx="537">
                  <c:v>2.6348200231013939E-36</c:v>
                </c:pt>
                <c:pt idx="538">
                  <c:v>1.4851066376538607E-36</c:v>
                </c:pt>
                <c:pt idx="539">
                  <c:v>8.3562554504845337E-37</c:v>
                </c:pt>
                <c:pt idx="540">
                  <c:v>4.6936823770299356E-37</c:v>
                </c:pt>
                <c:pt idx="541">
                  <c:v>2.6318682254861074E-37</c:v>
                </c:pt>
                <c:pt idx="542">
                  <c:v>1.4732063035733117E-37</c:v>
                </c:pt>
                <c:pt idx="543">
                  <c:v>8.2321354456121685E-38</c:v>
                </c:pt>
                <c:pt idx="544">
                  <c:v>4.5921015341399182E-38</c:v>
                </c:pt>
                <c:pt idx="545">
                  <c:v>2.5571783200570811E-38</c:v>
                </c:pt>
                <c:pt idx="546">
                  <c:v>1.4215483033573409E-38</c:v>
                </c:pt>
                <c:pt idx="547">
                  <c:v>7.8888522163998016E-39</c:v>
                </c:pt>
                <c:pt idx="548">
                  <c:v>4.3703691705087651E-39</c:v>
                </c:pt>
                <c:pt idx="549">
                  <c:v>2.4169910487414488E-39</c:v>
                </c:pt>
                <c:pt idx="550">
                  <c:v>1.3343970772644563E-39</c:v>
                </c:pt>
                <c:pt idx="551">
                  <c:v>7.3544254272640493E-40</c:v>
                </c:pt>
                <c:pt idx="552">
                  <c:v>4.0463788652814713E-40</c:v>
                </c:pt>
                <c:pt idx="553">
                  <c:v>2.2224856532581088E-40</c:v>
                </c:pt>
                <c:pt idx="554">
                  <c:v>1.2186149806264921E-40</c:v>
                </c:pt>
                <c:pt idx="555">
                  <c:v>6.6703661966381896E-41</c:v>
                </c:pt>
                <c:pt idx="556">
                  <c:v>3.6449279671258455E-41</c:v>
                </c:pt>
                <c:pt idx="557">
                  <c:v>1.9883133128468397E-41</c:v>
                </c:pt>
                <c:pt idx="558">
                  <c:v>1.082773887998669E-41</c:v>
                </c:pt>
                <c:pt idx="559">
                  <c:v>5.8863799834879958E-42</c:v>
                </c:pt>
                <c:pt idx="560">
                  <c:v>3.194602745004308E-42</c:v>
                </c:pt>
                <c:pt idx="561">
                  <c:v>1.7307883065198728E-42</c:v>
                </c:pt>
                <c:pt idx="562">
                  <c:v>9.3611681177654939E-43</c:v>
                </c:pt>
                <c:pt idx="563">
                  <c:v>5.0544698564217063E-43</c:v>
                </c:pt>
                <c:pt idx="564">
                  <c:v>2.7244642965446269E-43</c:v>
                </c:pt>
                <c:pt idx="565">
                  <c:v>1.4660441289688266E-43</c:v>
                </c:pt>
                <c:pt idx="566">
                  <c:v>7.8754221492460207E-44</c:v>
                </c:pt>
                <c:pt idx="567">
                  <c:v>4.2233977380326289E-44</c:v>
                </c:pt>
                <c:pt idx="568">
                  <c:v>2.261059153406078E-44</c:v>
                </c:pt>
                <c:pt idx="569">
                  <c:v>1.2084373093187865E-44</c:v>
                </c:pt>
                <c:pt idx="570">
                  <c:v>6.4476141712322337E-45</c:v>
                </c:pt>
                <c:pt idx="571">
                  <c:v>3.4342912676621837E-45</c:v>
                </c:pt>
                <c:pt idx="572">
                  <c:v>1.826160015599064E-45</c:v>
                </c:pt>
                <c:pt idx="573">
                  <c:v>9.6940354062969441E-46</c:v>
                </c:pt>
                <c:pt idx="574">
                  <c:v>5.137299531552759E-46</c:v>
                </c:pt>
                <c:pt idx="575">
                  <c:v>2.7178790938986873E-46</c:v>
                </c:pt>
                <c:pt idx="576">
                  <c:v>1.4354589519640336E-46</c:v>
                </c:pt>
                <c:pt idx="577">
                  <c:v>7.5686297842880269E-47</c:v>
                </c:pt>
                <c:pt idx="578">
                  <c:v>3.9839146292584213E-47</c:v>
                </c:pt>
                <c:pt idx="579">
                  <c:v>2.0934832754515495E-47</c:v>
                </c:pt>
                <c:pt idx="580">
                  <c:v>1.098237103175712E-47</c:v>
                </c:pt>
                <c:pt idx="581">
                  <c:v>5.7516215529909009E-48</c:v>
                </c:pt>
                <c:pt idx="582">
                  <c:v>3.0071320223879915E-48</c:v>
                </c:pt>
                <c:pt idx="583">
                  <c:v>1.5695787729026689E-48</c:v>
                </c:pt>
                <c:pt idx="584">
                  <c:v>8.1786682057867478E-49</c:v>
                </c:pt>
                <c:pt idx="585">
                  <c:v>4.2545275178624863E-49</c:v>
                </c:pt>
                <c:pt idx="586">
                  <c:v>2.2094784855203027E-49</c:v>
                </c:pt>
                <c:pt idx="587">
                  <c:v>1.1455085298616521E-49</c:v>
                </c:pt>
                <c:pt idx="588">
                  <c:v>5.9289447505847516E-50</c:v>
                </c:pt>
                <c:pt idx="589">
                  <c:v>3.0635672470430764E-50</c:v>
                </c:pt>
                <c:pt idx="590">
                  <c:v>1.5803336283837185E-50</c:v>
                </c:pt>
                <c:pt idx="591">
                  <c:v>8.1384538273328462E-51</c:v>
                </c:pt>
                <c:pt idx="592">
                  <c:v>4.1841494779334623E-51</c:v>
                </c:pt>
                <c:pt idx="593">
                  <c:v>2.1475587246260039E-51</c:v>
                </c:pt>
                <c:pt idx="594">
                  <c:v>1.1004134197136662E-51</c:v>
                </c:pt>
                <c:pt idx="595">
                  <c:v>5.6291144777101391E-52</c:v>
                </c:pt>
                <c:pt idx="596">
                  <c:v>2.8747365817642558E-52</c:v>
                </c:pt>
                <c:pt idx="597">
                  <c:v>1.4656497512013724E-52</c:v>
                </c:pt>
                <c:pt idx="598">
                  <c:v>7.4599669740597314E-53</c:v>
                </c:pt>
                <c:pt idx="599">
                  <c:v>3.7906925942274063E-53</c:v>
                </c:pt>
                <c:pt idx="600">
                  <c:v>1.9229835772156035E-53</c:v>
                </c:pt>
                <c:pt idx="601">
                  <c:v>9.7388644013675119E-54</c:v>
                </c:pt>
                <c:pt idx="602">
                  <c:v>4.9239902557205483E-54</c:v>
                </c:pt>
                <c:pt idx="603">
                  <c:v>2.4854358460778736E-54</c:v>
                </c:pt>
                <c:pt idx="604">
                  <c:v>1.2524627564779144E-54</c:v>
                </c:pt>
                <c:pt idx="605">
                  <c:v>6.3009256402017062E-55</c:v>
                </c:pt>
                <c:pt idx="606">
                  <c:v>3.1646197823798382E-55</c:v>
                </c:pt>
                <c:pt idx="607">
                  <c:v>1.5867801188124564E-55</c:v>
                </c:pt>
                <c:pt idx="608">
                  <c:v>7.9431061324378891E-56</c:v>
                </c:pt>
                <c:pt idx="609">
                  <c:v>3.9695635328411992E-56</c:v>
                </c:pt>
                <c:pt idx="610">
                  <c:v>1.9804974955414365E-56</c:v>
                </c:pt>
                <c:pt idx="611">
                  <c:v>9.8647334846305204E-57</c:v>
                </c:pt>
                <c:pt idx="612">
                  <c:v>4.9054211811052267E-57</c:v>
                </c:pt>
                <c:pt idx="613">
                  <c:v>2.4352721413400203E-57</c:v>
                </c:pt>
                <c:pt idx="614">
                  <c:v>1.2069778964376295E-57</c:v>
                </c:pt>
                <c:pt idx="615">
                  <c:v>5.9721693396147844E-58</c:v>
                </c:pt>
                <c:pt idx="616">
                  <c:v>2.9501646287766339E-58</c:v>
                </c:pt>
                <c:pt idx="617">
                  <c:v>1.4549299720094274E-58</c:v>
                </c:pt>
                <c:pt idx="618">
                  <c:v>7.1634129501823304E-59</c:v>
                </c:pt>
                <c:pt idx="619">
                  <c:v>3.5211157248388999E-59</c:v>
                </c:pt>
                <c:pt idx="620">
                  <c:v>1.7279189922505397E-59</c:v>
                </c:pt>
                <c:pt idx="621">
                  <c:v>8.4654408292644241E-60</c:v>
                </c:pt>
                <c:pt idx="622">
                  <c:v>4.1405615944683691E-60</c:v>
                </c:pt>
                <c:pt idx="623">
                  <c:v>2.0218677300306582E-60</c:v>
                </c:pt>
                <c:pt idx="624">
                  <c:v>9.8566741492786526E-61</c:v>
                </c:pt>
                <c:pt idx="625">
                  <c:v>4.7972524282630229E-61</c:v>
                </c:pt>
                <c:pt idx="626">
                  <c:v>2.3309856522019492E-61</c:v>
                </c:pt>
                <c:pt idx="627">
                  <c:v>1.1307636233251323E-61</c:v>
                </c:pt>
                <c:pt idx="628">
                  <c:v>5.4763298343272306E-62</c:v>
                </c:pt>
                <c:pt idx="629">
                  <c:v>2.6478491860392678E-62</c:v>
                </c:pt>
                <c:pt idx="630">
                  <c:v>1.2781537834434543E-62</c:v>
                </c:pt>
                <c:pt idx="631">
                  <c:v>6.1596995204721783E-63</c:v>
                </c:pt>
                <c:pt idx="632">
                  <c:v>2.9636221446295969E-63</c:v>
                </c:pt>
                <c:pt idx="633">
                  <c:v>1.4235520625334547E-63</c:v>
                </c:pt>
                <c:pt idx="634">
                  <c:v>6.8267096061866176E-64</c:v>
                </c:pt>
                <c:pt idx="635">
                  <c:v>3.2684164217227692E-64</c:v>
                </c:pt>
                <c:pt idx="636">
                  <c:v>1.5622536454603176E-64</c:v>
                </c:pt>
                <c:pt idx="637">
                  <c:v>7.4551132354760179E-65</c:v>
                </c:pt>
                <c:pt idx="638">
                  <c:v>3.551777907419309E-65</c:v>
                </c:pt>
                <c:pt idx="639">
                  <c:v>1.6893768622457405E-65</c:v>
                </c:pt>
                <c:pt idx="640">
                  <c:v>8.0222609912891119E-66</c:v>
                </c:pt>
                <c:pt idx="641">
                  <c:v>3.8032673699244733E-66</c:v>
                </c:pt>
                <c:pt idx="642">
                  <c:v>1.8001432737824479E-66</c:v>
                </c:pt>
                <c:pt idx="643">
                  <c:v>8.5064381439954411E-67</c:v>
                </c:pt>
                <c:pt idx="644">
                  <c:v>4.0130927948277715E-67</c:v>
                </c:pt>
                <c:pt idx="645">
                  <c:v>1.8901738378726553E-67</c:v>
                </c:pt>
                <c:pt idx="646">
                  <c:v>8.8882384751982271E-68</c:v>
                </c:pt>
                <c:pt idx="647">
                  <c:v>4.1727403891819523E-68</c:v>
                </c:pt>
                <c:pt idx="648">
                  <c:v>1.9557757604390065E-68</c:v>
                </c:pt>
                <c:pt idx="649">
                  <c:v>9.1518541064350036E-69</c:v>
                </c:pt>
                <c:pt idx="650">
                  <c:v>4.2755477366825579E-69</c:v>
                </c:pt>
                <c:pt idx="651">
                  <c:v>1.9941938819078076E-69</c:v>
                </c:pt>
                <c:pt idx="652">
                  <c:v>9.2861619207378178E-70</c:v>
                </c:pt>
                <c:pt idx="653">
                  <c:v>4.3171653273770155E-70</c:v>
                </c:pt>
                <c:pt idx="654">
                  <c:v>2.0038027403192364E-70</c:v>
                </c:pt>
                <c:pt idx="655">
                  <c:v>9.2855024649266931E-71</c:v>
                </c:pt>
                <c:pt idx="656">
                  <c:v>4.2958618806306263E-71</c:v>
                </c:pt>
                <c:pt idx="657">
                  <c:v>1.984220643505891E-71</c:v>
                </c:pt>
                <c:pt idx="658">
                  <c:v>9.1500752968855317E-72</c:v>
                </c:pt>
                <c:pt idx="659">
                  <c:v>4.2126435899906488E-72</c:v>
                </c:pt>
                <c:pt idx="660">
                  <c:v>1.9363345967771149E-72</c:v>
                </c:pt>
                <c:pt idx="661">
                  <c:v>8.8859123211132296E-73</c:v>
                </c:pt>
                <c:pt idx="662">
                  <c:v>4.0711758690511741E-73</c:v>
                </c:pt>
                <c:pt idx="663">
                  <c:v>1.862233841971805E-73</c:v>
                </c:pt>
                <c:pt idx="664">
                  <c:v>8.5044330183495433E-74</c:v>
                </c:pt>
                <c:pt idx="665">
                  <c:v>3.877516024523614E-74</c:v>
                </c:pt>
                <c:pt idx="666">
                  <c:v>1.7650589283015213E-74</c:v>
                </c:pt>
                <c:pt idx="667">
                  <c:v>8.0216271788622418E-75</c:v>
                </c:pt>
                <c:pt idx="668">
                  <c:v>3.6396839752814524E-75</c:v>
                </c:pt>
                <c:pt idx="669">
                  <c:v>1.6487814801253196E-75</c:v>
                </c:pt>
                <c:pt idx="670">
                  <c:v>7.4569464787978591E-76</c:v>
                </c:pt>
                <c:pt idx="671">
                  <c:v>3.3671133144462129E-76</c:v>
                </c:pt>
                <c:pt idx="672">
                  <c:v>1.5179361251382504E-76</c:v>
                </c:pt>
                <c:pt idx="673">
                  <c:v>6.832011630084422E-77</c:v>
                </c:pt>
                <c:pt idx="674">
                  <c:v>3.0700348689753856E-77</c:v>
                </c:pt>
                <c:pt idx="675">
                  <c:v>1.3773296751800466E-77</c:v>
                </c:pt>
                <c:pt idx="676">
                  <c:v>6.1692541170511791E-78</c:v>
                </c:pt>
                <c:pt idx="677">
                  <c:v>2.7588484533696953E-78</c:v>
                </c:pt>
                <c:pt idx="678">
                  <c:v>1.231753290574878E-78</c:v>
                </c:pt>
                <c:pt idx="679">
                  <c:v>5.4906098894981491E-79</c:v>
                </c:pt>
                <c:pt idx="680">
                  <c:v>2.4435356729698759E-79</c:v>
                </c:pt>
                <c:pt idx="681">
                  <c:v>1.0857211181323457E-79</c:v>
                </c:pt>
                <c:pt idx="682">
                  <c:v>4.8163679620583584E-80</c:v>
                </c:pt>
                <c:pt idx="683">
                  <c:v>2.1331582206737371E-80</c:v>
                </c:pt>
                <c:pt idx="684">
                  <c:v>9.432542698111319E-81</c:v>
                </c:pt>
                <c:pt idx="685">
                  <c:v>4.1642524819422946E-81</c:v>
                </c:pt>
                <c:pt idx="686">
                  <c:v>1.8354736360847002E-81</c:v>
                </c:pt>
                <c:pt idx="687">
                  <c:v>8.07722782751666E-82</c:v>
                </c:pt>
                <c:pt idx="688">
                  <c:v>3.5487863840564431E-82</c:v>
                </c:pt>
                <c:pt idx="689">
                  <c:v>1.5566858753239848E-82</c:v>
                </c:pt>
                <c:pt idx="690">
                  <c:v>6.8175129194354224E-83</c:v>
                </c:pt>
                <c:pt idx="691">
                  <c:v>2.9809525850321958E-83</c:v>
                </c:pt>
                <c:pt idx="692">
                  <c:v>1.3013332761490618E-83</c:v>
                </c:pt>
                <c:pt idx="693">
                  <c:v>5.6718746472805266E-84</c:v>
                </c:pt>
                <c:pt idx="694">
                  <c:v>2.4681388444148394E-84</c:v>
                </c:pt>
                <c:pt idx="695">
                  <c:v>1.0723033821998022E-84</c:v>
                </c:pt>
                <c:pt idx="696">
                  <c:v>4.6512656066857078E-85</c:v>
                </c:pt>
                <c:pt idx="697">
                  <c:v>2.0143281852059217E-85</c:v>
                </c:pt>
                <c:pt idx="698">
                  <c:v>8.7095394748464239E-86</c:v>
                </c:pt>
                <c:pt idx="699">
                  <c:v>3.7598132509421475E-86</c:v>
                </c:pt>
                <c:pt idx="700">
                  <c:v>1.620480175435932E-86</c:v>
                </c:pt>
                <c:pt idx="701">
                  <c:v>6.9731303133603972E-87</c:v>
                </c:pt>
                <c:pt idx="702">
                  <c:v>2.9958405510678136E-87</c:v>
                </c:pt>
                <c:pt idx="703">
                  <c:v>1.2850401768196889E-87</c:v>
                </c:pt>
                <c:pt idx="704">
                  <c:v>5.5032856607377215E-88</c:v>
                </c:pt>
                <c:pt idx="705">
                  <c:v>2.3530707577253837E-88</c:v>
                </c:pt>
                <c:pt idx="706">
                  <c:v>1.0045134052348823E-88</c:v>
                </c:pt>
                <c:pt idx="707">
                  <c:v>4.2813875831985565E-89</c:v>
                </c:pt>
                <c:pt idx="708">
                  <c:v>1.8218878924388446E-89</c:v>
                </c:pt>
                <c:pt idx="709">
                  <c:v>7.7404692017217146E-90</c:v>
                </c:pt>
                <c:pt idx="710">
                  <c:v>3.2833841149043776E-90</c:v>
                </c:pt>
                <c:pt idx="711">
                  <c:v>1.3905451723378276E-90</c:v>
                </c:pt>
                <c:pt idx="712">
                  <c:v>5.8797349264404295E-91</c:v>
                </c:pt>
                <c:pt idx="713">
                  <c:v>2.4822176693722996E-91</c:v>
                </c:pt>
                <c:pt idx="714">
                  <c:v>1.0462408658967374E-91</c:v>
                </c:pt>
                <c:pt idx="715">
                  <c:v>4.4028453207640363E-92</c:v>
                </c:pt>
                <c:pt idx="716">
                  <c:v>1.849887590066812E-92</c:v>
                </c:pt>
                <c:pt idx="717">
                  <c:v>7.7601057643029035E-93</c:v>
                </c:pt>
                <c:pt idx="718">
                  <c:v>3.2501287134518838E-93</c:v>
                </c:pt>
                <c:pt idx="719">
                  <c:v>1.3590778240162868E-93</c:v>
                </c:pt>
                <c:pt idx="720">
                  <c:v>5.6741284548137451E-94</c:v>
                </c:pt>
                <c:pt idx="721">
                  <c:v>2.365185987181217E-94</c:v>
                </c:pt>
                <c:pt idx="722">
                  <c:v>9.8433505517003628E-95</c:v>
                </c:pt>
                <c:pt idx="723">
                  <c:v>4.0900851591109372E-95</c:v>
                </c:pt>
                <c:pt idx="724">
                  <c:v>1.6968119545069292E-95</c:v>
                </c:pt>
                <c:pt idx="725">
                  <c:v>7.0282510724531574E-96</c:v>
                </c:pt>
                <c:pt idx="726">
                  <c:v>2.906519411672979E-96</c:v>
                </c:pt>
                <c:pt idx="727">
                  <c:v>1.200084469691442E-96</c:v>
                </c:pt>
                <c:pt idx="728">
                  <c:v>4.9472430770561469E-97</c:v>
                </c:pt>
                <c:pt idx="729">
                  <c:v>2.036234292308018E-97</c:v>
                </c:pt>
                <c:pt idx="730">
                  <c:v>8.3676889035238092E-98</c:v>
                </c:pt>
                <c:pt idx="731">
                  <c:v>3.4331817908833201E-98</c:v>
                </c:pt>
                <c:pt idx="732">
                  <c:v>1.4063771025929598E-98</c:v>
                </c:pt>
                <c:pt idx="733">
                  <c:v>5.7520241310503943E-99</c:v>
                </c:pt>
                <c:pt idx="734">
                  <c:v>2.348841712296416E-99</c:v>
                </c:pt>
                <c:pt idx="735">
                  <c:v>9.5763752106167584E-100</c:v>
                </c:pt>
                <c:pt idx="736">
                  <c:v>3.8981910478984293E-100</c:v>
                </c:pt>
                <c:pt idx="737">
                  <c:v>1.5843088916415779E-100</c:v>
                </c:pt>
                <c:pt idx="738">
                  <c:v>6.4288246906699325E-101</c:v>
                </c:pt>
                <c:pt idx="739">
                  <c:v>2.6045847838111184E-101</c:v>
                </c:pt>
                <c:pt idx="740">
                  <c:v>1.0535637412060595E-101</c:v>
                </c:pt>
                <c:pt idx="741">
                  <c:v>4.2549919285809169E-102</c:v>
                </c:pt>
                <c:pt idx="742">
                  <c:v>1.7157439646843353E-102</c:v>
                </c:pt>
                <c:pt idx="743">
                  <c:v>6.9075214038117099E-103</c:v>
                </c:pt>
                <c:pt idx="744">
                  <c:v>2.776567421725214E-103</c:v>
                </c:pt>
                <c:pt idx="745">
                  <c:v>1.1143218256181192E-103</c:v>
                </c:pt>
                <c:pt idx="746">
                  <c:v>4.4650845003205888E-104</c:v>
                </c:pt>
                <c:pt idx="747">
                  <c:v>1.7863459178832043E-104</c:v>
                </c:pt>
                <c:pt idx="748">
                  <c:v>7.1354025210341802E-105</c:v>
                </c:pt>
                <c:pt idx="749">
                  <c:v>2.8456968276486907E-105</c:v>
                </c:pt>
                <c:pt idx="750">
                  <c:v>1.1331208178272775E-105</c:v>
                </c:pt>
                <c:pt idx="751">
                  <c:v>4.5048614966641549E-106</c:v>
                </c:pt>
                <c:pt idx="752">
                  <c:v>1.7881522828611957E-106</c:v>
                </c:pt>
                <c:pt idx="753">
                  <c:v>7.0867251823313994E-107</c:v>
                </c:pt>
                <c:pt idx="754">
                  <c:v>2.8041736869667678E-107</c:v>
                </c:pt>
                <c:pt idx="755">
                  <c:v>1.1078543117892058E-107</c:v>
                </c:pt>
                <c:pt idx="756">
                  <c:v>4.3699756224187002E-108</c:v>
                </c:pt>
                <c:pt idx="757">
                  <c:v>1.7210527838551848E-108</c:v>
                </c:pt>
                <c:pt idx="758">
                  <c:v>6.7675016989603093E-109</c:v>
                </c:pt>
                <c:pt idx="759">
                  <c:v>2.6569400616054768E-109</c:v>
                </c:pt>
                <c:pt idx="760">
                  <c:v>1.041488630792419E-109</c:v>
                </c:pt>
                <c:pt idx="761">
                  <c:v>4.0761193661307241E-110</c:v>
                </c:pt>
                <c:pt idx="762">
                  <c:v>1.5927918619447159E-110</c:v>
                </c:pt>
                <c:pt idx="763">
                  <c:v>6.2142844272214389E-111</c:v>
                </c:pt>
                <c:pt idx="764">
                  <c:v>2.4207134284181791E-111</c:v>
                </c:pt>
                <c:pt idx="765">
                  <c:v>9.4149056799467225E-112</c:v>
                </c:pt>
                <c:pt idx="766">
                  <c:v>3.6560244982914163E-112</c:v>
                </c:pt>
                <c:pt idx="767">
                  <c:v>1.4174995745234237E-112</c:v>
                </c:pt>
                <c:pt idx="768">
                  <c:v>5.4872870529203806E-113</c:v>
                </c:pt>
                <c:pt idx="769">
                  <c:v>2.1208673692721731E-113</c:v>
                </c:pt>
                <c:pt idx="770">
                  <c:v>8.1844709872957432E-114</c:v>
                </c:pt>
                <c:pt idx="771">
                  <c:v>3.1534734106924099E-114</c:v>
                </c:pt>
                <c:pt idx="772">
                  <c:v>1.2131356724948499E-114</c:v>
                </c:pt>
                <c:pt idx="773">
                  <c:v>4.6596296056830084E-115</c:v>
                </c:pt>
                <c:pt idx="774">
                  <c:v>1.786962434787104E-115</c:v>
                </c:pt>
                <c:pt idx="775">
                  <c:v>6.842292495383208E-116</c:v>
                </c:pt>
                <c:pt idx="776">
                  <c:v>2.6158342040437023E-116</c:v>
                </c:pt>
                <c:pt idx="777">
                  <c:v>9.9848452590278643E-117</c:v>
                </c:pt>
                <c:pt idx="778">
                  <c:v>3.8053550881091303E-117</c:v>
                </c:pt>
                <c:pt idx="779">
                  <c:v>1.4480112665237825E-117</c:v>
                </c:pt>
                <c:pt idx="780">
                  <c:v>5.5013816533665833E-118</c:v>
                </c:pt>
                <c:pt idx="781">
                  <c:v>2.0868674568770219E-118</c:v>
                </c:pt>
                <c:pt idx="782">
                  <c:v>7.9038991973373771E-119</c:v>
                </c:pt>
                <c:pt idx="783">
                  <c:v>2.9889009912917891E-119</c:v>
                </c:pt>
                <c:pt idx="784">
                  <c:v>1.12851010014E-119</c:v>
                </c:pt>
                <c:pt idx="785">
                  <c:v>4.2542531685873357E-120</c:v>
                </c:pt>
                <c:pt idx="786">
                  <c:v>1.6012728666267841E-120</c:v>
                </c:pt>
                <c:pt idx="787">
                  <c:v>6.0177156744144557E-121</c:v>
                </c:pt>
                <c:pt idx="788">
                  <c:v>2.2579923296746067E-121</c:v>
                </c:pt>
                <c:pt idx="789">
                  <c:v>8.459367849257301E-122</c:v>
                </c:pt>
                <c:pt idx="790">
                  <c:v>3.1643038484438963E-122</c:v>
                </c:pt>
                <c:pt idx="791">
                  <c:v>1.1817985150851145E-122</c:v>
                </c:pt>
                <c:pt idx="792">
                  <c:v>4.4069067572264331E-123</c:v>
                </c:pt>
                <c:pt idx="793">
                  <c:v>1.6407772042535882E-123</c:v>
                </c:pt>
                <c:pt idx="794">
                  <c:v>6.0994526514096157E-124</c:v>
                </c:pt>
                <c:pt idx="795">
                  <c:v>2.263902825864706E-124</c:v>
                </c:pt>
                <c:pt idx="796">
                  <c:v>8.3897792234041413E-125</c:v>
                </c:pt>
                <c:pt idx="797">
                  <c:v>3.1043400207536472E-125</c:v>
                </c:pt>
                <c:pt idx="798">
                  <c:v>1.146870023056984E-125</c:v>
                </c:pt>
                <c:pt idx="799">
                  <c:v>4.2304391273656863E-126</c:v>
                </c:pt>
                <c:pt idx="800">
                  <c:v>1.5580564748980582E-126</c:v>
                </c:pt>
                <c:pt idx="801">
                  <c:v>5.7293796478554044E-127</c:v>
                </c:pt>
                <c:pt idx="802">
                  <c:v>2.1035790176917105E-127</c:v>
                </c:pt>
                <c:pt idx="803">
                  <c:v>7.7114677399367026E-128</c:v>
                </c:pt>
                <c:pt idx="804">
                  <c:v>2.8225549836581989E-128</c:v>
                </c:pt>
                <c:pt idx="805">
                  <c:v>1.0315139031078322E-128</c:v>
                </c:pt>
                <c:pt idx="806">
                  <c:v>3.7638753526243825E-129</c:v>
                </c:pt>
                <c:pt idx="807">
                  <c:v>1.3712701146767299E-129</c:v>
                </c:pt>
                <c:pt idx="808">
                  <c:v>4.9881393953499768E-130</c:v>
                </c:pt>
                <c:pt idx="809">
                  <c:v>1.8116825567028012E-130</c:v>
                </c:pt>
                <c:pt idx="810">
                  <c:v>6.5698239783635388E-131</c:v>
                </c:pt>
                <c:pt idx="811">
                  <c:v>2.3787764630488912E-131</c:v>
                </c:pt>
                <c:pt idx="812">
                  <c:v>8.5996733777112331E-132</c:v>
                </c:pt>
                <c:pt idx="813">
                  <c:v>3.1041225793291605E-132</c:v>
                </c:pt>
                <c:pt idx="814">
                  <c:v>1.1187279988611793E-132</c:v>
                </c:pt>
                <c:pt idx="815">
                  <c:v>4.0256781118931259E-133</c:v>
                </c:pt>
                <c:pt idx="816">
                  <c:v>1.4463807546927818E-133</c:v>
                </c:pt>
                <c:pt idx="817">
                  <c:v>5.1886625488083429E-134</c:v>
                </c:pt>
                <c:pt idx="818">
                  <c:v>1.8584786527273926E-134</c:v>
                </c:pt>
                <c:pt idx="819">
                  <c:v>6.6464422981654278E-135</c:v>
                </c:pt>
                <c:pt idx="820">
                  <c:v>2.3732886644365124E-135</c:v>
                </c:pt>
                <c:pt idx="821">
                  <c:v>8.4613899024079741E-136</c:v>
                </c:pt>
                <c:pt idx="822">
                  <c:v>3.0120544564896298E-136</c:v>
                </c:pt>
                <c:pt idx="823">
                  <c:v>1.0705674895592155E-136</c:v>
                </c:pt>
                <c:pt idx="824">
                  <c:v>3.7992297095921822E-137</c:v>
                </c:pt>
                <c:pt idx="825">
                  <c:v>1.3461934567387116E-137</c:v>
                </c:pt>
                <c:pt idx="826">
                  <c:v>4.7626642687840257E-138</c:v>
                </c:pt>
                <c:pt idx="827">
                  <c:v>1.6823764496948585E-138</c:v>
                </c:pt>
                <c:pt idx="828">
                  <c:v>5.9337228884708146E-139</c:v>
                </c:pt>
                <c:pt idx="829">
                  <c:v>2.0895961349713729E-139</c:v>
                </c:pt>
                <c:pt idx="830">
                  <c:v>7.3473142523547048E-140</c:v>
                </c:pt>
                <c:pt idx="831">
                  <c:v>2.5794444817483822E-140</c:v>
                </c:pt>
                <c:pt idx="832">
                  <c:v>9.0418065449353198E-141</c:v>
                </c:pt>
                <c:pt idx="833">
                  <c:v>3.1645782523449368E-141</c:v>
                </c:pt>
                <c:pt idx="834">
                  <c:v>1.1058805385794955E-141</c:v>
                </c:pt>
                <c:pt idx="835">
                  <c:v>3.8586242034599271E-142</c:v>
                </c:pt>
                <c:pt idx="836">
                  <c:v>1.3442770669730718E-142</c:v>
                </c:pt>
                <c:pt idx="837">
                  <c:v>4.6760298623622018E-143</c:v>
                </c:pt>
                <c:pt idx="838">
                  <c:v>1.6240451026152006E-143</c:v>
                </c:pt>
                <c:pt idx="839">
                  <c:v>5.6318536809145386E-144</c:v>
                </c:pt>
                <c:pt idx="840">
                  <c:v>1.9500118420794466E-144</c:v>
                </c:pt>
                <c:pt idx="841">
                  <c:v>6.7414898519842831E-145</c:v>
                </c:pt>
                <c:pt idx="842">
                  <c:v>2.327059100826262E-145</c:v>
                </c:pt>
                <c:pt idx="843">
                  <c:v>8.0203251275635135E-146</c:v>
                </c:pt>
                <c:pt idx="844">
                  <c:v>2.7600039752800753E-146</c:v>
                </c:pt>
                <c:pt idx="845">
                  <c:v>9.4833276039729715E-147</c:v>
                </c:pt>
                <c:pt idx="846">
                  <c:v>3.2534583503098644E-147</c:v>
                </c:pt>
                <c:pt idx="847">
                  <c:v>1.1144570596854696E-147</c:v>
                </c:pt>
                <c:pt idx="848">
                  <c:v>3.8116687941407324E-148</c:v>
                </c:pt>
                <c:pt idx="849">
                  <c:v>1.3016698333882596E-148</c:v>
                </c:pt>
                <c:pt idx="850">
                  <c:v>4.4383395792002249E-149</c:v>
                </c:pt>
                <c:pt idx="851">
                  <c:v>1.5110344117018903E-149</c:v>
                </c:pt>
                <c:pt idx="852">
                  <c:v>5.1364428388534658E-150</c:v>
                </c:pt>
                <c:pt idx="853">
                  <c:v>1.7433515674734454E-150</c:v>
                </c:pt>
                <c:pt idx="854">
                  <c:v>5.9080211546753219E-151</c:v>
                </c:pt>
                <c:pt idx="855">
                  <c:v>1.9990966422875264E-151</c:v>
                </c:pt>
                <c:pt idx="856">
                  <c:v>6.753989093354853E-152</c:v>
                </c:pt>
                <c:pt idx="857">
                  <c:v>2.2783575033661692E-152</c:v>
                </c:pt>
                <c:pt idx="858">
                  <c:v>7.6739412946212662E-153</c:v>
                </c:pt>
                <c:pt idx="859">
                  <c:v>2.5807758808454177E-153</c:v>
                </c:pt>
                <c:pt idx="860">
                  <c:v>8.6659755658931881E-154</c:v>
                </c:pt>
                <c:pt idx="861">
                  <c:v>2.9054948589935019E-154</c:v>
                </c:pt>
                <c:pt idx="862">
                  <c:v>9.7265399813550602E-155</c:v>
                </c:pt>
                <c:pt idx="863">
                  <c:v>3.2511154076416246E-155</c:v>
                </c:pt>
                <c:pt idx="864">
                  <c:v>1.0850313136378971E-155</c:v>
                </c:pt>
                <c:pt idx="865">
                  <c:v>3.6156648193438503E-156</c:v>
                </c:pt>
                <c:pt idx="866">
                  <c:v>1.2030126410363637E-156</c:v>
                </c:pt>
                <c:pt idx="867">
                  <c:v>3.9965797468814332E-157</c:v>
                </c:pt>
                <c:pt idx="868">
                  <c:v>1.3256936300878864E-157</c:v>
                </c:pt>
                <c:pt idx="869">
                  <c:v>4.3907062055829634E-158</c:v>
                </c:pt>
                <c:pt idx="870">
                  <c:v>1.4519853593898214E-158</c:v>
                </c:pt>
                <c:pt idx="871">
                  <c:v>4.7943184153844061E-159</c:v>
                </c:pt>
                <c:pt idx="872">
                  <c:v>1.580623434481749E-159</c:v>
                </c:pt>
                <c:pt idx="873">
                  <c:v>5.2031577186656559E-160</c:v>
                </c:pt>
                <c:pt idx="874">
                  <c:v>1.7101835410646151E-160</c:v>
                </c:pt>
                <c:pt idx="875">
                  <c:v>5.6124920422749634E-161</c:v>
                </c:pt>
                <c:pt idx="876">
                  <c:v>1.8391034677701388E-161</c:v>
                </c:pt>
                <c:pt idx="877">
                  <c:v>6.0171955067163921E-162</c:v>
                </c:pt>
                <c:pt idx="878">
                  <c:v>1.9657113283376937E-162</c:v>
                </c:pt>
                <c:pt idx="879">
                  <c:v>6.4118468621932199E-163</c:v>
                </c:pt>
                <c:pt idx="880">
                  <c:v>2.0882594174551982E-163</c:v>
                </c:pt>
                <c:pt idx="881">
                  <c:v>6.7908444974207473E-164</c:v>
                </c:pt>
                <c:pt idx="882">
                  <c:v>2.2049628436417328E-164</c:v>
                </c:pt>
                <c:pt idx="883">
                  <c:v>7.1485348745328778E-165</c:v>
                </c:pt>
                <c:pt idx="884">
                  <c:v>2.3140418131553248E-165</c:v>
                </c:pt>
                <c:pt idx="885">
                  <c:v>7.4793504453812788E-166</c:v>
                </c:pt>
                <c:pt idx="886">
                  <c:v>2.4137662076072449E-166</c:v>
                </c:pt>
                <c:pt idx="887">
                  <c:v>7.7779524518725799E-167</c:v>
                </c:pt>
                <c:pt idx="888">
                  <c:v>2.5025009201275581E-167</c:v>
                </c:pt>
                <c:pt idx="889">
                  <c:v>8.039373551207435E-168</c:v>
                </c:pt>
                <c:pt idx="890">
                  <c:v>2.5787503035145881E-168</c:v>
                </c:pt>
                <c:pt idx="891">
                  <c:v>8.2591549716595039E-169</c:v>
                </c:pt>
                <c:pt idx="892">
                  <c:v>2.6412000483931711E-169</c:v>
                </c:pt>
                <c:pt idx="893">
                  <c:v>8.4334729200219037E-170</c:v>
                </c:pt>
                <c:pt idx="894">
                  <c:v>2.6887548553145804E-170</c:v>
                </c:pt>
                <c:pt idx="895">
                  <c:v>8.5592492371951528E-171</c:v>
                </c:pt>
                <c:pt idx="896">
                  <c:v>2.7205703925359029E-171</c:v>
                </c:pt>
                <c:pt idx="897">
                  <c:v>8.6342418278397449E-172</c:v>
                </c:pt>
                <c:pt idx="898">
                  <c:v>2.7360782364839001E-172</c:v>
                </c:pt>
                <c:pt idx="899">
                  <c:v>8.6571111514182676E-173</c:v>
                </c:pt>
                <c:pt idx="900">
                  <c:v>2.7350027653477871E-173</c:v>
                </c:pt>
                <c:pt idx="901">
                  <c:v>8.6274600191160391E-174</c:v>
                </c:pt>
                <c:pt idx="902">
                  <c:v>2.7173693042394573E-174</c:v>
                </c:pt>
                <c:pt idx="903">
                  <c:v>8.5458450447653201E-175</c:v>
                </c:pt>
                <c:pt idx="904">
                  <c:v>2.6835031857291034E-175</c:v>
                </c:pt>
                <c:pt idx="905">
                  <c:v>8.4137592895287927E-176</c:v>
                </c:pt>
                <c:pt idx="906">
                  <c:v>2.6340197727479761E-176</c:v>
                </c:pt>
                <c:pt idx="907">
                  <c:v>8.2335868554233988E-177</c:v>
                </c:pt>
                <c:pt idx="908">
                  <c:v>2.5698058710765741E-177</c:v>
                </c:pt>
                <c:pt idx="909">
                  <c:v>8.0085313559697034E-178</c:v>
                </c:pt>
                <c:pt idx="910">
                  <c:v>2.4919933154172275E-178</c:v>
                </c:pt>
                <c:pt idx="911">
                  <c:v>7.7425212604504931E-179</c:v>
                </c:pt>
                <c:pt idx="912">
                  <c:v>2.4019258274192289E-179</c:v>
                </c:pt>
                <c:pt idx="913">
                  <c:v>7.4400960155001405E-180</c:v>
                </c:pt>
                <c:pt idx="914">
                  <c:v>2.3011204998326714E-180</c:v>
                </c:pt>
                <c:pt idx="915">
                  <c:v>7.1062775485996078E-181</c:v>
                </c:pt>
                <c:pt idx="916">
                  <c:v>2.1912254458844401E-181</c:v>
                </c:pt>
                <c:pt idx="917">
                  <c:v>6.7464322204701251E-182</c:v>
                </c:pt>
                <c:pt idx="918">
                  <c:v>2.0739752591373796E-182</c:v>
                </c:pt>
                <c:pt idx="919">
                  <c:v>6.3661285001509429E-183</c:v>
                </c:pt>
                <c:pt idx="920">
                  <c:v>1.9511459536276061E-183</c:v>
                </c:pt>
                <c:pt idx="921">
                  <c:v>5.9709955864608382E-184</c:v>
                </c:pt>
                <c:pt idx="922">
                  <c:v>1.8245109989380161E-184</c:v>
                </c:pt>
                <c:pt idx="923">
                  <c:v>5.5665879061791912E-185</c:v>
                </c:pt>
                <c:pt idx="924">
                  <c:v>1.6957999366562562E-185</c:v>
                </c:pt>
                <c:pt idx="925">
                  <c:v>5.1582599101393115E-186</c:v>
                </c:pt>
                <c:pt idx="926">
                  <c:v>1.5666608739236415E-186</c:v>
                </c:pt>
                <c:pt idx="927">
                  <c:v>4.7510549020194992E-187</c:v>
                </c:pt>
                <c:pt idx="928">
                  <c:v>1.4386279101009193E-187</c:v>
                </c:pt>
                <c:pt idx="929">
                  <c:v>4.3496108175921086E-188</c:v>
                </c:pt>
                <c:pt idx="930">
                  <c:v>1.3130942796109292E-188</c:v>
                </c:pt>
                <c:pt idx="931">
                  <c:v>3.9580849759087756E-189</c:v>
                </c:pt>
                <c:pt idx="932">
                  <c:v>1.1912917042719355E-189</c:v>
                </c:pt>
                <c:pt idx="933">
                  <c:v>3.5800989006444001E-190</c:v>
                </c:pt>
                <c:pt idx="934">
                  <c:v>1.074276158234788E-190</c:v>
                </c:pt>
                <c:pt idx="935">
                  <c:v>3.2187034096431325E-191</c:v>
                </c:pt>
                <c:pt idx="936">
                  <c:v>9.6291997305864557E-192</c:v>
                </c:pt>
                <c:pt idx="937">
                  <c:v>2.876363338260187E-192</c:v>
                </c:pt>
                <c:pt idx="938">
                  <c:v>8.5790996248003054E-193</c:v>
                </c:pt>
                <c:pt idx="939">
                  <c:v>2.5549605343405513E-193</c:v>
                </c:pt>
                <c:pt idx="940">
                  <c:v>7.5975103632876999E-194</c:v>
                </c:pt>
                <c:pt idx="941">
                  <c:v>2.2558131672588892E-194</c:v>
                </c:pt>
                <c:pt idx="942">
                  <c:v>6.6877460794351779E-195</c:v>
                </c:pt>
                <c:pt idx="943">
                  <c:v>1.9797089477365091E-195</c:v>
                </c:pt>
                <c:pt idx="944">
                  <c:v>5.8515098321424618E-196</c:v>
                </c:pt>
                <c:pt idx="945">
                  <c:v>1.7269495663145634E-196</c:v>
                </c:pt>
                <c:pt idx="946">
                  <c:v>5.0890485272283095E-197</c:v>
                </c:pt>
                <c:pt idx="947">
                  <c:v>1.4974035238765639E-197</c:v>
                </c:pt>
                <c:pt idx="948">
                  <c:v>4.3993298917417278E-198</c:v>
                </c:pt>
                <c:pt idx="949">
                  <c:v>1.2905645365005469E-198</c:v>
                </c:pt>
                <c:pt idx="950">
                  <c:v>3.7802327580499603E-199</c:v>
                </c:pt>
                <c:pt idx="951">
                  <c:v>1.1056128314968552E-199</c:v>
                </c:pt>
                <c:pt idx="952">
                  <c:v>3.2287425127405023E-200</c:v>
                </c:pt>
                <c:pt idx="953">
                  <c:v>9.4147688911830614E-201</c:v>
                </c:pt>
                <c:pt idx="954">
                  <c:v>2.7411444499331941E-201</c:v>
                </c:pt>
                <c:pt idx="955">
                  <c:v>7.9689349967800435E-202</c:v>
                </c:pt>
                <c:pt idx="956">
                  <c:v>2.313208856889438E-202</c:v>
                </c:pt>
                <c:pt idx="957">
                  <c:v>6.704643722928852E-203</c:v>
                </c:pt>
                <c:pt idx="958">
                  <c:v>1.9403628690491531E-203</c:v>
                </c:pt>
                <c:pt idx="959">
                  <c:v>5.6070792360145801E-204</c:v>
                </c:pt>
                <c:pt idx="960">
                  <c:v>1.6178453839897599E-204</c:v>
                </c:pt>
                <c:pt idx="961">
                  <c:v>4.661052692955849E-205</c:v>
                </c:pt>
                <c:pt idx="962">
                  <c:v>1.3408425505615244E-205</c:v>
                </c:pt>
                <c:pt idx="963">
                  <c:v>3.8513981817288936E-206</c:v>
                </c:pt>
                <c:pt idx="964">
                  <c:v>1.1046024936463023E-206</c:v>
                </c:pt>
                <c:pt idx="965">
                  <c:v>3.1633021175923372E-207</c:v>
                </c:pt>
                <c:pt idx="966">
                  <c:v>9.0452895313254809E-208</c:v>
                </c:pt>
                <c:pt idx="967">
                  <c:v>2.5825665081611751E-208</c:v>
                </c:pt>
                <c:pt idx="968">
                  <c:v>7.3625437830450722E-209</c:v>
                </c:pt>
                <c:pt idx="969">
                  <c:v>2.0958089606422808E-209</c:v>
                </c:pt>
                <c:pt idx="970">
                  <c:v>5.9569370975035001E-210</c:v>
                </c:pt>
                <c:pt idx="971">
                  <c:v>1.6906042111013564E-210</c:v>
                </c:pt>
                <c:pt idx="972">
                  <c:v>4.7908059617301685E-211</c:v>
                </c:pt>
                <c:pt idx="973">
                  <c:v>1.3555733129907334E-211</c:v>
                </c:pt>
                <c:pt idx="974">
                  <c:v>3.8298813936892334E-212</c:v>
                </c:pt>
                <c:pt idx="975">
                  <c:v>1.0804274637883127E-212</c:v>
                </c:pt>
                <c:pt idx="976">
                  <c:v>3.0433645143584701E-213</c:v>
                </c:pt>
                <c:pt idx="977">
                  <c:v>8.5597382962990886E-214</c:v>
                </c:pt>
                <c:pt idx="978">
                  <c:v>2.4038936400085874E-214</c:v>
                </c:pt>
                <c:pt idx="979">
                  <c:v>6.7409071787431456E-215</c:v>
                </c:pt>
                <c:pt idx="980">
                  <c:v>1.8874257336961673E-215</c:v>
                </c:pt>
                <c:pt idx="981">
                  <c:v>5.2767912374663919E-216</c:v>
                </c:pt>
                <c:pt idx="982">
                  <c:v>1.4730536284246484E-216</c:v>
                </c:pt>
                <c:pt idx="983">
                  <c:v>4.1059711820658973E-217</c:v>
                </c:pt>
                <c:pt idx="984">
                  <c:v>1.142778385228643E-217</c:v>
                </c:pt>
                <c:pt idx="985">
                  <c:v>3.1758282521101311E-218</c:v>
                </c:pt>
                <c:pt idx="986">
                  <c:v>8.8125370541056997E-219</c:v>
                </c:pt>
                <c:pt idx="987">
                  <c:v>2.4417092569980105E-219</c:v>
                </c:pt>
                <c:pt idx="988">
                  <c:v>6.7551667826050353E-220</c:v>
                </c:pt>
                <c:pt idx="989">
                  <c:v>1.8660678141674632E-220</c:v>
                </c:pt>
                <c:pt idx="990">
                  <c:v>5.1471648181746267E-221</c:v>
                </c:pt>
                <c:pt idx="991">
                  <c:v>1.4176144163925861E-221</c:v>
                </c:pt>
                <c:pt idx="992">
                  <c:v>3.898500970081932E-222</c:v>
                </c:pt>
                <c:pt idx="993">
                  <c:v>1.0705001627377986E-222</c:v>
                </c:pt>
                <c:pt idx="994">
                  <c:v>2.9351174199349444E-223</c:v>
                </c:pt>
                <c:pt idx="995">
                  <c:v>8.0355194950266325E-224</c:v>
                </c:pt>
                <c:pt idx="996">
                  <c:v>2.1966064789655242E-224</c:v>
                </c:pt>
                <c:pt idx="997">
                  <c:v>5.995707924647656E-225</c:v>
                </c:pt>
                <c:pt idx="998">
                  <c:v>1.6341001446279887E-225</c:v>
                </c:pt>
                <c:pt idx="999">
                  <c:v>4.446998108200484E-226</c:v>
                </c:pt>
              </c:numCache>
            </c:numRef>
          </c:yVal>
        </c:ser>
        <c:ser>
          <c:idx val="10"/>
          <c:order val="6"/>
          <c:tx>
            <c:v/>
          </c:tx>
          <c:spPr>
            <a:ln w="25400">
              <a:solidFill>
                <a:srgbClr val="C0C0C0"/>
              </a:solidFill>
              <a:prstDash val="solid"/>
            </a:ln>
          </c:spPr>
          <c:marker>
            <c:symbol val="circle"/>
            <c:size val="5"/>
            <c:spPr>
              <a:solidFill>
                <a:srgbClr val="C0C0C0"/>
              </a:solidFill>
              <a:ln>
                <a:solidFill>
                  <a:srgbClr val="C0C0C0"/>
                </a:solidFill>
                <a:prstDash val="solid"/>
              </a:ln>
            </c:spPr>
          </c:marker>
          <c:xVal>
            <c:numRef>
              <c:f>'Precision two'!$O$79:$O$102</c:f>
              <c:numCache>
                <c:formatCode>General</c:formatCode>
                <c:ptCount val="24"/>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numCache>
            </c:numRef>
          </c:xVal>
          <c:yVal>
            <c:numRef>
              <c:f>'Precision two'!$V$79:$V$102</c:f>
              <c:numCache>
                <c:formatCode>General</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er>
        <c:ser>
          <c:idx val="6"/>
          <c:order val="7"/>
          <c:spPr>
            <a:ln w="28575">
              <a:noFill/>
            </a:ln>
          </c:spPr>
          <c:marker>
            <c:symbol val="diamond"/>
            <c:size val="7"/>
            <c:spPr>
              <a:solidFill>
                <a:srgbClr val="993300"/>
              </a:solidFill>
              <a:ln>
                <a:solidFill>
                  <a:srgbClr val="993300"/>
                </a:solidFill>
                <a:prstDash val="solid"/>
              </a:ln>
            </c:spPr>
          </c:marker>
          <c:errBars>
            <c:errDir val="y"/>
            <c:errBarType val="plus"/>
            <c:errValType val="cust"/>
            <c:noEndCap val="1"/>
            <c:plus>
              <c:numRef>
                <c:f>'Precision two'!$G$89</c:f>
                <c:numCache>
                  <c:formatCode>General</c:formatCode>
                  <c:ptCount val="1"/>
                  <c:pt idx="0">
                    <c:v>149</c:v>
                  </c:pt>
                </c:numCache>
              </c:numRef>
            </c:plus>
            <c:spPr>
              <a:ln w="25400">
                <a:solidFill>
                  <a:srgbClr val="993300"/>
                </a:solidFill>
                <a:prstDash val="solid"/>
              </a:ln>
            </c:spPr>
          </c:errBars>
          <c:xVal>
            <c:numRef>
              <c:f>'Precision two'!$D$88</c:f>
              <c:numCache>
                <c:formatCode>General</c:formatCode>
                <c:ptCount val="1"/>
                <c:pt idx="0">
                  <c:v>0.4</c:v>
                </c:pt>
              </c:numCache>
            </c:numRef>
          </c:xVal>
          <c:yVal>
            <c:numRef>
              <c:f>'Precision two'!$E$88</c:f>
              <c:numCache>
                <c:formatCode>General</c:formatCode>
                <c:ptCount val="1"/>
                <c:pt idx="0">
                  <c:v>0</c:v>
                </c:pt>
              </c:numCache>
            </c:numRef>
          </c:yVal>
        </c:ser>
        <c:ser>
          <c:idx val="8"/>
          <c:order val="8"/>
          <c:tx>
            <c:v/>
          </c:tx>
          <c:spPr>
            <a:ln w="25400">
              <a:solidFill>
                <a:srgbClr val="993300"/>
              </a:solidFill>
              <a:prstDash val="solid"/>
            </a:ln>
          </c:spPr>
          <c:marker>
            <c:symbol val="none"/>
          </c:marker>
          <c:xVal>
            <c:numRef>
              <c:f>'Precision two'!$C$104:$C$1103</c:f>
              <c:numCache>
                <c:formatCode>General</c:formatCode>
                <c:ptCount val="1000"/>
                <c:pt idx="0">
                  <c:v>1.5E-3</c:v>
                </c:pt>
                <c:pt idx="1">
                  <c:v>3.0000000000000001E-3</c:v>
                </c:pt>
                <c:pt idx="2">
                  <c:v>4.5000000000000005E-3</c:v>
                </c:pt>
                <c:pt idx="3">
                  <c:v>6.0000000000000001E-3</c:v>
                </c:pt>
                <c:pt idx="4">
                  <c:v>7.4999999999999997E-3</c:v>
                </c:pt>
                <c:pt idx="5">
                  <c:v>8.9999999999999993E-3</c:v>
                </c:pt>
                <c:pt idx="6">
                  <c:v>1.0499999999999999E-2</c:v>
                </c:pt>
                <c:pt idx="7">
                  <c:v>1.1999999999999999E-2</c:v>
                </c:pt>
                <c:pt idx="8">
                  <c:v>1.3499999999999998E-2</c:v>
                </c:pt>
                <c:pt idx="9">
                  <c:v>1.4999999999999998E-2</c:v>
                </c:pt>
                <c:pt idx="10">
                  <c:v>1.6499999999999997E-2</c:v>
                </c:pt>
                <c:pt idx="11">
                  <c:v>1.7999999999999999E-2</c:v>
                </c:pt>
                <c:pt idx="12">
                  <c:v>1.95E-2</c:v>
                </c:pt>
                <c:pt idx="13">
                  <c:v>2.1000000000000001E-2</c:v>
                </c:pt>
                <c:pt idx="14">
                  <c:v>2.2500000000000003E-2</c:v>
                </c:pt>
                <c:pt idx="15">
                  <c:v>2.4000000000000004E-2</c:v>
                </c:pt>
                <c:pt idx="16">
                  <c:v>2.5500000000000005E-2</c:v>
                </c:pt>
                <c:pt idx="17">
                  <c:v>2.7000000000000007E-2</c:v>
                </c:pt>
                <c:pt idx="18">
                  <c:v>2.8500000000000008E-2</c:v>
                </c:pt>
                <c:pt idx="19">
                  <c:v>3.0000000000000009E-2</c:v>
                </c:pt>
                <c:pt idx="20">
                  <c:v>3.1500000000000007E-2</c:v>
                </c:pt>
                <c:pt idx="21">
                  <c:v>3.3000000000000008E-2</c:v>
                </c:pt>
                <c:pt idx="22">
                  <c:v>3.450000000000001E-2</c:v>
                </c:pt>
                <c:pt idx="23">
                  <c:v>3.6000000000000011E-2</c:v>
                </c:pt>
                <c:pt idx="24">
                  <c:v>3.7500000000000012E-2</c:v>
                </c:pt>
                <c:pt idx="25">
                  <c:v>3.9000000000000014E-2</c:v>
                </c:pt>
                <c:pt idx="26">
                  <c:v>4.0500000000000015E-2</c:v>
                </c:pt>
                <c:pt idx="27">
                  <c:v>4.2000000000000016E-2</c:v>
                </c:pt>
                <c:pt idx="28">
                  <c:v>4.3500000000000018E-2</c:v>
                </c:pt>
                <c:pt idx="29">
                  <c:v>4.5000000000000019E-2</c:v>
                </c:pt>
                <c:pt idx="30">
                  <c:v>4.650000000000002E-2</c:v>
                </c:pt>
                <c:pt idx="31">
                  <c:v>4.8000000000000022E-2</c:v>
                </c:pt>
                <c:pt idx="32">
                  <c:v>4.9500000000000023E-2</c:v>
                </c:pt>
                <c:pt idx="33">
                  <c:v>5.1000000000000024E-2</c:v>
                </c:pt>
                <c:pt idx="34">
                  <c:v>5.2500000000000026E-2</c:v>
                </c:pt>
                <c:pt idx="35">
                  <c:v>5.4000000000000027E-2</c:v>
                </c:pt>
                <c:pt idx="36">
                  <c:v>5.5500000000000028E-2</c:v>
                </c:pt>
                <c:pt idx="37">
                  <c:v>5.700000000000003E-2</c:v>
                </c:pt>
                <c:pt idx="38">
                  <c:v>5.8500000000000031E-2</c:v>
                </c:pt>
                <c:pt idx="39">
                  <c:v>6.0000000000000032E-2</c:v>
                </c:pt>
                <c:pt idx="40">
                  <c:v>6.1500000000000034E-2</c:v>
                </c:pt>
                <c:pt idx="41">
                  <c:v>6.3000000000000028E-2</c:v>
                </c:pt>
                <c:pt idx="42">
                  <c:v>6.450000000000003E-2</c:v>
                </c:pt>
                <c:pt idx="43">
                  <c:v>6.6000000000000031E-2</c:v>
                </c:pt>
                <c:pt idx="44">
                  <c:v>6.7500000000000032E-2</c:v>
                </c:pt>
                <c:pt idx="45">
                  <c:v>6.9000000000000034E-2</c:v>
                </c:pt>
                <c:pt idx="46">
                  <c:v>7.0500000000000035E-2</c:v>
                </c:pt>
                <c:pt idx="47">
                  <c:v>7.2000000000000036E-2</c:v>
                </c:pt>
                <c:pt idx="48">
                  <c:v>7.3500000000000038E-2</c:v>
                </c:pt>
                <c:pt idx="49">
                  <c:v>7.5000000000000039E-2</c:v>
                </c:pt>
                <c:pt idx="50">
                  <c:v>7.650000000000004E-2</c:v>
                </c:pt>
                <c:pt idx="51">
                  <c:v>7.8000000000000042E-2</c:v>
                </c:pt>
                <c:pt idx="52">
                  <c:v>7.9500000000000043E-2</c:v>
                </c:pt>
                <c:pt idx="53">
                  <c:v>8.1000000000000044E-2</c:v>
                </c:pt>
                <c:pt idx="54">
                  <c:v>8.2500000000000046E-2</c:v>
                </c:pt>
                <c:pt idx="55">
                  <c:v>8.4000000000000047E-2</c:v>
                </c:pt>
                <c:pt idx="56">
                  <c:v>8.5500000000000048E-2</c:v>
                </c:pt>
                <c:pt idx="57">
                  <c:v>8.700000000000005E-2</c:v>
                </c:pt>
                <c:pt idx="58">
                  <c:v>8.8500000000000051E-2</c:v>
                </c:pt>
                <c:pt idx="59">
                  <c:v>9.0000000000000052E-2</c:v>
                </c:pt>
                <c:pt idx="60">
                  <c:v>9.1500000000000054E-2</c:v>
                </c:pt>
                <c:pt idx="61">
                  <c:v>9.3000000000000055E-2</c:v>
                </c:pt>
                <c:pt idx="62">
                  <c:v>9.4500000000000056E-2</c:v>
                </c:pt>
                <c:pt idx="63">
                  <c:v>9.6000000000000058E-2</c:v>
                </c:pt>
                <c:pt idx="64">
                  <c:v>9.7500000000000059E-2</c:v>
                </c:pt>
                <c:pt idx="65">
                  <c:v>9.900000000000006E-2</c:v>
                </c:pt>
                <c:pt idx="66">
                  <c:v>0.10050000000000006</c:v>
                </c:pt>
                <c:pt idx="67">
                  <c:v>0.10200000000000006</c:v>
                </c:pt>
                <c:pt idx="68">
                  <c:v>0.10350000000000006</c:v>
                </c:pt>
                <c:pt idx="69">
                  <c:v>0.10500000000000007</c:v>
                </c:pt>
                <c:pt idx="70">
                  <c:v>0.10650000000000007</c:v>
                </c:pt>
                <c:pt idx="71">
                  <c:v>0.10800000000000007</c:v>
                </c:pt>
                <c:pt idx="72">
                  <c:v>0.10950000000000007</c:v>
                </c:pt>
                <c:pt idx="73">
                  <c:v>0.11100000000000007</c:v>
                </c:pt>
                <c:pt idx="74">
                  <c:v>0.11250000000000007</c:v>
                </c:pt>
                <c:pt idx="75">
                  <c:v>0.11400000000000007</c:v>
                </c:pt>
                <c:pt idx="76">
                  <c:v>0.11550000000000007</c:v>
                </c:pt>
                <c:pt idx="77">
                  <c:v>0.11700000000000008</c:v>
                </c:pt>
                <c:pt idx="78">
                  <c:v>0.11850000000000008</c:v>
                </c:pt>
                <c:pt idx="79">
                  <c:v>0.12000000000000008</c:v>
                </c:pt>
                <c:pt idx="80">
                  <c:v>0.12150000000000008</c:v>
                </c:pt>
                <c:pt idx="81">
                  <c:v>0.12300000000000008</c:v>
                </c:pt>
                <c:pt idx="82">
                  <c:v>0.12450000000000008</c:v>
                </c:pt>
                <c:pt idx="83">
                  <c:v>0.12600000000000008</c:v>
                </c:pt>
                <c:pt idx="84">
                  <c:v>0.12750000000000009</c:v>
                </c:pt>
                <c:pt idx="85">
                  <c:v>0.12900000000000009</c:v>
                </c:pt>
                <c:pt idx="86">
                  <c:v>0.13050000000000009</c:v>
                </c:pt>
                <c:pt idx="87">
                  <c:v>0.13200000000000009</c:v>
                </c:pt>
                <c:pt idx="88">
                  <c:v>0.13350000000000009</c:v>
                </c:pt>
                <c:pt idx="89">
                  <c:v>0.13500000000000009</c:v>
                </c:pt>
                <c:pt idx="90">
                  <c:v>0.13650000000000009</c:v>
                </c:pt>
                <c:pt idx="91">
                  <c:v>0.13800000000000009</c:v>
                </c:pt>
                <c:pt idx="92">
                  <c:v>0.1395000000000001</c:v>
                </c:pt>
                <c:pt idx="93">
                  <c:v>0.1410000000000001</c:v>
                </c:pt>
                <c:pt idx="94">
                  <c:v>0.1425000000000001</c:v>
                </c:pt>
                <c:pt idx="95">
                  <c:v>0.1440000000000001</c:v>
                </c:pt>
                <c:pt idx="96">
                  <c:v>0.1455000000000001</c:v>
                </c:pt>
                <c:pt idx="97">
                  <c:v>0.1470000000000001</c:v>
                </c:pt>
                <c:pt idx="98">
                  <c:v>0.1485000000000001</c:v>
                </c:pt>
                <c:pt idx="99">
                  <c:v>0.15000000000000011</c:v>
                </c:pt>
                <c:pt idx="100">
                  <c:v>0.15150000000000011</c:v>
                </c:pt>
                <c:pt idx="101">
                  <c:v>0.15300000000000011</c:v>
                </c:pt>
                <c:pt idx="102">
                  <c:v>0.15450000000000011</c:v>
                </c:pt>
                <c:pt idx="103">
                  <c:v>0.15600000000000011</c:v>
                </c:pt>
                <c:pt idx="104">
                  <c:v>0.15750000000000011</c:v>
                </c:pt>
                <c:pt idx="105">
                  <c:v>0.15900000000000011</c:v>
                </c:pt>
                <c:pt idx="106">
                  <c:v>0.16050000000000011</c:v>
                </c:pt>
                <c:pt idx="107">
                  <c:v>0.16200000000000012</c:v>
                </c:pt>
                <c:pt idx="108">
                  <c:v>0.16350000000000012</c:v>
                </c:pt>
                <c:pt idx="109">
                  <c:v>0.16500000000000012</c:v>
                </c:pt>
                <c:pt idx="110">
                  <c:v>0.16650000000000012</c:v>
                </c:pt>
                <c:pt idx="111">
                  <c:v>0.16800000000000012</c:v>
                </c:pt>
                <c:pt idx="112">
                  <c:v>0.16950000000000012</c:v>
                </c:pt>
                <c:pt idx="113">
                  <c:v>0.17100000000000012</c:v>
                </c:pt>
                <c:pt idx="114">
                  <c:v>0.17250000000000013</c:v>
                </c:pt>
                <c:pt idx="115">
                  <c:v>0.17400000000000013</c:v>
                </c:pt>
                <c:pt idx="116">
                  <c:v>0.17550000000000013</c:v>
                </c:pt>
                <c:pt idx="117">
                  <c:v>0.17700000000000013</c:v>
                </c:pt>
                <c:pt idx="118">
                  <c:v>0.17850000000000013</c:v>
                </c:pt>
                <c:pt idx="119">
                  <c:v>0.18000000000000013</c:v>
                </c:pt>
                <c:pt idx="120">
                  <c:v>0.18150000000000013</c:v>
                </c:pt>
                <c:pt idx="121">
                  <c:v>0.18300000000000013</c:v>
                </c:pt>
                <c:pt idx="122">
                  <c:v>0.18450000000000014</c:v>
                </c:pt>
                <c:pt idx="123">
                  <c:v>0.18600000000000014</c:v>
                </c:pt>
                <c:pt idx="124">
                  <c:v>0.18750000000000014</c:v>
                </c:pt>
                <c:pt idx="125">
                  <c:v>0.18900000000000014</c:v>
                </c:pt>
                <c:pt idx="126">
                  <c:v>0.19050000000000014</c:v>
                </c:pt>
                <c:pt idx="127">
                  <c:v>0.19200000000000014</c:v>
                </c:pt>
                <c:pt idx="128">
                  <c:v>0.19350000000000014</c:v>
                </c:pt>
                <c:pt idx="129">
                  <c:v>0.19500000000000015</c:v>
                </c:pt>
                <c:pt idx="130">
                  <c:v>0.19650000000000015</c:v>
                </c:pt>
                <c:pt idx="131">
                  <c:v>0.19800000000000015</c:v>
                </c:pt>
                <c:pt idx="132">
                  <c:v>0.19950000000000015</c:v>
                </c:pt>
                <c:pt idx="133">
                  <c:v>0.20100000000000015</c:v>
                </c:pt>
                <c:pt idx="134">
                  <c:v>0.20250000000000015</c:v>
                </c:pt>
                <c:pt idx="135">
                  <c:v>0.20400000000000015</c:v>
                </c:pt>
                <c:pt idx="136">
                  <c:v>0.20550000000000015</c:v>
                </c:pt>
                <c:pt idx="137">
                  <c:v>0.20700000000000016</c:v>
                </c:pt>
                <c:pt idx="138">
                  <c:v>0.20850000000000016</c:v>
                </c:pt>
                <c:pt idx="139">
                  <c:v>0.21000000000000016</c:v>
                </c:pt>
                <c:pt idx="140">
                  <c:v>0.21150000000000016</c:v>
                </c:pt>
                <c:pt idx="141">
                  <c:v>0.21300000000000016</c:v>
                </c:pt>
                <c:pt idx="142">
                  <c:v>0.21450000000000016</c:v>
                </c:pt>
                <c:pt idx="143">
                  <c:v>0.21600000000000016</c:v>
                </c:pt>
                <c:pt idx="144">
                  <c:v>0.21750000000000017</c:v>
                </c:pt>
                <c:pt idx="145">
                  <c:v>0.21900000000000017</c:v>
                </c:pt>
                <c:pt idx="146">
                  <c:v>0.22050000000000017</c:v>
                </c:pt>
                <c:pt idx="147">
                  <c:v>0.22200000000000017</c:v>
                </c:pt>
                <c:pt idx="148">
                  <c:v>0.22350000000000017</c:v>
                </c:pt>
                <c:pt idx="149">
                  <c:v>0.22500000000000017</c:v>
                </c:pt>
                <c:pt idx="150">
                  <c:v>0.22650000000000017</c:v>
                </c:pt>
                <c:pt idx="151">
                  <c:v>0.22800000000000017</c:v>
                </c:pt>
                <c:pt idx="152">
                  <c:v>0.22950000000000018</c:v>
                </c:pt>
                <c:pt idx="153">
                  <c:v>0.23100000000000018</c:v>
                </c:pt>
                <c:pt idx="154">
                  <c:v>0.23250000000000018</c:v>
                </c:pt>
                <c:pt idx="155">
                  <c:v>0.23400000000000018</c:v>
                </c:pt>
                <c:pt idx="156">
                  <c:v>0.23550000000000018</c:v>
                </c:pt>
                <c:pt idx="157">
                  <c:v>0.23700000000000018</c:v>
                </c:pt>
                <c:pt idx="158">
                  <c:v>0.23850000000000018</c:v>
                </c:pt>
                <c:pt idx="159">
                  <c:v>0.24000000000000019</c:v>
                </c:pt>
                <c:pt idx="160">
                  <c:v>0.24150000000000019</c:v>
                </c:pt>
                <c:pt idx="161">
                  <c:v>0.24300000000000019</c:v>
                </c:pt>
                <c:pt idx="162">
                  <c:v>0.24450000000000019</c:v>
                </c:pt>
                <c:pt idx="163">
                  <c:v>0.24600000000000019</c:v>
                </c:pt>
                <c:pt idx="164">
                  <c:v>0.24750000000000019</c:v>
                </c:pt>
                <c:pt idx="165">
                  <c:v>0.24900000000000019</c:v>
                </c:pt>
                <c:pt idx="166">
                  <c:v>0.25050000000000017</c:v>
                </c:pt>
                <c:pt idx="167">
                  <c:v>0.25200000000000017</c:v>
                </c:pt>
                <c:pt idx="168">
                  <c:v>0.25350000000000017</c:v>
                </c:pt>
                <c:pt idx="169">
                  <c:v>0.25500000000000017</c:v>
                </c:pt>
                <c:pt idx="170">
                  <c:v>0.25650000000000017</c:v>
                </c:pt>
                <c:pt idx="171">
                  <c:v>0.25800000000000017</c:v>
                </c:pt>
                <c:pt idx="172">
                  <c:v>0.25950000000000017</c:v>
                </c:pt>
                <c:pt idx="173">
                  <c:v>0.26100000000000018</c:v>
                </c:pt>
                <c:pt idx="174">
                  <c:v>0.26250000000000018</c:v>
                </c:pt>
                <c:pt idx="175">
                  <c:v>0.26400000000000018</c:v>
                </c:pt>
                <c:pt idx="176">
                  <c:v>0.26550000000000018</c:v>
                </c:pt>
                <c:pt idx="177">
                  <c:v>0.26700000000000018</c:v>
                </c:pt>
                <c:pt idx="178">
                  <c:v>0.26850000000000018</c:v>
                </c:pt>
                <c:pt idx="179">
                  <c:v>0.27000000000000018</c:v>
                </c:pt>
                <c:pt idx="180">
                  <c:v>0.27150000000000019</c:v>
                </c:pt>
                <c:pt idx="181">
                  <c:v>0.27300000000000019</c:v>
                </c:pt>
                <c:pt idx="182">
                  <c:v>0.27450000000000019</c:v>
                </c:pt>
                <c:pt idx="183">
                  <c:v>0.27600000000000019</c:v>
                </c:pt>
                <c:pt idx="184">
                  <c:v>0.27750000000000019</c:v>
                </c:pt>
                <c:pt idx="185">
                  <c:v>0.27900000000000019</c:v>
                </c:pt>
                <c:pt idx="186">
                  <c:v>0.28050000000000019</c:v>
                </c:pt>
                <c:pt idx="187">
                  <c:v>0.28200000000000019</c:v>
                </c:pt>
                <c:pt idx="188">
                  <c:v>0.2835000000000002</c:v>
                </c:pt>
                <c:pt idx="189">
                  <c:v>0.2850000000000002</c:v>
                </c:pt>
                <c:pt idx="190">
                  <c:v>0.2865000000000002</c:v>
                </c:pt>
                <c:pt idx="191">
                  <c:v>0.2880000000000002</c:v>
                </c:pt>
                <c:pt idx="192">
                  <c:v>0.2895000000000002</c:v>
                </c:pt>
                <c:pt idx="193">
                  <c:v>0.2910000000000002</c:v>
                </c:pt>
                <c:pt idx="194">
                  <c:v>0.2925000000000002</c:v>
                </c:pt>
                <c:pt idx="195">
                  <c:v>0.29400000000000021</c:v>
                </c:pt>
                <c:pt idx="196">
                  <c:v>0.29550000000000021</c:v>
                </c:pt>
                <c:pt idx="197">
                  <c:v>0.29700000000000021</c:v>
                </c:pt>
                <c:pt idx="198">
                  <c:v>0.29850000000000021</c:v>
                </c:pt>
                <c:pt idx="199">
                  <c:v>0.30000000000000021</c:v>
                </c:pt>
                <c:pt idx="200">
                  <c:v>0.30150000000000021</c:v>
                </c:pt>
                <c:pt idx="201">
                  <c:v>0.30300000000000021</c:v>
                </c:pt>
                <c:pt idx="202">
                  <c:v>0.30450000000000021</c:v>
                </c:pt>
                <c:pt idx="203">
                  <c:v>0.30600000000000022</c:v>
                </c:pt>
                <c:pt idx="204">
                  <c:v>0.30750000000000022</c:v>
                </c:pt>
                <c:pt idx="205">
                  <c:v>0.30900000000000022</c:v>
                </c:pt>
                <c:pt idx="206">
                  <c:v>0.31050000000000022</c:v>
                </c:pt>
                <c:pt idx="207">
                  <c:v>0.31200000000000022</c:v>
                </c:pt>
                <c:pt idx="208">
                  <c:v>0.31350000000000022</c:v>
                </c:pt>
                <c:pt idx="209">
                  <c:v>0.31500000000000022</c:v>
                </c:pt>
                <c:pt idx="210">
                  <c:v>0.31650000000000023</c:v>
                </c:pt>
                <c:pt idx="211">
                  <c:v>0.31800000000000023</c:v>
                </c:pt>
                <c:pt idx="212">
                  <c:v>0.31950000000000023</c:v>
                </c:pt>
                <c:pt idx="213">
                  <c:v>0.32100000000000023</c:v>
                </c:pt>
                <c:pt idx="214">
                  <c:v>0.32250000000000023</c:v>
                </c:pt>
                <c:pt idx="215">
                  <c:v>0.32400000000000023</c:v>
                </c:pt>
                <c:pt idx="216">
                  <c:v>0.32550000000000023</c:v>
                </c:pt>
                <c:pt idx="217">
                  <c:v>0.32700000000000023</c:v>
                </c:pt>
                <c:pt idx="218">
                  <c:v>0.32850000000000024</c:v>
                </c:pt>
                <c:pt idx="219">
                  <c:v>0.33000000000000024</c:v>
                </c:pt>
                <c:pt idx="220">
                  <c:v>0.33150000000000024</c:v>
                </c:pt>
                <c:pt idx="221">
                  <c:v>0.33300000000000024</c:v>
                </c:pt>
                <c:pt idx="222">
                  <c:v>0.33450000000000024</c:v>
                </c:pt>
                <c:pt idx="223">
                  <c:v>0.33600000000000024</c:v>
                </c:pt>
                <c:pt idx="224">
                  <c:v>0.33750000000000024</c:v>
                </c:pt>
                <c:pt idx="225">
                  <c:v>0.33900000000000025</c:v>
                </c:pt>
                <c:pt idx="226">
                  <c:v>0.34050000000000025</c:v>
                </c:pt>
                <c:pt idx="227">
                  <c:v>0.34200000000000025</c:v>
                </c:pt>
                <c:pt idx="228">
                  <c:v>0.34350000000000025</c:v>
                </c:pt>
                <c:pt idx="229">
                  <c:v>0.34500000000000025</c:v>
                </c:pt>
                <c:pt idx="230">
                  <c:v>0.34650000000000025</c:v>
                </c:pt>
                <c:pt idx="231">
                  <c:v>0.34800000000000025</c:v>
                </c:pt>
                <c:pt idx="232">
                  <c:v>0.34950000000000025</c:v>
                </c:pt>
                <c:pt idx="233">
                  <c:v>0.35100000000000026</c:v>
                </c:pt>
                <c:pt idx="234">
                  <c:v>0.35250000000000026</c:v>
                </c:pt>
                <c:pt idx="235">
                  <c:v>0.35400000000000026</c:v>
                </c:pt>
                <c:pt idx="236">
                  <c:v>0.35550000000000026</c:v>
                </c:pt>
                <c:pt idx="237">
                  <c:v>0.35700000000000026</c:v>
                </c:pt>
                <c:pt idx="238">
                  <c:v>0.35850000000000026</c:v>
                </c:pt>
                <c:pt idx="239">
                  <c:v>0.36000000000000026</c:v>
                </c:pt>
                <c:pt idx="240">
                  <c:v>0.36150000000000027</c:v>
                </c:pt>
                <c:pt idx="241">
                  <c:v>0.36300000000000027</c:v>
                </c:pt>
                <c:pt idx="242">
                  <c:v>0.36450000000000027</c:v>
                </c:pt>
                <c:pt idx="243">
                  <c:v>0.36600000000000027</c:v>
                </c:pt>
                <c:pt idx="244">
                  <c:v>0.36750000000000027</c:v>
                </c:pt>
                <c:pt idx="245">
                  <c:v>0.36900000000000027</c:v>
                </c:pt>
                <c:pt idx="246">
                  <c:v>0.37050000000000027</c:v>
                </c:pt>
                <c:pt idx="247">
                  <c:v>0.37200000000000027</c:v>
                </c:pt>
                <c:pt idx="248">
                  <c:v>0.37350000000000028</c:v>
                </c:pt>
                <c:pt idx="249">
                  <c:v>0.37500000000000028</c:v>
                </c:pt>
                <c:pt idx="250">
                  <c:v>0.37650000000000028</c:v>
                </c:pt>
                <c:pt idx="251">
                  <c:v>0.37800000000000028</c:v>
                </c:pt>
                <c:pt idx="252">
                  <c:v>0.37950000000000028</c:v>
                </c:pt>
                <c:pt idx="253">
                  <c:v>0.38100000000000028</c:v>
                </c:pt>
                <c:pt idx="254">
                  <c:v>0.38250000000000028</c:v>
                </c:pt>
                <c:pt idx="255">
                  <c:v>0.38400000000000029</c:v>
                </c:pt>
                <c:pt idx="256">
                  <c:v>0.38550000000000029</c:v>
                </c:pt>
                <c:pt idx="257">
                  <c:v>0.38700000000000029</c:v>
                </c:pt>
                <c:pt idx="258">
                  <c:v>0.38850000000000029</c:v>
                </c:pt>
                <c:pt idx="259">
                  <c:v>0.39000000000000029</c:v>
                </c:pt>
                <c:pt idx="260">
                  <c:v>0.39150000000000029</c:v>
                </c:pt>
                <c:pt idx="261">
                  <c:v>0.39300000000000029</c:v>
                </c:pt>
                <c:pt idx="262">
                  <c:v>0.39450000000000029</c:v>
                </c:pt>
                <c:pt idx="263">
                  <c:v>0.3960000000000003</c:v>
                </c:pt>
                <c:pt idx="264">
                  <c:v>0.3975000000000003</c:v>
                </c:pt>
                <c:pt idx="265">
                  <c:v>0.3990000000000003</c:v>
                </c:pt>
                <c:pt idx="266">
                  <c:v>0.4005000000000003</c:v>
                </c:pt>
                <c:pt idx="267">
                  <c:v>0.4020000000000003</c:v>
                </c:pt>
                <c:pt idx="268">
                  <c:v>0.4035000000000003</c:v>
                </c:pt>
                <c:pt idx="269">
                  <c:v>0.4050000000000003</c:v>
                </c:pt>
                <c:pt idx="270">
                  <c:v>0.40650000000000031</c:v>
                </c:pt>
                <c:pt idx="271">
                  <c:v>0.40800000000000031</c:v>
                </c:pt>
                <c:pt idx="272">
                  <c:v>0.40950000000000031</c:v>
                </c:pt>
                <c:pt idx="273">
                  <c:v>0.41100000000000031</c:v>
                </c:pt>
                <c:pt idx="274">
                  <c:v>0.41250000000000031</c:v>
                </c:pt>
                <c:pt idx="275">
                  <c:v>0.41400000000000031</c:v>
                </c:pt>
                <c:pt idx="276">
                  <c:v>0.41550000000000031</c:v>
                </c:pt>
                <c:pt idx="277">
                  <c:v>0.41700000000000031</c:v>
                </c:pt>
                <c:pt idx="278">
                  <c:v>0.41850000000000032</c:v>
                </c:pt>
                <c:pt idx="279">
                  <c:v>0.42000000000000032</c:v>
                </c:pt>
                <c:pt idx="280">
                  <c:v>0.42150000000000032</c:v>
                </c:pt>
                <c:pt idx="281">
                  <c:v>0.42300000000000032</c:v>
                </c:pt>
                <c:pt idx="282">
                  <c:v>0.42450000000000032</c:v>
                </c:pt>
                <c:pt idx="283">
                  <c:v>0.42600000000000032</c:v>
                </c:pt>
                <c:pt idx="284">
                  <c:v>0.42750000000000032</c:v>
                </c:pt>
                <c:pt idx="285">
                  <c:v>0.42900000000000033</c:v>
                </c:pt>
                <c:pt idx="286">
                  <c:v>0.43050000000000033</c:v>
                </c:pt>
                <c:pt idx="287">
                  <c:v>0.43200000000000033</c:v>
                </c:pt>
                <c:pt idx="288">
                  <c:v>0.43350000000000033</c:v>
                </c:pt>
                <c:pt idx="289">
                  <c:v>0.43500000000000033</c:v>
                </c:pt>
                <c:pt idx="290">
                  <c:v>0.43650000000000033</c:v>
                </c:pt>
                <c:pt idx="291">
                  <c:v>0.43800000000000033</c:v>
                </c:pt>
                <c:pt idx="292">
                  <c:v>0.43950000000000033</c:v>
                </c:pt>
                <c:pt idx="293">
                  <c:v>0.44100000000000034</c:v>
                </c:pt>
                <c:pt idx="294">
                  <c:v>0.44250000000000034</c:v>
                </c:pt>
                <c:pt idx="295">
                  <c:v>0.44400000000000034</c:v>
                </c:pt>
                <c:pt idx="296">
                  <c:v>0.44550000000000034</c:v>
                </c:pt>
                <c:pt idx="297">
                  <c:v>0.44700000000000034</c:v>
                </c:pt>
                <c:pt idx="298">
                  <c:v>0.44850000000000034</c:v>
                </c:pt>
                <c:pt idx="299">
                  <c:v>0.45000000000000034</c:v>
                </c:pt>
                <c:pt idx="300">
                  <c:v>0.45150000000000035</c:v>
                </c:pt>
                <c:pt idx="301">
                  <c:v>0.45300000000000035</c:v>
                </c:pt>
                <c:pt idx="302">
                  <c:v>0.45450000000000035</c:v>
                </c:pt>
                <c:pt idx="303">
                  <c:v>0.45600000000000035</c:v>
                </c:pt>
                <c:pt idx="304">
                  <c:v>0.45750000000000035</c:v>
                </c:pt>
                <c:pt idx="305">
                  <c:v>0.45900000000000035</c:v>
                </c:pt>
                <c:pt idx="306">
                  <c:v>0.46050000000000035</c:v>
                </c:pt>
                <c:pt idx="307">
                  <c:v>0.46200000000000035</c:v>
                </c:pt>
                <c:pt idx="308">
                  <c:v>0.46350000000000036</c:v>
                </c:pt>
                <c:pt idx="309">
                  <c:v>0.46500000000000036</c:v>
                </c:pt>
                <c:pt idx="310">
                  <c:v>0.46650000000000036</c:v>
                </c:pt>
                <c:pt idx="311">
                  <c:v>0.46800000000000036</c:v>
                </c:pt>
                <c:pt idx="312">
                  <c:v>0.46950000000000036</c:v>
                </c:pt>
                <c:pt idx="313">
                  <c:v>0.47100000000000036</c:v>
                </c:pt>
                <c:pt idx="314">
                  <c:v>0.47250000000000036</c:v>
                </c:pt>
                <c:pt idx="315">
                  <c:v>0.47400000000000037</c:v>
                </c:pt>
                <c:pt idx="316">
                  <c:v>0.47550000000000037</c:v>
                </c:pt>
                <c:pt idx="317">
                  <c:v>0.47700000000000037</c:v>
                </c:pt>
                <c:pt idx="318">
                  <c:v>0.47850000000000037</c:v>
                </c:pt>
                <c:pt idx="319">
                  <c:v>0.48000000000000037</c:v>
                </c:pt>
                <c:pt idx="320">
                  <c:v>0.48150000000000037</c:v>
                </c:pt>
                <c:pt idx="321">
                  <c:v>0.48300000000000037</c:v>
                </c:pt>
                <c:pt idx="322">
                  <c:v>0.48450000000000037</c:v>
                </c:pt>
                <c:pt idx="323">
                  <c:v>0.48600000000000038</c:v>
                </c:pt>
                <c:pt idx="324">
                  <c:v>0.48750000000000038</c:v>
                </c:pt>
                <c:pt idx="325">
                  <c:v>0.48900000000000038</c:v>
                </c:pt>
                <c:pt idx="326">
                  <c:v>0.49050000000000038</c:v>
                </c:pt>
                <c:pt idx="327">
                  <c:v>0.49200000000000038</c:v>
                </c:pt>
                <c:pt idx="328">
                  <c:v>0.49350000000000038</c:v>
                </c:pt>
                <c:pt idx="329">
                  <c:v>0.49500000000000038</c:v>
                </c:pt>
                <c:pt idx="330">
                  <c:v>0.49650000000000039</c:v>
                </c:pt>
                <c:pt idx="331">
                  <c:v>0.49800000000000039</c:v>
                </c:pt>
                <c:pt idx="332">
                  <c:v>0.49950000000000039</c:v>
                </c:pt>
                <c:pt idx="333">
                  <c:v>0.50100000000000033</c:v>
                </c:pt>
                <c:pt idx="334">
                  <c:v>0.50250000000000028</c:v>
                </c:pt>
                <c:pt idx="335">
                  <c:v>0.50400000000000023</c:v>
                </c:pt>
                <c:pt idx="336">
                  <c:v>0.50550000000000017</c:v>
                </c:pt>
                <c:pt idx="337">
                  <c:v>0.50700000000000012</c:v>
                </c:pt>
                <c:pt idx="338">
                  <c:v>0.50850000000000006</c:v>
                </c:pt>
                <c:pt idx="339">
                  <c:v>0.51</c:v>
                </c:pt>
                <c:pt idx="340">
                  <c:v>0.51149999999999995</c:v>
                </c:pt>
                <c:pt idx="341">
                  <c:v>0.5129999999999999</c:v>
                </c:pt>
                <c:pt idx="342">
                  <c:v>0.51449999999999985</c:v>
                </c:pt>
                <c:pt idx="343">
                  <c:v>0.51599999999999979</c:v>
                </c:pt>
                <c:pt idx="344">
                  <c:v>0.51749999999999974</c:v>
                </c:pt>
                <c:pt idx="345">
                  <c:v>0.51899999999999968</c:v>
                </c:pt>
                <c:pt idx="346">
                  <c:v>0.52049999999999963</c:v>
                </c:pt>
                <c:pt idx="347">
                  <c:v>0.52199999999999958</c:v>
                </c:pt>
                <c:pt idx="348">
                  <c:v>0.52349999999999952</c:v>
                </c:pt>
                <c:pt idx="349">
                  <c:v>0.52499999999999947</c:v>
                </c:pt>
                <c:pt idx="350">
                  <c:v>0.52649999999999941</c:v>
                </c:pt>
                <c:pt idx="351">
                  <c:v>0.52799999999999936</c:v>
                </c:pt>
                <c:pt idx="352">
                  <c:v>0.5294999999999993</c:v>
                </c:pt>
                <c:pt idx="353">
                  <c:v>0.53099999999999925</c:v>
                </c:pt>
                <c:pt idx="354">
                  <c:v>0.5324999999999992</c:v>
                </c:pt>
                <c:pt idx="355">
                  <c:v>0.53399999999999914</c:v>
                </c:pt>
                <c:pt idx="356">
                  <c:v>0.53549999999999909</c:v>
                </c:pt>
                <c:pt idx="357">
                  <c:v>0.53699999999999903</c:v>
                </c:pt>
                <c:pt idx="358">
                  <c:v>0.53849999999999898</c:v>
                </c:pt>
                <c:pt idx="359">
                  <c:v>0.53999999999999893</c:v>
                </c:pt>
                <c:pt idx="360">
                  <c:v>0.54149999999999887</c:v>
                </c:pt>
                <c:pt idx="361">
                  <c:v>0.54299999999999882</c:v>
                </c:pt>
                <c:pt idx="362">
                  <c:v>0.54449999999999876</c:v>
                </c:pt>
                <c:pt idx="363">
                  <c:v>0.54599999999999871</c:v>
                </c:pt>
                <c:pt idx="364">
                  <c:v>0.54749999999999865</c:v>
                </c:pt>
                <c:pt idx="365">
                  <c:v>0.5489999999999986</c:v>
                </c:pt>
                <c:pt idx="366">
                  <c:v>0.55049999999999855</c:v>
                </c:pt>
                <c:pt idx="367">
                  <c:v>0.55199999999999849</c:v>
                </c:pt>
                <c:pt idx="368">
                  <c:v>0.55349999999999844</c:v>
                </c:pt>
                <c:pt idx="369">
                  <c:v>0.55499999999999838</c:v>
                </c:pt>
                <c:pt idx="370">
                  <c:v>0.55649999999999833</c:v>
                </c:pt>
                <c:pt idx="371">
                  <c:v>0.55799999999999828</c:v>
                </c:pt>
                <c:pt idx="372">
                  <c:v>0.55949999999999822</c:v>
                </c:pt>
                <c:pt idx="373">
                  <c:v>0.56099999999999817</c:v>
                </c:pt>
                <c:pt idx="374">
                  <c:v>0.56249999999999811</c:v>
                </c:pt>
                <c:pt idx="375">
                  <c:v>0.56399999999999806</c:v>
                </c:pt>
                <c:pt idx="376">
                  <c:v>0.565499999999998</c:v>
                </c:pt>
                <c:pt idx="377">
                  <c:v>0.56699999999999795</c:v>
                </c:pt>
                <c:pt idx="378">
                  <c:v>0.5684999999999979</c:v>
                </c:pt>
                <c:pt idx="379">
                  <c:v>0.56999999999999784</c:v>
                </c:pt>
                <c:pt idx="380">
                  <c:v>0.57149999999999779</c:v>
                </c:pt>
                <c:pt idx="381">
                  <c:v>0.57299999999999773</c:v>
                </c:pt>
                <c:pt idx="382">
                  <c:v>0.57449999999999768</c:v>
                </c:pt>
                <c:pt idx="383">
                  <c:v>0.57599999999999763</c:v>
                </c:pt>
                <c:pt idx="384">
                  <c:v>0.57749999999999757</c:v>
                </c:pt>
                <c:pt idx="385">
                  <c:v>0.57899999999999752</c:v>
                </c:pt>
                <c:pt idx="386">
                  <c:v>0.58049999999999746</c:v>
                </c:pt>
                <c:pt idx="387">
                  <c:v>0.58199999999999741</c:v>
                </c:pt>
                <c:pt idx="388">
                  <c:v>0.58349999999999735</c:v>
                </c:pt>
                <c:pt idx="389">
                  <c:v>0.5849999999999973</c:v>
                </c:pt>
                <c:pt idx="390">
                  <c:v>0.58649999999999725</c:v>
                </c:pt>
                <c:pt idx="391">
                  <c:v>0.58799999999999719</c:v>
                </c:pt>
                <c:pt idx="392">
                  <c:v>0.58949999999999714</c:v>
                </c:pt>
                <c:pt idx="393">
                  <c:v>0.59099999999999708</c:v>
                </c:pt>
                <c:pt idx="394">
                  <c:v>0.59249999999999703</c:v>
                </c:pt>
                <c:pt idx="395">
                  <c:v>0.59399999999999697</c:v>
                </c:pt>
                <c:pt idx="396">
                  <c:v>0.59549999999999692</c:v>
                </c:pt>
                <c:pt idx="397">
                  <c:v>0.59699999999999687</c:v>
                </c:pt>
                <c:pt idx="398">
                  <c:v>0.59849999999999681</c:v>
                </c:pt>
                <c:pt idx="399">
                  <c:v>0.59999999999999676</c:v>
                </c:pt>
                <c:pt idx="400">
                  <c:v>0.6014999999999967</c:v>
                </c:pt>
                <c:pt idx="401">
                  <c:v>0.60299999999999665</c:v>
                </c:pt>
                <c:pt idx="402">
                  <c:v>0.6044999999999966</c:v>
                </c:pt>
                <c:pt idx="403">
                  <c:v>0.60599999999999654</c:v>
                </c:pt>
                <c:pt idx="404">
                  <c:v>0.60749999999999649</c:v>
                </c:pt>
                <c:pt idx="405">
                  <c:v>0.60899999999999643</c:v>
                </c:pt>
                <c:pt idx="406">
                  <c:v>0.61049999999999638</c:v>
                </c:pt>
                <c:pt idx="407">
                  <c:v>0.61199999999999632</c:v>
                </c:pt>
                <c:pt idx="408">
                  <c:v>0.61349999999999627</c:v>
                </c:pt>
                <c:pt idx="409">
                  <c:v>0.61499999999999622</c:v>
                </c:pt>
                <c:pt idx="410">
                  <c:v>0.61649999999999616</c:v>
                </c:pt>
                <c:pt idx="411">
                  <c:v>0.61799999999999611</c:v>
                </c:pt>
                <c:pt idx="412">
                  <c:v>0.61949999999999605</c:v>
                </c:pt>
                <c:pt idx="413">
                  <c:v>0.620999999999996</c:v>
                </c:pt>
                <c:pt idx="414">
                  <c:v>0.62249999999999595</c:v>
                </c:pt>
                <c:pt idx="415">
                  <c:v>0.62399999999999589</c:v>
                </c:pt>
                <c:pt idx="416">
                  <c:v>0.62549999999999584</c:v>
                </c:pt>
                <c:pt idx="417">
                  <c:v>0.62699999999999578</c:v>
                </c:pt>
                <c:pt idx="418">
                  <c:v>0.62849999999999573</c:v>
                </c:pt>
                <c:pt idx="419">
                  <c:v>0.62999999999999567</c:v>
                </c:pt>
                <c:pt idx="420">
                  <c:v>0.63149999999999562</c:v>
                </c:pt>
                <c:pt idx="421">
                  <c:v>0.63299999999999557</c:v>
                </c:pt>
                <c:pt idx="422">
                  <c:v>0.63449999999999551</c:v>
                </c:pt>
                <c:pt idx="423">
                  <c:v>0.63599999999999546</c:v>
                </c:pt>
                <c:pt idx="424">
                  <c:v>0.6374999999999954</c:v>
                </c:pt>
                <c:pt idx="425">
                  <c:v>0.63899999999999535</c:v>
                </c:pt>
                <c:pt idx="426">
                  <c:v>0.6404999999999953</c:v>
                </c:pt>
                <c:pt idx="427">
                  <c:v>0.64199999999999524</c:v>
                </c:pt>
                <c:pt idx="428">
                  <c:v>0.64349999999999519</c:v>
                </c:pt>
                <c:pt idx="429">
                  <c:v>0.64499999999999513</c:v>
                </c:pt>
                <c:pt idx="430">
                  <c:v>0.64649999999999508</c:v>
                </c:pt>
                <c:pt idx="431">
                  <c:v>0.64799999999999502</c:v>
                </c:pt>
                <c:pt idx="432">
                  <c:v>0.64949999999999497</c:v>
                </c:pt>
                <c:pt idx="433">
                  <c:v>0.65099999999999492</c:v>
                </c:pt>
                <c:pt idx="434">
                  <c:v>0.65249999999999486</c:v>
                </c:pt>
                <c:pt idx="435">
                  <c:v>0.65399999999999481</c:v>
                </c:pt>
                <c:pt idx="436">
                  <c:v>0.65549999999999475</c:v>
                </c:pt>
                <c:pt idx="437">
                  <c:v>0.6569999999999947</c:v>
                </c:pt>
                <c:pt idx="438">
                  <c:v>0.65849999999999465</c:v>
                </c:pt>
                <c:pt idx="439">
                  <c:v>0.65999999999999459</c:v>
                </c:pt>
                <c:pt idx="440">
                  <c:v>0.66149999999999454</c:v>
                </c:pt>
                <c:pt idx="441">
                  <c:v>0.66299999999999448</c:v>
                </c:pt>
                <c:pt idx="442">
                  <c:v>0.66449999999999443</c:v>
                </c:pt>
                <c:pt idx="443">
                  <c:v>0.66599999999999437</c:v>
                </c:pt>
                <c:pt idx="444">
                  <c:v>0.66749999999999432</c:v>
                </c:pt>
                <c:pt idx="445">
                  <c:v>0.66899999999999427</c:v>
                </c:pt>
                <c:pt idx="446">
                  <c:v>0.67049999999999421</c:v>
                </c:pt>
                <c:pt idx="447">
                  <c:v>0.67199999999999416</c:v>
                </c:pt>
                <c:pt idx="448">
                  <c:v>0.6734999999999941</c:v>
                </c:pt>
                <c:pt idx="449">
                  <c:v>0.67499999999999405</c:v>
                </c:pt>
                <c:pt idx="450">
                  <c:v>0.676499999999994</c:v>
                </c:pt>
                <c:pt idx="451">
                  <c:v>0.67799999999999394</c:v>
                </c:pt>
                <c:pt idx="452">
                  <c:v>0.67949999999999389</c:v>
                </c:pt>
                <c:pt idx="453">
                  <c:v>0.68099999999999383</c:v>
                </c:pt>
                <c:pt idx="454">
                  <c:v>0.68249999999999378</c:v>
                </c:pt>
                <c:pt idx="455">
                  <c:v>0.68399999999999372</c:v>
                </c:pt>
                <c:pt idx="456">
                  <c:v>0.68549999999999367</c:v>
                </c:pt>
                <c:pt idx="457">
                  <c:v>0.68699999999999362</c:v>
                </c:pt>
                <c:pt idx="458">
                  <c:v>0.68849999999999356</c:v>
                </c:pt>
                <c:pt idx="459">
                  <c:v>0.68999999999999351</c:v>
                </c:pt>
                <c:pt idx="460">
                  <c:v>0.69149999999999345</c:v>
                </c:pt>
                <c:pt idx="461">
                  <c:v>0.6929999999999934</c:v>
                </c:pt>
                <c:pt idx="462">
                  <c:v>0.69449999999999334</c:v>
                </c:pt>
                <c:pt idx="463">
                  <c:v>0.69599999999999329</c:v>
                </c:pt>
                <c:pt idx="464">
                  <c:v>0.69749999999999324</c:v>
                </c:pt>
                <c:pt idx="465">
                  <c:v>0.69899999999999318</c:v>
                </c:pt>
                <c:pt idx="466">
                  <c:v>0.70049999999999313</c:v>
                </c:pt>
                <c:pt idx="467">
                  <c:v>0.70199999999999307</c:v>
                </c:pt>
                <c:pt idx="468">
                  <c:v>0.70349999999999302</c:v>
                </c:pt>
                <c:pt idx="469">
                  <c:v>0.70499999999999297</c:v>
                </c:pt>
                <c:pt idx="470">
                  <c:v>0.70649999999999291</c:v>
                </c:pt>
                <c:pt idx="471">
                  <c:v>0.70799999999999286</c:v>
                </c:pt>
                <c:pt idx="472">
                  <c:v>0.7094999999999928</c:v>
                </c:pt>
                <c:pt idx="473">
                  <c:v>0.71099999999999275</c:v>
                </c:pt>
                <c:pt idx="474">
                  <c:v>0.71249999999999269</c:v>
                </c:pt>
                <c:pt idx="475">
                  <c:v>0.71399999999999264</c:v>
                </c:pt>
                <c:pt idx="476">
                  <c:v>0.71549999999999259</c:v>
                </c:pt>
                <c:pt idx="477">
                  <c:v>0.71699999999999253</c:v>
                </c:pt>
                <c:pt idx="478">
                  <c:v>0.71849999999999248</c:v>
                </c:pt>
                <c:pt idx="479">
                  <c:v>0.71999999999999242</c:v>
                </c:pt>
                <c:pt idx="480">
                  <c:v>0.72149999999999237</c:v>
                </c:pt>
                <c:pt idx="481">
                  <c:v>0.72299999999999232</c:v>
                </c:pt>
                <c:pt idx="482">
                  <c:v>0.72449999999999226</c:v>
                </c:pt>
                <c:pt idx="483">
                  <c:v>0.72599999999999221</c:v>
                </c:pt>
                <c:pt idx="484">
                  <c:v>0.72749999999999215</c:v>
                </c:pt>
                <c:pt idx="485">
                  <c:v>0.7289999999999921</c:v>
                </c:pt>
                <c:pt idx="486">
                  <c:v>0.73049999999999204</c:v>
                </c:pt>
                <c:pt idx="487">
                  <c:v>0.73199999999999199</c:v>
                </c:pt>
                <c:pt idx="488">
                  <c:v>0.73349999999999194</c:v>
                </c:pt>
                <c:pt idx="489">
                  <c:v>0.73499999999999188</c:v>
                </c:pt>
                <c:pt idx="490">
                  <c:v>0.73649999999999183</c:v>
                </c:pt>
                <c:pt idx="491">
                  <c:v>0.73799999999999177</c:v>
                </c:pt>
                <c:pt idx="492">
                  <c:v>0.73949999999999172</c:v>
                </c:pt>
                <c:pt idx="493">
                  <c:v>0.74099999999999167</c:v>
                </c:pt>
                <c:pt idx="494">
                  <c:v>0.74249999999999161</c:v>
                </c:pt>
                <c:pt idx="495">
                  <c:v>0.74399999999999156</c:v>
                </c:pt>
                <c:pt idx="496">
                  <c:v>0.7454999999999915</c:v>
                </c:pt>
                <c:pt idx="497">
                  <c:v>0.74699999999999145</c:v>
                </c:pt>
                <c:pt idx="498">
                  <c:v>0.74849999999999139</c:v>
                </c:pt>
                <c:pt idx="499">
                  <c:v>0.74999999999999134</c:v>
                </c:pt>
                <c:pt idx="500">
                  <c:v>0.75149999999999129</c:v>
                </c:pt>
                <c:pt idx="501">
                  <c:v>0.75299999999999123</c:v>
                </c:pt>
                <c:pt idx="502">
                  <c:v>0.75449999999999118</c:v>
                </c:pt>
                <c:pt idx="503">
                  <c:v>0.75599999999999112</c:v>
                </c:pt>
                <c:pt idx="504">
                  <c:v>0.75749999999999107</c:v>
                </c:pt>
                <c:pt idx="505">
                  <c:v>0.75899999999999102</c:v>
                </c:pt>
                <c:pt idx="506">
                  <c:v>0.76049999999999096</c:v>
                </c:pt>
                <c:pt idx="507">
                  <c:v>0.76199999999999091</c:v>
                </c:pt>
                <c:pt idx="508">
                  <c:v>0.76349999999999085</c:v>
                </c:pt>
                <c:pt idx="509">
                  <c:v>0.7649999999999908</c:v>
                </c:pt>
                <c:pt idx="510">
                  <c:v>0.76649999999999074</c:v>
                </c:pt>
                <c:pt idx="511">
                  <c:v>0.76799999999999069</c:v>
                </c:pt>
                <c:pt idx="512">
                  <c:v>0.76949999999999064</c:v>
                </c:pt>
                <c:pt idx="513">
                  <c:v>0.77099999999999058</c:v>
                </c:pt>
                <c:pt idx="514">
                  <c:v>0.77249999999999053</c:v>
                </c:pt>
                <c:pt idx="515">
                  <c:v>0.77399999999999047</c:v>
                </c:pt>
                <c:pt idx="516">
                  <c:v>0.77549999999999042</c:v>
                </c:pt>
                <c:pt idx="517">
                  <c:v>0.77699999999999037</c:v>
                </c:pt>
                <c:pt idx="518">
                  <c:v>0.77849999999999031</c:v>
                </c:pt>
                <c:pt idx="519">
                  <c:v>0.77999999999999026</c:v>
                </c:pt>
                <c:pt idx="520">
                  <c:v>0.7814999999999902</c:v>
                </c:pt>
                <c:pt idx="521">
                  <c:v>0.78299999999999015</c:v>
                </c:pt>
                <c:pt idx="522">
                  <c:v>0.78449999999999009</c:v>
                </c:pt>
                <c:pt idx="523">
                  <c:v>0.78599999999999004</c:v>
                </c:pt>
                <c:pt idx="524">
                  <c:v>0.78749999999998999</c:v>
                </c:pt>
                <c:pt idx="525">
                  <c:v>0.78899999999998993</c:v>
                </c:pt>
                <c:pt idx="526">
                  <c:v>0.79049999999998988</c:v>
                </c:pt>
                <c:pt idx="527">
                  <c:v>0.79199999999998982</c:v>
                </c:pt>
                <c:pt idx="528">
                  <c:v>0.79349999999998977</c:v>
                </c:pt>
                <c:pt idx="529">
                  <c:v>0.79499999999998971</c:v>
                </c:pt>
                <c:pt idx="530">
                  <c:v>0.79649999999998966</c:v>
                </c:pt>
                <c:pt idx="531">
                  <c:v>0.79799999999998961</c:v>
                </c:pt>
                <c:pt idx="532">
                  <c:v>0.79949999999998955</c:v>
                </c:pt>
                <c:pt idx="533">
                  <c:v>0.8009999999999895</c:v>
                </c:pt>
                <c:pt idx="534">
                  <c:v>0.80249999999998944</c:v>
                </c:pt>
                <c:pt idx="535">
                  <c:v>0.80399999999998939</c:v>
                </c:pt>
                <c:pt idx="536">
                  <c:v>0.80549999999998934</c:v>
                </c:pt>
                <c:pt idx="537">
                  <c:v>0.80699999999998928</c:v>
                </c:pt>
                <c:pt idx="538">
                  <c:v>0.80849999999998923</c:v>
                </c:pt>
                <c:pt idx="539">
                  <c:v>0.80999999999998917</c:v>
                </c:pt>
                <c:pt idx="540">
                  <c:v>0.81149999999998912</c:v>
                </c:pt>
                <c:pt idx="541">
                  <c:v>0.81299999999998906</c:v>
                </c:pt>
                <c:pt idx="542">
                  <c:v>0.81449999999998901</c:v>
                </c:pt>
                <c:pt idx="543">
                  <c:v>0.81599999999998896</c:v>
                </c:pt>
                <c:pt idx="544">
                  <c:v>0.8174999999999889</c:v>
                </c:pt>
                <c:pt idx="545">
                  <c:v>0.81899999999998885</c:v>
                </c:pt>
                <c:pt idx="546">
                  <c:v>0.82049999999998879</c:v>
                </c:pt>
                <c:pt idx="547">
                  <c:v>0.82199999999998874</c:v>
                </c:pt>
                <c:pt idx="548">
                  <c:v>0.82349999999998869</c:v>
                </c:pt>
                <c:pt idx="549">
                  <c:v>0.82499999999998863</c:v>
                </c:pt>
                <c:pt idx="550">
                  <c:v>0.82649999999998858</c:v>
                </c:pt>
                <c:pt idx="551">
                  <c:v>0.82799999999998852</c:v>
                </c:pt>
                <c:pt idx="552">
                  <c:v>0.82949999999998847</c:v>
                </c:pt>
                <c:pt idx="553">
                  <c:v>0.83099999999998841</c:v>
                </c:pt>
                <c:pt idx="554">
                  <c:v>0.83249999999998836</c:v>
                </c:pt>
                <c:pt idx="555">
                  <c:v>0.83399999999998831</c:v>
                </c:pt>
                <c:pt idx="556">
                  <c:v>0.83549999999998825</c:v>
                </c:pt>
                <c:pt idx="557">
                  <c:v>0.8369999999999882</c:v>
                </c:pt>
                <c:pt idx="558">
                  <c:v>0.83849999999998814</c:v>
                </c:pt>
                <c:pt idx="559">
                  <c:v>0.83999999999998809</c:v>
                </c:pt>
                <c:pt idx="560">
                  <c:v>0.84149999999998804</c:v>
                </c:pt>
                <c:pt idx="561">
                  <c:v>0.84299999999998798</c:v>
                </c:pt>
                <c:pt idx="562">
                  <c:v>0.84449999999998793</c:v>
                </c:pt>
                <c:pt idx="563">
                  <c:v>0.84599999999998787</c:v>
                </c:pt>
                <c:pt idx="564">
                  <c:v>0.84749999999998782</c:v>
                </c:pt>
                <c:pt idx="565">
                  <c:v>0.84899999999998776</c:v>
                </c:pt>
                <c:pt idx="566">
                  <c:v>0.85049999999998771</c:v>
                </c:pt>
                <c:pt idx="567">
                  <c:v>0.85199999999998766</c:v>
                </c:pt>
                <c:pt idx="568">
                  <c:v>0.8534999999999876</c:v>
                </c:pt>
                <c:pt idx="569">
                  <c:v>0.85499999999998755</c:v>
                </c:pt>
                <c:pt idx="570">
                  <c:v>0.85649999999998749</c:v>
                </c:pt>
                <c:pt idx="571">
                  <c:v>0.85799999999998744</c:v>
                </c:pt>
                <c:pt idx="572">
                  <c:v>0.85949999999998739</c:v>
                </c:pt>
                <c:pt idx="573">
                  <c:v>0.86099999999998733</c:v>
                </c:pt>
                <c:pt idx="574">
                  <c:v>0.86249999999998728</c:v>
                </c:pt>
                <c:pt idx="575">
                  <c:v>0.86399999999998722</c:v>
                </c:pt>
                <c:pt idx="576">
                  <c:v>0.86549999999998717</c:v>
                </c:pt>
                <c:pt idx="577">
                  <c:v>0.86699999999998711</c:v>
                </c:pt>
                <c:pt idx="578">
                  <c:v>0.86849999999998706</c:v>
                </c:pt>
                <c:pt idx="579">
                  <c:v>0.86999999999998701</c:v>
                </c:pt>
                <c:pt idx="580">
                  <c:v>0.87149999999998695</c:v>
                </c:pt>
                <c:pt idx="581">
                  <c:v>0.8729999999999869</c:v>
                </c:pt>
                <c:pt idx="582">
                  <c:v>0.87449999999998684</c:v>
                </c:pt>
                <c:pt idx="583">
                  <c:v>0.87599999999998679</c:v>
                </c:pt>
                <c:pt idx="584">
                  <c:v>0.87749999999998674</c:v>
                </c:pt>
                <c:pt idx="585">
                  <c:v>0.87899999999998668</c:v>
                </c:pt>
                <c:pt idx="586">
                  <c:v>0.88049999999998663</c:v>
                </c:pt>
                <c:pt idx="587">
                  <c:v>0.88199999999998657</c:v>
                </c:pt>
                <c:pt idx="588">
                  <c:v>0.88349999999998652</c:v>
                </c:pt>
                <c:pt idx="589">
                  <c:v>0.88499999999998646</c:v>
                </c:pt>
                <c:pt idx="590">
                  <c:v>0.88649999999998641</c:v>
                </c:pt>
                <c:pt idx="591">
                  <c:v>0.88799999999998636</c:v>
                </c:pt>
                <c:pt idx="592">
                  <c:v>0.8894999999999863</c:v>
                </c:pt>
                <c:pt idx="593">
                  <c:v>0.89099999999998625</c:v>
                </c:pt>
                <c:pt idx="594">
                  <c:v>0.89249999999998619</c:v>
                </c:pt>
                <c:pt idx="595">
                  <c:v>0.89399999999998614</c:v>
                </c:pt>
                <c:pt idx="596">
                  <c:v>0.89549999999998608</c:v>
                </c:pt>
                <c:pt idx="597">
                  <c:v>0.89699999999998603</c:v>
                </c:pt>
                <c:pt idx="598">
                  <c:v>0.89849999999998598</c:v>
                </c:pt>
                <c:pt idx="599">
                  <c:v>0.89999999999998592</c:v>
                </c:pt>
                <c:pt idx="600">
                  <c:v>0.90149999999998587</c:v>
                </c:pt>
                <c:pt idx="601">
                  <c:v>0.90299999999998581</c:v>
                </c:pt>
                <c:pt idx="602">
                  <c:v>0.90449999999998576</c:v>
                </c:pt>
                <c:pt idx="603">
                  <c:v>0.90599999999998571</c:v>
                </c:pt>
                <c:pt idx="604">
                  <c:v>0.90749999999998565</c:v>
                </c:pt>
                <c:pt idx="605">
                  <c:v>0.9089999999999856</c:v>
                </c:pt>
                <c:pt idx="606">
                  <c:v>0.91049999999998554</c:v>
                </c:pt>
                <c:pt idx="607">
                  <c:v>0.91199999999998549</c:v>
                </c:pt>
                <c:pt idx="608">
                  <c:v>0.91349999999998543</c:v>
                </c:pt>
                <c:pt idx="609">
                  <c:v>0.91499999999998538</c:v>
                </c:pt>
                <c:pt idx="610">
                  <c:v>0.91649999999998533</c:v>
                </c:pt>
                <c:pt idx="611">
                  <c:v>0.91799999999998527</c:v>
                </c:pt>
                <c:pt idx="612">
                  <c:v>0.91949999999998522</c:v>
                </c:pt>
                <c:pt idx="613">
                  <c:v>0.92099999999998516</c:v>
                </c:pt>
                <c:pt idx="614">
                  <c:v>0.92249999999998511</c:v>
                </c:pt>
                <c:pt idx="615">
                  <c:v>0.92399999999998506</c:v>
                </c:pt>
                <c:pt idx="616">
                  <c:v>0.925499999999985</c:v>
                </c:pt>
                <c:pt idx="617">
                  <c:v>0.92699999999998495</c:v>
                </c:pt>
                <c:pt idx="618">
                  <c:v>0.92849999999998489</c:v>
                </c:pt>
                <c:pt idx="619">
                  <c:v>0.92999999999998484</c:v>
                </c:pt>
                <c:pt idx="620">
                  <c:v>0.93149999999998478</c:v>
                </c:pt>
                <c:pt idx="621">
                  <c:v>0.93299999999998473</c:v>
                </c:pt>
                <c:pt idx="622">
                  <c:v>0.93449999999998468</c:v>
                </c:pt>
                <c:pt idx="623">
                  <c:v>0.93599999999998462</c:v>
                </c:pt>
                <c:pt idx="624">
                  <c:v>0.93749999999998457</c:v>
                </c:pt>
                <c:pt idx="625">
                  <c:v>0.93899999999998451</c:v>
                </c:pt>
                <c:pt idx="626">
                  <c:v>0.94049999999998446</c:v>
                </c:pt>
                <c:pt idx="627">
                  <c:v>0.94199999999998441</c:v>
                </c:pt>
                <c:pt idx="628">
                  <c:v>0.94349999999998435</c:v>
                </c:pt>
                <c:pt idx="629">
                  <c:v>0.9449999999999843</c:v>
                </c:pt>
                <c:pt idx="630">
                  <c:v>0.94649999999998424</c:v>
                </c:pt>
                <c:pt idx="631">
                  <c:v>0.94799999999998419</c:v>
                </c:pt>
                <c:pt idx="632">
                  <c:v>0.94949999999998413</c:v>
                </c:pt>
                <c:pt idx="633">
                  <c:v>0.95099999999998408</c:v>
                </c:pt>
                <c:pt idx="634">
                  <c:v>0.95249999999998403</c:v>
                </c:pt>
                <c:pt idx="635">
                  <c:v>0.95399999999998397</c:v>
                </c:pt>
                <c:pt idx="636">
                  <c:v>0.95549999999998392</c:v>
                </c:pt>
                <c:pt idx="637">
                  <c:v>0.95699999999998386</c:v>
                </c:pt>
                <c:pt idx="638">
                  <c:v>0.95849999999998381</c:v>
                </c:pt>
                <c:pt idx="639">
                  <c:v>0.95999999999998376</c:v>
                </c:pt>
                <c:pt idx="640">
                  <c:v>0.9614999999999837</c:v>
                </c:pt>
                <c:pt idx="641">
                  <c:v>0.96299999999998365</c:v>
                </c:pt>
                <c:pt idx="642">
                  <c:v>0.96449999999998359</c:v>
                </c:pt>
                <c:pt idx="643">
                  <c:v>0.96599999999998354</c:v>
                </c:pt>
                <c:pt idx="644">
                  <c:v>0.96749999999998348</c:v>
                </c:pt>
                <c:pt idx="645">
                  <c:v>0.96899999999998343</c:v>
                </c:pt>
                <c:pt idx="646">
                  <c:v>0.97049999999998338</c:v>
                </c:pt>
                <c:pt idx="647">
                  <c:v>0.97199999999998332</c:v>
                </c:pt>
                <c:pt idx="648">
                  <c:v>0.97349999999998327</c:v>
                </c:pt>
                <c:pt idx="649">
                  <c:v>0.97499999999998321</c:v>
                </c:pt>
                <c:pt idx="650">
                  <c:v>0.97649999999998316</c:v>
                </c:pt>
                <c:pt idx="651">
                  <c:v>0.97799999999998311</c:v>
                </c:pt>
                <c:pt idx="652">
                  <c:v>0.97949999999998305</c:v>
                </c:pt>
                <c:pt idx="653">
                  <c:v>0.980999999999983</c:v>
                </c:pt>
                <c:pt idx="654">
                  <c:v>0.98249999999998294</c:v>
                </c:pt>
                <c:pt idx="655">
                  <c:v>0.98399999999998289</c:v>
                </c:pt>
                <c:pt idx="656">
                  <c:v>0.98549999999998283</c:v>
                </c:pt>
                <c:pt idx="657">
                  <c:v>0.98699999999998278</c:v>
                </c:pt>
                <c:pt idx="658">
                  <c:v>0.98849999999998273</c:v>
                </c:pt>
                <c:pt idx="659">
                  <c:v>0.98999999999998267</c:v>
                </c:pt>
                <c:pt idx="660">
                  <c:v>0.99149999999998262</c:v>
                </c:pt>
                <c:pt idx="661">
                  <c:v>0.99299999999998256</c:v>
                </c:pt>
                <c:pt idx="662">
                  <c:v>0.99449999999998251</c:v>
                </c:pt>
                <c:pt idx="663">
                  <c:v>0.99599999999998245</c:v>
                </c:pt>
                <c:pt idx="664">
                  <c:v>0.9974999999999824</c:v>
                </c:pt>
                <c:pt idx="665">
                  <c:v>0.99899999999998235</c:v>
                </c:pt>
                <c:pt idx="666">
                  <c:v>1.0004999999999824</c:v>
                </c:pt>
                <c:pt idx="667">
                  <c:v>1.0019999999999825</c:v>
                </c:pt>
                <c:pt idx="668">
                  <c:v>1.0034999999999825</c:v>
                </c:pt>
                <c:pt idx="669">
                  <c:v>1.0049999999999826</c:v>
                </c:pt>
                <c:pt idx="670">
                  <c:v>1.0064999999999826</c:v>
                </c:pt>
                <c:pt idx="671">
                  <c:v>1.0079999999999827</c:v>
                </c:pt>
                <c:pt idx="672">
                  <c:v>1.0094999999999827</c:v>
                </c:pt>
                <c:pt idx="673">
                  <c:v>1.0109999999999828</c:v>
                </c:pt>
                <c:pt idx="674">
                  <c:v>1.0124999999999829</c:v>
                </c:pt>
                <c:pt idx="675">
                  <c:v>1.0139999999999829</c:v>
                </c:pt>
                <c:pt idx="676">
                  <c:v>1.015499999999983</c:v>
                </c:pt>
                <c:pt idx="677">
                  <c:v>1.016999999999983</c:v>
                </c:pt>
                <c:pt idx="678">
                  <c:v>1.0184999999999831</c:v>
                </c:pt>
                <c:pt idx="679">
                  <c:v>1.0199999999999831</c:v>
                </c:pt>
                <c:pt idx="680">
                  <c:v>1.0214999999999832</c:v>
                </c:pt>
                <c:pt idx="681">
                  <c:v>1.0229999999999833</c:v>
                </c:pt>
                <c:pt idx="682">
                  <c:v>1.0244999999999833</c:v>
                </c:pt>
                <c:pt idx="683">
                  <c:v>1.0259999999999834</c:v>
                </c:pt>
                <c:pt idx="684">
                  <c:v>1.0274999999999834</c:v>
                </c:pt>
                <c:pt idx="685">
                  <c:v>1.0289999999999835</c:v>
                </c:pt>
                <c:pt idx="686">
                  <c:v>1.0304999999999835</c:v>
                </c:pt>
                <c:pt idx="687">
                  <c:v>1.0319999999999836</c:v>
                </c:pt>
                <c:pt idx="688">
                  <c:v>1.0334999999999837</c:v>
                </c:pt>
                <c:pt idx="689">
                  <c:v>1.0349999999999837</c:v>
                </c:pt>
                <c:pt idx="690">
                  <c:v>1.0364999999999838</c:v>
                </c:pt>
                <c:pt idx="691">
                  <c:v>1.0379999999999838</c:v>
                </c:pt>
                <c:pt idx="692">
                  <c:v>1.0394999999999839</c:v>
                </c:pt>
                <c:pt idx="693">
                  <c:v>1.0409999999999839</c:v>
                </c:pt>
                <c:pt idx="694">
                  <c:v>1.042499999999984</c:v>
                </c:pt>
                <c:pt idx="695">
                  <c:v>1.0439999999999841</c:v>
                </c:pt>
                <c:pt idx="696">
                  <c:v>1.0454999999999841</c:v>
                </c:pt>
                <c:pt idx="697">
                  <c:v>1.0469999999999842</c:v>
                </c:pt>
                <c:pt idx="698">
                  <c:v>1.0484999999999842</c:v>
                </c:pt>
                <c:pt idx="699">
                  <c:v>1.0499999999999843</c:v>
                </c:pt>
                <c:pt idx="700">
                  <c:v>1.0514999999999843</c:v>
                </c:pt>
                <c:pt idx="701">
                  <c:v>1.0529999999999844</c:v>
                </c:pt>
                <c:pt idx="702">
                  <c:v>1.0544999999999844</c:v>
                </c:pt>
                <c:pt idx="703">
                  <c:v>1.0559999999999845</c:v>
                </c:pt>
                <c:pt idx="704">
                  <c:v>1.0574999999999846</c:v>
                </c:pt>
                <c:pt idx="705">
                  <c:v>1.0589999999999846</c:v>
                </c:pt>
                <c:pt idx="706">
                  <c:v>1.0604999999999847</c:v>
                </c:pt>
                <c:pt idx="707">
                  <c:v>1.0619999999999847</c:v>
                </c:pt>
                <c:pt idx="708">
                  <c:v>1.0634999999999848</c:v>
                </c:pt>
                <c:pt idx="709">
                  <c:v>1.0649999999999848</c:v>
                </c:pt>
                <c:pt idx="710">
                  <c:v>1.0664999999999849</c:v>
                </c:pt>
                <c:pt idx="711">
                  <c:v>1.067999999999985</c:v>
                </c:pt>
                <c:pt idx="712">
                  <c:v>1.069499999999985</c:v>
                </c:pt>
                <c:pt idx="713">
                  <c:v>1.0709999999999851</c:v>
                </c:pt>
                <c:pt idx="714">
                  <c:v>1.0724999999999851</c:v>
                </c:pt>
                <c:pt idx="715">
                  <c:v>1.0739999999999852</c:v>
                </c:pt>
                <c:pt idx="716">
                  <c:v>1.0754999999999852</c:v>
                </c:pt>
                <c:pt idx="717">
                  <c:v>1.0769999999999853</c:v>
                </c:pt>
                <c:pt idx="718">
                  <c:v>1.0784999999999854</c:v>
                </c:pt>
                <c:pt idx="719">
                  <c:v>1.0799999999999854</c:v>
                </c:pt>
                <c:pt idx="720">
                  <c:v>1.0814999999999855</c:v>
                </c:pt>
                <c:pt idx="721">
                  <c:v>1.0829999999999855</c:v>
                </c:pt>
                <c:pt idx="722">
                  <c:v>1.0844999999999856</c:v>
                </c:pt>
                <c:pt idx="723">
                  <c:v>1.0859999999999856</c:v>
                </c:pt>
                <c:pt idx="724">
                  <c:v>1.0874999999999857</c:v>
                </c:pt>
                <c:pt idx="725">
                  <c:v>1.0889999999999858</c:v>
                </c:pt>
                <c:pt idx="726">
                  <c:v>1.0904999999999858</c:v>
                </c:pt>
                <c:pt idx="727">
                  <c:v>1.0919999999999859</c:v>
                </c:pt>
                <c:pt idx="728">
                  <c:v>1.0934999999999859</c:v>
                </c:pt>
                <c:pt idx="729">
                  <c:v>1.094999999999986</c:v>
                </c:pt>
                <c:pt idx="730">
                  <c:v>1.096499999999986</c:v>
                </c:pt>
                <c:pt idx="731">
                  <c:v>1.0979999999999861</c:v>
                </c:pt>
                <c:pt idx="732">
                  <c:v>1.0994999999999862</c:v>
                </c:pt>
                <c:pt idx="733">
                  <c:v>1.1009999999999862</c:v>
                </c:pt>
                <c:pt idx="734">
                  <c:v>1.1024999999999863</c:v>
                </c:pt>
                <c:pt idx="735">
                  <c:v>1.1039999999999863</c:v>
                </c:pt>
                <c:pt idx="736">
                  <c:v>1.1054999999999864</c:v>
                </c:pt>
                <c:pt idx="737">
                  <c:v>1.1069999999999864</c:v>
                </c:pt>
                <c:pt idx="738">
                  <c:v>1.1084999999999865</c:v>
                </c:pt>
                <c:pt idx="739">
                  <c:v>1.1099999999999866</c:v>
                </c:pt>
                <c:pt idx="740">
                  <c:v>1.1114999999999866</c:v>
                </c:pt>
                <c:pt idx="741">
                  <c:v>1.1129999999999867</c:v>
                </c:pt>
                <c:pt idx="742">
                  <c:v>1.1144999999999867</c:v>
                </c:pt>
                <c:pt idx="743">
                  <c:v>1.1159999999999868</c:v>
                </c:pt>
                <c:pt idx="744">
                  <c:v>1.1174999999999868</c:v>
                </c:pt>
                <c:pt idx="745">
                  <c:v>1.1189999999999869</c:v>
                </c:pt>
                <c:pt idx="746">
                  <c:v>1.120499999999987</c:v>
                </c:pt>
                <c:pt idx="747">
                  <c:v>1.121999999999987</c:v>
                </c:pt>
                <c:pt idx="748">
                  <c:v>1.1234999999999871</c:v>
                </c:pt>
                <c:pt idx="749">
                  <c:v>1.1249999999999871</c:v>
                </c:pt>
                <c:pt idx="750">
                  <c:v>1.1264999999999872</c:v>
                </c:pt>
                <c:pt idx="751">
                  <c:v>1.1279999999999872</c:v>
                </c:pt>
                <c:pt idx="752">
                  <c:v>1.1294999999999873</c:v>
                </c:pt>
                <c:pt idx="753">
                  <c:v>1.1309999999999873</c:v>
                </c:pt>
                <c:pt idx="754">
                  <c:v>1.1324999999999874</c:v>
                </c:pt>
                <c:pt idx="755">
                  <c:v>1.1339999999999875</c:v>
                </c:pt>
                <c:pt idx="756">
                  <c:v>1.1354999999999875</c:v>
                </c:pt>
                <c:pt idx="757">
                  <c:v>1.1369999999999876</c:v>
                </c:pt>
                <c:pt idx="758">
                  <c:v>1.1384999999999876</c:v>
                </c:pt>
                <c:pt idx="759">
                  <c:v>1.1399999999999877</c:v>
                </c:pt>
                <c:pt idx="760">
                  <c:v>1.1414999999999877</c:v>
                </c:pt>
                <c:pt idx="761">
                  <c:v>1.1429999999999878</c:v>
                </c:pt>
                <c:pt idx="762">
                  <c:v>1.1444999999999879</c:v>
                </c:pt>
                <c:pt idx="763">
                  <c:v>1.1459999999999879</c:v>
                </c:pt>
                <c:pt idx="764">
                  <c:v>1.147499999999988</c:v>
                </c:pt>
                <c:pt idx="765">
                  <c:v>1.148999999999988</c:v>
                </c:pt>
                <c:pt idx="766">
                  <c:v>1.1504999999999881</c:v>
                </c:pt>
                <c:pt idx="767">
                  <c:v>1.1519999999999881</c:v>
                </c:pt>
                <c:pt idx="768">
                  <c:v>1.1534999999999882</c:v>
                </c:pt>
                <c:pt idx="769">
                  <c:v>1.1549999999999883</c:v>
                </c:pt>
                <c:pt idx="770">
                  <c:v>1.1564999999999883</c:v>
                </c:pt>
                <c:pt idx="771">
                  <c:v>1.1579999999999884</c:v>
                </c:pt>
                <c:pt idx="772">
                  <c:v>1.1594999999999884</c:v>
                </c:pt>
                <c:pt idx="773">
                  <c:v>1.1609999999999885</c:v>
                </c:pt>
                <c:pt idx="774">
                  <c:v>1.1624999999999885</c:v>
                </c:pt>
                <c:pt idx="775">
                  <c:v>1.1639999999999886</c:v>
                </c:pt>
                <c:pt idx="776">
                  <c:v>1.1654999999999887</c:v>
                </c:pt>
                <c:pt idx="777">
                  <c:v>1.1669999999999887</c:v>
                </c:pt>
                <c:pt idx="778">
                  <c:v>1.1684999999999888</c:v>
                </c:pt>
                <c:pt idx="779">
                  <c:v>1.1699999999999888</c:v>
                </c:pt>
                <c:pt idx="780">
                  <c:v>1.1714999999999889</c:v>
                </c:pt>
                <c:pt idx="781">
                  <c:v>1.1729999999999889</c:v>
                </c:pt>
                <c:pt idx="782">
                  <c:v>1.174499999999989</c:v>
                </c:pt>
                <c:pt idx="783">
                  <c:v>1.1759999999999891</c:v>
                </c:pt>
                <c:pt idx="784">
                  <c:v>1.1774999999999891</c:v>
                </c:pt>
                <c:pt idx="785">
                  <c:v>1.1789999999999892</c:v>
                </c:pt>
                <c:pt idx="786">
                  <c:v>1.1804999999999892</c:v>
                </c:pt>
                <c:pt idx="787">
                  <c:v>1.1819999999999893</c:v>
                </c:pt>
                <c:pt idx="788">
                  <c:v>1.1834999999999893</c:v>
                </c:pt>
                <c:pt idx="789">
                  <c:v>1.1849999999999894</c:v>
                </c:pt>
                <c:pt idx="790">
                  <c:v>1.1864999999999895</c:v>
                </c:pt>
                <c:pt idx="791">
                  <c:v>1.1879999999999895</c:v>
                </c:pt>
                <c:pt idx="792">
                  <c:v>1.1894999999999896</c:v>
                </c:pt>
                <c:pt idx="793">
                  <c:v>1.1909999999999896</c:v>
                </c:pt>
                <c:pt idx="794">
                  <c:v>1.1924999999999897</c:v>
                </c:pt>
                <c:pt idx="795">
                  <c:v>1.1939999999999897</c:v>
                </c:pt>
                <c:pt idx="796">
                  <c:v>1.1954999999999898</c:v>
                </c:pt>
                <c:pt idx="797">
                  <c:v>1.1969999999999898</c:v>
                </c:pt>
                <c:pt idx="798">
                  <c:v>1.1984999999999899</c:v>
                </c:pt>
                <c:pt idx="799">
                  <c:v>1.19999999999999</c:v>
                </c:pt>
                <c:pt idx="800">
                  <c:v>1.20149999999999</c:v>
                </c:pt>
                <c:pt idx="801">
                  <c:v>1.2029999999999901</c:v>
                </c:pt>
                <c:pt idx="802">
                  <c:v>1.2044999999999901</c:v>
                </c:pt>
                <c:pt idx="803">
                  <c:v>1.2059999999999902</c:v>
                </c:pt>
                <c:pt idx="804">
                  <c:v>1.2074999999999902</c:v>
                </c:pt>
                <c:pt idx="805">
                  <c:v>1.2089999999999903</c:v>
                </c:pt>
                <c:pt idx="806">
                  <c:v>1.2104999999999904</c:v>
                </c:pt>
                <c:pt idx="807">
                  <c:v>1.2119999999999904</c:v>
                </c:pt>
                <c:pt idx="808">
                  <c:v>1.2134999999999905</c:v>
                </c:pt>
                <c:pt idx="809">
                  <c:v>1.2149999999999905</c:v>
                </c:pt>
                <c:pt idx="810">
                  <c:v>1.2164999999999906</c:v>
                </c:pt>
                <c:pt idx="811">
                  <c:v>1.2179999999999906</c:v>
                </c:pt>
                <c:pt idx="812">
                  <c:v>1.2194999999999907</c:v>
                </c:pt>
                <c:pt idx="813">
                  <c:v>1.2209999999999908</c:v>
                </c:pt>
                <c:pt idx="814">
                  <c:v>1.2224999999999908</c:v>
                </c:pt>
                <c:pt idx="815">
                  <c:v>1.2239999999999909</c:v>
                </c:pt>
                <c:pt idx="816">
                  <c:v>1.2254999999999909</c:v>
                </c:pt>
                <c:pt idx="817">
                  <c:v>1.226999999999991</c:v>
                </c:pt>
                <c:pt idx="818">
                  <c:v>1.228499999999991</c:v>
                </c:pt>
                <c:pt idx="819">
                  <c:v>1.2299999999999911</c:v>
                </c:pt>
                <c:pt idx="820">
                  <c:v>1.2314999999999912</c:v>
                </c:pt>
                <c:pt idx="821">
                  <c:v>1.2329999999999912</c:v>
                </c:pt>
                <c:pt idx="822">
                  <c:v>1.2344999999999913</c:v>
                </c:pt>
                <c:pt idx="823">
                  <c:v>1.2359999999999913</c:v>
                </c:pt>
                <c:pt idx="824">
                  <c:v>1.2374999999999914</c:v>
                </c:pt>
                <c:pt idx="825">
                  <c:v>1.2389999999999914</c:v>
                </c:pt>
                <c:pt idx="826">
                  <c:v>1.2404999999999915</c:v>
                </c:pt>
                <c:pt idx="827">
                  <c:v>1.2419999999999916</c:v>
                </c:pt>
                <c:pt idx="828">
                  <c:v>1.2434999999999916</c:v>
                </c:pt>
                <c:pt idx="829">
                  <c:v>1.2449999999999917</c:v>
                </c:pt>
                <c:pt idx="830">
                  <c:v>1.2464999999999917</c:v>
                </c:pt>
                <c:pt idx="831">
                  <c:v>1.2479999999999918</c:v>
                </c:pt>
                <c:pt idx="832">
                  <c:v>1.2494999999999918</c:v>
                </c:pt>
                <c:pt idx="833">
                  <c:v>1.2509999999999919</c:v>
                </c:pt>
                <c:pt idx="834">
                  <c:v>1.252499999999992</c:v>
                </c:pt>
                <c:pt idx="835">
                  <c:v>1.253999999999992</c:v>
                </c:pt>
                <c:pt idx="836">
                  <c:v>1.2554999999999921</c:v>
                </c:pt>
                <c:pt idx="837">
                  <c:v>1.2569999999999921</c:v>
                </c:pt>
                <c:pt idx="838">
                  <c:v>1.2584999999999922</c:v>
                </c:pt>
                <c:pt idx="839">
                  <c:v>1.2599999999999922</c:v>
                </c:pt>
                <c:pt idx="840">
                  <c:v>1.2614999999999923</c:v>
                </c:pt>
                <c:pt idx="841">
                  <c:v>1.2629999999999924</c:v>
                </c:pt>
                <c:pt idx="842">
                  <c:v>1.2644999999999924</c:v>
                </c:pt>
                <c:pt idx="843">
                  <c:v>1.2659999999999925</c:v>
                </c:pt>
                <c:pt idx="844">
                  <c:v>1.2674999999999925</c:v>
                </c:pt>
                <c:pt idx="845">
                  <c:v>1.2689999999999926</c:v>
                </c:pt>
                <c:pt idx="846">
                  <c:v>1.2704999999999926</c:v>
                </c:pt>
                <c:pt idx="847">
                  <c:v>1.2719999999999927</c:v>
                </c:pt>
                <c:pt idx="848">
                  <c:v>1.2734999999999927</c:v>
                </c:pt>
                <c:pt idx="849">
                  <c:v>1.2749999999999928</c:v>
                </c:pt>
                <c:pt idx="850">
                  <c:v>1.2764999999999929</c:v>
                </c:pt>
                <c:pt idx="851">
                  <c:v>1.2779999999999929</c:v>
                </c:pt>
                <c:pt idx="852">
                  <c:v>1.279499999999993</c:v>
                </c:pt>
                <c:pt idx="853">
                  <c:v>1.280999999999993</c:v>
                </c:pt>
                <c:pt idx="854">
                  <c:v>1.2824999999999931</c:v>
                </c:pt>
                <c:pt idx="855">
                  <c:v>1.2839999999999931</c:v>
                </c:pt>
                <c:pt idx="856">
                  <c:v>1.2854999999999932</c:v>
                </c:pt>
                <c:pt idx="857">
                  <c:v>1.2869999999999933</c:v>
                </c:pt>
                <c:pt idx="858">
                  <c:v>1.2884999999999933</c:v>
                </c:pt>
                <c:pt idx="859">
                  <c:v>1.2899999999999934</c:v>
                </c:pt>
                <c:pt idx="860">
                  <c:v>1.2914999999999934</c:v>
                </c:pt>
                <c:pt idx="861">
                  <c:v>1.2929999999999935</c:v>
                </c:pt>
                <c:pt idx="862">
                  <c:v>1.2944999999999935</c:v>
                </c:pt>
                <c:pt idx="863">
                  <c:v>1.2959999999999936</c:v>
                </c:pt>
                <c:pt idx="864">
                  <c:v>1.2974999999999937</c:v>
                </c:pt>
                <c:pt idx="865">
                  <c:v>1.2989999999999937</c:v>
                </c:pt>
                <c:pt idx="866">
                  <c:v>1.3004999999999938</c:v>
                </c:pt>
                <c:pt idx="867">
                  <c:v>1.3019999999999938</c:v>
                </c:pt>
                <c:pt idx="868">
                  <c:v>1.3034999999999939</c:v>
                </c:pt>
                <c:pt idx="869">
                  <c:v>1.3049999999999939</c:v>
                </c:pt>
                <c:pt idx="870">
                  <c:v>1.306499999999994</c:v>
                </c:pt>
                <c:pt idx="871">
                  <c:v>1.3079999999999941</c:v>
                </c:pt>
                <c:pt idx="872">
                  <c:v>1.3094999999999941</c:v>
                </c:pt>
                <c:pt idx="873">
                  <c:v>1.3109999999999942</c:v>
                </c:pt>
                <c:pt idx="874">
                  <c:v>1.3124999999999942</c:v>
                </c:pt>
                <c:pt idx="875">
                  <c:v>1.3139999999999943</c:v>
                </c:pt>
                <c:pt idx="876">
                  <c:v>1.3154999999999943</c:v>
                </c:pt>
                <c:pt idx="877">
                  <c:v>1.3169999999999944</c:v>
                </c:pt>
                <c:pt idx="878">
                  <c:v>1.3184999999999945</c:v>
                </c:pt>
                <c:pt idx="879">
                  <c:v>1.3199999999999945</c:v>
                </c:pt>
                <c:pt idx="880">
                  <c:v>1.3214999999999946</c:v>
                </c:pt>
                <c:pt idx="881">
                  <c:v>1.3229999999999946</c:v>
                </c:pt>
                <c:pt idx="882">
                  <c:v>1.3244999999999947</c:v>
                </c:pt>
                <c:pt idx="883">
                  <c:v>1.3259999999999947</c:v>
                </c:pt>
                <c:pt idx="884">
                  <c:v>1.3274999999999948</c:v>
                </c:pt>
                <c:pt idx="885">
                  <c:v>1.3289999999999949</c:v>
                </c:pt>
                <c:pt idx="886">
                  <c:v>1.3304999999999949</c:v>
                </c:pt>
                <c:pt idx="887">
                  <c:v>1.331999999999995</c:v>
                </c:pt>
                <c:pt idx="888">
                  <c:v>1.333499999999995</c:v>
                </c:pt>
                <c:pt idx="889">
                  <c:v>1.3349999999999951</c:v>
                </c:pt>
                <c:pt idx="890">
                  <c:v>1.3364999999999951</c:v>
                </c:pt>
                <c:pt idx="891">
                  <c:v>1.3379999999999952</c:v>
                </c:pt>
                <c:pt idx="892">
                  <c:v>1.3394999999999953</c:v>
                </c:pt>
                <c:pt idx="893">
                  <c:v>1.3409999999999953</c:v>
                </c:pt>
                <c:pt idx="894">
                  <c:v>1.3424999999999954</c:v>
                </c:pt>
                <c:pt idx="895">
                  <c:v>1.3439999999999954</c:v>
                </c:pt>
                <c:pt idx="896">
                  <c:v>1.3454999999999955</c:v>
                </c:pt>
                <c:pt idx="897">
                  <c:v>1.3469999999999955</c:v>
                </c:pt>
                <c:pt idx="898">
                  <c:v>1.3484999999999956</c:v>
                </c:pt>
                <c:pt idx="899">
                  <c:v>1.3499999999999956</c:v>
                </c:pt>
                <c:pt idx="900">
                  <c:v>1.3514999999999957</c:v>
                </c:pt>
                <c:pt idx="901">
                  <c:v>1.3529999999999958</c:v>
                </c:pt>
                <c:pt idx="902">
                  <c:v>1.3544999999999958</c:v>
                </c:pt>
                <c:pt idx="903">
                  <c:v>1.3559999999999959</c:v>
                </c:pt>
                <c:pt idx="904">
                  <c:v>1.3574999999999959</c:v>
                </c:pt>
                <c:pt idx="905">
                  <c:v>1.358999999999996</c:v>
                </c:pt>
                <c:pt idx="906">
                  <c:v>1.360499999999996</c:v>
                </c:pt>
                <c:pt idx="907">
                  <c:v>1.3619999999999961</c:v>
                </c:pt>
                <c:pt idx="908">
                  <c:v>1.3634999999999962</c:v>
                </c:pt>
                <c:pt idx="909">
                  <c:v>1.3649999999999962</c:v>
                </c:pt>
                <c:pt idx="910">
                  <c:v>1.3664999999999963</c:v>
                </c:pt>
                <c:pt idx="911">
                  <c:v>1.3679999999999963</c:v>
                </c:pt>
                <c:pt idx="912">
                  <c:v>1.3694999999999964</c:v>
                </c:pt>
                <c:pt idx="913">
                  <c:v>1.3709999999999964</c:v>
                </c:pt>
                <c:pt idx="914">
                  <c:v>1.3724999999999965</c:v>
                </c:pt>
                <c:pt idx="915">
                  <c:v>1.3739999999999966</c:v>
                </c:pt>
                <c:pt idx="916">
                  <c:v>1.3754999999999966</c:v>
                </c:pt>
                <c:pt idx="917">
                  <c:v>1.3769999999999967</c:v>
                </c:pt>
                <c:pt idx="918">
                  <c:v>1.3784999999999967</c:v>
                </c:pt>
                <c:pt idx="919">
                  <c:v>1.3799999999999968</c:v>
                </c:pt>
                <c:pt idx="920">
                  <c:v>1.3814999999999968</c:v>
                </c:pt>
                <c:pt idx="921">
                  <c:v>1.3829999999999969</c:v>
                </c:pt>
                <c:pt idx="922">
                  <c:v>1.384499999999997</c:v>
                </c:pt>
                <c:pt idx="923">
                  <c:v>1.385999999999997</c:v>
                </c:pt>
                <c:pt idx="924">
                  <c:v>1.3874999999999971</c:v>
                </c:pt>
                <c:pt idx="925">
                  <c:v>1.3889999999999971</c:v>
                </c:pt>
                <c:pt idx="926">
                  <c:v>1.3904999999999972</c:v>
                </c:pt>
                <c:pt idx="927">
                  <c:v>1.3919999999999972</c:v>
                </c:pt>
                <c:pt idx="928">
                  <c:v>1.3934999999999973</c:v>
                </c:pt>
                <c:pt idx="929">
                  <c:v>1.3949999999999974</c:v>
                </c:pt>
                <c:pt idx="930">
                  <c:v>1.3964999999999974</c:v>
                </c:pt>
                <c:pt idx="931">
                  <c:v>1.3979999999999975</c:v>
                </c:pt>
                <c:pt idx="932">
                  <c:v>1.3994999999999975</c:v>
                </c:pt>
                <c:pt idx="933">
                  <c:v>1.4009999999999976</c:v>
                </c:pt>
                <c:pt idx="934">
                  <c:v>1.4024999999999976</c:v>
                </c:pt>
                <c:pt idx="935">
                  <c:v>1.4039999999999977</c:v>
                </c:pt>
                <c:pt idx="936">
                  <c:v>1.4054999999999978</c:v>
                </c:pt>
                <c:pt idx="937">
                  <c:v>1.4069999999999978</c:v>
                </c:pt>
                <c:pt idx="938">
                  <c:v>1.4084999999999979</c:v>
                </c:pt>
                <c:pt idx="939">
                  <c:v>1.4099999999999979</c:v>
                </c:pt>
                <c:pt idx="940">
                  <c:v>1.411499999999998</c:v>
                </c:pt>
                <c:pt idx="941">
                  <c:v>1.412999999999998</c:v>
                </c:pt>
                <c:pt idx="942">
                  <c:v>1.4144999999999981</c:v>
                </c:pt>
                <c:pt idx="943">
                  <c:v>1.4159999999999981</c:v>
                </c:pt>
                <c:pt idx="944">
                  <c:v>1.4174999999999982</c:v>
                </c:pt>
                <c:pt idx="945">
                  <c:v>1.4189999999999983</c:v>
                </c:pt>
                <c:pt idx="946">
                  <c:v>1.4204999999999983</c:v>
                </c:pt>
                <c:pt idx="947">
                  <c:v>1.4219999999999984</c:v>
                </c:pt>
                <c:pt idx="948">
                  <c:v>1.4234999999999984</c:v>
                </c:pt>
                <c:pt idx="949">
                  <c:v>1.4249999999999985</c:v>
                </c:pt>
                <c:pt idx="950">
                  <c:v>1.4264999999999985</c:v>
                </c:pt>
                <c:pt idx="951">
                  <c:v>1.4279999999999986</c:v>
                </c:pt>
                <c:pt idx="952">
                  <c:v>1.4294999999999987</c:v>
                </c:pt>
                <c:pt idx="953">
                  <c:v>1.4309999999999987</c:v>
                </c:pt>
                <c:pt idx="954">
                  <c:v>1.4324999999999988</c:v>
                </c:pt>
                <c:pt idx="955">
                  <c:v>1.4339999999999988</c:v>
                </c:pt>
                <c:pt idx="956">
                  <c:v>1.4354999999999989</c:v>
                </c:pt>
                <c:pt idx="957">
                  <c:v>1.4369999999999989</c:v>
                </c:pt>
                <c:pt idx="958">
                  <c:v>1.438499999999999</c:v>
                </c:pt>
                <c:pt idx="959">
                  <c:v>1.4399999999999991</c:v>
                </c:pt>
                <c:pt idx="960">
                  <c:v>1.4414999999999991</c:v>
                </c:pt>
                <c:pt idx="961">
                  <c:v>1.4429999999999992</c:v>
                </c:pt>
                <c:pt idx="962">
                  <c:v>1.4444999999999992</c:v>
                </c:pt>
                <c:pt idx="963">
                  <c:v>1.4459999999999993</c:v>
                </c:pt>
                <c:pt idx="964">
                  <c:v>1.4474999999999993</c:v>
                </c:pt>
                <c:pt idx="965">
                  <c:v>1.4489999999999994</c:v>
                </c:pt>
                <c:pt idx="966">
                  <c:v>1.4504999999999995</c:v>
                </c:pt>
                <c:pt idx="967">
                  <c:v>1.4519999999999995</c:v>
                </c:pt>
                <c:pt idx="968">
                  <c:v>1.4534999999999996</c:v>
                </c:pt>
                <c:pt idx="969">
                  <c:v>1.4549999999999996</c:v>
                </c:pt>
                <c:pt idx="970">
                  <c:v>1.4564999999999997</c:v>
                </c:pt>
                <c:pt idx="971">
                  <c:v>1.4579999999999997</c:v>
                </c:pt>
                <c:pt idx="972">
                  <c:v>1.4594999999999998</c:v>
                </c:pt>
                <c:pt idx="973">
                  <c:v>1.4609999999999999</c:v>
                </c:pt>
                <c:pt idx="974">
                  <c:v>1.4624999999999999</c:v>
                </c:pt>
                <c:pt idx="975">
                  <c:v>1.464</c:v>
                </c:pt>
                <c:pt idx="976">
                  <c:v>1.4655</c:v>
                </c:pt>
                <c:pt idx="977">
                  <c:v>1.4670000000000001</c:v>
                </c:pt>
                <c:pt idx="978">
                  <c:v>1.4685000000000001</c:v>
                </c:pt>
                <c:pt idx="979">
                  <c:v>1.4700000000000002</c:v>
                </c:pt>
                <c:pt idx="980">
                  <c:v>1.4715000000000003</c:v>
                </c:pt>
                <c:pt idx="981">
                  <c:v>1.4730000000000003</c:v>
                </c:pt>
                <c:pt idx="982">
                  <c:v>1.4745000000000004</c:v>
                </c:pt>
                <c:pt idx="983">
                  <c:v>1.4760000000000004</c:v>
                </c:pt>
                <c:pt idx="984">
                  <c:v>1.4775000000000005</c:v>
                </c:pt>
                <c:pt idx="985">
                  <c:v>1.4790000000000005</c:v>
                </c:pt>
                <c:pt idx="986">
                  <c:v>1.4805000000000006</c:v>
                </c:pt>
                <c:pt idx="987">
                  <c:v>1.4820000000000007</c:v>
                </c:pt>
                <c:pt idx="988">
                  <c:v>1.4835000000000007</c:v>
                </c:pt>
                <c:pt idx="989">
                  <c:v>1.4850000000000008</c:v>
                </c:pt>
                <c:pt idx="990">
                  <c:v>1.4865000000000008</c:v>
                </c:pt>
                <c:pt idx="991">
                  <c:v>1.4880000000000009</c:v>
                </c:pt>
                <c:pt idx="992">
                  <c:v>1.4895000000000009</c:v>
                </c:pt>
                <c:pt idx="993">
                  <c:v>1.491000000000001</c:v>
                </c:pt>
                <c:pt idx="994">
                  <c:v>1.492500000000001</c:v>
                </c:pt>
                <c:pt idx="995">
                  <c:v>1.4940000000000011</c:v>
                </c:pt>
                <c:pt idx="996">
                  <c:v>1.4955000000000012</c:v>
                </c:pt>
                <c:pt idx="997">
                  <c:v>1.4970000000000012</c:v>
                </c:pt>
                <c:pt idx="998">
                  <c:v>1.4985000000000013</c:v>
                </c:pt>
                <c:pt idx="999">
                  <c:v>1.5000000000000013</c:v>
                </c:pt>
              </c:numCache>
            </c:numRef>
          </c:xVal>
          <c:yVal>
            <c:numRef>
              <c:f>'Precision two'!$F$104:$F$1103</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4.1818400594214225E-14</c:v>
                </c:pt>
                <c:pt idx="126">
                  <c:v>8.3636801188428451E-14</c:v>
                </c:pt>
                <c:pt idx="127">
                  <c:v>8.3636801188428451E-14</c:v>
                </c:pt>
                <c:pt idx="128">
                  <c:v>1.2545520178264266E-13</c:v>
                </c:pt>
                <c:pt idx="129">
                  <c:v>2.5091040356528533E-13</c:v>
                </c:pt>
                <c:pt idx="130">
                  <c:v>5.0182080713057066E-13</c:v>
                </c:pt>
                <c:pt idx="131">
                  <c:v>8.3636801188428446E-13</c:v>
                </c:pt>
                <c:pt idx="132">
                  <c:v>1.3800072196090696E-12</c:v>
                </c:pt>
                <c:pt idx="133">
                  <c:v>2.3836488338702111E-12</c:v>
                </c:pt>
                <c:pt idx="134">
                  <c:v>4.098203258232994E-12</c:v>
                </c:pt>
                <c:pt idx="135">
                  <c:v>6.9418544986395611E-12</c:v>
                </c:pt>
                <c:pt idx="136">
                  <c:v>1.1667333765785768E-11</c:v>
                </c:pt>
                <c:pt idx="137">
                  <c:v>1.9445556276309614E-11</c:v>
                </c:pt>
                <c:pt idx="138">
                  <c:v>3.2200168457544955E-11</c:v>
                </c:pt>
                <c:pt idx="139">
                  <c:v>5.3025731953463641E-11</c:v>
                </c:pt>
                <c:pt idx="140">
                  <c:v>8.6814999633588728E-11</c:v>
                </c:pt>
                <c:pt idx="141">
                  <c:v>1.4126255720725564E-10</c:v>
                </c:pt>
                <c:pt idx="142">
                  <c:v>2.2832846724440967E-10</c:v>
                </c:pt>
                <c:pt idx="143">
                  <c:v>3.6678919161185297E-10</c:v>
                </c:pt>
                <c:pt idx="144">
                  <c:v>5.8575033712315861E-10</c:v>
                </c:pt>
                <c:pt idx="145">
                  <c:v>9.2987395561294751E-10</c:v>
                </c:pt>
                <c:pt idx="146">
                  <c:v>1.467365858450383E-9</c:v>
                </c:pt>
                <c:pt idx="147">
                  <c:v>2.3019356791091163E-9</c:v>
                </c:pt>
                <c:pt idx="148">
                  <c:v>3.5903187830162624E-9</c:v>
                </c:pt>
                <c:pt idx="149">
                  <c:v>5.5677436735142765E-9</c:v>
                </c:pt>
                <c:pt idx="150">
                  <c:v>8.5852340051909924E-9</c:v>
                </c:pt>
                <c:pt idx="151">
                  <c:v>1.3163679775847943E-8</c:v>
                </c:pt>
                <c:pt idx="152">
                  <c:v>2.0071368641202032E-8</c:v>
                </c:pt>
                <c:pt idx="153">
                  <c:v>3.0435306497267327E-8</c:v>
                </c:pt>
                <c:pt idx="154">
                  <c:v>4.5898831032194672E-8</c:v>
                </c:pt>
                <c:pt idx="155">
                  <c:v>6.8844754711842399E-8</c:v>
                </c:pt>
                <c:pt idx="156">
                  <c:v>1.0270896096583232E-7</c:v>
                </c:pt>
                <c:pt idx="157">
                  <c:v>1.5241769920256348E-7</c:v>
                </c:pt>
                <c:pt idx="158">
                  <c:v>2.2499541526184902E-7</c:v>
                </c:pt>
                <c:pt idx="159">
                  <c:v>3.304030848916284E-7</c:v>
                </c:pt>
                <c:pt idx="160">
                  <c:v>4.8268893067711827E-7</c:v>
                </c:pt>
                <c:pt idx="161">
                  <c:v>7.0155807570711671E-7</c:v>
                </c:pt>
                <c:pt idx="162">
                  <c:v>1.0145016019850552E-6</c:v>
                </c:pt>
                <c:pt idx="163">
                  <c:v>1.4596685963634095E-6</c:v>
                </c:pt>
                <c:pt idx="164">
                  <c:v>2.0897162452312062E-6</c:v>
                </c:pt>
                <c:pt idx="165">
                  <c:v>2.97694421410218E-6</c:v>
                </c:pt>
                <c:pt idx="166">
                  <c:v>4.220101219587491E-6</c:v>
                </c:pt>
                <c:pt idx="167">
                  <c:v>5.953358630887232E-6</c:v>
                </c:pt>
                <c:pt idx="168">
                  <c:v>8.3580679222095E-6</c:v>
                </c:pt>
                <c:pt idx="169">
                  <c:v>1.1678093180256255E-5</c:v>
                </c:pt>
                <c:pt idx="170">
                  <c:v>1.6239678733616831E-5</c:v>
                </c:pt>
                <c:pt idx="171">
                  <c:v>2.2477046655774064E-5</c:v>
                </c:pt>
                <c:pt idx="172">
                  <c:v>3.096520606038488E-5</c:v>
                </c:pt>
                <c:pt idx="173">
                  <c:v>4.2461753729054287E-5</c:v>
                </c:pt>
                <c:pt idx="174">
                  <c:v>5.7959847068467234E-5</c:v>
                </c:pt>
                <c:pt idx="175">
                  <c:v>7.8754881208305719E-5</c:v>
                </c:pt>
                <c:pt idx="176">
                  <c:v>1.0652810376414003E-4</c:v>
                </c:pt>
                <c:pt idx="177">
                  <c:v>1.4345070928382478E-4</c:v>
                </c:pt>
                <c:pt idx="178">
                  <c:v>1.9231268328701034E-4</c:v>
                </c:pt>
                <c:pt idx="179">
                  <c:v>2.5668152279186468E-4</c:v>
                </c:pt>
                <c:pt idx="180">
                  <c:v>3.4109646814939326E-4</c:v>
                </c:pt>
                <c:pt idx="181">
                  <c:v>4.5130498848244821E-4</c:v>
                </c:pt>
                <c:pt idx="182">
                  <c:v>5.9454830789766133E-4</c:v>
                </c:pt>
                <c:pt idx="183">
                  <c:v>7.7990566643556147E-4</c:v>
                </c:pt>
                <c:pt idx="184">
                  <c:v>1.0187053765065013E-3</c:v>
                </c:pt>
                <c:pt idx="185">
                  <c:v>1.3250125824278607E-3</c:v>
                </c:pt>
                <c:pt idx="186">
                  <c:v>1.7162060000249406E-3</c:v>
                </c:pt>
                <c:pt idx="187">
                  <c:v>2.2136547463573E-3</c:v>
                </c:pt>
                <c:pt idx="188">
                  <c:v>2.8435043508908313E-3</c:v>
                </c:pt>
                <c:pt idx="189">
                  <c:v>3.6375920179787524E-3</c:v>
                </c:pt>
                <c:pt idx="190">
                  <c:v>4.6344971296319306E-3</c:v>
                </c:pt>
                <c:pt idx="191">
                  <c:v>5.8807381869607758E-3</c:v>
                </c:pt>
                <c:pt idx="192">
                  <c:v>7.4321374909928437E-3</c:v>
                </c:pt>
                <c:pt idx="193">
                  <c:v>9.3553450411124964E-3</c:v>
                </c:pt>
                <c:pt idx="194">
                  <c:v>1.1729558441989639E-2</c:v>
                </c:pt>
                <c:pt idx="195">
                  <c:v>1.4648421777706529E-2</c:v>
                </c:pt>
                <c:pt idx="196">
                  <c:v>1.8222102353467884E-2</c:v>
                </c:pt>
                <c:pt idx="197">
                  <c:v>2.2579569114827835E-2</c:v>
                </c:pt>
                <c:pt idx="198">
                  <c:v>2.787105402187591E-2</c:v>
                </c:pt>
                <c:pt idx="199">
                  <c:v>3.4270633446707256E-2</c:v>
                </c:pt>
                <c:pt idx="200">
                  <c:v>4.1979035255558975E-2</c:v>
                </c:pt>
                <c:pt idx="201">
                  <c:v>5.1226532606962007E-2</c:v>
                </c:pt>
                <c:pt idx="202">
                  <c:v>6.2275871264120999E-2</c:v>
                </c:pt>
                <c:pt idx="203">
                  <c:v>7.5425343865601249E-2</c:v>
                </c:pt>
                <c:pt idx="204">
                  <c:v>9.1011659370367662E-2</c:v>
                </c:pt>
                <c:pt idx="205">
                  <c:v>0.1094129796393454</c:v>
                </c:pt>
                <c:pt idx="206">
                  <c:v>0.13105169265999916</c:v>
                </c:pt>
                <c:pt idx="207">
                  <c:v>0.15639685147666704</c:v>
                </c:pt>
                <c:pt idx="208">
                  <c:v>0.18596620034919351</c:v>
                </c:pt>
                <c:pt idx="209">
                  <c:v>0.22032812792431816</c:v>
                </c:pt>
                <c:pt idx="210">
                  <c:v>0.26010286875372357</c:v>
                </c:pt>
                <c:pt idx="211">
                  <c:v>0.30596270962263655</c:v>
                </c:pt>
                <c:pt idx="212">
                  <c:v>0.35863206433969563</c:v>
                </c:pt>
                <c:pt idx="213">
                  <c:v>0.41888549415824572</c:v>
                </c:pt>
                <c:pt idx="214">
                  <c:v>0.48754617344307855</c:v>
                </c:pt>
                <c:pt idx="215">
                  <c:v>0.56548256070477676</c:v>
                </c:pt>
                <c:pt idx="216">
                  <c:v>0.65360326087139187</c:v>
                </c:pt>
                <c:pt idx="217">
                  <c:v>0.75285017754705075</c:v>
                </c:pt>
                <c:pt idx="218">
                  <c:v>0.86419236338301086</c:v>
                </c:pt>
                <c:pt idx="219">
                  <c:v>0.98861726715881038</c:v>
                </c:pt>
                <c:pt idx="220">
                  <c:v>1.1271193992019064</c:v>
                </c:pt>
                <c:pt idx="221">
                  <c:v>1.2806868552714219</c:v>
                </c:pt>
                <c:pt idx="222">
                  <c:v>1.45029050209435</c:v>
                </c:pt>
                <c:pt idx="223">
                  <c:v>1.6368705899805867</c:v>
                </c:pt>
                <c:pt idx="224">
                  <c:v>1.841314027588876</c:v>
                </c:pt>
                <c:pt idx="225">
                  <c:v>2.0644433469492363</c:v>
                </c:pt>
                <c:pt idx="226">
                  <c:v>2.3069987098754678</c:v>
                </c:pt>
                <c:pt idx="227">
                  <c:v>2.5696169343728399</c:v>
                </c:pt>
                <c:pt idx="228">
                  <c:v>2.8528086457484894</c:v>
                </c:pt>
                <c:pt idx="229">
                  <c:v>3.1569459698165181</c:v>
                </c:pt>
                <c:pt idx="230">
                  <c:v>3.4822473803329101</c:v>
                </c:pt>
                <c:pt idx="231">
                  <c:v>3.8287424575559537</c:v>
                </c:pt>
                <c:pt idx="232">
                  <c:v>4.1962707686693879</c:v>
                </c:pt>
                <c:pt idx="233">
                  <c:v>4.5844699136357132</c:v>
                </c:pt>
                <c:pt idx="234">
                  <c:v>4.9927388617374149</c:v>
                </c:pt>
                <c:pt idx="235">
                  <c:v>5.4202481191303056</c:v>
                </c:pt>
                <c:pt idx="236">
                  <c:v>5.8659313159724578</c:v>
                </c:pt>
                <c:pt idx="237">
                  <c:v>6.3284716593660075</c:v>
                </c:pt>
                <c:pt idx="238">
                  <c:v>6.8062872682352857</c:v>
                </c:pt>
                <c:pt idx="239">
                  <c:v>7.2975559013810454</c:v>
                </c:pt>
                <c:pt idx="240">
                  <c:v>7.8002324628072968</c:v>
                </c:pt>
                <c:pt idx="241">
                  <c:v>8.3120001490380151</c:v>
                </c:pt>
                <c:pt idx="242">
                  <c:v>8.830338055289662</c:v>
                </c:pt>
                <c:pt idx="243">
                  <c:v>9.3525502063687096</c:v>
                </c:pt>
                <c:pt idx="244">
                  <c:v>9.8757087892793578</c:v>
                </c:pt>
                <c:pt idx="245">
                  <c:v>10.39676327714351</c:v>
                </c:pt>
                <c:pt idx="246">
                  <c:v>10.912528370290245</c:v>
                </c:pt>
                <c:pt idx="247">
                  <c:v>11.419711659330961</c:v>
                </c:pt>
                <c:pt idx="248">
                  <c:v>11.915004787787545</c:v>
                </c:pt>
                <c:pt idx="249">
                  <c:v>12.395009056932343</c:v>
                </c:pt>
                <c:pt idx="250">
                  <c:v>12.856369245619682</c:v>
                </c:pt>
                <c:pt idx="251">
                  <c:v>13.295832870153635</c:v>
                </c:pt>
                <c:pt idx="252">
                  <c:v>13.710151418836155</c:v>
                </c:pt>
                <c:pt idx="253">
                  <c:v>14.096268384497121</c:v>
                </c:pt>
                <c:pt idx="254">
                  <c:v>14.451284242470685</c:v>
                </c:pt>
                <c:pt idx="255">
                  <c:v>14.772486590091276</c:v>
                </c:pt>
                <c:pt idx="256">
                  <c:v>15.057484860984204</c:v>
                </c:pt>
                <c:pt idx="257">
                  <c:v>15.304042524737856</c:v>
                </c:pt>
                <c:pt idx="258">
                  <c:v>15.510303221540058</c:v>
                </c:pt>
                <c:pt idx="259">
                  <c:v>15.674715955015595</c:v>
                </c:pt>
                <c:pt idx="260">
                  <c:v>15.796046616633355</c:v>
                </c:pt>
                <c:pt idx="261">
                  <c:v>15.873526704444242</c:v>
                </c:pt>
                <c:pt idx="262">
                  <c:v>15.906595441861038</c:v>
                </c:pt>
                <c:pt idx="263">
                  <c:v>15.895218434959231</c:v>
                </c:pt>
                <c:pt idx="264">
                  <c:v>15.839578535168069</c:v>
                </c:pt>
                <c:pt idx="265">
                  <c:v>15.740250118456492</c:v>
                </c:pt>
                <c:pt idx="266">
                  <c:v>15.598383469748056</c:v>
                </c:pt>
                <c:pt idx="267">
                  <c:v>15.415231048769543</c:v>
                </c:pt>
                <c:pt idx="268">
                  <c:v>15.192409932639432</c:v>
                </c:pt>
                <c:pt idx="269">
                  <c:v>14.931880769816265</c:v>
                </c:pt>
                <c:pt idx="270">
                  <c:v>14.635828488005741</c:v>
                </c:pt>
                <c:pt idx="271">
                  <c:v>14.306697728922483</c:v>
                </c:pt>
                <c:pt idx="272">
                  <c:v>13.947152085570703</c:v>
                </c:pt>
                <c:pt idx="273">
                  <c:v>13.559988117994287</c:v>
                </c:pt>
                <c:pt idx="274">
                  <c:v>13.148169693382609</c:v>
                </c:pt>
                <c:pt idx="275">
                  <c:v>12.714740593900148</c:v>
                </c:pt>
                <c:pt idx="276">
                  <c:v>12.262794410694026</c:v>
                </c:pt>
                <c:pt idx="277">
                  <c:v>11.795479841098119</c:v>
                </c:pt>
                <c:pt idx="278">
                  <c:v>11.315909930431957</c:v>
                </c:pt>
                <c:pt idx="279">
                  <c:v>10.827171214758417</c:v>
                </c:pt>
                <c:pt idx="280">
                  <c:v>10.332288155561743</c:v>
                </c:pt>
                <c:pt idx="281">
                  <c:v>9.8341653262519451</c:v>
                </c:pt>
                <c:pt idx="282">
                  <c:v>9.3355866712192412</c:v>
                </c:pt>
                <c:pt idx="283">
                  <c:v>8.8391988703871434</c:v>
                </c:pt>
                <c:pt idx="284">
                  <c:v>8.3474730810463402</c:v>
                </c:pt>
                <c:pt idx="285">
                  <c:v>7.8626919773175095</c:v>
                </c:pt>
                <c:pt idx="286">
                  <c:v>7.3869549384579072</c:v>
                </c:pt>
                <c:pt idx="287">
                  <c:v>6.9221545330109571</c:v>
                </c:pt>
                <c:pt idx="288">
                  <c:v>6.4699664471641745</c:v>
                </c:pt>
                <c:pt idx="289">
                  <c:v>6.031859112635825</c:v>
                </c:pt>
                <c:pt idx="290">
                  <c:v>5.6090920611738948</c:v>
                </c:pt>
                <c:pt idx="291">
                  <c:v>5.202707309428134</c:v>
                </c:pt>
                <c:pt idx="292">
                  <c:v>4.8135452955979892</c:v>
                </c:pt>
                <c:pt idx="293">
                  <c:v>4.4422483524597638</c:v>
                </c:pt>
                <c:pt idx="294">
                  <c:v>4.0892744486993893</c:v>
                </c:pt>
                <c:pt idx="295">
                  <c:v>3.7549020571890837</c:v>
                </c:pt>
                <c:pt idx="296">
                  <c:v>3.4392432641445141</c:v>
                </c:pt>
                <c:pt idx="297">
                  <c:v>3.142262662076464</c:v>
                </c:pt>
                <c:pt idx="298">
                  <c:v>2.8637860823942032</c:v>
                </c:pt>
                <c:pt idx="299">
                  <c:v>2.6035169999368701</c:v>
                </c:pt>
                <c:pt idx="300">
                  <c:v>2.3610486399312474</c:v>
                </c:pt>
                <c:pt idx="301">
                  <c:v>2.1358818598349796</c:v>
                </c:pt>
                <c:pt idx="302">
                  <c:v>1.9274389013828634</c:v>
                </c:pt>
                <c:pt idx="303">
                  <c:v>1.7350739973109581</c:v>
                </c:pt>
                <c:pt idx="304">
                  <c:v>1.5580894213960887</c:v>
                </c:pt>
                <c:pt idx="305">
                  <c:v>1.3957470914207741</c:v>
                </c:pt>
                <c:pt idx="306">
                  <c:v>1.247280142493524</c:v>
                </c:pt>
                <c:pt idx="307">
                  <c:v>1.1119034019171272</c:v>
                </c:pt>
                <c:pt idx="308">
                  <c:v>0.9888238462536918</c:v>
                </c:pt>
                <c:pt idx="309">
                  <c:v>0.87724820822759264</c:v>
                </c:pt>
                <c:pt idx="310">
                  <c:v>0.77639079079616446</c:v>
                </c:pt>
                <c:pt idx="311">
                  <c:v>0.68548113687653822</c:v>
                </c:pt>
                <c:pt idx="312">
                  <c:v>0.6037688049034341</c:v>
                </c:pt>
                <c:pt idx="313">
                  <c:v>0.53052837487563709</c:v>
                </c:pt>
                <c:pt idx="314">
                  <c:v>0.46506330766339765</c:v>
                </c:pt>
                <c:pt idx="315">
                  <c:v>0.4067089706102453</c:v>
                </c:pt>
                <c:pt idx="316">
                  <c:v>0.35483489346433988</c:v>
                </c:pt>
                <c:pt idx="317">
                  <c:v>0.30884635778566011</c:v>
                </c:pt>
                <c:pt idx="318">
                  <c:v>0.26818517258995461</c:v>
                </c:pt>
                <c:pt idx="319">
                  <c:v>0.2323302470876574</c:v>
                </c:pt>
                <c:pt idx="320">
                  <c:v>0.20079744275048086</c:v>
                </c:pt>
                <c:pt idx="321">
                  <c:v>0.17313884184744316</c:v>
                </c:pt>
                <c:pt idx="322">
                  <c:v>0.14894203275600573</c:v>
                </c:pt>
                <c:pt idx="323">
                  <c:v>0.12782888208420251</c:v>
                </c:pt>
                <c:pt idx="324">
                  <c:v>0.10945412525183293</c:v>
                </c:pt>
                <c:pt idx="325">
                  <c:v>9.3503780175683796E-2</c:v>
                </c:pt>
                <c:pt idx="326">
                  <c:v>7.9693432488146143E-2</c:v>
                </c:pt>
                <c:pt idx="327">
                  <c:v>6.7766435501907515E-2</c:v>
                </c:pt>
                <c:pt idx="328">
                  <c:v>5.7492062915358681E-2</c:v>
                </c:pt>
                <c:pt idx="329">
                  <c:v>4.8663647142004184E-2</c:v>
                </c:pt>
                <c:pt idx="330">
                  <c:v>4.1096728207828406E-2</c:v>
                </c:pt>
                <c:pt idx="331">
                  <c:v>3.4627255558365717E-2</c:v>
                </c:pt>
                <c:pt idx="332">
                  <c:v>2.9109814797812227E-2</c:v>
                </c:pt>
                <c:pt idx="333">
                  <c:v>2.4415945665698227E-2</c:v>
                </c:pt>
                <c:pt idx="334">
                  <c:v>2.0432556811402099E-2</c:v>
                </c:pt>
                <c:pt idx="335">
                  <c:v>1.7060399055555921E-2</c:v>
                </c:pt>
                <c:pt idx="336">
                  <c:v>1.4212654142877281E-2</c:v>
                </c:pt>
                <c:pt idx="337">
                  <c:v>1.1813618167385558E-2</c:v>
                </c:pt>
                <c:pt idx="338">
                  <c:v>9.7974848126108332E-3</c:v>
                </c:pt>
                <c:pt idx="339">
                  <c:v>8.1072275718173312E-3</c:v>
                </c:pt>
                <c:pt idx="340">
                  <c:v>6.6935787030199282E-3</c:v>
                </c:pt>
                <c:pt idx="341">
                  <c:v>5.514101553268232E-3</c:v>
                </c:pt>
                <c:pt idx="342">
                  <c:v>4.532352026944215E-3</c:v>
                </c:pt>
                <c:pt idx="343">
                  <c:v>3.7171243436447308E-3</c:v>
                </c:pt>
                <c:pt idx="344">
                  <c:v>3.0417758032892199E-3</c:v>
                </c:pt>
                <c:pt idx="345">
                  <c:v>2.4836250207767702E-3</c:v>
                </c:pt>
                <c:pt idx="346">
                  <c:v>2.0234179826597773E-3</c:v>
                </c:pt>
                <c:pt idx="347">
                  <c:v>1.6448562889660519E-3</c:v>
                </c:pt>
                <c:pt idx="348">
                  <c:v>1.3341821119761028E-3</c:v>
                </c:pt>
                <c:pt idx="349">
                  <c:v>1.0798141455184104E-3</c:v>
                </c:pt>
                <c:pt idx="350">
                  <c:v>8.7203038739151674E-4</c:v>
                </c:pt>
                <c:pt idx="351">
                  <c:v>7.026919055294473E-4</c:v>
                </c:pt>
                <c:pt idx="352">
                  <c:v>5.6500320395666786E-4</c:v>
                </c:pt>
                <c:pt idx="353">
                  <c:v>4.5330594913980509E-4</c:v>
                </c:pt>
                <c:pt idx="354">
                  <c:v>3.629011793914025E-4</c:v>
                </c:pt>
                <c:pt idx="355">
                  <c:v>2.8989697357039492E-4</c:v>
                </c:pt>
                <c:pt idx="356">
                  <c:v>2.3107831748947298E-4</c:v>
                </c:pt>
                <c:pt idx="357">
                  <c:v>1.8379630747327813E-4</c:v>
                </c:pt>
                <c:pt idx="358">
                  <c:v>1.4587412987242363E-4</c:v>
                </c:pt>
                <c:pt idx="359">
                  <c:v>1.1552753636032126E-4</c:v>
                </c:pt>
                <c:pt idx="360">
                  <c:v>9.1297795952189253E-5</c:v>
                </c:pt>
                <c:pt idx="361">
                  <c:v>7.1995345078794252E-5</c:v>
                </c:pt>
                <c:pt idx="362">
                  <c:v>5.6652576525699013E-5</c:v>
                </c:pt>
                <c:pt idx="363">
                  <c:v>4.4484406906188217E-5</c:v>
                </c:pt>
                <c:pt idx="364">
                  <c:v>3.48554412374902E-5</c:v>
                </c:pt>
                <c:pt idx="365">
                  <c:v>2.7252713080211865E-5</c:v>
                </c:pt>
                <c:pt idx="366">
                  <c:v>2.1263120718466219E-5</c:v>
                </c:pt>
                <c:pt idx="367">
                  <c:v>1.6554805265908548E-5</c:v>
                </c:pt>
                <c:pt idx="368">
                  <c:v>1.2861826711153203E-5</c:v>
                </c:pt>
                <c:pt idx="369">
                  <c:v>9.9715901181844206E-6</c:v>
                </c:pt>
                <c:pt idx="370">
                  <c:v>7.7145578104487486E-6</c:v>
                </c:pt>
                <c:pt idx="371">
                  <c:v>5.955855688192862E-6</c:v>
                </c:pt>
                <c:pt idx="372">
                  <c:v>4.5884440913024136E-6</c:v>
                </c:pt>
                <c:pt idx="373">
                  <c:v>3.527576982471949E-6</c:v>
                </c:pt>
                <c:pt idx="374">
                  <c:v>2.7063187617543925E-6</c:v>
                </c:pt>
                <c:pt idx="375">
                  <c:v>2.0719267174939475E-6</c:v>
                </c:pt>
                <c:pt idx="376">
                  <c:v>1.5829398638620663E-6</c:v>
                </c:pt>
                <c:pt idx="377">
                  <c:v>1.2068425158815578E-6</c:v>
                </c:pt>
                <c:pt idx="378">
                  <c:v>9.1819412680448132E-7</c:v>
                </c:pt>
                <c:pt idx="379">
                  <c:v>6.9713628347780649E-7</c:v>
                </c:pt>
                <c:pt idx="380">
                  <c:v>5.2820400089585294E-7</c:v>
                </c:pt>
                <c:pt idx="381">
                  <c:v>3.9938159013041572E-7</c:v>
                </c:pt>
                <c:pt idx="382">
                  <c:v>3.0135488740573776E-7</c:v>
                </c:pt>
                <c:pt idx="383">
                  <c:v>2.2692053438916871E-7</c:v>
                </c:pt>
                <c:pt idx="384">
                  <c:v>1.7052034732676555E-7</c:v>
                </c:pt>
                <c:pt idx="385">
                  <c:v>1.2787538440561638E-7</c:v>
                </c:pt>
                <c:pt idx="386">
                  <c:v>9.5699021524279922E-8</c:v>
                </c:pt>
                <c:pt idx="387">
                  <c:v>7.1472553955121565E-8</c:v>
                </c:pt>
                <c:pt idx="388">
                  <c:v>5.3270136523748295E-8</c:v>
                </c:pt>
                <c:pt idx="389">
                  <c:v>3.9622553292334565E-8</c:v>
                </c:pt>
                <c:pt idx="390">
                  <c:v>2.9411465866012167E-8</c:v>
                </c:pt>
                <c:pt idx="391">
                  <c:v>2.1787523021787113E-8</c:v>
                </c:pt>
                <c:pt idx="392">
                  <c:v>1.6107102659717685E-8</c:v>
                </c:pt>
                <c:pt idx="393">
                  <c:v>1.1883565516075768E-8</c:v>
                </c:pt>
                <c:pt idx="394">
                  <c:v>8.749782437566481E-9</c:v>
                </c:pt>
                <c:pt idx="395">
                  <c:v>6.4293973375483875E-9</c:v>
                </c:pt>
                <c:pt idx="396">
                  <c:v>4.7148421751829576E-9</c:v>
                </c:pt>
                <c:pt idx="397">
                  <c:v>3.4505576313393325E-9</c:v>
                </c:pt>
                <c:pt idx="398">
                  <c:v>2.5202172673056401E-9</c:v>
                </c:pt>
                <c:pt idx="399">
                  <c:v>1.8370229484758162E-9</c:v>
                </c:pt>
                <c:pt idx="400">
                  <c:v>1.336350564975307E-9</c:v>
                </c:pt>
                <c:pt idx="401">
                  <c:v>9.701899076244063E-10</c:v>
                </c:pt>
                <c:pt idx="402">
                  <c:v>7.029508083602556E-10</c:v>
                </c:pt>
                <c:pt idx="403">
                  <c:v>5.0830717308519238E-10</c:v>
                </c:pt>
                <c:pt idx="404">
                  <c:v>3.6682754945215565E-10</c:v>
                </c:pt>
                <c:pt idx="405">
                  <c:v>2.6420031109994312E-10</c:v>
                </c:pt>
                <c:pt idx="406">
                  <c:v>1.8990729189654716E-10</c:v>
                </c:pt>
                <c:pt idx="407">
                  <c:v>1.3623482728716116E-10</c:v>
                </c:pt>
                <c:pt idx="408">
                  <c:v>9.7538053083235063E-11</c:v>
                </c:pt>
                <c:pt idx="409">
                  <c:v>6.969484978725658E-11</c:v>
                </c:pt>
                <c:pt idx="410">
                  <c:v>4.9701464112767787E-11</c:v>
                </c:pt>
                <c:pt idx="411">
                  <c:v>3.5373724345075363E-11</c:v>
                </c:pt>
                <c:pt idx="412">
                  <c:v>2.5126772542212858E-11</c:v>
                </c:pt>
                <c:pt idx="413">
                  <c:v>1.7813044172851519E-11</c:v>
                </c:pt>
                <c:pt idx="414">
                  <c:v>1.2603358416091394E-11</c:v>
                </c:pt>
                <c:pt idx="415">
                  <c:v>8.8998424031495039E-12</c:v>
                </c:pt>
                <c:pt idx="416">
                  <c:v>6.272308432380428E-12</c:v>
                </c:pt>
                <c:pt idx="417">
                  <c:v>4.411870141128334E-12</c:v>
                </c:pt>
                <c:pt idx="418">
                  <c:v>3.0972011893758623E-12</c:v>
                </c:pt>
                <c:pt idx="419">
                  <c:v>2.1700445182534884E-12</c:v>
                </c:pt>
                <c:pt idx="420">
                  <c:v>1.5174749797632948E-12</c:v>
                </c:pt>
                <c:pt idx="421">
                  <c:v>1.059081144867103E-12</c:v>
                </c:pt>
                <c:pt idx="422">
                  <c:v>7.3772220993737243E-13</c:v>
                </c:pt>
                <c:pt idx="423">
                  <c:v>5.1287735243085705E-13</c:v>
                </c:pt>
                <c:pt idx="424">
                  <c:v>3.5587078343385534E-13</c:v>
                </c:pt>
                <c:pt idx="425">
                  <c:v>2.4645089294432895E-13</c:v>
                </c:pt>
                <c:pt idx="426">
                  <c:v>1.70344768063717E-13</c:v>
                </c:pt>
                <c:pt idx="427">
                  <c:v>1.1751373472544501E-13</c:v>
                </c:pt>
                <c:pt idx="428">
                  <c:v>8.0911632182522334E-14</c:v>
                </c:pt>
                <c:pt idx="429">
                  <c:v>5.5602826424064448E-14</c:v>
                </c:pt>
                <c:pt idx="430">
                  <c:v>3.8137077564387598E-14</c:v>
                </c:pt>
                <c:pt idx="431">
                  <c:v>2.6107401133414926E-14</c:v>
                </c:pt>
                <c:pt idx="432">
                  <c:v>1.7838018570086432E-14</c:v>
                </c:pt>
                <c:pt idx="433">
                  <c:v>1.2164586735980783E-14</c:v>
                </c:pt>
                <c:pt idx="434">
                  <c:v>8.2797441707758139E-15</c:v>
                </c:pt>
                <c:pt idx="435">
                  <c:v>5.624790013084957E-15</c:v>
                </c:pt>
                <c:pt idx="436">
                  <c:v>3.8138759716131964E-15</c:v>
                </c:pt>
                <c:pt idx="437">
                  <c:v>2.5810634755212406E-15</c:v>
                </c:pt>
                <c:pt idx="438">
                  <c:v>1.743426639646937E-15</c:v>
                </c:pt>
                <c:pt idx="439">
                  <c:v>1.1753914882665291E-15</c:v>
                </c:pt>
                <c:pt idx="440">
                  <c:v>7.9092675622360975E-16</c:v>
                </c:pt>
                <c:pt idx="441">
                  <c:v>5.3120951144250267E-16</c:v>
                </c:pt>
                <c:pt idx="442">
                  <c:v>3.5610021900641891E-16</c:v>
                </c:pt>
                <c:pt idx="443">
                  <c:v>2.3826290429450288E-16</c:v>
                </c:pt>
                <c:pt idx="444">
                  <c:v>1.5911802784849863E-16</c:v>
                </c:pt>
                <c:pt idx="445">
                  <c:v>1.0606254966257155E-16</c:v>
                </c:pt>
                <c:pt idx="446">
                  <c:v>7.0564360503400109E-17</c:v>
                </c:pt>
                <c:pt idx="447">
                  <c:v>4.6858714909367785E-17</c:v>
                </c:pt>
                <c:pt idx="448">
                  <c:v>3.1058315261431439E-17</c:v>
                </c:pt>
                <c:pt idx="449">
                  <c:v>2.0547022807741094E-17</c:v>
                </c:pt>
                <c:pt idx="450">
                  <c:v>1.3567640502561368E-17</c:v>
                </c:pt>
                <c:pt idx="451">
                  <c:v>8.942214611281212E-18</c:v>
                </c:pt>
                <c:pt idx="452">
                  <c:v>5.8826376779660118E-18</c:v>
                </c:pt>
                <c:pt idx="453">
                  <c:v>3.8626581206091826E-18</c:v>
                </c:pt>
                <c:pt idx="454">
                  <c:v>2.5315616214342314E-18</c:v>
                </c:pt>
                <c:pt idx="455">
                  <c:v>1.6560738260496971E-18</c:v>
                </c:pt>
                <c:pt idx="456">
                  <c:v>1.0813361746117698E-18</c:v>
                </c:pt>
                <c:pt idx="457">
                  <c:v>7.0474581230243413E-19</c:v>
                </c:pt>
                <c:pt idx="458">
                  <c:v>4.5845412858606371E-19</c:v>
                </c:pt>
                <c:pt idx="459">
                  <c:v>2.9768143991113532E-19</c:v>
                </c:pt>
                <c:pt idx="460">
                  <c:v>1.9293054021971384E-19</c:v>
                </c:pt>
                <c:pt idx="461">
                  <c:v>1.2480857304435367E-19</c:v>
                </c:pt>
                <c:pt idx="462">
                  <c:v>8.0590328595995443E-20</c:v>
                </c:pt>
                <c:pt idx="463">
                  <c:v>5.1941843239002909E-20</c:v>
                </c:pt>
                <c:pt idx="464">
                  <c:v>3.3415545485787925E-20</c:v>
                </c:pt>
                <c:pt idx="465">
                  <c:v>2.1457412984330969E-20</c:v>
                </c:pt>
                <c:pt idx="466">
                  <c:v>1.3753226850555896E-20</c:v>
                </c:pt>
                <c:pt idx="467">
                  <c:v>8.7989555440122371E-21</c:v>
                </c:pt>
                <c:pt idx="468">
                  <c:v>5.6189832157552278E-21</c:v>
                </c:pt>
                <c:pt idx="469">
                  <c:v>3.5816674414871118E-21</c:v>
                </c:pt>
                <c:pt idx="470">
                  <c:v>2.2788435445576904E-21</c:v>
                </c:pt>
                <c:pt idx="471">
                  <c:v>1.4472591170777464E-21</c:v>
                </c:pt>
                <c:pt idx="472">
                  <c:v>9.1744791081859856E-22</c:v>
                </c:pt>
                <c:pt idx="473">
                  <c:v>5.8052466051705146E-22</c:v>
                </c:pt>
                <c:pt idx="474">
                  <c:v>3.6666111801075461E-22</c:v>
                </c:pt>
                <c:pt idx="475">
                  <c:v>2.3116110372799047E-22</c:v>
                </c:pt>
                <c:pt idx="476">
                  <c:v>1.4546923647035173E-22</c:v>
                </c:pt>
                <c:pt idx="477">
                  <c:v>9.1376566664543778E-23</c:v>
                </c:pt>
                <c:pt idx="478">
                  <c:v>5.7293659505094205E-23</c:v>
                </c:pt>
                <c:pt idx="479">
                  <c:v>3.5858086258044824E-23</c:v>
                </c:pt>
                <c:pt idx="480">
                  <c:v>2.2401506941894746E-23</c:v>
                </c:pt>
                <c:pt idx="481">
                  <c:v>1.3969398328290667E-23</c:v>
                </c:pt>
                <c:pt idx="482">
                  <c:v>8.6953939465389378E-24</c:v>
                </c:pt>
                <c:pt idx="483">
                  <c:v>5.4027225789105796E-24</c:v>
                </c:pt>
                <c:pt idx="484">
                  <c:v>3.3508011936488895E-24</c:v>
                </c:pt>
                <c:pt idx="485">
                  <c:v>2.0744261752089738E-24</c:v>
                </c:pt>
                <c:pt idx="486">
                  <c:v>1.2819213189810612E-24</c:v>
                </c:pt>
                <c:pt idx="487">
                  <c:v>7.907506391860142E-25</c:v>
                </c:pt>
                <c:pt idx="488">
                  <c:v>4.8689269059080393E-25</c:v>
                </c:pt>
                <c:pt idx="489">
                  <c:v>2.9925623087588457E-25</c:v>
                </c:pt>
                <c:pt idx="490">
                  <c:v>1.8359891484772996E-25</c:v>
                </c:pt>
                <c:pt idx="491">
                  <c:v>1.124384093188729E-25</c:v>
                </c:pt>
                <c:pt idx="492">
                  <c:v>6.8734956084086388E-26</c:v>
                </c:pt>
                <c:pt idx="493">
                  <c:v>4.194302162387465E-26</c:v>
                </c:pt>
                <c:pt idx="494">
                  <c:v>2.5548273559182905E-26</c:v>
                </c:pt>
                <c:pt idx="495">
                  <c:v>1.5534020925697866E-26</c:v>
                </c:pt>
                <c:pt idx="496">
                  <c:v>9.4281696933570969E-27</c:v>
                </c:pt>
                <c:pt idx="497">
                  <c:v>5.7120599873610122E-27</c:v>
                </c:pt>
                <c:pt idx="498">
                  <c:v>3.4544640449274116E-27</c:v>
                </c:pt>
                <c:pt idx="499">
                  <c:v>2.0854117746766747E-27</c:v>
                </c:pt>
                <c:pt idx="500">
                  <c:v>1.2566862659056773E-27</c:v>
                </c:pt>
                <c:pt idx="501">
                  <c:v>7.5593854520426665E-28</c:v>
                </c:pt>
                <c:pt idx="502">
                  <c:v>4.5391167564895703E-28</c:v>
                </c:pt>
                <c:pt idx="503">
                  <c:v>2.7207091828034593E-28</c:v>
                </c:pt>
                <c:pt idx="504">
                  <c:v>1.6278690098126449E-28</c:v>
                </c:pt>
                <c:pt idx="505">
                  <c:v>9.7226355932557981E-29</c:v>
                </c:pt>
                <c:pt idx="506">
                  <c:v>5.7966413896279978E-29</c:v>
                </c:pt>
                <c:pt idx="507">
                  <c:v>3.4498274853538094E-29</c:v>
                </c:pt>
                <c:pt idx="508">
                  <c:v>2.0494979394540999E-29</c:v>
                </c:pt>
                <c:pt idx="509">
                  <c:v>1.2154228528434611E-29</c:v>
                </c:pt>
                <c:pt idx="510">
                  <c:v>7.1951151697520414E-30</c:v>
                </c:pt>
                <c:pt idx="511">
                  <c:v>4.2518621418919905E-30</c:v>
                </c:pt>
                <c:pt idx="512">
                  <c:v>2.508143046613742E-30</c:v>
                </c:pt>
                <c:pt idx="513">
                  <c:v>1.4769226681704973E-30</c:v>
                </c:pt>
                <c:pt idx="514">
                  <c:v>8.681527783596258E-31</c:v>
                </c:pt>
                <c:pt idx="515">
                  <c:v>5.0941077841651893E-31</c:v>
                </c:pt>
                <c:pt idx="516">
                  <c:v>2.9838314121784233E-31</c:v>
                </c:pt>
                <c:pt idx="517">
                  <c:v>1.7446777640314889E-31</c:v>
                </c:pt>
                <c:pt idx="518">
                  <c:v>1.0183371093210692E-31</c:v>
                </c:pt>
                <c:pt idx="519">
                  <c:v>5.9334039745180449E-32</c:v>
                </c:pt>
                <c:pt idx="520">
                  <c:v>3.4510628632904099E-32</c:v>
                </c:pt>
                <c:pt idx="521">
                  <c:v>2.0037291834550572E-32</c:v>
                </c:pt>
                <c:pt idx="522">
                  <c:v>1.1613495912303751E-32</c:v>
                </c:pt>
                <c:pt idx="523">
                  <c:v>6.7193196854284355E-33</c:v>
                </c:pt>
                <c:pt idx="524">
                  <c:v>3.8808477763752188E-33</c:v>
                </c:pt>
                <c:pt idx="525">
                  <c:v>2.2375227887251519E-33</c:v>
                </c:pt>
                <c:pt idx="526">
                  <c:v>1.2878001200750021E-33</c:v>
                </c:pt>
                <c:pt idx="527">
                  <c:v>7.3989512703207653E-34</c:v>
                </c:pt>
                <c:pt idx="528">
                  <c:v>4.2435874674381331E-34</c:v>
                </c:pt>
                <c:pt idx="529">
                  <c:v>2.4296180466386123E-34</c:v>
                </c:pt>
                <c:pt idx="530">
                  <c:v>1.3886259405988767E-34</c:v>
                </c:pt>
                <c:pt idx="531">
                  <c:v>7.9227422912242664E-35</c:v>
                </c:pt>
                <c:pt idx="532">
                  <c:v>4.512418096105457E-35</c:v>
                </c:pt>
                <c:pt idx="533">
                  <c:v>2.5655899130030954E-35</c:v>
                </c:pt>
                <c:pt idx="534">
                  <c:v>1.4561623758331539E-35</c:v>
                </c:pt>
                <c:pt idx="535">
                  <c:v>8.2504489610304268E-36</c:v>
                </c:pt>
                <c:pt idx="536">
                  <c:v>4.6664983522408801E-36</c:v>
                </c:pt>
                <c:pt idx="537">
                  <c:v>2.6348200231013939E-36</c:v>
                </c:pt>
                <c:pt idx="538">
                  <c:v>1.4851066376538607E-36</c:v>
                </c:pt>
                <c:pt idx="539">
                  <c:v>8.3562554504845337E-37</c:v>
                </c:pt>
                <c:pt idx="540">
                  <c:v>4.6936823770299356E-37</c:v>
                </c:pt>
                <c:pt idx="541">
                  <c:v>2.6318682254861074E-37</c:v>
                </c:pt>
                <c:pt idx="542">
                  <c:v>1.4732063035733117E-37</c:v>
                </c:pt>
                <c:pt idx="543">
                  <c:v>8.2321354456121685E-38</c:v>
                </c:pt>
                <c:pt idx="544">
                  <c:v>4.5921015341399182E-38</c:v>
                </c:pt>
                <c:pt idx="545">
                  <c:v>2.5571783200570811E-38</c:v>
                </c:pt>
                <c:pt idx="546">
                  <c:v>1.4215483033573409E-38</c:v>
                </c:pt>
                <c:pt idx="547">
                  <c:v>7.8888522163998016E-39</c:v>
                </c:pt>
                <c:pt idx="548">
                  <c:v>4.3703691705087651E-39</c:v>
                </c:pt>
                <c:pt idx="549">
                  <c:v>2.4169910487414488E-39</c:v>
                </c:pt>
                <c:pt idx="550">
                  <c:v>1.3343970772644563E-39</c:v>
                </c:pt>
                <c:pt idx="551">
                  <c:v>7.3544254272640493E-40</c:v>
                </c:pt>
                <c:pt idx="552">
                  <c:v>4.0463788652814713E-40</c:v>
                </c:pt>
                <c:pt idx="553">
                  <c:v>2.2224856532581088E-40</c:v>
                </c:pt>
                <c:pt idx="554">
                  <c:v>1.2186149806264921E-40</c:v>
                </c:pt>
                <c:pt idx="555">
                  <c:v>6.6703661966381896E-41</c:v>
                </c:pt>
                <c:pt idx="556">
                  <c:v>3.6449279671258455E-41</c:v>
                </c:pt>
                <c:pt idx="557">
                  <c:v>1.9883133128468397E-41</c:v>
                </c:pt>
                <c:pt idx="558">
                  <c:v>1.082773887998669E-41</c:v>
                </c:pt>
                <c:pt idx="559">
                  <c:v>5.8863799834879958E-42</c:v>
                </c:pt>
                <c:pt idx="560">
                  <c:v>3.194602745004308E-42</c:v>
                </c:pt>
                <c:pt idx="561">
                  <c:v>1.7307883065198728E-42</c:v>
                </c:pt>
                <c:pt idx="562">
                  <c:v>9.3611681177654939E-43</c:v>
                </c:pt>
                <c:pt idx="563">
                  <c:v>5.0544698564217063E-43</c:v>
                </c:pt>
                <c:pt idx="564">
                  <c:v>2.7244642965446269E-43</c:v>
                </c:pt>
                <c:pt idx="565">
                  <c:v>1.4660441289688266E-43</c:v>
                </c:pt>
                <c:pt idx="566">
                  <c:v>7.8754221492460207E-44</c:v>
                </c:pt>
                <c:pt idx="567">
                  <c:v>4.2233977380326289E-44</c:v>
                </c:pt>
                <c:pt idx="568">
                  <c:v>2.261059153406078E-44</c:v>
                </c:pt>
                <c:pt idx="569">
                  <c:v>1.2084373093187865E-44</c:v>
                </c:pt>
                <c:pt idx="570">
                  <c:v>6.4476141712322337E-45</c:v>
                </c:pt>
                <c:pt idx="571">
                  <c:v>3.4342912676621837E-45</c:v>
                </c:pt>
                <c:pt idx="572">
                  <c:v>1.826160015599064E-45</c:v>
                </c:pt>
                <c:pt idx="573">
                  <c:v>9.6940354062969441E-46</c:v>
                </c:pt>
                <c:pt idx="574">
                  <c:v>5.137299531552759E-46</c:v>
                </c:pt>
                <c:pt idx="575">
                  <c:v>2.7178790938986873E-46</c:v>
                </c:pt>
                <c:pt idx="576">
                  <c:v>1.4354589519640336E-46</c:v>
                </c:pt>
                <c:pt idx="577">
                  <c:v>7.5686297842880269E-47</c:v>
                </c:pt>
                <c:pt idx="578">
                  <c:v>3.9839146292584213E-47</c:v>
                </c:pt>
                <c:pt idx="579">
                  <c:v>2.0934832754515495E-47</c:v>
                </c:pt>
                <c:pt idx="580">
                  <c:v>1.098237103175712E-47</c:v>
                </c:pt>
                <c:pt idx="581">
                  <c:v>5.7516215529909009E-48</c:v>
                </c:pt>
                <c:pt idx="582">
                  <c:v>3.0071320223879915E-48</c:v>
                </c:pt>
                <c:pt idx="583">
                  <c:v>1.5695787729026689E-48</c:v>
                </c:pt>
                <c:pt idx="584">
                  <c:v>8.1786682057867478E-49</c:v>
                </c:pt>
                <c:pt idx="585">
                  <c:v>4.2545275178624863E-49</c:v>
                </c:pt>
                <c:pt idx="586">
                  <c:v>2.2094784855203027E-49</c:v>
                </c:pt>
                <c:pt idx="587">
                  <c:v>1.1455085298616521E-49</c:v>
                </c:pt>
                <c:pt idx="588">
                  <c:v>5.9289447505847516E-50</c:v>
                </c:pt>
                <c:pt idx="589">
                  <c:v>3.0635672470430764E-50</c:v>
                </c:pt>
                <c:pt idx="590">
                  <c:v>1.5803336283837185E-50</c:v>
                </c:pt>
                <c:pt idx="591">
                  <c:v>8.1384538273328462E-51</c:v>
                </c:pt>
                <c:pt idx="592">
                  <c:v>4.1841494779334623E-51</c:v>
                </c:pt>
                <c:pt idx="593">
                  <c:v>2.1475587246260039E-51</c:v>
                </c:pt>
                <c:pt idx="594">
                  <c:v>1.1004134197136662E-51</c:v>
                </c:pt>
                <c:pt idx="595">
                  <c:v>5.6291144777101391E-52</c:v>
                </c:pt>
                <c:pt idx="596">
                  <c:v>2.8747365817642558E-52</c:v>
                </c:pt>
                <c:pt idx="597">
                  <c:v>1.4656497512013724E-52</c:v>
                </c:pt>
                <c:pt idx="598">
                  <c:v>7.4599669740597314E-53</c:v>
                </c:pt>
                <c:pt idx="599">
                  <c:v>3.7906925942274063E-53</c:v>
                </c:pt>
                <c:pt idx="600">
                  <c:v>1.9229835772156035E-53</c:v>
                </c:pt>
                <c:pt idx="601">
                  <c:v>9.7388644013675119E-54</c:v>
                </c:pt>
                <c:pt idx="602">
                  <c:v>4.9239902557205483E-54</c:v>
                </c:pt>
                <c:pt idx="603">
                  <c:v>2.4854358460778736E-54</c:v>
                </c:pt>
                <c:pt idx="604">
                  <c:v>1.2524627564779144E-54</c:v>
                </c:pt>
                <c:pt idx="605">
                  <c:v>6.3009256402017062E-55</c:v>
                </c:pt>
                <c:pt idx="606">
                  <c:v>3.1646197823798382E-55</c:v>
                </c:pt>
                <c:pt idx="607">
                  <c:v>1.5867801188124564E-55</c:v>
                </c:pt>
                <c:pt idx="608">
                  <c:v>7.9431061324378891E-56</c:v>
                </c:pt>
                <c:pt idx="609">
                  <c:v>3.9695635328411992E-56</c:v>
                </c:pt>
                <c:pt idx="610">
                  <c:v>1.9804974955414365E-56</c:v>
                </c:pt>
                <c:pt idx="611">
                  <c:v>9.8647334846305204E-57</c:v>
                </c:pt>
                <c:pt idx="612">
                  <c:v>4.9054211811052267E-57</c:v>
                </c:pt>
                <c:pt idx="613">
                  <c:v>2.4352721413400203E-57</c:v>
                </c:pt>
                <c:pt idx="614">
                  <c:v>1.2069778964376295E-57</c:v>
                </c:pt>
                <c:pt idx="615">
                  <c:v>5.9721693396147844E-58</c:v>
                </c:pt>
                <c:pt idx="616">
                  <c:v>2.9501646287766339E-58</c:v>
                </c:pt>
                <c:pt idx="617">
                  <c:v>1.4549299720094274E-58</c:v>
                </c:pt>
                <c:pt idx="618">
                  <c:v>7.1634129501823304E-59</c:v>
                </c:pt>
                <c:pt idx="619">
                  <c:v>3.5211157248388999E-59</c:v>
                </c:pt>
                <c:pt idx="620">
                  <c:v>1.7279189922505397E-59</c:v>
                </c:pt>
                <c:pt idx="621">
                  <c:v>8.4654408292644241E-60</c:v>
                </c:pt>
                <c:pt idx="622">
                  <c:v>4.1405615944683691E-60</c:v>
                </c:pt>
                <c:pt idx="623">
                  <c:v>2.0218677300306582E-60</c:v>
                </c:pt>
                <c:pt idx="624">
                  <c:v>9.8566741492786526E-61</c:v>
                </c:pt>
                <c:pt idx="625">
                  <c:v>4.7972524282630229E-61</c:v>
                </c:pt>
                <c:pt idx="626">
                  <c:v>2.3309856522019492E-61</c:v>
                </c:pt>
                <c:pt idx="627">
                  <c:v>1.1307636233251323E-61</c:v>
                </c:pt>
                <c:pt idx="628">
                  <c:v>5.4763298343272306E-62</c:v>
                </c:pt>
                <c:pt idx="629">
                  <c:v>2.6478491860392678E-62</c:v>
                </c:pt>
                <c:pt idx="630">
                  <c:v>1.2781537834434543E-62</c:v>
                </c:pt>
                <c:pt idx="631">
                  <c:v>6.1596995204721783E-63</c:v>
                </c:pt>
                <c:pt idx="632">
                  <c:v>2.9636221446295969E-63</c:v>
                </c:pt>
                <c:pt idx="633">
                  <c:v>1.4235520625334547E-63</c:v>
                </c:pt>
                <c:pt idx="634">
                  <c:v>6.8267096061866176E-64</c:v>
                </c:pt>
                <c:pt idx="635">
                  <c:v>3.2684164217227692E-64</c:v>
                </c:pt>
                <c:pt idx="636">
                  <c:v>1.5622536454603176E-64</c:v>
                </c:pt>
                <c:pt idx="637">
                  <c:v>7.4551132354760179E-65</c:v>
                </c:pt>
                <c:pt idx="638">
                  <c:v>3.551777907419309E-65</c:v>
                </c:pt>
                <c:pt idx="639">
                  <c:v>1.6893768622457405E-65</c:v>
                </c:pt>
                <c:pt idx="640">
                  <c:v>8.0222609912891119E-66</c:v>
                </c:pt>
                <c:pt idx="641">
                  <c:v>3.8032673699244733E-66</c:v>
                </c:pt>
                <c:pt idx="642">
                  <c:v>1.8001432737824479E-66</c:v>
                </c:pt>
                <c:pt idx="643">
                  <c:v>8.5064381439954411E-67</c:v>
                </c:pt>
                <c:pt idx="644">
                  <c:v>4.0130927948277715E-67</c:v>
                </c:pt>
                <c:pt idx="645">
                  <c:v>1.8901738378726553E-67</c:v>
                </c:pt>
                <c:pt idx="646">
                  <c:v>8.8882384751982271E-68</c:v>
                </c:pt>
                <c:pt idx="647">
                  <c:v>4.1727403891819523E-68</c:v>
                </c:pt>
                <c:pt idx="648">
                  <c:v>1.9557757604390065E-68</c:v>
                </c:pt>
                <c:pt idx="649">
                  <c:v>9.1518541064350036E-69</c:v>
                </c:pt>
                <c:pt idx="650">
                  <c:v>4.2755477366825579E-69</c:v>
                </c:pt>
                <c:pt idx="651">
                  <c:v>1.9941938819078076E-69</c:v>
                </c:pt>
                <c:pt idx="652">
                  <c:v>9.2861619207378178E-70</c:v>
                </c:pt>
                <c:pt idx="653">
                  <c:v>4.3171653273770155E-70</c:v>
                </c:pt>
                <c:pt idx="654">
                  <c:v>2.0038027403192364E-70</c:v>
                </c:pt>
                <c:pt idx="655">
                  <c:v>9.2855024649266931E-71</c:v>
                </c:pt>
                <c:pt idx="656">
                  <c:v>4.2958618806306263E-71</c:v>
                </c:pt>
                <c:pt idx="657">
                  <c:v>1.984220643505891E-71</c:v>
                </c:pt>
                <c:pt idx="658">
                  <c:v>9.1500752968855317E-72</c:v>
                </c:pt>
                <c:pt idx="659">
                  <c:v>4.2126435899906488E-72</c:v>
                </c:pt>
                <c:pt idx="660">
                  <c:v>1.9363345967771149E-72</c:v>
                </c:pt>
                <c:pt idx="661">
                  <c:v>8.8859123211132296E-73</c:v>
                </c:pt>
                <c:pt idx="662">
                  <c:v>4.0711758690511741E-73</c:v>
                </c:pt>
                <c:pt idx="663">
                  <c:v>1.862233841971805E-73</c:v>
                </c:pt>
                <c:pt idx="664">
                  <c:v>8.5044330183495433E-74</c:v>
                </c:pt>
                <c:pt idx="665">
                  <c:v>3.877516024523614E-74</c:v>
                </c:pt>
                <c:pt idx="666">
                  <c:v>1.7650589283015213E-74</c:v>
                </c:pt>
                <c:pt idx="667">
                  <c:v>8.0216271788622418E-75</c:v>
                </c:pt>
                <c:pt idx="668">
                  <c:v>3.6396839752814524E-75</c:v>
                </c:pt>
                <c:pt idx="669">
                  <c:v>1.6487814801253196E-75</c:v>
                </c:pt>
                <c:pt idx="670">
                  <c:v>7.4569464787978591E-76</c:v>
                </c:pt>
                <c:pt idx="671">
                  <c:v>3.3671133144462129E-76</c:v>
                </c:pt>
                <c:pt idx="672">
                  <c:v>1.5179361251382504E-76</c:v>
                </c:pt>
                <c:pt idx="673">
                  <c:v>6.832011630084422E-77</c:v>
                </c:pt>
                <c:pt idx="674">
                  <c:v>3.0700348689753856E-77</c:v>
                </c:pt>
                <c:pt idx="675">
                  <c:v>1.3773296751800466E-77</c:v>
                </c:pt>
                <c:pt idx="676">
                  <c:v>6.1692541170511791E-78</c:v>
                </c:pt>
                <c:pt idx="677">
                  <c:v>2.7588484533696953E-78</c:v>
                </c:pt>
                <c:pt idx="678">
                  <c:v>1.231753290574878E-78</c:v>
                </c:pt>
                <c:pt idx="679">
                  <c:v>5.4906098894981491E-79</c:v>
                </c:pt>
                <c:pt idx="680">
                  <c:v>2.4435356729698759E-79</c:v>
                </c:pt>
                <c:pt idx="681">
                  <c:v>1.0857211181323457E-79</c:v>
                </c:pt>
                <c:pt idx="682">
                  <c:v>4.8163679620583584E-80</c:v>
                </c:pt>
                <c:pt idx="683">
                  <c:v>2.1331582206737371E-80</c:v>
                </c:pt>
                <c:pt idx="684">
                  <c:v>9.432542698111319E-81</c:v>
                </c:pt>
                <c:pt idx="685">
                  <c:v>4.1642524819422946E-81</c:v>
                </c:pt>
                <c:pt idx="686">
                  <c:v>1.8354736360847002E-81</c:v>
                </c:pt>
                <c:pt idx="687">
                  <c:v>8.07722782751666E-82</c:v>
                </c:pt>
                <c:pt idx="688">
                  <c:v>3.5487863840564431E-82</c:v>
                </c:pt>
                <c:pt idx="689">
                  <c:v>1.5566858753239848E-82</c:v>
                </c:pt>
                <c:pt idx="690">
                  <c:v>6.8175129194354224E-83</c:v>
                </c:pt>
                <c:pt idx="691">
                  <c:v>2.9809525850321958E-83</c:v>
                </c:pt>
                <c:pt idx="692">
                  <c:v>1.3013332761490618E-83</c:v>
                </c:pt>
                <c:pt idx="693">
                  <c:v>5.6718746472805266E-84</c:v>
                </c:pt>
                <c:pt idx="694">
                  <c:v>2.4681388444148394E-84</c:v>
                </c:pt>
                <c:pt idx="695">
                  <c:v>1.0723033821998022E-84</c:v>
                </c:pt>
                <c:pt idx="696">
                  <c:v>4.6512656066857078E-85</c:v>
                </c:pt>
                <c:pt idx="697">
                  <c:v>2.0143281852059217E-85</c:v>
                </c:pt>
                <c:pt idx="698">
                  <c:v>8.7095394748464239E-86</c:v>
                </c:pt>
                <c:pt idx="699">
                  <c:v>3.7598132509421475E-86</c:v>
                </c:pt>
                <c:pt idx="700">
                  <c:v>1.620480175435932E-86</c:v>
                </c:pt>
                <c:pt idx="701">
                  <c:v>6.9731303133603972E-87</c:v>
                </c:pt>
                <c:pt idx="702">
                  <c:v>2.9958405510678136E-87</c:v>
                </c:pt>
                <c:pt idx="703">
                  <c:v>1.2850401768196889E-87</c:v>
                </c:pt>
                <c:pt idx="704">
                  <c:v>5.5032856607377215E-88</c:v>
                </c:pt>
                <c:pt idx="705">
                  <c:v>2.3530707577253837E-88</c:v>
                </c:pt>
                <c:pt idx="706">
                  <c:v>1.0045134052348823E-88</c:v>
                </c:pt>
                <c:pt idx="707">
                  <c:v>4.2813875831985565E-89</c:v>
                </c:pt>
                <c:pt idx="708">
                  <c:v>1.8218878924388446E-89</c:v>
                </c:pt>
                <c:pt idx="709">
                  <c:v>7.7404692017217146E-90</c:v>
                </c:pt>
                <c:pt idx="710">
                  <c:v>3.2833841149043776E-90</c:v>
                </c:pt>
                <c:pt idx="711">
                  <c:v>1.3905451723378276E-90</c:v>
                </c:pt>
                <c:pt idx="712">
                  <c:v>5.8797349264404295E-91</c:v>
                </c:pt>
                <c:pt idx="713">
                  <c:v>2.4822176693722996E-91</c:v>
                </c:pt>
                <c:pt idx="714">
                  <c:v>1.0462408658967374E-91</c:v>
                </c:pt>
                <c:pt idx="715">
                  <c:v>4.4028453207640363E-92</c:v>
                </c:pt>
                <c:pt idx="716">
                  <c:v>1.849887590066812E-92</c:v>
                </c:pt>
                <c:pt idx="717">
                  <c:v>7.7601057643029035E-93</c:v>
                </c:pt>
                <c:pt idx="718">
                  <c:v>3.2501287134518838E-93</c:v>
                </c:pt>
                <c:pt idx="719">
                  <c:v>1.3590778240162868E-93</c:v>
                </c:pt>
                <c:pt idx="720">
                  <c:v>5.6741284548137451E-94</c:v>
                </c:pt>
                <c:pt idx="721">
                  <c:v>2.365185987181217E-94</c:v>
                </c:pt>
                <c:pt idx="722">
                  <c:v>9.8433505517003628E-95</c:v>
                </c:pt>
                <c:pt idx="723">
                  <c:v>4.0900851591109372E-95</c:v>
                </c:pt>
                <c:pt idx="724">
                  <c:v>1.6968119545069292E-95</c:v>
                </c:pt>
                <c:pt idx="725">
                  <c:v>7.0282510724531574E-96</c:v>
                </c:pt>
                <c:pt idx="726">
                  <c:v>2.906519411672979E-96</c:v>
                </c:pt>
                <c:pt idx="727">
                  <c:v>1.200084469691442E-96</c:v>
                </c:pt>
                <c:pt idx="728">
                  <c:v>4.9472430770561469E-97</c:v>
                </c:pt>
                <c:pt idx="729">
                  <c:v>2.036234292308018E-97</c:v>
                </c:pt>
                <c:pt idx="730">
                  <c:v>8.3676889035238092E-98</c:v>
                </c:pt>
                <c:pt idx="731">
                  <c:v>3.4331817908833201E-98</c:v>
                </c:pt>
                <c:pt idx="732">
                  <c:v>1.4063771025929598E-98</c:v>
                </c:pt>
                <c:pt idx="733">
                  <c:v>5.7520241310503943E-99</c:v>
                </c:pt>
                <c:pt idx="734">
                  <c:v>2.348841712296416E-99</c:v>
                </c:pt>
                <c:pt idx="735">
                  <c:v>9.5763752106167584E-100</c:v>
                </c:pt>
                <c:pt idx="736">
                  <c:v>3.8981910478984293E-100</c:v>
                </c:pt>
                <c:pt idx="737">
                  <c:v>1.5843088916415779E-100</c:v>
                </c:pt>
                <c:pt idx="738">
                  <c:v>6.4288246906699325E-101</c:v>
                </c:pt>
                <c:pt idx="739">
                  <c:v>2.6045847838111184E-101</c:v>
                </c:pt>
                <c:pt idx="740">
                  <c:v>1.0535637412060595E-101</c:v>
                </c:pt>
                <c:pt idx="741">
                  <c:v>4.2549919285809169E-102</c:v>
                </c:pt>
                <c:pt idx="742">
                  <c:v>1.7157439646843353E-102</c:v>
                </c:pt>
                <c:pt idx="743">
                  <c:v>6.9075214038117099E-103</c:v>
                </c:pt>
                <c:pt idx="744">
                  <c:v>2.776567421725214E-103</c:v>
                </c:pt>
                <c:pt idx="745">
                  <c:v>1.1143218256181192E-103</c:v>
                </c:pt>
                <c:pt idx="746">
                  <c:v>4.4650845003205888E-104</c:v>
                </c:pt>
                <c:pt idx="747">
                  <c:v>1.7863459178832043E-104</c:v>
                </c:pt>
                <c:pt idx="748">
                  <c:v>7.1354025210341802E-105</c:v>
                </c:pt>
                <c:pt idx="749">
                  <c:v>2.8456968276486907E-105</c:v>
                </c:pt>
                <c:pt idx="750">
                  <c:v>1.1331208178272775E-105</c:v>
                </c:pt>
                <c:pt idx="751">
                  <c:v>4.5048614966641549E-106</c:v>
                </c:pt>
                <c:pt idx="752">
                  <c:v>1.7881522828611957E-106</c:v>
                </c:pt>
                <c:pt idx="753">
                  <c:v>7.0867251823313994E-107</c:v>
                </c:pt>
                <c:pt idx="754">
                  <c:v>2.8041736869667678E-107</c:v>
                </c:pt>
                <c:pt idx="755">
                  <c:v>1.1078543117892058E-107</c:v>
                </c:pt>
                <c:pt idx="756">
                  <c:v>4.3699756224187002E-108</c:v>
                </c:pt>
                <c:pt idx="757">
                  <c:v>1.7210527838551848E-108</c:v>
                </c:pt>
                <c:pt idx="758">
                  <c:v>6.7675016989603093E-109</c:v>
                </c:pt>
                <c:pt idx="759">
                  <c:v>2.6569400616054768E-109</c:v>
                </c:pt>
                <c:pt idx="760">
                  <c:v>1.041488630792419E-109</c:v>
                </c:pt>
                <c:pt idx="761">
                  <c:v>4.0761193661307241E-110</c:v>
                </c:pt>
                <c:pt idx="762">
                  <c:v>1.5927918619447159E-110</c:v>
                </c:pt>
                <c:pt idx="763">
                  <c:v>6.2142844272214389E-111</c:v>
                </c:pt>
                <c:pt idx="764">
                  <c:v>2.4207134284181791E-111</c:v>
                </c:pt>
                <c:pt idx="765">
                  <c:v>9.4149056799467225E-112</c:v>
                </c:pt>
                <c:pt idx="766">
                  <c:v>3.6560244982914163E-112</c:v>
                </c:pt>
                <c:pt idx="767">
                  <c:v>1.4174995745234237E-112</c:v>
                </c:pt>
                <c:pt idx="768">
                  <c:v>5.4872870529203806E-113</c:v>
                </c:pt>
                <c:pt idx="769">
                  <c:v>2.1208673692721731E-113</c:v>
                </c:pt>
                <c:pt idx="770">
                  <c:v>8.1844709872957432E-114</c:v>
                </c:pt>
                <c:pt idx="771">
                  <c:v>3.1534734106924099E-114</c:v>
                </c:pt>
                <c:pt idx="772">
                  <c:v>1.2131356724948499E-114</c:v>
                </c:pt>
                <c:pt idx="773">
                  <c:v>4.6596296056830084E-115</c:v>
                </c:pt>
                <c:pt idx="774">
                  <c:v>1.786962434787104E-115</c:v>
                </c:pt>
                <c:pt idx="775">
                  <c:v>6.842292495383208E-116</c:v>
                </c:pt>
                <c:pt idx="776">
                  <c:v>2.6158342040437023E-116</c:v>
                </c:pt>
                <c:pt idx="777">
                  <c:v>9.9848452590278643E-117</c:v>
                </c:pt>
                <c:pt idx="778">
                  <c:v>3.8053550881091303E-117</c:v>
                </c:pt>
                <c:pt idx="779">
                  <c:v>1.4480112665237825E-117</c:v>
                </c:pt>
                <c:pt idx="780">
                  <c:v>5.5013816533665833E-118</c:v>
                </c:pt>
                <c:pt idx="781">
                  <c:v>2.0868674568770219E-118</c:v>
                </c:pt>
                <c:pt idx="782">
                  <c:v>7.9038991973373771E-119</c:v>
                </c:pt>
                <c:pt idx="783">
                  <c:v>2.9889009912917891E-119</c:v>
                </c:pt>
                <c:pt idx="784">
                  <c:v>1.12851010014E-119</c:v>
                </c:pt>
                <c:pt idx="785">
                  <c:v>4.2542531685873357E-120</c:v>
                </c:pt>
                <c:pt idx="786">
                  <c:v>1.6012728666267841E-120</c:v>
                </c:pt>
                <c:pt idx="787">
                  <c:v>6.0177156744144557E-121</c:v>
                </c:pt>
                <c:pt idx="788">
                  <c:v>2.2579923296746067E-121</c:v>
                </c:pt>
                <c:pt idx="789">
                  <c:v>8.459367849257301E-122</c:v>
                </c:pt>
                <c:pt idx="790">
                  <c:v>3.1643038484438963E-122</c:v>
                </c:pt>
                <c:pt idx="791">
                  <c:v>1.1817985150851145E-122</c:v>
                </c:pt>
                <c:pt idx="792">
                  <c:v>4.4069067572264331E-123</c:v>
                </c:pt>
                <c:pt idx="793">
                  <c:v>1.6407772042535882E-123</c:v>
                </c:pt>
                <c:pt idx="794">
                  <c:v>6.0994526514096157E-124</c:v>
                </c:pt>
                <c:pt idx="795">
                  <c:v>2.263902825864706E-124</c:v>
                </c:pt>
                <c:pt idx="796">
                  <c:v>8.3897792234041413E-125</c:v>
                </c:pt>
                <c:pt idx="797">
                  <c:v>3.1043400207536472E-125</c:v>
                </c:pt>
                <c:pt idx="798">
                  <c:v>1.146870023056984E-125</c:v>
                </c:pt>
                <c:pt idx="799">
                  <c:v>4.2304391273656863E-126</c:v>
                </c:pt>
                <c:pt idx="800">
                  <c:v>1.5580564748980582E-126</c:v>
                </c:pt>
                <c:pt idx="801">
                  <c:v>5.7293796478554044E-127</c:v>
                </c:pt>
                <c:pt idx="802">
                  <c:v>2.1035790176917105E-127</c:v>
                </c:pt>
                <c:pt idx="803">
                  <c:v>7.7114677399367026E-128</c:v>
                </c:pt>
                <c:pt idx="804">
                  <c:v>2.8225549836581989E-128</c:v>
                </c:pt>
                <c:pt idx="805">
                  <c:v>1.0315139031078322E-128</c:v>
                </c:pt>
                <c:pt idx="806">
                  <c:v>3.7638753526243825E-129</c:v>
                </c:pt>
                <c:pt idx="807">
                  <c:v>1.3712701146767299E-129</c:v>
                </c:pt>
                <c:pt idx="808">
                  <c:v>4.9881393953499768E-130</c:v>
                </c:pt>
                <c:pt idx="809">
                  <c:v>1.8116825567028012E-130</c:v>
                </c:pt>
                <c:pt idx="810">
                  <c:v>6.5698239783635388E-131</c:v>
                </c:pt>
                <c:pt idx="811">
                  <c:v>2.3787764630488912E-131</c:v>
                </c:pt>
                <c:pt idx="812">
                  <c:v>8.5996733777112331E-132</c:v>
                </c:pt>
                <c:pt idx="813">
                  <c:v>3.1041225793291605E-132</c:v>
                </c:pt>
                <c:pt idx="814">
                  <c:v>1.1187279988611793E-132</c:v>
                </c:pt>
                <c:pt idx="815">
                  <c:v>4.0256781118931259E-133</c:v>
                </c:pt>
                <c:pt idx="816">
                  <c:v>1.4463807546927818E-133</c:v>
                </c:pt>
                <c:pt idx="817">
                  <c:v>5.1886625488083429E-134</c:v>
                </c:pt>
                <c:pt idx="818">
                  <c:v>1.8584786527273926E-134</c:v>
                </c:pt>
                <c:pt idx="819">
                  <c:v>6.6464422981654278E-135</c:v>
                </c:pt>
                <c:pt idx="820">
                  <c:v>2.3732886644365124E-135</c:v>
                </c:pt>
                <c:pt idx="821">
                  <c:v>8.4613899024079741E-136</c:v>
                </c:pt>
                <c:pt idx="822">
                  <c:v>3.0120544564896298E-136</c:v>
                </c:pt>
                <c:pt idx="823">
                  <c:v>1.0705674895592155E-136</c:v>
                </c:pt>
                <c:pt idx="824">
                  <c:v>3.7992297095921822E-137</c:v>
                </c:pt>
                <c:pt idx="825">
                  <c:v>1.3461934567387116E-137</c:v>
                </c:pt>
                <c:pt idx="826">
                  <c:v>4.7626642687840257E-138</c:v>
                </c:pt>
                <c:pt idx="827">
                  <c:v>1.6823764496948585E-138</c:v>
                </c:pt>
                <c:pt idx="828">
                  <c:v>5.9337228884708146E-139</c:v>
                </c:pt>
                <c:pt idx="829">
                  <c:v>2.0895961349713729E-139</c:v>
                </c:pt>
                <c:pt idx="830">
                  <c:v>7.3473142523547048E-140</c:v>
                </c:pt>
                <c:pt idx="831">
                  <c:v>2.5794444817483822E-140</c:v>
                </c:pt>
                <c:pt idx="832">
                  <c:v>9.0418065449353198E-141</c:v>
                </c:pt>
                <c:pt idx="833">
                  <c:v>3.1645782523449368E-141</c:v>
                </c:pt>
                <c:pt idx="834">
                  <c:v>1.1058805385794955E-141</c:v>
                </c:pt>
                <c:pt idx="835">
                  <c:v>3.8586242034599271E-142</c:v>
                </c:pt>
                <c:pt idx="836">
                  <c:v>1.3442770669730718E-142</c:v>
                </c:pt>
                <c:pt idx="837">
                  <c:v>4.6760298623622018E-143</c:v>
                </c:pt>
                <c:pt idx="838">
                  <c:v>1.6240451026152006E-143</c:v>
                </c:pt>
                <c:pt idx="839">
                  <c:v>5.6318536809145386E-144</c:v>
                </c:pt>
                <c:pt idx="840">
                  <c:v>1.9500118420794466E-144</c:v>
                </c:pt>
                <c:pt idx="841">
                  <c:v>6.7414898519842831E-145</c:v>
                </c:pt>
                <c:pt idx="842">
                  <c:v>2.327059100826262E-145</c:v>
                </c:pt>
                <c:pt idx="843">
                  <c:v>8.0203251275635135E-146</c:v>
                </c:pt>
                <c:pt idx="844">
                  <c:v>2.7600039752800753E-146</c:v>
                </c:pt>
                <c:pt idx="845">
                  <c:v>9.4833276039729715E-147</c:v>
                </c:pt>
                <c:pt idx="846">
                  <c:v>3.2534583503098644E-147</c:v>
                </c:pt>
                <c:pt idx="847">
                  <c:v>1.1144570596854696E-147</c:v>
                </c:pt>
                <c:pt idx="848">
                  <c:v>3.8116687941407324E-148</c:v>
                </c:pt>
                <c:pt idx="849">
                  <c:v>1.3016698333882596E-148</c:v>
                </c:pt>
                <c:pt idx="850">
                  <c:v>4.4383395792002249E-149</c:v>
                </c:pt>
                <c:pt idx="851">
                  <c:v>1.5110344117018903E-149</c:v>
                </c:pt>
                <c:pt idx="852">
                  <c:v>5.1364428388534658E-150</c:v>
                </c:pt>
                <c:pt idx="853">
                  <c:v>1.7433515674734454E-150</c:v>
                </c:pt>
                <c:pt idx="854">
                  <c:v>5.9080211546753219E-151</c:v>
                </c:pt>
                <c:pt idx="855">
                  <c:v>1.9990966422875264E-151</c:v>
                </c:pt>
                <c:pt idx="856">
                  <c:v>6.753989093354853E-152</c:v>
                </c:pt>
                <c:pt idx="857">
                  <c:v>2.2783575033661692E-152</c:v>
                </c:pt>
                <c:pt idx="858">
                  <c:v>7.6739412946212662E-153</c:v>
                </c:pt>
                <c:pt idx="859">
                  <c:v>2.5807758808454177E-153</c:v>
                </c:pt>
                <c:pt idx="860">
                  <c:v>8.6659755658931881E-154</c:v>
                </c:pt>
                <c:pt idx="861">
                  <c:v>2.9054948589935019E-154</c:v>
                </c:pt>
                <c:pt idx="862">
                  <c:v>9.7265399813550602E-155</c:v>
                </c:pt>
                <c:pt idx="863">
                  <c:v>3.2511154076416246E-155</c:v>
                </c:pt>
                <c:pt idx="864">
                  <c:v>1.0850313136378971E-155</c:v>
                </c:pt>
                <c:pt idx="865">
                  <c:v>3.6156648193438503E-156</c:v>
                </c:pt>
                <c:pt idx="866">
                  <c:v>1.2030126410363637E-156</c:v>
                </c:pt>
                <c:pt idx="867">
                  <c:v>3.9965797468814332E-157</c:v>
                </c:pt>
                <c:pt idx="868">
                  <c:v>1.3256936300878864E-157</c:v>
                </c:pt>
                <c:pt idx="869">
                  <c:v>4.3907062055829634E-158</c:v>
                </c:pt>
                <c:pt idx="870">
                  <c:v>1.4519853593898214E-158</c:v>
                </c:pt>
                <c:pt idx="871">
                  <c:v>4.7943184153844061E-159</c:v>
                </c:pt>
                <c:pt idx="872">
                  <c:v>1.580623434481749E-159</c:v>
                </c:pt>
                <c:pt idx="873">
                  <c:v>5.2031577186656559E-160</c:v>
                </c:pt>
                <c:pt idx="874">
                  <c:v>1.7101835410646151E-160</c:v>
                </c:pt>
                <c:pt idx="875">
                  <c:v>5.6124920422749634E-161</c:v>
                </c:pt>
                <c:pt idx="876">
                  <c:v>1.8391034677701388E-161</c:v>
                </c:pt>
                <c:pt idx="877">
                  <c:v>6.0171955067163921E-162</c:v>
                </c:pt>
                <c:pt idx="878">
                  <c:v>1.9657113283376937E-162</c:v>
                </c:pt>
                <c:pt idx="879">
                  <c:v>6.4118468621932199E-163</c:v>
                </c:pt>
                <c:pt idx="880">
                  <c:v>2.0882594174551982E-163</c:v>
                </c:pt>
                <c:pt idx="881">
                  <c:v>6.7908444974207473E-164</c:v>
                </c:pt>
                <c:pt idx="882">
                  <c:v>2.2049628436417328E-164</c:v>
                </c:pt>
                <c:pt idx="883">
                  <c:v>7.1485348745328778E-165</c:v>
                </c:pt>
                <c:pt idx="884">
                  <c:v>2.3140418131553248E-165</c:v>
                </c:pt>
                <c:pt idx="885">
                  <c:v>7.4793504453812788E-166</c:v>
                </c:pt>
                <c:pt idx="886">
                  <c:v>2.4137662076072449E-166</c:v>
                </c:pt>
                <c:pt idx="887">
                  <c:v>7.7779524518725799E-167</c:v>
                </c:pt>
                <c:pt idx="888">
                  <c:v>2.5025009201275581E-167</c:v>
                </c:pt>
                <c:pt idx="889">
                  <c:v>8.039373551207435E-168</c:v>
                </c:pt>
                <c:pt idx="890">
                  <c:v>2.5787503035145881E-168</c:v>
                </c:pt>
                <c:pt idx="891">
                  <c:v>8.2591549716595039E-169</c:v>
                </c:pt>
                <c:pt idx="892">
                  <c:v>2.6412000483931711E-169</c:v>
                </c:pt>
                <c:pt idx="893">
                  <c:v>8.4334729200219037E-170</c:v>
                </c:pt>
                <c:pt idx="894">
                  <c:v>2.6887548553145804E-170</c:v>
                </c:pt>
                <c:pt idx="895">
                  <c:v>8.5592492371951528E-171</c:v>
                </c:pt>
                <c:pt idx="896">
                  <c:v>2.7205703925359029E-171</c:v>
                </c:pt>
                <c:pt idx="897">
                  <c:v>8.6342418278397449E-172</c:v>
                </c:pt>
                <c:pt idx="898">
                  <c:v>2.7360782364839001E-172</c:v>
                </c:pt>
                <c:pt idx="899">
                  <c:v>8.6571111514182676E-173</c:v>
                </c:pt>
                <c:pt idx="900">
                  <c:v>2.7350027653477871E-173</c:v>
                </c:pt>
                <c:pt idx="901">
                  <c:v>8.6274600191160391E-174</c:v>
                </c:pt>
                <c:pt idx="902">
                  <c:v>2.7173693042394573E-174</c:v>
                </c:pt>
                <c:pt idx="903">
                  <c:v>8.5458450447653201E-175</c:v>
                </c:pt>
                <c:pt idx="904">
                  <c:v>2.6835031857291034E-175</c:v>
                </c:pt>
                <c:pt idx="905">
                  <c:v>8.4137592895287927E-176</c:v>
                </c:pt>
                <c:pt idx="906">
                  <c:v>2.6340197727479761E-176</c:v>
                </c:pt>
                <c:pt idx="907">
                  <c:v>8.2335868554233988E-177</c:v>
                </c:pt>
                <c:pt idx="908">
                  <c:v>2.5698058710765741E-177</c:v>
                </c:pt>
                <c:pt idx="909">
                  <c:v>8.0085313559697034E-178</c:v>
                </c:pt>
                <c:pt idx="910">
                  <c:v>2.4919933154172275E-178</c:v>
                </c:pt>
                <c:pt idx="911">
                  <c:v>7.7425212604504931E-179</c:v>
                </c:pt>
                <c:pt idx="912">
                  <c:v>2.4019258274192289E-179</c:v>
                </c:pt>
                <c:pt idx="913">
                  <c:v>7.4400960155001405E-180</c:v>
                </c:pt>
                <c:pt idx="914">
                  <c:v>2.3011204998326714E-180</c:v>
                </c:pt>
                <c:pt idx="915">
                  <c:v>7.1062775485996078E-181</c:v>
                </c:pt>
                <c:pt idx="916">
                  <c:v>2.1912254458844401E-181</c:v>
                </c:pt>
                <c:pt idx="917">
                  <c:v>6.7464322204701251E-182</c:v>
                </c:pt>
                <c:pt idx="918">
                  <c:v>2.0739752591373796E-182</c:v>
                </c:pt>
                <c:pt idx="919">
                  <c:v>6.3661285001509429E-183</c:v>
                </c:pt>
                <c:pt idx="920">
                  <c:v>1.9511459536276061E-183</c:v>
                </c:pt>
                <c:pt idx="921">
                  <c:v>5.9709955864608382E-184</c:v>
                </c:pt>
                <c:pt idx="922">
                  <c:v>1.8245109989380161E-184</c:v>
                </c:pt>
                <c:pt idx="923">
                  <c:v>5.5665879061791912E-185</c:v>
                </c:pt>
                <c:pt idx="924">
                  <c:v>1.6957999366562562E-185</c:v>
                </c:pt>
                <c:pt idx="925">
                  <c:v>5.1582599101393115E-186</c:v>
                </c:pt>
                <c:pt idx="926">
                  <c:v>1.5666608739236415E-186</c:v>
                </c:pt>
                <c:pt idx="927">
                  <c:v>4.7510549020194992E-187</c:v>
                </c:pt>
                <c:pt idx="928">
                  <c:v>1.4386279101009193E-187</c:v>
                </c:pt>
                <c:pt idx="929">
                  <c:v>4.3496108175921086E-188</c:v>
                </c:pt>
                <c:pt idx="930">
                  <c:v>1.3130942796109292E-188</c:v>
                </c:pt>
                <c:pt idx="931">
                  <c:v>3.9580849759087756E-189</c:v>
                </c:pt>
                <c:pt idx="932">
                  <c:v>1.1912917042719355E-189</c:v>
                </c:pt>
                <c:pt idx="933">
                  <c:v>3.5800989006444001E-190</c:v>
                </c:pt>
                <c:pt idx="934">
                  <c:v>1.074276158234788E-190</c:v>
                </c:pt>
                <c:pt idx="935">
                  <c:v>3.2187034096431325E-191</c:v>
                </c:pt>
                <c:pt idx="936">
                  <c:v>9.6291997305864557E-192</c:v>
                </c:pt>
                <c:pt idx="937">
                  <c:v>2.876363338260187E-192</c:v>
                </c:pt>
                <c:pt idx="938">
                  <c:v>8.5790996248003054E-193</c:v>
                </c:pt>
                <c:pt idx="939">
                  <c:v>2.5549605343405513E-193</c:v>
                </c:pt>
                <c:pt idx="940">
                  <c:v>7.5975103632876999E-194</c:v>
                </c:pt>
                <c:pt idx="941">
                  <c:v>2.2558131672588892E-194</c:v>
                </c:pt>
                <c:pt idx="942">
                  <c:v>6.6877460794351779E-195</c:v>
                </c:pt>
                <c:pt idx="943">
                  <c:v>1.9797089477365091E-195</c:v>
                </c:pt>
                <c:pt idx="944">
                  <c:v>5.8515098321424618E-196</c:v>
                </c:pt>
                <c:pt idx="945">
                  <c:v>1.7269495663145634E-196</c:v>
                </c:pt>
                <c:pt idx="946">
                  <c:v>5.0890485272283095E-197</c:v>
                </c:pt>
                <c:pt idx="947">
                  <c:v>1.4974035238765639E-197</c:v>
                </c:pt>
                <c:pt idx="948">
                  <c:v>4.3993298917417278E-198</c:v>
                </c:pt>
                <c:pt idx="949">
                  <c:v>1.2905645365005469E-198</c:v>
                </c:pt>
                <c:pt idx="950">
                  <c:v>3.7802327580499603E-199</c:v>
                </c:pt>
                <c:pt idx="951">
                  <c:v>1.1056128314968552E-199</c:v>
                </c:pt>
                <c:pt idx="952">
                  <c:v>3.2287425127405023E-200</c:v>
                </c:pt>
                <c:pt idx="953">
                  <c:v>9.4147688911830614E-201</c:v>
                </c:pt>
                <c:pt idx="954">
                  <c:v>2.7411444499331941E-201</c:v>
                </c:pt>
                <c:pt idx="955">
                  <c:v>7.9689349967800435E-202</c:v>
                </c:pt>
                <c:pt idx="956">
                  <c:v>2.313208856889438E-202</c:v>
                </c:pt>
                <c:pt idx="957">
                  <c:v>6.704643722928852E-203</c:v>
                </c:pt>
                <c:pt idx="958">
                  <c:v>1.9403628690491531E-203</c:v>
                </c:pt>
                <c:pt idx="959">
                  <c:v>5.6070792360145801E-204</c:v>
                </c:pt>
                <c:pt idx="960">
                  <c:v>1.6178453839897599E-204</c:v>
                </c:pt>
                <c:pt idx="961">
                  <c:v>4.661052692955849E-205</c:v>
                </c:pt>
                <c:pt idx="962">
                  <c:v>1.3408425505615244E-205</c:v>
                </c:pt>
                <c:pt idx="963">
                  <c:v>3.8513981817288936E-206</c:v>
                </c:pt>
                <c:pt idx="964">
                  <c:v>1.1046024936463023E-206</c:v>
                </c:pt>
                <c:pt idx="965">
                  <c:v>3.1633021175923372E-207</c:v>
                </c:pt>
                <c:pt idx="966">
                  <c:v>9.0452895313254809E-208</c:v>
                </c:pt>
                <c:pt idx="967">
                  <c:v>2.5825665081611751E-208</c:v>
                </c:pt>
                <c:pt idx="968">
                  <c:v>7.3625437830450722E-209</c:v>
                </c:pt>
                <c:pt idx="969">
                  <c:v>2.0958089606422808E-209</c:v>
                </c:pt>
                <c:pt idx="970">
                  <c:v>5.9569370975035001E-210</c:v>
                </c:pt>
                <c:pt idx="971">
                  <c:v>1.6906042111013564E-210</c:v>
                </c:pt>
                <c:pt idx="972">
                  <c:v>4.7908059617301685E-211</c:v>
                </c:pt>
                <c:pt idx="973">
                  <c:v>1.3555733129907334E-211</c:v>
                </c:pt>
                <c:pt idx="974">
                  <c:v>3.8298813936892334E-212</c:v>
                </c:pt>
                <c:pt idx="975">
                  <c:v>1.0804274637883127E-212</c:v>
                </c:pt>
                <c:pt idx="976">
                  <c:v>3.0433645143584701E-213</c:v>
                </c:pt>
                <c:pt idx="977">
                  <c:v>8.5597382962990886E-214</c:v>
                </c:pt>
                <c:pt idx="978">
                  <c:v>2.4038936400085874E-214</c:v>
                </c:pt>
                <c:pt idx="979">
                  <c:v>6.7409071787431456E-215</c:v>
                </c:pt>
                <c:pt idx="980">
                  <c:v>1.8874257336961673E-215</c:v>
                </c:pt>
                <c:pt idx="981">
                  <c:v>5.2767912374663919E-216</c:v>
                </c:pt>
                <c:pt idx="982">
                  <c:v>1.4730536284246484E-216</c:v>
                </c:pt>
                <c:pt idx="983">
                  <c:v>4.1059711820658973E-217</c:v>
                </c:pt>
                <c:pt idx="984">
                  <c:v>1.142778385228643E-217</c:v>
                </c:pt>
                <c:pt idx="985">
                  <c:v>3.1758282521101311E-218</c:v>
                </c:pt>
                <c:pt idx="986">
                  <c:v>8.8125370541056997E-219</c:v>
                </c:pt>
                <c:pt idx="987">
                  <c:v>2.4417092569980105E-219</c:v>
                </c:pt>
                <c:pt idx="988">
                  <c:v>6.7551667826050353E-220</c:v>
                </c:pt>
                <c:pt idx="989">
                  <c:v>1.8660678141674632E-220</c:v>
                </c:pt>
                <c:pt idx="990">
                  <c:v>5.1471648181746267E-221</c:v>
                </c:pt>
                <c:pt idx="991">
                  <c:v>1.4176144163925861E-221</c:v>
                </c:pt>
                <c:pt idx="992">
                  <c:v>3.898500970081932E-222</c:v>
                </c:pt>
                <c:pt idx="993">
                  <c:v>1.0705001627377986E-222</c:v>
                </c:pt>
                <c:pt idx="994">
                  <c:v>2.9351174199349444E-223</c:v>
                </c:pt>
                <c:pt idx="995">
                  <c:v>8.0355194950266325E-224</c:v>
                </c:pt>
                <c:pt idx="996">
                  <c:v>2.1966064789655242E-224</c:v>
                </c:pt>
                <c:pt idx="997">
                  <c:v>5.995707924647656E-225</c:v>
                </c:pt>
                <c:pt idx="998">
                  <c:v>1.6341001446279887E-225</c:v>
                </c:pt>
                <c:pt idx="999">
                  <c:v>4.446998108200484E-226</c:v>
                </c:pt>
              </c:numCache>
            </c:numRef>
          </c:yVal>
        </c:ser>
        <c:ser>
          <c:idx val="9"/>
          <c:order val="9"/>
          <c:spPr>
            <a:ln w="28575">
              <a:noFill/>
            </a:ln>
          </c:spPr>
          <c:marker>
            <c:symbol val="none"/>
          </c:marker>
          <c:dLbls>
            <c:dLbl>
              <c:idx val="0"/>
              <c:tx>
                <c:rich>
                  <a:bodyPr/>
                  <a:lstStyle/>
                  <a:p>
                    <a:pPr>
                      <a:defRPr sz="1100" b="0" i="0" u="none" strike="noStrike" baseline="0">
                        <a:solidFill>
                          <a:srgbClr val="993300"/>
                        </a:solidFill>
                        <a:latin typeface="Arial"/>
                        <a:ea typeface="Arial"/>
                        <a:cs typeface="Arial"/>
                      </a:defRPr>
                    </a:pPr>
                    <a:r>
                      <a:rPr lang="en-AU"/>
                      <a:t>Target MoE</a:t>
                    </a:r>
                  </a:p>
                </c:rich>
              </c:tx>
              <c:spPr>
                <a:solidFill>
                  <a:srgbClr val="FFFFFF"/>
                </a:solidFill>
                <a:ln w="25400">
                  <a:noFill/>
                </a:ln>
              </c:spPr>
              <c:dLblPos val="b"/>
            </c:dLbl>
            <c:spPr>
              <a:solidFill>
                <a:srgbClr val="FFFFFF"/>
              </a:solidFill>
              <a:ln w="25400">
                <a:noFill/>
              </a:ln>
            </c:spPr>
            <c:txPr>
              <a:bodyPr/>
              <a:lstStyle/>
              <a:p>
                <a:pPr>
                  <a:defRPr sz="1100" b="0" i="0" u="none" strike="noStrike" baseline="0">
                    <a:solidFill>
                      <a:srgbClr val="000000"/>
                    </a:solidFill>
                    <a:latin typeface="Arial"/>
                    <a:ea typeface="Arial"/>
                    <a:cs typeface="Arial"/>
                  </a:defRPr>
                </a:pPr>
                <a:endParaRPr lang="en-US"/>
              </a:p>
            </c:txPr>
            <c:dLblPos val="b"/>
            <c:showCatName val="1"/>
          </c:dLbls>
          <c:xVal>
            <c:numRef>
              <c:f>'Precision two'!$Q$76</c:f>
              <c:numCache>
                <c:formatCode>General</c:formatCode>
                <c:ptCount val="1"/>
                <c:pt idx="0">
                  <c:v>0.4</c:v>
                </c:pt>
              </c:numCache>
            </c:numRef>
          </c:xVal>
          <c:yVal>
            <c:numRef>
              <c:f>'Precision two'!$R$76</c:f>
              <c:numCache>
                <c:formatCode>General</c:formatCode>
                <c:ptCount val="1"/>
                <c:pt idx="0">
                  <c:v>144.53</c:v>
                </c:pt>
              </c:numCache>
            </c:numRef>
          </c:yVal>
        </c:ser>
        <c:ser>
          <c:idx val="11"/>
          <c:order val="10"/>
          <c:spPr>
            <a:ln w="28575">
              <a:noFill/>
            </a:ln>
          </c:spPr>
          <c:marker>
            <c:symbol val="none"/>
          </c:marker>
          <c:dLbls>
            <c:spPr>
              <a:solidFill>
                <a:srgbClr val="FFFFFF"/>
              </a:solidFill>
              <a:ln w="25400">
                <a:noFill/>
              </a:ln>
            </c:spPr>
            <c:txPr>
              <a:bodyPr/>
              <a:lstStyle/>
              <a:p>
                <a:pPr>
                  <a:defRPr sz="800" b="0" i="0" u="none" strike="noStrike" baseline="0">
                    <a:solidFill>
                      <a:srgbClr val="808080"/>
                    </a:solidFill>
                    <a:latin typeface="Arial"/>
                    <a:ea typeface="Arial"/>
                    <a:cs typeface="Arial"/>
                  </a:defRPr>
                </a:pPr>
                <a:endParaRPr lang="en-US"/>
              </a:p>
            </c:txPr>
            <c:dLblPos val="b"/>
            <c:showVal val="1"/>
          </c:dLbls>
          <c:xVal>
            <c:numRef>
              <c:f>'Precision two'!$O$79:$O$102</c:f>
              <c:numCache>
                <c:formatCode>General</c:formatCode>
                <c:ptCount val="24"/>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numCache>
            </c:numRef>
          </c:xVal>
          <c:yVal>
            <c:numRef>
              <c:f>'Precision two'!$W$79:$W$102</c:f>
              <c:numCache>
                <c:formatCode>General</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er>
        <c:ser>
          <c:idx val="12"/>
          <c:order val="11"/>
          <c:spPr>
            <a:ln w="28575">
              <a:noFill/>
            </a:ln>
          </c:spPr>
          <c:marker>
            <c:symbol val="none"/>
          </c:marker>
          <c:dLbls>
            <c:spPr>
              <a:solidFill>
                <a:srgbClr val="FFFFFF"/>
              </a:solidFill>
              <a:ln w="25400">
                <a:noFill/>
              </a:ln>
            </c:spPr>
            <c:txPr>
              <a:bodyPr/>
              <a:lstStyle/>
              <a:p>
                <a:pPr>
                  <a:defRPr sz="1000" b="1" i="0" u="none" strike="noStrike" baseline="0">
                    <a:solidFill>
                      <a:srgbClr val="000000"/>
                    </a:solidFill>
                    <a:latin typeface="Arial"/>
                    <a:ea typeface="Arial"/>
                    <a:cs typeface="Arial"/>
                  </a:defRPr>
                </a:pPr>
                <a:endParaRPr lang="en-US"/>
              </a:p>
            </c:txPr>
            <c:dLblPos val="b"/>
            <c:showVal val="1"/>
          </c:dLbls>
          <c:xVal>
            <c:numRef>
              <c:f>'Precision two'!$C$92</c:f>
              <c:numCache>
                <c:formatCode>General</c:formatCode>
                <c:ptCount val="1"/>
                <c:pt idx="0">
                  <c:v>0.4</c:v>
                </c:pt>
              </c:numCache>
            </c:numRef>
          </c:xVal>
          <c:yVal>
            <c:numRef>
              <c:f>'Precision two'!$D$92</c:f>
              <c:numCache>
                <c:formatCode>General</c:formatCode>
                <c:ptCount val="1"/>
                <c:pt idx="0">
                  <c:v>50</c:v>
                </c:pt>
              </c:numCache>
            </c:numRef>
          </c:yVal>
        </c:ser>
        <c:ser>
          <c:idx val="7"/>
          <c:order val="12"/>
          <c:spPr>
            <a:ln w="28575">
              <a:noFill/>
            </a:ln>
          </c:spPr>
          <c:marker>
            <c:symbol val="none"/>
          </c:marker>
          <c:dLbls>
            <c:dLbl>
              <c:idx val="0"/>
              <c:spPr>
                <a:solidFill>
                  <a:srgbClr val="FFFFFF"/>
                </a:solidFill>
                <a:ln w="25400">
                  <a:noFill/>
                </a:ln>
              </c:spPr>
              <c:txPr>
                <a:bodyPr/>
                <a:lstStyle/>
                <a:p>
                  <a:pPr>
                    <a:defRPr sz="1000" b="1" i="0" u="none" strike="noStrike" baseline="0">
                      <a:solidFill>
                        <a:srgbClr val="FF0000"/>
                      </a:solidFill>
                      <a:latin typeface="Arial"/>
                      <a:ea typeface="Arial"/>
                      <a:cs typeface="Arial"/>
                    </a:defRPr>
                  </a:pPr>
                  <a:endParaRPr lang="en-US"/>
                </a:p>
              </c:txPr>
            </c:dLbl>
            <c:dLbl>
              <c:idx val="1"/>
              <c:spPr>
                <a:solidFill>
                  <a:srgbClr val="FFFFFF"/>
                </a:solidFill>
                <a:ln w="25400">
                  <a:noFill/>
                </a:ln>
              </c:spPr>
              <c:txPr>
                <a:bodyPr/>
                <a:lstStyle/>
                <a:p>
                  <a:pPr>
                    <a:defRPr sz="1000" b="1" i="0" u="none" strike="noStrike" baseline="0">
                      <a:solidFill>
                        <a:srgbClr val="808080"/>
                      </a:solidFill>
                      <a:latin typeface="Arial"/>
                      <a:ea typeface="Arial"/>
                      <a:cs typeface="Arial"/>
                    </a:defRPr>
                  </a:pPr>
                  <a:endParaRPr lang="en-US"/>
                </a:p>
              </c:txPr>
              <c:dLblPos val="b"/>
              <c:showVal val="1"/>
            </c:dLbl>
            <c:dLbl>
              <c:idx val="2"/>
              <c:spPr>
                <a:solidFill>
                  <a:srgbClr val="FFFFFF"/>
                </a:solidFill>
                <a:ln w="25400">
                  <a:noFill/>
                </a:ln>
              </c:spPr>
              <c:txPr>
                <a:bodyPr/>
                <a:lstStyle/>
                <a:p>
                  <a:pPr>
                    <a:defRPr sz="1025" b="0" i="0" u="none" strike="noStrike" baseline="0">
                      <a:solidFill>
                        <a:srgbClr val="000000"/>
                      </a:solidFill>
                      <a:latin typeface="Arial"/>
                      <a:ea typeface="Arial"/>
                      <a:cs typeface="Arial"/>
                    </a:defRPr>
                  </a:pPr>
                  <a:endParaRPr lang="en-US"/>
                </a:p>
              </c:txPr>
            </c:dLbl>
            <c:spPr>
              <a:solidFill>
                <a:srgbClr val="FFFFFF"/>
              </a:solidFill>
              <a:ln w="25400">
                <a:noFill/>
              </a:ln>
            </c:spPr>
            <c:txPr>
              <a:bodyPr/>
              <a:lstStyle/>
              <a:p>
                <a:pPr>
                  <a:defRPr sz="1000" b="1" i="0" u="none" strike="noStrike" baseline="0">
                    <a:solidFill>
                      <a:srgbClr val="000000"/>
                    </a:solidFill>
                    <a:latin typeface="Arial"/>
                    <a:ea typeface="Arial"/>
                    <a:cs typeface="Arial"/>
                  </a:defRPr>
                </a:pPr>
                <a:endParaRPr lang="en-US"/>
              </a:p>
            </c:txPr>
            <c:dLblPos val="t"/>
            <c:showVal val="1"/>
          </c:dLbls>
          <c:xVal>
            <c:numRef>
              <c:f>'Precision two'!$C$90:$C$91</c:f>
              <c:numCache>
                <c:formatCode>General</c:formatCode>
                <c:ptCount val="2"/>
                <c:pt idx="0">
                  <c:v>0.4</c:v>
                </c:pt>
                <c:pt idx="1">
                  <c:v>0.4</c:v>
                </c:pt>
              </c:numCache>
            </c:numRef>
          </c:xVal>
          <c:yVal>
            <c:numRef>
              <c:f>'Precision two'!$D$90:$D$91</c:f>
              <c:numCache>
                <c:formatCode>General</c:formatCode>
                <c:ptCount val="2"/>
                <c:pt idx="0">
                  <c:v>#N/A</c:v>
                </c:pt>
                <c:pt idx="1">
                  <c:v>#N/A</c:v>
                </c:pt>
              </c:numCache>
            </c:numRef>
          </c:yVal>
        </c:ser>
        <c:ser>
          <c:idx val="13"/>
          <c:order val="13"/>
          <c:spPr>
            <a:ln w="28575">
              <a:noFill/>
            </a:ln>
          </c:spPr>
          <c:marker>
            <c:symbol val="none"/>
          </c:marker>
          <c:dLbls>
            <c:dLbl>
              <c:idx val="0"/>
              <c:tx>
                <c:strRef>
                  <c:f>'Precision two'!$D$92</c:f>
                  <c:strCache>
                    <c:ptCount val="1"/>
                    <c:pt idx="0">
                      <c:v>50</c:v>
                    </c:pt>
                  </c:strCache>
                </c:strRef>
              </c:tx>
              <c:dLblPos val="ctr"/>
            </c:dLbl>
            <c:spPr>
              <a:solidFill>
                <a:srgbClr val="FFFFFF"/>
              </a:solidFill>
              <a:ln w="25400">
                <a:noFill/>
              </a:ln>
            </c:spPr>
            <c:txPr>
              <a:bodyPr/>
              <a:lstStyle/>
              <a:p>
                <a:pPr>
                  <a:defRPr sz="1000" b="0" i="0" u="none" strike="noStrike" baseline="0">
                    <a:solidFill>
                      <a:srgbClr val="000000"/>
                    </a:solidFill>
                    <a:latin typeface="Arial"/>
                    <a:ea typeface="Arial"/>
                    <a:cs typeface="Arial"/>
                  </a:defRPr>
                </a:pPr>
                <a:endParaRPr lang="en-US"/>
              </a:p>
            </c:txPr>
            <c:dLblPos val="ctr"/>
            <c:showCatName val="1"/>
          </c:dLbls>
          <c:xVal>
            <c:numRef>
              <c:f>'Precision two'!$B$94</c:f>
              <c:numCache>
                <c:formatCode>General</c:formatCode>
                <c:ptCount val="1"/>
                <c:pt idx="0">
                  <c:v>0.35250000000000026</c:v>
                </c:pt>
              </c:numCache>
            </c:numRef>
          </c:xVal>
          <c:yVal>
            <c:numRef>
              <c:f>'Precision two'!$C$94</c:f>
              <c:numCache>
                <c:formatCode>General</c:formatCode>
                <c:ptCount val="1"/>
                <c:pt idx="0">
                  <c:v>5.3021984806203459</c:v>
                </c:pt>
              </c:numCache>
            </c:numRef>
          </c:yVal>
        </c:ser>
        <c:ser>
          <c:idx val="14"/>
          <c:order val="14"/>
          <c:spPr>
            <a:ln w="28575">
              <a:noFill/>
            </a:ln>
          </c:spPr>
          <c:marker>
            <c:symbol val="none"/>
          </c:marker>
          <c:dLbls>
            <c:dLbl>
              <c:idx val="0"/>
              <c:tx>
                <c:strRef>
                  <c:f>'Precision two'!$D$90</c:f>
                  <c:strCache>
                    <c:ptCount val="1"/>
                    <c:pt idx="0">
                      <c:v>#N/A</c:v>
                    </c:pt>
                  </c:strCache>
                </c:strRef>
              </c:tx>
              <c:dLblPos val="ctr"/>
            </c:dLbl>
            <c:spPr>
              <a:solidFill>
                <a:srgbClr val="FFFFFF"/>
              </a:solidFill>
              <a:ln w="25400">
                <a:noFill/>
              </a:ln>
            </c:spPr>
            <c:txPr>
              <a:bodyPr/>
              <a:lstStyle/>
              <a:p>
                <a:pPr>
                  <a:defRPr sz="1000" b="0" i="0" u="none" strike="noStrike" baseline="0">
                    <a:solidFill>
                      <a:srgbClr val="FF0000"/>
                    </a:solidFill>
                    <a:latin typeface="Arial"/>
                    <a:ea typeface="Arial"/>
                    <a:cs typeface="Arial"/>
                  </a:defRPr>
                </a:pPr>
                <a:endParaRPr lang="en-US"/>
              </a:p>
            </c:txPr>
            <c:dLblPos val="ctr"/>
            <c:showVal val="1"/>
          </c:dLbls>
          <c:xVal>
            <c:numRef>
              <c:f>'Precision two'!$D$94</c:f>
              <c:numCache>
                <c:formatCode>General</c:formatCode>
                <c:ptCount val="1"/>
                <c:pt idx="0">
                  <c:v>#N/A</c:v>
                </c:pt>
              </c:numCache>
            </c:numRef>
          </c:xVal>
          <c:yVal>
            <c:numRef>
              <c:f>'Precision two'!$E$94</c:f>
              <c:numCache>
                <c:formatCode>General</c:formatCode>
                <c:ptCount val="1"/>
                <c:pt idx="0">
                  <c:v>5.3021984806203459</c:v>
                </c:pt>
              </c:numCache>
            </c:numRef>
          </c:yVal>
        </c:ser>
        <c:ser>
          <c:idx val="15"/>
          <c:order val="15"/>
          <c:spPr>
            <a:ln w="28575">
              <a:noFill/>
            </a:ln>
          </c:spPr>
          <c:marker>
            <c:symbol val="none"/>
          </c:marker>
          <c:errBars>
            <c:errDir val="y"/>
            <c:errBarType val="plus"/>
            <c:errValType val="cust"/>
            <c:noEndCap val="1"/>
            <c:plus>
              <c:numRef>
                <c:f>'Precision two'!$N$112</c:f>
                <c:numCache>
                  <c:formatCode>General</c:formatCode>
                  <c:ptCount val="1"/>
                  <c:pt idx="0">
                    <c:v>19.087914530233245</c:v>
                  </c:pt>
                </c:numCache>
              </c:numRef>
            </c:plus>
            <c:spPr>
              <a:ln w="12700">
                <a:solidFill>
                  <a:srgbClr val="000000"/>
                </a:solidFill>
                <a:prstDash val="solid"/>
              </a:ln>
            </c:spPr>
          </c:errBars>
          <c:xVal>
            <c:numRef>
              <c:f>'Precision two'!$L$112</c:f>
              <c:numCache>
                <c:formatCode>General</c:formatCode>
                <c:ptCount val="1"/>
                <c:pt idx="0">
                  <c:v>0.3046500000000002</c:v>
                </c:pt>
              </c:numCache>
            </c:numRef>
          </c:xVal>
          <c:yVal>
            <c:numRef>
              <c:f>'Precision two'!$M$112</c:f>
              <c:numCache>
                <c:formatCode>General</c:formatCode>
                <c:ptCount val="1"/>
                <c:pt idx="0">
                  <c:v>0</c:v>
                </c:pt>
              </c:numCache>
            </c:numRef>
          </c:yVal>
        </c:ser>
        <c:axId val="179716480"/>
        <c:axId val="179720960"/>
      </c:scatterChart>
      <c:valAx>
        <c:axId val="179716480"/>
        <c:scaling>
          <c:orientation val="minMax"/>
          <c:max val="1.5"/>
          <c:min val="0"/>
        </c:scaling>
        <c:axPos val="b"/>
        <c:majorGridlines>
          <c:spPr>
            <a:ln w="3175">
              <a:pattFill prst="pct50">
                <a:fgClr>
                  <a:srgbClr val="C0C0C0"/>
                </a:fgClr>
                <a:bgClr>
                  <a:srgbClr val="FFFFFF"/>
                </a:bgClr>
              </a:pattFill>
              <a:prstDash val="solid"/>
            </a:ln>
          </c:spPr>
        </c:majorGridlines>
        <c:title>
          <c:tx>
            <c:rich>
              <a:bodyPr/>
              <a:lstStyle/>
              <a:p>
                <a:pPr>
                  <a:defRPr sz="1200" b="0" i="0" u="none" strike="noStrike" baseline="0">
                    <a:solidFill>
                      <a:srgbClr val="000000"/>
                    </a:solidFill>
                    <a:latin typeface="Arial"/>
                    <a:ea typeface="Arial"/>
                    <a:cs typeface="Arial"/>
                  </a:defRPr>
                </a:pPr>
                <a:r>
                  <a:rPr lang="en-AU"/>
                  <a:t>MoE of 95% CI, in population standard deviation units</a:t>
                </a:r>
              </a:p>
            </c:rich>
          </c:tx>
          <c:layout>
            <c:manualLayout>
              <c:xMode val="edge"/>
              <c:yMode val="edge"/>
              <c:x val="0.29399382882157454"/>
              <c:y val="0.94958061119732406"/>
            </c:manualLayout>
          </c:layout>
          <c:spPr>
            <a:noFill/>
            <a:ln w="25400">
              <a:noFill/>
            </a:ln>
          </c:spPr>
        </c:title>
        <c:numFmt formatCode="General" sourceLinked="1"/>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79720960"/>
        <c:crosses val="autoZero"/>
        <c:crossBetween val="midCat"/>
        <c:majorUnit val="0.1"/>
        <c:minorUnit val="0.05"/>
      </c:valAx>
      <c:valAx>
        <c:axId val="179720960"/>
        <c:scaling>
          <c:orientation val="minMax"/>
          <c:min val="0"/>
        </c:scaling>
        <c:axPos val="l"/>
        <c:majorGridlines>
          <c:spPr>
            <a:ln w="3175">
              <a:pattFill prst="pct50">
                <a:fgClr>
                  <a:srgbClr val="C0C0C0"/>
                </a:fgClr>
                <a:bgClr>
                  <a:srgbClr val="FFFFFF"/>
                </a:bgClr>
              </a:pattFill>
              <a:prstDash val="solid"/>
            </a:ln>
          </c:spPr>
        </c:majorGridlines>
        <c:title>
          <c:tx>
            <c:rich>
              <a:bodyPr/>
              <a:lstStyle/>
              <a:p>
                <a:pPr>
                  <a:defRPr sz="1200" b="0" i="1" u="none" strike="noStrike" baseline="0">
                    <a:solidFill>
                      <a:srgbClr val="000000"/>
                    </a:solidFill>
                    <a:latin typeface="Arial"/>
                    <a:ea typeface="Arial"/>
                    <a:cs typeface="Arial"/>
                  </a:defRPr>
                </a:pPr>
                <a:r>
                  <a:rPr lang="en-AU" sz="1200" b="0" i="1" u="none" strike="noStrike" baseline="0">
                    <a:solidFill>
                      <a:srgbClr val="000000"/>
                    </a:solidFill>
                    <a:latin typeface="Arial"/>
                    <a:cs typeface="Arial"/>
                  </a:rPr>
                  <a:t>N </a:t>
                </a:r>
                <a:r>
                  <a:rPr lang="en-AU" sz="1200" b="0" i="0" u="none" strike="noStrike" baseline="0">
                    <a:solidFill>
                      <a:srgbClr val="000000"/>
                    </a:solidFill>
                    <a:latin typeface="Arial"/>
                    <a:cs typeface="Arial"/>
                  </a:rPr>
                  <a:t>for each group</a:t>
                </a:r>
              </a:p>
            </c:rich>
          </c:tx>
          <c:layout>
            <c:manualLayout>
              <c:xMode val="edge"/>
              <c:yMode val="edge"/>
              <c:x val="5.2687066097056407E-3"/>
              <c:y val="0.35798348705315092"/>
            </c:manualLayout>
          </c:layout>
          <c:spPr>
            <a:noFill/>
            <a:ln w="25400">
              <a:noFill/>
            </a:ln>
          </c:spPr>
        </c:title>
        <c:numFmt formatCode="General" sourceLinked="1"/>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79716480"/>
        <c:crosses val="autoZero"/>
        <c:crossBetween val="midCat"/>
      </c:valAx>
      <c:spPr>
        <a:noFill/>
        <a:ln w="25400">
          <a:noFill/>
        </a:ln>
      </c:spPr>
    </c:plotArea>
    <c:legend>
      <c:legendPos val="r"/>
      <c:legendEntry>
        <c:idx val="2"/>
        <c:delete val="1"/>
      </c:legendEntry>
      <c:legendEntry>
        <c:idx val="3"/>
        <c:delete val="1"/>
      </c:legendEntry>
      <c:legendEntry>
        <c:idx val="4"/>
        <c:delete val="1"/>
      </c:legendEntry>
      <c:legendEntry>
        <c:idx val="5"/>
        <c:delete val="1"/>
      </c:legendEntry>
      <c:legendEntry>
        <c:idx val="7"/>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ayout>
        <c:manualLayout>
          <c:xMode val="edge"/>
          <c:yMode val="edge"/>
          <c:x val="0.66701825678873417"/>
          <c:y val="0.1680673648136857"/>
          <c:w val="5.0579583453174086E-2"/>
          <c:h val="0.19495814318387544"/>
        </c:manualLayout>
      </c:layout>
      <c:spPr>
        <a:solidFill>
          <a:srgbClr val="FFFFFF"/>
        </a:solidFill>
        <a:ln w="25400">
          <a:noFill/>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orientation="landscape" verticalDpi="-3"/>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lang val="en-AU"/>
  <c:chart>
    <c:title>
      <c:tx>
        <c:rich>
          <a:bodyPr/>
          <a:lstStyle/>
          <a:p>
            <a:pPr>
              <a:defRPr sz="1200" b="0" i="0" u="none" strike="noStrike" baseline="0">
                <a:solidFill>
                  <a:srgbClr val="000000"/>
                </a:solidFill>
                <a:latin typeface="Arial"/>
                <a:ea typeface="Arial"/>
                <a:cs typeface="Arial"/>
              </a:defRPr>
            </a:pPr>
            <a:r>
              <a:rPr lang="en-AU" sz="1200" b="0" i="0" u="none" strike="noStrike" baseline="0">
                <a:solidFill>
                  <a:srgbClr val="000000"/>
                </a:solidFill>
                <a:latin typeface="Arial"/>
                <a:cs typeface="Arial"/>
              </a:rPr>
              <a:t>Paired data: </a:t>
            </a:r>
            <a:r>
              <a:rPr lang="en-AU" sz="1200" b="0" i="1" u="none" strike="noStrike" baseline="0">
                <a:solidFill>
                  <a:srgbClr val="000000"/>
                </a:solidFill>
                <a:latin typeface="Arial"/>
                <a:cs typeface="Arial"/>
              </a:rPr>
              <a:t>N</a:t>
            </a:r>
            <a:r>
              <a:rPr lang="en-AU" sz="1200" b="0" i="0" u="none" strike="noStrike" baseline="0">
                <a:solidFill>
                  <a:srgbClr val="000000"/>
                </a:solidFill>
                <a:latin typeface="Arial"/>
                <a:cs typeface="Arial"/>
              </a:rPr>
              <a:t> is the number of pairs, for desired precision </a:t>
            </a:r>
          </a:p>
        </c:rich>
      </c:tx>
      <c:layout>
        <c:manualLayout>
          <c:xMode val="edge"/>
          <c:yMode val="edge"/>
          <c:x val="0.27713396767051651"/>
          <c:y val="8.4033682406842846E-3"/>
        </c:manualLayout>
      </c:layout>
      <c:spPr>
        <a:solidFill>
          <a:srgbClr val="FFFFFF"/>
        </a:solidFill>
        <a:ln w="25400">
          <a:noFill/>
        </a:ln>
      </c:spPr>
    </c:title>
    <c:plotArea>
      <c:layout>
        <c:manualLayout>
          <c:layoutTarget val="inner"/>
          <c:xMode val="edge"/>
          <c:yMode val="edge"/>
          <c:x val="6.3224479316467644E-2"/>
          <c:y val="3.0252125666463455E-2"/>
          <c:w val="0.91780869141072252"/>
          <c:h val="0.86386625514234439"/>
        </c:manualLayout>
      </c:layout>
      <c:scatterChart>
        <c:scatterStyle val="lineMarker"/>
        <c:ser>
          <c:idx val="2"/>
          <c:order val="0"/>
          <c:tx>
            <c:v/>
          </c:tx>
          <c:spPr>
            <a:ln w="25400">
              <a:solidFill>
                <a:srgbClr val="FF0000"/>
              </a:solidFill>
              <a:prstDash val="solid"/>
            </a:ln>
          </c:spPr>
          <c:marker>
            <c:symbol val="circle"/>
            <c:size val="5"/>
            <c:spPr>
              <a:solidFill>
                <a:srgbClr val="FF0000"/>
              </a:solidFill>
              <a:ln>
                <a:solidFill>
                  <a:srgbClr val="FF0000"/>
                </a:solidFill>
                <a:prstDash val="solid"/>
              </a:ln>
            </c:spPr>
          </c:marker>
          <c:xVal>
            <c:numRef>
              <c:f>'Precision paired'!$P$67:$P$95</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paired'!$S$67:$S$95</c:f>
              <c:numCache>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numCache>
            </c:numRef>
          </c:yVal>
        </c:ser>
        <c:ser>
          <c:idx val="1"/>
          <c:order val="1"/>
          <c:tx>
            <c:v/>
          </c:tx>
          <c:spPr>
            <a:ln w="25400">
              <a:solidFill>
                <a:srgbClr val="000000"/>
              </a:solidFill>
              <a:prstDash val="solid"/>
            </a:ln>
          </c:spPr>
          <c:marker>
            <c:symbol val="circle"/>
            <c:size val="5"/>
            <c:spPr>
              <a:solidFill>
                <a:srgbClr val="000000"/>
              </a:solidFill>
              <a:ln>
                <a:solidFill>
                  <a:srgbClr val="000000"/>
                </a:solidFill>
                <a:prstDash val="solid"/>
              </a:ln>
            </c:spPr>
          </c:marker>
          <c:xVal>
            <c:numRef>
              <c:f>'Precision paired'!$P$67:$P$95</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paired'!$R$67:$R$95</c:f>
              <c:numCache>
                <c:formatCode>General</c:formatCode>
                <c:ptCount val="29"/>
                <c:pt idx="0">
                  <c:v>#N/A</c:v>
                </c:pt>
                <c:pt idx="1">
                  <c:v>#N/A</c:v>
                </c:pt>
                <c:pt idx="2">
                  <c:v>#N/A</c:v>
                </c:pt>
                <c:pt idx="3">
                  <c:v>40</c:v>
                </c:pt>
                <c:pt idx="4">
                  <c:v>29</c:v>
                </c:pt>
                <c:pt idx="5">
                  <c:v>22</c:v>
                </c:pt>
                <c:pt idx="6">
                  <c:v>17</c:v>
                </c:pt>
                <c:pt idx="7">
                  <c:v>14</c:v>
                </c:pt>
                <c:pt idx="8">
                  <c:v>12</c:v>
                </c:pt>
                <c:pt idx="9">
                  <c:v>11</c:v>
                </c:pt>
                <c:pt idx="10">
                  <c:v>9</c:v>
                </c:pt>
                <c:pt idx="11">
                  <c:v>8</c:v>
                </c:pt>
                <c:pt idx="12">
                  <c:v>8</c:v>
                </c:pt>
                <c:pt idx="13">
                  <c:v>7</c:v>
                </c:pt>
                <c:pt idx="14">
                  <c:v>7</c:v>
                </c:pt>
                <c:pt idx="15">
                  <c:v>6</c:v>
                </c:pt>
                <c:pt idx="16">
                  <c:v>6</c:v>
                </c:pt>
                <c:pt idx="17">
                  <c:v>6</c:v>
                </c:pt>
                <c:pt idx="18">
                  <c:v>5</c:v>
                </c:pt>
                <c:pt idx="19">
                  <c:v>5</c:v>
                </c:pt>
                <c:pt idx="20">
                  <c:v>5</c:v>
                </c:pt>
                <c:pt idx="21">
                  <c:v>4</c:v>
                </c:pt>
                <c:pt idx="22">
                  <c:v>4</c:v>
                </c:pt>
                <c:pt idx="23">
                  <c:v>4</c:v>
                </c:pt>
                <c:pt idx="24">
                  <c:v>4</c:v>
                </c:pt>
                <c:pt idx="25">
                  <c:v>4</c:v>
                </c:pt>
                <c:pt idx="26">
                  <c:v>4</c:v>
                </c:pt>
                <c:pt idx="27">
                  <c:v>4</c:v>
                </c:pt>
                <c:pt idx="28">
                  <c:v>3</c:v>
                </c:pt>
              </c:numCache>
            </c:numRef>
          </c:yVal>
        </c:ser>
        <c:ser>
          <c:idx val="4"/>
          <c:order val="2"/>
          <c:spPr>
            <a:ln w="28575">
              <a:noFill/>
            </a:ln>
          </c:spPr>
          <c:marker>
            <c:symbol val="none"/>
          </c:marker>
          <c:dLbls>
            <c:spPr>
              <a:solidFill>
                <a:srgbClr val="FFFFFF"/>
              </a:solidFill>
              <a:ln w="25400">
                <a:noFill/>
              </a:ln>
            </c:spPr>
            <c:txPr>
              <a:bodyPr/>
              <a:lstStyle/>
              <a:p>
                <a:pPr>
                  <a:defRPr sz="800" b="0" i="0" u="none" strike="noStrike" baseline="0">
                    <a:solidFill>
                      <a:srgbClr val="000000"/>
                    </a:solidFill>
                    <a:latin typeface="Arial"/>
                    <a:ea typeface="Arial"/>
                    <a:cs typeface="Arial"/>
                  </a:defRPr>
                </a:pPr>
                <a:endParaRPr lang="en-US"/>
              </a:p>
            </c:txPr>
            <c:dLblPos val="b"/>
            <c:showVal val="1"/>
          </c:dLbls>
          <c:xVal>
            <c:numRef>
              <c:f>'Precision paired'!$P$67:$P$95</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paired'!$U$67:$U$95</c:f>
              <c:numCache>
                <c:formatCode>General</c:formatCode>
                <c:ptCount val="29"/>
                <c:pt idx="0">
                  <c:v>#N/A</c:v>
                </c:pt>
                <c:pt idx="1">
                  <c:v>#N/A</c:v>
                </c:pt>
                <c:pt idx="2">
                  <c:v>#N/A</c:v>
                </c:pt>
                <c:pt idx="3">
                  <c:v>40</c:v>
                </c:pt>
                <c:pt idx="4">
                  <c:v>29</c:v>
                </c:pt>
                <c:pt idx="5">
                  <c:v>22</c:v>
                </c:pt>
                <c:pt idx="6">
                  <c:v>17</c:v>
                </c:pt>
                <c:pt idx="7">
                  <c:v>14</c:v>
                </c:pt>
                <c:pt idx="8">
                  <c:v>12</c:v>
                </c:pt>
                <c:pt idx="9">
                  <c:v>11</c:v>
                </c:pt>
                <c:pt idx="10">
                  <c:v>9</c:v>
                </c:pt>
                <c:pt idx="11">
                  <c:v>8</c:v>
                </c:pt>
                <c:pt idx="12">
                  <c:v>8</c:v>
                </c:pt>
                <c:pt idx="13">
                  <c:v>7</c:v>
                </c:pt>
                <c:pt idx="14">
                  <c:v>7</c:v>
                </c:pt>
                <c:pt idx="15">
                  <c:v>6</c:v>
                </c:pt>
                <c:pt idx="16">
                  <c:v>6</c:v>
                </c:pt>
                <c:pt idx="17">
                  <c:v>6</c:v>
                </c:pt>
                <c:pt idx="18">
                  <c:v>5</c:v>
                </c:pt>
                <c:pt idx="19">
                  <c:v>5</c:v>
                </c:pt>
                <c:pt idx="20">
                  <c:v>5</c:v>
                </c:pt>
                <c:pt idx="21">
                  <c:v>4</c:v>
                </c:pt>
                <c:pt idx="22">
                  <c:v>4</c:v>
                </c:pt>
                <c:pt idx="23">
                  <c:v>4</c:v>
                </c:pt>
                <c:pt idx="24">
                  <c:v>4</c:v>
                </c:pt>
                <c:pt idx="25">
                  <c:v>4</c:v>
                </c:pt>
                <c:pt idx="26">
                  <c:v>4</c:v>
                </c:pt>
                <c:pt idx="27">
                  <c:v>4</c:v>
                </c:pt>
                <c:pt idx="28">
                  <c:v>3</c:v>
                </c:pt>
              </c:numCache>
            </c:numRef>
          </c:yVal>
        </c:ser>
        <c:ser>
          <c:idx val="5"/>
          <c:order val="3"/>
          <c:spPr>
            <a:ln w="28575">
              <a:noFill/>
            </a:ln>
          </c:spPr>
          <c:marker>
            <c:symbol val="none"/>
          </c:marker>
          <c:dLbls>
            <c:spPr>
              <a:solidFill>
                <a:srgbClr val="FFFFFF"/>
              </a:solidFill>
              <a:ln w="25400">
                <a:noFill/>
              </a:ln>
            </c:spPr>
            <c:txPr>
              <a:bodyPr/>
              <a:lstStyle/>
              <a:p>
                <a:pPr>
                  <a:defRPr sz="800" b="0" i="0" u="none" strike="noStrike" baseline="0">
                    <a:solidFill>
                      <a:srgbClr val="FF0000"/>
                    </a:solidFill>
                    <a:latin typeface="Arial"/>
                    <a:ea typeface="Arial"/>
                    <a:cs typeface="Arial"/>
                  </a:defRPr>
                </a:pPr>
                <a:endParaRPr lang="en-US"/>
              </a:p>
            </c:txPr>
            <c:dLblPos val="t"/>
            <c:showVal val="1"/>
          </c:dLbls>
          <c:xVal>
            <c:numRef>
              <c:f>'Precision paired'!$P$67:$P$95</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paired'!$V$67:$V$95</c:f>
              <c:numCache>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numCache>
            </c:numRef>
          </c:yVal>
        </c:ser>
        <c:ser>
          <c:idx val="8"/>
          <c:order val="4"/>
          <c:spPr>
            <a:ln w="28575">
              <a:noFill/>
            </a:ln>
          </c:spPr>
          <c:marker>
            <c:symbol val="none"/>
          </c:marker>
          <c:dLbls>
            <c:dLbl>
              <c:idx val="0"/>
              <c:delete val="1"/>
            </c:dLbl>
            <c:spPr>
              <a:solidFill>
                <a:srgbClr val="FFFFFF"/>
              </a:solidFill>
              <a:ln w="25400">
                <a:noFill/>
              </a:ln>
            </c:spPr>
            <c:txPr>
              <a:bodyPr/>
              <a:lstStyle/>
              <a:p>
                <a:pPr>
                  <a:defRPr sz="925" b="1" i="0" u="none" strike="noStrike" baseline="0">
                    <a:solidFill>
                      <a:srgbClr val="000000"/>
                    </a:solidFill>
                    <a:latin typeface="Arial"/>
                    <a:ea typeface="Arial"/>
                    <a:cs typeface="Arial"/>
                  </a:defRPr>
                </a:pPr>
                <a:endParaRPr lang="en-US"/>
              </a:p>
            </c:txPr>
            <c:dLblPos val="b"/>
            <c:showVal val="1"/>
          </c:dLbls>
          <c:xVal>
            <c:numRef>
              <c:f>'Precision paired'!$C$81</c:f>
              <c:numCache>
                <c:formatCode>General</c:formatCode>
                <c:ptCount val="1"/>
                <c:pt idx="0">
                  <c:v>0.45</c:v>
                </c:pt>
              </c:numCache>
            </c:numRef>
          </c:xVal>
          <c:yVal>
            <c:numRef>
              <c:f>'Precision paired'!$D$81</c:f>
              <c:numCache>
                <c:formatCode>General</c:formatCode>
                <c:ptCount val="1"/>
                <c:pt idx="0">
                  <c:v>14</c:v>
                </c:pt>
              </c:numCache>
            </c:numRef>
          </c:yVal>
        </c:ser>
        <c:ser>
          <c:idx val="0"/>
          <c:order val="5"/>
          <c:spPr>
            <a:ln w="28575">
              <a:noFill/>
            </a:ln>
          </c:spPr>
          <c:marker>
            <c:symbol val="none"/>
          </c:marker>
          <c:xVal>
            <c:numRef>
              <c:f>'Precision paired'!$M$67:$M$95</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paired'!$N$67:$N$95</c:f>
              <c:numCache>
                <c:formatCode>General</c:formatCode>
                <c:ptCount val="29"/>
                <c:pt idx="0">
                  <c:v>#N/A</c:v>
                </c:pt>
                <c:pt idx="1">
                  <c:v>#N/A</c:v>
                </c:pt>
                <c:pt idx="2">
                  <c:v>#N/A</c:v>
                </c:pt>
                <c:pt idx="3">
                  <c:v>58</c:v>
                </c:pt>
                <c:pt idx="4">
                  <c:v>43</c:v>
                </c:pt>
                <c:pt idx="5">
                  <c:v>34</c:v>
                </c:pt>
                <c:pt idx="6">
                  <c:v>28</c:v>
                </c:pt>
                <c:pt idx="7">
                  <c:v>24</c:v>
                </c:pt>
                <c:pt idx="8">
                  <c:v>21</c:v>
                </c:pt>
                <c:pt idx="9">
                  <c:v>18</c:v>
                </c:pt>
                <c:pt idx="10">
                  <c:v>16</c:v>
                </c:pt>
                <c:pt idx="11">
                  <c:v>15</c:v>
                </c:pt>
                <c:pt idx="12">
                  <c:v>13</c:v>
                </c:pt>
                <c:pt idx="13">
                  <c:v>12</c:v>
                </c:pt>
                <c:pt idx="14">
                  <c:v>11</c:v>
                </c:pt>
                <c:pt idx="15">
                  <c:v>11</c:v>
                </c:pt>
                <c:pt idx="16">
                  <c:v>10</c:v>
                </c:pt>
                <c:pt idx="17">
                  <c:v>9</c:v>
                </c:pt>
                <c:pt idx="18">
                  <c:v>9</c:v>
                </c:pt>
                <c:pt idx="19">
                  <c:v>8</c:v>
                </c:pt>
                <c:pt idx="20">
                  <c:v>7</c:v>
                </c:pt>
                <c:pt idx="21">
                  <c:v>7</c:v>
                </c:pt>
                <c:pt idx="22">
                  <c:v>7</c:v>
                </c:pt>
                <c:pt idx="23">
                  <c:v>6</c:v>
                </c:pt>
                <c:pt idx="24">
                  <c:v>6</c:v>
                </c:pt>
                <c:pt idx="25">
                  <c:v>6</c:v>
                </c:pt>
                <c:pt idx="26">
                  <c:v>5</c:v>
                </c:pt>
                <c:pt idx="27">
                  <c:v>5</c:v>
                </c:pt>
                <c:pt idx="28">
                  <c:v>5</c:v>
                </c:pt>
              </c:numCache>
            </c:numRef>
          </c:yVal>
        </c:ser>
        <c:ser>
          <c:idx val="3"/>
          <c:order val="6"/>
          <c:spPr>
            <a:ln w="28575">
              <a:noFill/>
            </a:ln>
          </c:spPr>
          <c:marker>
            <c:symbol val="none"/>
          </c:marker>
          <c:dLbls>
            <c:dLbl>
              <c:idx val="0"/>
              <c:tx>
                <c:rich>
                  <a:bodyPr/>
                  <a:lstStyle/>
                  <a:p>
                    <a:r>
                      <a:rPr lang="en-AU"/>
                      <a:t>Target MoE</a:t>
                    </a:r>
                  </a:p>
                </c:rich>
              </c:tx>
              <c:dLblPos val="b"/>
            </c:dLbl>
            <c:spPr>
              <a:solidFill>
                <a:srgbClr val="FFFFFF"/>
              </a:solidFill>
              <a:ln w="25400">
                <a:noFill/>
              </a:ln>
            </c:spPr>
            <c:txPr>
              <a:bodyPr/>
              <a:lstStyle/>
              <a:p>
                <a:pPr>
                  <a:defRPr sz="1100" b="0" i="0" u="none" strike="noStrike" baseline="0">
                    <a:solidFill>
                      <a:srgbClr val="993300"/>
                    </a:solidFill>
                    <a:latin typeface="Arial"/>
                    <a:ea typeface="Arial"/>
                    <a:cs typeface="Arial"/>
                  </a:defRPr>
                </a:pPr>
                <a:endParaRPr lang="en-US"/>
              </a:p>
            </c:txPr>
            <c:dLblPos val="b"/>
            <c:showVal val="1"/>
          </c:dLbls>
          <c:xVal>
            <c:numRef>
              <c:f>'Precision paired'!$R$64</c:f>
              <c:numCache>
                <c:formatCode>General</c:formatCode>
                <c:ptCount val="1"/>
                <c:pt idx="0">
                  <c:v>0.45</c:v>
                </c:pt>
              </c:numCache>
            </c:numRef>
          </c:xVal>
          <c:yVal>
            <c:numRef>
              <c:f>'Precision paired'!$S$64</c:f>
              <c:numCache>
                <c:formatCode>General</c:formatCode>
                <c:ptCount val="1"/>
                <c:pt idx="0">
                  <c:v>56.26</c:v>
                </c:pt>
              </c:numCache>
            </c:numRef>
          </c:yVal>
        </c:ser>
        <c:ser>
          <c:idx val="9"/>
          <c:order val="7"/>
          <c:tx>
            <c:v/>
          </c:tx>
          <c:spPr>
            <a:ln w="25400">
              <a:solidFill>
                <a:srgbClr val="C0C0C0"/>
              </a:solidFill>
              <a:prstDash val="solid"/>
            </a:ln>
          </c:spPr>
          <c:marker>
            <c:symbol val="circle"/>
            <c:size val="5"/>
            <c:spPr>
              <a:solidFill>
                <a:srgbClr val="C0C0C0"/>
              </a:solidFill>
              <a:ln>
                <a:solidFill>
                  <a:srgbClr val="C0C0C0"/>
                </a:solidFill>
                <a:prstDash val="solid"/>
              </a:ln>
            </c:spPr>
          </c:marker>
          <c:xVal>
            <c:numRef>
              <c:f>'Precision paired'!$P$67:$P$90</c:f>
              <c:numCache>
                <c:formatCode>General</c:formatCode>
                <c:ptCount val="24"/>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numCache>
            </c:numRef>
          </c:xVal>
          <c:yVal>
            <c:numRef>
              <c:f>'Precision paired'!$W$67:$W$90</c:f>
              <c:numCache>
                <c:formatCode>General</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er>
        <c:ser>
          <c:idx val="10"/>
          <c:order val="8"/>
          <c:spPr>
            <a:ln w="28575">
              <a:noFill/>
            </a:ln>
          </c:spPr>
          <c:marker>
            <c:symbol val="none"/>
          </c:marker>
          <c:dLbls>
            <c:spPr>
              <a:solidFill>
                <a:srgbClr val="FFFFFF"/>
              </a:solidFill>
              <a:ln w="25400">
                <a:noFill/>
              </a:ln>
            </c:spPr>
            <c:txPr>
              <a:bodyPr/>
              <a:lstStyle/>
              <a:p>
                <a:pPr>
                  <a:defRPr sz="800" b="0" i="0" u="none" strike="noStrike" baseline="0">
                    <a:solidFill>
                      <a:srgbClr val="808080"/>
                    </a:solidFill>
                    <a:latin typeface="Arial"/>
                    <a:ea typeface="Arial"/>
                    <a:cs typeface="Arial"/>
                  </a:defRPr>
                </a:pPr>
                <a:endParaRPr lang="en-US"/>
              </a:p>
            </c:txPr>
            <c:dLblPos val="b"/>
            <c:showVal val="1"/>
          </c:dLbls>
          <c:xVal>
            <c:numRef>
              <c:f>'Precision paired'!$P$67:$P$90</c:f>
              <c:numCache>
                <c:formatCode>General</c:formatCode>
                <c:ptCount val="24"/>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numCache>
            </c:numRef>
          </c:xVal>
          <c:yVal>
            <c:numRef>
              <c:f>'Precision paired'!$X$67:$X$90</c:f>
              <c:numCache>
                <c:formatCode>General</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er>
        <c:ser>
          <c:idx val="11"/>
          <c:order val="9"/>
          <c:spPr>
            <a:ln w="28575">
              <a:noFill/>
            </a:ln>
          </c:spPr>
          <c:marker>
            <c:symbol val="none"/>
          </c:marker>
          <c:errBars>
            <c:errDir val="y"/>
            <c:errBarType val="minus"/>
            <c:errValType val="cust"/>
            <c:noEndCap val="1"/>
            <c:minus>
              <c:numRef>
                <c:f>'Precision paired'!$G$93:$G$1092</c:f>
                <c:numCache>
                  <c:formatCode>General</c:formatCode>
                  <c:ptCount val="1000"/>
                  <c:pt idx="0">
                    <c:v>-0.11600000000000001</c:v>
                  </c:pt>
                  <c:pt idx="1">
                    <c:v>-0.11600000000000001</c:v>
                  </c:pt>
                  <c:pt idx="2">
                    <c:v>-0.11600000000000001</c:v>
                  </c:pt>
                  <c:pt idx="3">
                    <c:v>-0.11600000000000001</c:v>
                  </c:pt>
                  <c:pt idx="4">
                    <c:v>-0.11600000000000001</c:v>
                  </c:pt>
                  <c:pt idx="5">
                    <c:v>-0.11600000000000001</c:v>
                  </c:pt>
                  <c:pt idx="6">
                    <c:v>-0.11600000000000001</c:v>
                  </c:pt>
                  <c:pt idx="7">
                    <c:v>-0.11600000000000001</c:v>
                  </c:pt>
                  <c:pt idx="8">
                    <c:v>-0.11600000000000001</c:v>
                  </c:pt>
                  <c:pt idx="9">
                    <c:v>-0.11600000000000001</c:v>
                  </c:pt>
                  <c:pt idx="10">
                    <c:v>-0.1159999999999741</c:v>
                  </c:pt>
                  <c:pt idx="11">
                    <c:v>-0.1159999999999482</c:v>
                  </c:pt>
                  <c:pt idx="12">
                    <c:v>-0.11599999999989638</c:v>
                  </c:pt>
                  <c:pt idx="13">
                    <c:v>-0.11599999999974095</c:v>
                  </c:pt>
                  <c:pt idx="14">
                    <c:v>-0.11599999999940419</c:v>
                  </c:pt>
                  <c:pt idx="15">
                    <c:v>-0.11599999999873065</c:v>
                  </c:pt>
                  <c:pt idx="16">
                    <c:v>-0.11599999999740948</c:v>
                  </c:pt>
                  <c:pt idx="17">
                    <c:v>-0.11599999999489669</c:v>
                  </c:pt>
                  <c:pt idx="18">
                    <c:v>-0.11599999999031146</c:v>
                  </c:pt>
                  <c:pt idx="19">
                    <c:v>-0.11599999998220313</c:v>
                  </c:pt>
                  <c:pt idx="20">
                    <c:v>-0.11599999996831795</c:v>
                  </c:pt>
                  <c:pt idx="21">
                    <c:v>-0.11599999994508098</c:v>
                  </c:pt>
                  <c:pt idx="22">
                    <c:v>-0.11599999990700033</c:v>
                  </c:pt>
                  <c:pt idx="23">
                    <c:v>-0.11599999984607129</c:v>
                  </c:pt>
                  <c:pt idx="24">
                    <c:v>-0.11599999975042927</c:v>
                  </c:pt>
                  <c:pt idx="25">
                    <c:v>-0.11599999960289914</c:v>
                  </c:pt>
                  <c:pt idx="26">
                    <c:v>-0.11599999937931132</c:v>
                  </c:pt>
                  <c:pt idx="27">
                    <c:v>-0.11599999904554867</c:v>
                  </c:pt>
                  <c:pt idx="28">
                    <c:v>-0.11599999855451554</c:v>
                  </c:pt>
                  <c:pt idx="29">
                    <c:v>-0.11599999784183747</c:v>
                  </c:pt>
                  <c:pt idx="30">
                    <c:v>-0.11599999682042118</c:v>
                  </c:pt>
                  <c:pt idx="31">
                    <c:v>-0.11599999537382279</c:v>
                  </c:pt>
                  <c:pt idx="32">
                    <c:v>-0.11599999334764727</c:v>
                  </c:pt>
                  <c:pt idx="33">
                    <c:v>-0.1159999905392641</c:v>
                  </c:pt>
                  <c:pt idx="34">
                    <c:v>-0.11599998668495834</c:v>
                  </c:pt>
                  <c:pt idx="35">
                    <c:v>-0.11599998144425788</c:v>
                  </c:pt>
                  <c:pt idx="36">
                    <c:v>-0.1159999743809968</c:v>
                  </c:pt>
                  <c:pt idx="37">
                    <c:v>-0.11599996494064829</c:v>
                  </c:pt>
                  <c:pt idx="38">
                    <c:v>-0.11599995242278746</c:v>
                  </c:pt>
                  <c:pt idx="39">
                    <c:v>-0.11599993594876162</c:v>
                  </c:pt>
                  <c:pt idx="40">
                    <c:v>-0.1159999144231692</c:v>
                  </c:pt>
                  <c:pt idx="41">
                    <c:v>-0.11599988648834438</c:v>
                  </c:pt>
                  <c:pt idx="42">
                    <c:v>-0.1159998504714327</c:v>
                  </c:pt>
                  <c:pt idx="43">
                    <c:v>-0.11599980432214091</c:v>
                  </c:pt>
                  <c:pt idx="44">
                    <c:v>-0.11599974554077225</c:v>
                  </c:pt>
                  <c:pt idx="45">
                    <c:v>-0.11599967109475992</c:v>
                  </c:pt>
                  <c:pt idx="46">
                    <c:v>-0.115999577322507</c:v>
                  </c:pt>
                  <c:pt idx="47">
                    <c:v>-0.11599945982336696</c:v>
                  </c:pt>
                  <c:pt idx="48">
                    <c:v>-0.11599931333132993</c:v>
                  </c:pt>
                  <c:pt idx="49">
                    <c:v>-0.11599913157158565</c:v>
                  </c:pt>
                  <c:pt idx="50">
                    <c:v>-0.11599890709760549</c:v>
                  </c:pt>
                  <c:pt idx="51">
                    <c:v>-0.11599863110674941</c:v>
                  </c:pt>
                  <c:pt idx="52">
                    <c:v>-0.11599829323248009</c:v>
                  </c:pt>
                  <c:pt idx="53">
                    <c:v>-0.11599788131087957</c:v>
                  </c:pt>
                  <c:pt idx="54">
                    <c:v>-0.11599738111898056</c:v>
                  </c:pt>
                  <c:pt idx="55">
                    <c:v>-0.11599677608250408</c:v>
                  </c:pt>
                  <c:pt idx="56">
                    <c:v>-0.11599604695054186</c:v>
                  </c:pt>
                  <c:pt idx="57">
                    <c:v>-0.11599517143389379</c:v>
                  </c:pt>
                  <c:pt idx="58">
                    <c:v>-0.11599412380483251</c:v>
                  </c:pt>
                  <c:pt idx="59">
                    <c:v>-0.11599287445497931</c:v>
                  </c:pt>
                  <c:pt idx="60">
                    <c:v>-0.11599138940802724</c:v>
                  </c:pt>
                  <c:pt idx="61">
                    <c:v>-0.11598962978443596</c:v>
                  </c:pt>
                  <c:pt idx="62">
                    <c:v>-0.11598755121460119</c:v>
                  </c:pt>
                  <c:pt idx="63">
                    <c:v>-0.11598510319726049</c:v>
                  </c:pt>
                  <c:pt idx="64">
                    <c:v>-0.11598222839930156</c:v>
                  </c:pt>
                  <c:pt idx="65">
                    <c:v>-0.11597886189389008</c:v>
                  </c:pt>
                  <c:pt idx="66">
                    <c:v>-0.11597493033313534</c:v>
                  </c:pt>
                  <c:pt idx="67">
                    <c:v>-0.11597035105164061</c:v>
                  </c:pt>
                  <c:pt idx="68">
                    <c:v>-0.11596503109723397</c:v>
                  </c:pt>
                  <c:pt idx="69">
                    <c:v>-0.11595886618535668</c:v>
                  </c:pt>
                  <c:pt idx="70">
                    <c:v>-0.11595173957368922</c:v>
                  </c:pt>
                  <c:pt idx="71">
                    <c:v>-0.11594352085268916</c:v>
                  </c:pt>
                  <c:pt idx="72">
                    <c:v>-0.11593406464926886</c:v>
                  </c:pt>
                  <c:pt idx="73">
                    <c:v>-0.11592320923970131</c:v>
                  </c:pt>
                  <c:pt idx="74">
                    <c:v>-0.11591077506856785</c:v>
                  </c:pt>
                  <c:pt idx="75">
                    <c:v>-0.11589656317025041</c:v>
                  </c:pt>
                  <c:pt idx="76">
                    <c:v>-0.11588035348996348</c:v>
                  </c:pt>
                  <c:pt idx="77">
                    <c:v>-0.11586190310147609</c:v>
                  </c:pt>
                  <c:pt idx="78">
                    <c:v>-0.1158409443186483</c:v>
                  </c:pt>
                  <c:pt idx="79">
                    <c:v>-0.11581718268948772</c:v>
                  </c:pt>
                  <c:pt idx="80">
                    <c:v>-0.11579029491956236</c:v>
                  </c:pt>
                  <c:pt idx="81">
                    <c:v>-0.11575992661542431</c:v>
                  </c:pt>
                  <c:pt idx="82">
                    <c:v>-0.1157256899439968</c:v>
                  </c:pt>
                  <c:pt idx="83">
                    <c:v>-0.11568716121813151</c:v>
                  </c:pt>
                  <c:pt idx="84">
                    <c:v>-0.11564387829966366</c:v>
                  </c:pt>
                  <c:pt idx="85">
                    <c:v>-0.11559533791853428</c:v>
                  </c:pt>
                  <c:pt idx="86">
                    <c:v>-0.1155409928674639</c:v>
                  </c:pt>
                  <c:pt idx="87">
                    <c:v>-0.11548024907849842</c:v>
                  </c:pt>
                  <c:pt idx="88">
                    <c:v>-0.11541246258272261</c:v>
                  </c:pt>
                  <c:pt idx="89">
                    <c:v>-0.11533693635376283</c:v>
                  </c:pt>
                  <c:pt idx="90">
                    <c:v>-0.11525291703671098</c:v>
                  </c:pt>
                  <c:pt idx="91">
                    <c:v>-0.11515959156529348</c:v>
                  </c:pt>
                  <c:pt idx="92">
                    <c:v>-0.1150560836697721</c:v>
                  </c:pt>
                  <c:pt idx="93">
                    <c:v>-0.1149414502783743</c:v>
                  </c:pt>
                  <c:pt idx="94">
                    <c:v>-0.11481467781740845</c:v>
                  </c:pt>
                  <c:pt idx="95">
                    <c:v>-0.11467467841387174</c:v>
                  </c:pt>
                  <c:pt idx="96">
                    <c:v>-0.11452028600578387</c:v>
                  </c:pt>
                  <c:pt idx="97">
                    <c:v>-0.11435025236680035</c:v>
                  </c:pt>
                  <c:pt idx="98">
                    <c:v>-0.11416324305114135</c:v>
                  </c:pt>
                  <c:pt idx="99">
                    <c:v>-0.11395783326632289</c:v>
                  </c:pt>
                  <c:pt idx="100">
                    <c:v>-0.11373250368166889</c:v>
                  </c:pt>
                  <c:pt idx="101">
                    <c:v>-0.1134856361812307</c:v>
                  </c:pt>
                  <c:pt idx="102">
                    <c:v>-0.11321550957067311</c:v>
                  </c:pt>
                  <c:pt idx="103">
                    <c:v>-0.11292029524794486</c:v>
                  </c:pt>
                  <c:pt idx="104">
                    <c:v>-0.11259805284851027</c:v>
                  </c:pt>
                  <c:pt idx="105">
                    <c:v>-0.11224672548026821</c:v>
                  </c:pt>
                  <c:pt idx="106">
                    <c:v>-0.11186413683501836</c:v>
                  </c:pt>
                  <c:pt idx="107">
                    <c:v>-0.11144798513506268</c:v>
                  </c:pt>
                  <c:pt idx="108">
                    <c:v>-0.11099583863458534</c:v>
                  </c:pt>
                  <c:pt idx="109">
                    <c:v>-0.11050513310205551</c:v>
                  </c:pt>
                  <c:pt idx="110">
                    <c:v>-0.10997316625972717</c:v>
                  </c:pt>
                  <c:pt idx="111">
                    <c:v>-0.10939709392277935</c:v>
                  </c:pt>
                  <c:pt idx="112">
                    <c:v>-0.10877392591030915</c:v>
                  </c:pt>
                  <c:pt idx="113">
                    <c:v>-0.10810052205712203</c:v>
                  </c:pt>
                  <c:pt idx="114">
                    <c:v>-0.10737358834398655</c:v>
                  </c:pt>
                  <c:pt idx="115">
                    <c:v>-0.10658967316264795</c:v>
                  </c:pt>
                  <c:pt idx="116">
                    <c:v>-0.10574516373433004</c:v>
                  </c:pt>
                  <c:pt idx="117">
                    <c:v>-0.10483628269960023</c:v>
                  </c:pt>
                  <c:pt idx="118">
                    <c:v>-0.10385908489770485</c:v>
                  </c:pt>
                  <c:pt idx="119">
                    <c:v>-0.10280945435464892</c:v>
                  </c:pt>
                  <c:pt idx="120">
                    <c:v>-0.10168310149874943</c:v>
                  </c:pt>
                  <c:pt idx="121">
                    <c:v>-0.10047556062296145</c:v>
                  </c:pt>
                  <c:pt idx="122">
                    <c:v>-9.9182187612940079E-2</c:v>
                  </c:pt>
                  <c:pt idx="123">
                    <c:v>-9.7798157960370224E-2</c:v>
                  </c:pt>
                  <c:pt idx="124">
                    <c:v>-9.6318465080915877E-2</c:v>
                  </c:pt>
                  <c:pt idx="125">
                    <c:v>-9.4737918955751246E-2</c:v>
                  </c:pt>
                  <c:pt idx="126">
                    <c:v>-9.3051145115843531E-2</c:v>
                  </c:pt>
                  <c:pt idx="127">
                    <c:v>-9.1252583987691177E-2</c:v>
                  </c:pt>
                  <c:pt idx="128">
                    <c:v>-8.933649061922086E-2</c:v>
                  </c:pt>
                  <c:pt idx="129">
                    <c:v>-8.729692946657247E-2</c:v>
                  </c:pt>
                  <c:pt idx="130">
                    <c:v>-8.512779509308234E-2</c:v>
                  </c:pt>
                  <c:pt idx="131">
                    <c:v>-8.2822789775711128E-2</c:v>
                  </c:pt>
                  <c:pt idx="132">
                    <c:v>-8.0375422999555524E-2</c:v>
                  </c:pt>
                  <c:pt idx="133">
                    <c:v>-7.7779037693213982E-2</c:v>
                  </c:pt>
                  <c:pt idx="134">
                    <c:v>-7.5026794366227334E-2</c:v>
                  </c:pt>
                  <c:pt idx="135">
                    <c:v>-7.2111678329765783E-2</c:v>
                  </c:pt>
                  <c:pt idx="136">
                    <c:v>-6.9026503070082262E-2</c:v>
                  </c:pt>
                  <c:pt idx="137">
                    <c:v>-6.5763914143437602E-2</c:v>
                  </c:pt>
                  <c:pt idx="138">
                    <c:v>-6.2316393604154696E-2</c:v>
                  </c:pt>
                  <c:pt idx="139">
                    <c:v>-5.8676264976060287E-2</c:v>
                  </c:pt>
                  <c:pt idx="140">
                    <c:v>-5.4835698776769727E-2</c:v>
                  </c:pt>
                  <c:pt idx="141">
                    <c:v>-5.0786718602948908E-2</c:v>
                  </c:pt>
                  <c:pt idx="142">
                    <c:v>-4.6521207783236859E-2</c:v>
                  </c:pt>
                  <c:pt idx="143">
                    <c:v>-4.2030916604321109E-2</c:v>
                  </c:pt>
                  <c:pt idx="144">
                    <c:v>-3.7307470114258598E-2</c:v>
                  </c:pt>
                  <c:pt idx="145">
                    <c:v>-3.2342376505632819E-2</c:v>
                  </c:pt>
                  <c:pt idx="146">
                    <c:v>-2.7127036079609271E-2</c:v>
                  </c:pt>
                  <c:pt idx="147">
                    <c:v>-2.1652750790448691E-2</c:v>
                  </c:pt>
                  <c:pt idx="148">
                    <c:v>-1.5910734368198759E-2</c:v>
                  </c:pt>
                  <c:pt idx="149">
                    <c:v>-9.8921230163775409E-3</c:v>
                  </c:pt>
                  <c:pt idx="150">
                    <c:v>-3.5879866789495646E-3</c:v>
                  </c:pt>
                  <c:pt idx="151">
                    <c:v>3.0106927951961404E-3</c:v>
                  </c:pt>
                  <c:pt idx="152">
                    <c:v>9.9128812309643571E-3</c:v>
                  </c:pt>
                  <c:pt idx="153">
                    <c:v>1.7127628897100608E-2</c:v>
                  </c:pt>
                  <c:pt idx="154">
                    <c:v>2.4664068041492418E-2</c:v>
                  </c:pt>
                  <c:pt idx="155">
                    <c:v>3.2531243653974654E-2</c:v>
                  </c:pt>
                  <c:pt idx="156">
                    <c:v>4.07382160444867E-2</c:v>
                  </c:pt>
                  <c:pt idx="157">
                    <c:v>4.9294017795566011E-2</c:v>
                  </c:pt>
                  <c:pt idx="158">
                    <c:v>5.8207638342223797E-2</c:v>
                  </c:pt>
                  <c:pt idx="159">
                    <c:v>6.7488008108971057E-2</c:v>
                  </c:pt>
                  <c:pt idx="160">
                    <c:v>7.7143982226455035E-2</c:v>
                  </c:pt>
                  <c:pt idx="161">
                    <c:v>8.7184323852471449E-2</c:v>
                  </c:pt>
                  <c:pt idx="162">
                    <c:v>9.761768712312803E-2</c:v>
                  </c:pt>
                  <c:pt idx="163">
                    <c:v>0.1084525997619817</c:v>
                  </c:pt>
                  <c:pt idx="164">
                    <c:v>0.11969744537637046</c:v>
                  </c:pt>
                  <c:pt idx="165">
                    <c:v>0.13136044547171521</c:v>
                  </c:pt>
                  <c:pt idx="166">
                    <c:v>0.14344964121617321</c:v>
                  </c:pt>
                  <c:pt idx="167">
                    <c:v>0.15597287498882761</c:v>
                  </c:pt>
                  <c:pt idx="168">
                    <c:v>0.16893777174700697</c:v>
                  </c:pt>
                  <c:pt idx="169">
                    <c:v>0.18235172024853524</c:v>
                  </c:pt>
                  <c:pt idx="170">
                    <c:v>0.19622185416629462</c:v>
                  </c:pt>
                  <c:pt idx="171">
                    <c:v>0.21055503313416452</c:v>
                  </c:pt>
                  <c:pt idx="172">
                    <c:v>0.22535797110948308</c:v>
                  </c:pt>
                  <c:pt idx="173">
                    <c:v>0.24063665420330166</c:v>
                  </c:pt>
                  <c:pt idx="174">
                    <c:v>0.25639698433048458</c:v>
                  </c:pt>
                  <c:pt idx="175">
                    <c:v>0.27264480464965529</c:v>
                  </c:pt>
                  <c:pt idx="176">
                    <c:v>0.28938519592490847</c:v>
                  </c:pt>
                  <c:pt idx="177">
                    <c:v>0.30662297696165808</c:v>
                  </c:pt>
                  <c:pt idx="178">
                    <c:v>0.32436256136938207</c:v>
                  </c:pt>
                  <c:pt idx="179">
                    <c:v>0.34260793954737667</c:v>
                  </c:pt>
                  <c:pt idx="180">
                    <c:v>0.36136266098264236</c:v>
                  </c:pt>
                  <c:pt idx="181">
                    <c:v>0.38062981690399283</c:v>
                  </c:pt>
                  <c:pt idx="182">
                    <c:v>0.40041202333624348</c:v>
                  </c:pt>
                  <c:pt idx="183">
                    <c:v>0.42071140459882927</c:v>
                  </c:pt>
                  <c:pt idx="184">
                    <c:v>0.44152957729206332</c:v>
                  </c:pt>
                  <c:pt idx="185">
                    <c:v>0.46286763481455417</c:v>
                  </c:pt>
                  <c:pt idx="186">
                    <c:v>0.48472613245432106</c:v>
                  </c:pt>
                  <c:pt idx="187">
                    <c:v>0.50710507309559771</c:v>
                  </c:pt>
                  <c:pt idx="188">
                    <c:v>0.53000389358277311</c:v>
                  </c:pt>
                  <c:pt idx="189">
                    <c:v>0.55342145178154512</c:v>
                  </c:pt>
                  <c:pt idx="190">
                    <c:v>0.57735601437676687</c:v>
                  </c:pt>
                  <c:pt idx="191">
                    <c:v>0.60180566644042965</c:v>
                  </c:pt>
                  <c:pt idx="192">
                    <c:v>0.62676668623139231</c:v>
                  </c:pt>
                  <c:pt idx="193">
                    <c:v>0.65223544303924452</c:v>
                  </c:pt>
                  <c:pt idx="194">
                    <c:v>0.67820850703110225</c:v>
                  </c:pt>
                  <c:pt idx="195">
                    <c:v>0.7046806737236837</c:v>
                  </c:pt>
                  <c:pt idx="196">
                    <c:v>0.73164645283444218</c:v>
                  </c:pt>
                  <c:pt idx="197">
                    <c:v>0.75909970120640546</c:v>
                  </c:pt>
                  <c:pt idx="198">
                    <c:v>0.78703361776228331</c:v>
                  </c:pt>
                  <c:pt idx="199">
                    <c:v>0.81544073948506757</c:v>
                  </c:pt>
                  <c:pt idx="200">
                    <c:v>0.84431293844880395</c:v>
                  </c:pt>
                  <c:pt idx="201">
                    <c:v>0.87364141992111288</c:v>
                  </c:pt>
                  <c:pt idx="202">
                    <c:v>0.90341672155556985</c:v>
                  </c:pt>
                  <c:pt idx="203">
                    <c:v>0.93362871369070144</c:v>
                  </c:pt>
                  <c:pt idx="204">
                    <c:v>0.96426660077044823</c:v>
                  </c:pt>
                  <c:pt idx="205">
                    <c:v>0.99531892389766374</c:v>
                  </c:pt>
                  <c:pt idx="206">
                    <c:v>1.0267735645296754</c:v>
                  </c:pt>
                  <c:pt idx="207">
                    <c:v>1.0586177493236695</c:v>
                  </c:pt>
                  <c:pt idx="208">
                    <c:v>1.0908380561361055</c:v>
                  </c:pt>
                  <c:pt idx="209">
                    <c:v>1.1234214077998566</c:v>
                  </c:pt>
                  <c:pt idx="210">
                    <c:v>1.1563512867724512</c:v>
                  </c:pt>
                  <c:pt idx="211">
                    <c:v>1.1896122416267965</c:v>
                  </c:pt>
                  <c:pt idx="212">
                    <c:v>1.2231901616083349</c:v>
                  </c:pt>
                  <c:pt idx="213">
                    <c:v>1.2570676582319777</c:v>
                  </c:pt>
                  <c:pt idx="214">
                    <c:v>1.2912276079162983</c:v>
                  </c:pt>
                  <c:pt idx="215">
                    <c:v>1.3256523125206321</c:v>
                  </c:pt>
                  <c:pt idx="216">
                    <c:v>1.3603235144388484</c:v>
                  </c:pt>
                  <c:pt idx="217">
                    <c:v>1.3952224127723838</c:v>
                  </c:pt>
                  <c:pt idx="218">
                    <c:v>1.4303296805608019</c:v>
                  </c:pt>
                  <c:pt idx="219">
                    <c:v>1.4656254830478139</c:v>
                  </c:pt>
                  <c:pt idx="220">
                    <c:v>1.5010894969552668</c:v>
                  </c:pt>
                  <c:pt idx="221">
                    <c:v>1.5367009307372828</c:v>
                  </c:pt>
                  <c:pt idx="222">
                    <c:v>1.5724385457839802</c:v>
                  </c:pt>
                  <c:pt idx="223">
                    <c:v>1.6082806785421337</c:v>
                  </c:pt>
                  <c:pt idx="224">
                    <c:v>1.6442052635170523</c:v>
                  </c:pt>
                  <c:pt idx="225">
                    <c:v>1.6801898571188643</c:v>
                  </c:pt>
                  <c:pt idx="226">
                    <c:v>1.7162136218801853</c:v>
                  </c:pt>
                  <c:pt idx="227">
                    <c:v>1.7522498019240673</c:v>
                  </c:pt>
                  <c:pt idx="228">
                    <c:v>1.7882747221148882</c:v>
                  </c:pt>
                  <c:pt idx="229">
                    <c:v>1.8242683165024394</c:v>
                  </c:pt>
                  <c:pt idx="230">
                    <c:v>1.8602049299554861</c:v>
                  </c:pt>
                  <c:pt idx="231">
                    <c:v>1.8960603945826482</c:v>
                  </c:pt>
                  <c:pt idx="232">
                    <c:v>1.9318103516097134</c:v>
                  </c:pt>
                  <c:pt idx="233">
                    <c:v>1.9674302804417518</c:v>
                  </c:pt>
                  <c:pt idx="234">
                    <c:v>2.002895528159899</c:v>
                  </c:pt>
                  <c:pt idx="235">
                    <c:v>2.0381813393995856</c:v>
                  </c:pt>
                  <c:pt idx="236">
                    <c:v>2.0732628865562126</c:v>
                  </c:pt>
                  <c:pt idx="237">
                    <c:v>2.1081153002655535</c:v>
                  </c:pt>
                  <c:pt idx="238">
                    <c:v>2.1427137001032057</c:v>
                  </c:pt>
                  <c:pt idx="239">
                    <c:v>2.1770332254482336</c:v>
                  </c:pt>
                  <c:pt idx="240">
                    <c:v>2.2110490664550149</c:v>
                  </c:pt>
                  <c:pt idx="241">
                    <c:v>2.2447394495341362</c:v>
                  </c:pt>
                  <c:pt idx="242">
                    <c:v>2.2780742700443919</c:v>
                  </c:pt>
                  <c:pt idx="243">
                    <c:v>2.3110286933954054</c:v>
                  </c:pt>
                  <c:pt idx="244">
                    <c:v>2.3435839193109849</c:v>
                  </c:pt>
                  <c:pt idx="245">
                    <c:v>2.3757132729349624</c:v>
                  </c:pt>
                  <c:pt idx="246">
                    <c:v>2.4073929002825243</c:v>
                  </c:pt>
                  <c:pt idx="247">
                    <c:v>2.4385992134800909</c:v>
                  </c:pt>
                  <c:pt idx="248">
                    <c:v>2.4693089206179013</c:v>
                  </c:pt>
                  <c:pt idx="249">
                    <c:v>2.4994990552133767</c:v>
                  </c:pt>
                  <c:pt idx="250">
                    <c:v>2.5291470052360885</c:v>
                  </c:pt>
                  <c:pt idx="251">
                    <c:v>2.5582305416422861</c:v>
                  </c:pt>
                  <c:pt idx="252">
                    <c:v>2.586727846367284</c:v>
                  </c:pt>
                  <c:pt idx="253">
                    <c:v>2.6146175397293887</c:v>
                  </c:pt>
                  <c:pt idx="254">
                    <c:v>2.6418787071953047</c:v>
                  </c:pt>
                  <c:pt idx="255">
                    <c:v>2.6684909254615756</c:v>
                  </c:pt>
                  <c:pt idx="256">
                    <c:v>2.6944342878075167</c:v>
                  </c:pt>
                  <c:pt idx="257">
                    <c:v>2.7196945459520903</c:v>
                  </c:pt>
                  <c:pt idx="258">
                    <c:v>2.744243362076531</c:v>
                  </c:pt>
                  <c:pt idx="259">
                    <c:v>2.7680619159079276</c:v>
                  </c:pt>
                  <c:pt idx="260">
                    <c:v>2.7911421526188018</c:v>
                  </c:pt>
                  <c:pt idx="261">
                    <c:v>2.8134626026050817</c:v>
                  </c:pt>
                  <c:pt idx="262">
                    <c:v>2.8350069476224324</c:v>
                  </c:pt>
                  <c:pt idx="263">
                    <c:v>2.8557595399471052</c:v>
                  </c:pt>
                  <c:pt idx="264">
                    <c:v>2.8757054205251444</c:v>
                  </c:pt>
                  <c:pt idx="265">
                    <c:v>2.894830336074306</c:v>
                  </c:pt>
                  <c:pt idx="266">
                    <c:v>2.9131207551150289</c:v>
                  </c:pt>
                  <c:pt idx="267">
                    <c:v>2.9305638829059726</c:v>
                  </c:pt>
                  <c:pt idx="268">
                    <c:v>2.9471476752633552</c:v>
                  </c:pt>
                  <c:pt idx="269">
                    <c:v>2.9628608512488102</c:v>
                  </c:pt>
                  <c:pt idx="270">
                    <c:v>2.9776929047057425</c:v>
                  </c:pt>
                  <c:pt idx="271">
                    <c:v>2.991641029714895</c:v>
                  </c:pt>
                  <c:pt idx="272">
                    <c:v>3.0046833865949316</c:v>
                  </c:pt>
                  <c:pt idx="273">
                    <c:v>3.0168110489791333</c:v>
                  </c:pt>
                  <c:pt idx="274">
                    <c:v>3.0280296284054424</c:v>
                  </c:pt>
                  <c:pt idx="275">
                    <c:v>3.0383265267216952</c:v>
                  </c:pt>
                  <c:pt idx="276">
                    <c:v>3.0476960661191552</c:v>
                  </c:pt>
                  <c:pt idx="277">
                    <c:v>3.0561333916340536</c:v>
                  </c:pt>
                  <c:pt idx="278">
                    <c:v>3.0636344732294902</c:v>
                  </c:pt>
                  <c:pt idx="279">
                    <c:v>3.0701961066973729</c:v>
                  </c:pt>
                  <c:pt idx="280">
                    <c:v>3.0758159133834364</c:v>
                  </c:pt>
                  <c:pt idx="281">
                    <c:v>3.0804923387438277</c:v>
                  </c:pt>
                  <c:pt idx="282">
                    <c:v>3.084224649748939</c:v>
                  </c:pt>
                  <c:pt idx="283">
                    <c:v>3.0870129311461687</c:v>
                  </c:pt>
                  <c:pt idx="284">
                    <c:v>3.0888664727406669</c:v>
                  </c:pt>
                  <c:pt idx="285">
                    <c:v>3.0897712852183652</c:v>
                  </c:pt>
                  <c:pt idx="286">
                    <c:v>3.0897289167003086</c:v>
                  </c:pt>
                  <c:pt idx="287">
                    <c:v>3.0887583728542989</c:v>
                  </c:pt>
                  <c:pt idx="288">
                    <c:v>3.0868563139345095</c:v>
                  </c:pt>
                  <c:pt idx="289">
                    <c:v>3.0840275947460385</c:v>
                  </c:pt>
                  <c:pt idx="290">
                    <c:v>3.0802778317002186</c:v>
                  </c:pt>
                  <c:pt idx="291">
                    <c:v>3.0756133907162377</c:v>
                  </c:pt>
                  <c:pt idx="292">
                    <c:v>3.0700413741956658</c:v>
                  </c:pt>
                  <c:pt idx="293">
                    <c:v>3.0635696070967509</c:v>
                  </c:pt>
                  <c:pt idx="294">
                    <c:v>3.0562066221436872</c:v>
                  </c:pt>
                  <c:pt idx="295">
                    <c:v>3.0479616442064774</c:v>
                  </c:pt>
                  <c:pt idx="296">
                    <c:v>3.0388445738839187</c:v>
                  </c:pt>
                  <c:pt idx="297">
                    <c:v>3.0288791185100816</c:v>
                  </c:pt>
                  <c:pt idx="298">
                    <c:v>3.0180520472070698</c:v>
                  </c:pt>
                  <c:pt idx="299">
                    <c:v>3.0063735325616023</c:v>
                  </c:pt>
                  <c:pt idx="300">
                    <c:v>2.9938804562490771</c:v>
                  </c:pt>
                  <c:pt idx="301">
                    <c:v>2.980574356114321</c:v>
                  </c:pt>
                  <c:pt idx="302">
                    <c:v>2.9664688082424844</c:v>
                  </c:pt>
                  <c:pt idx="303">
                    <c:v>2.9515779309651911</c:v>
                  </c:pt>
                  <c:pt idx="304">
                    <c:v>2.935916363487483</c:v>
                  </c:pt>
                  <c:pt idx="305">
                    <c:v>2.9194992440742871</c:v>
                  </c:pt>
                  <c:pt idx="306">
                    <c:v>2.9023421878377063</c:v>
                  </c:pt>
                  <c:pt idx="307">
                    <c:v>2.8844612641613483</c:v>
                  </c:pt>
                  <c:pt idx="308">
                    <c:v>2.8658729738078876</c:v>
                  </c:pt>
                  <c:pt idx="309">
                    <c:v>2.8465942257501973</c:v>
                  </c:pt>
                  <c:pt idx="310">
                    <c:v>2.8266423137659102</c:v>
                  </c:pt>
                  <c:pt idx="311">
                    <c:v>2.806034892836855</c:v>
                  </c:pt>
                  <c:pt idx="312">
                    <c:v>2.7847899553954272</c:v>
                  </c:pt>
                  <c:pt idx="313">
                    <c:v>2.7629258074566683</c:v>
                  </c:pt>
                  <c:pt idx="314">
                    <c:v>2.7404610446745439</c:v>
                  </c:pt>
                  <c:pt idx="315">
                    <c:v>2.7174145283657163</c:v>
                  </c:pt>
                  <c:pt idx="316">
                    <c:v>2.6938053615349782</c:v>
                  </c:pt>
                  <c:pt idx="317">
                    <c:v>2.6696528649426776</c:v>
                  </c:pt>
                  <c:pt idx="318">
                    <c:v>2.6449765532515461</c:v>
                  </c:pt>
                  <c:pt idx="319">
                    <c:v>2.6197961112877617</c:v>
                  </c:pt>
                  <c:pt idx="320">
                    <c:v>2.5941313704514255</c:v>
                  </c:pt>
                  <c:pt idx="321">
                    <c:v>2.5680022853156284</c:v>
                  </c:pt>
                  <c:pt idx="322">
                    <c:v>2.5414289104392704</c:v>
                  </c:pt>
                  <c:pt idx="323">
                    <c:v>2.5144313774338598</c:v>
                  </c:pt>
                  <c:pt idx="324">
                    <c:v>2.4870298723143827</c:v>
                  </c:pt>
                  <c:pt idx="325">
                    <c:v>2.4592446131578951</c:v>
                  </c:pt>
                  <c:pt idx="326">
                    <c:v>2.4310958281099757</c:v>
                  </c:pt>
                  <c:pt idx="327">
                    <c:v>2.4026037337572497</c:v>
                  </c:pt>
                  <c:pt idx="328">
                    <c:v>2.3737885138977761</c:v>
                  </c:pt>
                  <c:pt idx="329">
                    <c:v>2.3446702987353407</c:v>
                  </c:pt>
                  <c:pt idx="330">
                    <c:v>2.3152691445181617</c:v>
                  </c:pt>
                  <c:pt idx="331">
                    <c:v>2.2856050136483805</c:v>
                  </c:pt>
                  <c:pt idx="332">
                    <c:v>2.2556977552815773</c:v>
                  </c:pt>
                  <c:pt idx="333">
                    <c:v>2.2255670864388333</c:v>
                  </c:pt>
                  <c:pt idx="334">
                    <c:v>2.1952325736490548</c:v>
                  </c:pt>
                  <c:pt idx="335">
                    <c:v>2.1647136151378219</c:v>
                  </c:pt>
                  <c:pt idx="336">
                    <c:v>2.1340294235818553</c:v>
                  </c:pt>
                  <c:pt idx="337">
                    <c:v>2.1031990094418216</c:v>
                  </c:pt>
                  <c:pt idx="338">
                    <c:v>2.072241164887656</c:v>
                  </c:pt>
                  <c:pt idx="339">
                    <c:v>2.0411744483296128</c:v>
                  </c:pt>
                  <c:pt idx="340">
                    <c:v>2.0100171695623876</c:v>
                  </c:pt>
                  <c:pt idx="341">
                    <c:v>1.9787873755366596</c:v>
                  </c:pt>
                  <c:pt idx="342">
                    <c:v>1.9475028367623115</c:v>
                  </c:pt>
                  <c:pt idx="343">
                    <c:v>1.9161810343529244</c:v>
                  </c:pt>
                  <c:pt idx="344">
                    <c:v>1.8848391477138269</c:v>
                  </c:pt>
                  <c:pt idx="345">
                    <c:v>1.8534940428816742</c:v>
                  </c:pt>
                  <c:pt idx="346">
                    <c:v>1.8221622615169806</c:v>
                  </c:pt>
                  <c:pt idx="347">
                    <c:v>1.7908600105489587</c:v>
                  </c:pt>
                  <c:pt idx="348">
                    <c:v>1.7596031524790854</c:v>
                  </c:pt>
                  <c:pt idx="349">
                    <c:v>1.7284070640701126</c:v>
                  </c:pt>
                  <c:pt idx="350">
                    <c:v>1.6972871683175961</c:v>
                  </c:pt>
                  <c:pt idx="351">
                    <c:v>1.6662582305346156</c:v>
                  </c:pt>
                  <c:pt idx="352">
                    <c:v>1.635334375844542</c:v>
                  </c:pt>
                  <c:pt idx="353">
                    <c:v>1.604529766564706</c:v>
                  </c:pt>
                  <c:pt idx="354">
                    <c:v>1.5738580314427468</c:v>
                  </c:pt>
                  <c:pt idx="355">
                    <c:v>1.5433324050772783</c:v>
                  </c:pt>
                  <c:pt idx="356">
                    <c:v>1.5129657233525322</c:v>
                  </c:pt>
                  <c:pt idx="357">
                    <c:v>1.4827704194845359</c:v>
                  </c:pt>
                  <c:pt idx="358">
                    <c:v>1.4527585206713258</c:v>
                  </c:pt>
                  <c:pt idx="359">
                    <c:v>1.4229416453352519</c:v>
                  </c:pt>
                  <c:pt idx="360">
                    <c:v>1.3933310009475628</c:v>
                  </c:pt>
                  <c:pt idx="361">
                    <c:v>1.3639373824239334</c:v>
                  </c:pt>
                  <c:pt idx="362">
                    <c:v>1.3347711710759771</c:v>
                  </c:pt>
                  <c:pt idx="363">
                    <c:v>1.3058423341088474</c:v>
                  </c:pt>
                  <c:pt idx="364">
                    <c:v>1.2771604246496793</c:v>
                  </c:pt>
                  <c:pt idx="365">
                    <c:v>1.2487345822931799</c:v>
                  </c:pt>
                  <c:pt idx="366">
                    <c:v>1.2205735341488753</c:v>
                  </c:pt>
                  <c:pt idx="367">
                    <c:v>1.1926855963760574</c:v>
                  </c:pt>
                  <c:pt idx="368">
                    <c:v>1.1650786761908567</c:v>
                  </c:pt>
                  <c:pt idx="369">
                    <c:v>1.1377602743288895</c:v>
                  </c:pt>
                  <c:pt idx="370">
                    <c:v>1.1107374879474188</c:v>
                  </c:pt>
                  <c:pt idx="371">
                    <c:v>1.0840170139502929</c:v>
                  </c:pt>
                  <c:pt idx="372">
                    <c:v>1.0576051527207115</c:v>
                  </c:pt>
                  <c:pt idx="373">
                    <c:v>1.0315078122424448</c:v>
                  </c:pt>
                  <c:pt idx="374">
                    <c:v>1.0057305125932146</c:v>
                  </c:pt>
                  <c:pt idx="375">
                    <c:v>0.98027839079405721</c:v>
                  </c:pt>
                  <c:pt idx="376">
                    <c:v>0.95515620599614282</c:v>
                  </c:pt>
                  <c:pt idx="377">
                    <c:v>0.93036834498755228</c:v>
                  </c:pt>
                  <c:pt idx="378">
                    <c:v>0.90591882800391665</c:v>
                  </c:pt>
                  <c:pt idx="379">
                    <c:v>0.8818113148245782</c:v>
                  </c:pt>
                  <c:pt idx="380">
                    <c:v>0.85804911113577276</c:v>
                  </c:pt>
                  <c:pt idx="381">
                    <c:v>0.83463517514632668</c:v>
                  </c:pt>
                  <c:pt idx="382">
                    <c:v>0.81157212443675031</c:v>
                  </c:pt>
                  <c:pt idx="383">
                    <c:v>0.78886224302456942</c:v>
                  </c:pt>
                  <c:pt idx="384">
                    <c:v>0.76650748862997253</c:v>
                  </c:pt>
                  <c:pt idx="385">
                    <c:v>0.74450950012485217</c:v>
                  </c:pt>
                  <c:pt idx="386">
                    <c:v>0.72286960514869536</c:v>
                  </c:pt>
                  <c:pt idx="387">
                    <c:v>0.70158882787446186</c:v>
                  </c:pt>
                  <c:pt idx="388">
                    <c:v>0.68066789690975515</c:v>
                  </c:pt>
                  <c:pt idx="389">
                    <c:v>0.66010725331684905</c:v>
                  </c:pt>
                  <c:pt idx="390">
                    <c:v>0.63990705873603004</c:v>
                  </c:pt>
                  <c:pt idx="391">
                    <c:v>0.62006720359800938</c:v>
                  </c:pt>
                  <c:pt idx="392">
                    <c:v>0.60058731540998878</c:v>
                  </c:pt>
                  <c:pt idx="393">
                    <c:v>0.58146676710134126</c:v>
                  </c:pt>
                  <c:pt idx="394">
                    <c:v>0.56270468541519603</c:v>
                  </c:pt>
                  <c:pt idx="395">
                    <c:v>0.54429995933172748</c:v>
                  </c:pt>
                  <c:pt idx="396">
                    <c:v>0.526251248510754</c:v>
                  </c:pt>
                  <c:pt idx="397">
                    <c:v>0.50855699174059144</c:v>
                  </c:pt>
                  <c:pt idx="398">
                    <c:v>0.4912154153803524</c:v>
                  </c:pt>
                  <c:pt idx="399">
                    <c:v>0.47422454178454665</c:v>
                  </c:pt>
                  <c:pt idx="400">
                    <c:v>0.4575821976982487</c:v>
                  </c:pt>
                  <c:pt idx="401">
                    <c:v>0.44128602261171701</c:v>
                  </c:pt>
                  <c:pt idx="402">
                    <c:v>0.42533347706375157</c:v>
                  </c:pt>
                  <c:pt idx="403">
                    <c:v>0.40972185088419255</c:v>
                  </c:pt>
                  <c:pt idx="404">
                    <c:v>0.39444827136542293</c:v>
                  </c:pt>
                  <c:pt idx="405">
                    <c:v>0.37950971135378614</c:v>
                  </c:pt>
                  <c:pt idx="406">
                    <c:v>0.36490299725244318</c:v>
                  </c:pt>
                  <c:pt idx="407">
                    <c:v>0.35062481692697162</c:v>
                  </c:pt>
                  <c:pt idx="408">
                    <c:v>0.3366717275060912</c:v>
                  </c:pt>
                  <c:pt idx="409">
                    <c:v>0.32304016307004241</c:v>
                  </c:pt>
                  <c:pt idx="410">
                    <c:v>0.3097264422200694</c:v>
                  </c:pt>
                  <c:pt idx="411">
                    <c:v>0.29672677552184568</c:v>
                  </c:pt>
                  <c:pt idx="412">
                    <c:v>0.28403727281737762</c:v>
                  </c:pt>
                  <c:pt idx="413">
                    <c:v>0.2716539503993684</c:v>
                  </c:pt>
                  <c:pt idx="414">
                    <c:v>0.25957273804343461</c:v>
                  </c:pt>
                  <c:pt idx="415">
                    <c:v>0.24778948589278493</c:v>
                  </c:pt>
                  <c:pt idx="416">
                    <c:v>0.23629997119124441</c:v>
                  </c:pt>
                  <c:pt idx="417">
                    <c:v>0.22509990486122822</c:v>
                  </c:pt>
                  <c:pt idx="418">
                    <c:v>0.2141849379221431</c:v>
                  </c:pt>
                  <c:pt idx="419">
                    <c:v>0.20355066774692043</c:v>
                  </c:pt>
                  <c:pt idx="420">
                    <c:v>0.19319264415372656</c:v>
                  </c:pt>
                  <c:pt idx="421">
                    <c:v>0.18310637533024521</c:v>
                  </c:pt>
                  <c:pt idx="422">
                    <c:v>0.17328733358864801</c:v>
                  </c:pt>
                  <c:pt idx="423">
                    <c:v>0.16373096094979722</c:v>
                  </c:pt>
                  <c:pt idx="424">
                    <c:v>0.15443267455510323</c:v>
                  </c:pt>
                  <c:pt idx="425">
                    <c:v>0.14538787190499952</c:v>
                  </c:pt>
                  <c:pt idx="426">
                    <c:v>0.13659193592372659</c:v>
                  </c:pt>
                  <c:pt idx="427">
                    <c:v>0.12804023984970858</c:v>
                  </c:pt>
                  <c:pt idx="428">
                    <c:v>0.11972815195156704</c:v>
                  </c:pt>
                  <c:pt idx="429">
                    <c:v>0.11165104007004907</c:v>
                  </c:pt>
                  <c:pt idx="430">
                    <c:v>0.10380427598634771</c:v>
                  </c:pt>
                  <c:pt idx="431">
                    <c:v>9.6183239617392072E-2</c:v>
                  </c:pt>
                  <c:pt idx="432">
                    <c:v>8.8783323039347453E-2</c:v>
                  </c:pt>
                  <c:pt idx="433">
                    <c:v>8.1599934340519029E-2</c:v>
                  </c:pt>
                  <c:pt idx="434">
                    <c:v>7.4628501304841957E-2</c:v>
                  </c:pt>
                  <c:pt idx="435">
                    <c:v>6.786447492799734E-2</c:v>
                  </c:pt>
                  <c:pt idx="436">
                    <c:v>6.1303332767758831E-2</c:v>
                  </c:pt>
                  <c:pt idx="437">
                    <c:v>5.4940582130815444E-2</c:v>
                  </c:pt>
                  <c:pt idx="438">
                    <c:v>4.8771763098161711E-2</c:v>
                  </c:pt>
                  <c:pt idx="439">
                    <c:v>4.2792451391469463E-2</c:v>
                  </c:pt>
                  <c:pt idx="440">
                    <c:v>3.6998261083127856E-2</c:v>
                  </c:pt>
                  <c:pt idx="441">
                    <c:v>3.1384847152429243E-2</c:v>
                  </c:pt>
                  <c:pt idx="442">
                    <c:v>2.5947907890960617E-2</c:v>
                  </c:pt>
                  <c:pt idx="443">
                    <c:v>2.0683187160034686E-2</c:v>
                  </c:pt>
                  <c:pt idx="444">
                    <c:v>1.5586476503101174E-2</c:v>
                  </c:pt>
                  <c:pt idx="445">
                    <c:v>1.0653614368768341E-2</c:v>
                  </c:pt>
                  <c:pt idx="446">
                    <c:v>5.8804991707985949E-3</c:v>
                  </c:pt>
                  <c:pt idx="447">
                    <c:v>1.2630765167052221E-3</c:v>
                  </c:pt>
                  <c:pt idx="448">
                    <c:v>-3.2026587120184968E-3</c:v>
                  </c:pt>
                  <c:pt idx="449">
                    <c:v>-7.5206467127302556E-3</c:v>
                  </c:pt>
                  <c:pt idx="450">
                    <c:v>-1.1694773191754285E-2</c:v>
                  </c:pt>
                  <c:pt idx="451">
                    <c:v>-1.572886516702586E-2</c:v>
                  </c:pt>
                  <c:pt idx="452">
                    <c:v>-1.9626689894596344E-2</c:v>
                  </c:pt>
                  <c:pt idx="453">
                    <c:v>-2.3391953909085675E-2</c:v>
                  </c:pt>
                  <c:pt idx="454">
                    <c:v>-2.7028302174479629E-2</c:v>
                  </c:pt>
                  <c:pt idx="455">
                    <c:v>-3.053931734162571E-2</c:v>
                  </c:pt>
                  <c:pt idx="456">
                    <c:v>-3.3928519108741298E-2</c:v>
                  </c:pt>
                  <c:pt idx="457">
                    <c:v>-3.7199363681248279E-2</c:v>
                  </c:pt>
                  <c:pt idx="458">
                    <c:v>-4.0355243327373266E-2</c:v>
                  </c:pt>
                  <c:pt idx="459">
                    <c:v>-4.3399486025782308E-2</c:v>
                  </c:pt>
                  <c:pt idx="460">
                    <c:v>-4.6335355201624892E-2</c:v>
                  </c:pt>
                  <c:pt idx="461">
                    <c:v>-4.916604954748445E-2</c:v>
                  </c:pt>
                  <c:pt idx="462">
                    <c:v>-5.1894702925579184E-2</c:v>
                  </c:pt>
                  <c:pt idx="463">
                    <c:v>-5.4524384347723776E-2</c:v>
                  </c:pt>
                  <c:pt idx="464">
                    <c:v>-5.7058098029570056E-2</c:v>
                  </c:pt>
                  <c:pt idx="465">
                    <c:v>-5.9498783515658488E-2</c:v>
                  </c:pt>
                  <c:pt idx="466">
                    <c:v>-6.1849315871909921E-2</c:v>
                  </c:pt>
                  <c:pt idx="467">
                    <c:v>-6.4112505942176073E-2</c:v>
                  </c:pt>
                  <c:pt idx="468">
                    <c:v>-6.6291100665607519E-2</c:v>
                  </c:pt>
                  <c:pt idx="469">
                    <c:v>-6.8387783451590009E-2</c:v>
                  </c:pt>
                  <c:pt idx="470">
                    <c:v>-7.0405174609054932E-2</c:v>
                  </c:pt>
                  <c:pt idx="471">
                    <c:v>-7.2345831827117471E-2</c:v>
                  </c:pt>
                  <c:pt idx="472">
                    <c:v>-7.4212250703947658E-2</c:v>
                  </c:pt>
                  <c:pt idx="473">
                    <c:v>-7.6006865320941641E-2</c:v>
                  </c:pt>
                  <c:pt idx="474">
                    <c:v>-7.7732048859299935E-2</c:v>
                  </c:pt>
                  <c:pt idx="475">
                    <c:v>-7.9390114256170208E-2</c:v>
                  </c:pt>
                  <c:pt idx="476">
                    <c:v>-8.098331489760191E-2</c:v>
                  </c:pt>
                  <c:pt idx="477">
                    <c:v>-8.2513845345655257E-2</c:v>
                  </c:pt>
                  <c:pt idx="478">
                    <c:v>-8.3983842097079764E-2</c:v>
                  </c:pt>
                  <c:pt idx="479">
                    <c:v>-8.5395384370988481E-2</c:v>
                  </c:pt>
                  <c:pt idx="480">
                    <c:v>-8.6750494923136412E-2</c:v>
                  </c:pt>
                  <c:pt idx="481">
                    <c:v>-8.8051140884418344E-2</c:v>
                  </c:pt>
                  <c:pt idx="482">
                    <c:v>-8.9299234621281365E-2</c:v>
                  </c:pt>
                  <c:pt idx="483">
                    <c:v>-9.0496634615889457E-2</c:v>
                  </c:pt>
                  <c:pt idx="484">
                    <c:v>-9.1645146363864005E-2</c:v>
                  </c:pt>
                  <c:pt idx="485">
                    <c:v>-9.2746523287571062E-2</c:v>
                  </c:pt>
                  <c:pt idx="486">
                    <c:v>-9.3802467662975675E-2</c:v>
                  </c:pt>
                  <c:pt idx="487">
                    <c:v>-9.4814631558171797E-2</c:v>
                  </c:pt>
                  <c:pt idx="488">
                    <c:v>-9.5784617781771886E-2</c:v>
                  </c:pt>
                  <c:pt idx="489">
                    <c:v>-9.6713980839402552E-2</c:v>
                  </c:pt>
                  <c:pt idx="490">
                    <c:v>-9.7604227896638085E-2</c:v>
                  </c:pt>
                  <c:pt idx="491">
                    <c:v>-9.8456819746787411E-2</c:v>
                  </c:pt>
                  <c:pt idx="492">
                    <c:v>-9.9273171782019137E-2</c:v>
                  </c:pt>
                  <c:pt idx="493">
                    <c:v>-0.10005465496636046</c:v>
                  </c:pt>
                  <c:pt idx="494">
                    <c:v>-0.10080259680919279</c:v>
                  </c:pt>
                  <c:pt idx="495">
                    <c:v>-0.10151828233796426</c:v>
                  </c:pt>
                  <c:pt idx="496">
                    <c:v>-0.10220295506884447</c:v>
                  </c:pt>
                  <c:pt idx="497">
                    <c:v>-0.10285781797417129</c:v>
                  </c:pt>
                  <c:pt idx="498">
                    <c:v>-0.10348403444558377</c:v>
                  </c:pt>
                  <c:pt idx="499">
                    <c:v>-0.1040827292517819</c:v>
                  </c:pt>
                  <c:pt idx="500">
                    <c:v>-0.10465498948995272</c:v>
                  </c:pt>
                  <c:pt idx="501">
                    <c:v>-0.10520186552993088</c:v>
                  </c:pt>
                  <c:pt idx="502">
                    <c:v>-0.10572437195023994</c:v>
                  </c:pt>
                  <c:pt idx="503">
                    <c:v>-0.10622348846520627</c:v>
                  </c:pt>
                  <c:pt idx="504">
                    <c:v>-0.10670016084240438</c:v>
                  </c:pt>
                  <c:pt idx="505">
                    <c:v>-0.10715530180973865</c:v>
                  </c:pt>
                  <c:pt idx="506">
                    <c:v>-0.1075897919515201</c:v>
                  </c:pt>
                  <c:pt idx="507">
                    <c:v>-0.10800448059295188</c:v>
                  </c:pt>
                  <c:pt idx="508">
                    <c:v>-0.10840018667247867</c:v>
                  </c:pt>
                  <c:pt idx="509">
                    <c:v>-0.10877769960151186</c:v>
                  </c:pt>
                  <c:pt idx="510">
                    <c:v>-0.10913778011107979</c:v>
                  </c:pt>
                  <c:pt idx="511">
                    <c:v>-0.10948116108499883</c:v>
                  </c:pt>
                  <c:pt idx="512">
                    <c:v>-0.10980854837920771</c:v>
                  </c:pt>
                  <c:pt idx="513">
                    <c:v>-0.11012062162693805</c:v>
                  </c:pt>
                  <c:pt idx="514">
                    <c:v>-0.11041803502944487</c:v>
                  </c:pt>
                  <c:pt idx="515">
                    <c:v>-0.11070141813204826</c:v>
                  </c:pt>
                  <c:pt idx="516">
                    <c:v>-0.11097137658527544</c:v>
                  </c:pt>
                  <c:pt idx="517">
                    <c:v>-0.11122849289093309</c:v>
                  </c:pt>
                  <c:pt idx="518">
                    <c:v>-0.11147332713296157</c:v>
                  </c:pt>
                  <c:pt idx="519">
                    <c:v>-0.11170641769295793</c:v>
                  </c:pt>
                  <c:pt idx="520">
                    <c:v>-0.11192828195028849</c:v>
                  </c:pt>
                  <c:pt idx="521">
                    <c:v>-0.11213941696673221</c:v>
                  </c:pt>
                  <c:pt idx="522">
                    <c:v>-0.11234030015562621</c:v>
                  </c:pt>
                  <c:pt idx="523">
                    <c:v>-0.11253138993550992</c:v>
                  </c:pt>
                  <c:pt idx="524">
                    <c:v>-0.11271312636828337</c:v>
                  </c:pt>
                  <c:pt idx="525">
                    <c:v>-0.11288593178192513</c:v>
                  </c:pt>
                  <c:pt idx="526">
                    <c:v>-0.11305021137783038</c:v>
                  </c:pt>
                  <c:pt idx="527">
                    <c:v>-0.11320635382284579</c:v>
                  </c:pt>
                  <c:pt idx="528">
                    <c:v>-0.11335473182610822</c:v>
                  </c:pt>
                  <c:pt idx="529">
                    <c:v>-0.11349570270079784</c:v>
                  </c:pt>
                  <c:pt idx="530">
                    <c:v>-0.11362960891093984</c:v>
                  </c:pt>
                  <c:pt idx="531">
                    <c:v>-0.11375677860340308</c:v>
                  </c:pt>
                  <c:pt idx="532">
                    <c:v>-0.11387752612525293</c:v>
                  </c:pt>
                  <c:pt idx="533">
                    <c:v>-0.11399215252663568</c:v>
                  </c:pt>
                  <c:pt idx="534">
                    <c:v>-0.11410094604937476</c:v>
                  </c:pt>
                  <c:pt idx="535">
                    <c:v>-0.11420418260147662</c:v>
                  </c:pt>
                  <c:pt idx="536">
                    <c:v>-0.1143021262177514</c:v>
                  </c:pt>
                  <c:pt idx="537">
                    <c:v>-0.11439502950675912</c:v>
                  </c:pt>
                  <c:pt idx="538">
                    <c:v>-0.11448313408430491</c:v>
                  </c:pt>
                  <c:pt idx="539">
                    <c:v>-0.11456667099371089</c:v>
                  </c:pt>
                  <c:pt idx="540">
                    <c:v>-0.11464586111309821</c:v>
                  </c:pt>
                  <c:pt idx="541">
                    <c:v>-0.11472091554992042</c:v>
                  </c:pt>
                  <c:pt idx="542">
                    <c:v>-0.11479203602299098</c:v>
                  </c:pt>
                  <c:pt idx="543">
                    <c:v>-0.1148594152322554</c:v>
                  </c:pt>
                  <c:pt idx="544">
                    <c:v>-0.11492323721655742</c:v>
                  </c:pt>
                  <c:pt idx="545">
                    <c:v>-0.11498367769965548</c:v>
                  </c:pt>
                  <c:pt idx="546">
                    <c:v>-0.11504090442474624</c:v>
                  </c:pt>
                  <c:pt idx="547">
                    <c:v>-0.11509507747775143</c:v>
                  </c:pt>
                  <c:pt idx="548">
                    <c:v>-0.11514634959962969</c:v>
                  </c:pt>
                  <c:pt idx="549">
                    <c:v>-0.11519486648797182</c:v>
                  </c:pt>
                  <c:pt idx="550">
                    <c:v>-0.11524076708813923</c:v>
                  </c:pt>
                  <c:pt idx="551">
                    <c:v>-0.11528418387420611</c:v>
                  </c:pt>
                  <c:pt idx="552">
                    <c:v>-0.11532524311996312</c:v>
                  </c:pt>
                  <c:pt idx="553">
                    <c:v>-0.11536406516024068</c:v>
                  </c:pt>
                  <c:pt idx="554">
                    <c:v>-0.11540076464280778</c:v>
                  </c:pt>
                  <c:pt idx="555">
                    <c:v>-0.11543545077110078</c:v>
                  </c:pt>
                  <c:pt idx="556">
                    <c:v>-0.1154682275380339</c:v>
                  </c:pt>
                  <c:pt idx="557">
                    <c:v>-0.11549919395114128</c:v>
                  </c:pt>
                  <c:pt idx="558">
                    <c:v>-0.11552844424929765</c:v>
                  </c:pt>
                  <c:pt idx="559">
                    <c:v>-0.1155560681112614</c:v>
                  </c:pt>
                  <c:pt idx="560">
                    <c:v>-0.11558215085628086</c:v>
                  </c:pt>
                  <c:pt idx="561">
                    <c:v>-0.1156067736370012</c:v>
                  </c:pt>
                  <c:pt idx="562">
                    <c:v>-0.11563001362490612</c:v>
                  </c:pt>
                  <c:pt idx="563">
                    <c:v>-0.1156519441885242</c:v>
                  </c:pt>
                  <c:pt idx="564">
                    <c:v>-0.11567263506462623</c:v>
                  </c:pt>
                  <c:pt idx="565">
                    <c:v>-0.11569215252263589</c:v>
                  </c:pt>
                  <c:pt idx="566">
                    <c:v>-0.11571055952247206</c:v>
                  </c:pt>
                  <c:pt idx="567">
                    <c:v>-0.11572791586603652</c:v>
                  </c:pt>
                  <c:pt idx="568">
                    <c:v>-0.11574427834255688</c:v>
                  </c:pt>
                  <c:pt idx="569">
                    <c:v>-0.11575970086798995</c:v>
                  </c:pt>
                  <c:pt idx="570">
                    <c:v>-0.11577423461868655</c:v>
                  </c:pt>
                  <c:pt idx="571">
                    <c:v>-0.11578792815951389</c:v>
                  </c:pt>
                  <c:pt idx="572">
                    <c:v>-0.11580082756662791</c:v>
                  </c:pt>
                  <c:pt idx="573">
                    <c:v>-0.11581297654508226</c:v>
                  </c:pt>
                  <c:pt idx="574">
                    <c:v>-0.11582441654145725</c:v>
                  </c:pt>
                  <c:pt idx="575">
                    <c:v>-0.11583518685168688</c:v>
                  </c:pt>
                  <c:pt idx="576">
                    <c:v>-0.11584532472425736</c:v>
                  </c:pt>
                  <c:pt idx="577">
                    <c:v>-0.1158548654589466</c:v>
                  </c:pt>
                  <c:pt idx="578">
                    <c:v>-0.11586384250126909</c:v>
                  </c:pt>
                  <c:pt idx="579">
                    <c:v>-0.11587228753278626</c:v>
                  </c:pt>
                  <c:pt idx="580">
                    <c:v>-0.11588023055743808</c:v>
                  </c:pt>
                  <c:pt idx="581">
                    <c:v>-0.11588769998220114</c:v>
                  </c:pt>
                  <c:pt idx="582">
                    <c:v>-0.11589472270346782</c:v>
                  </c:pt>
                  <c:pt idx="583">
                    <c:v>-0.1159013241725672</c:v>
                  </c:pt>
                  <c:pt idx="584">
                    <c:v>-0.11590752846802896</c:v>
                  </c:pt>
                  <c:pt idx="585">
                    <c:v>-0.11591335837377507</c:v>
                  </c:pt>
                  <c:pt idx="586">
                    <c:v>-0.11591883543666616</c:v>
                  </c:pt>
                  <c:pt idx="587">
                    <c:v>-0.11592398003100907</c:v>
                  </c:pt>
                  <c:pt idx="588">
                    <c:v>-0.11592881141813915</c:v>
                  </c:pt>
                  <c:pt idx="589">
                    <c:v>-0.11593334780323111</c:v>
                  </c:pt>
                  <c:pt idx="590">
                    <c:v>-0.11593760638945237</c:v>
                  </c:pt>
                  <c:pt idx="591">
                    <c:v>-0.11594160342956909</c:v>
                  </c:pt>
                  <c:pt idx="592">
                    <c:v>-0.11594535427511087</c:v>
                  </c:pt>
                  <c:pt idx="593">
                    <c:v>-0.1159488734231969</c:v>
                  </c:pt>
                  <c:pt idx="594">
                    <c:v>-0.11595217456112281</c:v>
                  </c:pt>
                  <c:pt idx="595">
                    <c:v>-0.11595527060880338</c:v>
                  </c:pt>
                  <c:pt idx="596">
                    <c:v>-0.11595817375916362</c:v>
                  </c:pt>
                  <c:pt idx="597">
                    <c:v>-0.11596089551656692</c:v>
                  </c:pt>
                  <c:pt idx="598">
                    <c:v>-0.11596344673336595</c:v>
                  </c:pt>
                  <c:pt idx="599">
                    <c:v>-0.11596583764465852</c:v>
                  </c:pt>
                  <c:pt idx="600">
                    <c:v>-0.1159680779013281</c:v>
                  </c:pt>
                  <c:pt idx="601">
                    <c:v>-0.1159701766014451</c:v>
                  </c:pt>
                  <c:pt idx="602">
                    <c:v>-0.11597214232010244</c:v>
                  </c:pt>
                  <c:pt idx="603">
                    <c:v>-0.11597398313775623</c:v>
                  </c:pt>
                  <c:pt idx="604">
                    <c:v>-0.11597570666713894</c:v>
                  </c:pt>
                  <c:pt idx="605">
                    <c:v>-0.11597732007881106</c:v>
                  </c:pt>
                  <c:pt idx="606">
                    <c:v>-0.11597883012541307</c:v>
                  </c:pt>
                  <c:pt idx="607">
                    <c:v>-0.11598024316467843</c:v>
                  </c:pt>
                  <c:pt idx="608">
                    <c:v>-0.11598156518126501</c:v>
                  </c:pt>
                  <c:pt idx="609">
                    <c:v>-0.11598280180746047</c:v>
                  </c:pt>
                  <c:pt idx="610">
                    <c:v>-0.11598395834281448</c:v>
                  </c:pt>
                  <c:pt idx="611">
                    <c:v>-0.11598503977274889</c:v>
                  </c:pt>
                  <c:pt idx="612">
                    <c:v>-0.11598605078619438</c:v>
                  </c:pt>
                  <c:pt idx="613">
                    <c:v>-0.11598699579230047</c:v>
                  </c:pt>
                  <c:pt idx="614">
                    <c:v>-0.11598787893626354</c:v>
                  </c:pt>
                  <c:pt idx="615">
                    <c:v>-0.11598870411431554</c:v>
                  </c:pt>
                  <c:pt idx="616">
                    <c:v>-0.11598947498791456</c:v>
                  </c:pt>
                  <c:pt idx="617">
                    <c:v>-0.11599019499717629</c:v>
                  </c:pt>
                  <c:pt idx="618">
                    <c:v>-0.11599086737358381</c:v>
                  </c:pt>
                  <c:pt idx="619">
                    <c:v>-0.11599149515201161</c:v>
                  </c:pt>
                  <c:pt idx="620">
                    <c:v>-0.11599208118209796</c:v>
                  </c:pt>
                  <c:pt idx="621">
                    <c:v>-0.11599262813899831</c:v>
                  </c:pt>
                  <c:pt idx="622">
                    <c:v>-0.11599313853355105</c:v>
                  </c:pt>
                  <c:pt idx="623">
                    <c:v>-0.11599361472188512</c:v>
                  </c:pt>
                  <c:pt idx="624">
                    <c:v>-0.11599405891449825</c:v>
                  </c:pt>
                  <c:pt idx="625">
                    <c:v>-0.11599447318483272</c:v>
                  </c:pt>
                  <c:pt idx="626">
                    <c:v>-0.1159948594773744</c:v>
                  </c:pt>
                  <c:pt idx="627">
                    <c:v>-0.11599521961529999</c:v>
                  </c:pt>
                  <c:pt idx="628">
                    <c:v>-0.11599555530769584</c:v>
                  </c:pt>
                  <c:pt idx="629">
                    <c:v>-0.11599586815637052</c:v>
                  </c:pt>
                  <c:pt idx="630">
                    <c:v>-0.11599615966228273</c:v>
                  </c:pt>
                  <c:pt idx="631">
                    <c:v>-0.1159964312316047</c:v>
                  </c:pt>
                  <c:pt idx="632">
                    <c:v>-0.11599668418144049</c:v>
                  </c:pt>
                  <c:pt idx="633">
                    <c:v>-0.11599691974521729</c:v>
                  </c:pt>
                  <c:pt idx="634">
                    <c:v>-0.11599713907776768</c:v>
                  </c:pt>
                  <c:pt idx="635">
                    <c:v>-0.11599734326011892</c:v>
                  </c:pt>
                  <c:pt idx="636">
                    <c:v>-0.11599753330400552</c:v>
                  </c:pt>
                  <c:pt idx="637">
                    <c:v>-0.11599771015611983</c:v>
                  </c:pt>
                  <c:pt idx="638">
                    <c:v>-0.11599787470211512</c:v>
                  </c:pt>
                  <c:pt idx="639">
                    <c:v>-0.11599802777037437</c:v>
                  </c:pt>
                  <c:pt idx="640">
                    <c:v>-0.1159981701355581</c:v>
                  </c:pt>
                  <c:pt idx="641">
                    <c:v>-0.11599830252194306</c:v>
                  </c:pt>
                  <c:pt idx="642">
                    <c:v>-0.11599842560656348</c:v>
                  </c:pt>
                  <c:pt idx="643">
                    <c:v>-0.11599854002216604</c:v>
                  </c:pt>
                  <c:pt idx="644">
                    <c:v>-0.1159986463599887</c:v>
                  </c:pt>
                  <c:pt idx="645">
                    <c:v>-0.11599874517237352</c:v>
                  </c:pt>
                  <c:pt idx="646">
                    <c:v>-0.11599883697522266</c:v>
                  </c:pt>
                  <c:pt idx="647">
                    <c:v>-0.11599892225030656</c:v>
                  </c:pt>
                  <c:pt idx="648">
                    <c:v>-0.11599900144743268</c:v>
                  </c:pt>
                  <c:pt idx="649">
                    <c:v>-0.11599907498648272</c:v>
                  </c:pt>
                  <c:pt idx="650">
                    <c:v>-0.11599914325932587</c:v>
                  </c:pt>
                  <c:pt idx="651">
                    <c:v>-0.11599920663161523</c:v>
                  </c:pt>
                  <c:pt idx="652">
                    <c:v>-0.11599926544447425</c:v>
                  </c:pt>
                  <c:pt idx="653">
                    <c:v>-0.11599932001607947</c:v>
                  </c:pt>
                  <c:pt idx="654">
                    <c:v>-0.1159993706431455</c:v>
                  </c:pt>
                  <c:pt idx="655">
                    <c:v>-0.1159994176023182</c:v>
                  </c:pt>
                  <c:pt idx="656">
                    <c:v>-0.11599946115148137</c:v>
                  </c:pt>
                  <c:pt idx="657">
                    <c:v>-0.11599950153098186</c:v>
                  </c:pt>
                  <c:pt idx="658">
                    <c:v>-0.11599953896477826</c:v>
                  </c:pt>
                  <c:pt idx="659">
                    <c:v>-0.11599957366151729</c:v>
                  </c:pt>
                  <c:pt idx="660">
                    <c:v>-0.11599960581554278</c:v>
                  </c:pt>
                  <c:pt idx="661">
                    <c:v>-0.11599963560784057</c:v>
                  </c:pt>
                  <c:pt idx="662">
                    <c:v>-0.11599966320692381</c:v>
                  </c:pt>
                  <c:pt idx="663">
                    <c:v>-0.11599968876966189</c:v>
                  </c:pt>
                  <c:pt idx="664">
                    <c:v>-0.11599971244205649</c:v>
                  </c:pt>
                  <c:pt idx="665">
                    <c:v>-0.1159997343599681</c:v>
                  </c:pt>
                  <c:pt idx="666">
                    <c:v>-0.11599975464979573</c:v>
                  </c:pt>
                  <c:pt idx="667">
                    <c:v>-0.11599977342911302</c:v>
                  </c:pt>
                  <c:pt idx="668">
                    <c:v>-0.11599979080726329</c:v>
                  </c:pt>
                  <c:pt idx="669">
                    <c:v>-0.11599980688591582</c:v>
                  </c:pt>
                  <c:pt idx="670">
                    <c:v>-0.11599982175958627</c:v>
                  </c:pt>
                  <c:pt idx="671">
                    <c:v>-0.11599983551612292</c:v>
                  </c:pt>
                  <c:pt idx="672">
                    <c:v>-0.11599984823716131</c:v>
                  </c:pt>
                  <c:pt idx="673">
                    <c:v>-0.11599985999854892</c:v>
                  </c:pt>
                  <c:pt idx="674">
                    <c:v>-0.11599987087074198</c:v>
                  </c:pt>
                  <c:pt idx="675">
                    <c:v>-0.1159998809191761</c:v>
                  </c:pt>
                  <c:pt idx="676">
                    <c:v>-0.11599989020461229</c:v>
                  </c:pt>
                  <c:pt idx="677">
                    <c:v>-0.11599989878346015</c:v>
                  </c:pt>
                  <c:pt idx="678">
                    <c:v>-0.11599990670807932</c:v>
                  </c:pt>
                  <c:pt idx="679">
                    <c:v>-0.11599991402706104</c:v>
                  </c:pt>
                  <c:pt idx="680">
                    <c:v>-0.11599992078549069</c:v>
                  </c:pt>
                  <c:pt idx="681">
                    <c:v>-0.1159999270251927</c:v>
                  </c:pt>
                  <c:pt idx="682">
                    <c:v>-0.11599993278495901</c:v>
                  </c:pt>
                  <c:pt idx="683">
                    <c:v>-0.11599993810076215</c:v>
                  </c:pt>
                  <c:pt idx="684">
                    <c:v>-0.11599994300595362</c:v>
                  </c:pt>
                  <c:pt idx="685">
                    <c:v>-0.11599994753144915</c:v>
                  </c:pt>
                  <c:pt idx="686">
                    <c:v>-0.11599995170590101</c:v>
                  </c:pt>
                  <c:pt idx="687">
                    <c:v>-0.11599995555585874</c:v>
                  </c:pt>
                  <c:pt idx="688">
                    <c:v>-0.11599995910591875</c:v>
                  </c:pt>
                  <c:pt idx="689">
                    <c:v>-0.1159999623788637</c:v>
                  </c:pt>
                  <c:pt idx="690">
                    <c:v>-0.11599996539579227</c:v>
                  </c:pt>
                  <c:pt idx="691">
                    <c:v>-0.11599996817623986</c:v>
                  </c:pt>
                  <c:pt idx="692">
                    <c:v>-0.11599997073829105</c:v>
                  </c:pt>
                  <c:pt idx="693">
                    <c:v>-0.11599997309868416</c:v>
                  </c:pt>
                  <c:pt idx="694">
                    <c:v>-0.11599997527290858</c:v>
                  </c:pt>
                  <c:pt idx="695">
                    <c:v>-0.11599997727529514</c:v>
                  </c:pt>
                  <c:pt idx="696">
                    <c:v>-0.1159999791191004</c:v>
                  </c:pt>
                  <c:pt idx="697">
                    <c:v>-0.11599998081658483</c:v>
                  </c:pt>
                  <c:pt idx="698">
                    <c:v>-0.11599998237908546</c:v>
                  </c:pt>
                  <c:pt idx="699">
                    <c:v>-0.11599998381708353</c:v>
                  </c:pt>
                  <c:pt idx="700">
                    <c:v>-0.11599998514026723</c:v>
                  </c:pt>
                  <c:pt idx="701">
                    <c:v>-0.11599998635759005</c:v>
                  </c:pt>
                  <c:pt idx="702">
                    <c:v>-0.11599998747732494</c:v>
                  </c:pt>
                  <c:pt idx="703">
                    <c:v>-0.11599998850711458</c:v>
                  </c:pt>
                  <c:pt idx="704">
                    <c:v>-0.11599998945401808</c:v>
                  </c:pt>
                  <c:pt idx="705">
                    <c:v>-0.11599999032455437</c:v>
                  </c:pt>
                  <c:pt idx="706">
                    <c:v>-0.11599999112474232</c:v>
                  </c:pt>
                  <c:pt idx="707">
                    <c:v>-0.11599999186013817</c:v>
                  </c:pt>
                  <c:pt idx="708">
                    <c:v>-0.11599999253587003</c:v>
                  </c:pt>
                  <c:pt idx="709">
                    <c:v>-0.11599999315667002</c:v>
                  </c:pt>
                  <c:pt idx="710">
                    <c:v>-0.11599999372690412</c:v>
                  </c:pt>
                  <c:pt idx="711">
                    <c:v>-0.11599999425059958</c:v>
                  </c:pt>
                  <c:pt idx="712">
                    <c:v>-0.11599999473147068</c:v>
                  </c:pt>
                  <c:pt idx="713">
                    <c:v>-0.11599999517294231</c:v>
                  </c:pt>
                  <c:pt idx="714">
                    <c:v>-0.11599999557817196</c:v>
                  </c:pt>
                  <c:pt idx="715">
                    <c:v>-0.11599999595007006</c:v>
                  </c:pt>
                  <c:pt idx="716">
                    <c:v>-0.11599999629131882</c:v>
                  </c:pt>
                  <c:pt idx="717">
                    <c:v>-0.11599999660438966</c:v>
                  </c:pt>
                  <c:pt idx="718">
                    <c:v>-0.11599999689155933</c:v>
                  </c:pt>
                  <c:pt idx="719">
                    <c:v>-0.11599999715492494</c:v>
                  </c:pt>
                  <c:pt idx="720">
                    <c:v>-0.11599999739641766</c:v>
                  </c:pt>
                  <c:pt idx="721">
                    <c:v>-0.1159999976178156</c:v>
                  </c:pt>
                  <c:pt idx="722">
                    <c:v>-0.11599999782075564</c:v>
                  </c:pt>
                  <c:pt idx="723">
                    <c:v>-0.11599999800674431</c:v>
                  </c:pt>
                  <c:pt idx="724">
                    <c:v>-0.115999998177168</c:v>
                  </c:pt>
                  <c:pt idx="725">
                    <c:v>-0.11599999833330221</c:v>
                  </c:pt>
                  <c:pt idx="726">
                    <c:v>-0.11599999847632031</c:v>
                  </c:pt>
                  <c:pt idx="727">
                    <c:v>-0.11599999860730141</c:v>
                  </c:pt>
                  <c:pt idx="728">
                    <c:v>-0.11599999872723785</c:v>
                  </c:pt>
                  <c:pt idx="729">
                    <c:v>-0.11599999883704193</c:v>
                  </c:pt>
                  <c:pt idx="730">
                    <c:v>-0.11599999893755226</c:v>
                  </c:pt>
                  <c:pt idx="731">
                    <c:v>-0.11599999902953956</c:v>
                  </c:pt>
                  <c:pt idx="732">
                    <c:v>-0.115999999113712</c:v>
                  </c:pt>
                  <c:pt idx="733">
                    <c:v>-0.11599999919072021</c:v>
                  </c:pt>
                  <c:pt idx="734">
                    <c:v>-0.11599999926116179</c:v>
                  </c:pt>
                  <c:pt idx="735">
                    <c:v>-0.11599999932558559</c:v>
                  </c:pt>
                  <c:pt idx="736">
                    <c:v>-0.11599999938449554</c:v>
                  </c:pt>
                  <c:pt idx="737">
                    <c:v>-0.11599999943835425</c:v>
                  </c:pt>
                  <c:pt idx="738">
                    <c:v>-0.11599999948758637</c:v>
                  </c:pt>
                  <c:pt idx="739">
                    <c:v>-0.11599999953258158</c:v>
                  </c:pt>
                  <c:pt idx="740">
                    <c:v>-0.11599999957369743</c:v>
                  </c:pt>
                  <c:pt idx="741">
                    <c:v>-0.11599999961126192</c:v>
                  </c:pt>
                  <c:pt idx="742">
                    <c:v>-0.1159999996455759</c:v>
                  </c:pt>
                  <c:pt idx="743">
                    <c:v>-0.11599999967691527</c:v>
                  </c:pt>
                  <c:pt idx="744">
                    <c:v>-0.11599999970553293</c:v>
                  </c:pt>
                  <c:pt idx="745">
                    <c:v>-0.11599999973166079</c:v>
                  </c:pt>
                  <c:pt idx="746">
                    <c:v>-0.11599999975551137</c:v>
                  </c:pt>
                  <c:pt idx="747">
                    <c:v>-0.11599999977727943</c:v>
                  </c:pt>
                  <c:pt idx="748">
                    <c:v>-0.11599999979714337</c:v>
                  </c:pt>
                  <c:pt idx="749">
                    <c:v>-0.11599999981526667</c:v>
                  </c:pt>
                  <c:pt idx="750">
                    <c:v>-0.115999999831799</c:v>
                  </c:pt>
                  <c:pt idx="751">
                    <c:v>-0.11599999984687746</c:v>
                  </c:pt>
                  <c:pt idx="752">
                    <c:v>-0.11599999986062755</c:v>
                  </c:pt>
                  <c:pt idx="753">
                    <c:v>-0.11599999987316413</c:v>
                  </c:pt>
                  <c:pt idx="754">
                    <c:v>-0.11599999988459236</c:v>
                  </c:pt>
                  <c:pt idx="755">
                    <c:v>-0.11599999989500845</c:v>
                  </c:pt>
                  <c:pt idx="756">
                    <c:v>-0.1159999999045004</c:v>
                  </c:pt>
                  <c:pt idx="757">
                    <c:v>-0.11599999991314873</c:v>
                  </c:pt>
                  <c:pt idx="758">
                    <c:v>-0.11599999992102708</c:v>
                  </c:pt>
                  <c:pt idx="759">
                    <c:v>-0.11599999992820278</c:v>
                  </c:pt>
                  <c:pt idx="760">
                    <c:v>-0.11599999993473738</c:v>
                  </c:pt>
                  <c:pt idx="761">
                    <c:v>-0.11599999994068712</c:v>
                  </c:pt>
                  <c:pt idx="762">
                    <c:v>-0.11599999994610345</c:v>
                  </c:pt>
                  <c:pt idx="763">
                    <c:v>-0.11599999995103334</c:v>
                  </c:pt>
                  <c:pt idx="764">
                    <c:v>-0.11599999995551973</c:v>
                  </c:pt>
                  <c:pt idx="765">
                    <c:v>-0.11599999995960179</c:v>
                  </c:pt>
                  <c:pt idx="766">
                    <c:v>-0.11599999996331535</c:v>
                  </c:pt>
                  <c:pt idx="767">
                    <c:v>-0.11599999996669309</c:v>
                  </c:pt>
                  <c:pt idx="768">
                    <c:v>-0.11599999996976487</c:v>
                  </c:pt>
                  <c:pt idx="769">
                    <c:v>-0.11599999997255792</c:v>
                  </c:pt>
                  <c:pt idx="770">
                    <c:v>-0.11599999997509709</c:v>
                  </c:pt>
                  <c:pt idx="771">
                    <c:v>-0.11599999997740508</c:v>
                  </c:pt>
                  <c:pt idx="772">
                    <c:v>-0.11599999997950258</c:v>
                  </c:pt>
                  <c:pt idx="773">
                    <c:v>-0.11599999998140846</c:v>
                  </c:pt>
                  <c:pt idx="774">
                    <c:v>-0.11599999998313994</c:v>
                  </c:pt>
                  <c:pt idx="775">
                    <c:v>-0.11599999998471269</c:v>
                  </c:pt>
                  <c:pt idx="776">
                    <c:v>-0.11599999998614104</c:v>
                  </c:pt>
                  <c:pt idx="777">
                    <c:v>-0.11599999998743801</c:v>
                  </c:pt>
                  <c:pt idx="778">
                    <c:v>-0.11599999998861552</c:v>
                  </c:pt>
                  <c:pt idx="779">
                    <c:v>-0.11599999998968434</c:v>
                  </c:pt>
                  <c:pt idx="780">
                    <c:v>-0.11599999999065438</c:v>
                  </c:pt>
                  <c:pt idx="781">
                    <c:v>-0.11599999999153461</c:v>
                  </c:pt>
                  <c:pt idx="782">
                    <c:v>-0.11599999999233319</c:v>
                  </c:pt>
                  <c:pt idx="783">
                    <c:v>-0.1159999999930576</c:v>
                  </c:pt>
                  <c:pt idx="784">
                    <c:v>-0.1159999999937146</c:v>
                  </c:pt>
                  <c:pt idx="785">
                    <c:v>-0.11599999999431038</c:v>
                  </c:pt>
                  <c:pt idx="786">
                    <c:v>-0.11599999999485053</c:v>
                  </c:pt>
                  <c:pt idx="787">
                    <c:v>-0.11599999999534016</c:v>
                  </c:pt>
                  <c:pt idx="788">
                    <c:v>-0.11599999999578395</c:v>
                  </c:pt>
                  <c:pt idx="789">
                    <c:v>-0.1159999999961861</c:v>
                  </c:pt>
                  <c:pt idx="790">
                    <c:v>-0.11599999999655046</c:v>
                  </c:pt>
                  <c:pt idx="791">
                    <c:v>-0.11599999999688053</c:v>
                  </c:pt>
                  <c:pt idx="792">
                    <c:v>-0.11599999999717948</c:v>
                  </c:pt>
                  <c:pt idx="793">
                    <c:v>-0.11599999999745021</c:v>
                  </c:pt>
                  <c:pt idx="794">
                    <c:v>-0.11599999999769532</c:v>
                  </c:pt>
                  <c:pt idx="795">
                    <c:v>-0.11599999999791723</c:v>
                  </c:pt>
                  <c:pt idx="796">
                    <c:v>-0.11599999999811807</c:v>
                  </c:pt>
                  <c:pt idx="797">
                    <c:v>-0.11599999999829984</c:v>
                  </c:pt>
                  <c:pt idx="798">
                    <c:v>-0.11599999999846429</c:v>
                  </c:pt>
                  <c:pt idx="799">
                    <c:v>-0.11599999999861307</c:v>
                  </c:pt>
                  <c:pt idx="800">
                    <c:v>-0.11599999999874765</c:v>
                  </c:pt>
                  <c:pt idx="801">
                    <c:v>-0.11599999999886934</c:v>
                  </c:pt>
                  <c:pt idx="802">
                    <c:v>-0.11599999999897938</c:v>
                  </c:pt>
                  <c:pt idx="803">
                    <c:v>-0.11599999999907887</c:v>
                  </c:pt>
                  <c:pt idx="804">
                    <c:v>-0.1159999999991688</c:v>
                  </c:pt>
                  <c:pt idx="805">
                    <c:v>-0.11599999999925006</c:v>
                  </c:pt>
                  <c:pt idx="806">
                    <c:v>-0.11599999999932349</c:v>
                  </c:pt>
                  <c:pt idx="807">
                    <c:v>-0.11599999999938984</c:v>
                  </c:pt>
                  <c:pt idx="808">
                    <c:v>-0.11599999999944977</c:v>
                  </c:pt>
                  <c:pt idx="809">
                    <c:v>-0.11599999999950389</c:v>
                  </c:pt>
                  <c:pt idx="810">
                    <c:v>-0.11599999999955277</c:v>
                  </c:pt>
                  <c:pt idx="811">
                    <c:v>-0.1159999999995969</c:v>
                  </c:pt>
                  <c:pt idx="812">
                    <c:v>-0.11599999999963673</c:v>
                  </c:pt>
                  <c:pt idx="813">
                    <c:v>-0.11599999999967267</c:v>
                  </c:pt>
                  <c:pt idx="814">
                    <c:v>-0.11599999999970512</c:v>
                  </c:pt>
                  <c:pt idx="815">
                    <c:v>-0.11599999999973439</c:v>
                  </c:pt>
                  <c:pt idx="816">
                    <c:v>-0.11599999999976079</c:v>
                  </c:pt>
                  <c:pt idx="817">
                    <c:v>-0.11599999999978461</c:v>
                  </c:pt>
                  <c:pt idx="818">
                    <c:v>-0.11599999999980608</c:v>
                  </c:pt>
                  <c:pt idx="819">
                    <c:v>-0.11599999999982544</c:v>
                  </c:pt>
                  <c:pt idx="820">
                    <c:v>-0.1159999999998429</c:v>
                  </c:pt>
                  <c:pt idx="821">
                    <c:v>-0.11599999999985863</c:v>
                  </c:pt>
                  <c:pt idx="822">
                    <c:v>-0.1159999999998728</c:v>
                  </c:pt>
                  <c:pt idx="823">
                    <c:v>-0.11599999999988558</c:v>
                  </c:pt>
                  <c:pt idx="824">
                    <c:v>-0.11599999999989709</c:v>
                  </c:pt>
                  <c:pt idx="825">
                    <c:v>-0.11599999999990745</c:v>
                  </c:pt>
                  <c:pt idx="826">
                    <c:v>-0.11599999999991679</c:v>
                  </c:pt>
                  <c:pt idx="827">
                    <c:v>-0.1159999999999252</c:v>
                  </c:pt>
                  <c:pt idx="828">
                    <c:v>-0.11599999999993277</c:v>
                  </c:pt>
                  <c:pt idx="829">
                    <c:v>-0.11599999999993958</c:v>
                  </c:pt>
                  <c:pt idx="830">
                    <c:v>-0.11599999999994572</c:v>
                  </c:pt>
                  <c:pt idx="831">
                    <c:v>-0.11599999999995123</c:v>
                  </c:pt>
                  <c:pt idx="832">
                    <c:v>-0.11599999999995619</c:v>
                  </c:pt>
                  <c:pt idx="833">
                    <c:v>-0.11599999999996066</c:v>
                  </c:pt>
                  <c:pt idx="834">
                    <c:v>-0.11599999999996467</c:v>
                  </c:pt>
                  <c:pt idx="835">
                    <c:v>-0.11599999999996828</c:v>
                  </c:pt>
                  <c:pt idx="836">
                    <c:v>-0.11599999999997153</c:v>
                  </c:pt>
                  <c:pt idx="837">
                    <c:v>-0.11599999999997446</c:v>
                  </c:pt>
                  <c:pt idx="838">
                    <c:v>-0.11599999999997708</c:v>
                  </c:pt>
                  <c:pt idx="839">
                    <c:v>-0.11599999999997943</c:v>
                  </c:pt>
                  <c:pt idx="840">
                    <c:v>-0.11599999999998155</c:v>
                  </c:pt>
                  <c:pt idx="841">
                    <c:v>-0.11599999999998345</c:v>
                  </c:pt>
                  <c:pt idx="842">
                    <c:v>-0.11599999999998516</c:v>
                  </c:pt>
                  <c:pt idx="843">
                    <c:v>-0.1159999999999867</c:v>
                  </c:pt>
                  <c:pt idx="844">
                    <c:v>-0.11599999999998807</c:v>
                  </c:pt>
                  <c:pt idx="845">
                    <c:v>-0.11599999999998931</c:v>
                  </c:pt>
                  <c:pt idx="846">
                    <c:v>-0.11599999999999042</c:v>
                  </c:pt>
                  <c:pt idx="847">
                    <c:v>-0.11599999999999142</c:v>
                  </c:pt>
                  <c:pt idx="848">
                    <c:v>-0.11599999999999232</c:v>
                  </c:pt>
                  <c:pt idx="849">
                    <c:v>-0.11599999999999311</c:v>
                  </c:pt>
                  <c:pt idx="850">
                    <c:v>-0.11599999999999383</c:v>
                  </c:pt>
                  <c:pt idx="851">
                    <c:v>-0.11599999999999448</c:v>
                  </c:pt>
                  <c:pt idx="852">
                    <c:v>-0.11599999999999505</c:v>
                  </c:pt>
                  <c:pt idx="853">
                    <c:v>-0.11599999999999558</c:v>
                  </c:pt>
                  <c:pt idx="854">
                    <c:v>-0.11599999999999604</c:v>
                  </c:pt>
                  <c:pt idx="855">
                    <c:v>-0.11599999999999645</c:v>
                  </c:pt>
                  <c:pt idx="856">
                    <c:v>-0.11599999999999683</c:v>
                  </c:pt>
                  <c:pt idx="857">
                    <c:v>-0.11599999999999716</c:v>
                  </c:pt>
                  <c:pt idx="858">
                    <c:v>-0.11599999999999747</c:v>
                  </c:pt>
                  <c:pt idx="859">
                    <c:v>-0.11599999999999773</c:v>
                  </c:pt>
                  <c:pt idx="860">
                    <c:v>-0.11599999999999798</c:v>
                  </c:pt>
                  <c:pt idx="861">
                    <c:v>-0.11599999999999819</c:v>
                  </c:pt>
                  <c:pt idx="862">
                    <c:v>-0.11599999999999838</c:v>
                  </c:pt>
                  <c:pt idx="863">
                    <c:v>-0.11599999999999855</c:v>
                  </c:pt>
                  <c:pt idx="864">
                    <c:v>-0.11599999999999872</c:v>
                  </c:pt>
                  <c:pt idx="865">
                    <c:v>-0.11599999999999885</c:v>
                  </c:pt>
                  <c:pt idx="866">
                    <c:v>-0.11599999999999897</c:v>
                  </c:pt>
                  <c:pt idx="867">
                    <c:v>-0.11599999999999908</c:v>
                  </c:pt>
                  <c:pt idx="868">
                    <c:v>-0.11599999999999919</c:v>
                  </c:pt>
                  <c:pt idx="869">
                    <c:v>-0.11599999999999927</c:v>
                  </c:pt>
                  <c:pt idx="870">
                    <c:v>-0.11599999999999935</c:v>
                  </c:pt>
                  <c:pt idx="871">
                    <c:v>-0.11599999999999942</c:v>
                  </c:pt>
                  <c:pt idx="872">
                    <c:v>-0.11599999999999948</c:v>
                  </c:pt>
                  <c:pt idx="873">
                    <c:v>-0.11599999999999953</c:v>
                  </c:pt>
                  <c:pt idx="874">
                    <c:v>-0.11599999999999959</c:v>
                  </c:pt>
                  <c:pt idx="875">
                    <c:v>-0.11599999999999963</c:v>
                  </c:pt>
                  <c:pt idx="876">
                    <c:v>-0.11599999999999967</c:v>
                  </c:pt>
                  <c:pt idx="877">
                    <c:v>-0.11599999999999971</c:v>
                  </c:pt>
                  <c:pt idx="878">
                    <c:v>-0.11599999999999974</c:v>
                  </c:pt>
                  <c:pt idx="879">
                    <c:v>-0.11599999999999977</c:v>
                  </c:pt>
                  <c:pt idx="880">
                    <c:v>-0.1159999999999998</c:v>
                  </c:pt>
                  <c:pt idx="881">
                    <c:v>-0.11599999999999983</c:v>
                  </c:pt>
                  <c:pt idx="882">
                    <c:v>-0.11599999999999984</c:v>
                  </c:pt>
                  <c:pt idx="883">
                    <c:v>-0.11599999999999985</c:v>
                  </c:pt>
                  <c:pt idx="884">
                    <c:v>-0.11599999999999987</c:v>
                  </c:pt>
                  <c:pt idx="885">
                    <c:v>-0.11599999999999989</c:v>
                  </c:pt>
                  <c:pt idx="886">
                    <c:v>-0.11599999999999989</c:v>
                  </c:pt>
                  <c:pt idx="887">
                    <c:v>-0.11599999999999991</c:v>
                  </c:pt>
                  <c:pt idx="888">
                    <c:v>-0.11599999999999992</c:v>
                  </c:pt>
                  <c:pt idx="889">
                    <c:v>-0.11599999999999994</c:v>
                  </c:pt>
                  <c:pt idx="890">
                    <c:v>-0.11599999999999994</c:v>
                  </c:pt>
                  <c:pt idx="891">
                    <c:v>-0.11599999999999995</c:v>
                  </c:pt>
                  <c:pt idx="892">
                    <c:v>-0.11599999999999995</c:v>
                  </c:pt>
                  <c:pt idx="893">
                    <c:v>-0.11599999999999996</c:v>
                  </c:pt>
                  <c:pt idx="894">
                    <c:v>-0.11599999999999996</c:v>
                  </c:pt>
                  <c:pt idx="895">
                    <c:v>-0.11599999999999996</c:v>
                  </c:pt>
                  <c:pt idx="896">
                    <c:v>-0.11599999999999998</c:v>
                  </c:pt>
                  <c:pt idx="897">
                    <c:v>-0.11599999999999998</c:v>
                  </c:pt>
                  <c:pt idx="898">
                    <c:v>-0.11599999999999998</c:v>
                  </c:pt>
                  <c:pt idx="899">
                    <c:v>-0.11599999999999998</c:v>
                  </c:pt>
                  <c:pt idx="900">
                    <c:v>-0.11599999999999999</c:v>
                  </c:pt>
                  <c:pt idx="901">
                    <c:v>-0.11599999999999999</c:v>
                  </c:pt>
                  <c:pt idx="902">
                    <c:v>-0.11599999999999999</c:v>
                  </c:pt>
                  <c:pt idx="903">
                    <c:v>-0.11599999999999999</c:v>
                  </c:pt>
                  <c:pt idx="904">
                    <c:v>-0.11599999999999999</c:v>
                  </c:pt>
                  <c:pt idx="905">
                    <c:v>-0.11599999999999999</c:v>
                  </c:pt>
                  <c:pt idx="906">
                    <c:v>-0.11599999999999999</c:v>
                  </c:pt>
                  <c:pt idx="907">
                    <c:v>-0.11599999999999999</c:v>
                  </c:pt>
                  <c:pt idx="908">
                    <c:v>-0.11599999999999999</c:v>
                  </c:pt>
                  <c:pt idx="909">
                    <c:v>-0.11600000000000001</c:v>
                  </c:pt>
                  <c:pt idx="910">
                    <c:v>-0.11600000000000001</c:v>
                  </c:pt>
                  <c:pt idx="911">
                    <c:v>-0.11600000000000001</c:v>
                  </c:pt>
                  <c:pt idx="912">
                    <c:v>-0.11600000000000001</c:v>
                  </c:pt>
                  <c:pt idx="913">
                    <c:v>-0.11600000000000001</c:v>
                  </c:pt>
                  <c:pt idx="914">
                    <c:v>-0.11600000000000001</c:v>
                  </c:pt>
                  <c:pt idx="915">
                    <c:v>-0.11600000000000001</c:v>
                  </c:pt>
                  <c:pt idx="916">
                    <c:v>-0.11600000000000001</c:v>
                  </c:pt>
                  <c:pt idx="917">
                    <c:v>-0.11600000000000001</c:v>
                  </c:pt>
                  <c:pt idx="918">
                    <c:v>-0.11600000000000001</c:v>
                  </c:pt>
                  <c:pt idx="919">
                    <c:v>-0.11600000000000001</c:v>
                  </c:pt>
                  <c:pt idx="920">
                    <c:v>-0.11600000000000001</c:v>
                  </c:pt>
                  <c:pt idx="921">
                    <c:v>-0.11600000000000001</c:v>
                  </c:pt>
                  <c:pt idx="922">
                    <c:v>-0.11600000000000001</c:v>
                  </c:pt>
                  <c:pt idx="923">
                    <c:v>-0.11600000000000001</c:v>
                  </c:pt>
                  <c:pt idx="924">
                    <c:v>-0.11600000000000001</c:v>
                  </c:pt>
                  <c:pt idx="925">
                    <c:v>-0.11600000000000001</c:v>
                  </c:pt>
                  <c:pt idx="926">
                    <c:v>-0.11600000000000001</c:v>
                  </c:pt>
                  <c:pt idx="927">
                    <c:v>-0.11600000000000001</c:v>
                  </c:pt>
                  <c:pt idx="928">
                    <c:v>-0.11600000000000001</c:v>
                  </c:pt>
                  <c:pt idx="929">
                    <c:v>-0.11600000000000001</c:v>
                  </c:pt>
                  <c:pt idx="930">
                    <c:v>-0.11600000000000001</c:v>
                  </c:pt>
                  <c:pt idx="931">
                    <c:v>-0.11600000000000001</c:v>
                  </c:pt>
                  <c:pt idx="932">
                    <c:v>-0.11600000000000001</c:v>
                  </c:pt>
                  <c:pt idx="933">
                    <c:v>-0.11600000000000001</c:v>
                  </c:pt>
                  <c:pt idx="934">
                    <c:v>-0.11600000000000001</c:v>
                  </c:pt>
                  <c:pt idx="935">
                    <c:v>-0.11600000000000001</c:v>
                  </c:pt>
                  <c:pt idx="936">
                    <c:v>-0.11600000000000001</c:v>
                  </c:pt>
                  <c:pt idx="937">
                    <c:v>-0.11600000000000001</c:v>
                  </c:pt>
                  <c:pt idx="938">
                    <c:v>-0.11600000000000001</c:v>
                  </c:pt>
                  <c:pt idx="939">
                    <c:v>-0.11600000000000001</c:v>
                  </c:pt>
                  <c:pt idx="940">
                    <c:v>-0.11600000000000001</c:v>
                  </c:pt>
                  <c:pt idx="941">
                    <c:v>-0.11600000000000001</c:v>
                  </c:pt>
                  <c:pt idx="942">
                    <c:v>-0.11600000000000001</c:v>
                  </c:pt>
                  <c:pt idx="943">
                    <c:v>-0.11600000000000001</c:v>
                  </c:pt>
                  <c:pt idx="944">
                    <c:v>-0.11600000000000001</c:v>
                  </c:pt>
                  <c:pt idx="945">
                    <c:v>-0.11600000000000001</c:v>
                  </c:pt>
                  <c:pt idx="946">
                    <c:v>-0.11600000000000001</c:v>
                  </c:pt>
                  <c:pt idx="947">
                    <c:v>-0.11600000000000001</c:v>
                  </c:pt>
                  <c:pt idx="948">
                    <c:v>-0.11600000000000001</c:v>
                  </c:pt>
                  <c:pt idx="949">
                    <c:v>-0.11600000000000001</c:v>
                  </c:pt>
                  <c:pt idx="950">
                    <c:v>-0.11600000000000001</c:v>
                  </c:pt>
                  <c:pt idx="951">
                    <c:v>-0.11600000000000001</c:v>
                  </c:pt>
                  <c:pt idx="952">
                    <c:v>-0.11600000000000001</c:v>
                  </c:pt>
                  <c:pt idx="953">
                    <c:v>-0.11600000000000001</c:v>
                  </c:pt>
                  <c:pt idx="954">
                    <c:v>-0.11600000000000001</c:v>
                  </c:pt>
                  <c:pt idx="955">
                    <c:v>-0.11600000000000001</c:v>
                  </c:pt>
                  <c:pt idx="956">
                    <c:v>-0.11600000000000001</c:v>
                  </c:pt>
                  <c:pt idx="957">
                    <c:v>-0.11600000000000001</c:v>
                  </c:pt>
                  <c:pt idx="958">
                    <c:v>-0.11600000000000001</c:v>
                  </c:pt>
                  <c:pt idx="959">
                    <c:v>-0.11600000000000001</c:v>
                  </c:pt>
                  <c:pt idx="960">
                    <c:v>-0.11600000000000001</c:v>
                  </c:pt>
                  <c:pt idx="961">
                    <c:v>-0.11600000000000001</c:v>
                  </c:pt>
                  <c:pt idx="962">
                    <c:v>-0.11600000000000001</c:v>
                  </c:pt>
                  <c:pt idx="963">
                    <c:v>-0.11600000000000001</c:v>
                  </c:pt>
                  <c:pt idx="964">
                    <c:v>-0.11600000000000001</c:v>
                  </c:pt>
                  <c:pt idx="965">
                    <c:v>-0.11600000000000001</c:v>
                  </c:pt>
                  <c:pt idx="966">
                    <c:v>-0.11600000000000001</c:v>
                  </c:pt>
                  <c:pt idx="967">
                    <c:v>-0.11600000000000001</c:v>
                  </c:pt>
                  <c:pt idx="968">
                    <c:v>-0.11600000000000001</c:v>
                  </c:pt>
                  <c:pt idx="969">
                    <c:v>-0.11600000000000001</c:v>
                  </c:pt>
                  <c:pt idx="970">
                    <c:v>-0.11600000000000001</c:v>
                  </c:pt>
                  <c:pt idx="971">
                    <c:v>-0.11600000000000001</c:v>
                  </c:pt>
                  <c:pt idx="972">
                    <c:v>-0.11600000000000001</c:v>
                  </c:pt>
                  <c:pt idx="973">
                    <c:v>-0.11600000000000001</c:v>
                  </c:pt>
                  <c:pt idx="974">
                    <c:v>-0.11600000000000001</c:v>
                  </c:pt>
                  <c:pt idx="975">
                    <c:v>-0.11600000000000001</c:v>
                  </c:pt>
                  <c:pt idx="976">
                    <c:v>-0.11600000000000001</c:v>
                  </c:pt>
                  <c:pt idx="977">
                    <c:v>-0.11600000000000001</c:v>
                  </c:pt>
                  <c:pt idx="978">
                    <c:v>-0.11600000000000001</c:v>
                  </c:pt>
                  <c:pt idx="979">
                    <c:v>-0.11600000000000001</c:v>
                  </c:pt>
                  <c:pt idx="980">
                    <c:v>-0.11600000000000001</c:v>
                  </c:pt>
                  <c:pt idx="981">
                    <c:v>-0.11600000000000001</c:v>
                  </c:pt>
                  <c:pt idx="982">
                    <c:v>-0.11600000000000001</c:v>
                  </c:pt>
                  <c:pt idx="983">
                    <c:v>-0.11600000000000001</c:v>
                  </c:pt>
                  <c:pt idx="984">
                    <c:v>-0.11600000000000001</c:v>
                  </c:pt>
                  <c:pt idx="985">
                    <c:v>-0.11600000000000001</c:v>
                  </c:pt>
                  <c:pt idx="986">
                    <c:v>-0.11600000000000001</c:v>
                  </c:pt>
                  <c:pt idx="987">
                    <c:v>-0.11600000000000001</c:v>
                  </c:pt>
                  <c:pt idx="988">
                    <c:v>-0.11600000000000001</c:v>
                  </c:pt>
                  <c:pt idx="989">
                    <c:v>-0.11600000000000001</c:v>
                  </c:pt>
                  <c:pt idx="990">
                    <c:v>-0.11600000000000001</c:v>
                  </c:pt>
                  <c:pt idx="991">
                    <c:v>-0.11600000000000001</c:v>
                  </c:pt>
                  <c:pt idx="992">
                    <c:v>-0.11600000000000001</c:v>
                  </c:pt>
                  <c:pt idx="993">
                    <c:v>-0.11600000000000001</c:v>
                  </c:pt>
                  <c:pt idx="994">
                    <c:v>-0.11600000000000001</c:v>
                  </c:pt>
                  <c:pt idx="995">
                    <c:v>-0.11600000000000001</c:v>
                  </c:pt>
                  <c:pt idx="996">
                    <c:v>-0.11600000000000001</c:v>
                  </c:pt>
                  <c:pt idx="997">
                    <c:v>-0.11600000000000001</c:v>
                  </c:pt>
                  <c:pt idx="998">
                    <c:v>-0.11600000000000001</c:v>
                  </c:pt>
                  <c:pt idx="999">
                    <c:v>-0.11600000000000001</c:v>
                  </c:pt>
                </c:numCache>
              </c:numRef>
            </c:minus>
            <c:spPr>
              <a:ln w="25400">
                <a:solidFill>
                  <a:srgbClr val="FFCC99"/>
                </a:solidFill>
                <a:prstDash val="solid"/>
              </a:ln>
            </c:spPr>
          </c:errBars>
          <c:xVal>
            <c:numRef>
              <c:f>'Precision paired'!$C$93:$C$1092</c:f>
              <c:numCache>
                <c:formatCode>General</c:formatCode>
                <c:ptCount val="1000"/>
                <c:pt idx="0">
                  <c:v>1.5E-3</c:v>
                </c:pt>
                <c:pt idx="1">
                  <c:v>3.0000000000000001E-3</c:v>
                </c:pt>
                <c:pt idx="2">
                  <c:v>4.5000000000000005E-3</c:v>
                </c:pt>
                <c:pt idx="3">
                  <c:v>6.0000000000000001E-3</c:v>
                </c:pt>
                <c:pt idx="4">
                  <c:v>7.4999999999999997E-3</c:v>
                </c:pt>
                <c:pt idx="5">
                  <c:v>8.9999999999999993E-3</c:v>
                </c:pt>
                <c:pt idx="6">
                  <c:v>1.0499999999999999E-2</c:v>
                </c:pt>
                <c:pt idx="7">
                  <c:v>1.1999999999999999E-2</c:v>
                </c:pt>
                <c:pt idx="8">
                  <c:v>1.3499999999999998E-2</c:v>
                </c:pt>
                <c:pt idx="9">
                  <c:v>1.4999999999999998E-2</c:v>
                </c:pt>
                <c:pt idx="10">
                  <c:v>1.6499999999999997E-2</c:v>
                </c:pt>
                <c:pt idx="11">
                  <c:v>1.7999999999999999E-2</c:v>
                </c:pt>
                <c:pt idx="12">
                  <c:v>1.95E-2</c:v>
                </c:pt>
                <c:pt idx="13">
                  <c:v>2.1000000000000001E-2</c:v>
                </c:pt>
                <c:pt idx="14">
                  <c:v>2.2500000000000003E-2</c:v>
                </c:pt>
                <c:pt idx="15">
                  <c:v>2.4000000000000004E-2</c:v>
                </c:pt>
                <c:pt idx="16">
                  <c:v>2.5500000000000005E-2</c:v>
                </c:pt>
                <c:pt idx="17">
                  <c:v>2.7000000000000007E-2</c:v>
                </c:pt>
                <c:pt idx="18">
                  <c:v>2.8500000000000008E-2</c:v>
                </c:pt>
                <c:pt idx="19">
                  <c:v>3.0000000000000009E-2</c:v>
                </c:pt>
                <c:pt idx="20">
                  <c:v>3.1500000000000007E-2</c:v>
                </c:pt>
                <c:pt idx="21">
                  <c:v>3.3000000000000008E-2</c:v>
                </c:pt>
                <c:pt idx="22">
                  <c:v>3.450000000000001E-2</c:v>
                </c:pt>
                <c:pt idx="23">
                  <c:v>3.6000000000000011E-2</c:v>
                </c:pt>
                <c:pt idx="24">
                  <c:v>3.7500000000000012E-2</c:v>
                </c:pt>
                <c:pt idx="25">
                  <c:v>3.9000000000000014E-2</c:v>
                </c:pt>
                <c:pt idx="26">
                  <c:v>4.0500000000000015E-2</c:v>
                </c:pt>
                <c:pt idx="27">
                  <c:v>4.2000000000000016E-2</c:v>
                </c:pt>
                <c:pt idx="28">
                  <c:v>4.3500000000000018E-2</c:v>
                </c:pt>
                <c:pt idx="29">
                  <c:v>4.5000000000000019E-2</c:v>
                </c:pt>
                <c:pt idx="30">
                  <c:v>4.650000000000002E-2</c:v>
                </c:pt>
                <c:pt idx="31">
                  <c:v>4.8000000000000022E-2</c:v>
                </c:pt>
                <c:pt idx="32">
                  <c:v>4.9500000000000023E-2</c:v>
                </c:pt>
                <c:pt idx="33">
                  <c:v>5.1000000000000024E-2</c:v>
                </c:pt>
                <c:pt idx="34">
                  <c:v>5.2500000000000026E-2</c:v>
                </c:pt>
                <c:pt idx="35">
                  <c:v>5.4000000000000027E-2</c:v>
                </c:pt>
                <c:pt idx="36">
                  <c:v>5.5500000000000028E-2</c:v>
                </c:pt>
                <c:pt idx="37">
                  <c:v>5.700000000000003E-2</c:v>
                </c:pt>
                <c:pt idx="38">
                  <c:v>5.8500000000000031E-2</c:v>
                </c:pt>
                <c:pt idx="39">
                  <c:v>6.0000000000000032E-2</c:v>
                </c:pt>
                <c:pt idx="40">
                  <c:v>6.1500000000000034E-2</c:v>
                </c:pt>
                <c:pt idx="41">
                  <c:v>6.3000000000000028E-2</c:v>
                </c:pt>
                <c:pt idx="42">
                  <c:v>6.450000000000003E-2</c:v>
                </c:pt>
                <c:pt idx="43">
                  <c:v>6.6000000000000031E-2</c:v>
                </c:pt>
                <c:pt idx="44">
                  <c:v>6.7500000000000032E-2</c:v>
                </c:pt>
                <c:pt idx="45">
                  <c:v>6.9000000000000034E-2</c:v>
                </c:pt>
                <c:pt idx="46">
                  <c:v>7.0500000000000035E-2</c:v>
                </c:pt>
                <c:pt idx="47">
                  <c:v>7.2000000000000036E-2</c:v>
                </c:pt>
                <c:pt idx="48">
                  <c:v>7.3500000000000038E-2</c:v>
                </c:pt>
                <c:pt idx="49">
                  <c:v>7.5000000000000039E-2</c:v>
                </c:pt>
                <c:pt idx="50">
                  <c:v>7.650000000000004E-2</c:v>
                </c:pt>
                <c:pt idx="51">
                  <c:v>7.8000000000000042E-2</c:v>
                </c:pt>
                <c:pt idx="52">
                  <c:v>7.9500000000000043E-2</c:v>
                </c:pt>
                <c:pt idx="53">
                  <c:v>8.1000000000000044E-2</c:v>
                </c:pt>
                <c:pt idx="54">
                  <c:v>8.2500000000000046E-2</c:v>
                </c:pt>
                <c:pt idx="55">
                  <c:v>8.4000000000000047E-2</c:v>
                </c:pt>
                <c:pt idx="56">
                  <c:v>8.5500000000000048E-2</c:v>
                </c:pt>
                <c:pt idx="57">
                  <c:v>8.700000000000005E-2</c:v>
                </c:pt>
                <c:pt idx="58">
                  <c:v>8.8500000000000051E-2</c:v>
                </c:pt>
                <c:pt idx="59">
                  <c:v>9.0000000000000052E-2</c:v>
                </c:pt>
                <c:pt idx="60">
                  <c:v>9.1500000000000054E-2</c:v>
                </c:pt>
                <c:pt idx="61">
                  <c:v>9.3000000000000055E-2</c:v>
                </c:pt>
                <c:pt idx="62">
                  <c:v>9.4500000000000056E-2</c:v>
                </c:pt>
                <c:pt idx="63">
                  <c:v>9.6000000000000058E-2</c:v>
                </c:pt>
                <c:pt idx="64">
                  <c:v>9.7500000000000059E-2</c:v>
                </c:pt>
                <c:pt idx="65">
                  <c:v>9.900000000000006E-2</c:v>
                </c:pt>
                <c:pt idx="66">
                  <c:v>0.10050000000000006</c:v>
                </c:pt>
                <c:pt idx="67">
                  <c:v>0.10200000000000006</c:v>
                </c:pt>
                <c:pt idx="68">
                  <c:v>0.10350000000000006</c:v>
                </c:pt>
                <c:pt idx="69">
                  <c:v>0.10500000000000007</c:v>
                </c:pt>
                <c:pt idx="70">
                  <c:v>0.10650000000000007</c:v>
                </c:pt>
                <c:pt idx="71">
                  <c:v>0.10800000000000007</c:v>
                </c:pt>
                <c:pt idx="72">
                  <c:v>0.10950000000000007</c:v>
                </c:pt>
                <c:pt idx="73">
                  <c:v>0.11100000000000007</c:v>
                </c:pt>
                <c:pt idx="74">
                  <c:v>0.11250000000000007</c:v>
                </c:pt>
                <c:pt idx="75">
                  <c:v>0.11400000000000007</c:v>
                </c:pt>
                <c:pt idx="76">
                  <c:v>0.11550000000000007</c:v>
                </c:pt>
                <c:pt idx="77">
                  <c:v>0.11700000000000008</c:v>
                </c:pt>
                <c:pt idx="78">
                  <c:v>0.11850000000000008</c:v>
                </c:pt>
                <c:pt idx="79">
                  <c:v>0.12000000000000008</c:v>
                </c:pt>
                <c:pt idx="80">
                  <c:v>0.12150000000000008</c:v>
                </c:pt>
                <c:pt idx="81">
                  <c:v>0.12300000000000008</c:v>
                </c:pt>
                <c:pt idx="82">
                  <c:v>0.12450000000000008</c:v>
                </c:pt>
                <c:pt idx="83">
                  <c:v>0.12600000000000008</c:v>
                </c:pt>
                <c:pt idx="84">
                  <c:v>0.12750000000000009</c:v>
                </c:pt>
                <c:pt idx="85">
                  <c:v>0.12900000000000009</c:v>
                </c:pt>
                <c:pt idx="86">
                  <c:v>0.13050000000000009</c:v>
                </c:pt>
                <c:pt idx="87">
                  <c:v>0.13200000000000009</c:v>
                </c:pt>
                <c:pt idx="88">
                  <c:v>0.13350000000000009</c:v>
                </c:pt>
                <c:pt idx="89">
                  <c:v>0.13500000000000009</c:v>
                </c:pt>
                <c:pt idx="90">
                  <c:v>0.13650000000000009</c:v>
                </c:pt>
                <c:pt idx="91">
                  <c:v>0.13800000000000009</c:v>
                </c:pt>
                <c:pt idx="92">
                  <c:v>0.1395000000000001</c:v>
                </c:pt>
                <c:pt idx="93">
                  <c:v>0.1410000000000001</c:v>
                </c:pt>
                <c:pt idx="94">
                  <c:v>0.1425000000000001</c:v>
                </c:pt>
                <c:pt idx="95">
                  <c:v>0.1440000000000001</c:v>
                </c:pt>
                <c:pt idx="96">
                  <c:v>0.1455000000000001</c:v>
                </c:pt>
                <c:pt idx="97">
                  <c:v>0.1470000000000001</c:v>
                </c:pt>
                <c:pt idx="98">
                  <c:v>0.1485000000000001</c:v>
                </c:pt>
                <c:pt idx="99">
                  <c:v>0.15000000000000011</c:v>
                </c:pt>
                <c:pt idx="100">
                  <c:v>0.15150000000000011</c:v>
                </c:pt>
                <c:pt idx="101">
                  <c:v>0.15300000000000011</c:v>
                </c:pt>
                <c:pt idx="102">
                  <c:v>0.15450000000000011</c:v>
                </c:pt>
                <c:pt idx="103">
                  <c:v>0.15600000000000011</c:v>
                </c:pt>
                <c:pt idx="104">
                  <c:v>0.15750000000000011</c:v>
                </c:pt>
                <c:pt idx="105">
                  <c:v>0.15900000000000011</c:v>
                </c:pt>
                <c:pt idx="106">
                  <c:v>0.16050000000000011</c:v>
                </c:pt>
                <c:pt idx="107">
                  <c:v>0.16200000000000012</c:v>
                </c:pt>
                <c:pt idx="108">
                  <c:v>0.16350000000000012</c:v>
                </c:pt>
                <c:pt idx="109">
                  <c:v>0.16500000000000012</c:v>
                </c:pt>
                <c:pt idx="110">
                  <c:v>0.16650000000000012</c:v>
                </c:pt>
                <c:pt idx="111">
                  <c:v>0.16800000000000012</c:v>
                </c:pt>
                <c:pt idx="112">
                  <c:v>0.16950000000000012</c:v>
                </c:pt>
                <c:pt idx="113">
                  <c:v>0.17100000000000012</c:v>
                </c:pt>
                <c:pt idx="114">
                  <c:v>0.17250000000000013</c:v>
                </c:pt>
                <c:pt idx="115">
                  <c:v>0.17400000000000013</c:v>
                </c:pt>
                <c:pt idx="116">
                  <c:v>0.17550000000000013</c:v>
                </c:pt>
                <c:pt idx="117">
                  <c:v>0.17700000000000013</c:v>
                </c:pt>
                <c:pt idx="118">
                  <c:v>0.17850000000000013</c:v>
                </c:pt>
                <c:pt idx="119">
                  <c:v>0.18000000000000013</c:v>
                </c:pt>
                <c:pt idx="120">
                  <c:v>0.18150000000000013</c:v>
                </c:pt>
                <c:pt idx="121">
                  <c:v>0.18300000000000013</c:v>
                </c:pt>
                <c:pt idx="122">
                  <c:v>0.18450000000000014</c:v>
                </c:pt>
                <c:pt idx="123">
                  <c:v>0.18600000000000014</c:v>
                </c:pt>
                <c:pt idx="124">
                  <c:v>0.18750000000000014</c:v>
                </c:pt>
                <c:pt idx="125">
                  <c:v>0.18900000000000014</c:v>
                </c:pt>
                <c:pt idx="126">
                  <c:v>0.19050000000000014</c:v>
                </c:pt>
                <c:pt idx="127">
                  <c:v>0.19200000000000014</c:v>
                </c:pt>
                <c:pt idx="128">
                  <c:v>0.19350000000000014</c:v>
                </c:pt>
                <c:pt idx="129">
                  <c:v>0.19500000000000015</c:v>
                </c:pt>
                <c:pt idx="130">
                  <c:v>0.19650000000000015</c:v>
                </c:pt>
                <c:pt idx="131">
                  <c:v>0.19800000000000015</c:v>
                </c:pt>
                <c:pt idx="132">
                  <c:v>0.19950000000000015</c:v>
                </c:pt>
                <c:pt idx="133">
                  <c:v>0.20100000000000015</c:v>
                </c:pt>
                <c:pt idx="134">
                  <c:v>0.20250000000000015</c:v>
                </c:pt>
                <c:pt idx="135">
                  <c:v>0.20400000000000015</c:v>
                </c:pt>
                <c:pt idx="136">
                  <c:v>0.20550000000000015</c:v>
                </c:pt>
                <c:pt idx="137">
                  <c:v>0.20700000000000016</c:v>
                </c:pt>
                <c:pt idx="138">
                  <c:v>0.20850000000000016</c:v>
                </c:pt>
                <c:pt idx="139">
                  <c:v>0.21000000000000016</c:v>
                </c:pt>
                <c:pt idx="140">
                  <c:v>0.21150000000000016</c:v>
                </c:pt>
                <c:pt idx="141">
                  <c:v>0.21300000000000016</c:v>
                </c:pt>
                <c:pt idx="142">
                  <c:v>0.21450000000000016</c:v>
                </c:pt>
                <c:pt idx="143">
                  <c:v>0.21600000000000016</c:v>
                </c:pt>
                <c:pt idx="144">
                  <c:v>0.21750000000000017</c:v>
                </c:pt>
                <c:pt idx="145">
                  <c:v>0.21900000000000017</c:v>
                </c:pt>
                <c:pt idx="146">
                  <c:v>0.22050000000000017</c:v>
                </c:pt>
                <c:pt idx="147">
                  <c:v>0.22200000000000017</c:v>
                </c:pt>
                <c:pt idx="148">
                  <c:v>0.22350000000000017</c:v>
                </c:pt>
                <c:pt idx="149">
                  <c:v>0.22500000000000017</c:v>
                </c:pt>
                <c:pt idx="150">
                  <c:v>0.22650000000000017</c:v>
                </c:pt>
                <c:pt idx="151">
                  <c:v>0.22800000000000017</c:v>
                </c:pt>
                <c:pt idx="152">
                  <c:v>0.22950000000000018</c:v>
                </c:pt>
                <c:pt idx="153">
                  <c:v>0.23100000000000018</c:v>
                </c:pt>
                <c:pt idx="154">
                  <c:v>0.23250000000000018</c:v>
                </c:pt>
                <c:pt idx="155">
                  <c:v>0.23400000000000018</c:v>
                </c:pt>
                <c:pt idx="156">
                  <c:v>0.23550000000000018</c:v>
                </c:pt>
                <c:pt idx="157">
                  <c:v>0.23700000000000018</c:v>
                </c:pt>
                <c:pt idx="158">
                  <c:v>0.23850000000000018</c:v>
                </c:pt>
                <c:pt idx="159">
                  <c:v>0.24000000000000019</c:v>
                </c:pt>
                <c:pt idx="160">
                  <c:v>0.24150000000000019</c:v>
                </c:pt>
                <c:pt idx="161">
                  <c:v>0.24300000000000019</c:v>
                </c:pt>
                <c:pt idx="162">
                  <c:v>0.24450000000000019</c:v>
                </c:pt>
                <c:pt idx="163">
                  <c:v>0.24600000000000019</c:v>
                </c:pt>
                <c:pt idx="164">
                  <c:v>0.24750000000000019</c:v>
                </c:pt>
                <c:pt idx="165">
                  <c:v>0.24900000000000019</c:v>
                </c:pt>
                <c:pt idx="166">
                  <c:v>0.25050000000000017</c:v>
                </c:pt>
                <c:pt idx="167">
                  <c:v>0.25200000000000017</c:v>
                </c:pt>
                <c:pt idx="168">
                  <c:v>0.25350000000000017</c:v>
                </c:pt>
                <c:pt idx="169">
                  <c:v>0.25500000000000017</c:v>
                </c:pt>
                <c:pt idx="170">
                  <c:v>0.25650000000000017</c:v>
                </c:pt>
                <c:pt idx="171">
                  <c:v>0.25800000000000017</c:v>
                </c:pt>
                <c:pt idx="172">
                  <c:v>0.25950000000000017</c:v>
                </c:pt>
                <c:pt idx="173">
                  <c:v>0.26100000000000018</c:v>
                </c:pt>
                <c:pt idx="174">
                  <c:v>0.26250000000000018</c:v>
                </c:pt>
                <c:pt idx="175">
                  <c:v>0.26400000000000018</c:v>
                </c:pt>
                <c:pt idx="176">
                  <c:v>0.26550000000000018</c:v>
                </c:pt>
                <c:pt idx="177">
                  <c:v>0.26700000000000018</c:v>
                </c:pt>
                <c:pt idx="178">
                  <c:v>0.26850000000000018</c:v>
                </c:pt>
                <c:pt idx="179">
                  <c:v>0.27000000000000018</c:v>
                </c:pt>
                <c:pt idx="180">
                  <c:v>0.27150000000000019</c:v>
                </c:pt>
                <c:pt idx="181">
                  <c:v>0.27300000000000019</c:v>
                </c:pt>
                <c:pt idx="182">
                  <c:v>0.27450000000000019</c:v>
                </c:pt>
                <c:pt idx="183">
                  <c:v>0.27600000000000019</c:v>
                </c:pt>
                <c:pt idx="184">
                  <c:v>0.27750000000000019</c:v>
                </c:pt>
                <c:pt idx="185">
                  <c:v>0.27900000000000019</c:v>
                </c:pt>
                <c:pt idx="186">
                  <c:v>0.28050000000000019</c:v>
                </c:pt>
                <c:pt idx="187">
                  <c:v>0.28200000000000019</c:v>
                </c:pt>
                <c:pt idx="188">
                  <c:v>0.2835000000000002</c:v>
                </c:pt>
                <c:pt idx="189">
                  <c:v>0.2850000000000002</c:v>
                </c:pt>
                <c:pt idx="190">
                  <c:v>0.2865000000000002</c:v>
                </c:pt>
                <c:pt idx="191">
                  <c:v>0.2880000000000002</c:v>
                </c:pt>
                <c:pt idx="192">
                  <c:v>0.2895000000000002</c:v>
                </c:pt>
                <c:pt idx="193">
                  <c:v>0.2910000000000002</c:v>
                </c:pt>
                <c:pt idx="194">
                  <c:v>0.2925000000000002</c:v>
                </c:pt>
                <c:pt idx="195">
                  <c:v>0.29400000000000021</c:v>
                </c:pt>
                <c:pt idx="196">
                  <c:v>0.29550000000000021</c:v>
                </c:pt>
                <c:pt idx="197">
                  <c:v>0.29700000000000021</c:v>
                </c:pt>
                <c:pt idx="198">
                  <c:v>0.29850000000000021</c:v>
                </c:pt>
                <c:pt idx="199">
                  <c:v>0.30000000000000021</c:v>
                </c:pt>
                <c:pt idx="200">
                  <c:v>0.30150000000000021</c:v>
                </c:pt>
                <c:pt idx="201">
                  <c:v>0.30300000000000021</c:v>
                </c:pt>
                <c:pt idx="202">
                  <c:v>0.30450000000000021</c:v>
                </c:pt>
                <c:pt idx="203">
                  <c:v>0.30600000000000022</c:v>
                </c:pt>
                <c:pt idx="204">
                  <c:v>0.30750000000000022</c:v>
                </c:pt>
                <c:pt idx="205">
                  <c:v>0.30900000000000022</c:v>
                </c:pt>
                <c:pt idx="206">
                  <c:v>0.31050000000000022</c:v>
                </c:pt>
                <c:pt idx="207">
                  <c:v>0.31200000000000022</c:v>
                </c:pt>
                <c:pt idx="208">
                  <c:v>0.31350000000000022</c:v>
                </c:pt>
                <c:pt idx="209">
                  <c:v>0.31500000000000022</c:v>
                </c:pt>
                <c:pt idx="210">
                  <c:v>0.31650000000000023</c:v>
                </c:pt>
                <c:pt idx="211">
                  <c:v>0.31800000000000023</c:v>
                </c:pt>
                <c:pt idx="212">
                  <c:v>0.31950000000000023</c:v>
                </c:pt>
                <c:pt idx="213">
                  <c:v>0.32100000000000023</c:v>
                </c:pt>
                <c:pt idx="214">
                  <c:v>0.32250000000000023</c:v>
                </c:pt>
                <c:pt idx="215">
                  <c:v>0.32400000000000023</c:v>
                </c:pt>
                <c:pt idx="216">
                  <c:v>0.32550000000000023</c:v>
                </c:pt>
                <c:pt idx="217">
                  <c:v>0.32700000000000023</c:v>
                </c:pt>
                <c:pt idx="218">
                  <c:v>0.32850000000000024</c:v>
                </c:pt>
                <c:pt idx="219">
                  <c:v>0.33000000000000024</c:v>
                </c:pt>
                <c:pt idx="220">
                  <c:v>0.33150000000000024</c:v>
                </c:pt>
                <c:pt idx="221">
                  <c:v>0.33300000000000024</c:v>
                </c:pt>
                <c:pt idx="222">
                  <c:v>0.33450000000000024</c:v>
                </c:pt>
                <c:pt idx="223">
                  <c:v>0.33600000000000024</c:v>
                </c:pt>
                <c:pt idx="224">
                  <c:v>0.33750000000000024</c:v>
                </c:pt>
                <c:pt idx="225">
                  <c:v>0.33900000000000025</c:v>
                </c:pt>
                <c:pt idx="226">
                  <c:v>0.34050000000000025</c:v>
                </c:pt>
                <c:pt idx="227">
                  <c:v>0.34200000000000025</c:v>
                </c:pt>
                <c:pt idx="228">
                  <c:v>0.34350000000000025</c:v>
                </c:pt>
                <c:pt idx="229">
                  <c:v>0.34500000000000025</c:v>
                </c:pt>
                <c:pt idx="230">
                  <c:v>0.34650000000000025</c:v>
                </c:pt>
                <c:pt idx="231">
                  <c:v>0.34800000000000025</c:v>
                </c:pt>
                <c:pt idx="232">
                  <c:v>0.34950000000000025</c:v>
                </c:pt>
                <c:pt idx="233">
                  <c:v>0.35100000000000026</c:v>
                </c:pt>
                <c:pt idx="234">
                  <c:v>0.35250000000000026</c:v>
                </c:pt>
                <c:pt idx="235">
                  <c:v>0.35400000000000026</c:v>
                </c:pt>
                <c:pt idx="236">
                  <c:v>0.35550000000000026</c:v>
                </c:pt>
                <c:pt idx="237">
                  <c:v>0.35700000000000026</c:v>
                </c:pt>
                <c:pt idx="238">
                  <c:v>0.35850000000000026</c:v>
                </c:pt>
                <c:pt idx="239">
                  <c:v>0.36000000000000026</c:v>
                </c:pt>
                <c:pt idx="240">
                  <c:v>0.36150000000000027</c:v>
                </c:pt>
                <c:pt idx="241">
                  <c:v>0.36300000000000027</c:v>
                </c:pt>
                <c:pt idx="242">
                  <c:v>0.36450000000000027</c:v>
                </c:pt>
                <c:pt idx="243">
                  <c:v>0.36600000000000027</c:v>
                </c:pt>
                <c:pt idx="244">
                  <c:v>0.36750000000000027</c:v>
                </c:pt>
                <c:pt idx="245">
                  <c:v>0.36900000000000027</c:v>
                </c:pt>
                <c:pt idx="246">
                  <c:v>0.37050000000000027</c:v>
                </c:pt>
                <c:pt idx="247">
                  <c:v>0.37200000000000027</c:v>
                </c:pt>
                <c:pt idx="248">
                  <c:v>0.37350000000000028</c:v>
                </c:pt>
                <c:pt idx="249">
                  <c:v>0.37500000000000028</c:v>
                </c:pt>
                <c:pt idx="250">
                  <c:v>0.37650000000000028</c:v>
                </c:pt>
                <c:pt idx="251">
                  <c:v>0.37800000000000028</c:v>
                </c:pt>
                <c:pt idx="252">
                  <c:v>0.37950000000000028</c:v>
                </c:pt>
                <c:pt idx="253">
                  <c:v>0.38100000000000028</c:v>
                </c:pt>
                <c:pt idx="254">
                  <c:v>0.38250000000000028</c:v>
                </c:pt>
                <c:pt idx="255">
                  <c:v>0.38400000000000029</c:v>
                </c:pt>
                <c:pt idx="256">
                  <c:v>0.38550000000000029</c:v>
                </c:pt>
                <c:pt idx="257">
                  <c:v>0.38700000000000029</c:v>
                </c:pt>
                <c:pt idx="258">
                  <c:v>0.38850000000000029</c:v>
                </c:pt>
                <c:pt idx="259">
                  <c:v>0.39000000000000029</c:v>
                </c:pt>
                <c:pt idx="260">
                  <c:v>0.39150000000000029</c:v>
                </c:pt>
                <c:pt idx="261">
                  <c:v>0.39300000000000029</c:v>
                </c:pt>
                <c:pt idx="262">
                  <c:v>0.39450000000000029</c:v>
                </c:pt>
                <c:pt idx="263">
                  <c:v>0.3960000000000003</c:v>
                </c:pt>
                <c:pt idx="264">
                  <c:v>0.3975000000000003</c:v>
                </c:pt>
                <c:pt idx="265">
                  <c:v>0.3990000000000003</c:v>
                </c:pt>
                <c:pt idx="266">
                  <c:v>0.4005000000000003</c:v>
                </c:pt>
                <c:pt idx="267">
                  <c:v>0.4020000000000003</c:v>
                </c:pt>
                <c:pt idx="268">
                  <c:v>0.4035000000000003</c:v>
                </c:pt>
                <c:pt idx="269">
                  <c:v>0.4050000000000003</c:v>
                </c:pt>
                <c:pt idx="270">
                  <c:v>0.40650000000000031</c:v>
                </c:pt>
                <c:pt idx="271">
                  <c:v>0.40800000000000031</c:v>
                </c:pt>
                <c:pt idx="272">
                  <c:v>0.40950000000000031</c:v>
                </c:pt>
                <c:pt idx="273">
                  <c:v>0.41100000000000031</c:v>
                </c:pt>
                <c:pt idx="274">
                  <c:v>0.41250000000000031</c:v>
                </c:pt>
                <c:pt idx="275">
                  <c:v>0.41400000000000031</c:v>
                </c:pt>
                <c:pt idx="276">
                  <c:v>0.41550000000000031</c:v>
                </c:pt>
                <c:pt idx="277">
                  <c:v>0.41700000000000031</c:v>
                </c:pt>
                <c:pt idx="278">
                  <c:v>0.41850000000000032</c:v>
                </c:pt>
                <c:pt idx="279">
                  <c:v>0.42000000000000032</c:v>
                </c:pt>
                <c:pt idx="280">
                  <c:v>0.42150000000000032</c:v>
                </c:pt>
                <c:pt idx="281">
                  <c:v>0.42300000000000032</c:v>
                </c:pt>
                <c:pt idx="282">
                  <c:v>0.42450000000000032</c:v>
                </c:pt>
                <c:pt idx="283">
                  <c:v>0.42600000000000032</c:v>
                </c:pt>
                <c:pt idx="284">
                  <c:v>0.42750000000000032</c:v>
                </c:pt>
                <c:pt idx="285">
                  <c:v>0.42900000000000033</c:v>
                </c:pt>
                <c:pt idx="286">
                  <c:v>0.43050000000000033</c:v>
                </c:pt>
                <c:pt idx="287">
                  <c:v>0.43200000000000033</c:v>
                </c:pt>
                <c:pt idx="288">
                  <c:v>0.43350000000000033</c:v>
                </c:pt>
                <c:pt idx="289">
                  <c:v>0.43500000000000033</c:v>
                </c:pt>
                <c:pt idx="290">
                  <c:v>0.43650000000000033</c:v>
                </c:pt>
                <c:pt idx="291">
                  <c:v>0.43800000000000033</c:v>
                </c:pt>
                <c:pt idx="292">
                  <c:v>0.43950000000000033</c:v>
                </c:pt>
                <c:pt idx="293">
                  <c:v>0.44100000000000034</c:v>
                </c:pt>
                <c:pt idx="294">
                  <c:v>0.44250000000000034</c:v>
                </c:pt>
                <c:pt idx="295">
                  <c:v>0.44400000000000034</c:v>
                </c:pt>
                <c:pt idx="296">
                  <c:v>0.44550000000000034</c:v>
                </c:pt>
                <c:pt idx="297">
                  <c:v>0.44700000000000034</c:v>
                </c:pt>
                <c:pt idx="298">
                  <c:v>0.44850000000000034</c:v>
                </c:pt>
                <c:pt idx="299">
                  <c:v>0.45000000000000034</c:v>
                </c:pt>
                <c:pt idx="300">
                  <c:v>0.45150000000000035</c:v>
                </c:pt>
                <c:pt idx="301">
                  <c:v>0.45300000000000035</c:v>
                </c:pt>
                <c:pt idx="302">
                  <c:v>0.45450000000000035</c:v>
                </c:pt>
                <c:pt idx="303">
                  <c:v>0.45600000000000035</c:v>
                </c:pt>
                <c:pt idx="304">
                  <c:v>0.45750000000000035</c:v>
                </c:pt>
                <c:pt idx="305">
                  <c:v>0.45900000000000035</c:v>
                </c:pt>
                <c:pt idx="306">
                  <c:v>0.46050000000000035</c:v>
                </c:pt>
                <c:pt idx="307">
                  <c:v>0.46200000000000035</c:v>
                </c:pt>
                <c:pt idx="308">
                  <c:v>0.46350000000000036</c:v>
                </c:pt>
                <c:pt idx="309">
                  <c:v>0.46500000000000036</c:v>
                </c:pt>
                <c:pt idx="310">
                  <c:v>0.46650000000000036</c:v>
                </c:pt>
                <c:pt idx="311">
                  <c:v>0.46800000000000036</c:v>
                </c:pt>
                <c:pt idx="312">
                  <c:v>0.46950000000000036</c:v>
                </c:pt>
                <c:pt idx="313">
                  <c:v>0.47100000000000036</c:v>
                </c:pt>
                <c:pt idx="314">
                  <c:v>0.47250000000000036</c:v>
                </c:pt>
                <c:pt idx="315">
                  <c:v>0.47400000000000037</c:v>
                </c:pt>
                <c:pt idx="316">
                  <c:v>0.47550000000000037</c:v>
                </c:pt>
                <c:pt idx="317">
                  <c:v>0.47700000000000037</c:v>
                </c:pt>
                <c:pt idx="318">
                  <c:v>0.47850000000000037</c:v>
                </c:pt>
                <c:pt idx="319">
                  <c:v>0.48000000000000037</c:v>
                </c:pt>
                <c:pt idx="320">
                  <c:v>0.48150000000000037</c:v>
                </c:pt>
                <c:pt idx="321">
                  <c:v>0.48300000000000037</c:v>
                </c:pt>
                <c:pt idx="322">
                  <c:v>0.48450000000000037</c:v>
                </c:pt>
                <c:pt idx="323">
                  <c:v>0.48600000000000038</c:v>
                </c:pt>
                <c:pt idx="324">
                  <c:v>0.48750000000000038</c:v>
                </c:pt>
                <c:pt idx="325">
                  <c:v>0.48900000000000038</c:v>
                </c:pt>
                <c:pt idx="326">
                  <c:v>0.49050000000000038</c:v>
                </c:pt>
                <c:pt idx="327">
                  <c:v>0.49200000000000038</c:v>
                </c:pt>
                <c:pt idx="328">
                  <c:v>0.49350000000000038</c:v>
                </c:pt>
                <c:pt idx="329">
                  <c:v>0.49500000000000038</c:v>
                </c:pt>
                <c:pt idx="330">
                  <c:v>0.49650000000000039</c:v>
                </c:pt>
                <c:pt idx="331">
                  <c:v>0.49800000000000039</c:v>
                </c:pt>
                <c:pt idx="332">
                  <c:v>0.49950000000000039</c:v>
                </c:pt>
                <c:pt idx="333">
                  <c:v>0.50100000000000033</c:v>
                </c:pt>
                <c:pt idx="334">
                  <c:v>0.50250000000000028</c:v>
                </c:pt>
                <c:pt idx="335">
                  <c:v>0.50400000000000023</c:v>
                </c:pt>
                <c:pt idx="336">
                  <c:v>0.50550000000000017</c:v>
                </c:pt>
                <c:pt idx="337">
                  <c:v>0.50700000000000012</c:v>
                </c:pt>
                <c:pt idx="338">
                  <c:v>0.50850000000000006</c:v>
                </c:pt>
                <c:pt idx="339">
                  <c:v>0.51</c:v>
                </c:pt>
                <c:pt idx="340">
                  <c:v>0.51149999999999995</c:v>
                </c:pt>
                <c:pt idx="341">
                  <c:v>0.5129999999999999</c:v>
                </c:pt>
                <c:pt idx="342">
                  <c:v>0.51449999999999985</c:v>
                </c:pt>
                <c:pt idx="343">
                  <c:v>0.51599999999999979</c:v>
                </c:pt>
                <c:pt idx="344">
                  <c:v>0.51749999999999974</c:v>
                </c:pt>
                <c:pt idx="345">
                  <c:v>0.51899999999999968</c:v>
                </c:pt>
                <c:pt idx="346">
                  <c:v>0.52049999999999963</c:v>
                </c:pt>
                <c:pt idx="347">
                  <c:v>0.52199999999999958</c:v>
                </c:pt>
                <c:pt idx="348">
                  <c:v>0.52349999999999952</c:v>
                </c:pt>
                <c:pt idx="349">
                  <c:v>0.52499999999999947</c:v>
                </c:pt>
                <c:pt idx="350">
                  <c:v>0.52649999999999941</c:v>
                </c:pt>
                <c:pt idx="351">
                  <c:v>0.52799999999999936</c:v>
                </c:pt>
                <c:pt idx="352">
                  <c:v>0.5294999999999993</c:v>
                </c:pt>
                <c:pt idx="353">
                  <c:v>0.53099999999999925</c:v>
                </c:pt>
                <c:pt idx="354">
                  <c:v>0.5324999999999992</c:v>
                </c:pt>
                <c:pt idx="355">
                  <c:v>0.53399999999999914</c:v>
                </c:pt>
                <c:pt idx="356">
                  <c:v>0.53549999999999909</c:v>
                </c:pt>
                <c:pt idx="357">
                  <c:v>0.53699999999999903</c:v>
                </c:pt>
                <c:pt idx="358">
                  <c:v>0.53849999999999898</c:v>
                </c:pt>
                <c:pt idx="359">
                  <c:v>0.53999999999999893</c:v>
                </c:pt>
                <c:pt idx="360">
                  <c:v>0.54149999999999887</c:v>
                </c:pt>
                <c:pt idx="361">
                  <c:v>0.54299999999999882</c:v>
                </c:pt>
                <c:pt idx="362">
                  <c:v>0.54449999999999876</c:v>
                </c:pt>
                <c:pt idx="363">
                  <c:v>0.54599999999999871</c:v>
                </c:pt>
                <c:pt idx="364">
                  <c:v>0.54749999999999865</c:v>
                </c:pt>
                <c:pt idx="365">
                  <c:v>0.5489999999999986</c:v>
                </c:pt>
                <c:pt idx="366">
                  <c:v>0.55049999999999855</c:v>
                </c:pt>
                <c:pt idx="367">
                  <c:v>0.55199999999999849</c:v>
                </c:pt>
                <c:pt idx="368">
                  <c:v>0.55349999999999844</c:v>
                </c:pt>
                <c:pt idx="369">
                  <c:v>0.55499999999999838</c:v>
                </c:pt>
                <c:pt idx="370">
                  <c:v>0.55649999999999833</c:v>
                </c:pt>
                <c:pt idx="371">
                  <c:v>0.55799999999999828</c:v>
                </c:pt>
                <c:pt idx="372">
                  <c:v>0.55949999999999822</c:v>
                </c:pt>
                <c:pt idx="373">
                  <c:v>0.56099999999999817</c:v>
                </c:pt>
                <c:pt idx="374">
                  <c:v>0.56249999999999811</c:v>
                </c:pt>
                <c:pt idx="375">
                  <c:v>0.56399999999999806</c:v>
                </c:pt>
                <c:pt idx="376">
                  <c:v>0.565499999999998</c:v>
                </c:pt>
                <c:pt idx="377">
                  <c:v>0.56699999999999795</c:v>
                </c:pt>
                <c:pt idx="378">
                  <c:v>0.5684999999999979</c:v>
                </c:pt>
                <c:pt idx="379">
                  <c:v>0.56999999999999784</c:v>
                </c:pt>
                <c:pt idx="380">
                  <c:v>0.57149999999999779</c:v>
                </c:pt>
                <c:pt idx="381">
                  <c:v>0.57299999999999773</c:v>
                </c:pt>
                <c:pt idx="382">
                  <c:v>0.57449999999999768</c:v>
                </c:pt>
                <c:pt idx="383">
                  <c:v>0.57599999999999763</c:v>
                </c:pt>
                <c:pt idx="384">
                  <c:v>0.57749999999999757</c:v>
                </c:pt>
                <c:pt idx="385">
                  <c:v>0.57899999999999752</c:v>
                </c:pt>
                <c:pt idx="386">
                  <c:v>0.58049999999999746</c:v>
                </c:pt>
                <c:pt idx="387">
                  <c:v>0.58199999999999741</c:v>
                </c:pt>
                <c:pt idx="388">
                  <c:v>0.58349999999999735</c:v>
                </c:pt>
                <c:pt idx="389">
                  <c:v>0.5849999999999973</c:v>
                </c:pt>
                <c:pt idx="390">
                  <c:v>0.58649999999999725</c:v>
                </c:pt>
                <c:pt idx="391">
                  <c:v>0.58799999999999719</c:v>
                </c:pt>
                <c:pt idx="392">
                  <c:v>0.58949999999999714</c:v>
                </c:pt>
                <c:pt idx="393">
                  <c:v>0.59099999999999708</c:v>
                </c:pt>
                <c:pt idx="394">
                  <c:v>0.59249999999999703</c:v>
                </c:pt>
                <c:pt idx="395">
                  <c:v>0.59399999999999697</c:v>
                </c:pt>
                <c:pt idx="396">
                  <c:v>0.59549999999999692</c:v>
                </c:pt>
                <c:pt idx="397">
                  <c:v>0.59699999999999687</c:v>
                </c:pt>
                <c:pt idx="398">
                  <c:v>0.59849999999999681</c:v>
                </c:pt>
                <c:pt idx="399">
                  <c:v>0.59999999999999676</c:v>
                </c:pt>
                <c:pt idx="400">
                  <c:v>0.6014999999999967</c:v>
                </c:pt>
                <c:pt idx="401">
                  <c:v>0.60299999999999665</c:v>
                </c:pt>
                <c:pt idx="402">
                  <c:v>0.6044999999999966</c:v>
                </c:pt>
                <c:pt idx="403">
                  <c:v>0.60599999999999654</c:v>
                </c:pt>
                <c:pt idx="404">
                  <c:v>0.60749999999999649</c:v>
                </c:pt>
                <c:pt idx="405">
                  <c:v>0.60899999999999643</c:v>
                </c:pt>
                <c:pt idx="406">
                  <c:v>0.61049999999999638</c:v>
                </c:pt>
                <c:pt idx="407">
                  <c:v>0.61199999999999632</c:v>
                </c:pt>
                <c:pt idx="408">
                  <c:v>0.61349999999999627</c:v>
                </c:pt>
                <c:pt idx="409">
                  <c:v>0.61499999999999622</c:v>
                </c:pt>
                <c:pt idx="410">
                  <c:v>0.61649999999999616</c:v>
                </c:pt>
                <c:pt idx="411">
                  <c:v>0.61799999999999611</c:v>
                </c:pt>
                <c:pt idx="412">
                  <c:v>0.61949999999999605</c:v>
                </c:pt>
                <c:pt idx="413">
                  <c:v>0.620999999999996</c:v>
                </c:pt>
                <c:pt idx="414">
                  <c:v>0.62249999999999595</c:v>
                </c:pt>
                <c:pt idx="415">
                  <c:v>0.62399999999999589</c:v>
                </c:pt>
                <c:pt idx="416">
                  <c:v>0.62549999999999584</c:v>
                </c:pt>
                <c:pt idx="417">
                  <c:v>0.62699999999999578</c:v>
                </c:pt>
                <c:pt idx="418">
                  <c:v>0.62849999999999573</c:v>
                </c:pt>
                <c:pt idx="419">
                  <c:v>0.62999999999999567</c:v>
                </c:pt>
                <c:pt idx="420">
                  <c:v>0.63149999999999562</c:v>
                </c:pt>
                <c:pt idx="421">
                  <c:v>0.63299999999999557</c:v>
                </c:pt>
                <c:pt idx="422">
                  <c:v>0.63449999999999551</c:v>
                </c:pt>
                <c:pt idx="423">
                  <c:v>0.63599999999999546</c:v>
                </c:pt>
                <c:pt idx="424">
                  <c:v>0.6374999999999954</c:v>
                </c:pt>
                <c:pt idx="425">
                  <c:v>0.63899999999999535</c:v>
                </c:pt>
                <c:pt idx="426">
                  <c:v>0.6404999999999953</c:v>
                </c:pt>
                <c:pt idx="427">
                  <c:v>0.64199999999999524</c:v>
                </c:pt>
                <c:pt idx="428">
                  <c:v>0.64349999999999519</c:v>
                </c:pt>
                <c:pt idx="429">
                  <c:v>0.64499999999999513</c:v>
                </c:pt>
                <c:pt idx="430">
                  <c:v>0.64649999999999508</c:v>
                </c:pt>
                <c:pt idx="431">
                  <c:v>0.64799999999999502</c:v>
                </c:pt>
                <c:pt idx="432">
                  <c:v>0.64949999999999497</c:v>
                </c:pt>
                <c:pt idx="433">
                  <c:v>0.65099999999999492</c:v>
                </c:pt>
                <c:pt idx="434">
                  <c:v>0.65249999999999486</c:v>
                </c:pt>
                <c:pt idx="435">
                  <c:v>0.65399999999999481</c:v>
                </c:pt>
                <c:pt idx="436">
                  <c:v>0.65549999999999475</c:v>
                </c:pt>
                <c:pt idx="437">
                  <c:v>0.6569999999999947</c:v>
                </c:pt>
                <c:pt idx="438">
                  <c:v>0.65849999999999465</c:v>
                </c:pt>
                <c:pt idx="439">
                  <c:v>0.65999999999999459</c:v>
                </c:pt>
                <c:pt idx="440">
                  <c:v>0.66149999999999454</c:v>
                </c:pt>
                <c:pt idx="441">
                  <c:v>0.66299999999999448</c:v>
                </c:pt>
                <c:pt idx="442">
                  <c:v>0.66449999999999443</c:v>
                </c:pt>
                <c:pt idx="443">
                  <c:v>0.66599999999999437</c:v>
                </c:pt>
                <c:pt idx="444">
                  <c:v>0.66749999999999432</c:v>
                </c:pt>
                <c:pt idx="445">
                  <c:v>0.66899999999999427</c:v>
                </c:pt>
                <c:pt idx="446">
                  <c:v>0.67049999999999421</c:v>
                </c:pt>
                <c:pt idx="447">
                  <c:v>0.67199999999999416</c:v>
                </c:pt>
                <c:pt idx="448">
                  <c:v>0.6734999999999941</c:v>
                </c:pt>
                <c:pt idx="449">
                  <c:v>0.67499999999999405</c:v>
                </c:pt>
                <c:pt idx="450">
                  <c:v>0.676499999999994</c:v>
                </c:pt>
                <c:pt idx="451">
                  <c:v>0.67799999999999394</c:v>
                </c:pt>
                <c:pt idx="452">
                  <c:v>0.67949999999999389</c:v>
                </c:pt>
                <c:pt idx="453">
                  <c:v>0.68099999999999383</c:v>
                </c:pt>
                <c:pt idx="454">
                  <c:v>0.68249999999999378</c:v>
                </c:pt>
                <c:pt idx="455">
                  <c:v>0.68399999999999372</c:v>
                </c:pt>
                <c:pt idx="456">
                  <c:v>0.68549999999999367</c:v>
                </c:pt>
                <c:pt idx="457">
                  <c:v>0.68699999999999362</c:v>
                </c:pt>
                <c:pt idx="458">
                  <c:v>0.68849999999999356</c:v>
                </c:pt>
                <c:pt idx="459">
                  <c:v>0.68999999999999351</c:v>
                </c:pt>
                <c:pt idx="460">
                  <c:v>0.69149999999999345</c:v>
                </c:pt>
                <c:pt idx="461">
                  <c:v>0.6929999999999934</c:v>
                </c:pt>
                <c:pt idx="462">
                  <c:v>0.69449999999999334</c:v>
                </c:pt>
                <c:pt idx="463">
                  <c:v>0.69599999999999329</c:v>
                </c:pt>
                <c:pt idx="464">
                  <c:v>0.69749999999999324</c:v>
                </c:pt>
                <c:pt idx="465">
                  <c:v>0.69899999999999318</c:v>
                </c:pt>
                <c:pt idx="466">
                  <c:v>0.70049999999999313</c:v>
                </c:pt>
                <c:pt idx="467">
                  <c:v>0.70199999999999307</c:v>
                </c:pt>
                <c:pt idx="468">
                  <c:v>0.70349999999999302</c:v>
                </c:pt>
                <c:pt idx="469">
                  <c:v>0.70499999999999297</c:v>
                </c:pt>
                <c:pt idx="470">
                  <c:v>0.70649999999999291</c:v>
                </c:pt>
                <c:pt idx="471">
                  <c:v>0.70799999999999286</c:v>
                </c:pt>
                <c:pt idx="472">
                  <c:v>0.7094999999999928</c:v>
                </c:pt>
                <c:pt idx="473">
                  <c:v>0.71099999999999275</c:v>
                </c:pt>
                <c:pt idx="474">
                  <c:v>0.71249999999999269</c:v>
                </c:pt>
                <c:pt idx="475">
                  <c:v>0.71399999999999264</c:v>
                </c:pt>
                <c:pt idx="476">
                  <c:v>0.71549999999999259</c:v>
                </c:pt>
                <c:pt idx="477">
                  <c:v>0.71699999999999253</c:v>
                </c:pt>
                <c:pt idx="478">
                  <c:v>0.71849999999999248</c:v>
                </c:pt>
                <c:pt idx="479">
                  <c:v>0.71999999999999242</c:v>
                </c:pt>
                <c:pt idx="480">
                  <c:v>0.72149999999999237</c:v>
                </c:pt>
                <c:pt idx="481">
                  <c:v>0.72299999999999232</c:v>
                </c:pt>
                <c:pt idx="482">
                  <c:v>0.72449999999999226</c:v>
                </c:pt>
                <c:pt idx="483">
                  <c:v>0.72599999999999221</c:v>
                </c:pt>
                <c:pt idx="484">
                  <c:v>0.72749999999999215</c:v>
                </c:pt>
                <c:pt idx="485">
                  <c:v>0.7289999999999921</c:v>
                </c:pt>
                <c:pt idx="486">
                  <c:v>0.73049999999999204</c:v>
                </c:pt>
                <c:pt idx="487">
                  <c:v>0.73199999999999199</c:v>
                </c:pt>
                <c:pt idx="488">
                  <c:v>0.73349999999999194</c:v>
                </c:pt>
                <c:pt idx="489">
                  <c:v>0.73499999999999188</c:v>
                </c:pt>
                <c:pt idx="490">
                  <c:v>0.73649999999999183</c:v>
                </c:pt>
                <c:pt idx="491">
                  <c:v>0.73799999999999177</c:v>
                </c:pt>
                <c:pt idx="492">
                  <c:v>0.73949999999999172</c:v>
                </c:pt>
                <c:pt idx="493">
                  <c:v>0.74099999999999167</c:v>
                </c:pt>
                <c:pt idx="494">
                  <c:v>0.74249999999999161</c:v>
                </c:pt>
                <c:pt idx="495">
                  <c:v>0.74399999999999156</c:v>
                </c:pt>
                <c:pt idx="496">
                  <c:v>0.7454999999999915</c:v>
                </c:pt>
                <c:pt idx="497">
                  <c:v>0.74699999999999145</c:v>
                </c:pt>
                <c:pt idx="498">
                  <c:v>0.74849999999999139</c:v>
                </c:pt>
                <c:pt idx="499">
                  <c:v>0.74999999999999134</c:v>
                </c:pt>
                <c:pt idx="500">
                  <c:v>0.75149999999999129</c:v>
                </c:pt>
                <c:pt idx="501">
                  <c:v>0.75299999999999123</c:v>
                </c:pt>
                <c:pt idx="502">
                  <c:v>0.75449999999999118</c:v>
                </c:pt>
                <c:pt idx="503">
                  <c:v>0.75599999999999112</c:v>
                </c:pt>
                <c:pt idx="504">
                  <c:v>0.75749999999999107</c:v>
                </c:pt>
                <c:pt idx="505">
                  <c:v>0.75899999999999102</c:v>
                </c:pt>
                <c:pt idx="506">
                  <c:v>0.76049999999999096</c:v>
                </c:pt>
                <c:pt idx="507">
                  <c:v>0.76199999999999091</c:v>
                </c:pt>
                <c:pt idx="508">
                  <c:v>0.76349999999999085</c:v>
                </c:pt>
                <c:pt idx="509">
                  <c:v>0.7649999999999908</c:v>
                </c:pt>
                <c:pt idx="510">
                  <c:v>0.76649999999999074</c:v>
                </c:pt>
                <c:pt idx="511">
                  <c:v>0.76799999999999069</c:v>
                </c:pt>
                <c:pt idx="512">
                  <c:v>0.76949999999999064</c:v>
                </c:pt>
                <c:pt idx="513">
                  <c:v>0.77099999999999058</c:v>
                </c:pt>
                <c:pt idx="514">
                  <c:v>0.77249999999999053</c:v>
                </c:pt>
                <c:pt idx="515">
                  <c:v>0.77399999999999047</c:v>
                </c:pt>
                <c:pt idx="516">
                  <c:v>0.77549999999999042</c:v>
                </c:pt>
                <c:pt idx="517">
                  <c:v>0.77699999999999037</c:v>
                </c:pt>
                <c:pt idx="518">
                  <c:v>0.77849999999999031</c:v>
                </c:pt>
                <c:pt idx="519">
                  <c:v>0.77999999999999026</c:v>
                </c:pt>
                <c:pt idx="520">
                  <c:v>0.7814999999999902</c:v>
                </c:pt>
                <c:pt idx="521">
                  <c:v>0.78299999999999015</c:v>
                </c:pt>
                <c:pt idx="522">
                  <c:v>0.78449999999999009</c:v>
                </c:pt>
                <c:pt idx="523">
                  <c:v>0.78599999999999004</c:v>
                </c:pt>
                <c:pt idx="524">
                  <c:v>0.78749999999998999</c:v>
                </c:pt>
                <c:pt idx="525">
                  <c:v>0.78899999999998993</c:v>
                </c:pt>
                <c:pt idx="526">
                  <c:v>0.79049999999998988</c:v>
                </c:pt>
                <c:pt idx="527">
                  <c:v>0.79199999999998982</c:v>
                </c:pt>
                <c:pt idx="528">
                  <c:v>0.79349999999998977</c:v>
                </c:pt>
                <c:pt idx="529">
                  <c:v>0.79499999999998971</c:v>
                </c:pt>
                <c:pt idx="530">
                  <c:v>0.79649999999998966</c:v>
                </c:pt>
                <c:pt idx="531">
                  <c:v>0.79799999999998961</c:v>
                </c:pt>
                <c:pt idx="532">
                  <c:v>0.79949999999998955</c:v>
                </c:pt>
                <c:pt idx="533">
                  <c:v>0.8009999999999895</c:v>
                </c:pt>
                <c:pt idx="534">
                  <c:v>0.80249999999998944</c:v>
                </c:pt>
                <c:pt idx="535">
                  <c:v>0.80399999999998939</c:v>
                </c:pt>
                <c:pt idx="536">
                  <c:v>0.80549999999998934</c:v>
                </c:pt>
                <c:pt idx="537">
                  <c:v>0.80699999999998928</c:v>
                </c:pt>
                <c:pt idx="538">
                  <c:v>0.80849999999998923</c:v>
                </c:pt>
                <c:pt idx="539">
                  <c:v>0.80999999999998917</c:v>
                </c:pt>
                <c:pt idx="540">
                  <c:v>0.81149999999998912</c:v>
                </c:pt>
                <c:pt idx="541">
                  <c:v>0.81299999999998906</c:v>
                </c:pt>
                <c:pt idx="542">
                  <c:v>0.81449999999998901</c:v>
                </c:pt>
                <c:pt idx="543">
                  <c:v>0.81599999999998896</c:v>
                </c:pt>
                <c:pt idx="544">
                  <c:v>0.8174999999999889</c:v>
                </c:pt>
                <c:pt idx="545">
                  <c:v>0.81899999999998885</c:v>
                </c:pt>
                <c:pt idx="546">
                  <c:v>0.82049999999998879</c:v>
                </c:pt>
                <c:pt idx="547">
                  <c:v>0.82199999999998874</c:v>
                </c:pt>
                <c:pt idx="548">
                  <c:v>0.82349999999998869</c:v>
                </c:pt>
                <c:pt idx="549">
                  <c:v>0.82499999999998863</c:v>
                </c:pt>
                <c:pt idx="550">
                  <c:v>0.82649999999998858</c:v>
                </c:pt>
                <c:pt idx="551">
                  <c:v>0.82799999999998852</c:v>
                </c:pt>
                <c:pt idx="552">
                  <c:v>0.82949999999998847</c:v>
                </c:pt>
                <c:pt idx="553">
                  <c:v>0.83099999999998841</c:v>
                </c:pt>
                <c:pt idx="554">
                  <c:v>0.83249999999998836</c:v>
                </c:pt>
                <c:pt idx="555">
                  <c:v>0.83399999999998831</c:v>
                </c:pt>
                <c:pt idx="556">
                  <c:v>0.83549999999998825</c:v>
                </c:pt>
                <c:pt idx="557">
                  <c:v>0.8369999999999882</c:v>
                </c:pt>
                <c:pt idx="558">
                  <c:v>0.83849999999998814</c:v>
                </c:pt>
                <c:pt idx="559">
                  <c:v>0.83999999999998809</c:v>
                </c:pt>
                <c:pt idx="560">
                  <c:v>0.84149999999998804</c:v>
                </c:pt>
                <c:pt idx="561">
                  <c:v>0.84299999999998798</c:v>
                </c:pt>
                <c:pt idx="562">
                  <c:v>0.84449999999998793</c:v>
                </c:pt>
                <c:pt idx="563">
                  <c:v>0.84599999999998787</c:v>
                </c:pt>
                <c:pt idx="564">
                  <c:v>0.84749999999998782</c:v>
                </c:pt>
                <c:pt idx="565">
                  <c:v>0.84899999999998776</c:v>
                </c:pt>
                <c:pt idx="566">
                  <c:v>0.85049999999998771</c:v>
                </c:pt>
                <c:pt idx="567">
                  <c:v>0.85199999999998766</c:v>
                </c:pt>
                <c:pt idx="568">
                  <c:v>0.8534999999999876</c:v>
                </c:pt>
                <c:pt idx="569">
                  <c:v>0.85499999999998755</c:v>
                </c:pt>
                <c:pt idx="570">
                  <c:v>0.85649999999998749</c:v>
                </c:pt>
                <c:pt idx="571">
                  <c:v>0.85799999999998744</c:v>
                </c:pt>
                <c:pt idx="572">
                  <c:v>0.85949999999998739</c:v>
                </c:pt>
                <c:pt idx="573">
                  <c:v>0.86099999999998733</c:v>
                </c:pt>
                <c:pt idx="574">
                  <c:v>0.86249999999998728</c:v>
                </c:pt>
                <c:pt idx="575">
                  <c:v>0.86399999999998722</c:v>
                </c:pt>
                <c:pt idx="576">
                  <c:v>0.86549999999998717</c:v>
                </c:pt>
                <c:pt idx="577">
                  <c:v>0.86699999999998711</c:v>
                </c:pt>
                <c:pt idx="578">
                  <c:v>0.86849999999998706</c:v>
                </c:pt>
                <c:pt idx="579">
                  <c:v>0.86999999999998701</c:v>
                </c:pt>
                <c:pt idx="580">
                  <c:v>0.87149999999998695</c:v>
                </c:pt>
                <c:pt idx="581">
                  <c:v>0.8729999999999869</c:v>
                </c:pt>
                <c:pt idx="582">
                  <c:v>0.87449999999998684</c:v>
                </c:pt>
                <c:pt idx="583">
                  <c:v>0.87599999999998679</c:v>
                </c:pt>
                <c:pt idx="584">
                  <c:v>0.87749999999998674</c:v>
                </c:pt>
                <c:pt idx="585">
                  <c:v>0.87899999999998668</c:v>
                </c:pt>
                <c:pt idx="586">
                  <c:v>0.88049999999998663</c:v>
                </c:pt>
                <c:pt idx="587">
                  <c:v>0.88199999999998657</c:v>
                </c:pt>
                <c:pt idx="588">
                  <c:v>0.88349999999998652</c:v>
                </c:pt>
                <c:pt idx="589">
                  <c:v>0.88499999999998646</c:v>
                </c:pt>
                <c:pt idx="590">
                  <c:v>0.88649999999998641</c:v>
                </c:pt>
                <c:pt idx="591">
                  <c:v>0.88799999999998636</c:v>
                </c:pt>
                <c:pt idx="592">
                  <c:v>0.8894999999999863</c:v>
                </c:pt>
                <c:pt idx="593">
                  <c:v>0.89099999999998625</c:v>
                </c:pt>
                <c:pt idx="594">
                  <c:v>0.89249999999998619</c:v>
                </c:pt>
                <c:pt idx="595">
                  <c:v>0.89399999999998614</c:v>
                </c:pt>
                <c:pt idx="596">
                  <c:v>0.89549999999998608</c:v>
                </c:pt>
                <c:pt idx="597">
                  <c:v>0.89699999999998603</c:v>
                </c:pt>
                <c:pt idx="598">
                  <c:v>0.89849999999998598</c:v>
                </c:pt>
                <c:pt idx="599">
                  <c:v>0.89999999999998592</c:v>
                </c:pt>
                <c:pt idx="600">
                  <c:v>0.90149999999998587</c:v>
                </c:pt>
                <c:pt idx="601">
                  <c:v>0.90299999999998581</c:v>
                </c:pt>
                <c:pt idx="602">
                  <c:v>0.90449999999998576</c:v>
                </c:pt>
                <c:pt idx="603">
                  <c:v>0.90599999999998571</c:v>
                </c:pt>
                <c:pt idx="604">
                  <c:v>0.90749999999998565</c:v>
                </c:pt>
                <c:pt idx="605">
                  <c:v>0.9089999999999856</c:v>
                </c:pt>
                <c:pt idx="606">
                  <c:v>0.91049999999998554</c:v>
                </c:pt>
                <c:pt idx="607">
                  <c:v>0.91199999999998549</c:v>
                </c:pt>
                <c:pt idx="608">
                  <c:v>0.91349999999998543</c:v>
                </c:pt>
                <c:pt idx="609">
                  <c:v>0.91499999999998538</c:v>
                </c:pt>
                <c:pt idx="610">
                  <c:v>0.91649999999998533</c:v>
                </c:pt>
                <c:pt idx="611">
                  <c:v>0.91799999999998527</c:v>
                </c:pt>
                <c:pt idx="612">
                  <c:v>0.91949999999998522</c:v>
                </c:pt>
                <c:pt idx="613">
                  <c:v>0.92099999999998516</c:v>
                </c:pt>
                <c:pt idx="614">
                  <c:v>0.92249999999998511</c:v>
                </c:pt>
                <c:pt idx="615">
                  <c:v>0.92399999999998506</c:v>
                </c:pt>
                <c:pt idx="616">
                  <c:v>0.925499999999985</c:v>
                </c:pt>
                <c:pt idx="617">
                  <c:v>0.92699999999998495</c:v>
                </c:pt>
                <c:pt idx="618">
                  <c:v>0.92849999999998489</c:v>
                </c:pt>
                <c:pt idx="619">
                  <c:v>0.92999999999998484</c:v>
                </c:pt>
                <c:pt idx="620">
                  <c:v>0.93149999999998478</c:v>
                </c:pt>
                <c:pt idx="621">
                  <c:v>0.93299999999998473</c:v>
                </c:pt>
                <c:pt idx="622">
                  <c:v>0.93449999999998468</c:v>
                </c:pt>
                <c:pt idx="623">
                  <c:v>0.93599999999998462</c:v>
                </c:pt>
                <c:pt idx="624">
                  <c:v>0.93749999999998457</c:v>
                </c:pt>
                <c:pt idx="625">
                  <c:v>0.93899999999998451</c:v>
                </c:pt>
                <c:pt idx="626">
                  <c:v>0.94049999999998446</c:v>
                </c:pt>
                <c:pt idx="627">
                  <c:v>0.94199999999998441</c:v>
                </c:pt>
                <c:pt idx="628">
                  <c:v>0.94349999999998435</c:v>
                </c:pt>
                <c:pt idx="629">
                  <c:v>0.9449999999999843</c:v>
                </c:pt>
                <c:pt idx="630">
                  <c:v>0.94649999999998424</c:v>
                </c:pt>
                <c:pt idx="631">
                  <c:v>0.94799999999998419</c:v>
                </c:pt>
                <c:pt idx="632">
                  <c:v>0.94949999999998413</c:v>
                </c:pt>
                <c:pt idx="633">
                  <c:v>0.95099999999998408</c:v>
                </c:pt>
                <c:pt idx="634">
                  <c:v>0.95249999999998403</c:v>
                </c:pt>
                <c:pt idx="635">
                  <c:v>0.95399999999998397</c:v>
                </c:pt>
                <c:pt idx="636">
                  <c:v>0.95549999999998392</c:v>
                </c:pt>
                <c:pt idx="637">
                  <c:v>0.95699999999998386</c:v>
                </c:pt>
                <c:pt idx="638">
                  <c:v>0.95849999999998381</c:v>
                </c:pt>
                <c:pt idx="639">
                  <c:v>0.95999999999998376</c:v>
                </c:pt>
                <c:pt idx="640">
                  <c:v>0.9614999999999837</c:v>
                </c:pt>
                <c:pt idx="641">
                  <c:v>0.96299999999998365</c:v>
                </c:pt>
                <c:pt idx="642">
                  <c:v>0.96449999999998359</c:v>
                </c:pt>
                <c:pt idx="643">
                  <c:v>0.96599999999998354</c:v>
                </c:pt>
                <c:pt idx="644">
                  <c:v>0.96749999999998348</c:v>
                </c:pt>
                <c:pt idx="645">
                  <c:v>0.96899999999998343</c:v>
                </c:pt>
                <c:pt idx="646">
                  <c:v>0.97049999999998338</c:v>
                </c:pt>
                <c:pt idx="647">
                  <c:v>0.97199999999998332</c:v>
                </c:pt>
                <c:pt idx="648">
                  <c:v>0.97349999999998327</c:v>
                </c:pt>
                <c:pt idx="649">
                  <c:v>0.97499999999998321</c:v>
                </c:pt>
                <c:pt idx="650">
                  <c:v>0.97649999999998316</c:v>
                </c:pt>
                <c:pt idx="651">
                  <c:v>0.97799999999998311</c:v>
                </c:pt>
                <c:pt idx="652">
                  <c:v>0.97949999999998305</c:v>
                </c:pt>
                <c:pt idx="653">
                  <c:v>0.980999999999983</c:v>
                </c:pt>
                <c:pt idx="654">
                  <c:v>0.98249999999998294</c:v>
                </c:pt>
                <c:pt idx="655">
                  <c:v>0.98399999999998289</c:v>
                </c:pt>
                <c:pt idx="656">
                  <c:v>0.98549999999998283</c:v>
                </c:pt>
                <c:pt idx="657">
                  <c:v>0.98699999999998278</c:v>
                </c:pt>
                <c:pt idx="658">
                  <c:v>0.98849999999998273</c:v>
                </c:pt>
                <c:pt idx="659">
                  <c:v>0.98999999999998267</c:v>
                </c:pt>
                <c:pt idx="660">
                  <c:v>0.99149999999998262</c:v>
                </c:pt>
                <c:pt idx="661">
                  <c:v>0.99299999999998256</c:v>
                </c:pt>
                <c:pt idx="662">
                  <c:v>0.99449999999998251</c:v>
                </c:pt>
                <c:pt idx="663">
                  <c:v>0.99599999999998245</c:v>
                </c:pt>
                <c:pt idx="664">
                  <c:v>0.9974999999999824</c:v>
                </c:pt>
                <c:pt idx="665">
                  <c:v>0.99899999999998235</c:v>
                </c:pt>
                <c:pt idx="666">
                  <c:v>1.0004999999999824</c:v>
                </c:pt>
                <c:pt idx="667">
                  <c:v>1.0019999999999825</c:v>
                </c:pt>
                <c:pt idx="668">
                  <c:v>1.0034999999999825</c:v>
                </c:pt>
                <c:pt idx="669">
                  <c:v>1.0049999999999826</c:v>
                </c:pt>
                <c:pt idx="670">
                  <c:v>1.0064999999999826</c:v>
                </c:pt>
                <c:pt idx="671">
                  <c:v>1.0079999999999827</c:v>
                </c:pt>
                <c:pt idx="672">
                  <c:v>1.0094999999999827</c:v>
                </c:pt>
                <c:pt idx="673">
                  <c:v>1.0109999999999828</c:v>
                </c:pt>
                <c:pt idx="674">
                  <c:v>1.0124999999999829</c:v>
                </c:pt>
                <c:pt idx="675">
                  <c:v>1.0139999999999829</c:v>
                </c:pt>
                <c:pt idx="676">
                  <c:v>1.015499999999983</c:v>
                </c:pt>
                <c:pt idx="677">
                  <c:v>1.016999999999983</c:v>
                </c:pt>
                <c:pt idx="678">
                  <c:v>1.0184999999999831</c:v>
                </c:pt>
                <c:pt idx="679">
                  <c:v>1.0199999999999831</c:v>
                </c:pt>
                <c:pt idx="680">
                  <c:v>1.0214999999999832</c:v>
                </c:pt>
                <c:pt idx="681">
                  <c:v>1.0229999999999833</c:v>
                </c:pt>
                <c:pt idx="682">
                  <c:v>1.0244999999999833</c:v>
                </c:pt>
                <c:pt idx="683">
                  <c:v>1.0259999999999834</c:v>
                </c:pt>
                <c:pt idx="684">
                  <c:v>1.0274999999999834</c:v>
                </c:pt>
                <c:pt idx="685">
                  <c:v>1.0289999999999835</c:v>
                </c:pt>
                <c:pt idx="686">
                  <c:v>1.0304999999999835</c:v>
                </c:pt>
                <c:pt idx="687">
                  <c:v>1.0319999999999836</c:v>
                </c:pt>
                <c:pt idx="688">
                  <c:v>1.0334999999999837</c:v>
                </c:pt>
                <c:pt idx="689">
                  <c:v>1.0349999999999837</c:v>
                </c:pt>
                <c:pt idx="690">
                  <c:v>1.0364999999999838</c:v>
                </c:pt>
                <c:pt idx="691">
                  <c:v>1.0379999999999838</c:v>
                </c:pt>
                <c:pt idx="692">
                  <c:v>1.0394999999999839</c:v>
                </c:pt>
                <c:pt idx="693">
                  <c:v>1.0409999999999839</c:v>
                </c:pt>
                <c:pt idx="694">
                  <c:v>1.042499999999984</c:v>
                </c:pt>
                <c:pt idx="695">
                  <c:v>1.0439999999999841</c:v>
                </c:pt>
                <c:pt idx="696">
                  <c:v>1.0454999999999841</c:v>
                </c:pt>
                <c:pt idx="697">
                  <c:v>1.0469999999999842</c:v>
                </c:pt>
                <c:pt idx="698">
                  <c:v>1.0484999999999842</c:v>
                </c:pt>
                <c:pt idx="699">
                  <c:v>1.0499999999999843</c:v>
                </c:pt>
                <c:pt idx="700">
                  <c:v>1.0514999999999843</c:v>
                </c:pt>
                <c:pt idx="701">
                  <c:v>1.0529999999999844</c:v>
                </c:pt>
                <c:pt idx="702">
                  <c:v>1.0544999999999844</c:v>
                </c:pt>
                <c:pt idx="703">
                  <c:v>1.0559999999999845</c:v>
                </c:pt>
                <c:pt idx="704">
                  <c:v>1.0574999999999846</c:v>
                </c:pt>
                <c:pt idx="705">
                  <c:v>1.0589999999999846</c:v>
                </c:pt>
                <c:pt idx="706">
                  <c:v>1.0604999999999847</c:v>
                </c:pt>
                <c:pt idx="707">
                  <c:v>1.0619999999999847</c:v>
                </c:pt>
                <c:pt idx="708">
                  <c:v>1.0634999999999848</c:v>
                </c:pt>
                <c:pt idx="709">
                  <c:v>1.0649999999999848</c:v>
                </c:pt>
                <c:pt idx="710">
                  <c:v>1.0664999999999849</c:v>
                </c:pt>
                <c:pt idx="711">
                  <c:v>1.067999999999985</c:v>
                </c:pt>
                <c:pt idx="712">
                  <c:v>1.069499999999985</c:v>
                </c:pt>
                <c:pt idx="713">
                  <c:v>1.0709999999999851</c:v>
                </c:pt>
                <c:pt idx="714">
                  <c:v>1.0724999999999851</c:v>
                </c:pt>
                <c:pt idx="715">
                  <c:v>1.0739999999999852</c:v>
                </c:pt>
                <c:pt idx="716">
                  <c:v>1.0754999999999852</c:v>
                </c:pt>
                <c:pt idx="717">
                  <c:v>1.0769999999999853</c:v>
                </c:pt>
                <c:pt idx="718">
                  <c:v>1.0784999999999854</c:v>
                </c:pt>
                <c:pt idx="719">
                  <c:v>1.0799999999999854</c:v>
                </c:pt>
                <c:pt idx="720">
                  <c:v>1.0814999999999855</c:v>
                </c:pt>
                <c:pt idx="721">
                  <c:v>1.0829999999999855</c:v>
                </c:pt>
                <c:pt idx="722">
                  <c:v>1.0844999999999856</c:v>
                </c:pt>
                <c:pt idx="723">
                  <c:v>1.0859999999999856</c:v>
                </c:pt>
                <c:pt idx="724">
                  <c:v>1.0874999999999857</c:v>
                </c:pt>
                <c:pt idx="725">
                  <c:v>1.0889999999999858</c:v>
                </c:pt>
                <c:pt idx="726">
                  <c:v>1.0904999999999858</c:v>
                </c:pt>
                <c:pt idx="727">
                  <c:v>1.0919999999999859</c:v>
                </c:pt>
                <c:pt idx="728">
                  <c:v>1.0934999999999859</c:v>
                </c:pt>
                <c:pt idx="729">
                  <c:v>1.094999999999986</c:v>
                </c:pt>
                <c:pt idx="730">
                  <c:v>1.096499999999986</c:v>
                </c:pt>
                <c:pt idx="731">
                  <c:v>1.0979999999999861</c:v>
                </c:pt>
                <c:pt idx="732">
                  <c:v>1.0994999999999862</c:v>
                </c:pt>
                <c:pt idx="733">
                  <c:v>1.1009999999999862</c:v>
                </c:pt>
                <c:pt idx="734">
                  <c:v>1.1024999999999863</c:v>
                </c:pt>
                <c:pt idx="735">
                  <c:v>1.1039999999999863</c:v>
                </c:pt>
                <c:pt idx="736">
                  <c:v>1.1054999999999864</c:v>
                </c:pt>
                <c:pt idx="737">
                  <c:v>1.1069999999999864</c:v>
                </c:pt>
                <c:pt idx="738">
                  <c:v>1.1084999999999865</c:v>
                </c:pt>
                <c:pt idx="739">
                  <c:v>1.1099999999999866</c:v>
                </c:pt>
                <c:pt idx="740">
                  <c:v>1.1114999999999866</c:v>
                </c:pt>
                <c:pt idx="741">
                  <c:v>1.1129999999999867</c:v>
                </c:pt>
                <c:pt idx="742">
                  <c:v>1.1144999999999867</c:v>
                </c:pt>
                <c:pt idx="743">
                  <c:v>1.1159999999999868</c:v>
                </c:pt>
                <c:pt idx="744">
                  <c:v>1.1174999999999868</c:v>
                </c:pt>
                <c:pt idx="745">
                  <c:v>1.1189999999999869</c:v>
                </c:pt>
                <c:pt idx="746">
                  <c:v>1.120499999999987</c:v>
                </c:pt>
                <c:pt idx="747">
                  <c:v>1.121999999999987</c:v>
                </c:pt>
                <c:pt idx="748">
                  <c:v>1.1234999999999871</c:v>
                </c:pt>
                <c:pt idx="749">
                  <c:v>1.1249999999999871</c:v>
                </c:pt>
                <c:pt idx="750">
                  <c:v>1.1264999999999872</c:v>
                </c:pt>
                <c:pt idx="751">
                  <c:v>1.1279999999999872</c:v>
                </c:pt>
                <c:pt idx="752">
                  <c:v>1.1294999999999873</c:v>
                </c:pt>
                <c:pt idx="753">
                  <c:v>1.1309999999999873</c:v>
                </c:pt>
                <c:pt idx="754">
                  <c:v>1.1324999999999874</c:v>
                </c:pt>
                <c:pt idx="755">
                  <c:v>1.1339999999999875</c:v>
                </c:pt>
                <c:pt idx="756">
                  <c:v>1.1354999999999875</c:v>
                </c:pt>
                <c:pt idx="757">
                  <c:v>1.1369999999999876</c:v>
                </c:pt>
                <c:pt idx="758">
                  <c:v>1.1384999999999876</c:v>
                </c:pt>
                <c:pt idx="759">
                  <c:v>1.1399999999999877</c:v>
                </c:pt>
                <c:pt idx="760">
                  <c:v>1.1414999999999877</c:v>
                </c:pt>
                <c:pt idx="761">
                  <c:v>1.1429999999999878</c:v>
                </c:pt>
                <c:pt idx="762">
                  <c:v>1.1444999999999879</c:v>
                </c:pt>
                <c:pt idx="763">
                  <c:v>1.1459999999999879</c:v>
                </c:pt>
                <c:pt idx="764">
                  <c:v>1.147499999999988</c:v>
                </c:pt>
                <c:pt idx="765">
                  <c:v>1.148999999999988</c:v>
                </c:pt>
                <c:pt idx="766">
                  <c:v>1.1504999999999881</c:v>
                </c:pt>
                <c:pt idx="767">
                  <c:v>1.1519999999999881</c:v>
                </c:pt>
                <c:pt idx="768">
                  <c:v>1.1534999999999882</c:v>
                </c:pt>
                <c:pt idx="769">
                  <c:v>1.1549999999999883</c:v>
                </c:pt>
                <c:pt idx="770">
                  <c:v>1.1564999999999883</c:v>
                </c:pt>
                <c:pt idx="771">
                  <c:v>1.1579999999999884</c:v>
                </c:pt>
                <c:pt idx="772">
                  <c:v>1.1594999999999884</c:v>
                </c:pt>
                <c:pt idx="773">
                  <c:v>1.1609999999999885</c:v>
                </c:pt>
                <c:pt idx="774">
                  <c:v>1.1624999999999885</c:v>
                </c:pt>
                <c:pt idx="775">
                  <c:v>1.1639999999999886</c:v>
                </c:pt>
                <c:pt idx="776">
                  <c:v>1.1654999999999887</c:v>
                </c:pt>
                <c:pt idx="777">
                  <c:v>1.1669999999999887</c:v>
                </c:pt>
                <c:pt idx="778">
                  <c:v>1.1684999999999888</c:v>
                </c:pt>
                <c:pt idx="779">
                  <c:v>1.1699999999999888</c:v>
                </c:pt>
                <c:pt idx="780">
                  <c:v>1.1714999999999889</c:v>
                </c:pt>
                <c:pt idx="781">
                  <c:v>1.1729999999999889</c:v>
                </c:pt>
                <c:pt idx="782">
                  <c:v>1.174499999999989</c:v>
                </c:pt>
                <c:pt idx="783">
                  <c:v>1.1759999999999891</c:v>
                </c:pt>
                <c:pt idx="784">
                  <c:v>1.1774999999999891</c:v>
                </c:pt>
                <c:pt idx="785">
                  <c:v>1.1789999999999892</c:v>
                </c:pt>
                <c:pt idx="786">
                  <c:v>1.1804999999999892</c:v>
                </c:pt>
                <c:pt idx="787">
                  <c:v>1.1819999999999893</c:v>
                </c:pt>
                <c:pt idx="788">
                  <c:v>1.1834999999999893</c:v>
                </c:pt>
                <c:pt idx="789">
                  <c:v>1.1849999999999894</c:v>
                </c:pt>
                <c:pt idx="790">
                  <c:v>1.1864999999999895</c:v>
                </c:pt>
                <c:pt idx="791">
                  <c:v>1.1879999999999895</c:v>
                </c:pt>
                <c:pt idx="792">
                  <c:v>1.1894999999999896</c:v>
                </c:pt>
                <c:pt idx="793">
                  <c:v>1.1909999999999896</c:v>
                </c:pt>
                <c:pt idx="794">
                  <c:v>1.1924999999999897</c:v>
                </c:pt>
                <c:pt idx="795">
                  <c:v>1.1939999999999897</c:v>
                </c:pt>
                <c:pt idx="796">
                  <c:v>1.1954999999999898</c:v>
                </c:pt>
                <c:pt idx="797">
                  <c:v>1.1969999999999898</c:v>
                </c:pt>
                <c:pt idx="798">
                  <c:v>1.1984999999999899</c:v>
                </c:pt>
                <c:pt idx="799">
                  <c:v>1.19999999999999</c:v>
                </c:pt>
                <c:pt idx="800">
                  <c:v>1.20149999999999</c:v>
                </c:pt>
                <c:pt idx="801">
                  <c:v>1.2029999999999901</c:v>
                </c:pt>
                <c:pt idx="802">
                  <c:v>1.2044999999999901</c:v>
                </c:pt>
                <c:pt idx="803">
                  <c:v>1.2059999999999902</c:v>
                </c:pt>
                <c:pt idx="804">
                  <c:v>1.2074999999999902</c:v>
                </c:pt>
                <c:pt idx="805">
                  <c:v>1.2089999999999903</c:v>
                </c:pt>
                <c:pt idx="806">
                  <c:v>1.2104999999999904</c:v>
                </c:pt>
                <c:pt idx="807">
                  <c:v>1.2119999999999904</c:v>
                </c:pt>
                <c:pt idx="808">
                  <c:v>1.2134999999999905</c:v>
                </c:pt>
                <c:pt idx="809">
                  <c:v>1.2149999999999905</c:v>
                </c:pt>
                <c:pt idx="810">
                  <c:v>1.2164999999999906</c:v>
                </c:pt>
                <c:pt idx="811">
                  <c:v>1.2179999999999906</c:v>
                </c:pt>
                <c:pt idx="812">
                  <c:v>1.2194999999999907</c:v>
                </c:pt>
                <c:pt idx="813">
                  <c:v>1.2209999999999908</c:v>
                </c:pt>
                <c:pt idx="814">
                  <c:v>1.2224999999999908</c:v>
                </c:pt>
                <c:pt idx="815">
                  <c:v>1.2239999999999909</c:v>
                </c:pt>
                <c:pt idx="816">
                  <c:v>1.2254999999999909</c:v>
                </c:pt>
                <c:pt idx="817">
                  <c:v>1.226999999999991</c:v>
                </c:pt>
                <c:pt idx="818">
                  <c:v>1.228499999999991</c:v>
                </c:pt>
                <c:pt idx="819">
                  <c:v>1.2299999999999911</c:v>
                </c:pt>
                <c:pt idx="820">
                  <c:v>1.2314999999999912</c:v>
                </c:pt>
                <c:pt idx="821">
                  <c:v>1.2329999999999912</c:v>
                </c:pt>
                <c:pt idx="822">
                  <c:v>1.2344999999999913</c:v>
                </c:pt>
                <c:pt idx="823">
                  <c:v>1.2359999999999913</c:v>
                </c:pt>
                <c:pt idx="824">
                  <c:v>1.2374999999999914</c:v>
                </c:pt>
                <c:pt idx="825">
                  <c:v>1.2389999999999914</c:v>
                </c:pt>
                <c:pt idx="826">
                  <c:v>1.2404999999999915</c:v>
                </c:pt>
                <c:pt idx="827">
                  <c:v>1.2419999999999916</c:v>
                </c:pt>
                <c:pt idx="828">
                  <c:v>1.2434999999999916</c:v>
                </c:pt>
                <c:pt idx="829">
                  <c:v>1.2449999999999917</c:v>
                </c:pt>
                <c:pt idx="830">
                  <c:v>1.2464999999999917</c:v>
                </c:pt>
                <c:pt idx="831">
                  <c:v>1.2479999999999918</c:v>
                </c:pt>
                <c:pt idx="832">
                  <c:v>1.2494999999999918</c:v>
                </c:pt>
                <c:pt idx="833">
                  <c:v>1.2509999999999919</c:v>
                </c:pt>
                <c:pt idx="834">
                  <c:v>1.252499999999992</c:v>
                </c:pt>
                <c:pt idx="835">
                  <c:v>1.253999999999992</c:v>
                </c:pt>
                <c:pt idx="836">
                  <c:v>1.2554999999999921</c:v>
                </c:pt>
                <c:pt idx="837">
                  <c:v>1.2569999999999921</c:v>
                </c:pt>
                <c:pt idx="838">
                  <c:v>1.2584999999999922</c:v>
                </c:pt>
                <c:pt idx="839">
                  <c:v>1.2599999999999922</c:v>
                </c:pt>
                <c:pt idx="840">
                  <c:v>1.2614999999999923</c:v>
                </c:pt>
                <c:pt idx="841">
                  <c:v>1.2629999999999924</c:v>
                </c:pt>
                <c:pt idx="842">
                  <c:v>1.2644999999999924</c:v>
                </c:pt>
                <c:pt idx="843">
                  <c:v>1.2659999999999925</c:v>
                </c:pt>
                <c:pt idx="844">
                  <c:v>1.2674999999999925</c:v>
                </c:pt>
                <c:pt idx="845">
                  <c:v>1.2689999999999926</c:v>
                </c:pt>
                <c:pt idx="846">
                  <c:v>1.2704999999999926</c:v>
                </c:pt>
                <c:pt idx="847">
                  <c:v>1.2719999999999927</c:v>
                </c:pt>
                <c:pt idx="848">
                  <c:v>1.2734999999999927</c:v>
                </c:pt>
                <c:pt idx="849">
                  <c:v>1.2749999999999928</c:v>
                </c:pt>
                <c:pt idx="850">
                  <c:v>1.2764999999999929</c:v>
                </c:pt>
                <c:pt idx="851">
                  <c:v>1.2779999999999929</c:v>
                </c:pt>
                <c:pt idx="852">
                  <c:v>1.279499999999993</c:v>
                </c:pt>
                <c:pt idx="853">
                  <c:v>1.280999999999993</c:v>
                </c:pt>
                <c:pt idx="854">
                  <c:v>1.2824999999999931</c:v>
                </c:pt>
                <c:pt idx="855">
                  <c:v>1.2839999999999931</c:v>
                </c:pt>
                <c:pt idx="856">
                  <c:v>1.2854999999999932</c:v>
                </c:pt>
                <c:pt idx="857">
                  <c:v>1.2869999999999933</c:v>
                </c:pt>
                <c:pt idx="858">
                  <c:v>1.2884999999999933</c:v>
                </c:pt>
                <c:pt idx="859">
                  <c:v>1.2899999999999934</c:v>
                </c:pt>
                <c:pt idx="860">
                  <c:v>1.2914999999999934</c:v>
                </c:pt>
                <c:pt idx="861">
                  <c:v>1.2929999999999935</c:v>
                </c:pt>
                <c:pt idx="862">
                  <c:v>1.2944999999999935</c:v>
                </c:pt>
                <c:pt idx="863">
                  <c:v>1.2959999999999936</c:v>
                </c:pt>
                <c:pt idx="864">
                  <c:v>1.2974999999999937</c:v>
                </c:pt>
                <c:pt idx="865">
                  <c:v>1.2989999999999937</c:v>
                </c:pt>
                <c:pt idx="866">
                  <c:v>1.3004999999999938</c:v>
                </c:pt>
                <c:pt idx="867">
                  <c:v>1.3019999999999938</c:v>
                </c:pt>
                <c:pt idx="868">
                  <c:v>1.3034999999999939</c:v>
                </c:pt>
                <c:pt idx="869">
                  <c:v>1.3049999999999939</c:v>
                </c:pt>
                <c:pt idx="870">
                  <c:v>1.306499999999994</c:v>
                </c:pt>
                <c:pt idx="871">
                  <c:v>1.3079999999999941</c:v>
                </c:pt>
                <c:pt idx="872">
                  <c:v>1.3094999999999941</c:v>
                </c:pt>
                <c:pt idx="873">
                  <c:v>1.3109999999999942</c:v>
                </c:pt>
                <c:pt idx="874">
                  <c:v>1.3124999999999942</c:v>
                </c:pt>
                <c:pt idx="875">
                  <c:v>1.3139999999999943</c:v>
                </c:pt>
                <c:pt idx="876">
                  <c:v>1.3154999999999943</c:v>
                </c:pt>
                <c:pt idx="877">
                  <c:v>1.3169999999999944</c:v>
                </c:pt>
                <c:pt idx="878">
                  <c:v>1.3184999999999945</c:v>
                </c:pt>
                <c:pt idx="879">
                  <c:v>1.3199999999999945</c:v>
                </c:pt>
                <c:pt idx="880">
                  <c:v>1.3214999999999946</c:v>
                </c:pt>
                <c:pt idx="881">
                  <c:v>1.3229999999999946</c:v>
                </c:pt>
                <c:pt idx="882">
                  <c:v>1.3244999999999947</c:v>
                </c:pt>
                <c:pt idx="883">
                  <c:v>1.3259999999999947</c:v>
                </c:pt>
                <c:pt idx="884">
                  <c:v>1.3274999999999948</c:v>
                </c:pt>
                <c:pt idx="885">
                  <c:v>1.3289999999999949</c:v>
                </c:pt>
                <c:pt idx="886">
                  <c:v>1.3304999999999949</c:v>
                </c:pt>
                <c:pt idx="887">
                  <c:v>1.331999999999995</c:v>
                </c:pt>
                <c:pt idx="888">
                  <c:v>1.333499999999995</c:v>
                </c:pt>
                <c:pt idx="889">
                  <c:v>1.3349999999999951</c:v>
                </c:pt>
                <c:pt idx="890">
                  <c:v>1.3364999999999951</c:v>
                </c:pt>
                <c:pt idx="891">
                  <c:v>1.3379999999999952</c:v>
                </c:pt>
                <c:pt idx="892">
                  <c:v>1.3394999999999953</c:v>
                </c:pt>
                <c:pt idx="893">
                  <c:v>1.3409999999999953</c:v>
                </c:pt>
                <c:pt idx="894">
                  <c:v>1.3424999999999954</c:v>
                </c:pt>
                <c:pt idx="895">
                  <c:v>1.3439999999999954</c:v>
                </c:pt>
                <c:pt idx="896">
                  <c:v>1.3454999999999955</c:v>
                </c:pt>
                <c:pt idx="897">
                  <c:v>1.3469999999999955</c:v>
                </c:pt>
                <c:pt idx="898">
                  <c:v>1.3484999999999956</c:v>
                </c:pt>
                <c:pt idx="899">
                  <c:v>1.3499999999999956</c:v>
                </c:pt>
                <c:pt idx="900">
                  <c:v>1.3514999999999957</c:v>
                </c:pt>
                <c:pt idx="901">
                  <c:v>1.3529999999999958</c:v>
                </c:pt>
                <c:pt idx="902">
                  <c:v>1.3544999999999958</c:v>
                </c:pt>
                <c:pt idx="903">
                  <c:v>1.3559999999999959</c:v>
                </c:pt>
                <c:pt idx="904">
                  <c:v>1.3574999999999959</c:v>
                </c:pt>
                <c:pt idx="905">
                  <c:v>1.358999999999996</c:v>
                </c:pt>
                <c:pt idx="906">
                  <c:v>1.360499999999996</c:v>
                </c:pt>
                <c:pt idx="907">
                  <c:v>1.3619999999999961</c:v>
                </c:pt>
                <c:pt idx="908">
                  <c:v>1.3634999999999962</c:v>
                </c:pt>
                <c:pt idx="909">
                  <c:v>1.3649999999999962</c:v>
                </c:pt>
                <c:pt idx="910">
                  <c:v>1.3664999999999963</c:v>
                </c:pt>
                <c:pt idx="911">
                  <c:v>1.3679999999999963</c:v>
                </c:pt>
                <c:pt idx="912">
                  <c:v>1.3694999999999964</c:v>
                </c:pt>
                <c:pt idx="913">
                  <c:v>1.3709999999999964</c:v>
                </c:pt>
                <c:pt idx="914">
                  <c:v>1.3724999999999965</c:v>
                </c:pt>
                <c:pt idx="915">
                  <c:v>1.3739999999999966</c:v>
                </c:pt>
                <c:pt idx="916">
                  <c:v>1.3754999999999966</c:v>
                </c:pt>
                <c:pt idx="917">
                  <c:v>1.3769999999999967</c:v>
                </c:pt>
                <c:pt idx="918">
                  <c:v>1.3784999999999967</c:v>
                </c:pt>
                <c:pt idx="919">
                  <c:v>1.3799999999999968</c:v>
                </c:pt>
                <c:pt idx="920">
                  <c:v>1.3814999999999968</c:v>
                </c:pt>
                <c:pt idx="921">
                  <c:v>1.3829999999999969</c:v>
                </c:pt>
                <c:pt idx="922">
                  <c:v>1.384499999999997</c:v>
                </c:pt>
                <c:pt idx="923">
                  <c:v>1.385999999999997</c:v>
                </c:pt>
                <c:pt idx="924">
                  <c:v>1.3874999999999971</c:v>
                </c:pt>
                <c:pt idx="925">
                  <c:v>1.3889999999999971</c:v>
                </c:pt>
                <c:pt idx="926">
                  <c:v>1.3904999999999972</c:v>
                </c:pt>
                <c:pt idx="927">
                  <c:v>1.3919999999999972</c:v>
                </c:pt>
                <c:pt idx="928">
                  <c:v>1.3934999999999973</c:v>
                </c:pt>
                <c:pt idx="929">
                  <c:v>1.3949999999999974</c:v>
                </c:pt>
                <c:pt idx="930">
                  <c:v>1.3964999999999974</c:v>
                </c:pt>
                <c:pt idx="931">
                  <c:v>1.3979999999999975</c:v>
                </c:pt>
                <c:pt idx="932">
                  <c:v>1.3994999999999975</c:v>
                </c:pt>
                <c:pt idx="933">
                  <c:v>1.4009999999999976</c:v>
                </c:pt>
                <c:pt idx="934">
                  <c:v>1.4024999999999976</c:v>
                </c:pt>
                <c:pt idx="935">
                  <c:v>1.4039999999999977</c:v>
                </c:pt>
                <c:pt idx="936">
                  <c:v>1.4054999999999978</c:v>
                </c:pt>
                <c:pt idx="937">
                  <c:v>1.4069999999999978</c:v>
                </c:pt>
                <c:pt idx="938">
                  <c:v>1.4084999999999979</c:v>
                </c:pt>
                <c:pt idx="939">
                  <c:v>1.4099999999999979</c:v>
                </c:pt>
                <c:pt idx="940">
                  <c:v>1.411499999999998</c:v>
                </c:pt>
                <c:pt idx="941">
                  <c:v>1.412999999999998</c:v>
                </c:pt>
                <c:pt idx="942">
                  <c:v>1.4144999999999981</c:v>
                </c:pt>
                <c:pt idx="943">
                  <c:v>1.4159999999999981</c:v>
                </c:pt>
                <c:pt idx="944">
                  <c:v>1.4174999999999982</c:v>
                </c:pt>
                <c:pt idx="945">
                  <c:v>1.4189999999999983</c:v>
                </c:pt>
                <c:pt idx="946">
                  <c:v>1.4204999999999983</c:v>
                </c:pt>
                <c:pt idx="947">
                  <c:v>1.4219999999999984</c:v>
                </c:pt>
                <c:pt idx="948">
                  <c:v>1.4234999999999984</c:v>
                </c:pt>
                <c:pt idx="949">
                  <c:v>1.4249999999999985</c:v>
                </c:pt>
                <c:pt idx="950">
                  <c:v>1.4264999999999985</c:v>
                </c:pt>
                <c:pt idx="951">
                  <c:v>1.4279999999999986</c:v>
                </c:pt>
                <c:pt idx="952">
                  <c:v>1.4294999999999987</c:v>
                </c:pt>
                <c:pt idx="953">
                  <c:v>1.4309999999999987</c:v>
                </c:pt>
                <c:pt idx="954">
                  <c:v>1.4324999999999988</c:v>
                </c:pt>
                <c:pt idx="955">
                  <c:v>1.4339999999999988</c:v>
                </c:pt>
                <c:pt idx="956">
                  <c:v>1.4354999999999989</c:v>
                </c:pt>
                <c:pt idx="957">
                  <c:v>1.4369999999999989</c:v>
                </c:pt>
                <c:pt idx="958">
                  <c:v>1.438499999999999</c:v>
                </c:pt>
                <c:pt idx="959">
                  <c:v>1.4399999999999991</c:v>
                </c:pt>
                <c:pt idx="960">
                  <c:v>1.4414999999999991</c:v>
                </c:pt>
                <c:pt idx="961">
                  <c:v>1.4429999999999992</c:v>
                </c:pt>
                <c:pt idx="962">
                  <c:v>1.4444999999999992</c:v>
                </c:pt>
                <c:pt idx="963">
                  <c:v>1.4459999999999993</c:v>
                </c:pt>
                <c:pt idx="964">
                  <c:v>1.4474999999999993</c:v>
                </c:pt>
                <c:pt idx="965">
                  <c:v>1.4489999999999994</c:v>
                </c:pt>
                <c:pt idx="966">
                  <c:v>1.4504999999999995</c:v>
                </c:pt>
                <c:pt idx="967">
                  <c:v>1.4519999999999995</c:v>
                </c:pt>
                <c:pt idx="968">
                  <c:v>1.4534999999999996</c:v>
                </c:pt>
                <c:pt idx="969">
                  <c:v>1.4549999999999996</c:v>
                </c:pt>
                <c:pt idx="970">
                  <c:v>1.4564999999999997</c:v>
                </c:pt>
                <c:pt idx="971">
                  <c:v>1.4579999999999997</c:v>
                </c:pt>
                <c:pt idx="972">
                  <c:v>1.4594999999999998</c:v>
                </c:pt>
                <c:pt idx="973">
                  <c:v>1.4609999999999999</c:v>
                </c:pt>
                <c:pt idx="974">
                  <c:v>1.4624999999999999</c:v>
                </c:pt>
                <c:pt idx="975">
                  <c:v>1.464</c:v>
                </c:pt>
                <c:pt idx="976">
                  <c:v>1.4655</c:v>
                </c:pt>
                <c:pt idx="977">
                  <c:v>1.4670000000000001</c:v>
                </c:pt>
                <c:pt idx="978">
                  <c:v>1.4685000000000001</c:v>
                </c:pt>
                <c:pt idx="979">
                  <c:v>1.4700000000000002</c:v>
                </c:pt>
                <c:pt idx="980">
                  <c:v>1.4715000000000003</c:v>
                </c:pt>
                <c:pt idx="981">
                  <c:v>1.4730000000000003</c:v>
                </c:pt>
                <c:pt idx="982">
                  <c:v>1.4745000000000004</c:v>
                </c:pt>
                <c:pt idx="983">
                  <c:v>1.4760000000000004</c:v>
                </c:pt>
                <c:pt idx="984">
                  <c:v>1.4775000000000005</c:v>
                </c:pt>
                <c:pt idx="985">
                  <c:v>1.4790000000000005</c:v>
                </c:pt>
                <c:pt idx="986">
                  <c:v>1.4805000000000006</c:v>
                </c:pt>
                <c:pt idx="987">
                  <c:v>1.4820000000000007</c:v>
                </c:pt>
                <c:pt idx="988">
                  <c:v>1.4835000000000007</c:v>
                </c:pt>
                <c:pt idx="989">
                  <c:v>1.4850000000000008</c:v>
                </c:pt>
                <c:pt idx="990">
                  <c:v>1.4865000000000008</c:v>
                </c:pt>
                <c:pt idx="991">
                  <c:v>1.4880000000000009</c:v>
                </c:pt>
                <c:pt idx="992">
                  <c:v>1.4895000000000009</c:v>
                </c:pt>
                <c:pt idx="993">
                  <c:v>1.491000000000001</c:v>
                </c:pt>
                <c:pt idx="994">
                  <c:v>1.492500000000001</c:v>
                </c:pt>
                <c:pt idx="995">
                  <c:v>1.4940000000000011</c:v>
                </c:pt>
                <c:pt idx="996">
                  <c:v>1.4955000000000012</c:v>
                </c:pt>
                <c:pt idx="997">
                  <c:v>1.4970000000000012</c:v>
                </c:pt>
                <c:pt idx="998">
                  <c:v>1.4985000000000013</c:v>
                </c:pt>
                <c:pt idx="999">
                  <c:v>1.5000000000000013</c:v>
                </c:pt>
              </c:numCache>
            </c:numRef>
          </c:xVal>
          <c:yVal>
            <c:numRef>
              <c:f>'Precision paired'!$F$93:$F$1092</c:f>
              <c:numCache>
                <c:formatCode>General</c:formatCode>
                <c:ptCount val="1000"/>
                <c:pt idx="0">
                  <c:v>0</c:v>
                </c:pt>
                <c:pt idx="1">
                  <c:v>0</c:v>
                </c:pt>
                <c:pt idx="2">
                  <c:v>0</c:v>
                </c:pt>
                <c:pt idx="3">
                  <c:v>0</c:v>
                </c:pt>
                <c:pt idx="4">
                  <c:v>0</c:v>
                </c:pt>
                <c:pt idx="5">
                  <c:v>0</c:v>
                </c:pt>
                <c:pt idx="6">
                  <c:v>0</c:v>
                </c:pt>
                <c:pt idx="7">
                  <c:v>0</c:v>
                </c:pt>
                <c:pt idx="8">
                  <c:v>0</c:v>
                </c:pt>
                <c:pt idx="9">
                  <c:v>0</c:v>
                </c:pt>
                <c:pt idx="10">
                  <c:v>2.5905203907920317E-14</c:v>
                </c:pt>
                <c:pt idx="11">
                  <c:v>5.1810407815840634E-14</c:v>
                </c:pt>
                <c:pt idx="12">
                  <c:v>1.0362081563168127E-13</c:v>
                </c:pt>
                <c:pt idx="13">
                  <c:v>2.5905203907920321E-13</c:v>
                </c:pt>
                <c:pt idx="14">
                  <c:v>5.9581968988216728E-13</c:v>
                </c:pt>
                <c:pt idx="15">
                  <c:v>1.2693549914880955E-12</c:v>
                </c:pt>
                <c:pt idx="16">
                  <c:v>2.5905203907920318E-12</c:v>
                </c:pt>
                <c:pt idx="17">
                  <c:v>5.1033251698603018E-12</c:v>
                </c:pt>
                <c:pt idx="18">
                  <c:v>9.6885462615621999E-12</c:v>
                </c:pt>
                <c:pt idx="19">
                  <c:v>1.7796875084741259E-11</c:v>
                </c:pt>
                <c:pt idx="20">
                  <c:v>3.1682064379386546E-11</c:v>
                </c:pt>
                <c:pt idx="21">
                  <c:v>5.4919032284791073E-11</c:v>
                </c:pt>
                <c:pt idx="22">
                  <c:v>9.2999682029433942E-11</c:v>
                </c:pt>
                <c:pt idx="23">
                  <c:v>1.5392872162086252E-10</c:v>
                </c:pt>
                <c:pt idx="24">
                  <c:v>2.4957073444890432E-10</c:v>
                </c:pt>
                <c:pt idx="25">
                  <c:v>3.9710087070451056E-10</c:v>
                </c:pt>
                <c:pt idx="26">
                  <c:v>6.2068868563377088E-10</c:v>
                </c:pt>
                <c:pt idx="27">
                  <c:v>9.5445133278341611E-10</c:v>
                </c:pt>
                <c:pt idx="28">
                  <c:v>1.4454844728580456E-9</c:v>
                </c:pt>
                <c:pt idx="29">
                  <c:v>2.1581625375688414E-9</c:v>
                </c:pt>
                <c:pt idx="30">
                  <c:v>3.1795788224542317E-9</c:v>
                </c:pt>
                <c:pt idx="31">
                  <c:v>4.6261772190803185E-9</c:v>
                </c:pt>
                <c:pt idx="32">
                  <c:v>6.6523527427383052E-9</c:v>
                </c:pt>
                <c:pt idx="33">
                  <c:v>9.4607358983959476E-9</c:v>
                </c:pt>
                <c:pt idx="34">
                  <c:v>1.3315041661835871E-8</c:v>
                </c:pt>
                <c:pt idx="35">
                  <c:v>1.8555742128019876E-8</c:v>
                </c:pt>
                <c:pt idx="36">
                  <c:v>2.5619003215145611E-8</c:v>
                </c:pt>
                <c:pt idx="37">
                  <c:v>3.5059351718066026E-8</c:v>
                </c:pt>
                <c:pt idx="38">
                  <c:v>4.7577212540043462E-8</c:v>
                </c:pt>
                <c:pt idx="39">
                  <c:v>6.4051238387226775E-8</c:v>
                </c:pt>
                <c:pt idx="40">
                  <c:v>8.5576830806862348E-8</c:v>
                </c:pt>
                <c:pt idx="41">
                  <c:v>1.1351165563056041E-7</c:v>
                </c:pt>
                <c:pt idx="42">
                  <c:v>1.4952856730587882E-7</c:v>
                </c:pt>
                <c:pt idx="43">
                  <c:v>1.956778591013138E-7</c:v>
                </c:pt>
                <c:pt idx="44">
                  <c:v>2.5445922776275626E-7</c:v>
                </c:pt>
                <c:pt idx="45">
                  <c:v>3.2890524008048294E-7</c:v>
                </c:pt>
                <c:pt idx="46">
                  <c:v>4.2267749300606278E-7</c:v>
                </c:pt>
                <c:pt idx="47">
                  <c:v>5.4017663305335373E-7</c:v>
                </c:pt>
                <c:pt idx="48">
                  <c:v>6.8666867007275779E-7</c:v>
                </c:pt>
                <c:pt idx="49">
                  <c:v>8.6842841436525931E-7</c:v>
                </c:pt>
                <c:pt idx="50">
                  <c:v>1.0929023945098018E-6</c:v>
                </c:pt>
                <c:pt idx="51">
                  <c:v>1.3688932506047042E-6</c:v>
                </c:pt>
                <c:pt idx="52">
                  <c:v>1.7067675199082069E-6</c:v>
                </c:pt>
                <c:pt idx="53">
                  <c:v>2.1186891204412932E-6</c:v>
                </c:pt>
                <c:pt idx="54">
                  <c:v>2.6188810194523646E-6</c:v>
                </c:pt>
                <c:pt idx="55">
                  <c:v>3.2239174959277266E-6</c:v>
                </c:pt>
                <c:pt idx="56">
                  <c:v>3.9530494581422691E-6</c:v>
                </c:pt>
                <c:pt idx="57">
                  <c:v>4.8285661062112215E-6</c:v>
                </c:pt>
                <c:pt idx="58">
                  <c:v>5.8761951674905309E-6</c:v>
                </c:pt>
                <c:pt idx="59">
                  <c:v>7.1255450206919582E-6</c:v>
                </c:pt>
                <c:pt idx="60">
                  <c:v>8.6105919727685887E-6</c:v>
                </c:pt>
                <c:pt idx="61">
                  <c:v>1.037021556404838E-5</c:v>
                </c:pt>
                <c:pt idx="62">
                  <c:v>1.2448785398818291E-5</c:v>
                </c:pt>
                <c:pt idx="63">
                  <c:v>1.4896802739509475E-5</c:v>
                </c:pt>
                <c:pt idx="64">
                  <c:v>1.77716006984537E-5</c:v>
                </c:pt>
                <c:pt idx="65">
                  <c:v>2.1138106109930274E-5</c:v>
                </c:pt>
                <c:pt idx="66">
                  <c:v>2.5069666864663272E-5</c:v>
                </c:pt>
                <c:pt idx="67">
                  <c:v>2.9648948359402752E-5</c:v>
                </c:pt>
                <c:pt idx="68">
                  <c:v>3.4968902766034184E-5</c:v>
                </c:pt>
                <c:pt idx="69">
                  <c:v>4.1133814643323774E-5</c:v>
                </c:pt>
                <c:pt idx="70">
                  <c:v>4.8260426310786635E-5</c:v>
                </c:pt>
                <c:pt idx="71">
                  <c:v>5.6479147310846863E-5</c:v>
                </c:pt>
                <c:pt idx="72">
                  <c:v>6.5935350731146272E-5</c:v>
                </c:pt>
                <c:pt idx="73">
                  <c:v>7.6790760298687616E-5</c:v>
                </c:pt>
                <c:pt idx="74">
                  <c:v>8.9224931432152474E-5</c:v>
                </c:pt>
                <c:pt idx="75">
                  <c:v>1.0343682974959616E-4</c:v>
                </c:pt>
                <c:pt idx="76">
                  <c:v>1.196465100365233E-4</c:v>
                </c:pt>
                <c:pt idx="77">
                  <c:v>1.3809689852391688E-4</c:v>
                </c:pt>
                <c:pt idx="78">
                  <c:v>1.5905568135169779E-4</c:v>
                </c:pt>
                <c:pt idx="79">
                  <c:v>1.8281731051228434E-4</c:v>
                </c:pt>
                <c:pt idx="80">
                  <c:v>2.0970508043764249E-4</c:v>
                </c:pt>
                <c:pt idx="81">
                  <c:v>2.4007338457569341E-4</c:v>
                </c:pt>
                <c:pt idx="82">
                  <c:v>2.7431005600320191E-4</c:v>
                </c:pt>
                <c:pt idx="83">
                  <c:v>3.1283878186849634E-4</c:v>
                </c:pt>
                <c:pt idx="84">
                  <c:v>3.5612170033634994E-4</c:v>
                </c:pt>
                <c:pt idx="85">
                  <c:v>4.0466208146572308E-4</c:v>
                </c:pt>
                <c:pt idx="86">
                  <c:v>4.5900713253610442E-4</c:v>
                </c:pt>
                <c:pt idx="87">
                  <c:v>5.1975092150158275E-4</c:v>
                </c:pt>
                <c:pt idx="88">
                  <c:v>5.8753741727738762E-4</c:v>
                </c:pt>
                <c:pt idx="89">
                  <c:v>6.6306364623717562E-4</c:v>
                </c:pt>
                <c:pt idx="90">
                  <c:v>7.4708296328903267E-4</c:v>
                </c:pt>
                <c:pt idx="91">
                  <c:v>8.4040843470652615E-4</c:v>
                </c:pt>
                <c:pt idx="92">
                  <c:v>9.4391633022790811E-4</c:v>
                </c:pt>
                <c:pt idx="93">
                  <c:v>1.0585497216257047E-3</c:v>
                </c:pt>
                <c:pt idx="94">
                  <c:v>1.1853221825915601E-3</c:v>
                </c:pt>
                <c:pt idx="95">
                  <c:v>1.3253215861282659E-3</c:v>
                </c:pt>
                <c:pt idx="96">
                  <c:v>1.4797139942161288E-3</c:v>
                </c:pt>
                <c:pt idx="97">
                  <c:v>1.6497476331996568E-3</c:v>
                </c:pt>
                <c:pt idx="98">
                  <c:v>1.836756948858653E-3</c:v>
                </c:pt>
                <c:pt idx="99">
                  <c:v>2.0421667336771123E-3</c:v>
                </c:pt>
                <c:pt idx="100">
                  <c:v>2.2674963183311192E-3</c:v>
                </c:pt>
                <c:pt idx="101">
                  <c:v>2.5143638187693123E-3</c:v>
                </c:pt>
                <c:pt idx="102">
                  <c:v>2.7844904293268984E-3</c:v>
                </c:pt>
                <c:pt idx="103">
                  <c:v>3.0797047520551377E-3</c:v>
                </c:pt>
                <c:pt idx="104">
                  <c:v>3.4019471514897441E-3</c:v>
                </c:pt>
                <c:pt idx="105">
                  <c:v>3.7532745197318045E-3</c:v>
                </c:pt>
                <c:pt idx="106">
                  <c:v>4.1358631649816386E-3</c:v>
                </c:pt>
                <c:pt idx="107">
                  <c:v>4.552014864937318E-3</c:v>
                </c:pt>
                <c:pt idx="108">
                  <c:v>5.0041613654146682E-3</c:v>
                </c:pt>
                <c:pt idx="109">
                  <c:v>5.494866897944501E-3</c:v>
                </c:pt>
                <c:pt idx="110">
                  <c:v>6.026833740272834E-3</c:v>
                </c:pt>
                <c:pt idx="111">
                  <c:v>6.6029060772206556E-3</c:v>
                </c:pt>
                <c:pt idx="112">
                  <c:v>7.2260740896908544E-3</c:v>
                </c:pt>
                <c:pt idx="113">
                  <c:v>7.8994779428779669E-3</c:v>
                </c:pt>
                <c:pt idx="114">
                  <c:v>8.6264116560134472E-3</c:v>
                </c:pt>
                <c:pt idx="115">
                  <c:v>9.4103268373520628E-3</c:v>
                </c:pt>
                <c:pt idx="116">
                  <c:v>1.0254836265669955E-2</c:v>
                </c:pt>
                <c:pt idx="117">
                  <c:v>1.1163717300399776E-2</c:v>
                </c:pt>
                <c:pt idx="118">
                  <c:v>1.2140915102295164E-2</c:v>
                </c:pt>
                <c:pt idx="119">
                  <c:v>1.3190545645351085E-2</c:v>
                </c:pt>
                <c:pt idx="120">
                  <c:v>1.4316898501250581E-2</c:v>
                </c:pt>
                <c:pt idx="121">
                  <c:v>1.5524439377038547E-2</c:v>
                </c:pt>
                <c:pt idx="122">
                  <c:v>1.6817812387059927E-2</c:v>
                </c:pt>
                <c:pt idx="123">
                  <c:v>1.8201842039629785E-2</c:v>
                </c:pt>
                <c:pt idx="124">
                  <c:v>1.9681534919084122E-2</c:v>
                </c:pt>
                <c:pt idx="125">
                  <c:v>2.126208104424876E-2</c:v>
                </c:pt>
                <c:pt idx="126">
                  <c:v>2.2948854884156468E-2</c:v>
                </c:pt>
                <c:pt idx="127">
                  <c:v>2.4747416012308825E-2</c:v>
                </c:pt>
                <c:pt idx="128">
                  <c:v>2.6663509380779143E-2</c:v>
                </c:pt>
                <c:pt idx="129">
                  <c:v>2.8703070533427535E-2</c:v>
                </c:pt>
                <c:pt idx="130">
                  <c:v>3.0872204906917663E-2</c:v>
                </c:pt>
                <c:pt idx="131">
                  <c:v>3.3177210224288878E-2</c:v>
                </c:pt>
                <c:pt idx="132">
                  <c:v>3.5624577000444482E-2</c:v>
                </c:pt>
                <c:pt idx="133">
                  <c:v>3.8220962306786024E-2</c:v>
                </c:pt>
                <c:pt idx="134">
                  <c:v>4.0973205633772672E-2</c:v>
                </c:pt>
                <c:pt idx="135">
                  <c:v>4.3888321670234223E-2</c:v>
                </c:pt>
                <c:pt idx="136">
                  <c:v>4.6973496929917737E-2</c:v>
                </c:pt>
                <c:pt idx="137">
                  <c:v>5.0236085856562397E-2</c:v>
                </c:pt>
                <c:pt idx="138">
                  <c:v>5.368360639584531E-2</c:v>
                </c:pt>
                <c:pt idx="139">
                  <c:v>5.7323735023939719E-2</c:v>
                </c:pt>
                <c:pt idx="140">
                  <c:v>6.1164301223230279E-2</c:v>
                </c:pt>
                <c:pt idx="141">
                  <c:v>6.5213281397051098E-2</c:v>
                </c:pt>
                <c:pt idx="142">
                  <c:v>6.9478792216763147E-2</c:v>
                </c:pt>
                <c:pt idx="143">
                  <c:v>7.3969083395678897E-2</c:v>
                </c:pt>
                <c:pt idx="144">
                  <c:v>7.8692529885741408E-2</c:v>
                </c:pt>
                <c:pt idx="145">
                  <c:v>8.3657623494367186E-2</c:v>
                </c:pt>
                <c:pt idx="146">
                  <c:v>8.8872963920390735E-2</c:v>
                </c:pt>
                <c:pt idx="147">
                  <c:v>9.4347249209551315E-2</c:v>
                </c:pt>
                <c:pt idx="148">
                  <c:v>0.10008926563180125</c:v>
                </c:pt>
                <c:pt idx="149">
                  <c:v>0.10610787698362247</c:v>
                </c:pt>
                <c:pt idx="150">
                  <c:v>0.11241201332105044</c:v>
                </c:pt>
                <c:pt idx="151">
                  <c:v>0.11901069279519615</c:v>
                </c:pt>
                <c:pt idx="152">
                  <c:v>0.12591288123096436</c:v>
                </c:pt>
                <c:pt idx="153">
                  <c:v>0.13312762889710061</c:v>
                </c:pt>
                <c:pt idx="154">
                  <c:v>0.14066406804149242</c:v>
                </c:pt>
                <c:pt idx="155">
                  <c:v>0.14853124365397466</c:v>
                </c:pt>
                <c:pt idx="156">
                  <c:v>0.15673821604448671</c:v>
                </c:pt>
                <c:pt idx="157">
                  <c:v>0.16529401779556602</c:v>
                </c:pt>
                <c:pt idx="158">
                  <c:v>0.1742076383422238</c:v>
                </c:pt>
                <c:pt idx="159">
                  <c:v>0.18348800810897106</c:v>
                </c:pt>
                <c:pt idx="160">
                  <c:v>0.19314398222645504</c:v>
                </c:pt>
                <c:pt idx="161">
                  <c:v>0.20318432385247145</c:v>
                </c:pt>
                <c:pt idx="162">
                  <c:v>0.21361768712312804</c:v>
                </c:pt>
                <c:pt idx="163">
                  <c:v>0.2244525997619817</c:v>
                </c:pt>
                <c:pt idx="164">
                  <c:v>0.23569744537637047</c:v>
                </c:pt>
                <c:pt idx="165">
                  <c:v>0.24736044547171521</c:v>
                </c:pt>
                <c:pt idx="166">
                  <c:v>0.2594496412161732</c:v>
                </c:pt>
                <c:pt idx="167">
                  <c:v>0.27197287498882761</c:v>
                </c:pt>
                <c:pt idx="168">
                  <c:v>0.28493777174700696</c:v>
                </c:pt>
                <c:pt idx="169">
                  <c:v>0.29835172024853523</c:v>
                </c:pt>
                <c:pt idx="170">
                  <c:v>0.31222185416629461</c:v>
                </c:pt>
                <c:pt idx="171">
                  <c:v>0.32655503313416451</c:v>
                </c:pt>
                <c:pt idx="172">
                  <c:v>0.34135797110948307</c:v>
                </c:pt>
                <c:pt idx="173">
                  <c:v>0.35663665420330165</c:v>
                </c:pt>
                <c:pt idx="174">
                  <c:v>0.37239698433048457</c:v>
                </c:pt>
                <c:pt idx="175">
                  <c:v>0.38864480464965528</c:v>
                </c:pt>
                <c:pt idx="176">
                  <c:v>0.40538519592490846</c:v>
                </c:pt>
                <c:pt idx="177">
                  <c:v>0.42262297696165807</c:v>
                </c:pt>
                <c:pt idx="178">
                  <c:v>0.44036256136938207</c:v>
                </c:pt>
                <c:pt idx="179">
                  <c:v>0.45860793954737666</c:v>
                </c:pt>
                <c:pt idx="180">
                  <c:v>0.47736266098264235</c:v>
                </c:pt>
                <c:pt idx="181">
                  <c:v>0.49662981690399283</c:v>
                </c:pt>
                <c:pt idx="182">
                  <c:v>0.51641202333624348</c:v>
                </c:pt>
                <c:pt idx="183">
                  <c:v>0.53671140459882927</c:v>
                </c:pt>
                <c:pt idx="184">
                  <c:v>0.55752957729206332</c:v>
                </c:pt>
                <c:pt idx="185">
                  <c:v>0.57886763481455417</c:v>
                </c:pt>
                <c:pt idx="186">
                  <c:v>0.60072613245432105</c:v>
                </c:pt>
                <c:pt idx="187">
                  <c:v>0.62310507309559771</c:v>
                </c:pt>
                <c:pt idx="188">
                  <c:v>0.6460038935827731</c:v>
                </c:pt>
                <c:pt idx="189">
                  <c:v>0.66942145178154511</c:v>
                </c:pt>
                <c:pt idx="190">
                  <c:v>0.69335601437676686</c:v>
                </c:pt>
                <c:pt idx="191">
                  <c:v>0.71780566644042965</c:v>
                </c:pt>
                <c:pt idx="192">
                  <c:v>0.7427666862313923</c:v>
                </c:pt>
                <c:pt idx="193">
                  <c:v>0.76823544303924451</c:v>
                </c:pt>
                <c:pt idx="194">
                  <c:v>0.79420850703110224</c:v>
                </c:pt>
                <c:pt idx="195">
                  <c:v>0.8206806737236837</c:v>
                </c:pt>
                <c:pt idx="196">
                  <c:v>0.84764645283444218</c:v>
                </c:pt>
                <c:pt idx="197">
                  <c:v>0.87509970120640546</c:v>
                </c:pt>
                <c:pt idx="198">
                  <c:v>0.9030336177622833</c:v>
                </c:pt>
                <c:pt idx="199">
                  <c:v>0.93144073948506756</c:v>
                </c:pt>
                <c:pt idx="200">
                  <c:v>0.96031293844880394</c:v>
                </c:pt>
                <c:pt idx="201">
                  <c:v>0.98964141992111287</c:v>
                </c:pt>
                <c:pt idx="202">
                  <c:v>1.0194167215555698</c:v>
                </c:pt>
                <c:pt idx="203">
                  <c:v>1.0496287136907014</c:v>
                </c:pt>
                <c:pt idx="204">
                  <c:v>1.0802666007704482</c:v>
                </c:pt>
                <c:pt idx="205">
                  <c:v>1.1113189238976637</c:v>
                </c:pt>
                <c:pt idx="206">
                  <c:v>1.1427735645296755</c:v>
                </c:pt>
                <c:pt idx="207">
                  <c:v>1.1746177493236696</c:v>
                </c:pt>
                <c:pt idx="208">
                  <c:v>1.2068380561361056</c:v>
                </c:pt>
                <c:pt idx="209">
                  <c:v>1.2394214077998567</c:v>
                </c:pt>
                <c:pt idx="210">
                  <c:v>1.2723512867724514</c:v>
                </c:pt>
                <c:pt idx="211">
                  <c:v>1.3056122416267966</c:v>
                </c:pt>
                <c:pt idx="212">
                  <c:v>1.339190161608335</c:v>
                </c:pt>
                <c:pt idx="213">
                  <c:v>1.3730676582319779</c:v>
                </c:pt>
                <c:pt idx="214">
                  <c:v>1.4072276079162984</c:v>
                </c:pt>
                <c:pt idx="215">
                  <c:v>1.4416523125206322</c:v>
                </c:pt>
                <c:pt idx="216">
                  <c:v>1.4763235144388485</c:v>
                </c:pt>
                <c:pt idx="217">
                  <c:v>1.5112224127723839</c:v>
                </c:pt>
                <c:pt idx="218">
                  <c:v>1.546329680560802</c:v>
                </c:pt>
                <c:pt idx="219">
                  <c:v>1.581625483047814</c:v>
                </c:pt>
                <c:pt idx="220">
                  <c:v>1.6170894969552669</c:v>
                </c:pt>
                <c:pt idx="221">
                  <c:v>1.6527009307372829</c:v>
                </c:pt>
                <c:pt idx="222">
                  <c:v>1.6884385457839803</c:v>
                </c:pt>
                <c:pt idx="223">
                  <c:v>1.7242806785421338</c:v>
                </c:pt>
                <c:pt idx="224">
                  <c:v>1.7602052635170524</c:v>
                </c:pt>
                <c:pt idx="225">
                  <c:v>1.7961898571188644</c:v>
                </c:pt>
                <c:pt idx="226">
                  <c:v>1.8322136218801854</c:v>
                </c:pt>
                <c:pt idx="227">
                  <c:v>1.8682498019240674</c:v>
                </c:pt>
                <c:pt idx="228">
                  <c:v>1.9042747221148884</c:v>
                </c:pt>
                <c:pt idx="229">
                  <c:v>1.9402683165024395</c:v>
                </c:pt>
                <c:pt idx="230">
                  <c:v>1.9762049299554862</c:v>
                </c:pt>
                <c:pt idx="231">
                  <c:v>2.0120603945826483</c:v>
                </c:pt>
                <c:pt idx="232">
                  <c:v>2.0478103516097135</c:v>
                </c:pt>
                <c:pt idx="233">
                  <c:v>2.0834302804417519</c:v>
                </c:pt>
                <c:pt idx="234">
                  <c:v>2.1188955281598991</c:v>
                </c:pt>
                <c:pt idx="235">
                  <c:v>2.1541813393995857</c:v>
                </c:pt>
                <c:pt idx="236">
                  <c:v>2.1892628865562127</c:v>
                </c:pt>
                <c:pt idx="237">
                  <c:v>2.2241153002655536</c:v>
                </c:pt>
                <c:pt idx="238">
                  <c:v>2.2587137001032058</c:v>
                </c:pt>
                <c:pt idx="239">
                  <c:v>2.2930332254482337</c:v>
                </c:pt>
                <c:pt idx="240">
                  <c:v>2.327049066455015</c:v>
                </c:pt>
                <c:pt idx="241">
                  <c:v>2.3607394495341363</c:v>
                </c:pt>
                <c:pt idx="242">
                  <c:v>2.394074270044392</c:v>
                </c:pt>
                <c:pt idx="243">
                  <c:v>2.4270286933954055</c:v>
                </c:pt>
                <c:pt idx="244">
                  <c:v>2.459583919310985</c:v>
                </c:pt>
                <c:pt idx="245">
                  <c:v>2.4917132729349625</c:v>
                </c:pt>
                <c:pt idx="246">
                  <c:v>2.5233929002825244</c:v>
                </c:pt>
                <c:pt idx="247">
                  <c:v>2.554599213480091</c:v>
                </c:pt>
                <c:pt idx="248">
                  <c:v>2.5853089206179014</c:v>
                </c:pt>
                <c:pt idx="249">
                  <c:v>2.6154990552133768</c:v>
                </c:pt>
                <c:pt idx="250">
                  <c:v>2.6451470052360886</c:v>
                </c:pt>
                <c:pt idx="251">
                  <c:v>2.6742305416422862</c:v>
                </c:pt>
                <c:pt idx="252">
                  <c:v>2.7027278463672841</c:v>
                </c:pt>
                <c:pt idx="253">
                  <c:v>2.7306175397293888</c:v>
                </c:pt>
                <c:pt idx="254">
                  <c:v>2.7578787071953048</c:v>
                </c:pt>
                <c:pt idx="255">
                  <c:v>2.7844909254615757</c:v>
                </c:pt>
                <c:pt idx="256">
                  <c:v>2.8104342878075168</c:v>
                </c:pt>
                <c:pt idx="257">
                  <c:v>2.8356945459520904</c:v>
                </c:pt>
                <c:pt idx="258">
                  <c:v>2.8602433620765311</c:v>
                </c:pt>
                <c:pt idx="259">
                  <c:v>2.8840619159079277</c:v>
                </c:pt>
                <c:pt idx="260">
                  <c:v>2.9071421526188019</c:v>
                </c:pt>
                <c:pt idx="261">
                  <c:v>2.9294626026050818</c:v>
                </c:pt>
                <c:pt idx="262">
                  <c:v>2.9510069476224325</c:v>
                </c:pt>
                <c:pt idx="263">
                  <c:v>2.9717595399471053</c:v>
                </c:pt>
                <c:pt idx="264">
                  <c:v>2.9917054205251445</c:v>
                </c:pt>
                <c:pt idx="265">
                  <c:v>3.0108303360743061</c:v>
                </c:pt>
                <c:pt idx="266">
                  <c:v>3.029120755115029</c:v>
                </c:pt>
                <c:pt idx="267">
                  <c:v>3.0465638829059727</c:v>
                </c:pt>
                <c:pt idx="268">
                  <c:v>3.0631476752633553</c:v>
                </c:pt>
                <c:pt idx="269">
                  <c:v>3.0788608512488103</c:v>
                </c:pt>
                <c:pt idx="270">
                  <c:v>3.0936929047057427</c:v>
                </c:pt>
                <c:pt idx="271">
                  <c:v>3.1076410297148951</c:v>
                </c:pt>
                <c:pt idx="272">
                  <c:v>3.1206833865949317</c:v>
                </c:pt>
                <c:pt idx="273">
                  <c:v>3.1328110489791334</c:v>
                </c:pt>
                <c:pt idx="274">
                  <c:v>3.1440296284054425</c:v>
                </c:pt>
                <c:pt idx="275">
                  <c:v>3.1543265267216953</c:v>
                </c:pt>
                <c:pt idx="276">
                  <c:v>3.1636960661191553</c:v>
                </c:pt>
                <c:pt idx="277">
                  <c:v>3.1721333916340537</c:v>
                </c:pt>
                <c:pt idx="278">
                  <c:v>3.1796344732294903</c:v>
                </c:pt>
                <c:pt idx="279">
                  <c:v>3.186196106697373</c:v>
                </c:pt>
                <c:pt idx="280">
                  <c:v>3.1918159133834365</c:v>
                </c:pt>
                <c:pt idx="281">
                  <c:v>3.1964923387438278</c:v>
                </c:pt>
                <c:pt idx="282">
                  <c:v>3.2002246497489391</c:v>
                </c:pt>
                <c:pt idx="283">
                  <c:v>3.2030129311461688</c:v>
                </c:pt>
                <c:pt idx="284">
                  <c:v>3.204866472740667</c:v>
                </c:pt>
                <c:pt idx="285">
                  <c:v>3.2057712852183653</c:v>
                </c:pt>
                <c:pt idx="286">
                  <c:v>3.2057289167003087</c:v>
                </c:pt>
                <c:pt idx="287">
                  <c:v>3.204758372854299</c:v>
                </c:pt>
                <c:pt idx="288">
                  <c:v>3.2028563139345096</c:v>
                </c:pt>
                <c:pt idx="289">
                  <c:v>3.2000275947460386</c:v>
                </c:pt>
                <c:pt idx="290">
                  <c:v>3.1962778317002187</c:v>
                </c:pt>
                <c:pt idx="291">
                  <c:v>3.1916133907162378</c:v>
                </c:pt>
                <c:pt idx="292">
                  <c:v>3.1860413741956659</c:v>
                </c:pt>
                <c:pt idx="293">
                  <c:v>3.179569607096751</c:v>
                </c:pt>
                <c:pt idx="294">
                  <c:v>3.1722066221436873</c:v>
                </c:pt>
                <c:pt idx="295">
                  <c:v>3.1639616442064775</c:v>
                </c:pt>
                <c:pt idx="296">
                  <c:v>3.1548445738839188</c:v>
                </c:pt>
                <c:pt idx="297">
                  <c:v>3.1448791185100817</c:v>
                </c:pt>
                <c:pt idx="298">
                  <c:v>3.1340520472070699</c:v>
                </c:pt>
                <c:pt idx="299">
                  <c:v>3.1223735325616024</c:v>
                </c:pt>
                <c:pt idx="300">
                  <c:v>3.1098804562490772</c:v>
                </c:pt>
                <c:pt idx="301">
                  <c:v>3.0965743561143211</c:v>
                </c:pt>
                <c:pt idx="302">
                  <c:v>3.0824688082424845</c:v>
                </c:pt>
                <c:pt idx="303">
                  <c:v>3.0675779309651912</c:v>
                </c:pt>
                <c:pt idx="304">
                  <c:v>3.0519163634874831</c:v>
                </c:pt>
                <c:pt idx="305">
                  <c:v>3.0354992440742872</c:v>
                </c:pt>
                <c:pt idx="306">
                  <c:v>3.0183421878377064</c:v>
                </c:pt>
                <c:pt idx="307">
                  <c:v>3.0004612641613484</c:v>
                </c:pt>
                <c:pt idx="308">
                  <c:v>2.9818729738078877</c:v>
                </c:pt>
                <c:pt idx="309">
                  <c:v>2.9625942257501974</c:v>
                </c:pt>
                <c:pt idx="310">
                  <c:v>2.9426423137659103</c:v>
                </c:pt>
                <c:pt idx="311">
                  <c:v>2.9220348928368551</c:v>
                </c:pt>
                <c:pt idx="312">
                  <c:v>2.9007899553954273</c:v>
                </c:pt>
                <c:pt idx="313">
                  <c:v>2.8789258074566684</c:v>
                </c:pt>
                <c:pt idx="314">
                  <c:v>2.856461044674544</c:v>
                </c:pt>
                <c:pt idx="315">
                  <c:v>2.8334145283657164</c:v>
                </c:pt>
                <c:pt idx="316">
                  <c:v>2.8098053615349783</c:v>
                </c:pt>
                <c:pt idx="317">
                  <c:v>2.7856528649426777</c:v>
                </c:pt>
                <c:pt idx="318">
                  <c:v>2.7609765532515462</c:v>
                </c:pt>
                <c:pt idx="319">
                  <c:v>2.7357961112877618</c:v>
                </c:pt>
                <c:pt idx="320">
                  <c:v>2.7101313704514256</c:v>
                </c:pt>
                <c:pt idx="321">
                  <c:v>2.6840022853156285</c:v>
                </c:pt>
                <c:pt idx="322">
                  <c:v>2.6574289104392705</c:v>
                </c:pt>
                <c:pt idx="323">
                  <c:v>2.6304313774338599</c:v>
                </c:pt>
                <c:pt idx="324">
                  <c:v>2.6030298723143828</c:v>
                </c:pt>
                <c:pt idx="325">
                  <c:v>2.5752446131578952</c:v>
                </c:pt>
                <c:pt idx="326">
                  <c:v>2.5470958281099758</c:v>
                </c:pt>
                <c:pt idx="327">
                  <c:v>2.5186037337572498</c:v>
                </c:pt>
                <c:pt idx="328">
                  <c:v>2.4897885138977762</c:v>
                </c:pt>
                <c:pt idx="329">
                  <c:v>2.4606702987353408</c:v>
                </c:pt>
                <c:pt idx="330">
                  <c:v>2.4312691445181618</c:v>
                </c:pt>
                <c:pt idx="331">
                  <c:v>2.4016050136483806</c:v>
                </c:pt>
                <c:pt idx="332">
                  <c:v>2.3716977552815774</c:v>
                </c:pt>
                <c:pt idx="333">
                  <c:v>2.3415670864388334</c:v>
                </c:pt>
                <c:pt idx="334">
                  <c:v>2.3112325736490549</c:v>
                </c:pt>
                <c:pt idx="335">
                  <c:v>2.280713615137822</c:v>
                </c:pt>
                <c:pt idx="336">
                  <c:v>2.2500294235818554</c:v>
                </c:pt>
                <c:pt idx="337">
                  <c:v>2.2191990094418217</c:v>
                </c:pt>
                <c:pt idx="338">
                  <c:v>2.1882411648876561</c:v>
                </c:pt>
                <c:pt idx="339">
                  <c:v>2.1571744483296129</c:v>
                </c:pt>
                <c:pt idx="340">
                  <c:v>2.1260171695623877</c:v>
                </c:pt>
                <c:pt idx="341">
                  <c:v>2.0947873755366597</c:v>
                </c:pt>
                <c:pt idx="342">
                  <c:v>2.0635028367623116</c:v>
                </c:pt>
                <c:pt idx="343">
                  <c:v>2.0321810343529245</c:v>
                </c:pt>
                <c:pt idx="344">
                  <c:v>2.000839147713827</c:v>
                </c:pt>
                <c:pt idx="345">
                  <c:v>1.9694940428816743</c:v>
                </c:pt>
                <c:pt idx="346">
                  <c:v>1.9381622615169807</c:v>
                </c:pt>
                <c:pt idx="347">
                  <c:v>1.9068600105489588</c:v>
                </c:pt>
                <c:pt idx="348">
                  <c:v>1.8756031524790855</c:v>
                </c:pt>
                <c:pt idx="349">
                  <c:v>1.8444070640701127</c:v>
                </c:pt>
                <c:pt idx="350">
                  <c:v>1.8132871683175962</c:v>
                </c:pt>
                <c:pt idx="351">
                  <c:v>1.7822582305346157</c:v>
                </c:pt>
                <c:pt idx="352">
                  <c:v>1.7513343758445421</c:v>
                </c:pt>
                <c:pt idx="353">
                  <c:v>1.7205297665647061</c:v>
                </c:pt>
                <c:pt idx="354">
                  <c:v>1.6898580314427469</c:v>
                </c:pt>
                <c:pt idx="355">
                  <c:v>1.6593324050772784</c:v>
                </c:pt>
                <c:pt idx="356">
                  <c:v>1.6289657233525323</c:v>
                </c:pt>
                <c:pt idx="357">
                  <c:v>1.598770419484536</c:v>
                </c:pt>
                <c:pt idx="358">
                  <c:v>1.5687585206713259</c:v>
                </c:pt>
                <c:pt idx="359">
                  <c:v>1.538941645335252</c:v>
                </c:pt>
                <c:pt idx="360">
                  <c:v>1.5093310009475629</c:v>
                </c:pt>
                <c:pt idx="361">
                  <c:v>1.4799373824239335</c:v>
                </c:pt>
                <c:pt idx="362">
                  <c:v>1.4507711710759772</c:v>
                </c:pt>
                <c:pt idx="363">
                  <c:v>1.4218423341088475</c:v>
                </c:pt>
                <c:pt idx="364">
                  <c:v>1.3931604246496794</c:v>
                </c:pt>
                <c:pt idx="365">
                  <c:v>1.36473458229318</c:v>
                </c:pt>
                <c:pt idx="366">
                  <c:v>1.3365735341488754</c:v>
                </c:pt>
                <c:pt idx="367">
                  <c:v>1.3086855963760575</c:v>
                </c:pt>
                <c:pt idx="368">
                  <c:v>1.2810786761908568</c:v>
                </c:pt>
                <c:pt idx="369">
                  <c:v>1.2537602743288896</c:v>
                </c:pt>
                <c:pt idx="370">
                  <c:v>1.2267374879474189</c:v>
                </c:pt>
                <c:pt idx="371">
                  <c:v>1.200017013950293</c:v>
                </c:pt>
                <c:pt idx="372">
                  <c:v>1.1736051527207116</c:v>
                </c:pt>
                <c:pt idx="373">
                  <c:v>1.1475078122424449</c:v>
                </c:pt>
                <c:pt idx="374">
                  <c:v>1.1217305125932147</c:v>
                </c:pt>
                <c:pt idx="375">
                  <c:v>1.0962783907940572</c:v>
                </c:pt>
                <c:pt idx="376">
                  <c:v>1.0711562059961428</c:v>
                </c:pt>
                <c:pt idx="377">
                  <c:v>1.0463683449875523</c:v>
                </c:pt>
                <c:pt idx="378">
                  <c:v>1.0219188280039166</c:v>
                </c:pt>
                <c:pt idx="379">
                  <c:v>0.99781131482457819</c:v>
                </c:pt>
                <c:pt idx="380">
                  <c:v>0.97404911113577275</c:v>
                </c:pt>
                <c:pt idx="381">
                  <c:v>0.95063517514632667</c:v>
                </c:pt>
                <c:pt idx="382">
                  <c:v>0.9275721244367503</c:v>
                </c:pt>
                <c:pt idx="383">
                  <c:v>0.90486224302456941</c:v>
                </c:pt>
                <c:pt idx="384">
                  <c:v>0.88250748862997253</c:v>
                </c:pt>
                <c:pt idx="385">
                  <c:v>0.86050950012485217</c:v>
                </c:pt>
                <c:pt idx="386">
                  <c:v>0.83886960514869535</c:v>
                </c:pt>
                <c:pt idx="387">
                  <c:v>0.81758882787446185</c:v>
                </c:pt>
                <c:pt idx="388">
                  <c:v>0.79666789690975515</c:v>
                </c:pt>
                <c:pt idx="389">
                  <c:v>0.77610725331684904</c:v>
                </c:pt>
                <c:pt idx="390">
                  <c:v>0.75590705873603004</c:v>
                </c:pt>
                <c:pt idx="391">
                  <c:v>0.73606720359800937</c:v>
                </c:pt>
                <c:pt idx="392">
                  <c:v>0.71658731540998877</c:v>
                </c:pt>
                <c:pt idx="393">
                  <c:v>0.69746676710134126</c:v>
                </c:pt>
                <c:pt idx="394">
                  <c:v>0.67870468541519602</c:v>
                </c:pt>
                <c:pt idx="395">
                  <c:v>0.66029995933172747</c:v>
                </c:pt>
                <c:pt idx="396">
                  <c:v>0.64225124851075399</c:v>
                </c:pt>
                <c:pt idx="397">
                  <c:v>0.62455699174059143</c:v>
                </c:pt>
                <c:pt idx="398">
                  <c:v>0.6072154153803524</c:v>
                </c:pt>
                <c:pt idx="399">
                  <c:v>0.59022454178454664</c:v>
                </c:pt>
                <c:pt idx="400">
                  <c:v>0.5735821976982487</c:v>
                </c:pt>
                <c:pt idx="401">
                  <c:v>0.557286022611717</c:v>
                </c:pt>
                <c:pt idx="402">
                  <c:v>0.54133347706375157</c:v>
                </c:pt>
                <c:pt idx="403">
                  <c:v>0.52572185088419254</c:v>
                </c:pt>
                <c:pt idx="404">
                  <c:v>0.51044827136542292</c:v>
                </c:pt>
                <c:pt idx="405">
                  <c:v>0.49550971135378613</c:v>
                </c:pt>
                <c:pt idx="406">
                  <c:v>0.48090299725244318</c:v>
                </c:pt>
                <c:pt idx="407">
                  <c:v>0.46662481692697161</c:v>
                </c:pt>
                <c:pt idx="408">
                  <c:v>0.45267172750609119</c:v>
                </c:pt>
                <c:pt idx="409">
                  <c:v>0.4390401630700424</c:v>
                </c:pt>
                <c:pt idx="410">
                  <c:v>0.42572644222006939</c:v>
                </c:pt>
                <c:pt idx="411">
                  <c:v>0.41272677552184567</c:v>
                </c:pt>
                <c:pt idx="412">
                  <c:v>0.40003727281737761</c:v>
                </c:pt>
                <c:pt idx="413">
                  <c:v>0.3876539503993684</c:v>
                </c:pt>
                <c:pt idx="414">
                  <c:v>0.37557273804343461</c:v>
                </c:pt>
                <c:pt idx="415">
                  <c:v>0.36378948589278493</c:v>
                </c:pt>
                <c:pt idx="416">
                  <c:v>0.3522999711912444</c:v>
                </c:pt>
                <c:pt idx="417">
                  <c:v>0.34109990486122821</c:v>
                </c:pt>
                <c:pt idx="418">
                  <c:v>0.3301849379221431</c:v>
                </c:pt>
                <c:pt idx="419">
                  <c:v>0.31955066774692042</c:v>
                </c:pt>
                <c:pt idx="420">
                  <c:v>0.30919264415372655</c:v>
                </c:pt>
                <c:pt idx="421">
                  <c:v>0.2991063753302452</c:v>
                </c:pt>
                <c:pt idx="422">
                  <c:v>0.289287333588648</c:v>
                </c:pt>
                <c:pt idx="423">
                  <c:v>0.27973096094979721</c:v>
                </c:pt>
                <c:pt idx="424">
                  <c:v>0.27043267455510323</c:v>
                </c:pt>
                <c:pt idx="425">
                  <c:v>0.26138787190499951</c:v>
                </c:pt>
                <c:pt idx="426">
                  <c:v>0.25259193592372658</c:v>
                </c:pt>
                <c:pt idx="427">
                  <c:v>0.24404023984970857</c:v>
                </c:pt>
                <c:pt idx="428">
                  <c:v>0.23572815195156704</c:v>
                </c:pt>
                <c:pt idx="429">
                  <c:v>0.22765104007004908</c:v>
                </c:pt>
                <c:pt idx="430">
                  <c:v>0.21980427598634772</c:v>
                </c:pt>
                <c:pt idx="431">
                  <c:v>0.21218323961739208</c:v>
                </c:pt>
                <c:pt idx="432">
                  <c:v>0.20478332303934746</c:v>
                </c:pt>
                <c:pt idx="433">
                  <c:v>0.19759993434051903</c:v>
                </c:pt>
                <c:pt idx="434">
                  <c:v>0.19062850130484196</c:v>
                </c:pt>
                <c:pt idx="435">
                  <c:v>0.18386447492799735</c:v>
                </c:pt>
                <c:pt idx="436">
                  <c:v>0.17730333276775884</c:v>
                </c:pt>
                <c:pt idx="437">
                  <c:v>0.17094058213081545</c:v>
                </c:pt>
                <c:pt idx="438">
                  <c:v>0.16477176309816172</c:v>
                </c:pt>
                <c:pt idx="439">
                  <c:v>0.15879245139146947</c:v>
                </c:pt>
                <c:pt idx="440">
                  <c:v>0.15299826108312786</c:v>
                </c:pt>
                <c:pt idx="441">
                  <c:v>0.14738484715242925</c:v>
                </c:pt>
                <c:pt idx="442">
                  <c:v>0.14194790789096062</c:v>
                </c:pt>
                <c:pt idx="443">
                  <c:v>0.13668318716003469</c:v>
                </c:pt>
                <c:pt idx="444">
                  <c:v>0.13158647650310118</c:v>
                </c:pt>
                <c:pt idx="445">
                  <c:v>0.12665361436876835</c:v>
                </c:pt>
                <c:pt idx="446">
                  <c:v>0.1218804991707986</c:v>
                </c:pt>
                <c:pt idx="447">
                  <c:v>0.11726307651670523</c:v>
                </c:pt>
                <c:pt idx="448">
                  <c:v>0.11279734128798151</c:v>
                </c:pt>
                <c:pt idx="449">
                  <c:v>0.10847935328726975</c:v>
                </c:pt>
                <c:pt idx="450">
                  <c:v>0.10430522680824572</c:v>
                </c:pt>
                <c:pt idx="451">
                  <c:v>0.10027113483297415</c:v>
                </c:pt>
                <c:pt idx="452">
                  <c:v>9.6373310105403662E-2</c:v>
                </c:pt>
                <c:pt idx="453">
                  <c:v>9.2608046090914331E-2</c:v>
                </c:pt>
                <c:pt idx="454">
                  <c:v>8.8971697825520377E-2</c:v>
                </c:pt>
                <c:pt idx="455">
                  <c:v>8.5460682658374296E-2</c:v>
                </c:pt>
                <c:pt idx="456">
                  <c:v>8.2071480891258708E-2</c:v>
                </c:pt>
                <c:pt idx="457">
                  <c:v>7.8800636318751727E-2</c:v>
                </c:pt>
                <c:pt idx="458">
                  <c:v>7.564475667262674E-2</c:v>
                </c:pt>
                <c:pt idx="459">
                  <c:v>7.2600513974217698E-2</c:v>
                </c:pt>
                <c:pt idx="460">
                  <c:v>6.9664644798375114E-2</c:v>
                </c:pt>
                <c:pt idx="461">
                  <c:v>6.6833950452515556E-2</c:v>
                </c:pt>
                <c:pt idx="462">
                  <c:v>6.4105297074420822E-2</c:v>
                </c:pt>
                <c:pt idx="463">
                  <c:v>6.147561565227623E-2</c:v>
                </c:pt>
                <c:pt idx="464">
                  <c:v>5.894190197042995E-2</c:v>
                </c:pt>
                <c:pt idx="465">
                  <c:v>5.6501216484341518E-2</c:v>
                </c:pt>
                <c:pt idx="466">
                  <c:v>5.4150684128090085E-2</c:v>
                </c:pt>
                <c:pt idx="467">
                  <c:v>5.1887494057823932E-2</c:v>
                </c:pt>
                <c:pt idx="468">
                  <c:v>4.9708899334392487E-2</c:v>
                </c:pt>
                <c:pt idx="469">
                  <c:v>4.7612216548409997E-2</c:v>
                </c:pt>
                <c:pt idx="470">
                  <c:v>4.559482539094508E-2</c:v>
                </c:pt>
                <c:pt idx="471">
                  <c:v>4.3654168172882535E-2</c:v>
                </c:pt>
                <c:pt idx="472">
                  <c:v>4.1787749296052348E-2</c:v>
                </c:pt>
                <c:pt idx="473">
                  <c:v>3.9993134679058365E-2</c:v>
                </c:pt>
                <c:pt idx="474">
                  <c:v>3.8267951140700078E-2</c:v>
                </c:pt>
                <c:pt idx="475">
                  <c:v>3.6609885743829805E-2</c:v>
                </c:pt>
                <c:pt idx="476">
                  <c:v>3.5016685102398096E-2</c:v>
                </c:pt>
                <c:pt idx="477">
                  <c:v>3.3486154654344749E-2</c:v>
                </c:pt>
                <c:pt idx="478">
                  <c:v>3.2016157902920242E-2</c:v>
                </c:pt>
                <c:pt idx="479">
                  <c:v>3.0604615629011529E-2</c:v>
                </c:pt>
                <c:pt idx="480">
                  <c:v>2.9249505076863597E-2</c:v>
                </c:pt>
                <c:pt idx="481">
                  <c:v>2.7948859115581669E-2</c:v>
                </c:pt>
                <c:pt idx="482">
                  <c:v>2.6700765378718645E-2</c:v>
                </c:pt>
                <c:pt idx="483">
                  <c:v>2.5503365384110552E-2</c:v>
                </c:pt>
                <c:pt idx="484">
                  <c:v>2.4354853636135994E-2</c:v>
                </c:pt>
                <c:pt idx="485">
                  <c:v>2.3253476712428941E-2</c:v>
                </c:pt>
                <c:pt idx="486">
                  <c:v>2.2197532337024328E-2</c:v>
                </c:pt>
                <c:pt idx="487">
                  <c:v>2.1185368441828212E-2</c:v>
                </c:pt>
                <c:pt idx="488">
                  <c:v>2.021538221822812E-2</c:v>
                </c:pt>
                <c:pt idx="489">
                  <c:v>1.9286019160597447E-2</c:v>
                </c:pt>
                <c:pt idx="490">
                  <c:v>1.8395772103361914E-2</c:v>
                </c:pt>
                <c:pt idx="491">
                  <c:v>1.7543180253212592E-2</c:v>
                </c:pt>
                <c:pt idx="492">
                  <c:v>1.6726828217980872E-2</c:v>
                </c:pt>
                <c:pt idx="493">
                  <c:v>1.5945345033639542E-2</c:v>
                </c:pt>
                <c:pt idx="494">
                  <c:v>1.5197403190807212E-2</c:v>
                </c:pt>
                <c:pt idx="495">
                  <c:v>1.4481717662035744E-2</c:v>
                </c:pt>
                <c:pt idx="496">
                  <c:v>1.3797044931155543E-2</c:v>
                </c:pt>
                <c:pt idx="497">
                  <c:v>1.3142182025828713E-2</c:v>
                </c:pt>
                <c:pt idx="498">
                  <c:v>1.2515965554416237E-2</c:v>
                </c:pt>
                <c:pt idx="499">
                  <c:v>1.1917270748218106E-2</c:v>
                </c:pt>
                <c:pt idx="500">
                  <c:v>1.134501051004729E-2</c:v>
                </c:pt>
                <c:pt idx="501">
                  <c:v>1.0798134470069127E-2</c:v>
                </c:pt>
                <c:pt idx="502">
                  <c:v>1.0275628049760066E-2</c:v>
                </c:pt>
                <c:pt idx="503">
                  <c:v>9.7765115347937352E-3</c:v>
                </c:pt>
                <c:pt idx="504">
                  <c:v>9.2998391575956213E-3</c:v>
                </c:pt>
                <c:pt idx="505">
                  <c:v>8.8446981902613551E-3</c:v>
                </c:pt>
                <c:pt idx="506">
                  <c:v>8.4102080484799047E-3</c:v>
                </c:pt>
                <c:pt idx="507">
                  <c:v>7.9955194070481257E-3</c:v>
                </c:pt>
                <c:pt idx="508">
                  <c:v>7.5998133275213334E-3</c:v>
                </c:pt>
                <c:pt idx="509">
                  <c:v>7.2223003984881523E-3</c:v>
                </c:pt>
                <c:pt idx="510">
                  <c:v>6.8622198889202127E-3</c:v>
                </c:pt>
                <c:pt idx="511">
                  <c:v>6.5188389150011728E-3</c:v>
                </c:pt>
                <c:pt idx="512">
                  <c:v>6.1914516207922871E-3</c:v>
                </c:pt>
                <c:pt idx="513">
                  <c:v>5.8793783730619661E-3</c:v>
                </c:pt>
                <c:pt idx="514">
                  <c:v>5.5819649705551285E-3</c:v>
                </c:pt>
                <c:pt idx="515">
                  <c:v>5.2985818679517471E-3</c:v>
                </c:pt>
                <c:pt idx="516">
                  <c:v>5.028623414724571E-3</c:v>
                </c:pt>
                <c:pt idx="517">
                  <c:v>4.7715071090669156E-3</c:v>
                </c:pt>
                <c:pt idx="518">
                  <c:v>4.5266728670384417E-3</c:v>
                </c:pt>
                <c:pt idx="519">
                  <c:v>4.2935823070420799E-3</c:v>
                </c:pt>
                <c:pt idx="520">
                  <c:v>4.071718049711512E-3</c:v>
                </c:pt>
                <c:pt idx="521">
                  <c:v>3.8605830332677903E-3</c:v>
                </c:pt>
                <c:pt idx="522">
                  <c:v>3.6596998443738007E-3</c:v>
                </c:pt>
                <c:pt idx="523">
                  <c:v>3.4686100644900921E-3</c:v>
                </c:pt>
                <c:pt idx="524">
                  <c:v>3.2868736317166283E-3</c:v>
                </c:pt>
                <c:pt idx="525">
                  <c:v>3.1140682180748691E-3</c:v>
                </c:pt>
                <c:pt idx="526">
                  <c:v>2.9497886221696305E-3</c:v>
                </c:pt>
                <c:pt idx="527">
                  <c:v>2.793646177154223E-3</c:v>
                </c:pt>
                <c:pt idx="528">
                  <c:v>2.6452681738917774E-3</c:v>
                </c:pt>
                <c:pt idx="529">
                  <c:v>2.5042972992021604E-3</c:v>
                </c:pt>
                <c:pt idx="530">
                  <c:v>2.3703910890601645E-3</c:v>
                </c:pt>
                <c:pt idx="531">
                  <c:v>2.2432213965969208E-3</c:v>
                </c:pt>
                <c:pt idx="532">
                  <c:v>2.1224738747470792E-3</c:v>
                </c:pt>
                <c:pt idx="533">
                  <c:v>2.0078474733643318E-3</c:v>
                </c:pt>
                <c:pt idx="534">
                  <c:v>1.8990539506252488E-3</c:v>
                </c:pt>
                <c:pt idx="535">
                  <c:v>1.7958173985233869E-3</c:v>
                </c:pt>
                <c:pt idx="536">
                  <c:v>1.6978737822485957E-3</c:v>
                </c:pt>
                <c:pt idx="537">
                  <c:v>1.6049704932408939E-3</c:v>
                </c:pt>
                <c:pt idx="538">
                  <c:v>1.5168659156950908E-3</c:v>
                </c:pt>
                <c:pt idx="539">
                  <c:v>1.4333290062891243E-3</c:v>
                </c:pt>
                <c:pt idx="540">
                  <c:v>1.3541388869017894E-3</c:v>
                </c:pt>
                <c:pt idx="541">
                  <c:v>1.2790844500795851E-3</c:v>
                </c:pt>
                <c:pt idx="542">
                  <c:v>1.2079639770090197E-3</c:v>
                </c:pt>
                <c:pt idx="543">
                  <c:v>1.1405847677445995E-3</c:v>
                </c:pt>
                <c:pt idx="544">
                  <c:v>1.0767627834425853E-3</c:v>
                </c:pt>
                <c:pt idx="545">
                  <c:v>1.016322300344526E-3</c:v>
                </c:pt>
                <c:pt idx="546">
                  <c:v>9.590955752537655E-4</c:v>
                </c:pt>
                <c:pt idx="547">
                  <c:v>9.0492252224857453E-4</c:v>
                </c:pt>
                <c:pt idx="548">
                  <c:v>8.5365040037031455E-4</c:v>
                </c:pt>
                <c:pt idx="549">
                  <c:v>8.0513351202818469E-4</c:v>
                </c:pt>
                <c:pt idx="550">
                  <c:v>7.5923291186078391E-4</c:v>
                </c:pt>
                <c:pt idx="551">
                  <c:v>7.1581612579390381E-4</c:v>
                </c:pt>
                <c:pt idx="552">
                  <c:v>6.7475688003688829E-4</c:v>
                </c:pt>
                <c:pt idx="553">
                  <c:v>6.3593483975932479E-4</c:v>
                </c:pt>
                <c:pt idx="554">
                  <c:v>5.992353571922178E-4</c:v>
                </c:pt>
                <c:pt idx="555">
                  <c:v>5.6454922889923108E-4</c:v>
                </c:pt>
                <c:pt idx="556">
                  <c:v>5.3177246196610764E-4</c:v>
                </c:pt>
                <c:pt idx="557">
                  <c:v>5.0080604885872513E-4</c:v>
                </c:pt>
                <c:pt idx="558">
                  <c:v>4.7155575070235658E-4</c:v>
                </c:pt>
                <c:pt idx="559">
                  <c:v>4.4393188873859856E-4</c:v>
                </c:pt>
                <c:pt idx="560">
                  <c:v>4.1784914371914534E-4</c:v>
                </c:pt>
                <c:pt idx="561">
                  <c:v>3.9322636299881454E-4</c:v>
                </c:pt>
                <c:pt idx="562">
                  <c:v>3.6998637509389403E-4</c:v>
                </c:pt>
                <c:pt idx="563">
                  <c:v>3.4805581147580528E-4</c:v>
                </c:pt>
                <c:pt idx="564">
                  <c:v>3.2736493537377574E-4</c:v>
                </c:pt>
                <c:pt idx="565">
                  <c:v>3.0784747736411708E-4</c:v>
                </c:pt>
                <c:pt idx="566">
                  <c:v>2.8944047752795324E-4</c:v>
                </c:pt>
                <c:pt idx="567">
                  <c:v>2.7208413396348491E-4</c:v>
                </c:pt>
                <c:pt idx="568">
                  <c:v>2.5572165744312998E-4</c:v>
                </c:pt>
                <c:pt idx="569">
                  <c:v>2.4029913201005284E-4</c:v>
                </c:pt>
                <c:pt idx="570">
                  <c:v>2.2576538131346166E-4</c:v>
                </c:pt>
                <c:pt idx="571">
                  <c:v>2.1207184048611472E-4</c:v>
                </c:pt>
                <c:pt idx="572">
                  <c:v>1.9917243337209519E-4</c:v>
                </c:pt>
                <c:pt idx="573">
                  <c:v>1.8702345491774638E-4</c:v>
                </c:pt>
                <c:pt idx="574">
                  <c:v>1.7558345854275538E-4</c:v>
                </c:pt>
                <c:pt idx="575">
                  <c:v>1.6481314831312267E-4</c:v>
                </c:pt>
                <c:pt idx="576">
                  <c:v>1.5467527574263828E-4</c:v>
                </c:pt>
                <c:pt idx="577">
                  <c:v>1.4513454105340303E-4</c:v>
                </c:pt>
                <c:pt idx="578">
                  <c:v>1.3615749873091451E-4</c:v>
                </c:pt>
                <c:pt idx="579">
                  <c:v>1.2771246721374156E-4</c:v>
                </c:pt>
                <c:pt idx="580">
                  <c:v>1.1976944256191787E-4</c:v>
                </c:pt>
                <c:pt idx="581">
                  <c:v>1.1230001779887592E-4</c:v>
                </c:pt>
                <c:pt idx="582">
                  <c:v>1.0527729653219533E-4</c:v>
                </c:pt>
                <c:pt idx="583">
                  <c:v>9.8675827432810379E-5</c:v>
                </c:pt>
                <c:pt idx="584">
                  <c:v>9.2471531971049666E-5</c:v>
                </c:pt>
                <c:pt idx="585">
                  <c:v>8.6641626224931109E-5</c:v>
                </c:pt>
                <c:pt idx="586">
                  <c:v>8.1164563333846243E-5</c:v>
                </c:pt>
                <c:pt idx="587">
                  <c:v>7.6019968990933802E-5</c:v>
                </c:pt>
                <c:pt idx="588">
                  <c:v>7.1188581860850012E-5</c:v>
                </c:pt>
                <c:pt idx="589">
                  <c:v>6.6652196768899431E-5</c:v>
                </c:pt>
                <c:pt idx="590">
                  <c:v>6.2393610547637008E-5</c:v>
                </c:pt>
                <c:pt idx="591">
                  <c:v>5.8396570430912352E-5</c:v>
                </c:pt>
                <c:pt idx="592">
                  <c:v>5.4645724889146378E-5</c:v>
                </c:pt>
                <c:pt idx="593">
                  <c:v>5.1126576803108333E-5</c:v>
                </c:pt>
                <c:pt idx="594">
                  <c:v>4.782543887719441E-5</c:v>
                </c:pt>
                <c:pt idx="595">
                  <c:v>4.4729391196628956E-5</c:v>
                </c:pt>
                <c:pt idx="596">
                  <c:v>4.1826240836392518E-5</c:v>
                </c:pt>
                <c:pt idx="597">
                  <c:v>3.9104483433081886E-5</c:v>
                </c:pt>
                <c:pt idx="598">
                  <c:v>3.6553266634056008E-5</c:v>
                </c:pt>
                <c:pt idx="599">
                  <c:v>3.4162355341485101E-5</c:v>
                </c:pt>
                <c:pt idx="600">
                  <c:v>3.1922098671905638E-5</c:v>
                </c:pt>
                <c:pt idx="601">
                  <c:v>2.98233985549124E-5</c:v>
                </c:pt>
                <c:pt idx="602">
                  <c:v>2.7857679897556367E-5</c:v>
                </c:pt>
                <c:pt idx="603">
                  <c:v>2.6016862243785458E-5</c:v>
                </c:pt>
                <c:pt idx="604">
                  <c:v>2.4293332861064391E-5</c:v>
                </c:pt>
                <c:pt idx="605">
                  <c:v>2.2679921188942703E-5</c:v>
                </c:pt>
                <c:pt idx="606">
                  <c:v>2.1169874586933352E-5</c:v>
                </c:pt>
                <c:pt idx="607">
                  <c:v>1.9756835321576861E-5</c:v>
                </c:pt>
                <c:pt idx="608">
                  <c:v>1.8434818734988877E-5</c:v>
                </c:pt>
                <c:pt idx="609">
                  <c:v>1.7198192539529381E-5</c:v>
                </c:pt>
                <c:pt idx="610">
                  <c:v>1.6041657185516016E-5</c:v>
                </c:pt>
                <c:pt idx="611">
                  <c:v>1.4960227251113304E-5</c:v>
                </c:pt>
                <c:pt idx="612">
                  <c:v>1.3949213805629188E-5</c:v>
                </c:pt>
                <c:pt idx="613">
                  <c:v>1.3004207699531576E-5</c:v>
                </c:pt>
                <c:pt idx="614">
                  <c:v>1.2121063736463222E-5</c:v>
                </c:pt>
                <c:pt idx="615">
                  <c:v>1.1295885684463964E-5</c:v>
                </c:pt>
                <c:pt idx="616">
                  <c:v>1.0525012085439701E-5</c:v>
                </c:pt>
                <c:pt idx="617">
                  <c:v>9.8050028237097466E-6</c:v>
                </c:pt>
                <c:pt idx="618">
                  <c:v>9.1326264161900731E-6</c:v>
                </c:pt>
                <c:pt idx="619">
                  <c:v>8.5048479883931108E-6</c:v>
                </c:pt>
                <c:pt idx="620">
                  <c:v>7.9188179020527001E-6</c:v>
                </c:pt>
                <c:pt idx="621">
                  <c:v>7.3718610016975316E-6</c:v>
                </c:pt>
                <c:pt idx="622">
                  <c:v>6.861466448966499E-6</c:v>
                </c:pt>
                <c:pt idx="623">
                  <c:v>6.3852781148956506E-6</c:v>
                </c:pt>
                <c:pt idx="624">
                  <c:v>5.9410855017480152E-6</c:v>
                </c:pt>
                <c:pt idx="625">
                  <c:v>5.5268151672833205E-6</c:v>
                </c:pt>
                <c:pt idx="626">
                  <c:v>5.1405226256163668E-6</c:v>
                </c:pt>
                <c:pt idx="627">
                  <c:v>4.7803847000159801E-6</c:v>
                </c:pt>
                <c:pt idx="628">
                  <c:v>4.444692304162383E-6</c:v>
                </c:pt>
                <c:pt idx="629">
                  <c:v>4.1318436294863771E-6</c:v>
                </c:pt>
                <c:pt idx="630">
                  <c:v>3.840337717281086E-6</c:v>
                </c:pt>
                <c:pt idx="631">
                  <c:v>3.5687683952983185E-6</c:v>
                </c:pt>
                <c:pt idx="632">
                  <c:v>3.3158185595155197E-6</c:v>
                </c:pt>
                <c:pt idx="633">
                  <c:v>3.0802547827046171E-6</c:v>
                </c:pt>
                <c:pt idx="634">
                  <c:v>2.8609222323197661E-6</c:v>
                </c:pt>
                <c:pt idx="635">
                  <c:v>2.6567398810865528E-6</c:v>
                </c:pt>
                <c:pt idx="636">
                  <c:v>2.4666959944938923E-6</c:v>
                </c:pt>
                <c:pt idx="637">
                  <c:v>2.2898438801715903E-6</c:v>
                </c:pt>
                <c:pt idx="638">
                  <c:v>2.1252978848911424E-6</c:v>
                </c:pt>
                <c:pt idx="639">
                  <c:v>1.9722296256395863E-6</c:v>
                </c:pt>
                <c:pt idx="640">
                  <c:v>1.8298644419032115E-6</c:v>
                </c:pt>
                <c:pt idx="641">
                  <c:v>1.6974780569501925E-6</c:v>
                </c:pt>
                <c:pt idx="642">
                  <c:v>1.5743934365249796E-6</c:v>
                </c:pt>
                <c:pt idx="643">
                  <c:v>1.4599778339623698E-6</c:v>
                </c:pt>
                <c:pt idx="644">
                  <c:v>1.3536400112966187E-6</c:v>
                </c:pt>
                <c:pt idx="645">
                  <c:v>1.2548276264809585E-6</c:v>
                </c:pt>
                <c:pt idx="646">
                  <c:v>1.1630247773503844E-6</c:v>
                </c:pt>
                <c:pt idx="647">
                  <c:v>1.0777496934502465E-6</c:v>
                </c:pt>
                <c:pt idx="648">
                  <c:v>9.9855256732133216E-7</c:v>
                </c:pt>
                <c:pt idx="649">
                  <c:v>9.2501351727826901E-7</c:v>
                </c:pt>
                <c:pt idx="650">
                  <c:v>8.5674067414104564E-7</c:v>
                </c:pt>
                <c:pt idx="651">
                  <c:v>7.9336838478361186E-7</c:v>
                </c:pt>
                <c:pt idx="652">
                  <c:v>7.3455552574711032E-7</c:v>
                </c:pt>
                <c:pt idx="653">
                  <c:v>6.7998392052980498E-7</c:v>
                </c:pt>
                <c:pt idx="654">
                  <c:v>6.2935685451258076E-7</c:v>
                </c:pt>
                <c:pt idx="655">
                  <c:v>5.8239768180903185E-7</c:v>
                </c:pt>
                <c:pt idx="656">
                  <c:v>5.3884851864140411E-7</c:v>
                </c:pt>
                <c:pt idx="657">
                  <c:v>4.9846901814124679E-7</c:v>
                </c:pt>
                <c:pt idx="658">
                  <c:v>4.610352217559897E-7</c:v>
                </c:pt>
                <c:pt idx="659">
                  <c:v>4.2633848271020329E-7</c:v>
                </c:pt>
                <c:pt idx="660">
                  <c:v>3.9418445722465269E-7</c:v>
                </c:pt>
                <c:pt idx="661">
                  <c:v>3.6439215943680509E-7</c:v>
                </c:pt>
                <c:pt idx="662">
                  <c:v>3.3679307619539316E-7</c:v>
                </c:pt>
                <c:pt idx="663">
                  <c:v>3.1123033811807488E-7</c:v>
                </c:pt>
                <c:pt idx="664">
                  <c:v>2.8755794350610967E-7</c:v>
                </c:pt>
                <c:pt idx="665">
                  <c:v>2.6564003190497492E-7</c:v>
                </c:pt>
                <c:pt idx="666">
                  <c:v>2.4535020428348103E-7</c:v>
                </c:pt>
                <c:pt idx="667">
                  <c:v>2.2657088697818304E-7</c:v>
                </c:pt>
                <c:pt idx="668">
                  <c:v>2.0919273671531886E-7</c:v>
                </c:pt>
                <c:pt idx="669">
                  <c:v>1.9311408417803945E-7</c:v>
                </c:pt>
                <c:pt idx="670">
                  <c:v>1.7824041373455113E-7</c:v>
                </c:pt>
                <c:pt idx="671">
                  <c:v>1.6448387708248424E-7</c:v>
                </c:pt>
                <c:pt idx="672">
                  <c:v>1.5176283869651162E-7</c:v>
                </c:pt>
                <c:pt idx="673">
                  <c:v>1.400014510911587E-7</c:v>
                </c:pt>
                <c:pt idx="674">
                  <c:v>1.2912925802841097E-7</c:v>
                </c:pt>
                <c:pt idx="675">
                  <c:v>1.1908082391114552E-7</c:v>
                </c:pt>
                <c:pt idx="676">
                  <c:v>1.0979538770838711E-7</c:v>
                </c:pt>
                <c:pt idx="677">
                  <c:v>1.0121653985760222E-7</c:v>
                </c:pt>
                <c:pt idx="678">
                  <c:v>9.3291920683004422E-8</c:v>
                </c:pt>
                <c:pt idx="679">
                  <c:v>8.597293895683343E-8</c:v>
                </c:pt>
                <c:pt idx="680">
                  <c:v>7.9214509314223022E-8</c:v>
                </c:pt>
                <c:pt idx="681">
                  <c:v>7.2974807310585665E-8</c:v>
                </c:pt>
                <c:pt idx="682">
                  <c:v>6.7215040984580678E-8</c:v>
                </c:pt>
                <c:pt idx="683">
                  <c:v>6.1899237859476844E-8</c:v>
                </c:pt>
                <c:pt idx="684">
                  <c:v>5.6994046381483743E-8</c:v>
                </c:pt>
                <c:pt idx="685">
                  <c:v>5.2468550855525518E-8</c:v>
                </c:pt>
                <c:pt idx="686">
                  <c:v>4.829409899721316E-8</c:v>
                </c:pt>
                <c:pt idx="687">
                  <c:v>4.4444141274770797E-8</c:v>
                </c:pt>
                <c:pt idx="688">
                  <c:v>4.0894081266157794E-8</c:v>
                </c:pt>
                <c:pt idx="689">
                  <c:v>3.7621136305381933E-8</c:v>
                </c:pt>
                <c:pt idx="690">
                  <c:v>3.4604207737651698E-8</c:v>
                </c:pt>
                <c:pt idx="691">
                  <c:v>3.1823760145990983E-8</c:v>
                </c:pt>
                <c:pt idx="692">
                  <c:v>2.9261708952414355E-8</c:v>
                </c:pt>
                <c:pt idx="693">
                  <c:v>2.6901315834692615E-8</c:v>
                </c:pt>
                <c:pt idx="694">
                  <c:v>2.4727091435482862E-8</c:v>
                </c:pt>
                <c:pt idx="695">
                  <c:v>2.2724704874082387E-8</c:v>
                </c:pt>
                <c:pt idx="696">
                  <c:v>2.0880899602599277E-8</c:v>
                </c:pt>
                <c:pt idx="697">
                  <c:v>1.9183415177879831E-8</c:v>
                </c:pt>
                <c:pt idx="698">
                  <c:v>1.7620914548286708E-8</c:v>
                </c:pt>
                <c:pt idx="699">
                  <c:v>1.6182916480467336E-8</c:v>
                </c:pt>
                <c:pt idx="700">
                  <c:v>1.4859732775701584E-8</c:v>
                </c:pt>
                <c:pt idx="701">
                  <c:v>1.3642409948327681E-8</c:v>
                </c:pt>
                <c:pt idx="702">
                  <c:v>1.2522675060213491E-8</c:v>
                </c:pt>
                <c:pt idx="703">
                  <c:v>1.1492885425434479E-8</c:v>
                </c:pt>
                <c:pt idx="704">
                  <c:v>1.054598191816634E-8</c:v>
                </c:pt>
                <c:pt idx="705">
                  <c:v>9.6754456344996457E-9</c:v>
                </c:pt>
                <c:pt idx="706">
                  <c:v>8.875257675474723E-9</c:v>
                </c:pt>
                <c:pt idx="707">
                  <c:v>8.1398618341334287E-9</c:v>
                </c:pt>
                <c:pt idx="708">
                  <c:v>7.4641299839381311E-9</c:v>
                </c:pt>
                <c:pt idx="709">
                  <c:v>6.8433299794955581E-9</c:v>
                </c:pt>
                <c:pt idx="710">
                  <c:v>6.2730958932698568E-9</c:v>
                </c:pt>
                <c:pt idx="711">
                  <c:v>5.7494004238703622E-9</c:v>
                </c:pt>
                <c:pt idx="712">
                  <c:v>5.2685293226411299E-9</c:v>
                </c:pt>
                <c:pt idx="713">
                  <c:v>4.8270576957031443E-9</c:v>
                </c:pt>
                <c:pt idx="714">
                  <c:v>4.4218280483375841E-9</c:v>
                </c:pt>
                <c:pt idx="715">
                  <c:v>4.0499299477032527E-9</c:v>
                </c:pt>
                <c:pt idx="716">
                  <c:v>3.7086811883908543E-9</c:v>
                </c:pt>
                <c:pt idx="717">
                  <c:v>3.395610353260706E-9</c:v>
                </c:pt>
                <c:pt idx="718">
                  <c:v>3.1084406694387703E-9</c:v>
                </c:pt>
                <c:pt idx="719">
                  <c:v>2.8450750662750953E-9</c:v>
                </c:pt>
                <c:pt idx="720">
                  <c:v>2.6035823485432623E-9</c:v>
                </c:pt>
                <c:pt idx="721">
                  <c:v>2.3821844041948015E-9</c:v>
                </c:pt>
                <c:pt idx="722">
                  <c:v>2.1792443716222834E-9</c:v>
                </c:pt>
                <c:pt idx="723">
                  <c:v>1.9932556966432035E-9</c:v>
                </c:pt>
                <c:pt idx="724">
                  <c:v>1.8228320143159839E-9</c:v>
                </c:pt>
                <c:pt idx="725">
                  <c:v>1.6666977952787281E-9</c:v>
                </c:pt>
                <c:pt idx="726">
                  <c:v>1.5236797005567268E-9</c:v>
                </c:pt>
                <c:pt idx="727">
                  <c:v>1.3926985927639989E-9</c:v>
                </c:pt>
                <c:pt idx="728">
                  <c:v>1.2727621553220053E-9</c:v>
                </c:pt>
                <c:pt idx="729">
                  <c:v>1.1629580747680864E-9</c:v>
                </c:pt>
                <c:pt idx="730">
                  <c:v>1.0624477444395615E-9</c:v>
                </c:pt>
                <c:pt idx="731">
                  <c:v>9.704604508084575E-10</c:v>
                </c:pt>
                <c:pt idx="732">
                  <c:v>8.8628800652569302E-10</c:v>
                </c:pt>
                <c:pt idx="733">
                  <c:v>8.0927979682644533E-10</c:v>
                </c:pt>
                <c:pt idx="734">
                  <c:v>7.3883820835813788E-10</c:v>
                </c:pt>
                <c:pt idx="735">
                  <c:v>6.7441441173556808E-10</c:v>
                </c:pt>
                <c:pt idx="736">
                  <c:v>6.1550447121399524E-10</c:v>
                </c:pt>
                <c:pt idx="737">
                  <c:v>5.6164575681131743E-10</c:v>
                </c:pt>
                <c:pt idx="738">
                  <c:v>5.1241363601273196E-10</c:v>
                </c:pt>
                <c:pt idx="739">
                  <c:v>4.6741842386724888E-10</c:v>
                </c:pt>
                <c:pt idx="740">
                  <c:v>4.2630257184477747E-10</c:v>
                </c:pt>
                <c:pt idx="741">
                  <c:v>3.8873807726652735E-10</c:v>
                </c:pt>
                <c:pt idx="742">
                  <c:v>3.5442409646678778E-10</c:v>
                </c:pt>
                <c:pt idx="743">
                  <c:v>3.2308474609225956E-10</c:v>
                </c:pt>
                <c:pt idx="744">
                  <c:v>2.9446707810266754E-10</c:v>
                </c:pt>
                <c:pt idx="745">
                  <c:v>2.6833921511185554E-10</c:v>
                </c:pt>
                <c:pt idx="746">
                  <c:v>2.4448863370667666E-10</c:v>
                </c:pt>
                <c:pt idx="747">
                  <c:v>2.2272058430631114E-10</c:v>
                </c:pt>
                <c:pt idx="748">
                  <c:v>2.0285663698339389E-10</c:v>
                </c:pt>
                <c:pt idx="749">
                  <c:v>1.8473334346444347E-10</c:v>
                </c:pt>
                <c:pt idx="750">
                  <c:v>1.6820100626534703E-10</c:v>
                </c:pt>
                <c:pt idx="751">
                  <c:v>1.531225466019508E-10</c:v>
                </c:pt>
                <c:pt idx="752">
                  <c:v>1.3937246334959839E-10</c:v>
                </c:pt>
                <c:pt idx="753">
                  <c:v>1.2683587591350324E-10</c:v>
                </c:pt>
                <c:pt idx="754">
                  <c:v>1.1540764441545006E-10</c:v>
                </c:pt>
                <c:pt idx="755">
                  <c:v>1.0499156110672478E-10</c:v>
                </c:pt>
                <c:pt idx="756">
                  <c:v>9.5499607383641049E-11</c:v>
                </c:pt>
                <c:pt idx="757">
                  <c:v>8.6851271213992587E-11</c:v>
                </c:pt>
                <c:pt idx="758">
                  <c:v>7.8972920182698586E-11</c:v>
                </c:pt>
                <c:pt idx="759">
                  <c:v>7.1797225734557937E-11</c:v>
                </c:pt>
                <c:pt idx="760">
                  <c:v>6.5262634534485866E-11</c:v>
                </c:pt>
                <c:pt idx="761">
                  <c:v>5.9312883182035327E-11</c:v>
                </c:pt>
                <c:pt idx="762">
                  <c:v>5.3896552809600281E-11</c:v>
                </c:pt>
                <c:pt idx="763">
                  <c:v>4.8966660364288827E-11</c:v>
                </c:pt>
                <c:pt idx="764">
                  <c:v>4.4480283623628498E-11</c:v>
                </c:pt>
                <c:pt idx="765">
                  <c:v>4.0398217226266321E-11</c:v>
                </c:pt>
                <c:pt idx="766">
                  <c:v>3.6684657212323159E-11</c:v>
                </c:pt>
                <c:pt idx="767">
                  <c:v>3.3306911765376792E-11</c:v>
                </c:pt>
                <c:pt idx="768">
                  <c:v>3.0235136030059544E-11</c:v>
                </c:pt>
                <c:pt idx="769">
                  <c:v>2.7442089047460753E-11</c:v>
                </c:pt>
                <c:pt idx="770">
                  <c:v>2.4902911005775749E-11</c:v>
                </c:pt>
                <c:pt idx="771">
                  <c:v>2.2594919146853318E-11</c:v>
                </c:pt>
                <c:pt idx="772">
                  <c:v>2.0497420801462954E-11</c:v>
                </c:pt>
                <c:pt idx="773">
                  <c:v>1.8591542148111124E-11</c:v>
                </c:pt>
                <c:pt idx="774">
                  <c:v>1.6860071402621962E-11</c:v>
                </c:pt>
                <c:pt idx="775">
                  <c:v>1.5287315249432918E-11</c:v>
                </c:pt>
                <c:pt idx="776">
                  <c:v>1.3858967421194928E-11</c:v>
                </c:pt>
                <c:pt idx="777">
                  <c:v>1.2561988421321948E-11</c:v>
                </c:pt>
                <c:pt idx="778">
                  <c:v>1.138449546539822E-11</c:v>
                </c:pt>
                <c:pt idx="779">
                  <c:v>1.0315661792146968E-11</c:v>
                </c:pt>
                <c:pt idx="780">
                  <c:v>9.3456245635839323E-12</c:v>
                </c:pt>
                <c:pt idx="781">
                  <c:v>8.4654006374571326E-12</c:v>
                </c:pt>
                <c:pt idx="782">
                  <c:v>7.6668095535041595E-12</c:v>
                </c:pt>
                <c:pt idx="783">
                  <c:v>6.942403128864441E-12</c:v>
                </c:pt>
                <c:pt idx="784">
                  <c:v>6.2854011074962876E-12</c:v>
                </c:pt>
                <c:pt idx="785">
                  <c:v>5.6896323540042646E-12</c:v>
                </c:pt>
                <c:pt idx="786">
                  <c:v>5.1494811242077466E-12</c:v>
                </c:pt>
                <c:pt idx="787">
                  <c:v>4.6598379833241278E-12</c:v>
                </c:pt>
                <c:pt idx="788">
                  <c:v>4.2160549781026212E-12</c:v>
                </c:pt>
                <c:pt idx="789">
                  <c:v>3.8139047018380628E-12</c:v>
                </c:pt>
                <c:pt idx="790">
                  <c:v>3.4495429211556486E-12</c:v>
                </c:pt>
                <c:pt idx="791">
                  <c:v>3.1194744609983303E-12</c:v>
                </c:pt>
                <c:pt idx="792">
                  <c:v>2.8205220695480956E-12</c:v>
                </c:pt>
                <c:pt idx="793">
                  <c:v>2.5497980080583337E-12</c:v>
                </c:pt>
                <c:pt idx="794">
                  <c:v>2.3046781319206793E-12</c:v>
                </c:pt>
                <c:pt idx="795">
                  <c:v>2.0827782488964473E-12</c:v>
                </c:pt>
                <c:pt idx="796">
                  <c:v>1.8819325584381337E-12</c:v>
                </c:pt>
                <c:pt idx="797">
                  <c:v>1.700173992547641E-12</c:v>
                </c:pt>
                <c:pt idx="798">
                  <c:v>1.5357162937793398E-12</c:v>
                </c:pt>
                <c:pt idx="799">
                  <c:v>1.3869376799046519E-12</c:v>
                </c:pt>
                <c:pt idx="800">
                  <c:v>1.2523659575158438E-12</c:v>
                </c:pt>
                <c:pt idx="801">
                  <c:v>1.1306649585507905E-12</c:v>
                </c:pt>
                <c:pt idx="802">
                  <c:v>1.0206221844493464E-12</c:v>
                </c:pt>
                <c:pt idx="803">
                  <c:v>9.211375524918457E-13</c:v>
                </c:pt>
                <c:pt idx="804">
                  <c:v>8.3121314788658378E-13</c:v>
                </c:pt>
                <c:pt idx="805">
                  <c:v>7.4994389343763972E-13</c:v>
                </c:pt>
                <c:pt idx="806">
                  <c:v>6.7650905619410056E-13</c:v>
                </c:pt>
                <c:pt idx="807">
                  <c:v>6.1016451741801463E-13</c:v>
                </c:pt>
                <c:pt idx="808">
                  <c:v>5.5023573856061806E-13</c:v>
                </c:pt>
                <c:pt idx="809">
                  <c:v>4.9611136175076094E-13</c:v>
                </c:pt>
                <c:pt idx="810">
                  <c:v>4.4723738862537617E-13</c:v>
                </c:pt>
                <c:pt idx="811">
                  <c:v>4.0311188620444953E-13</c:v>
                </c:pt>
                <c:pt idx="812">
                  <c:v>3.6328017297256708E-13</c:v>
                </c:pt>
                <c:pt idx="813">
                  <c:v>3.2733044240969643E-13</c:v>
                </c:pt>
                <c:pt idx="814">
                  <c:v>2.9488978494579178E-13</c:v>
                </c:pt>
                <c:pt idx="815">
                  <c:v>2.6562057272734465E-13</c:v>
                </c:pt>
                <c:pt idx="816">
                  <c:v>2.3921717470541904E-13</c:v>
                </c:pt>
                <c:pt idx="817">
                  <c:v>2.1540297240761008E-13</c:v>
                </c:pt>
                <c:pt idx="818">
                  <c:v>1.9392764936441673E-13</c:v>
                </c:pt>
                <c:pt idx="819">
                  <c:v>1.7456472954405777E-13</c:v>
                </c:pt>
                <c:pt idx="820">
                  <c:v>1.5710934232663012E-13</c:v>
                </c:pt>
                <c:pt idx="821">
                  <c:v>1.4137619353795482E-13</c:v>
                </c:pt>
                <c:pt idx="822">
                  <c:v>1.2719772387967663E-13</c:v>
                </c:pt>
                <c:pt idx="823">
                  <c:v>1.1442243775085148E-13</c:v>
                </c:pt>
                <c:pt idx="824">
                  <c:v>1.0291338697061202E-13</c:v>
                </c:pt>
                <c:pt idx="825">
                  <c:v>9.2546795293350269E-14</c:v>
                </c:pt>
                <c:pt idx="826">
                  <c:v>8.3210810869313218E-14</c:v>
                </c:pt>
                <c:pt idx="827">
                  <c:v>7.4804374953977358E-14</c:v>
                </c:pt>
                <c:pt idx="828">
                  <c:v>6.7236196219426649E-14</c:v>
                </c:pt>
                <c:pt idx="829">
                  <c:v>6.042382097822895E-14</c:v>
                </c:pt>
                <c:pt idx="830">
                  <c:v>5.4292790503142753E-14</c:v>
                </c:pt>
                <c:pt idx="831">
                  <c:v>4.8775877421950123E-14</c:v>
                </c:pt>
                <c:pt idx="832">
                  <c:v>4.3812393891961917E-14</c:v>
                </c:pt>
                <c:pt idx="833">
                  <c:v>3.9347564919792025E-14</c:v>
                </c:pt>
                <c:pt idx="834">
                  <c:v>3.5331960794300259E-14</c:v>
                </c:pt>
                <c:pt idx="835">
                  <c:v>3.1720983149269784E-14</c:v>
                </c:pt>
                <c:pt idx="836">
                  <c:v>2.8474399671986569E-14</c:v>
                </c:pt>
                <c:pt idx="837">
                  <c:v>2.5555922928960102E-14</c:v>
                </c:pt>
                <c:pt idx="838">
                  <c:v>2.2932829194302239E-14</c:v>
                </c:pt>
                <c:pt idx="839">
                  <c:v>2.0575613543247333E-14</c:v>
                </c:pt>
                <c:pt idx="840">
                  <c:v>1.8457677816522937E-14</c:v>
                </c:pt>
                <c:pt idx="841">
                  <c:v>1.6555048373496684E-14</c:v>
                </c:pt>
                <c:pt idx="842">
                  <c:v>1.4846120836018978E-14</c:v>
                </c:pt>
                <c:pt idx="843">
                  <c:v>1.3311429283237639E-14</c:v>
                </c:pt>
                <c:pt idx="844">
                  <c:v>1.1933437592606203E-14</c:v>
                </c:pt>
                <c:pt idx="845">
                  <c:v>1.0696350835842181E-14</c:v>
                </c:pt>
                <c:pt idx="846">
                  <c:v>9.5859448327559341E-15</c:v>
                </c:pt>
                <c:pt idx="847">
                  <c:v>8.5894121423415029E-15</c:v>
                </c:pt>
                <c:pt idx="848">
                  <c:v>7.6952229308043319E-15</c:v>
                </c:pt>
                <c:pt idx="849">
                  <c:v>6.8929993018781681E-15</c:v>
                </c:pt>
                <c:pt idx="850">
                  <c:v>6.1734018070800268E-15</c:v>
                </c:pt>
                <c:pt idx="851">
                  <c:v>5.5280269736849529E-15</c:v>
                </c:pt>
                <c:pt idx="852">
                  <c:v>4.9493147972895637E-15</c:v>
                </c:pt>
                <c:pt idx="853">
                  <c:v>4.4304652448538529E-15</c:v>
                </c:pt>
                <c:pt idx="854">
                  <c:v>3.9653629039865209E-15</c:v>
                </c:pt>
                <c:pt idx="855">
                  <c:v>3.5485089957884948E-15</c:v>
                </c:pt>
                <c:pt idx="856">
                  <c:v>3.174960042564535E-15</c:v>
                </c:pt>
                <c:pt idx="857">
                  <c:v>2.8402725488203877E-15</c:v>
                </c:pt>
                <c:pt idx="858">
                  <c:v>2.5404531148346235E-15</c:v>
                </c:pt>
                <c:pt idx="859">
                  <c:v>2.2719134572861422E-15</c:v>
                </c:pt>
                <c:pt idx="860">
                  <c:v>2.0314298614433547E-15</c:v>
                </c:pt>
                <c:pt idx="861">
                  <c:v>1.8161066347776975E-15</c:v>
                </c:pt>
                <c:pt idx="862">
                  <c:v>1.6233431729609739E-15</c:v>
                </c:pt>
                <c:pt idx="863">
                  <c:v>1.4508042864346507E-15</c:v>
                </c:pt>
                <c:pt idx="864">
                  <c:v>1.296393469475051E-15</c:v>
                </c:pt>
                <c:pt idx="865">
                  <c:v>1.1582288242272744E-15</c:v>
                </c:pt>
                <c:pt idx="866">
                  <c:v>1.0346213798429516E-15</c:v>
                </c:pt>
                <c:pt idx="867">
                  <c:v>9.2405557190179936E-16</c:v>
                </c:pt>
                <c:pt idx="868">
                  <c:v>8.2517166996895719E-16</c:v>
                </c:pt>
                <c:pt idx="869">
                  <c:v>7.3674996165694159E-16</c:v>
                </c:pt>
                <c:pt idx="870">
                  <c:v>6.5769652012581439E-16</c:v>
                </c:pt>
                <c:pt idx="871">
                  <c:v>5.8703039874984422E-16</c:v>
                </c:pt>
                <c:pt idx="872">
                  <c:v>5.2387211187076459E-16</c:v>
                </c:pt>
                <c:pt idx="873">
                  <c:v>4.6743327429604448E-16</c:v>
                </c:pt>
                <c:pt idx="874">
                  <c:v>4.1700728462027795E-16</c:v>
                </c:pt>
                <c:pt idx="875">
                  <c:v>3.7196094867837336E-16</c:v>
                </c:pt>
                <c:pt idx="876">
                  <c:v>3.3172694958670811E-16</c:v>
                </c:pt>
                <c:pt idx="877">
                  <c:v>2.9579707999978866E-16</c:v>
                </c:pt>
                <c:pt idx="878">
                  <c:v>2.6371616049557901E-16</c:v>
                </c:pt>
                <c:pt idx="879">
                  <c:v>2.3507657548749468E-16</c:v>
                </c:pt>
                <c:pt idx="880">
                  <c:v>2.0951336482045367E-16</c:v>
                </c:pt>
                <c:pt idx="881">
                  <c:v>1.8669981531226868E-16</c:v>
                </c:pt>
                <c:pt idx="882">
                  <c:v>1.6634350201234391E-16</c:v>
                </c:pt>
                <c:pt idx="883">
                  <c:v>1.4818273392349189E-16</c:v>
                </c:pt>
                <c:pt idx="884">
                  <c:v>1.3198336342155866E-16</c:v>
                </c:pt>
                <c:pt idx="885">
                  <c:v>1.1753592265797359E-16</c:v>
                </c:pt>
                <c:pt idx="886">
                  <c:v>1.0465305388427096E-16</c:v>
                </c:pt>
                <c:pt idx="887">
                  <c:v>9.3167203933094608E-17</c:v>
                </c:pt>
                <c:pt idx="888">
                  <c:v>8.2928556062418799E-17</c:v>
                </c:pt>
                <c:pt idx="889">
                  <c:v>7.3803175049432286E-17</c:v>
                </c:pt>
                <c:pt idx="890">
                  <c:v>6.5671343835929405E-17</c:v>
                </c:pt>
                <c:pt idx="891">
                  <c:v>5.8426072204442661E-17</c:v>
                </c:pt>
                <c:pt idx="892">
                  <c:v>5.1971759802068803E-17</c:v>
                </c:pt>
                <c:pt idx="893">
                  <c:v>4.6222998480097717E-17</c:v>
                </c:pt>
                <c:pt idx="894">
                  <c:v>4.1103497934745353E-17</c:v>
                </c:pt>
                <c:pt idx="895">
                  <c:v>3.6545123767866424E-17</c:v>
                </c:pt>
                <c:pt idx="896">
                  <c:v>3.2487036405169978E-17</c:v>
                </c:pt>
                <c:pt idx="897">
                  <c:v>2.8874918747487333E-17</c:v>
                </c:pt>
                <c:pt idx="898">
                  <c:v>2.5660285176366047E-17</c:v>
                </c:pt>
                <c:pt idx="899">
                  <c:v>2.2799862760190786E-17</c:v>
                </c:pt>
                <c:pt idx="900">
                  <c:v>2.0255037326691679E-17</c:v>
                </c:pt>
                <c:pt idx="901">
                  <c:v>1.7991357688174775E-17</c:v>
                </c:pt>
                <c:pt idx="902">
                  <c:v>1.5978091991427733E-17</c:v>
                </c:pt>
                <c:pt idx="903">
                  <c:v>1.4187830780891196E-17</c:v>
                </c:pt>
                <c:pt idx="904">
                  <c:v>1.2596131918092298E-17</c:v>
                </c:pt>
                <c:pt idx="905">
                  <c:v>1.1181202998698714E-17</c:v>
                </c:pt>
                <c:pt idx="906">
                  <c:v>9.923617356534377E-18</c:v>
                </c:pt>
                <c:pt idx="907">
                  <c:v>8.8060601464307147E-18</c:v>
                </c:pt>
                <c:pt idx="908">
                  <c:v>7.8131013594500427E-18</c:v>
                </c:pt>
                <c:pt idx="909">
                  <c:v>6.9309929489416503E-18</c:v>
                </c:pt>
                <c:pt idx="910">
                  <c:v>6.1474875376643532E-18</c:v>
                </c:pt>
                <c:pt idx="911">
                  <c:v>5.4516764382453614E-18</c:v>
                </c:pt>
                <c:pt idx="912">
                  <c:v>4.8338449545109384E-18</c:v>
                </c:pt>
                <c:pt idx="913">
                  <c:v>4.2853431423822825E-18</c:v>
                </c:pt>
                <c:pt idx="914">
                  <c:v>3.7984703985605272E-18</c:v>
                </c:pt>
                <c:pt idx="915">
                  <c:v>3.366372415294694E-18</c:v>
                </c:pt>
                <c:pt idx="916">
                  <c:v>2.9829491920956073E-18</c:v>
                </c:pt>
                <c:pt idx="917">
                  <c:v>2.6427729321157103E-18</c:v>
                </c:pt>
                <c:pt idx="918">
                  <c:v>2.3410147736583621E-18</c:v>
                </c:pt>
                <c:pt idx="919">
                  <c:v>2.0733794173308327E-18</c:v>
                </c:pt>
                <c:pt idx="920">
                  <c:v>1.8360468080205682E-18</c:v>
                </c:pt>
                <c:pt idx="921">
                  <c:v>1.6256201193136449E-18</c:v>
                </c:pt>
                <c:pt idx="922">
                  <c:v>1.439079367227086E-18</c:v>
                </c:pt>
                <c:pt idx="923">
                  <c:v>1.2737400511418418E-18</c:v>
                </c:pt>
                <c:pt idx="924">
                  <c:v>1.127216283440453E-18</c:v>
                </c:pt>
                <c:pt idx="925">
                  <c:v>9.973879263352285E-19</c:v>
                </c:pt>
                <c:pt idx="926">
                  <c:v>8.8237130540154421E-19</c:v>
                </c:pt>
                <c:pt idx="927">
                  <c:v>7.8049311502005221E-19</c:v>
                </c:pt>
                <c:pt idx="928">
                  <c:v>6.902671718324385E-19</c:v>
                </c:pt>
                <c:pt idx="929">
                  <c:v>6.1037370892440686E-19</c:v>
                </c:pt>
                <c:pt idx="930">
                  <c:v>5.3964093620782547E-19</c:v>
                </c:pt>
                <c:pt idx="931">
                  <c:v>4.7702862178649944E-19</c:v>
                </c:pt>
                <c:pt idx="932">
                  <c:v>4.2161347530898265E-19</c:v>
                </c:pt>
                <c:pt idx="933">
                  <c:v>3.7257613776328897E-19</c:v>
                </c:pt>
                <c:pt idx="934">
                  <c:v>3.2918960313955277E-19</c:v>
                </c:pt>
                <c:pt idx="935">
                  <c:v>2.9080891613534043E-19</c:v>
                </c:pt>
                <c:pt idx="936">
                  <c:v>2.568620068392244E-19</c:v>
                </c:pt>
                <c:pt idx="937">
                  <c:v>2.2684153830722522E-19</c:v>
                </c:pt>
                <c:pt idx="938">
                  <c:v>2.0029765633271252E-19</c:v>
                </c:pt>
                <c:pt idx="939">
                  <c:v>1.7683154266889082E-19</c:v>
                </c:pt>
                <c:pt idx="940">
                  <c:v>1.560896836459702E-19</c:v>
                </c:pt>
                <c:pt idx="941">
                  <c:v>1.3775877566544765E-19</c:v>
                </c:pt>
                <c:pt idx="942">
                  <c:v>1.2156119757370329E-19</c:v>
                </c:pt>
                <c:pt idx="943">
                  <c:v>1.0725098752268885E-19</c:v>
                </c:pt>
                <c:pt idx="944">
                  <c:v>9.4610268715027154E-20</c:v>
                </c:pt>
                <c:pt idx="945">
                  <c:v>8.3446074489979832E-20</c:v>
                </c:pt>
                <c:pt idx="946">
                  <c:v>7.3587528613278017E-20</c:v>
                </c:pt>
                <c:pt idx="947">
                  <c:v>6.48833414578339E-20</c:v>
                </c:pt>
                <c:pt idx="948">
                  <c:v>5.7199587064328359E-20</c:v>
                </c:pt>
                <c:pt idx="949">
                  <c:v>5.0417729908265409E-20</c:v>
                </c:pt>
                <c:pt idx="950">
                  <c:v>4.4432873621384964E-20</c:v>
                </c:pt>
                <c:pt idx="951">
                  <c:v>3.9152206965637153E-20</c:v>
                </c:pt>
                <c:pt idx="952">
                  <c:v>3.4493625076823247E-20</c:v>
                </c:pt>
                <c:pt idx="953">
                  <c:v>3.0384506417971619E-20</c:v>
                </c:pt>
                <c:pt idx="954">
                  <c:v>2.6760628041629462E-20</c:v>
                </c:pt>
                <c:pt idx="955">
                  <c:v>2.356520368363915E-20</c:v>
                </c:pt>
                <c:pt idx="956">
                  <c:v>2.0748030924134415E-20</c:v>
                </c:pt>
                <c:pt idx="957">
                  <c:v>1.8264735177234689E-20</c:v>
                </c:pt>
                <c:pt idx="958">
                  <c:v>1.6076099629478762E-20</c:v>
                </c:pt>
                <c:pt idx="959">
                  <c:v>1.414747145631747E-20</c:v>
                </c:pt>
                <c:pt idx="960">
                  <c:v>1.2448235722557104E-20</c:v>
                </c:pt>
                <c:pt idx="961">
                  <c:v>1.0951349330549076E-20</c:v>
                </c:pt>
                <c:pt idx="962">
                  <c:v>9.6329282323045398E-21</c:v>
                </c:pt>
                <c:pt idx="963">
                  <c:v>8.4718818800262279E-21</c:v>
                </c:pt>
                <c:pt idx="964">
                  <c:v>7.4495895639565618E-21</c:v>
                </c:pt>
                <c:pt idx="965">
                  <c:v>6.5496138862611392E-21</c:v>
                </c:pt>
                <c:pt idx="966">
                  <c:v>5.7574471529459198E-21</c:v>
                </c:pt>
                <c:pt idx="967">
                  <c:v>5.0602869398961737E-21</c:v>
                </c:pt>
                <c:pt idx="968">
                  <c:v>4.4468375105178895E-21</c:v>
                </c:pt>
                <c:pt idx="969">
                  <c:v>3.907134136902071E-21</c:v>
                </c:pt>
                <c:pt idx="970">
                  <c:v>3.4323877091812977E-21</c:v>
                </c:pt>
                <c:pt idx="971">
                  <c:v>3.0148473132923998E-21</c:v>
                </c:pt>
                <c:pt idx="972">
                  <c:v>2.6476787198930357E-21</c:v>
                </c:pt>
                <c:pt idx="973">
                  <c:v>2.3248569603135596E-21</c:v>
                </c:pt>
                <c:pt idx="974">
                  <c:v>2.0410713724111436E-21</c:v>
                </c:pt>
                <c:pt idx="975">
                  <c:v>1.7916416829532491E-21</c:v>
                </c:pt>
                <c:pt idx="976">
                  <c:v>1.5724438562440243E-21</c:v>
                </c:pt>
                <c:pt idx="977">
                  <c:v>1.3798445834449034E-21</c:v>
                </c:pt>
                <c:pt idx="978">
                  <c:v>1.2106434154529594E-21</c:v>
                </c:pt>
                <c:pt idx="979">
                  <c:v>1.0620216561131285E-21</c:v>
                </c:pt>
                <c:pt idx="980">
                  <c:v>9.3149723358252193E-22</c:v>
                </c:pt>
                <c:pt idx="981">
                  <c:v>8.1688485726096174E-22</c:v>
                </c:pt>
                <c:pt idx="982">
                  <c:v>7.1626084714503614E-22</c:v>
                </c:pt>
                <c:pt idx="983">
                  <c:v>6.2793209288473608E-22</c:v>
                </c:pt>
                <c:pt idx="984">
                  <c:v>5.504086622398055E-22</c:v>
                </c:pt>
                <c:pt idx="985">
                  <c:v>4.8237963394590703E-22</c:v>
                </c:pt>
                <c:pt idx="986">
                  <c:v>4.2269177900672841E-22</c:v>
                </c:pt>
                <c:pt idx="987">
                  <c:v>3.7033075784306787E-22</c:v>
                </c:pt>
                <c:pt idx="988">
                  <c:v>3.2440453918096946E-22</c:v>
                </c:pt>
                <c:pt idx="989">
                  <c:v>2.8412878061143735E-22</c:v>
                </c:pt>
                <c:pt idx="990">
                  <c:v>2.4881394090199622E-22</c:v>
                </c:pt>
                <c:pt idx="991">
                  <c:v>2.1785392082965915E-22</c:v>
                </c:pt>
                <c:pt idx="992">
                  <c:v>1.907160529251999E-22</c:v>
                </c:pt>
                <c:pt idx="993">
                  <c:v>1.6693228142187819E-22</c:v>
                </c:pt>
                <c:pt idx="994">
                  <c:v>1.4609139219673582E-22</c:v>
                </c:pt>
                <c:pt idx="995">
                  <c:v>1.2783216885274098E-22</c:v>
                </c:pt>
                <c:pt idx="996">
                  <c:v>1.1183736556068167E-22</c:v>
                </c:pt>
                <c:pt idx="997">
                  <c:v>9.7828400075848431E-23</c:v>
                </c:pt>
                <c:pt idx="998">
                  <c:v>8.556068165864727E-23</c:v>
                </c:pt>
                <c:pt idx="999">
                  <c:v>7.4819498629785423E-23</c:v>
                </c:pt>
              </c:numCache>
            </c:numRef>
          </c:yVal>
        </c:ser>
        <c:ser>
          <c:idx val="12"/>
          <c:order val="10"/>
          <c:tx>
            <c:v/>
          </c:tx>
          <c:spPr>
            <a:ln w="25400">
              <a:solidFill>
                <a:srgbClr val="993300"/>
              </a:solidFill>
              <a:prstDash val="solid"/>
            </a:ln>
          </c:spPr>
          <c:marker>
            <c:symbol val="none"/>
          </c:marker>
          <c:xVal>
            <c:numRef>
              <c:f>'Precision paired'!$C$93:$C$1092</c:f>
              <c:numCache>
                <c:formatCode>General</c:formatCode>
                <c:ptCount val="1000"/>
                <c:pt idx="0">
                  <c:v>1.5E-3</c:v>
                </c:pt>
                <c:pt idx="1">
                  <c:v>3.0000000000000001E-3</c:v>
                </c:pt>
                <c:pt idx="2">
                  <c:v>4.5000000000000005E-3</c:v>
                </c:pt>
                <c:pt idx="3">
                  <c:v>6.0000000000000001E-3</c:v>
                </c:pt>
                <c:pt idx="4">
                  <c:v>7.4999999999999997E-3</c:v>
                </c:pt>
                <c:pt idx="5">
                  <c:v>8.9999999999999993E-3</c:v>
                </c:pt>
                <c:pt idx="6">
                  <c:v>1.0499999999999999E-2</c:v>
                </c:pt>
                <c:pt idx="7">
                  <c:v>1.1999999999999999E-2</c:v>
                </c:pt>
                <c:pt idx="8">
                  <c:v>1.3499999999999998E-2</c:v>
                </c:pt>
                <c:pt idx="9">
                  <c:v>1.4999999999999998E-2</c:v>
                </c:pt>
                <c:pt idx="10">
                  <c:v>1.6499999999999997E-2</c:v>
                </c:pt>
                <c:pt idx="11">
                  <c:v>1.7999999999999999E-2</c:v>
                </c:pt>
                <c:pt idx="12">
                  <c:v>1.95E-2</c:v>
                </c:pt>
                <c:pt idx="13">
                  <c:v>2.1000000000000001E-2</c:v>
                </c:pt>
                <c:pt idx="14">
                  <c:v>2.2500000000000003E-2</c:v>
                </c:pt>
                <c:pt idx="15">
                  <c:v>2.4000000000000004E-2</c:v>
                </c:pt>
                <c:pt idx="16">
                  <c:v>2.5500000000000005E-2</c:v>
                </c:pt>
                <c:pt idx="17">
                  <c:v>2.7000000000000007E-2</c:v>
                </c:pt>
                <c:pt idx="18">
                  <c:v>2.8500000000000008E-2</c:v>
                </c:pt>
                <c:pt idx="19">
                  <c:v>3.0000000000000009E-2</c:v>
                </c:pt>
                <c:pt idx="20">
                  <c:v>3.1500000000000007E-2</c:v>
                </c:pt>
                <c:pt idx="21">
                  <c:v>3.3000000000000008E-2</c:v>
                </c:pt>
                <c:pt idx="22">
                  <c:v>3.450000000000001E-2</c:v>
                </c:pt>
                <c:pt idx="23">
                  <c:v>3.6000000000000011E-2</c:v>
                </c:pt>
                <c:pt idx="24">
                  <c:v>3.7500000000000012E-2</c:v>
                </c:pt>
                <c:pt idx="25">
                  <c:v>3.9000000000000014E-2</c:v>
                </c:pt>
                <c:pt idx="26">
                  <c:v>4.0500000000000015E-2</c:v>
                </c:pt>
                <c:pt idx="27">
                  <c:v>4.2000000000000016E-2</c:v>
                </c:pt>
                <c:pt idx="28">
                  <c:v>4.3500000000000018E-2</c:v>
                </c:pt>
                <c:pt idx="29">
                  <c:v>4.5000000000000019E-2</c:v>
                </c:pt>
                <c:pt idx="30">
                  <c:v>4.650000000000002E-2</c:v>
                </c:pt>
                <c:pt idx="31">
                  <c:v>4.8000000000000022E-2</c:v>
                </c:pt>
                <c:pt idx="32">
                  <c:v>4.9500000000000023E-2</c:v>
                </c:pt>
                <c:pt idx="33">
                  <c:v>5.1000000000000024E-2</c:v>
                </c:pt>
                <c:pt idx="34">
                  <c:v>5.2500000000000026E-2</c:v>
                </c:pt>
                <c:pt idx="35">
                  <c:v>5.4000000000000027E-2</c:v>
                </c:pt>
                <c:pt idx="36">
                  <c:v>5.5500000000000028E-2</c:v>
                </c:pt>
                <c:pt idx="37">
                  <c:v>5.700000000000003E-2</c:v>
                </c:pt>
                <c:pt idx="38">
                  <c:v>5.8500000000000031E-2</c:v>
                </c:pt>
                <c:pt idx="39">
                  <c:v>6.0000000000000032E-2</c:v>
                </c:pt>
                <c:pt idx="40">
                  <c:v>6.1500000000000034E-2</c:v>
                </c:pt>
                <c:pt idx="41">
                  <c:v>6.3000000000000028E-2</c:v>
                </c:pt>
                <c:pt idx="42">
                  <c:v>6.450000000000003E-2</c:v>
                </c:pt>
                <c:pt idx="43">
                  <c:v>6.6000000000000031E-2</c:v>
                </c:pt>
                <c:pt idx="44">
                  <c:v>6.7500000000000032E-2</c:v>
                </c:pt>
                <c:pt idx="45">
                  <c:v>6.9000000000000034E-2</c:v>
                </c:pt>
                <c:pt idx="46">
                  <c:v>7.0500000000000035E-2</c:v>
                </c:pt>
                <c:pt idx="47">
                  <c:v>7.2000000000000036E-2</c:v>
                </c:pt>
                <c:pt idx="48">
                  <c:v>7.3500000000000038E-2</c:v>
                </c:pt>
                <c:pt idx="49">
                  <c:v>7.5000000000000039E-2</c:v>
                </c:pt>
                <c:pt idx="50">
                  <c:v>7.650000000000004E-2</c:v>
                </c:pt>
                <c:pt idx="51">
                  <c:v>7.8000000000000042E-2</c:v>
                </c:pt>
                <c:pt idx="52">
                  <c:v>7.9500000000000043E-2</c:v>
                </c:pt>
                <c:pt idx="53">
                  <c:v>8.1000000000000044E-2</c:v>
                </c:pt>
                <c:pt idx="54">
                  <c:v>8.2500000000000046E-2</c:v>
                </c:pt>
                <c:pt idx="55">
                  <c:v>8.4000000000000047E-2</c:v>
                </c:pt>
                <c:pt idx="56">
                  <c:v>8.5500000000000048E-2</c:v>
                </c:pt>
                <c:pt idx="57">
                  <c:v>8.700000000000005E-2</c:v>
                </c:pt>
                <c:pt idx="58">
                  <c:v>8.8500000000000051E-2</c:v>
                </c:pt>
                <c:pt idx="59">
                  <c:v>9.0000000000000052E-2</c:v>
                </c:pt>
                <c:pt idx="60">
                  <c:v>9.1500000000000054E-2</c:v>
                </c:pt>
                <c:pt idx="61">
                  <c:v>9.3000000000000055E-2</c:v>
                </c:pt>
                <c:pt idx="62">
                  <c:v>9.4500000000000056E-2</c:v>
                </c:pt>
                <c:pt idx="63">
                  <c:v>9.6000000000000058E-2</c:v>
                </c:pt>
                <c:pt idx="64">
                  <c:v>9.7500000000000059E-2</c:v>
                </c:pt>
                <c:pt idx="65">
                  <c:v>9.900000000000006E-2</c:v>
                </c:pt>
                <c:pt idx="66">
                  <c:v>0.10050000000000006</c:v>
                </c:pt>
                <c:pt idx="67">
                  <c:v>0.10200000000000006</c:v>
                </c:pt>
                <c:pt idx="68">
                  <c:v>0.10350000000000006</c:v>
                </c:pt>
                <c:pt idx="69">
                  <c:v>0.10500000000000007</c:v>
                </c:pt>
                <c:pt idx="70">
                  <c:v>0.10650000000000007</c:v>
                </c:pt>
                <c:pt idx="71">
                  <c:v>0.10800000000000007</c:v>
                </c:pt>
                <c:pt idx="72">
                  <c:v>0.10950000000000007</c:v>
                </c:pt>
                <c:pt idx="73">
                  <c:v>0.11100000000000007</c:v>
                </c:pt>
                <c:pt idx="74">
                  <c:v>0.11250000000000007</c:v>
                </c:pt>
                <c:pt idx="75">
                  <c:v>0.11400000000000007</c:v>
                </c:pt>
                <c:pt idx="76">
                  <c:v>0.11550000000000007</c:v>
                </c:pt>
                <c:pt idx="77">
                  <c:v>0.11700000000000008</c:v>
                </c:pt>
                <c:pt idx="78">
                  <c:v>0.11850000000000008</c:v>
                </c:pt>
                <c:pt idx="79">
                  <c:v>0.12000000000000008</c:v>
                </c:pt>
                <c:pt idx="80">
                  <c:v>0.12150000000000008</c:v>
                </c:pt>
                <c:pt idx="81">
                  <c:v>0.12300000000000008</c:v>
                </c:pt>
                <c:pt idx="82">
                  <c:v>0.12450000000000008</c:v>
                </c:pt>
                <c:pt idx="83">
                  <c:v>0.12600000000000008</c:v>
                </c:pt>
                <c:pt idx="84">
                  <c:v>0.12750000000000009</c:v>
                </c:pt>
                <c:pt idx="85">
                  <c:v>0.12900000000000009</c:v>
                </c:pt>
                <c:pt idx="86">
                  <c:v>0.13050000000000009</c:v>
                </c:pt>
                <c:pt idx="87">
                  <c:v>0.13200000000000009</c:v>
                </c:pt>
                <c:pt idx="88">
                  <c:v>0.13350000000000009</c:v>
                </c:pt>
                <c:pt idx="89">
                  <c:v>0.13500000000000009</c:v>
                </c:pt>
                <c:pt idx="90">
                  <c:v>0.13650000000000009</c:v>
                </c:pt>
                <c:pt idx="91">
                  <c:v>0.13800000000000009</c:v>
                </c:pt>
                <c:pt idx="92">
                  <c:v>0.1395000000000001</c:v>
                </c:pt>
                <c:pt idx="93">
                  <c:v>0.1410000000000001</c:v>
                </c:pt>
                <c:pt idx="94">
                  <c:v>0.1425000000000001</c:v>
                </c:pt>
                <c:pt idx="95">
                  <c:v>0.1440000000000001</c:v>
                </c:pt>
                <c:pt idx="96">
                  <c:v>0.1455000000000001</c:v>
                </c:pt>
                <c:pt idx="97">
                  <c:v>0.1470000000000001</c:v>
                </c:pt>
                <c:pt idx="98">
                  <c:v>0.1485000000000001</c:v>
                </c:pt>
                <c:pt idx="99">
                  <c:v>0.15000000000000011</c:v>
                </c:pt>
                <c:pt idx="100">
                  <c:v>0.15150000000000011</c:v>
                </c:pt>
                <c:pt idx="101">
                  <c:v>0.15300000000000011</c:v>
                </c:pt>
                <c:pt idx="102">
                  <c:v>0.15450000000000011</c:v>
                </c:pt>
                <c:pt idx="103">
                  <c:v>0.15600000000000011</c:v>
                </c:pt>
                <c:pt idx="104">
                  <c:v>0.15750000000000011</c:v>
                </c:pt>
                <c:pt idx="105">
                  <c:v>0.15900000000000011</c:v>
                </c:pt>
                <c:pt idx="106">
                  <c:v>0.16050000000000011</c:v>
                </c:pt>
                <c:pt idx="107">
                  <c:v>0.16200000000000012</c:v>
                </c:pt>
                <c:pt idx="108">
                  <c:v>0.16350000000000012</c:v>
                </c:pt>
                <c:pt idx="109">
                  <c:v>0.16500000000000012</c:v>
                </c:pt>
                <c:pt idx="110">
                  <c:v>0.16650000000000012</c:v>
                </c:pt>
                <c:pt idx="111">
                  <c:v>0.16800000000000012</c:v>
                </c:pt>
                <c:pt idx="112">
                  <c:v>0.16950000000000012</c:v>
                </c:pt>
                <c:pt idx="113">
                  <c:v>0.17100000000000012</c:v>
                </c:pt>
                <c:pt idx="114">
                  <c:v>0.17250000000000013</c:v>
                </c:pt>
                <c:pt idx="115">
                  <c:v>0.17400000000000013</c:v>
                </c:pt>
                <c:pt idx="116">
                  <c:v>0.17550000000000013</c:v>
                </c:pt>
                <c:pt idx="117">
                  <c:v>0.17700000000000013</c:v>
                </c:pt>
                <c:pt idx="118">
                  <c:v>0.17850000000000013</c:v>
                </c:pt>
                <c:pt idx="119">
                  <c:v>0.18000000000000013</c:v>
                </c:pt>
                <c:pt idx="120">
                  <c:v>0.18150000000000013</c:v>
                </c:pt>
                <c:pt idx="121">
                  <c:v>0.18300000000000013</c:v>
                </c:pt>
                <c:pt idx="122">
                  <c:v>0.18450000000000014</c:v>
                </c:pt>
                <c:pt idx="123">
                  <c:v>0.18600000000000014</c:v>
                </c:pt>
                <c:pt idx="124">
                  <c:v>0.18750000000000014</c:v>
                </c:pt>
                <c:pt idx="125">
                  <c:v>0.18900000000000014</c:v>
                </c:pt>
                <c:pt idx="126">
                  <c:v>0.19050000000000014</c:v>
                </c:pt>
                <c:pt idx="127">
                  <c:v>0.19200000000000014</c:v>
                </c:pt>
                <c:pt idx="128">
                  <c:v>0.19350000000000014</c:v>
                </c:pt>
                <c:pt idx="129">
                  <c:v>0.19500000000000015</c:v>
                </c:pt>
                <c:pt idx="130">
                  <c:v>0.19650000000000015</c:v>
                </c:pt>
                <c:pt idx="131">
                  <c:v>0.19800000000000015</c:v>
                </c:pt>
                <c:pt idx="132">
                  <c:v>0.19950000000000015</c:v>
                </c:pt>
                <c:pt idx="133">
                  <c:v>0.20100000000000015</c:v>
                </c:pt>
                <c:pt idx="134">
                  <c:v>0.20250000000000015</c:v>
                </c:pt>
                <c:pt idx="135">
                  <c:v>0.20400000000000015</c:v>
                </c:pt>
                <c:pt idx="136">
                  <c:v>0.20550000000000015</c:v>
                </c:pt>
                <c:pt idx="137">
                  <c:v>0.20700000000000016</c:v>
                </c:pt>
                <c:pt idx="138">
                  <c:v>0.20850000000000016</c:v>
                </c:pt>
                <c:pt idx="139">
                  <c:v>0.21000000000000016</c:v>
                </c:pt>
                <c:pt idx="140">
                  <c:v>0.21150000000000016</c:v>
                </c:pt>
                <c:pt idx="141">
                  <c:v>0.21300000000000016</c:v>
                </c:pt>
                <c:pt idx="142">
                  <c:v>0.21450000000000016</c:v>
                </c:pt>
                <c:pt idx="143">
                  <c:v>0.21600000000000016</c:v>
                </c:pt>
                <c:pt idx="144">
                  <c:v>0.21750000000000017</c:v>
                </c:pt>
                <c:pt idx="145">
                  <c:v>0.21900000000000017</c:v>
                </c:pt>
                <c:pt idx="146">
                  <c:v>0.22050000000000017</c:v>
                </c:pt>
                <c:pt idx="147">
                  <c:v>0.22200000000000017</c:v>
                </c:pt>
                <c:pt idx="148">
                  <c:v>0.22350000000000017</c:v>
                </c:pt>
                <c:pt idx="149">
                  <c:v>0.22500000000000017</c:v>
                </c:pt>
                <c:pt idx="150">
                  <c:v>0.22650000000000017</c:v>
                </c:pt>
                <c:pt idx="151">
                  <c:v>0.22800000000000017</c:v>
                </c:pt>
                <c:pt idx="152">
                  <c:v>0.22950000000000018</c:v>
                </c:pt>
                <c:pt idx="153">
                  <c:v>0.23100000000000018</c:v>
                </c:pt>
                <c:pt idx="154">
                  <c:v>0.23250000000000018</c:v>
                </c:pt>
                <c:pt idx="155">
                  <c:v>0.23400000000000018</c:v>
                </c:pt>
                <c:pt idx="156">
                  <c:v>0.23550000000000018</c:v>
                </c:pt>
                <c:pt idx="157">
                  <c:v>0.23700000000000018</c:v>
                </c:pt>
                <c:pt idx="158">
                  <c:v>0.23850000000000018</c:v>
                </c:pt>
                <c:pt idx="159">
                  <c:v>0.24000000000000019</c:v>
                </c:pt>
                <c:pt idx="160">
                  <c:v>0.24150000000000019</c:v>
                </c:pt>
                <c:pt idx="161">
                  <c:v>0.24300000000000019</c:v>
                </c:pt>
                <c:pt idx="162">
                  <c:v>0.24450000000000019</c:v>
                </c:pt>
                <c:pt idx="163">
                  <c:v>0.24600000000000019</c:v>
                </c:pt>
                <c:pt idx="164">
                  <c:v>0.24750000000000019</c:v>
                </c:pt>
                <c:pt idx="165">
                  <c:v>0.24900000000000019</c:v>
                </c:pt>
                <c:pt idx="166">
                  <c:v>0.25050000000000017</c:v>
                </c:pt>
                <c:pt idx="167">
                  <c:v>0.25200000000000017</c:v>
                </c:pt>
                <c:pt idx="168">
                  <c:v>0.25350000000000017</c:v>
                </c:pt>
                <c:pt idx="169">
                  <c:v>0.25500000000000017</c:v>
                </c:pt>
                <c:pt idx="170">
                  <c:v>0.25650000000000017</c:v>
                </c:pt>
                <c:pt idx="171">
                  <c:v>0.25800000000000017</c:v>
                </c:pt>
                <c:pt idx="172">
                  <c:v>0.25950000000000017</c:v>
                </c:pt>
                <c:pt idx="173">
                  <c:v>0.26100000000000018</c:v>
                </c:pt>
                <c:pt idx="174">
                  <c:v>0.26250000000000018</c:v>
                </c:pt>
                <c:pt idx="175">
                  <c:v>0.26400000000000018</c:v>
                </c:pt>
                <c:pt idx="176">
                  <c:v>0.26550000000000018</c:v>
                </c:pt>
                <c:pt idx="177">
                  <c:v>0.26700000000000018</c:v>
                </c:pt>
                <c:pt idx="178">
                  <c:v>0.26850000000000018</c:v>
                </c:pt>
                <c:pt idx="179">
                  <c:v>0.27000000000000018</c:v>
                </c:pt>
                <c:pt idx="180">
                  <c:v>0.27150000000000019</c:v>
                </c:pt>
                <c:pt idx="181">
                  <c:v>0.27300000000000019</c:v>
                </c:pt>
                <c:pt idx="182">
                  <c:v>0.27450000000000019</c:v>
                </c:pt>
                <c:pt idx="183">
                  <c:v>0.27600000000000019</c:v>
                </c:pt>
                <c:pt idx="184">
                  <c:v>0.27750000000000019</c:v>
                </c:pt>
                <c:pt idx="185">
                  <c:v>0.27900000000000019</c:v>
                </c:pt>
                <c:pt idx="186">
                  <c:v>0.28050000000000019</c:v>
                </c:pt>
                <c:pt idx="187">
                  <c:v>0.28200000000000019</c:v>
                </c:pt>
                <c:pt idx="188">
                  <c:v>0.2835000000000002</c:v>
                </c:pt>
                <c:pt idx="189">
                  <c:v>0.2850000000000002</c:v>
                </c:pt>
                <c:pt idx="190">
                  <c:v>0.2865000000000002</c:v>
                </c:pt>
                <c:pt idx="191">
                  <c:v>0.2880000000000002</c:v>
                </c:pt>
                <c:pt idx="192">
                  <c:v>0.2895000000000002</c:v>
                </c:pt>
                <c:pt idx="193">
                  <c:v>0.2910000000000002</c:v>
                </c:pt>
                <c:pt idx="194">
                  <c:v>0.2925000000000002</c:v>
                </c:pt>
                <c:pt idx="195">
                  <c:v>0.29400000000000021</c:v>
                </c:pt>
                <c:pt idx="196">
                  <c:v>0.29550000000000021</c:v>
                </c:pt>
                <c:pt idx="197">
                  <c:v>0.29700000000000021</c:v>
                </c:pt>
                <c:pt idx="198">
                  <c:v>0.29850000000000021</c:v>
                </c:pt>
                <c:pt idx="199">
                  <c:v>0.30000000000000021</c:v>
                </c:pt>
                <c:pt idx="200">
                  <c:v>0.30150000000000021</c:v>
                </c:pt>
                <c:pt idx="201">
                  <c:v>0.30300000000000021</c:v>
                </c:pt>
                <c:pt idx="202">
                  <c:v>0.30450000000000021</c:v>
                </c:pt>
                <c:pt idx="203">
                  <c:v>0.30600000000000022</c:v>
                </c:pt>
                <c:pt idx="204">
                  <c:v>0.30750000000000022</c:v>
                </c:pt>
                <c:pt idx="205">
                  <c:v>0.30900000000000022</c:v>
                </c:pt>
                <c:pt idx="206">
                  <c:v>0.31050000000000022</c:v>
                </c:pt>
                <c:pt idx="207">
                  <c:v>0.31200000000000022</c:v>
                </c:pt>
                <c:pt idx="208">
                  <c:v>0.31350000000000022</c:v>
                </c:pt>
                <c:pt idx="209">
                  <c:v>0.31500000000000022</c:v>
                </c:pt>
                <c:pt idx="210">
                  <c:v>0.31650000000000023</c:v>
                </c:pt>
                <c:pt idx="211">
                  <c:v>0.31800000000000023</c:v>
                </c:pt>
                <c:pt idx="212">
                  <c:v>0.31950000000000023</c:v>
                </c:pt>
                <c:pt idx="213">
                  <c:v>0.32100000000000023</c:v>
                </c:pt>
                <c:pt idx="214">
                  <c:v>0.32250000000000023</c:v>
                </c:pt>
                <c:pt idx="215">
                  <c:v>0.32400000000000023</c:v>
                </c:pt>
                <c:pt idx="216">
                  <c:v>0.32550000000000023</c:v>
                </c:pt>
                <c:pt idx="217">
                  <c:v>0.32700000000000023</c:v>
                </c:pt>
                <c:pt idx="218">
                  <c:v>0.32850000000000024</c:v>
                </c:pt>
                <c:pt idx="219">
                  <c:v>0.33000000000000024</c:v>
                </c:pt>
                <c:pt idx="220">
                  <c:v>0.33150000000000024</c:v>
                </c:pt>
                <c:pt idx="221">
                  <c:v>0.33300000000000024</c:v>
                </c:pt>
                <c:pt idx="222">
                  <c:v>0.33450000000000024</c:v>
                </c:pt>
                <c:pt idx="223">
                  <c:v>0.33600000000000024</c:v>
                </c:pt>
                <c:pt idx="224">
                  <c:v>0.33750000000000024</c:v>
                </c:pt>
                <c:pt idx="225">
                  <c:v>0.33900000000000025</c:v>
                </c:pt>
                <c:pt idx="226">
                  <c:v>0.34050000000000025</c:v>
                </c:pt>
                <c:pt idx="227">
                  <c:v>0.34200000000000025</c:v>
                </c:pt>
                <c:pt idx="228">
                  <c:v>0.34350000000000025</c:v>
                </c:pt>
                <c:pt idx="229">
                  <c:v>0.34500000000000025</c:v>
                </c:pt>
                <c:pt idx="230">
                  <c:v>0.34650000000000025</c:v>
                </c:pt>
                <c:pt idx="231">
                  <c:v>0.34800000000000025</c:v>
                </c:pt>
                <c:pt idx="232">
                  <c:v>0.34950000000000025</c:v>
                </c:pt>
                <c:pt idx="233">
                  <c:v>0.35100000000000026</c:v>
                </c:pt>
                <c:pt idx="234">
                  <c:v>0.35250000000000026</c:v>
                </c:pt>
                <c:pt idx="235">
                  <c:v>0.35400000000000026</c:v>
                </c:pt>
                <c:pt idx="236">
                  <c:v>0.35550000000000026</c:v>
                </c:pt>
                <c:pt idx="237">
                  <c:v>0.35700000000000026</c:v>
                </c:pt>
                <c:pt idx="238">
                  <c:v>0.35850000000000026</c:v>
                </c:pt>
                <c:pt idx="239">
                  <c:v>0.36000000000000026</c:v>
                </c:pt>
                <c:pt idx="240">
                  <c:v>0.36150000000000027</c:v>
                </c:pt>
                <c:pt idx="241">
                  <c:v>0.36300000000000027</c:v>
                </c:pt>
                <c:pt idx="242">
                  <c:v>0.36450000000000027</c:v>
                </c:pt>
                <c:pt idx="243">
                  <c:v>0.36600000000000027</c:v>
                </c:pt>
                <c:pt idx="244">
                  <c:v>0.36750000000000027</c:v>
                </c:pt>
                <c:pt idx="245">
                  <c:v>0.36900000000000027</c:v>
                </c:pt>
                <c:pt idx="246">
                  <c:v>0.37050000000000027</c:v>
                </c:pt>
                <c:pt idx="247">
                  <c:v>0.37200000000000027</c:v>
                </c:pt>
                <c:pt idx="248">
                  <c:v>0.37350000000000028</c:v>
                </c:pt>
                <c:pt idx="249">
                  <c:v>0.37500000000000028</c:v>
                </c:pt>
                <c:pt idx="250">
                  <c:v>0.37650000000000028</c:v>
                </c:pt>
                <c:pt idx="251">
                  <c:v>0.37800000000000028</c:v>
                </c:pt>
                <c:pt idx="252">
                  <c:v>0.37950000000000028</c:v>
                </c:pt>
                <c:pt idx="253">
                  <c:v>0.38100000000000028</c:v>
                </c:pt>
                <c:pt idx="254">
                  <c:v>0.38250000000000028</c:v>
                </c:pt>
                <c:pt idx="255">
                  <c:v>0.38400000000000029</c:v>
                </c:pt>
                <c:pt idx="256">
                  <c:v>0.38550000000000029</c:v>
                </c:pt>
                <c:pt idx="257">
                  <c:v>0.38700000000000029</c:v>
                </c:pt>
                <c:pt idx="258">
                  <c:v>0.38850000000000029</c:v>
                </c:pt>
                <c:pt idx="259">
                  <c:v>0.39000000000000029</c:v>
                </c:pt>
                <c:pt idx="260">
                  <c:v>0.39150000000000029</c:v>
                </c:pt>
                <c:pt idx="261">
                  <c:v>0.39300000000000029</c:v>
                </c:pt>
                <c:pt idx="262">
                  <c:v>0.39450000000000029</c:v>
                </c:pt>
                <c:pt idx="263">
                  <c:v>0.3960000000000003</c:v>
                </c:pt>
                <c:pt idx="264">
                  <c:v>0.3975000000000003</c:v>
                </c:pt>
                <c:pt idx="265">
                  <c:v>0.3990000000000003</c:v>
                </c:pt>
                <c:pt idx="266">
                  <c:v>0.4005000000000003</c:v>
                </c:pt>
                <c:pt idx="267">
                  <c:v>0.4020000000000003</c:v>
                </c:pt>
                <c:pt idx="268">
                  <c:v>0.4035000000000003</c:v>
                </c:pt>
                <c:pt idx="269">
                  <c:v>0.4050000000000003</c:v>
                </c:pt>
                <c:pt idx="270">
                  <c:v>0.40650000000000031</c:v>
                </c:pt>
                <c:pt idx="271">
                  <c:v>0.40800000000000031</c:v>
                </c:pt>
                <c:pt idx="272">
                  <c:v>0.40950000000000031</c:v>
                </c:pt>
                <c:pt idx="273">
                  <c:v>0.41100000000000031</c:v>
                </c:pt>
                <c:pt idx="274">
                  <c:v>0.41250000000000031</c:v>
                </c:pt>
                <c:pt idx="275">
                  <c:v>0.41400000000000031</c:v>
                </c:pt>
                <c:pt idx="276">
                  <c:v>0.41550000000000031</c:v>
                </c:pt>
                <c:pt idx="277">
                  <c:v>0.41700000000000031</c:v>
                </c:pt>
                <c:pt idx="278">
                  <c:v>0.41850000000000032</c:v>
                </c:pt>
                <c:pt idx="279">
                  <c:v>0.42000000000000032</c:v>
                </c:pt>
                <c:pt idx="280">
                  <c:v>0.42150000000000032</c:v>
                </c:pt>
                <c:pt idx="281">
                  <c:v>0.42300000000000032</c:v>
                </c:pt>
                <c:pt idx="282">
                  <c:v>0.42450000000000032</c:v>
                </c:pt>
                <c:pt idx="283">
                  <c:v>0.42600000000000032</c:v>
                </c:pt>
                <c:pt idx="284">
                  <c:v>0.42750000000000032</c:v>
                </c:pt>
                <c:pt idx="285">
                  <c:v>0.42900000000000033</c:v>
                </c:pt>
                <c:pt idx="286">
                  <c:v>0.43050000000000033</c:v>
                </c:pt>
                <c:pt idx="287">
                  <c:v>0.43200000000000033</c:v>
                </c:pt>
                <c:pt idx="288">
                  <c:v>0.43350000000000033</c:v>
                </c:pt>
                <c:pt idx="289">
                  <c:v>0.43500000000000033</c:v>
                </c:pt>
                <c:pt idx="290">
                  <c:v>0.43650000000000033</c:v>
                </c:pt>
                <c:pt idx="291">
                  <c:v>0.43800000000000033</c:v>
                </c:pt>
                <c:pt idx="292">
                  <c:v>0.43950000000000033</c:v>
                </c:pt>
                <c:pt idx="293">
                  <c:v>0.44100000000000034</c:v>
                </c:pt>
                <c:pt idx="294">
                  <c:v>0.44250000000000034</c:v>
                </c:pt>
                <c:pt idx="295">
                  <c:v>0.44400000000000034</c:v>
                </c:pt>
                <c:pt idx="296">
                  <c:v>0.44550000000000034</c:v>
                </c:pt>
                <c:pt idx="297">
                  <c:v>0.44700000000000034</c:v>
                </c:pt>
                <c:pt idx="298">
                  <c:v>0.44850000000000034</c:v>
                </c:pt>
                <c:pt idx="299">
                  <c:v>0.45000000000000034</c:v>
                </c:pt>
                <c:pt idx="300">
                  <c:v>0.45150000000000035</c:v>
                </c:pt>
                <c:pt idx="301">
                  <c:v>0.45300000000000035</c:v>
                </c:pt>
                <c:pt idx="302">
                  <c:v>0.45450000000000035</c:v>
                </c:pt>
                <c:pt idx="303">
                  <c:v>0.45600000000000035</c:v>
                </c:pt>
                <c:pt idx="304">
                  <c:v>0.45750000000000035</c:v>
                </c:pt>
                <c:pt idx="305">
                  <c:v>0.45900000000000035</c:v>
                </c:pt>
                <c:pt idx="306">
                  <c:v>0.46050000000000035</c:v>
                </c:pt>
                <c:pt idx="307">
                  <c:v>0.46200000000000035</c:v>
                </c:pt>
                <c:pt idx="308">
                  <c:v>0.46350000000000036</c:v>
                </c:pt>
                <c:pt idx="309">
                  <c:v>0.46500000000000036</c:v>
                </c:pt>
                <c:pt idx="310">
                  <c:v>0.46650000000000036</c:v>
                </c:pt>
                <c:pt idx="311">
                  <c:v>0.46800000000000036</c:v>
                </c:pt>
                <c:pt idx="312">
                  <c:v>0.46950000000000036</c:v>
                </c:pt>
                <c:pt idx="313">
                  <c:v>0.47100000000000036</c:v>
                </c:pt>
                <c:pt idx="314">
                  <c:v>0.47250000000000036</c:v>
                </c:pt>
                <c:pt idx="315">
                  <c:v>0.47400000000000037</c:v>
                </c:pt>
                <c:pt idx="316">
                  <c:v>0.47550000000000037</c:v>
                </c:pt>
                <c:pt idx="317">
                  <c:v>0.47700000000000037</c:v>
                </c:pt>
                <c:pt idx="318">
                  <c:v>0.47850000000000037</c:v>
                </c:pt>
                <c:pt idx="319">
                  <c:v>0.48000000000000037</c:v>
                </c:pt>
                <c:pt idx="320">
                  <c:v>0.48150000000000037</c:v>
                </c:pt>
                <c:pt idx="321">
                  <c:v>0.48300000000000037</c:v>
                </c:pt>
                <c:pt idx="322">
                  <c:v>0.48450000000000037</c:v>
                </c:pt>
                <c:pt idx="323">
                  <c:v>0.48600000000000038</c:v>
                </c:pt>
                <c:pt idx="324">
                  <c:v>0.48750000000000038</c:v>
                </c:pt>
                <c:pt idx="325">
                  <c:v>0.48900000000000038</c:v>
                </c:pt>
                <c:pt idx="326">
                  <c:v>0.49050000000000038</c:v>
                </c:pt>
                <c:pt idx="327">
                  <c:v>0.49200000000000038</c:v>
                </c:pt>
                <c:pt idx="328">
                  <c:v>0.49350000000000038</c:v>
                </c:pt>
                <c:pt idx="329">
                  <c:v>0.49500000000000038</c:v>
                </c:pt>
                <c:pt idx="330">
                  <c:v>0.49650000000000039</c:v>
                </c:pt>
                <c:pt idx="331">
                  <c:v>0.49800000000000039</c:v>
                </c:pt>
                <c:pt idx="332">
                  <c:v>0.49950000000000039</c:v>
                </c:pt>
                <c:pt idx="333">
                  <c:v>0.50100000000000033</c:v>
                </c:pt>
                <c:pt idx="334">
                  <c:v>0.50250000000000028</c:v>
                </c:pt>
                <c:pt idx="335">
                  <c:v>0.50400000000000023</c:v>
                </c:pt>
                <c:pt idx="336">
                  <c:v>0.50550000000000017</c:v>
                </c:pt>
                <c:pt idx="337">
                  <c:v>0.50700000000000012</c:v>
                </c:pt>
                <c:pt idx="338">
                  <c:v>0.50850000000000006</c:v>
                </c:pt>
                <c:pt idx="339">
                  <c:v>0.51</c:v>
                </c:pt>
                <c:pt idx="340">
                  <c:v>0.51149999999999995</c:v>
                </c:pt>
                <c:pt idx="341">
                  <c:v>0.5129999999999999</c:v>
                </c:pt>
                <c:pt idx="342">
                  <c:v>0.51449999999999985</c:v>
                </c:pt>
                <c:pt idx="343">
                  <c:v>0.51599999999999979</c:v>
                </c:pt>
                <c:pt idx="344">
                  <c:v>0.51749999999999974</c:v>
                </c:pt>
                <c:pt idx="345">
                  <c:v>0.51899999999999968</c:v>
                </c:pt>
                <c:pt idx="346">
                  <c:v>0.52049999999999963</c:v>
                </c:pt>
                <c:pt idx="347">
                  <c:v>0.52199999999999958</c:v>
                </c:pt>
                <c:pt idx="348">
                  <c:v>0.52349999999999952</c:v>
                </c:pt>
                <c:pt idx="349">
                  <c:v>0.52499999999999947</c:v>
                </c:pt>
                <c:pt idx="350">
                  <c:v>0.52649999999999941</c:v>
                </c:pt>
                <c:pt idx="351">
                  <c:v>0.52799999999999936</c:v>
                </c:pt>
                <c:pt idx="352">
                  <c:v>0.5294999999999993</c:v>
                </c:pt>
                <c:pt idx="353">
                  <c:v>0.53099999999999925</c:v>
                </c:pt>
                <c:pt idx="354">
                  <c:v>0.5324999999999992</c:v>
                </c:pt>
                <c:pt idx="355">
                  <c:v>0.53399999999999914</c:v>
                </c:pt>
                <c:pt idx="356">
                  <c:v>0.53549999999999909</c:v>
                </c:pt>
                <c:pt idx="357">
                  <c:v>0.53699999999999903</c:v>
                </c:pt>
                <c:pt idx="358">
                  <c:v>0.53849999999999898</c:v>
                </c:pt>
                <c:pt idx="359">
                  <c:v>0.53999999999999893</c:v>
                </c:pt>
                <c:pt idx="360">
                  <c:v>0.54149999999999887</c:v>
                </c:pt>
                <c:pt idx="361">
                  <c:v>0.54299999999999882</c:v>
                </c:pt>
                <c:pt idx="362">
                  <c:v>0.54449999999999876</c:v>
                </c:pt>
                <c:pt idx="363">
                  <c:v>0.54599999999999871</c:v>
                </c:pt>
                <c:pt idx="364">
                  <c:v>0.54749999999999865</c:v>
                </c:pt>
                <c:pt idx="365">
                  <c:v>0.5489999999999986</c:v>
                </c:pt>
                <c:pt idx="366">
                  <c:v>0.55049999999999855</c:v>
                </c:pt>
                <c:pt idx="367">
                  <c:v>0.55199999999999849</c:v>
                </c:pt>
                <c:pt idx="368">
                  <c:v>0.55349999999999844</c:v>
                </c:pt>
                <c:pt idx="369">
                  <c:v>0.55499999999999838</c:v>
                </c:pt>
                <c:pt idx="370">
                  <c:v>0.55649999999999833</c:v>
                </c:pt>
                <c:pt idx="371">
                  <c:v>0.55799999999999828</c:v>
                </c:pt>
                <c:pt idx="372">
                  <c:v>0.55949999999999822</c:v>
                </c:pt>
                <c:pt idx="373">
                  <c:v>0.56099999999999817</c:v>
                </c:pt>
                <c:pt idx="374">
                  <c:v>0.56249999999999811</c:v>
                </c:pt>
                <c:pt idx="375">
                  <c:v>0.56399999999999806</c:v>
                </c:pt>
                <c:pt idx="376">
                  <c:v>0.565499999999998</c:v>
                </c:pt>
                <c:pt idx="377">
                  <c:v>0.56699999999999795</c:v>
                </c:pt>
                <c:pt idx="378">
                  <c:v>0.5684999999999979</c:v>
                </c:pt>
                <c:pt idx="379">
                  <c:v>0.56999999999999784</c:v>
                </c:pt>
                <c:pt idx="380">
                  <c:v>0.57149999999999779</c:v>
                </c:pt>
                <c:pt idx="381">
                  <c:v>0.57299999999999773</c:v>
                </c:pt>
                <c:pt idx="382">
                  <c:v>0.57449999999999768</c:v>
                </c:pt>
                <c:pt idx="383">
                  <c:v>0.57599999999999763</c:v>
                </c:pt>
                <c:pt idx="384">
                  <c:v>0.57749999999999757</c:v>
                </c:pt>
                <c:pt idx="385">
                  <c:v>0.57899999999999752</c:v>
                </c:pt>
                <c:pt idx="386">
                  <c:v>0.58049999999999746</c:v>
                </c:pt>
                <c:pt idx="387">
                  <c:v>0.58199999999999741</c:v>
                </c:pt>
                <c:pt idx="388">
                  <c:v>0.58349999999999735</c:v>
                </c:pt>
                <c:pt idx="389">
                  <c:v>0.5849999999999973</c:v>
                </c:pt>
                <c:pt idx="390">
                  <c:v>0.58649999999999725</c:v>
                </c:pt>
                <c:pt idx="391">
                  <c:v>0.58799999999999719</c:v>
                </c:pt>
                <c:pt idx="392">
                  <c:v>0.58949999999999714</c:v>
                </c:pt>
                <c:pt idx="393">
                  <c:v>0.59099999999999708</c:v>
                </c:pt>
                <c:pt idx="394">
                  <c:v>0.59249999999999703</c:v>
                </c:pt>
                <c:pt idx="395">
                  <c:v>0.59399999999999697</c:v>
                </c:pt>
                <c:pt idx="396">
                  <c:v>0.59549999999999692</c:v>
                </c:pt>
                <c:pt idx="397">
                  <c:v>0.59699999999999687</c:v>
                </c:pt>
                <c:pt idx="398">
                  <c:v>0.59849999999999681</c:v>
                </c:pt>
                <c:pt idx="399">
                  <c:v>0.59999999999999676</c:v>
                </c:pt>
                <c:pt idx="400">
                  <c:v>0.6014999999999967</c:v>
                </c:pt>
                <c:pt idx="401">
                  <c:v>0.60299999999999665</c:v>
                </c:pt>
                <c:pt idx="402">
                  <c:v>0.6044999999999966</c:v>
                </c:pt>
                <c:pt idx="403">
                  <c:v>0.60599999999999654</c:v>
                </c:pt>
                <c:pt idx="404">
                  <c:v>0.60749999999999649</c:v>
                </c:pt>
                <c:pt idx="405">
                  <c:v>0.60899999999999643</c:v>
                </c:pt>
                <c:pt idx="406">
                  <c:v>0.61049999999999638</c:v>
                </c:pt>
                <c:pt idx="407">
                  <c:v>0.61199999999999632</c:v>
                </c:pt>
                <c:pt idx="408">
                  <c:v>0.61349999999999627</c:v>
                </c:pt>
                <c:pt idx="409">
                  <c:v>0.61499999999999622</c:v>
                </c:pt>
                <c:pt idx="410">
                  <c:v>0.61649999999999616</c:v>
                </c:pt>
                <c:pt idx="411">
                  <c:v>0.61799999999999611</c:v>
                </c:pt>
                <c:pt idx="412">
                  <c:v>0.61949999999999605</c:v>
                </c:pt>
                <c:pt idx="413">
                  <c:v>0.620999999999996</c:v>
                </c:pt>
                <c:pt idx="414">
                  <c:v>0.62249999999999595</c:v>
                </c:pt>
                <c:pt idx="415">
                  <c:v>0.62399999999999589</c:v>
                </c:pt>
                <c:pt idx="416">
                  <c:v>0.62549999999999584</c:v>
                </c:pt>
                <c:pt idx="417">
                  <c:v>0.62699999999999578</c:v>
                </c:pt>
                <c:pt idx="418">
                  <c:v>0.62849999999999573</c:v>
                </c:pt>
                <c:pt idx="419">
                  <c:v>0.62999999999999567</c:v>
                </c:pt>
                <c:pt idx="420">
                  <c:v>0.63149999999999562</c:v>
                </c:pt>
                <c:pt idx="421">
                  <c:v>0.63299999999999557</c:v>
                </c:pt>
                <c:pt idx="422">
                  <c:v>0.63449999999999551</c:v>
                </c:pt>
                <c:pt idx="423">
                  <c:v>0.63599999999999546</c:v>
                </c:pt>
                <c:pt idx="424">
                  <c:v>0.6374999999999954</c:v>
                </c:pt>
                <c:pt idx="425">
                  <c:v>0.63899999999999535</c:v>
                </c:pt>
                <c:pt idx="426">
                  <c:v>0.6404999999999953</c:v>
                </c:pt>
                <c:pt idx="427">
                  <c:v>0.64199999999999524</c:v>
                </c:pt>
                <c:pt idx="428">
                  <c:v>0.64349999999999519</c:v>
                </c:pt>
                <c:pt idx="429">
                  <c:v>0.64499999999999513</c:v>
                </c:pt>
                <c:pt idx="430">
                  <c:v>0.64649999999999508</c:v>
                </c:pt>
                <c:pt idx="431">
                  <c:v>0.64799999999999502</c:v>
                </c:pt>
                <c:pt idx="432">
                  <c:v>0.64949999999999497</c:v>
                </c:pt>
                <c:pt idx="433">
                  <c:v>0.65099999999999492</c:v>
                </c:pt>
                <c:pt idx="434">
                  <c:v>0.65249999999999486</c:v>
                </c:pt>
                <c:pt idx="435">
                  <c:v>0.65399999999999481</c:v>
                </c:pt>
                <c:pt idx="436">
                  <c:v>0.65549999999999475</c:v>
                </c:pt>
                <c:pt idx="437">
                  <c:v>0.6569999999999947</c:v>
                </c:pt>
                <c:pt idx="438">
                  <c:v>0.65849999999999465</c:v>
                </c:pt>
                <c:pt idx="439">
                  <c:v>0.65999999999999459</c:v>
                </c:pt>
                <c:pt idx="440">
                  <c:v>0.66149999999999454</c:v>
                </c:pt>
                <c:pt idx="441">
                  <c:v>0.66299999999999448</c:v>
                </c:pt>
                <c:pt idx="442">
                  <c:v>0.66449999999999443</c:v>
                </c:pt>
                <c:pt idx="443">
                  <c:v>0.66599999999999437</c:v>
                </c:pt>
                <c:pt idx="444">
                  <c:v>0.66749999999999432</c:v>
                </c:pt>
                <c:pt idx="445">
                  <c:v>0.66899999999999427</c:v>
                </c:pt>
                <c:pt idx="446">
                  <c:v>0.67049999999999421</c:v>
                </c:pt>
                <c:pt idx="447">
                  <c:v>0.67199999999999416</c:v>
                </c:pt>
                <c:pt idx="448">
                  <c:v>0.6734999999999941</c:v>
                </c:pt>
                <c:pt idx="449">
                  <c:v>0.67499999999999405</c:v>
                </c:pt>
                <c:pt idx="450">
                  <c:v>0.676499999999994</c:v>
                </c:pt>
                <c:pt idx="451">
                  <c:v>0.67799999999999394</c:v>
                </c:pt>
                <c:pt idx="452">
                  <c:v>0.67949999999999389</c:v>
                </c:pt>
                <c:pt idx="453">
                  <c:v>0.68099999999999383</c:v>
                </c:pt>
                <c:pt idx="454">
                  <c:v>0.68249999999999378</c:v>
                </c:pt>
                <c:pt idx="455">
                  <c:v>0.68399999999999372</c:v>
                </c:pt>
                <c:pt idx="456">
                  <c:v>0.68549999999999367</c:v>
                </c:pt>
                <c:pt idx="457">
                  <c:v>0.68699999999999362</c:v>
                </c:pt>
                <c:pt idx="458">
                  <c:v>0.68849999999999356</c:v>
                </c:pt>
                <c:pt idx="459">
                  <c:v>0.68999999999999351</c:v>
                </c:pt>
                <c:pt idx="460">
                  <c:v>0.69149999999999345</c:v>
                </c:pt>
                <c:pt idx="461">
                  <c:v>0.6929999999999934</c:v>
                </c:pt>
                <c:pt idx="462">
                  <c:v>0.69449999999999334</c:v>
                </c:pt>
                <c:pt idx="463">
                  <c:v>0.69599999999999329</c:v>
                </c:pt>
                <c:pt idx="464">
                  <c:v>0.69749999999999324</c:v>
                </c:pt>
                <c:pt idx="465">
                  <c:v>0.69899999999999318</c:v>
                </c:pt>
                <c:pt idx="466">
                  <c:v>0.70049999999999313</c:v>
                </c:pt>
                <c:pt idx="467">
                  <c:v>0.70199999999999307</c:v>
                </c:pt>
                <c:pt idx="468">
                  <c:v>0.70349999999999302</c:v>
                </c:pt>
                <c:pt idx="469">
                  <c:v>0.70499999999999297</c:v>
                </c:pt>
                <c:pt idx="470">
                  <c:v>0.70649999999999291</c:v>
                </c:pt>
                <c:pt idx="471">
                  <c:v>0.70799999999999286</c:v>
                </c:pt>
                <c:pt idx="472">
                  <c:v>0.7094999999999928</c:v>
                </c:pt>
                <c:pt idx="473">
                  <c:v>0.71099999999999275</c:v>
                </c:pt>
                <c:pt idx="474">
                  <c:v>0.71249999999999269</c:v>
                </c:pt>
                <c:pt idx="475">
                  <c:v>0.71399999999999264</c:v>
                </c:pt>
                <c:pt idx="476">
                  <c:v>0.71549999999999259</c:v>
                </c:pt>
                <c:pt idx="477">
                  <c:v>0.71699999999999253</c:v>
                </c:pt>
                <c:pt idx="478">
                  <c:v>0.71849999999999248</c:v>
                </c:pt>
                <c:pt idx="479">
                  <c:v>0.71999999999999242</c:v>
                </c:pt>
                <c:pt idx="480">
                  <c:v>0.72149999999999237</c:v>
                </c:pt>
                <c:pt idx="481">
                  <c:v>0.72299999999999232</c:v>
                </c:pt>
                <c:pt idx="482">
                  <c:v>0.72449999999999226</c:v>
                </c:pt>
                <c:pt idx="483">
                  <c:v>0.72599999999999221</c:v>
                </c:pt>
                <c:pt idx="484">
                  <c:v>0.72749999999999215</c:v>
                </c:pt>
                <c:pt idx="485">
                  <c:v>0.7289999999999921</c:v>
                </c:pt>
                <c:pt idx="486">
                  <c:v>0.73049999999999204</c:v>
                </c:pt>
                <c:pt idx="487">
                  <c:v>0.73199999999999199</c:v>
                </c:pt>
                <c:pt idx="488">
                  <c:v>0.73349999999999194</c:v>
                </c:pt>
                <c:pt idx="489">
                  <c:v>0.73499999999999188</c:v>
                </c:pt>
                <c:pt idx="490">
                  <c:v>0.73649999999999183</c:v>
                </c:pt>
                <c:pt idx="491">
                  <c:v>0.73799999999999177</c:v>
                </c:pt>
                <c:pt idx="492">
                  <c:v>0.73949999999999172</c:v>
                </c:pt>
                <c:pt idx="493">
                  <c:v>0.74099999999999167</c:v>
                </c:pt>
                <c:pt idx="494">
                  <c:v>0.74249999999999161</c:v>
                </c:pt>
                <c:pt idx="495">
                  <c:v>0.74399999999999156</c:v>
                </c:pt>
                <c:pt idx="496">
                  <c:v>0.7454999999999915</c:v>
                </c:pt>
                <c:pt idx="497">
                  <c:v>0.74699999999999145</c:v>
                </c:pt>
                <c:pt idx="498">
                  <c:v>0.74849999999999139</c:v>
                </c:pt>
                <c:pt idx="499">
                  <c:v>0.74999999999999134</c:v>
                </c:pt>
                <c:pt idx="500">
                  <c:v>0.75149999999999129</c:v>
                </c:pt>
                <c:pt idx="501">
                  <c:v>0.75299999999999123</c:v>
                </c:pt>
                <c:pt idx="502">
                  <c:v>0.75449999999999118</c:v>
                </c:pt>
                <c:pt idx="503">
                  <c:v>0.75599999999999112</c:v>
                </c:pt>
                <c:pt idx="504">
                  <c:v>0.75749999999999107</c:v>
                </c:pt>
                <c:pt idx="505">
                  <c:v>0.75899999999999102</c:v>
                </c:pt>
                <c:pt idx="506">
                  <c:v>0.76049999999999096</c:v>
                </c:pt>
                <c:pt idx="507">
                  <c:v>0.76199999999999091</c:v>
                </c:pt>
                <c:pt idx="508">
                  <c:v>0.76349999999999085</c:v>
                </c:pt>
                <c:pt idx="509">
                  <c:v>0.7649999999999908</c:v>
                </c:pt>
                <c:pt idx="510">
                  <c:v>0.76649999999999074</c:v>
                </c:pt>
                <c:pt idx="511">
                  <c:v>0.76799999999999069</c:v>
                </c:pt>
                <c:pt idx="512">
                  <c:v>0.76949999999999064</c:v>
                </c:pt>
                <c:pt idx="513">
                  <c:v>0.77099999999999058</c:v>
                </c:pt>
                <c:pt idx="514">
                  <c:v>0.77249999999999053</c:v>
                </c:pt>
                <c:pt idx="515">
                  <c:v>0.77399999999999047</c:v>
                </c:pt>
                <c:pt idx="516">
                  <c:v>0.77549999999999042</c:v>
                </c:pt>
                <c:pt idx="517">
                  <c:v>0.77699999999999037</c:v>
                </c:pt>
                <c:pt idx="518">
                  <c:v>0.77849999999999031</c:v>
                </c:pt>
                <c:pt idx="519">
                  <c:v>0.77999999999999026</c:v>
                </c:pt>
                <c:pt idx="520">
                  <c:v>0.7814999999999902</c:v>
                </c:pt>
                <c:pt idx="521">
                  <c:v>0.78299999999999015</c:v>
                </c:pt>
                <c:pt idx="522">
                  <c:v>0.78449999999999009</c:v>
                </c:pt>
                <c:pt idx="523">
                  <c:v>0.78599999999999004</c:v>
                </c:pt>
                <c:pt idx="524">
                  <c:v>0.78749999999998999</c:v>
                </c:pt>
                <c:pt idx="525">
                  <c:v>0.78899999999998993</c:v>
                </c:pt>
                <c:pt idx="526">
                  <c:v>0.79049999999998988</c:v>
                </c:pt>
                <c:pt idx="527">
                  <c:v>0.79199999999998982</c:v>
                </c:pt>
                <c:pt idx="528">
                  <c:v>0.79349999999998977</c:v>
                </c:pt>
                <c:pt idx="529">
                  <c:v>0.79499999999998971</c:v>
                </c:pt>
                <c:pt idx="530">
                  <c:v>0.79649999999998966</c:v>
                </c:pt>
                <c:pt idx="531">
                  <c:v>0.79799999999998961</c:v>
                </c:pt>
                <c:pt idx="532">
                  <c:v>0.79949999999998955</c:v>
                </c:pt>
                <c:pt idx="533">
                  <c:v>0.8009999999999895</c:v>
                </c:pt>
                <c:pt idx="534">
                  <c:v>0.80249999999998944</c:v>
                </c:pt>
                <c:pt idx="535">
                  <c:v>0.80399999999998939</c:v>
                </c:pt>
                <c:pt idx="536">
                  <c:v>0.80549999999998934</c:v>
                </c:pt>
                <c:pt idx="537">
                  <c:v>0.80699999999998928</c:v>
                </c:pt>
                <c:pt idx="538">
                  <c:v>0.80849999999998923</c:v>
                </c:pt>
                <c:pt idx="539">
                  <c:v>0.80999999999998917</c:v>
                </c:pt>
                <c:pt idx="540">
                  <c:v>0.81149999999998912</c:v>
                </c:pt>
                <c:pt idx="541">
                  <c:v>0.81299999999998906</c:v>
                </c:pt>
                <c:pt idx="542">
                  <c:v>0.81449999999998901</c:v>
                </c:pt>
                <c:pt idx="543">
                  <c:v>0.81599999999998896</c:v>
                </c:pt>
                <c:pt idx="544">
                  <c:v>0.8174999999999889</c:v>
                </c:pt>
                <c:pt idx="545">
                  <c:v>0.81899999999998885</c:v>
                </c:pt>
                <c:pt idx="546">
                  <c:v>0.82049999999998879</c:v>
                </c:pt>
                <c:pt idx="547">
                  <c:v>0.82199999999998874</c:v>
                </c:pt>
                <c:pt idx="548">
                  <c:v>0.82349999999998869</c:v>
                </c:pt>
                <c:pt idx="549">
                  <c:v>0.82499999999998863</c:v>
                </c:pt>
                <c:pt idx="550">
                  <c:v>0.82649999999998858</c:v>
                </c:pt>
                <c:pt idx="551">
                  <c:v>0.82799999999998852</c:v>
                </c:pt>
                <c:pt idx="552">
                  <c:v>0.82949999999998847</c:v>
                </c:pt>
                <c:pt idx="553">
                  <c:v>0.83099999999998841</c:v>
                </c:pt>
                <c:pt idx="554">
                  <c:v>0.83249999999998836</c:v>
                </c:pt>
                <c:pt idx="555">
                  <c:v>0.83399999999998831</c:v>
                </c:pt>
                <c:pt idx="556">
                  <c:v>0.83549999999998825</c:v>
                </c:pt>
                <c:pt idx="557">
                  <c:v>0.8369999999999882</c:v>
                </c:pt>
                <c:pt idx="558">
                  <c:v>0.83849999999998814</c:v>
                </c:pt>
                <c:pt idx="559">
                  <c:v>0.83999999999998809</c:v>
                </c:pt>
                <c:pt idx="560">
                  <c:v>0.84149999999998804</c:v>
                </c:pt>
                <c:pt idx="561">
                  <c:v>0.84299999999998798</c:v>
                </c:pt>
                <c:pt idx="562">
                  <c:v>0.84449999999998793</c:v>
                </c:pt>
                <c:pt idx="563">
                  <c:v>0.84599999999998787</c:v>
                </c:pt>
                <c:pt idx="564">
                  <c:v>0.84749999999998782</c:v>
                </c:pt>
                <c:pt idx="565">
                  <c:v>0.84899999999998776</c:v>
                </c:pt>
                <c:pt idx="566">
                  <c:v>0.85049999999998771</c:v>
                </c:pt>
                <c:pt idx="567">
                  <c:v>0.85199999999998766</c:v>
                </c:pt>
                <c:pt idx="568">
                  <c:v>0.8534999999999876</c:v>
                </c:pt>
                <c:pt idx="569">
                  <c:v>0.85499999999998755</c:v>
                </c:pt>
                <c:pt idx="570">
                  <c:v>0.85649999999998749</c:v>
                </c:pt>
                <c:pt idx="571">
                  <c:v>0.85799999999998744</c:v>
                </c:pt>
                <c:pt idx="572">
                  <c:v>0.85949999999998739</c:v>
                </c:pt>
                <c:pt idx="573">
                  <c:v>0.86099999999998733</c:v>
                </c:pt>
                <c:pt idx="574">
                  <c:v>0.86249999999998728</c:v>
                </c:pt>
                <c:pt idx="575">
                  <c:v>0.86399999999998722</c:v>
                </c:pt>
                <c:pt idx="576">
                  <c:v>0.86549999999998717</c:v>
                </c:pt>
                <c:pt idx="577">
                  <c:v>0.86699999999998711</c:v>
                </c:pt>
                <c:pt idx="578">
                  <c:v>0.86849999999998706</c:v>
                </c:pt>
                <c:pt idx="579">
                  <c:v>0.86999999999998701</c:v>
                </c:pt>
                <c:pt idx="580">
                  <c:v>0.87149999999998695</c:v>
                </c:pt>
                <c:pt idx="581">
                  <c:v>0.8729999999999869</c:v>
                </c:pt>
                <c:pt idx="582">
                  <c:v>0.87449999999998684</c:v>
                </c:pt>
                <c:pt idx="583">
                  <c:v>0.87599999999998679</c:v>
                </c:pt>
                <c:pt idx="584">
                  <c:v>0.87749999999998674</c:v>
                </c:pt>
                <c:pt idx="585">
                  <c:v>0.87899999999998668</c:v>
                </c:pt>
                <c:pt idx="586">
                  <c:v>0.88049999999998663</c:v>
                </c:pt>
                <c:pt idx="587">
                  <c:v>0.88199999999998657</c:v>
                </c:pt>
                <c:pt idx="588">
                  <c:v>0.88349999999998652</c:v>
                </c:pt>
                <c:pt idx="589">
                  <c:v>0.88499999999998646</c:v>
                </c:pt>
                <c:pt idx="590">
                  <c:v>0.88649999999998641</c:v>
                </c:pt>
                <c:pt idx="591">
                  <c:v>0.88799999999998636</c:v>
                </c:pt>
                <c:pt idx="592">
                  <c:v>0.8894999999999863</c:v>
                </c:pt>
                <c:pt idx="593">
                  <c:v>0.89099999999998625</c:v>
                </c:pt>
                <c:pt idx="594">
                  <c:v>0.89249999999998619</c:v>
                </c:pt>
                <c:pt idx="595">
                  <c:v>0.89399999999998614</c:v>
                </c:pt>
                <c:pt idx="596">
                  <c:v>0.89549999999998608</c:v>
                </c:pt>
                <c:pt idx="597">
                  <c:v>0.89699999999998603</c:v>
                </c:pt>
                <c:pt idx="598">
                  <c:v>0.89849999999998598</c:v>
                </c:pt>
                <c:pt idx="599">
                  <c:v>0.89999999999998592</c:v>
                </c:pt>
                <c:pt idx="600">
                  <c:v>0.90149999999998587</c:v>
                </c:pt>
                <c:pt idx="601">
                  <c:v>0.90299999999998581</c:v>
                </c:pt>
                <c:pt idx="602">
                  <c:v>0.90449999999998576</c:v>
                </c:pt>
                <c:pt idx="603">
                  <c:v>0.90599999999998571</c:v>
                </c:pt>
                <c:pt idx="604">
                  <c:v>0.90749999999998565</c:v>
                </c:pt>
                <c:pt idx="605">
                  <c:v>0.9089999999999856</c:v>
                </c:pt>
                <c:pt idx="606">
                  <c:v>0.91049999999998554</c:v>
                </c:pt>
                <c:pt idx="607">
                  <c:v>0.91199999999998549</c:v>
                </c:pt>
                <c:pt idx="608">
                  <c:v>0.91349999999998543</c:v>
                </c:pt>
                <c:pt idx="609">
                  <c:v>0.91499999999998538</c:v>
                </c:pt>
                <c:pt idx="610">
                  <c:v>0.91649999999998533</c:v>
                </c:pt>
                <c:pt idx="611">
                  <c:v>0.91799999999998527</c:v>
                </c:pt>
                <c:pt idx="612">
                  <c:v>0.91949999999998522</c:v>
                </c:pt>
                <c:pt idx="613">
                  <c:v>0.92099999999998516</c:v>
                </c:pt>
                <c:pt idx="614">
                  <c:v>0.92249999999998511</c:v>
                </c:pt>
                <c:pt idx="615">
                  <c:v>0.92399999999998506</c:v>
                </c:pt>
                <c:pt idx="616">
                  <c:v>0.925499999999985</c:v>
                </c:pt>
                <c:pt idx="617">
                  <c:v>0.92699999999998495</c:v>
                </c:pt>
                <c:pt idx="618">
                  <c:v>0.92849999999998489</c:v>
                </c:pt>
                <c:pt idx="619">
                  <c:v>0.92999999999998484</c:v>
                </c:pt>
                <c:pt idx="620">
                  <c:v>0.93149999999998478</c:v>
                </c:pt>
                <c:pt idx="621">
                  <c:v>0.93299999999998473</c:v>
                </c:pt>
                <c:pt idx="622">
                  <c:v>0.93449999999998468</c:v>
                </c:pt>
                <c:pt idx="623">
                  <c:v>0.93599999999998462</c:v>
                </c:pt>
                <c:pt idx="624">
                  <c:v>0.93749999999998457</c:v>
                </c:pt>
                <c:pt idx="625">
                  <c:v>0.93899999999998451</c:v>
                </c:pt>
                <c:pt idx="626">
                  <c:v>0.94049999999998446</c:v>
                </c:pt>
                <c:pt idx="627">
                  <c:v>0.94199999999998441</c:v>
                </c:pt>
                <c:pt idx="628">
                  <c:v>0.94349999999998435</c:v>
                </c:pt>
                <c:pt idx="629">
                  <c:v>0.9449999999999843</c:v>
                </c:pt>
                <c:pt idx="630">
                  <c:v>0.94649999999998424</c:v>
                </c:pt>
                <c:pt idx="631">
                  <c:v>0.94799999999998419</c:v>
                </c:pt>
                <c:pt idx="632">
                  <c:v>0.94949999999998413</c:v>
                </c:pt>
                <c:pt idx="633">
                  <c:v>0.95099999999998408</c:v>
                </c:pt>
                <c:pt idx="634">
                  <c:v>0.95249999999998403</c:v>
                </c:pt>
                <c:pt idx="635">
                  <c:v>0.95399999999998397</c:v>
                </c:pt>
                <c:pt idx="636">
                  <c:v>0.95549999999998392</c:v>
                </c:pt>
                <c:pt idx="637">
                  <c:v>0.95699999999998386</c:v>
                </c:pt>
                <c:pt idx="638">
                  <c:v>0.95849999999998381</c:v>
                </c:pt>
                <c:pt idx="639">
                  <c:v>0.95999999999998376</c:v>
                </c:pt>
                <c:pt idx="640">
                  <c:v>0.9614999999999837</c:v>
                </c:pt>
                <c:pt idx="641">
                  <c:v>0.96299999999998365</c:v>
                </c:pt>
                <c:pt idx="642">
                  <c:v>0.96449999999998359</c:v>
                </c:pt>
                <c:pt idx="643">
                  <c:v>0.96599999999998354</c:v>
                </c:pt>
                <c:pt idx="644">
                  <c:v>0.96749999999998348</c:v>
                </c:pt>
                <c:pt idx="645">
                  <c:v>0.96899999999998343</c:v>
                </c:pt>
                <c:pt idx="646">
                  <c:v>0.97049999999998338</c:v>
                </c:pt>
                <c:pt idx="647">
                  <c:v>0.97199999999998332</c:v>
                </c:pt>
                <c:pt idx="648">
                  <c:v>0.97349999999998327</c:v>
                </c:pt>
                <c:pt idx="649">
                  <c:v>0.97499999999998321</c:v>
                </c:pt>
                <c:pt idx="650">
                  <c:v>0.97649999999998316</c:v>
                </c:pt>
                <c:pt idx="651">
                  <c:v>0.97799999999998311</c:v>
                </c:pt>
                <c:pt idx="652">
                  <c:v>0.97949999999998305</c:v>
                </c:pt>
                <c:pt idx="653">
                  <c:v>0.980999999999983</c:v>
                </c:pt>
                <c:pt idx="654">
                  <c:v>0.98249999999998294</c:v>
                </c:pt>
                <c:pt idx="655">
                  <c:v>0.98399999999998289</c:v>
                </c:pt>
                <c:pt idx="656">
                  <c:v>0.98549999999998283</c:v>
                </c:pt>
                <c:pt idx="657">
                  <c:v>0.98699999999998278</c:v>
                </c:pt>
                <c:pt idx="658">
                  <c:v>0.98849999999998273</c:v>
                </c:pt>
                <c:pt idx="659">
                  <c:v>0.98999999999998267</c:v>
                </c:pt>
                <c:pt idx="660">
                  <c:v>0.99149999999998262</c:v>
                </c:pt>
                <c:pt idx="661">
                  <c:v>0.99299999999998256</c:v>
                </c:pt>
                <c:pt idx="662">
                  <c:v>0.99449999999998251</c:v>
                </c:pt>
                <c:pt idx="663">
                  <c:v>0.99599999999998245</c:v>
                </c:pt>
                <c:pt idx="664">
                  <c:v>0.9974999999999824</c:v>
                </c:pt>
                <c:pt idx="665">
                  <c:v>0.99899999999998235</c:v>
                </c:pt>
                <c:pt idx="666">
                  <c:v>1.0004999999999824</c:v>
                </c:pt>
                <c:pt idx="667">
                  <c:v>1.0019999999999825</c:v>
                </c:pt>
                <c:pt idx="668">
                  <c:v>1.0034999999999825</c:v>
                </c:pt>
                <c:pt idx="669">
                  <c:v>1.0049999999999826</c:v>
                </c:pt>
                <c:pt idx="670">
                  <c:v>1.0064999999999826</c:v>
                </c:pt>
                <c:pt idx="671">
                  <c:v>1.0079999999999827</c:v>
                </c:pt>
                <c:pt idx="672">
                  <c:v>1.0094999999999827</c:v>
                </c:pt>
                <c:pt idx="673">
                  <c:v>1.0109999999999828</c:v>
                </c:pt>
                <c:pt idx="674">
                  <c:v>1.0124999999999829</c:v>
                </c:pt>
                <c:pt idx="675">
                  <c:v>1.0139999999999829</c:v>
                </c:pt>
                <c:pt idx="676">
                  <c:v>1.015499999999983</c:v>
                </c:pt>
                <c:pt idx="677">
                  <c:v>1.016999999999983</c:v>
                </c:pt>
                <c:pt idx="678">
                  <c:v>1.0184999999999831</c:v>
                </c:pt>
                <c:pt idx="679">
                  <c:v>1.0199999999999831</c:v>
                </c:pt>
                <c:pt idx="680">
                  <c:v>1.0214999999999832</c:v>
                </c:pt>
                <c:pt idx="681">
                  <c:v>1.0229999999999833</c:v>
                </c:pt>
                <c:pt idx="682">
                  <c:v>1.0244999999999833</c:v>
                </c:pt>
                <c:pt idx="683">
                  <c:v>1.0259999999999834</c:v>
                </c:pt>
                <c:pt idx="684">
                  <c:v>1.0274999999999834</c:v>
                </c:pt>
                <c:pt idx="685">
                  <c:v>1.0289999999999835</c:v>
                </c:pt>
                <c:pt idx="686">
                  <c:v>1.0304999999999835</c:v>
                </c:pt>
                <c:pt idx="687">
                  <c:v>1.0319999999999836</c:v>
                </c:pt>
                <c:pt idx="688">
                  <c:v>1.0334999999999837</c:v>
                </c:pt>
                <c:pt idx="689">
                  <c:v>1.0349999999999837</c:v>
                </c:pt>
                <c:pt idx="690">
                  <c:v>1.0364999999999838</c:v>
                </c:pt>
                <c:pt idx="691">
                  <c:v>1.0379999999999838</c:v>
                </c:pt>
                <c:pt idx="692">
                  <c:v>1.0394999999999839</c:v>
                </c:pt>
                <c:pt idx="693">
                  <c:v>1.0409999999999839</c:v>
                </c:pt>
                <c:pt idx="694">
                  <c:v>1.042499999999984</c:v>
                </c:pt>
                <c:pt idx="695">
                  <c:v>1.0439999999999841</c:v>
                </c:pt>
                <c:pt idx="696">
                  <c:v>1.0454999999999841</c:v>
                </c:pt>
                <c:pt idx="697">
                  <c:v>1.0469999999999842</c:v>
                </c:pt>
                <c:pt idx="698">
                  <c:v>1.0484999999999842</c:v>
                </c:pt>
                <c:pt idx="699">
                  <c:v>1.0499999999999843</c:v>
                </c:pt>
                <c:pt idx="700">
                  <c:v>1.0514999999999843</c:v>
                </c:pt>
                <c:pt idx="701">
                  <c:v>1.0529999999999844</c:v>
                </c:pt>
                <c:pt idx="702">
                  <c:v>1.0544999999999844</c:v>
                </c:pt>
                <c:pt idx="703">
                  <c:v>1.0559999999999845</c:v>
                </c:pt>
                <c:pt idx="704">
                  <c:v>1.0574999999999846</c:v>
                </c:pt>
                <c:pt idx="705">
                  <c:v>1.0589999999999846</c:v>
                </c:pt>
                <c:pt idx="706">
                  <c:v>1.0604999999999847</c:v>
                </c:pt>
                <c:pt idx="707">
                  <c:v>1.0619999999999847</c:v>
                </c:pt>
                <c:pt idx="708">
                  <c:v>1.0634999999999848</c:v>
                </c:pt>
                <c:pt idx="709">
                  <c:v>1.0649999999999848</c:v>
                </c:pt>
                <c:pt idx="710">
                  <c:v>1.0664999999999849</c:v>
                </c:pt>
                <c:pt idx="711">
                  <c:v>1.067999999999985</c:v>
                </c:pt>
                <c:pt idx="712">
                  <c:v>1.069499999999985</c:v>
                </c:pt>
                <c:pt idx="713">
                  <c:v>1.0709999999999851</c:v>
                </c:pt>
                <c:pt idx="714">
                  <c:v>1.0724999999999851</c:v>
                </c:pt>
                <c:pt idx="715">
                  <c:v>1.0739999999999852</c:v>
                </c:pt>
                <c:pt idx="716">
                  <c:v>1.0754999999999852</c:v>
                </c:pt>
                <c:pt idx="717">
                  <c:v>1.0769999999999853</c:v>
                </c:pt>
                <c:pt idx="718">
                  <c:v>1.0784999999999854</c:v>
                </c:pt>
                <c:pt idx="719">
                  <c:v>1.0799999999999854</c:v>
                </c:pt>
                <c:pt idx="720">
                  <c:v>1.0814999999999855</c:v>
                </c:pt>
                <c:pt idx="721">
                  <c:v>1.0829999999999855</c:v>
                </c:pt>
                <c:pt idx="722">
                  <c:v>1.0844999999999856</c:v>
                </c:pt>
                <c:pt idx="723">
                  <c:v>1.0859999999999856</c:v>
                </c:pt>
                <c:pt idx="724">
                  <c:v>1.0874999999999857</c:v>
                </c:pt>
                <c:pt idx="725">
                  <c:v>1.0889999999999858</c:v>
                </c:pt>
                <c:pt idx="726">
                  <c:v>1.0904999999999858</c:v>
                </c:pt>
                <c:pt idx="727">
                  <c:v>1.0919999999999859</c:v>
                </c:pt>
                <c:pt idx="728">
                  <c:v>1.0934999999999859</c:v>
                </c:pt>
                <c:pt idx="729">
                  <c:v>1.094999999999986</c:v>
                </c:pt>
                <c:pt idx="730">
                  <c:v>1.096499999999986</c:v>
                </c:pt>
                <c:pt idx="731">
                  <c:v>1.0979999999999861</c:v>
                </c:pt>
                <c:pt idx="732">
                  <c:v>1.0994999999999862</c:v>
                </c:pt>
                <c:pt idx="733">
                  <c:v>1.1009999999999862</c:v>
                </c:pt>
                <c:pt idx="734">
                  <c:v>1.1024999999999863</c:v>
                </c:pt>
                <c:pt idx="735">
                  <c:v>1.1039999999999863</c:v>
                </c:pt>
                <c:pt idx="736">
                  <c:v>1.1054999999999864</c:v>
                </c:pt>
                <c:pt idx="737">
                  <c:v>1.1069999999999864</c:v>
                </c:pt>
                <c:pt idx="738">
                  <c:v>1.1084999999999865</c:v>
                </c:pt>
                <c:pt idx="739">
                  <c:v>1.1099999999999866</c:v>
                </c:pt>
                <c:pt idx="740">
                  <c:v>1.1114999999999866</c:v>
                </c:pt>
                <c:pt idx="741">
                  <c:v>1.1129999999999867</c:v>
                </c:pt>
                <c:pt idx="742">
                  <c:v>1.1144999999999867</c:v>
                </c:pt>
                <c:pt idx="743">
                  <c:v>1.1159999999999868</c:v>
                </c:pt>
                <c:pt idx="744">
                  <c:v>1.1174999999999868</c:v>
                </c:pt>
                <c:pt idx="745">
                  <c:v>1.1189999999999869</c:v>
                </c:pt>
                <c:pt idx="746">
                  <c:v>1.120499999999987</c:v>
                </c:pt>
                <c:pt idx="747">
                  <c:v>1.121999999999987</c:v>
                </c:pt>
                <c:pt idx="748">
                  <c:v>1.1234999999999871</c:v>
                </c:pt>
                <c:pt idx="749">
                  <c:v>1.1249999999999871</c:v>
                </c:pt>
                <c:pt idx="750">
                  <c:v>1.1264999999999872</c:v>
                </c:pt>
                <c:pt idx="751">
                  <c:v>1.1279999999999872</c:v>
                </c:pt>
                <c:pt idx="752">
                  <c:v>1.1294999999999873</c:v>
                </c:pt>
                <c:pt idx="753">
                  <c:v>1.1309999999999873</c:v>
                </c:pt>
                <c:pt idx="754">
                  <c:v>1.1324999999999874</c:v>
                </c:pt>
                <c:pt idx="755">
                  <c:v>1.1339999999999875</c:v>
                </c:pt>
                <c:pt idx="756">
                  <c:v>1.1354999999999875</c:v>
                </c:pt>
                <c:pt idx="757">
                  <c:v>1.1369999999999876</c:v>
                </c:pt>
                <c:pt idx="758">
                  <c:v>1.1384999999999876</c:v>
                </c:pt>
                <c:pt idx="759">
                  <c:v>1.1399999999999877</c:v>
                </c:pt>
                <c:pt idx="760">
                  <c:v>1.1414999999999877</c:v>
                </c:pt>
                <c:pt idx="761">
                  <c:v>1.1429999999999878</c:v>
                </c:pt>
                <c:pt idx="762">
                  <c:v>1.1444999999999879</c:v>
                </c:pt>
                <c:pt idx="763">
                  <c:v>1.1459999999999879</c:v>
                </c:pt>
                <c:pt idx="764">
                  <c:v>1.147499999999988</c:v>
                </c:pt>
                <c:pt idx="765">
                  <c:v>1.148999999999988</c:v>
                </c:pt>
                <c:pt idx="766">
                  <c:v>1.1504999999999881</c:v>
                </c:pt>
                <c:pt idx="767">
                  <c:v>1.1519999999999881</c:v>
                </c:pt>
                <c:pt idx="768">
                  <c:v>1.1534999999999882</c:v>
                </c:pt>
                <c:pt idx="769">
                  <c:v>1.1549999999999883</c:v>
                </c:pt>
                <c:pt idx="770">
                  <c:v>1.1564999999999883</c:v>
                </c:pt>
                <c:pt idx="771">
                  <c:v>1.1579999999999884</c:v>
                </c:pt>
                <c:pt idx="772">
                  <c:v>1.1594999999999884</c:v>
                </c:pt>
                <c:pt idx="773">
                  <c:v>1.1609999999999885</c:v>
                </c:pt>
                <c:pt idx="774">
                  <c:v>1.1624999999999885</c:v>
                </c:pt>
                <c:pt idx="775">
                  <c:v>1.1639999999999886</c:v>
                </c:pt>
                <c:pt idx="776">
                  <c:v>1.1654999999999887</c:v>
                </c:pt>
                <c:pt idx="777">
                  <c:v>1.1669999999999887</c:v>
                </c:pt>
                <c:pt idx="778">
                  <c:v>1.1684999999999888</c:v>
                </c:pt>
                <c:pt idx="779">
                  <c:v>1.1699999999999888</c:v>
                </c:pt>
                <c:pt idx="780">
                  <c:v>1.1714999999999889</c:v>
                </c:pt>
                <c:pt idx="781">
                  <c:v>1.1729999999999889</c:v>
                </c:pt>
                <c:pt idx="782">
                  <c:v>1.174499999999989</c:v>
                </c:pt>
                <c:pt idx="783">
                  <c:v>1.1759999999999891</c:v>
                </c:pt>
                <c:pt idx="784">
                  <c:v>1.1774999999999891</c:v>
                </c:pt>
                <c:pt idx="785">
                  <c:v>1.1789999999999892</c:v>
                </c:pt>
                <c:pt idx="786">
                  <c:v>1.1804999999999892</c:v>
                </c:pt>
                <c:pt idx="787">
                  <c:v>1.1819999999999893</c:v>
                </c:pt>
                <c:pt idx="788">
                  <c:v>1.1834999999999893</c:v>
                </c:pt>
                <c:pt idx="789">
                  <c:v>1.1849999999999894</c:v>
                </c:pt>
                <c:pt idx="790">
                  <c:v>1.1864999999999895</c:v>
                </c:pt>
                <c:pt idx="791">
                  <c:v>1.1879999999999895</c:v>
                </c:pt>
                <c:pt idx="792">
                  <c:v>1.1894999999999896</c:v>
                </c:pt>
                <c:pt idx="793">
                  <c:v>1.1909999999999896</c:v>
                </c:pt>
                <c:pt idx="794">
                  <c:v>1.1924999999999897</c:v>
                </c:pt>
                <c:pt idx="795">
                  <c:v>1.1939999999999897</c:v>
                </c:pt>
                <c:pt idx="796">
                  <c:v>1.1954999999999898</c:v>
                </c:pt>
                <c:pt idx="797">
                  <c:v>1.1969999999999898</c:v>
                </c:pt>
                <c:pt idx="798">
                  <c:v>1.1984999999999899</c:v>
                </c:pt>
                <c:pt idx="799">
                  <c:v>1.19999999999999</c:v>
                </c:pt>
                <c:pt idx="800">
                  <c:v>1.20149999999999</c:v>
                </c:pt>
                <c:pt idx="801">
                  <c:v>1.2029999999999901</c:v>
                </c:pt>
                <c:pt idx="802">
                  <c:v>1.2044999999999901</c:v>
                </c:pt>
                <c:pt idx="803">
                  <c:v>1.2059999999999902</c:v>
                </c:pt>
                <c:pt idx="804">
                  <c:v>1.2074999999999902</c:v>
                </c:pt>
                <c:pt idx="805">
                  <c:v>1.2089999999999903</c:v>
                </c:pt>
                <c:pt idx="806">
                  <c:v>1.2104999999999904</c:v>
                </c:pt>
                <c:pt idx="807">
                  <c:v>1.2119999999999904</c:v>
                </c:pt>
                <c:pt idx="808">
                  <c:v>1.2134999999999905</c:v>
                </c:pt>
                <c:pt idx="809">
                  <c:v>1.2149999999999905</c:v>
                </c:pt>
                <c:pt idx="810">
                  <c:v>1.2164999999999906</c:v>
                </c:pt>
                <c:pt idx="811">
                  <c:v>1.2179999999999906</c:v>
                </c:pt>
                <c:pt idx="812">
                  <c:v>1.2194999999999907</c:v>
                </c:pt>
                <c:pt idx="813">
                  <c:v>1.2209999999999908</c:v>
                </c:pt>
                <c:pt idx="814">
                  <c:v>1.2224999999999908</c:v>
                </c:pt>
                <c:pt idx="815">
                  <c:v>1.2239999999999909</c:v>
                </c:pt>
                <c:pt idx="816">
                  <c:v>1.2254999999999909</c:v>
                </c:pt>
                <c:pt idx="817">
                  <c:v>1.226999999999991</c:v>
                </c:pt>
                <c:pt idx="818">
                  <c:v>1.228499999999991</c:v>
                </c:pt>
                <c:pt idx="819">
                  <c:v>1.2299999999999911</c:v>
                </c:pt>
                <c:pt idx="820">
                  <c:v>1.2314999999999912</c:v>
                </c:pt>
                <c:pt idx="821">
                  <c:v>1.2329999999999912</c:v>
                </c:pt>
                <c:pt idx="822">
                  <c:v>1.2344999999999913</c:v>
                </c:pt>
                <c:pt idx="823">
                  <c:v>1.2359999999999913</c:v>
                </c:pt>
                <c:pt idx="824">
                  <c:v>1.2374999999999914</c:v>
                </c:pt>
                <c:pt idx="825">
                  <c:v>1.2389999999999914</c:v>
                </c:pt>
                <c:pt idx="826">
                  <c:v>1.2404999999999915</c:v>
                </c:pt>
                <c:pt idx="827">
                  <c:v>1.2419999999999916</c:v>
                </c:pt>
                <c:pt idx="828">
                  <c:v>1.2434999999999916</c:v>
                </c:pt>
                <c:pt idx="829">
                  <c:v>1.2449999999999917</c:v>
                </c:pt>
                <c:pt idx="830">
                  <c:v>1.2464999999999917</c:v>
                </c:pt>
                <c:pt idx="831">
                  <c:v>1.2479999999999918</c:v>
                </c:pt>
                <c:pt idx="832">
                  <c:v>1.2494999999999918</c:v>
                </c:pt>
                <c:pt idx="833">
                  <c:v>1.2509999999999919</c:v>
                </c:pt>
                <c:pt idx="834">
                  <c:v>1.252499999999992</c:v>
                </c:pt>
                <c:pt idx="835">
                  <c:v>1.253999999999992</c:v>
                </c:pt>
                <c:pt idx="836">
                  <c:v>1.2554999999999921</c:v>
                </c:pt>
                <c:pt idx="837">
                  <c:v>1.2569999999999921</c:v>
                </c:pt>
                <c:pt idx="838">
                  <c:v>1.2584999999999922</c:v>
                </c:pt>
                <c:pt idx="839">
                  <c:v>1.2599999999999922</c:v>
                </c:pt>
                <c:pt idx="840">
                  <c:v>1.2614999999999923</c:v>
                </c:pt>
                <c:pt idx="841">
                  <c:v>1.2629999999999924</c:v>
                </c:pt>
                <c:pt idx="842">
                  <c:v>1.2644999999999924</c:v>
                </c:pt>
                <c:pt idx="843">
                  <c:v>1.2659999999999925</c:v>
                </c:pt>
                <c:pt idx="844">
                  <c:v>1.2674999999999925</c:v>
                </c:pt>
                <c:pt idx="845">
                  <c:v>1.2689999999999926</c:v>
                </c:pt>
                <c:pt idx="846">
                  <c:v>1.2704999999999926</c:v>
                </c:pt>
                <c:pt idx="847">
                  <c:v>1.2719999999999927</c:v>
                </c:pt>
                <c:pt idx="848">
                  <c:v>1.2734999999999927</c:v>
                </c:pt>
                <c:pt idx="849">
                  <c:v>1.2749999999999928</c:v>
                </c:pt>
                <c:pt idx="850">
                  <c:v>1.2764999999999929</c:v>
                </c:pt>
                <c:pt idx="851">
                  <c:v>1.2779999999999929</c:v>
                </c:pt>
                <c:pt idx="852">
                  <c:v>1.279499999999993</c:v>
                </c:pt>
                <c:pt idx="853">
                  <c:v>1.280999999999993</c:v>
                </c:pt>
                <c:pt idx="854">
                  <c:v>1.2824999999999931</c:v>
                </c:pt>
                <c:pt idx="855">
                  <c:v>1.2839999999999931</c:v>
                </c:pt>
                <c:pt idx="856">
                  <c:v>1.2854999999999932</c:v>
                </c:pt>
                <c:pt idx="857">
                  <c:v>1.2869999999999933</c:v>
                </c:pt>
                <c:pt idx="858">
                  <c:v>1.2884999999999933</c:v>
                </c:pt>
                <c:pt idx="859">
                  <c:v>1.2899999999999934</c:v>
                </c:pt>
                <c:pt idx="860">
                  <c:v>1.2914999999999934</c:v>
                </c:pt>
                <c:pt idx="861">
                  <c:v>1.2929999999999935</c:v>
                </c:pt>
                <c:pt idx="862">
                  <c:v>1.2944999999999935</c:v>
                </c:pt>
                <c:pt idx="863">
                  <c:v>1.2959999999999936</c:v>
                </c:pt>
                <c:pt idx="864">
                  <c:v>1.2974999999999937</c:v>
                </c:pt>
                <c:pt idx="865">
                  <c:v>1.2989999999999937</c:v>
                </c:pt>
                <c:pt idx="866">
                  <c:v>1.3004999999999938</c:v>
                </c:pt>
                <c:pt idx="867">
                  <c:v>1.3019999999999938</c:v>
                </c:pt>
                <c:pt idx="868">
                  <c:v>1.3034999999999939</c:v>
                </c:pt>
                <c:pt idx="869">
                  <c:v>1.3049999999999939</c:v>
                </c:pt>
                <c:pt idx="870">
                  <c:v>1.306499999999994</c:v>
                </c:pt>
                <c:pt idx="871">
                  <c:v>1.3079999999999941</c:v>
                </c:pt>
                <c:pt idx="872">
                  <c:v>1.3094999999999941</c:v>
                </c:pt>
                <c:pt idx="873">
                  <c:v>1.3109999999999942</c:v>
                </c:pt>
                <c:pt idx="874">
                  <c:v>1.3124999999999942</c:v>
                </c:pt>
                <c:pt idx="875">
                  <c:v>1.3139999999999943</c:v>
                </c:pt>
                <c:pt idx="876">
                  <c:v>1.3154999999999943</c:v>
                </c:pt>
                <c:pt idx="877">
                  <c:v>1.3169999999999944</c:v>
                </c:pt>
                <c:pt idx="878">
                  <c:v>1.3184999999999945</c:v>
                </c:pt>
                <c:pt idx="879">
                  <c:v>1.3199999999999945</c:v>
                </c:pt>
                <c:pt idx="880">
                  <c:v>1.3214999999999946</c:v>
                </c:pt>
                <c:pt idx="881">
                  <c:v>1.3229999999999946</c:v>
                </c:pt>
                <c:pt idx="882">
                  <c:v>1.3244999999999947</c:v>
                </c:pt>
                <c:pt idx="883">
                  <c:v>1.3259999999999947</c:v>
                </c:pt>
                <c:pt idx="884">
                  <c:v>1.3274999999999948</c:v>
                </c:pt>
                <c:pt idx="885">
                  <c:v>1.3289999999999949</c:v>
                </c:pt>
                <c:pt idx="886">
                  <c:v>1.3304999999999949</c:v>
                </c:pt>
                <c:pt idx="887">
                  <c:v>1.331999999999995</c:v>
                </c:pt>
                <c:pt idx="888">
                  <c:v>1.333499999999995</c:v>
                </c:pt>
                <c:pt idx="889">
                  <c:v>1.3349999999999951</c:v>
                </c:pt>
                <c:pt idx="890">
                  <c:v>1.3364999999999951</c:v>
                </c:pt>
                <c:pt idx="891">
                  <c:v>1.3379999999999952</c:v>
                </c:pt>
                <c:pt idx="892">
                  <c:v>1.3394999999999953</c:v>
                </c:pt>
                <c:pt idx="893">
                  <c:v>1.3409999999999953</c:v>
                </c:pt>
                <c:pt idx="894">
                  <c:v>1.3424999999999954</c:v>
                </c:pt>
                <c:pt idx="895">
                  <c:v>1.3439999999999954</c:v>
                </c:pt>
                <c:pt idx="896">
                  <c:v>1.3454999999999955</c:v>
                </c:pt>
                <c:pt idx="897">
                  <c:v>1.3469999999999955</c:v>
                </c:pt>
                <c:pt idx="898">
                  <c:v>1.3484999999999956</c:v>
                </c:pt>
                <c:pt idx="899">
                  <c:v>1.3499999999999956</c:v>
                </c:pt>
                <c:pt idx="900">
                  <c:v>1.3514999999999957</c:v>
                </c:pt>
                <c:pt idx="901">
                  <c:v>1.3529999999999958</c:v>
                </c:pt>
                <c:pt idx="902">
                  <c:v>1.3544999999999958</c:v>
                </c:pt>
                <c:pt idx="903">
                  <c:v>1.3559999999999959</c:v>
                </c:pt>
                <c:pt idx="904">
                  <c:v>1.3574999999999959</c:v>
                </c:pt>
                <c:pt idx="905">
                  <c:v>1.358999999999996</c:v>
                </c:pt>
                <c:pt idx="906">
                  <c:v>1.360499999999996</c:v>
                </c:pt>
                <c:pt idx="907">
                  <c:v>1.3619999999999961</c:v>
                </c:pt>
                <c:pt idx="908">
                  <c:v>1.3634999999999962</c:v>
                </c:pt>
                <c:pt idx="909">
                  <c:v>1.3649999999999962</c:v>
                </c:pt>
                <c:pt idx="910">
                  <c:v>1.3664999999999963</c:v>
                </c:pt>
                <c:pt idx="911">
                  <c:v>1.3679999999999963</c:v>
                </c:pt>
                <c:pt idx="912">
                  <c:v>1.3694999999999964</c:v>
                </c:pt>
                <c:pt idx="913">
                  <c:v>1.3709999999999964</c:v>
                </c:pt>
                <c:pt idx="914">
                  <c:v>1.3724999999999965</c:v>
                </c:pt>
                <c:pt idx="915">
                  <c:v>1.3739999999999966</c:v>
                </c:pt>
                <c:pt idx="916">
                  <c:v>1.3754999999999966</c:v>
                </c:pt>
                <c:pt idx="917">
                  <c:v>1.3769999999999967</c:v>
                </c:pt>
                <c:pt idx="918">
                  <c:v>1.3784999999999967</c:v>
                </c:pt>
                <c:pt idx="919">
                  <c:v>1.3799999999999968</c:v>
                </c:pt>
                <c:pt idx="920">
                  <c:v>1.3814999999999968</c:v>
                </c:pt>
                <c:pt idx="921">
                  <c:v>1.3829999999999969</c:v>
                </c:pt>
                <c:pt idx="922">
                  <c:v>1.384499999999997</c:v>
                </c:pt>
                <c:pt idx="923">
                  <c:v>1.385999999999997</c:v>
                </c:pt>
                <c:pt idx="924">
                  <c:v>1.3874999999999971</c:v>
                </c:pt>
                <c:pt idx="925">
                  <c:v>1.3889999999999971</c:v>
                </c:pt>
                <c:pt idx="926">
                  <c:v>1.3904999999999972</c:v>
                </c:pt>
                <c:pt idx="927">
                  <c:v>1.3919999999999972</c:v>
                </c:pt>
                <c:pt idx="928">
                  <c:v>1.3934999999999973</c:v>
                </c:pt>
                <c:pt idx="929">
                  <c:v>1.3949999999999974</c:v>
                </c:pt>
                <c:pt idx="930">
                  <c:v>1.3964999999999974</c:v>
                </c:pt>
                <c:pt idx="931">
                  <c:v>1.3979999999999975</c:v>
                </c:pt>
                <c:pt idx="932">
                  <c:v>1.3994999999999975</c:v>
                </c:pt>
                <c:pt idx="933">
                  <c:v>1.4009999999999976</c:v>
                </c:pt>
                <c:pt idx="934">
                  <c:v>1.4024999999999976</c:v>
                </c:pt>
                <c:pt idx="935">
                  <c:v>1.4039999999999977</c:v>
                </c:pt>
                <c:pt idx="936">
                  <c:v>1.4054999999999978</c:v>
                </c:pt>
                <c:pt idx="937">
                  <c:v>1.4069999999999978</c:v>
                </c:pt>
                <c:pt idx="938">
                  <c:v>1.4084999999999979</c:v>
                </c:pt>
                <c:pt idx="939">
                  <c:v>1.4099999999999979</c:v>
                </c:pt>
                <c:pt idx="940">
                  <c:v>1.411499999999998</c:v>
                </c:pt>
                <c:pt idx="941">
                  <c:v>1.412999999999998</c:v>
                </c:pt>
                <c:pt idx="942">
                  <c:v>1.4144999999999981</c:v>
                </c:pt>
                <c:pt idx="943">
                  <c:v>1.4159999999999981</c:v>
                </c:pt>
                <c:pt idx="944">
                  <c:v>1.4174999999999982</c:v>
                </c:pt>
                <c:pt idx="945">
                  <c:v>1.4189999999999983</c:v>
                </c:pt>
                <c:pt idx="946">
                  <c:v>1.4204999999999983</c:v>
                </c:pt>
                <c:pt idx="947">
                  <c:v>1.4219999999999984</c:v>
                </c:pt>
                <c:pt idx="948">
                  <c:v>1.4234999999999984</c:v>
                </c:pt>
                <c:pt idx="949">
                  <c:v>1.4249999999999985</c:v>
                </c:pt>
                <c:pt idx="950">
                  <c:v>1.4264999999999985</c:v>
                </c:pt>
                <c:pt idx="951">
                  <c:v>1.4279999999999986</c:v>
                </c:pt>
                <c:pt idx="952">
                  <c:v>1.4294999999999987</c:v>
                </c:pt>
                <c:pt idx="953">
                  <c:v>1.4309999999999987</c:v>
                </c:pt>
                <c:pt idx="954">
                  <c:v>1.4324999999999988</c:v>
                </c:pt>
                <c:pt idx="955">
                  <c:v>1.4339999999999988</c:v>
                </c:pt>
                <c:pt idx="956">
                  <c:v>1.4354999999999989</c:v>
                </c:pt>
                <c:pt idx="957">
                  <c:v>1.4369999999999989</c:v>
                </c:pt>
                <c:pt idx="958">
                  <c:v>1.438499999999999</c:v>
                </c:pt>
                <c:pt idx="959">
                  <c:v>1.4399999999999991</c:v>
                </c:pt>
                <c:pt idx="960">
                  <c:v>1.4414999999999991</c:v>
                </c:pt>
                <c:pt idx="961">
                  <c:v>1.4429999999999992</c:v>
                </c:pt>
                <c:pt idx="962">
                  <c:v>1.4444999999999992</c:v>
                </c:pt>
                <c:pt idx="963">
                  <c:v>1.4459999999999993</c:v>
                </c:pt>
                <c:pt idx="964">
                  <c:v>1.4474999999999993</c:v>
                </c:pt>
                <c:pt idx="965">
                  <c:v>1.4489999999999994</c:v>
                </c:pt>
                <c:pt idx="966">
                  <c:v>1.4504999999999995</c:v>
                </c:pt>
                <c:pt idx="967">
                  <c:v>1.4519999999999995</c:v>
                </c:pt>
                <c:pt idx="968">
                  <c:v>1.4534999999999996</c:v>
                </c:pt>
                <c:pt idx="969">
                  <c:v>1.4549999999999996</c:v>
                </c:pt>
                <c:pt idx="970">
                  <c:v>1.4564999999999997</c:v>
                </c:pt>
                <c:pt idx="971">
                  <c:v>1.4579999999999997</c:v>
                </c:pt>
                <c:pt idx="972">
                  <c:v>1.4594999999999998</c:v>
                </c:pt>
                <c:pt idx="973">
                  <c:v>1.4609999999999999</c:v>
                </c:pt>
                <c:pt idx="974">
                  <c:v>1.4624999999999999</c:v>
                </c:pt>
                <c:pt idx="975">
                  <c:v>1.464</c:v>
                </c:pt>
                <c:pt idx="976">
                  <c:v>1.4655</c:v>
                </c:pt>
                <c:pt idx="977">
                  <c:v>1.4670000000000001</c:v>
                </c:pt>
                <c:pt idx="978">
                  <c:v>1.4685000000000001</c:v>
                </c:pt>
                <c:pt idx="979">
                  <c:v>1.4700000000000002</c:v>
                </c:pt>
                <c:pt idx="980">
                  <c:v>1.4715000000000003</c:v>
                </c:pt>
                <c:pt idx="981">
                  <c:v>1.4730000000000003</c:v>
                </c:pt>
                <c:pt idx="982">
                  <c:v>1.4745000000000004</c:v>
                </c:pt>
                <c:pt idx="983">
                  <c:v>1.4760000000000004</c:v>
                </c:pt>
                <c:pt idx="984">
                  <c:v>1.4775000000000005</c:v>
                </c:pt>
                <c:pt idx="985">
                  <c:v>1.4790000000000005</c:v>
                </c:pt>
                <c:pt idx="986">
                  <c:v>1.4805000000000006</c:v>
                </c:pt>
                <c:pt idx="987">
                  <c:v>1.4820000000000007</c:v>
                </c:pt>
                <c:pt idx="988">
                  <c:v>1.4835000000000007</c:v>
                </c:pt>
                <c:pt idx="989">
                  <c:v>1.4850000000000008</c:v>
                </c:pt>
                <c:pt idx="990">
                  <c:v>1.4865000000000008</c:v>
                </c:pt>
                <c:pt idx="991">
                  <c:v>1.4880000000000009</c:v>
                </c:pt>
                <c:pt idx="992">
                  <c:v>1.4895000000000009</c:v>
                </c:pt>
                <c:pt idx="993">
                  <c:v>1.491000000000001</c:v>
                </c:pt>
                <c:pt idx="994">
                  <c:v>1.492500000000001</c:v>
                </c:pt>
                <c:pt idx="995">
                  <c:v>1.4940000000000011</c:v>
                </c:pt>
                <c:pt idx="996">
                  <c:v>1.4955000000000012</c:v>
                </c:pt>
                <c:pt idx="997">
                  <c:v>1.4970000000000012</c:v>
                </c:pt>
                <c:pt idx="998">
                  <c:v>1.4985000000000013</c:v>
                </c:pt>
                <c:pt idx="999">
                  <c:v>1.5000000000000013</c:v>
                </c:pt>
              </c:numCache>
            </c:numRef>
          </c:xVal>
          <c:yVal>
            <c:numRef>
              <c:f>'Precision paired'!$F$93:$F$1092</c:f>
              <c:numCache>
                <c:formatCode>General</c:formatCode>
                <c:ptCount val="1000"/>
                <c:pt idx="0">
                  <c:v>0</c:v>
                </c:pt>
                <c:pt idx="1">
                  <c:v>0</c:v>
                </c:pt>
                <c:pt idx="2">
                  <c:v>0</c:v>
                </c:pt>
                <c:pt idx="3">
                  <c:v>0</c:v>
                </c:pt>
                <c:pt idx="4">
                  <c:v>0</c:v>
                </c:pt>
                <c:pt idx="5">
                  <c:v>0</c:v>
                </c:pt>
                <c:pt idx="6">
                  <c:v>0</c:v>
                </c:pt>
                <c:pt idx="7">
                  <c:v>0</c:v>
                </c:pt>
                <c:pt idx="8">
                  <c:v>0</c:v>
                </c:pt>
                <c:pt idx="9">
                  <c:v>0</c:v>
                </c:pt>
                <c:pt idx="10">
                  <c:v>2.5905203907920317E-14</c:v>
                </c:pt>
                <c:pt idx="11">
                  <c:v>5.1810407815840634E-14</c:v>
                </c:pt>
                <c:pt idx="12">
                  <c:v>1.0362081563168127E-13</c:v>
                </c:pt>
                <c:pt idx="13">
                  <c:v>2.5905203907920321E-13</c:v>
                </c:pt>
                <c:pt idx="14">
                  <c:v>5.9581968988216728E-13</c:v>
                </c:pt>
                <c:pt idx="15">
                  <c:v>1.2693549914880955E-12</c:v>
                </c:pt>
                <c:pt idx="16">
                  <c:v>2.5905203907920318E-12</c:v>
                </c:pt>
                <c:pt idx="17">
                  <c:v>5.1033251698603018E-12</c:v>
                </c:pt>
                <c:pt idx="18">
                  <c:v>9.6885462615621999E-12</c:v>
                </c:pt>
                <c:pt idx="19">
                  <c:v>1.7796875084741259E-11</c:v>
                </c:pt>
                <c:pt idx="20">
                  <c:v>3.1682064379386546E-11</c:v>
                </c:pt>
                <c:pt idx="21">
                  <c:v>5.4919032284791073E-11</c:v>
                </c:pt>
                <c:pt idx="22">
                  <c:v>9.2999682029433942E-11</c:v>
                </c:pt>
                <c:pt idx="23">
                  <c:v>1.5392872162086252E-10</c:v>
                </c:pt>
                <c:pt idx="24">
                  <c:v>2.4957073444890432E-10</c:v>
                </c:pt>
                <c:pt idx="25">
                  <c:v>3.9710087070451056E-10</c:v>
                </c:pt>
                <c:pt idx="26">
                  <c:v>6.2068868563377088E-10</c:v>
                </c:pt>
                <c:pt idx="27">
                  <c:v>9.5445133278341611E-10</c:v>
                </c:pt>
                <c:pt idx="28">
                  <c:v>1.4454844728580456E-9</c:v>
                </c:pt>
                <c:pt idx="29">
                  <c:v>2.1581625375688414E-9</c:v>
                </c:pt>
                <c:pt idx="30">
                  <c:v>3.1795788224542317E-9</c:v>
                </c:pt>
                <c:pt idx="31">
                  <c:v>4.6261772190803185E-9</c:v>
                </c:pt>
                <c:pt idx="32">
                  <c:v>6.6523527427383052E-9</c:v>
                </c:pt>
                <c:pt idx="33">
                  <c:v>9.4607358983959476E-9</c:v>
                </c:pt>
                <c:pt idx="34">
                  <c:v>1.3315041661835871E-8</c:v>
                </c:pt>
                <c:pt idx="35">
                  <c:v>1.8555742128019876E-8</c:v>
                </c:pt>
                <c:pt idx="36">
                  <c:v>2.5619003215145611E-8</c:v>
                </c:pt>
                <c:pt idx="37">
                  <c:v>3.5059351718066026E-8</c:v>
                </c:pt>
                <c:pt idx="38">
                  <c:v>4.7577212540043462E-8</c:v>
                </c:pt>
                <c:pt idx="39">
                  <c:v>6.4051238387226775E-8</c:v>
                </c:pt>
                <c:pt idx="40">
                  <c:v>8.5576830806862348E-8</c:v>
                </c:pt>
                <c:pt idx="41">
                  <c:v>1.1351165563056041E-7</c:v>
                </c:pt>
                <c:pt idx="42">
                  <c:v>1.4952856730587882E-7</c:v>
                </c:pt>
                <c:pt idx="43">
                  <c:v>1.956778591013138E-7</c:v>
                </c:pt>
                <c:pt idx="44">
                  <c:v>2.5445922776275626E-7</c:v>
                </c:pt>
                <c:pt idx="45">
                  <c:v>3.2890524008048294E-7</c:v>
                </c:pt>
                <c:pt idx="46">
                  <c:v>4.2267749300606278E-7</c:v>
                </c:pt>
                <c:pt idx="47">
                  <c:v>5.4017663305335373E-7</c:v>
                </c:pt>
                <c:pt idx="48">
                  <c:v>6.8666867007275779E-7</c:v>
                </c:pt>
                <c:pt idx="49">
                  <c:v>8.6842841436525931E-7</c:v>
                </c:pt>
                <c:pt idx="50">
                  <c:v>1.0929023945098018E-6</c:v>
                </c:pt>
                <c:pt idx="51">
                  <c:v>1.3688932506047042E-6</c:v>
                </c:pt>
                <c:pt idx="52">
                  <c:v>1.7067675199082069E-6</c:v>
                </c:pt>
                <c:pt idx="53">
                  <c:v>2.1186891204412932E-6</c:v>
                </c:pt>
                <c:pt idx="54">
                  <c:v>2.6188810194523646E-6</c:v>
                </c:pt>
                <c:pt idx="55">
                  <c:v>3.2239174959277266E-6</c:v>
                </c:pt>
                <c:pt idx="56">
                  <c:v>3.9530494581422691E-6</c:v>
                </c:pt>
                <c:pt idx="57">
                  <c:v>4.8285661062112215E-6</c:v>
                </c:pt>
                <c:pt idx="58">
                  <c:v>5.8761951674905309E-6</c:v>
                </c:pt>
                <c:pt idx="59">
                  <c:v>7.1255450206919582E-6</c:v>
                </c:pt>
                <c:pt idx="60">
                  <c:v>8.6105919727685887E-6</c:v>
                </c:pt>
                <c:pt idx="61">
                  <c:v>1.037021556404838E-5</c:v>
                </c:pt>
                <c:pt idx="62">
                  <c:v>1.2448785398818291E-5</c:v>
                </c:pt>
                <c:pt idx="63">
                  <c:v>1.4896802739509475E-5</c:v>
                </c:pt>
                <c:pt idx="64">
                  <c:v>1.77716006984537E-5</c:v>
                </c:pt>
                <c:pt idx="65">
                  <c:v>2.1138106109930274E-5</c:v>
                </c:pt>
                <c:pt idx="66">
                  <c:v>2.5069666864663272E-5</c:v>
                </c:pt>
                <c:pt idx="67">
                  <c:v>2.9648948359402752E-5</c:v>
                </c:pt>
                <c:pt idx="68">
                  <c:v>3.4968902766034184E-5</c:v>
                </c:pt>
                <c:pt idx="69">
                  <c:v>4.1133814643323774E-5</c:v>
                </c:pt>
                <c:pt idx="70">
                  <c:v>4.8260426310786635E-5</c:v>
                </c:pt>
                <c:pt idx="71">
                  <c:v>5.6479147310846863E-5</c:v>
                </c:pt>
                <c:pt idx="72">
                  <c:v>6.5935350731146272E-5</c:v>
                </c:pt>
                <c:pt idx="73">
                  <c:v>7.6790760298687616E-5</c:v>
                </c:pt>
                <c:pt idx="74">
                  <c:v>8.9224931432152474E-5</c:v>
                </c:pt>
                <c:pt idx="75">
                  <c:v>1.0343682974959616E-4</c:v>
                </c:pt>
                <c:pt idx="76">
                  <c:v>1.196465100365233E-4</c:v>
                </c:pt>
                <c:pt idx="77">
                  <c:v>1.3809689852391688E-4</c:v>
                </c:pt>
                <c:pt idx="78">
                  <c:v>1.5905568135169779E-4</c:v>
                </c:pt>
                <c:pt idx="79">
                  <c:v>1.8281731051228434E-4</c:v>
                </c:pt>
                <c:pt idx="80">
                  <c:v>2.0970508043764249E-4</c:v>
                </c:pt>
                <c:pt idx="81">
                  <c:v>2.4007338457569341E-4</c:v>
                </c:pt>
                <c:pt idx="82">
                  <c:v>2.7431005600320191E-4</c:v>
                </c:pt>
                <c:pt idx="83">
                  <c:v>3.1283878186849634E-4</c:v>
                </c:pt>
                <c:pt idx="84">
                  <c:v>3.5612170033634994E-4</c:v>
                </c:pt>
                <c:pt idx="85">
                  <c:v>4.0466208146572308E-4</c:v>
                </c:pt>
                <c:pt idx="86">
                  <c:v>4.5900713253610442E-4</c:v>
                </c:pt>
                <c:pt idx="87">
                  <c:v>5.1975092150158275E-4</c:v>
                </c:pt>
                <c:pt idx="88">
                  <c:v>5.8753741727738762E-4</c:v>
                </c:pt>
                <c:pt idx="89">
                  <c:v>6.6306364623717562E-4</c:v>
                </c:pt>
                <c:pt idx="90">
                  <c:v>7.4708296328903267E-4</c:v>
                </c:pt>
                <c:pt idx="91">
                  <c:v>8.4040843470652615E-4</c:v>
                </c:pt>
                <c:pt idx="92">
                  <c:v>9.4391633022790811E-4</c:v>
                </c:pt>
                <c:pt idx="93">
                  <c:v>1.0585497216257047E-3</c:v>
                </c:pt>
                <c:pt idx="94">
                  <c:v>1.1853221825915601E-3</c:v>
                </c:pt>
                <c:pt idx="95">
                  <c:v>1.3253215861282659E-3</c:v>
                </c:pt>
                <c:pt idx="96">
                  <c:v>1.4797139942161288E-3</c:v>
                </c:pt>
                <c:pt idx="97">
                  <c:v>1.6497476331996568E-3</c:v>
                </c:pt>
                <c:pt idx="98">
                  <c:v>1.836756948858653E-3</c:v>
                </c:pt>
                <c:pt idx="99">
                  <c:v>2.0421667336771123E-3</c:v>
                </c:pt>
                <c:pt idx="100">
                  <c:v>2.2674963183311192E-3</c:v>
                </c:pt>
                <c:pt idx="101">
                  <c:v>2.5143638187693123E-3</c:v>
                </c:pt>
                <c:pt idx="102">
                  <c:v>2.7844904293268984E-3</c:v>
                </c:pt>
                <c:pt idx="103">
                  <c:v>3.0797047520551377E-3</c:v>
                </c:pt>
                <c:pt idx="104">
                  <c:v>3.4019471514897441E-3</c:v>
                </c:pt>
                <c:pt idx="105">
                  <c:v>3.7532745197318045E-3</c:v>
                </c:pt>
                <c:pt idx="106">
                  <c:v>4.1358631649816386E-3</c:v>
                </c:pt>
                <c:pt idx="107">
                  <c:v>4.552014864937318E-3</c:v>
                </c:pt>
                <c:pt idx="108">
                  <c:v>5.0041613654146682E-3</c:v>
                </c:pt>
                <c:pt idx="109">
                  <c:v>5.494866897944501E-3</c:v>
                </c:pt>
                <c:pt idx="110">
                  <c:v>6.026833740272834E-3</c:v>
                </c:pt>
                <c:pt idx="111">
                  <c:v>6.6029060772206556E-3</c:v>
                </c:pt>
                <c:pt idx="112">
                  <c:v>7.2260740896908544E-3</c:v>
                </c:pt>
                <c:pt idx="113">
                  <c:v>7.8994779428779669E-3</c:v>
                </c:pt>
                <c:pt idx="114">
                  <c:v>8.6264116560134472E-3</c:v>
                </c:pt>
                <c:pt idx="115">
                  <c:v>9.4103268373520628E-3</c:v>
                </c:pt>
                <c:pt idx="116">
                  <c:v>1.0254836265669955E-2</c:v>
                </c:pt>
                <c:pt idx="117">
                  <c:v>1.1163717300399776E-2</c:v>
                </c:pt>
                <c:pt idx="118">
                  <c:v>1.2140915102295164E-2</c:v>
                </c:pt>
                <c:pt idx="119">
                  <c:v>1.3190545645351085E-2</c:v>
                </c:pt>
                <c:pt idx="120">
                  <c:v>1.4316898501250581E-2</c:v>
                </c:pt>
                <c:pt idx="121">
                  <c:v>1.5524439377038547E-2</c:v>
                </c:pt>
                <c:pt idx="122">
                  <c:v>1.6817812387059927E-2</c:v>
                </c:pt>
                <c:pt idx="123">
                  <c:v>1.8201842039629785E-2</c:v>
                </c:pt>
                <c:pt idx="124">
                  <c:v>1.9681534919084122E-2</c:v>
                </c:pt>
                <c:pt idx="125">
                  <c:v>2.126208104424876E-2</c:v>
                </c:pt>
                <c:pt idx="126">
                  <c:v>2.2948854884156468E-2</c:v>
                </c:pt>
                <c:pt idx="127">
                  <c:v>2.4747416012308825E-2</c:v>
                </c:pt>
                <c:pt idx="128">
                  <c:v>2.6663509380779143E-2</c:v>
                </c:pt>
                <c:pt idx="129">
                  <c:v>2.8703070533427535E-2</c:v>
                </c:pt>
                <c:pt idx="130">
                  <c:v>3.0872204906917663E-2</c:v>
                </c:pt>
                <c:pt idx="131">
                  <c:v>3.3177210224288878E-2</c:v>
                </c:pt>
                <c:pt idx="132">
                  <c:v>3.5624577000444482E-2</c:v>
                </c:pt>
                <c:pt idx="133">
                  <c:v>3.8220962306786024E-2</c:v>
                </c:pt>
                <c:pt idx="134">
                  <c:v>4.0973205633772672E-2</c:v>
                </c:pt>
                <c:pt idx="135">
                  <c:v>4.3888321670234223E-2</c:v>
                </c:pt>
                <c:pt idx="136">
                  <c:v>4.6973496929917737E-2</c:v>
                </c:pt>
                <c:pt idx="137">
                  <c:v>5.0236085856562397E-2</c:v>
                </c:pt>
                <c:pt idx="138">
                  <c:v>5.368360639584531E-2</c:v>
                </c:pt>
                <c:pt idx="139">
                  <c:v>5.7323735023939719E-2</c:v>
                </c:pt>
                <c:pt idx="140">
                  <c:v>6.1164301223230279E-2</c:v>
                </c:pt>
                <c:pt idx="141">
                  <c:v>6.5213281397051098E-2</c:v>
                </c:pt>
                <c:pt idx="142">
                  <c:v>6.9478792216763147E-2</c:v>
                </c:pt>
                <c:pt idx="143">
                  <c:v>7.3969083395678897E-2</c:v>
                </c:pt>
                <c:pt idx="144">
                  <c:v>7.8692529885741408E-2</c:v>
                </c:pt>
                <c:pt idx="145">
                  <c:v>8.3657623494367186E-2</c:v>
                </c:pt>
                <c:pt idx="146">
                  <c:v>8.8872963920390735E-2</c:v>
                </c:pt>
                <c:pt idx="147">
                  <c:v>9.4347249209551315E-2</c:v>
                </c:pt>
                <c:pt idx="148">
                  <c:v>0.10008926563180125</c:v>
                </c:pt>
                <c:pt idx="149">
                  <c:v>0.10610787698362247</c:v>
                </c:pt>
                <c:pt idx="150">
                  <c:v>0.11241201332105044</c:v>
                </c:pt>
                <c:pt idx="151">
                  <c:v>0.11901069279519615</c:v>
                </c:pt>
                <c:pt idx="152">
                  <c:v>0.12591288123096436</c:v>
                </c:pt>
                <c:pt idx="153">
                  <c:v>0.13312762889710061</c:v>
                </c:pt>
                <c:pt idx="154">
                  <c:v>0.14066406804149242</c:v>
                </c:pt>
                <c:pt idx="155">
                  <c:v>0.14853124365397466</c:v>
                </c:pt>
                <c:pt idx="156">
                  <c:v>0.15673821604448671</c:v>
                </c:pt>
                <c:pt idx="157">
                  <c:v>0.16529401779556602</c:v>
                </c:pt>
                <c:pt idx="158">
                  <c:v>0.1742076383422238</c:v>
                </c:pt>
                <c:pt idx="159">
                  <c:v>0.18348800810897106</c:v>
                </c:pt>
                <c:pt idx="160">
                  <c:v>0.19314398222645504</c:v>
                </c:pt>
                <c:pt idx="161">
                  <c:v>0.20318432385247145</c:v>
                </c:pt>
                <c:pt idx="162">
                  <c:v>0.21361768712312804</c:v>
                </c:pt>
                <c:pt idx="163">
                  <c:v>0.2244525997619817</c:v>
                </c:pt>
                <c:pt idx="164">
                  <c:v>0.23569744537637047</c:v>
                </c:pt>
                <c:pt idx="165">
                  <c:v>0.24736044547171521</c:v>
                </c:pt>
                <c:pt idx="166">
                  <c:v>0.2594496412161732</c:v>
                </c:pt>
                <c:pt idx="167">
                  <c:v>0.27197287498882761</c:v>
                </c:pt>
                <c:pt idx="168">
                  <c:v>0.28493777174700696</c:v>
                </c:pt>
                <c:pt idx="169">
                  <c:v>0.29835172024853523</c:v>
                </c:pt>
                <c:pt idx="170">
                  <c:v>0.31222185416629461</c:v>
                </c:pt>
                <c:pt idx="171">
                  <c:v>0.32655503313416451</c:v>
                </c:pt>
                <c:pt idx="172">
                  <c:v>0.34135797110948307</c:v>
                </c:pt>
                <c:pt idx="173">
                  <c:v>0.35663665420330165</c:v>
                </c:pt>
                <c:pt idx="174">
                  <c:v>0.37239698433048457</c:v>
                </c:pt>
                <c:pt idx="175">
                  <c:v>0.38864480464965528</c:v>
                </c:pt>
                <c:pt idx="176">
                  <c:v>0.40538519592490846</c:v>
                </c:pt>
                <c:pt idx="177">
                  <c:v>0.42262297696165807</c:v>
                </c:pt>
                <c:pt idx="178">
                  <c:v>0.44036256136938207</c:v>
                </c:pt>
                <c:pt idx="179">
                  <c:v>0.45860793954737666</c:v>
                </c:pt>
                <c:pt idx="180">
                  <c:v>0.47736266098264235</c:v>
                </c:pt>
                <c:pt idx="181">
                  <c:v>0.49662981690399283</c:v>
                </c:pt>
                <c:pt idx="182">
                  <c:v>0.51641202333624348</c:v>
                </c:pt>
                <c:pt idx="183">
                  <c:v>0.53671140459882927</c:v>
                </c:pt>
                <c:pt idx="184">
                  <c:v>0.55752957729206332</c:v>
                </c:pt>
                <c:pt idx="185">
                  <c:v>0.57886763481455417</c:v>
                </c:pt>
                <c:pt idx="186">
                  <c:v>0.60072613245432105</c:v>
                </c:pt>
                <c:pt idx="187">
                  <c:v>0.62310507309559771</c:v>
                </c:pt>
                <c:pt idx="188">
                  <c:v>0.6460038935827731</c:v>
                </c:pt>
                <c:pt idx="189">
                  <c:v>0.66942145178154511</c:v>
                </c:pt>
                <c:pt idx="190">
                  <c:v>0.69335601437676686</c:v>
                </c:pt>
                <c:pt idx="191">
                  <c:v>0.71780566644042965</c:v>
                </c:pt>
                <c:pt idx="192">
                  <c:v>0.7427666862313923</c:v>
                </c:pt>
                <c:pt idx="193">
                  <c:v>0.76823544303924451</c:v>
                </c:pt>
                <c:pt idx="194">
                  <c:v>0.79420850703110224</c:v>
                </c:pt>
                <c:pt idx="195">
                  <c:v>0.8206806737236837</c:v>
                </c:pt>
                <c:pt idx="196">
                  <c:v>0.84764645283444218</c:v>
                </c:pt>
                <c:pt idx="197">
                  <c:v>0.87509970120640546</c:v>
                </c:pt>
                <c:pt idx="198">
                  <c:v>0.9030336177622833</c:v>
                </c:pt>
                <c:pt idx="199">
                  <c:v>0.93144073948506756</c:v>
                </c:pt>
                <c:pt idx="200">
                  <c:v>0.96031293844880394</c:v>
                </c:pt>
                <c:pt idx="201">
                  <c:v>0.98964141992111287</c:v>
                </c:pt>
                <c:pt idx="202">
                  <c:v>1.0194167215555698</c:v>
                </c:pt>
                <c:pt idx="203">
                  <c:v>1.0496287136907014</c:v>
                </c:pt>
                <c:pt idx="204">
                  <c:v>1.0802666007704482</c:v>
                </c:pt>
                <c:pt idx="205">
                  <c:v>1.1113189238976637</c:v>
                </c:pt>
                <c:pt idx="206">
                  <c:v>1.1427735645296755</c:v>
                </c:pt>
                <c:pt idx="207">
                  <c:v>1.1746177493236696</c:v>
                </c:pt>
                <c:pt idx="208">
                  <c:v>1.2068380561361056</c:v>
                </c:pt>
                <c:pt idx="209">
                  <c:v>1.2394214077998567</c:v>
                </c:pt>
                <c:pt idx="210">
                  <c:v>1.2723512867724514</c:v>
                </c:pt>
                <c:pt idx="211">
                  <c:v>1.3056122416267966</c:v>
                </c:pt>
                <c:pt idx="212">
                  <c:v>1.339190161608335</c:v>
                </c:pt>
                <c:pt idx="213">
                  <c:v>1.3730676582319779</c:v>
                </c:pt>
                <c:pt idx="214">
                  <c:v>1.4072276079162984</c:v>
                </c:pt>
                <c:pt idx="215">
                  <c:v>1.4416523125206322</c:v>
                </c:pt>
                <c:pt idx="216">
                  <c:v>1.4763235144388485</c:v>
                </c:pt>
                <c:pt idx="217">
                  <c:v>1.5112224127723839</c:v>
                </c:pt>
                <c:pt idx="218">
                  <c:v>1.546329680560802</c:v>
                </c:pt>
                <c:pt idx="219">
                  <c:v>1.581625483047814</c:v>
                </c:pt>
                <c:pt idx="220">
                  <c:v>1.6170894969552669</c:v>
                </c:pt>
                <c:pt idx="221">
                  <c:v>1.6527009307372829</c:v>
                </c:pt>
                <c:pt idx="222">
                  <c:v>1.6884385457839803</c:v>
                </c:pt>
                <c:pt idx="223">
                  <c:v>1.7242806785421338</c:v>
                </c:pt>
                <c:pt idx="224">
                  <c:v>1.7602052635170524</c:v>
                </c:pt>
                <c:pt idx="225">
                  <c:v>1.7961898571188644</c:v>
                </c:pt>
                <c:pt idx="226">
                  <c:v>1.8322136218801854</c:v>
                </c:pt>
                <c:pt idx="227">
                  <c:v>1.8682498019240674</c:v>
                </c:pt>
                <c:pt idx="228">
                  <c:v>1.9042747221148884</c:v>
                </c:pt>
                <c:pt idx="229">
                  <c:v>1.9402683165024395</c:v>
                </c:pt>
                <c:pt idx="230">
                  <c:v>1.9762049299554862</c:v>
                </c:pt>
                <c:pt idx="231">
                  <c:v>2.0120603945826483</c:v>
                </c:pt>
                <c:pt idx="232">
                  <c:v>2.0478103516097135</c:v>
                </c:pt>
                <c:pt idx="233">
                  <c:v>2.0834302804417519</c:v>
                </c:pt>
                <c:pt idx="234">
                  <c:v>2.1188955281598991</c:v>
                </c:pt>
                <c:pt idx="235">
                  <c:v>2.1541813393995857</c:v>
                </c:pt>
                <c:pt idx="236">
                  <c:v>2.1892628865562127</c:v>
                </c:pt>
                <c:pt idx="237">
                  <c:v>2.2241153002655536</c:v>
                </c:pt>
                <c:pt idx="238">
                  <c:v>2.2587137001032058</c:v>
                </c:pt>
                <c:pt idx="239">
                  <c:v>2.2930332254482337</c:v>
                </c:pt>
                <c:pt idx="240">
                  <c:v>2.327049066455015</c:v>
                </c:pt>
                <c:pt idx="241">
                  <c:v>2.3607394495341363</c:v>
                </c:pt>
                <c:pt idx="242">
                  <c:v>2.394074270044392</c:v>
                </c:pt>
                <c:pt idx="243">
                  <c:v>2.4270286933954055</c:v>
                </c:pt>
                <c:pt idx="244">
                  <c:v>2.459583919310985</c:v>
                </c:pt>
                <c:pt idx="245">
                  <c:v>2.4917132729349625</c:v>
                </c:pt>
                <c:pt idx="246">
                  <c:v>2.5233929002825244</c:v>
                </c:pt>
                <c:pt idx="247">
                  <c:v>2.554599213480091</c:v>
                </c:pt>
                <c:pt idx="248">
                  <c:v>2.5853089206179014</c:v>
                </c:pt>
                <c:pt idx="249">
                  <c:v>2.6154990552133768</c:v>
                </c:pt>
                <c:pt idx="250">
                  <c:v>2.6451470052360886</c:v>
                </c:pt>
                <c:pt idx="251">
                  <c:v>2.6742305416422862</c:v>
                </c:pt>
                <c:pt idx="252">
                  <c:v>2.7027278463672841</c:v>
                </c:pt>
                <c:pt idx="253">
                  <c:v>2.7306175397293888</c:v>
                </c:pt>
                <c:pt idx="254">
                  <c:v>2.7578787071953048</c:v>
                </c:pt>
                <c:pt idx="255">
                  <c:v>2.7844909254615757</c:v>
                </c:pt>
                <c:pt idx="256">
                  <c:v>2.8104342878075168</c:v>
                </c:pt>
                <c:pt idx="257">
                  <c:v>2.8356945459520904</c:v>
                </c:pt>
                <c:pt idx="258">
                  <c:v>2.8602433620765311</c:v>
                </c:pt>
                <c:pt idx="259">
                  <c:v>2.8840619159079277</c:v>
                </c:pt>
                <c:pt idx="260">
                  <c:v>2.9071421526188019</c:v>
                </c:pt>
                <c:pt idx="261">
                  <c:v>2.9294626026050818</c:v>
                </c:pt>
                <c:pt idx="262">
                  <c:v>2.9510069476224325</c:v>
                </c:pt>
                <c:pt idx="263">
                  <c:v>2.9717595399471053</c:v>
                </c:pt>
                <c:pt idx="264">
                  <c:v>2.9917054205251445</c:v>
                </c:pt>
                <c:pt idx="265">
                  <c:v>3.0108303360743061</c:v>
                </c:pt>
                <c:pt idx="266">
                  <c:v>3.029120755115029</c:v>
                </c:pt>
                <c:pt idx="267">
                  <c:v>3.0465638829059727</c:v>
                </c:pt>
                <c:pt idx="268">
                  <c:v>3.0631476752633553</c:v>
                </c:pt>
                <c:pt idx="269">
                  <c:v>3.0788608512488103</c:v>
                </c:pt>
                <c:pt idx="270">
                  <c:v>3.0936929047057427</c:v>
                </c:pt>
                <c:pt idx="271">
                  <c:v>3.1076410297148951</c:v>
                </c:pt>
                <c:pt idx="272">
                  <c:v>3.1206833865949317</c:v>
                </c:pt>
                <c:pt idx="273">
                  <c:v>3.1328110489791334</c:v>
                </c:pt>
                <c:pt idx="274">
                  <c:v>3.1440296284054425</c:v>
                </c:pt>
                <c:pt idx="275">
                  <c:v>3.1543265267216953</c:v>
                </c:pt>
                <c:pt idx="276">
                  <c:v>3.1636960661191553</c:v>
                </c:pt>
                <c:pt idx="277">
                  <c:v>3.1721333916340537</c:v>
                </c:pt>
                <c:pt idx="278">
                  <c:v>3.1796344732294903</c:v>
                </c:pt>
                <c:pt idx="279">
                  <c:v>3.186196106697373</c:v>
                </c:pt>
                <c:pt idx="280">
                  <c:v>3.1918159133834365</c:v>
                </c:pt>
                <c:pt idx="281">
                  <c:v>3.1964923387438278</c:v>
                </c:pt>
                <c:pt idx="282">
                  <c:v>3.2002246497489391</c:v>
                </c:pt>
                <c:pt idx="283">
                  <c:v>3.2030129311461688</c:v>
                </c:pt>
                <c:pt idx="284">
                  <c:v>3.204866472740667</c:v>
                </c:pt>
                <c:pt idx="285">
                  <c:v>3.2057712852183653</c:v>
                </c:pt>
                <c:pt idx="286">
                  <c:v>3.2057289167003087</c:v>
                </c:pt>
                <c:pt idx="287">
                  <c:v>3.204758372854299</c:v>
                </c:pt>
                <c:pt idx="288">
                  <c:v>3.2028563139345096</c:v>
                </c:pt>
                <c:pt idx="289">
                  <c:v>3.2000275947460386</c:v>
                </c:pt>
                <c:pt idx="290">
                  <c:v>3.1962778317002187</c:v>
                </c:pt>
                <c:pt idx="291">
                  <c:v>3.1916133907162378</c:v>
                </c:pt>
                <c:pt idx="292">
                  <c:v>3.1860413741956659</c:v>
                </c:pt>
                <c:pt idx="293">
                  <c:v>3.179569607096751</c:v>
                </c:pt>
                <c:pt idx="294">
                  <c:v>3.1722066221436873</c:v>
                </c:pt>
                <c:pt idx="295">
                  <c:v>3.1639616442064775</c:v>
                </c:pt>
                <c:pt idx="296">
                  <c:v>3.1548445738839188</c:v>
                </c:pt>
                <c:pt idx="297">
                  <c:v>3.1448791185100817</c:v>
                </c:pt>
                <c:pt idx="298">
                  <c:v>3.1340520472070699</c:v>
                </c:pt>
                <c:pt idx="299">
                  <c:v>3.1223735325616024</c:v>
                </c:pt>
                <c:pt idx="300">
                  <c:v>3.1098804562490772</c:v>
                </c:pt>
                <c:pt idx="301">
                  <c:v>3.0965743561143211</c:v>
                </c:pt>
                <c:pt idx="302">
                  <c:v>3.0824688082424845</c:v>
                </c:pt>
                <c:pt idx="303">
                  <c:v>3.0675779309651912</c:v>
                </c:pt>
                <c:pt idx="304">
                  <c:v>3.0519163634874831</c:v>
                </c:pt>
                <c:pt idx="305">
                  <c:v>3.0354992440742872</c:v>
                </c:pt>
                <c:pt idx="306">
                  <c:v>3.0183421878377064</c:v>
                </c:pt>
                <c:pt idx="307">
                  <c:v>3.0004612641613484</c:v>
                </c:pt>
                <c:pt idx="308">
                  <c:v>2.9818729738078877</c:v>
                </c:pt>
                <c:pt idx="309">
                  <c:v>2.9625942257501974</c:v>
                </c:pt>
                <c:pt idx="310">
                  <c:v>2.9426423137659103</c:v>
                </c:pt>
                <c:pt idx="311">
                  <c:v>2.9220348928368551</c:v>
                </c:pt>
                <c:pt idx="312">
                  <c:v>2.9007899553954273</c:v>
                </c:pt>
                <c:pt idx="313">
                  <c:v>2.8789258074566684</c:v>
                </c:pt>
                <c:pt idx="314">
                  <c:v>2.856461044674544</c:v>
                </c:pt>
                <c:pt idx="315">
                  <c:v>2.8334145283657164</c:v>
                </c:pt>
                <c:pt idx="316">
                  <c:v>2.8098053615349783</c:v>
                </c:pt>
                <c:pt idx="317">
                  <c:v>2.7856528649426777</c:v>
                </c:pt>
                <c:pt idx="318">
                  <c:v>2.7609765532515462</c:v>
                </c:pt>
                <c:pt idx="319">
                  <c:v>2.7357961112877618</c:v>
                </c:pt>
                <c:pt idx="320">
                  <c:v>2.7101313704514256</c:v>
                </c:pt>
                <c:pt idx="321">
                  <c:v>2.6840022853156285</c:v>
                </c:pt>
                <c:pt idx="322">
                  <c:v>2.6574289104392705</c:v>
                </c:pt>
                <c:pt idx="323">
                  <c:v>2.6304313774338599</c:v>
                </c:pt>
                <c:pt idx="324">
                  <c:v>2.6030298723143828</c:v>
                </c:pt>
                <c:pt idx="325">
                  <c:v>2.5752446131578952</c:v>
                </c:pt>
                <c:pt idx="326">
                  <c:v>2.5470958281099758</c:v>
                </c:pt>
                <c:pt idx="327">
                  <c:v>2.5186037337572498</c:v>
                </c:pt>
                <c:pt idx="328">
                  <c:v>2.4897885138977762</c:v>
                </c:pt>
                <c:pt idx="329">
                  <c:v>2.4606702987353408</c:v>
                </c:pt>
                <c:pt idx="330">
                  <c:v>2.4312691445181618</c:v>
                </c:pt>
                <c:pt idx="331">
                  <c:v>2.4016050136483806</c:v>
                </c:pt>
                <c:pt idx="332">
                  <c:v>2.3716977552815774</c:v>
                </c:pt>
                <c:pt idx="333">
                  <c:v>2.3415670864388334</c:v>
                </c:pt>
                <c:pt idx="334">
                  <c:v>2.3112325736490549</c:v>
                </c:pt>
                <c:pt idx="335">
                  <c:v>2.280713615137822</c:v>
                </c:pt>
                <c:pt idx="336">
                  <c:v>2.2500294235818554</c:v>
                </c:pt>
                <c:pt idx="337">
                  <c:v>2.2191990094418217</c:v>
                </c:pt>
                <c:pt idx="338">
                  <c:v>2.1882411648876561</c:v>
                </c:pt>
                <c:pt idx="339">
                  <c:v>2.1571744483296129</c:v>
                </c:pt>
                <c:pt idx="340">
                  <c:v>2.1260171695623877</c:v>
                </c:pt>
                <c:pt idx="341">
                  <c:v>2.0947873755366597</c:v>
                </c:pt>
                <c:pt idx="342">
                  <c:v>2.0635028367623116</c:v>
                </c:pt>
                <c:pt idx="343">
                  <c:v>2.0321810343529245</c:v>
                </c:pt>
                <c:pt idx="344">
                  <c:v>2.000839147713827</c:v>
                </c:pt>
                <c:pt idx="345">
                  <c:v>1.9694940428816743</c:v>
                </c:pt>
                <c:pt idx="346">
                  <c:v>1.9381622615169807</c:v>
                </c:pt>
                <c:pt idx="347">
                  <c:v>1.9068600105489588</c:v>
                </c:pt>
                <c:pt idx="348">
                  <c:v>1.8756031524790855</c:v>
                </c:pt>
                <c:pt idx="349">
                  <c:v>1.8444070640701127</c:v>
                </c:pt>
                <c:pt idx="350">
                  <c:v>1.8132871683175962</c:v>
                </c:pt>
                <c:pt idx="351">
                  <c:v>1.7822582305346157</c:v>
                </c:pt>
                <c:pt idx="352">
                  <c:v>1.7513343758445421</c:v>
                </c:pt>
                <c:pt idx="353">
                  <c:v>1.7205297665647061</c:v>
                </c:pt>
                <c:pt idx="354">
                  <c:v>1.6898580314427469</c:v>
                </c:pt>
                <c:pt idx="355">
                  <c:v>1.6593324050772784</c:v>
                </c:pt>
                <c:pt idx="356">
                  <c:v>1.6289657233525323</c:v>
                </c:pt>
                <c:pt idx="357">
                  <c:v>1.598770419484536</c:v>
                </c:pt>
                <c:pt idx="358">
                  <c:v>1.5687585206713259</c:v>
                </c:pt>
                <c:pt idx="359">
                  <c:v>1.538941645335252</c:v>
                </c:pt>
                <c:pt idx="360">
                  <c:v>1.5093310009475629</c:v>
                </c:pt>
                <c:pt idx="361">
                  <c:v>1.4799373824239335</c:v>
                </c:pt>
                <c:pt idx="362">
                  <c:v>1.4507711710759772</c:v>
                </c:pt>
                <c:pt idx="363">
                  <c:v>1.4218423341088475</c:v>
                </c:pt>
                <c:pt idx="364">
                  <c:v>1.3931604246496794</c:v>
                </c:pt>
                <c:pt idx="365">
                  <c:v>1.36473458229318</c:v>
                </c:pt>
                <c:pt idx="366">
                  <c:v>1.3365735341488754</c:v>
                </c:pt>
                <c:pt idx="367">
                  <c:v>1.3086855963760575</c:v>
                </c:pt>
                <c:pt idx="368">
                  <c:v>1.2810786761908568</c:v>
                </c:pt>
                <c:pt idx="369">
                  <c:v>1.2537602743288896</c:v>
                </c:pt>
                <c:pt idx="370">
                  <c:v>1.2267374879474189</c:v>
                </c:pt>
                <c:pt idx="371">
                  <c:v>1.200017013950293</c:v>
                </c:pt>
                <c:pt idx="372">
                  <c:v>1.1736051527207116</c:v>
                </c:pt>
                <c:pt idx="373">
                  <c:v>1.1475078122424449</c:v>
                </c:pt>
                <c:pt idx="374">
                  <c:v>1.1217305125932147</c:v>
                </c:pt>
                <c:pt idx="375">
                  <c:v>1.0962783907940572</c:v>
                </c:pt>
                <c:pt idx="376">
                  <c:v>1.0711562059961428</c:v>
                </c:pt>
                <c:pt idx="377">
                  <c:v>1.0463683449875523</c:v>
                </c:pt>
                <c:pt idx="378">
                  <c:v>1.0219188280039166</c:v>
                </c:pt>
                <c:pt idx="379">
                  <c:v>0.99781131482457819</c:v>
                </c:pt>
                <c:pt idx="380">
                  <c:v>0.97404911113577275</c:v>
                </c:pt>
                <c:pt idx="381">
                  <c:v>0.95063517514632667</c:v>
                </c:pt>
                <c:pt idx="382">
                  <c:v>0.9275721244367503</c:v>
                </c:pt>
                <c:pt idx="383">
                  <c:v>0.90486224302456941</c:v>
                </c:pt>
                <c:pt idx="384">
                  <c:v>0.88250748862997253</c:v>
                </c:pt>
                <c:pt idx="385">
                  <c:v>0.86050950012485217</c:v>
                </c:pt>
                <c:pt idx="386">
                  <c:v>0.83886960514869535</c:v>
                </c:pt>
                <c:pt idx="387">
                  <c:v>0.81758882787446185</c:v>
                </c:pt>
                <c:pt idx="388">
                  <c:v>0.79666789690975515</c:v>
                </c:pt>
                <c:pt idx="389">
                  <c:v>0.77610725331684904</c:v>
                </c:pt>
                <c:pt idx="390">
                  <c:v>0.75590705873603004</c:v>
                </c:pt>
                <c:pt idx="391">
                  <c:v>0.73606720359800937</c:v>
                </c:pt>
                <c:pt idx="392">
                  <c:v>0.71658731540998877</c:v>
                </c:pt>
                <c:pt idx="393">
                  <c:v>0.69746676710134126</c:v>
                </c:pt>
                <c:pt idx="394">
                  <c:v>0.67870468541519602</c:v>
                </c:pt>
                <c:pt idx="395">
                  <c:v>0.66029995933172747</c:v>
                </c:pt>
                <c:pt idx="396">
                  <c:v>0.64225124851075399</c:v>
                </c:pt>
                <c:pt idx="397">
                  <c:v>0.62455699174059143</c:v>
                </c:pt>
                <c:pt idx="398">
                  <c:v>0.6072154153803524</c:v>
                </c:pt>
                <c:pt idx="399">
                  <c:v>0.59022454178454664</c:v>
                </c:pt>
                <c:pt idx="400">
                  <c:v>0.5735821976982487</c:v>
                </c:pt>
                <c:pt idx="401">
                  <c:v>0.557286022611717</c:v>
                </c:pt>
                <c:pt idx="402">
                  <c:v>0.54133347706375157</c:v>
                </c:pt>
                <c:pt idx="403">
                  <c:v>0.52572185088419254</c:v>
                </c:pt>
                <c:pt idx="404">
                  <c:v>0.51044827136542292</c:v>
                </c:pt>
                <c:pt idx="405">
                  <c:v>0.49550971135378613</c:v>
                </c:pt>
                <c:pt idx="406">
                  <c:v>0.48090299725244318</c:v>
                </c:pt>
                <c:pt idx="407">
                  <c:v>0.46662481692697161</c:v>
                </c:pt>
                <c:pt idx="408">
                  <c:v>0.45267172750609119</c:v>
                </c:pt>
                <c:pt idx="409">
                  <c:v>0.4390401630700424</c:v>
                </c:pt>
                <c:pt idx="410">
                  <c:v>0.42572644222006939</c:v>
                </c:pt>
                <c:pt idx="411">
                  <c:v>0.41272677552184567</c:v>
                </c:pt>
                <c:pt idx="412">
                  <c:v>0.40003727281737761</c:v>
                </c:pt>
                <c:pt idx="413">
                  <c:v>0.3876539503993684</c:v>
                </c:pt>
                <c:pt idx="414">
                  <c:v>0.37557273804343461</c:v>
                </c:pt>
                <c:pt idx="415">
                  <c:v>0.36378948589278493</c:v>
                </c:pt>
                <c:pt idx="416">
                  <c:v>0.3522999711912444</c:v>
                </c:pt>
                <c:pt idx="417">
                  <c:v>0.34109990486122821</c:v>
                </c:pt>
                <c:pt idx="418">
                  <c:v>0.3301849379221431</c:v>
                </c:pt>
                <c:pt idx="419">
                  <c:v>0.31955066774692042</c:v>
                </c:pt>
                <c:pt idx="420">
                  <c:v>0.30919264415372655</c:v>
                </c:pt>
                <c:pt idx="421">
                  <c:v>0.2991063753302452</c:v>
                </c:pt>
                <c:pt idx="422">
                  <c:v>0.289287333588648</c:v>
                </c:pt>
                <c:pt idx="423">
                  <c:v>0.27973096094979721</c:v>
                </c:pt>
                <c:pt idx="424">
                  <c:v>0.27043267455510323</c:v>
                </c:pt>
                <c:pt idx="425">
                  <c:v>0.26138787190499951</c:v>
                </c:pt>
                <c:pt idx="426">
                  <c:v>0.25259193592372658</c:v>
                </c:pt>
                <c:pt idx="427">
                  <c:v>0.24404023984970857</c:v>
                </c:pt>
                <c:pt idx="428">
                  <c:v>0.23572815195156704</c:v>
                </c:pt>
                <c:pt idx="429">
                  <c:v>0.22765104007004908</c:v>
                </c:pt>
                <c:pt idx="430">
                  <c:v>0.21980427598634772</c:v>
                </c:pt>
                <c:pt idx="431">
                  <c:v>0.21218323961739208</c:v>
                </c:pt>
                <c:pt idx="432">
                  <c:v>0.20478332303934746</c:v>
                </c:pt>
                <c:pt idx="433">
                  <c:v>0.19759993434051903</c:v>
                </c:pt>
                <c:pt idx="434">
                  <c:v>0.19062850130484196</c:v>
                </c:pt>
                <c:pt idx="435">
                  <c:v>0.18386447492799735</c:v>
                </c:pt>
                <c:pt idx="436">
                  <c:v>0.17730333276775884</c:v>
                </c:pt>
                <c:pt idx="437">
                  <c:v>0.17094058213081545</c:v>
                </c:pt>
                <c:pt idx="438">
                  <c:v>0.16477176309816172</c:v>
                </c:pt>
                <c:pt idx="439">
                  <c:v>0.15879245139146947</c:v>
                </c:pt>
                <c:pt idx="440">
                  <c:v>0.15299826108312786</c:v>
                </c:pt>
                <c:pt idx="441">
                  <c:v>0.14738484715242925</c:v>
                </c:pt>
                <c:pt idx="442">
                  <c:v>0.14194790789096062</c:v>
                </c:pt>
                <c:pt idx="443">
                  <c:v>0.13668318716003469</c:v>
                </c:pt>
                <c:pt idx="444">
                  <c:v>0.13158647650310118</c:v>
                </c:pt>
                <c:pt idx="445">
                  <c:v>0.12665361436876835</c:v>
                </c:pt>
                <c:pt idx="446">
                  <c:v>0.1218804991707986</c:v>
                </c:pt>
                <c:pt idx="447">
                  <c:v>0.11726307651670523</c:v>
                </c:pt>
                <c:pt idx="448">
                  <c:v>0.11279734128798151</c:v>
                </c:pt>
                <c:pt idx="449">
                  <c:v>0.10847935328726975</c:v>
                </c:pt>
                <c:pt idx="450">
                  <c:v>0.10430522680824572</c:v>
                </c:pt>
                <c:pt idx="451">
                  <c:v>0.10027113483297415</c:v>
                </c:pt>
                <c:pt idx="452">
                  <c:v>9.6373310105403662E-2</c:v>
                </c:pt>
                <c:pt idx="453">
                  <c:v>9.2608046090914331E-2</c:v>
                </c:pt>
                <c:pt idx="454">
                  <c:v>8.8971697825520377E-2</c:v>
                </c:pt>
                <c:pt idx="455">
                  <c:v>8.5460682658374296E-2</c:v>
                </c:pt>
                <c:pt idx="456">
                  <c:v>8.2071480891258708E-2</c:v>
                </c:pt>
                <c:pt idx="457">
                  <c:v>7.8800636318751727E-2</c:v>
                </c:pt>
                <c:pt idx="458">
                  <c:v>7.564475667262674E-2</c:v>
                </c:pt>
                <c:pt idx="459">
                  <c:v>7.2600513974217698E-2</c:v>
                </c:pt>
                <c:pt idx="460">
                  <c:v>6.9664644798375114E-2</c:v>
                </c:pt>
                <c:pt idx="461">
                  <c:v>6.6833950452515556E-2</c:v>
                </c:pt>
                <c:pt idx="462">
                  <c:v>6.4105297074420822E-2</c:v>
                </c:pt>
                <c:pt idx="463">
                  <c:v>6.147561565227623E-2</c:v>
                </c:pt>
                <c:pt idx="464">
                  <c:v>5.894190197042995E-2</c:v>
                </c:pt>
                <c:pt idx="465">
                  <c:v>5.6501216484341518E-2</c:v>
                </c:pt>
                <c:pt idx="466">
                  <c:v>5.4150684128090085E-2</c:v>
                </c:pt>
                <c:pt idx="467">
                  <c:v>5.1887494057823932E-2</c:v>
                </c:pt>
                <c:pt idx="468">
                  <c:v>4.9708899334392487E-2</c:v>
                </c:pt>
                <c:pt idx="469">
                  <c:v>4.7612216548409997E-2</c:v>
                </c:pt>
                <c:pt idx="470">
                  <c:v>4.559482539094508E-2</c:v>
                </c:pt>
                <c:pt idx="471">
                  <c:v>4.3654168172882535E-2</c:v>
                </c:pt>
                <c:pt idx="472">
                  <c:v>4.1787749296052348E-2</c:v>
                </c:pt>
                <c:pt idx="473">
                  <c:v>3.9993134679058365E-2</c:v>
                </c:pt>
                <c:pt idx="474">
                  <c:v>3.8267951140700078E-2</c:v>
                </c:pt>
                <c:pt idx="475">
                  <c:v>3.6609885743829805E-2</c:v>
                </c:pt>
                <c:pt idx="476">
                  <c:v>3.5016685102398096E-2</c:v>
                </c:pt>
                <c:pt idx="477">
                  <c:v>3.3486154654344749E-2</c:v>
                </c:pt>
                <c:pt idx="478">
                  <c:v>3.2016157902920242E-2</c:v>
                </c:pt>
                <c:pt idx="479">
                  <c:v>3.0604615629011529E-2</c:v>
                </c:pt>
                <c:pt idx="480">
                  <c:v>2.9249505076863597E-2</c:v>
                </c:pt>
                <c:pt idx="481">
                  <c:v>2.7948859115581669E-2</c:v>
                </c:pt>
                <c:pt idx="482">
                  <c:v>2.6700765378718645E-2</c:v>
                </c:pt>
                <c:pt idx="483">
                  <c:v>2.5503365384110552E-2</c:v>
                </c:pt>
                <c:pt idx="484">
                  <c:v>2.4354853636135994E-2</c:v>
                </c:pt>
                <c:pt idx="485">
                  <c:v>2.3253476712428941E-2</c:v>
                </c:pt>
                <c:pt idx="486">
                  <c:v>2.2197532337024328E-2</c:v>
                </c:pt>
                <c:pt idx="487">
                  <c:v>2.1185368441828212E-2</c:v>
                </c:pt>
                <c:pt idx="488">
                  <c:v>2.021538221822812E-2</c:v>
                </c:pt>
                <c:pt idx="489">
                  <c:v>1.9286019160597447E-2</c:v>
                </c:pt>
                <c:pt idx="490">
                  <c:v>1.8395772103361914E-2</c:v>
                </c:pt>
                <c:pt idx="491">
                  <c:v>1.7543180253212592E-2</c:v>
                </c:pt>
                <c:pt idx="492">
                  <c:v>1.6726828217980872E-2</c:v>
                </c:pt>
                <c:pt idx="493">
                  <c:v>1.5945345033639542E-2</c:v>
                </c:pt>
                <c:pt idx="494">
                  <c:v>1.5197403190807212E-2</c:v>
                </c:pt>
                <c:pt idx="495">
                  <c:v>1.4481717662035744E-2</c:v>
                </c:pt>
                <c:pt idx="496">
                  <c:v>1.3797044931155543E-2</c:v>
                </c:pt>
                <c:pt idx="497">
                  <c:v>1.3142182025828713E-2</c:v>
                </c:pt>
                <c:pt idx="498">
                  <c:v>1.2515965554416237E-2</c:v>
                </c:pt>
                <c:pt idx="499">
                  <c:v>1.1917270748218106E-2</c:v>
                </c:pt>
                <c:pt idx="500">
                  <c:v>1.134501051004729E-2</c:v>
                </c:pt>
                <c:pt idx="501">
                  <c:v>1.0798134470069127E-2</c:v>
                </c:pt>
                <c:pt idx="502">
                  <c:v>1.0275628049760066E-2</c:v>
                </c:pt>
                <c:pt idx="503">
                  <c:v>9.7765115347937352E-3</c:v>
                </c:pt>
                <c:pt idx="504">
                  <c:v>9.2998391575956213E-3</c:v>
                </c:pt>
                <c:pt idx="505">
                  <c:v>8.8446981902613551E-3</c:v>
                </c:pt>
                <c:pt idx="506">
                  <c:v>8.4102080484799047E-3</c:v>
                </c:pt>
                <c:pt idx="507">
                  <c:v>7.9955194070481257E-3</c:v>
                </c:pt>
                <c:pt idx="508">
                  <c:v>7.5998133275213334E-3</c:v>
                </c:pt>
                <c:pt idx="509">
                  <c:v>7.2223003984881523E-3</c:v>
                </c:pt>
                <c:pt idx="510">
                  <c:v>6.8622198889202127E-3</c:v>
                </c:pt>
                <c:pt idx="511">
                  <c:v>6.5188389150011728E-3</c:v>
                </c:pt>
                <c:pt idx="512">
                  <c:v>6.1914516207922871E-3</c:v>
                </c:pt>
                <c:pt idx="513">
                  <c:v>5.8793783730619661E-3</c:v>
                </c:pt>
                <c:pt idx="514">
                  <c:v>5.5819649705551285E-3</c:v>
                </c:pt>
                <c:pt idx="515">
                  <c:v>5.2985818679517471E-3</c:v>
                </c:pt>
                <c:pt idx="516">
                  <c:v>5.028623414724571E-3</c:v>
                </c:pt>
                <c:pt idx="517">
                  <c:v>4.7715071090669156E-3</c:v>
                </c:pt>
                <c:pt idx="518">
                  <c:v>4.5266728670384417E-3</c:v>
                </c:pt>
                <c:pt idx="519">
                  <c:v>4.2935823070420799E-3</c:v>
                </c:pt>
                <c:pt idx="520">
                  <c:v>4.071718049711512E-3</c:v>
                </c:pt>
                <c:pt idx="521">
                  <c:v>3.8605830332677903E-3</c:v>
                </c:pt>
                <c:pt idx="522">
                  <c:v>3.6596998443738007E-3</c:v>
                </c:pt>
                <c:pt idx="523">
                  <c:v>3.4686100644900921E-3</c:v>
                </c:pt>
                <c:pt idx="524">
                  <c:v>3.2868736317166283E-3</c:v>
                </c:pt>
                <c:pt idx="525">
                  <c:v>3.1140682180748691E-3</c:v>
                </c:pt>
                <c:pt idx="526">
                  <c:v>2.9497886221696305E-3</c:v>
                </c:pt>
                <c:pt idx="527">
                  <c:v>2.793646177154223E-3</c:v>
                </c:pt>
                <c:pt idx="528">
                  <c:v>2.6452681738917774E-3</c:v>
                </c:pt>
                <c:pt idx="529">
                  <c:v>2.5042972992021604E-3</c:v>
                </c:pt>
                <c:pt idx="530">
                  <c:v>2.3703910890601645E-3</c:v>
                </c:pt>
                <c:pt idx="531">
                  <c:v>2.2432213965969208E-3</c:v>
                </c:pt>
                <c:pt idx="532">
                  <c:v>2.1224738747470792E-3</c:v>
                </c:pt>
                <c:pt idx="533">
                  <c:v>2.0078474733643318E-3</c:v>
                </c:pt>
                <c:pt idx="534">
                  <c:v>1.8990539506252488E-3</c:v>
                </c:pt>
                <c:pt idx="535">
                  <c:v>1.7958173985233869E-3</c:v>
                </c:pt>
                <c:pt idx="536">
                  <c:v>1.6978737822485957E-3</c:v>
                </c:pt>
                <c:pt idx="537">
                  <c:v>1.6049704932408939E-3</c:v>
                </c:pt>
                <c:pt idx="538">
                  <c:v>1.5168659156950908E-3</c:v>
                </c:pt>
                <c:pt idx="539">
                  <c:v>1.4333290062891243E-3</c:v>
                </c:pt>
                <c:pt idx="540">
                  <c:v>1.3541388869017894E-3</c:v>
                </c:pt>
                <c:pt idx="541">
                  <c:v>1.2790844500795851E-3</c:v>
                </c:pt>
                <c:pt idx="542">
                  <c:v>1.2079639770090197E-3</c:v>
                </c:pt>
                <c:pt idx="543">
                  <c:v>1.1405847677445995E-3</c:v>
                </c:pt>
                <c:pt idx="544">
                  <c:v>1.0767627834425853E-3</c:v>
                </c:pt>
                <c:pt idx="545">
                  <c:v>1.016322300344526E-3</c:v>
                </c:pt>
                <c:pt idx="546">
                  <c:v>9.590955752537655E-4</c:v>
                </c:pt>
                <c:pt idx="547">
                  <c:v>9.0492252224857453E-4</c:v>
                </c:pt>
                <c:pt idx="548">
                  <c:v>8.5365040037031455E-4</c:v>
                </c:pt>
                <c:pt idx="549">
                  <c:v>8.0513351202818469E-4</c:v>
                </c:pt>
                <c:pt idx="550">
                  <c:v>7.5923291186078391E-4</c:v>
                </c:pt>
                <c:pt idx="551">
                  <c:v>7.1581612579390381E-4</c:v>
                </c:pt>
                <c:pt idx="552">
                  <c:v>6.7475688003688829E-4</c:v>
                </c:pt>
                <c:pt idx="553">
                  <c:v>6.3593483975932479E-4</c:v>
                </c:pt>
                <c:pt idx="554">
                  <c:v>5.992353571922178E-4</c:v>
                </c:pt>
                <c:pt idx="555">
                  <c:v>5.6454922889923108E-4</c:v>
                </c:pt>
                <c:pt idx="556">
                  <c:v>5.3177246196610764E-4</c:v>
                </c:pt>
                <c:pt idx="557">
                  <c:v>5.0080604885872513E-4</c:v>
                </c:pt>
                <c:pt idx="558">
                  <c:v>4.7155575070235658E-4</c:v>
                </c:pt>
                <c:pt idx="559">
                  <c:v>4.4393188873859856E-4</c:v>
                </c:pt>
                <c:pt idx="560">
                  <c:v>4.1784914371914534E-4</c:v>
                </c:pt>
                <c:pt idx="561">
                  <c:v>3.9322636299881454E-4</c:v>
                </c:pt>
                <c:pt idx="562">
                  <c:v>3.6998637509389403E-4</c:v>
                </c:pt>
                <c:pt idx="563">
                  <c:v>3.4805581147580528E-4</c:v>
                </c:pt>
                <c:pt idx="564">
                  <c:v>3.2736493537377574E-4</c:v>
                </c:pt>
                <c:pt idx="565">
                  <c:v>3.0784747736411708E-4</c:v>
                </c:pt>
                <c:pt idx="566">
                  <c:v>2.8944047752795324E-4</c:v>
                </c:pt>
                <c:pt idx="567">
                  <c:v>2.7208413396348491E-4</c:v>
                </c:pt>
                <c:pt idx="568">
                  <c:v>2.5572165744312998E-4</c:v>
                </c:pt>
                <c:pt idx="569">
                  <c:v>2.4029913201005284E-4</c:v>
                </c:pt>
                <c:pt idx="570">
                  <c:v>2.2576538131346166E-4</c:v>
                </c:pt>
                <c:pt idx="571">
                  <c:v>2.1207184048611472E-4</c:v>
                </c:pt>
                <c:pt idx="572">
                  <c:v>1.9917243337209519E-4</c:v>
                </c:pt>
                <c:pt idx="573">
                  <c:v>1.8702345491774638E-4</c:v>
                </c:pt>
                <c:pt idx="574">
                  <c:v>1.7558345854275538E-4</c:v>
                </c:pt>
                <c:pt idx="575">
                  <c:v>1.6481314831312267E-4</c:v>
                </c:pt>
                <c:pt idx="576">
                  <c:v>1.5467527574263828E-4</c:v>
                </c:pt>
                <c:pt idx="577">
                  <c:v>1.4513454105340303E-4</c:v>
                </c:pt>
                <c:pt idx="578">
                  <c:v>1.3615749873091451E-4</c:v>
                </c:pt>
                <c:pt idx="579">
                  <c:v>1.2771246721374156E-4</c:v>
                </c:pt>
                <c:pt idx="580">
                  <c:v>1.1976944256191787E-4</c:v>
                </c:pt>
                <c:pt idx="581">
                  <c:v>1.1230001779887592E-4</c:v>
                </c:pt>
                <c:pt idx="582">
                  <c:v>1.0527729653219533E-4</c:v>
                </c:pt>
                <c:pt idx="583">
                  <c:v>9.8675827432810379E-5</c:v>
                </c:pt>
                <c:pt idx="584">
                  <c:v>9.2471531971049666E-5</c:v>
                </c:pt>
                <c:pt idx="585">
                  <c:v>8.6641626224931109E-5</c:v>
                </c:pt>
                <c:pt idx="586">
                  <c:v>8.1164563333846243E-5</c:v>
                </c:pt>
                <c:pt idx="587">
                  <c:v>7.6019968990933802E-5</c:v>
                </c:pt>
                <c:pt idx="588">
                  <c:v>7.1188581860850012E-5</c:v>
                </c:pt>
                <c:pt idx="589">
                  <c:v>6.6652196768899431E-5</c:v>
                </c:pt>
                <c:pt idx="590">
                  <c:v>6.2393610547637008E-5</c:v>
                </c:pt>
                <c:pt idx="591">
                  <c:v>5.8396570430912352E-5</c:v>
                </c:pt>
                <c:pt idx="592">
                  <c:v>5.4645724889146378E-5</c:v>
                </c:pt>
                <c:pt idx="593">
                  <c:v>5.1126576803108333E-5</c:v>
                </c:pt>
                <c:pt idx="594">
                  <c:v>4.782543887719441E-5</c:v>
                </c:pt>
                <c:pt idx="595">
                  <c:v>4.4729391196628956E-5</c:v>
                </c:pt>
                <c:pt idx="596">
                  <c:v>4.1826240836392518E-5</c:v>
                </c:pt>
                <c:pt idx="597">
                  <c:v>3.9104483433081886E-5</c:v>
                </c:pt>
                <c:pt idx="598">
                  <c:v>3.6553266634056008E-5</c:v>
                </c:pt>
                <c:pt idx="599">
                  <c:v>3.4162355341485101E-5</c:v>
                </c:pt>
                <c:pt idx="600">
                  <c:v>3.1922098671905638E-5</c:v>
                </c:pt>
                <c:pt idx="601">
                  <c:v>2.98233985549124E-5</c:v>
                </c:pt>
                <c:pt idx="602">
                  <c:v>2.7857679897556367E-5</c:v>
                </c:pt>
                <c:pt idx="603">
                  <c:v>2.6016862243785458E-5</c:v>
                </c:pt>
                <c:pt idx="604">
                  <c:v>2.4293332861064391E-5</c:v>
                </c:pt>
                <c:pt idx="605">
                  <c:v>2.2679921188942703E-5</c:v>
                </c:pt>
                <c:pt idx="606">
                  <c:v>2.1169874586933352E-5</c:v>
                </c:pt>
                <c:pt idx="607">
                  <c:v>1.9756835321576861E-5</c:v>
                </c:pt>
                <c:pt idx="608">
                  <c:v>1.8434818734988877E-5</c:v>
                </c:pt>
                <c:pt idx="609">
                  <c:v>1.7198192539529381E-5</c:v>
                </c:pt>
                <c:pt idx="610">
                  <c:v>1.6041657185516016E-5</c:v>
                </c:pt>
                <c:pt idx="611">
                  <c:v>1.4960227251113304E-5</c:v>
                </c:pt>
                <c:pt idx="612">
                  <c:v>1.3949213805629188E-5</c:v>
                </c:pt>
                <c:pt idx="613">
                  <c:v>1.3004207699531576E-5</c:v>
                </c:pt>
                <c:pt idx="614">
                  <c:v>1.2121063736463222E-5</c:v>
                </c:pt>
                <c:pt idx="615">
                  <c:v>1.1295885684463964E-5</c:v>
                </c:pt>
                <c:pt idx="616">
                  <c:v>1.0525012085439701E-5</c:v>
                </c:pt>
                <c:pt idx="617">
                  <c:v>9.8050028237097466E-6</c:v>
                </c:pt>
                <c:pt idx="618">
                  <c:v>9.1326264161900731E-6</c:v>
                </c:pt>
                <c:pt idx="619">
                  <c:v>8.5048479883931108E-6</c:v>
                </c:pt>
                <c:pt idx="620">
                  <c:v>7.9188179020527001E-6</c:v>
                </c:pt>
                <c:pt idx="621">
                  <c:v>7.3718610016975316E-6</c:v>
                </c:pt>
                <c:pt idx="622">
                  <c:v>6.861466448966499E-6</c:v>
                </c:pt>
                <c:pt idx="623">
                  <c:v>6.3852781148956506E-6</c:v>
                </c:pt>
                <c:pt idx="624">
                  <c:v>5.9410855017480152E-6</c:v>
                </c:pt>
                <c:pt idx="625">
                  <c:v>5.5268151672833205E-6</c:v>
                </c:pt>
                <c:pt idx="626">
                  <c:v>5.1405226256163668E-6</c:v>
                </c:pt>
                <c:pt idx="627">
                  <c:v>4.7803847000159801E-6</c:v>
                </c:pt>
                <c:pt idx="628">
                  <c:v>4.444692304162383E-6</c:v>
                </c:pt>
                <c:pt idx="629">
                  <c:v>4.1318436294863771E-6</c:v>
                </c:pt>
                <c:pt idx="630">
                  <c:v>3.840337717281086E-6</c:v>
                </c:pt>
                <c:pt idx="631">
                  <c:v>3.5687683952983185E-6</c:v>
                </c:pt>
                <c:pt idx="632">
                  <c:v>3.3158185595155197E-6</c:v>
                </c:pt>
                <c:pt idx="633">
                  <c:v>3.0802547827046171E-6</c:v>
                </c:pt>
                <c:pt idx="634">
                  <c:v>2.8609222323197661E-6</c:v>
                </c:pt>
                <c:pt idx="635">
                  <c:v>2.6567398810865528E-6</c:v>
                </c:pt>
                <c:pt idx="636">
                  <c:v>2.4666959944938923E-6</c:v>
                </c:pt>
                <c:pt idx="637">
                  <c:v>2.2898438801715903E-6</c:v>
                </c:pt>
                <c:pt idx="638">
                  <c:v>2.1252978848911424E-6</c:v>
                </c:pt>
                <c:pt idx="639">
                  <c:v>1.9722296256395863E-6</c:v>
                </c:pt>
                <c:pt idx="640">
                  <c:v>1.8298644419032115E-6</c:v>
                </c:pt>
                <c:pt idx="641">
                  <c:v>1.6974780569501925E-6</c:v>
                </c:pt>
                <c:pt idx="642">
                  <c:v>1.5743934365249796E-6</c:v>
                </c:pt>
                <c:pt idx="643">
                  <c:v>1.4599778339623698E-6</c:v>
                </c:pt>
                <c:pt idx="644">
                  <c:v>1.3536400112966187E-6</c:v>
                </c:pt>
                <c:pt idx="645">
                  <c:v>1.2548276264809585E-6</c:v>
                </c:pt>
                <c:pt idx="646">
                  <c:v>1.1630247773503844E-6</c:v>
                </c:pt>
                <c:pt idx="647">
                  <c:v>1.0777496934502465E-6</c:v>
                </c:pt>
                <c:pt idx="648">
                  <c:v>9.9855256732133216E-7</c:v>
                </c:pt>
                <c:pt idx="649">
                  <c:v>9.2501351727826901E-7</c:v>
                </c:pt>
                <c:pt idx="650">
                  <c:v>8.5674067414104564E-7</c:v>
                </c:pt>
                <c:pt idx="651">
                  <c:v>7.9336838478361186E-7</c:v>
                </c:pt>
                <c:pt idx="652">
                  <c:v>7.3455552574711032E-7</c:v>
                </c:pt>
                <c:pt idx="653">
                  <c:v>6.7998392052980498E-7</c:v>
                </c:pt>
                <c:pt idx="654">
                  <c:v>6.2935685451258076E-7</c:v>
                </c:pt>
                <c:pt idx="655">
                  <c:v>5.8239768180903185E-7</c:v>
                </c:pt>
                <c:pt idx="656">
                  <c:v>5.3884851864140411E-7</c:v>
                </c:pt>
                <c:pt idx="657">
                  <c:v>4.9846901814124679E-7</c:v>
                </c:pt>
                <c:pt idx="658">
                  <c:v>4.610352217559897E-7</c:v>
                </c:pt>
                <c:pt idx="659">
                  <c:v>4.2633848271020329E-7</c:v>
                </c:pt>
                <c:pt idx="660">
                  <c:v>3.9418445722465269E-7</c:v>
                </c:pt>
                <c:pt idx="661">
                  <c:v>3.6439215943680509E-7</c:v>
                </c:pt>
                <c:pt idx="662">
                  <c:v>3.3679307619539316E-7</c:v>
                </c:pt>
                <c:pt idx="663">
                  <c:v>3.1123033811807488E-7</c:v>
                </c:pt>
                <c:pt idx="664">
                  <c:v>2.8755794350610967E-7</c:v>
                </c:pt>
                <c:pt idx="665">
                  <c:v>2.6564003190497492E-7</c:v>
                </c:pt>
                <c:pt idx="666">
                  <c:v>2.4535020428348103E-7</c:v>
                </c:pt>
                <c:pt idx="667">
                  <c:v>2.2657088697818304E-7</c:v>
                </c:pt>
                <c:pt idx="668">
                  <c:v>2.0919273671531886E-7</c:v>
                </c:pt>
                <c:pt idx="669">
                  <c:v>1.9311408417803945E-7</c:v>
                </c:pt>
                <c:pt idx="670">
                  <c:v>1.7824041373455113E-7</c:v>
                </c:pt>
                <c:pt idx="671">
                  <c:v>1.6448387708248424E-7</c:v>
                </c:pt>
                <c:pt idx="672">
                  <c:v>1.5176283869651162E-7</c:v>
                </c:pt>
                <c:pt idx="673">
                  <c:v>1.400014510911587E-7</c:v>
                </c:pt>
                <c:pt idx="674">
                  <c:v>1.2912925802841097E-7</c:v>
                </c:pt>
                <c:pt idx="675">
                  <c:v>1.1908082391114552E-7</c:v>
                </c:pt>
                <c:pt idx="676">
                  <c:v>1.0979538770838711E-7</c:v>
                </c:pt>
                <c:pt idx="677">
                  <c:v>1.0121653985760222E-7</c:v>
                </c:pt>
                <c:pt idx="678">
                  <c:v>9.3291920683004422E-8</c:v>
                </c:pt>
                <c:pt idx="679">
                  <c:v>8.597293895683343E-8</c:v>
                </c:pt>
                <c:pt idx="680">
                  <c:v>7.9214509314223022E-8</c:v>
                </c:pt>
                <c:pt idx="681">
                  <c:v>7.2974807310585665E-8</c:v>
                </c:pt>
                <c:pt idx="682">
                  <c:v>6.7215040984580678E-8</c:v>
                </c:pt>
                <c:pt idx="683">
                  <c:v>6.1899237859476844E-8</c:v>
                </c:pt>
                <c:pt idx="684">
                  <c:v>5.6994046381483743E-8</c:v>
                </c:pt>
                <c:pt idx="685">
                  <c:v>5.2468550855525518E-8</c:v>
                </c:pt>
                <c:pt idx="686">
                  <c:v>4.829409899721316E-8</c:v>
                </c:pt>
                <c:pt idx="687">
                  <c:v>4.4444141274770797E-8</c:v>
                </c:pt>
                <c:pt idx="688">
                  <c:v>4.0894081266157794E-8</c:v>
                </c:pt>
                <c:pt idx="689">
                  <c:v>3.7621136305381933E-8</c:v>
                </c:pt>
                <c:pt idx="690">
                  <c:v>3.4604207737651698E-8</c:v>
                </c:pt>
                <c:pt idx="691">
                  <c:v>3.1823760145990983E-8</c:v>
                </c:pt>
                <c:pt idx="692">
                  <c:v>2.9261708952414355E-8</c:v>
                </c:pt>
                <c:pt idx="693">
                  <c:v>2.6901315834692615E-8</c:v>
                </c:pt>
                <c:pt idx="694">
                  <c:v>2.4727091435482862E-8</c:v>
                </c:pt>
                <c:pt idx="695">
                  <c:v>2.2724704874082387E-8</c:v>
                </c:pt>
                <c:pt idx="696">
                  <c:v>2.0880899602599277E-8</c:v>
                </c:pt>
                <c:pt idx="697">
                  <c:v>1.9183415177879831E-8</c:v>
                </c:pt>
                <c:pt idx="698">
                  <c:v>1.7620914548286708E-8</c:v>
                </c:pt>
                <c:pt idx="699">
                  <c:v>1.6182916480467336E-8</c:v>
                </c:pt>
                <c:pt idx="700">
                  <c:v>1.4859732775701584E-8</c:v>
                </c:pt>
                <c:pt idx="701">
                  <c:v>1.3642409948327681E-8</c:v>
                </c:pt>
                <c:pt idx="702">
                  <c:v>1.2522675060213491E-8</c:v>
                </c:pt>
                <c:pt idx="703">
                  <c:v>1.1492885425434479E-8</c:v>
                </c:pt>
                <c:pt idx="704">
                  <c:v>1.054598191816634E-8</c:v>
                </c:pt>
                <c:pt idx="705">
                  <c:v>9.6754456344996457E-9</c:v>
                </c:pt>
                <c:pt idx="706">
                  <c:v>8.875257675474723E-9</c:v>
                </c:pt>
                <c:pt idx="707">
                  <c:v>8.1398618341334287E-9</c:v>
                </c:pt>
                <c:pt idx="708">
                  <c:v>7.4641299839381311E-9</c:v>
                </c:pt>
                <c:pt idx="709">
                  <c:v>6.8433299794955581E-9</c:v>
                </c:pt>
                <c:pt idx="710">
                  <c:v>6.2730958932698568E-9</c:v>
                </c:pt>
                <c:pt idx="711">
                  <c:v>5.7494004238703622E-9</c:v>
                </c:pt>
                <c:pt idx="712">
                  <c:v>5.2685293226411299E-9</c:v>
                </c:pt>
                <c:pt idx="713">
                  <c:v>4.8270576957031443E-9</c:v>
                </c:pt>
                <c:pt idx="714">
                  <c:v>4.4218280483375841E-9</c:v>
                </c:pt>
                <c:pt idx="715">
                  <c:v>4.0499299477032527E-9</c:v>
                </c:pt>
                <c:pt idx="716">
                  <c:v>3.7086811883908543E-9</c:v>
                </c:pt>
                <c:pt idx="717">
                  <c:v>3.395610353260706E-9</c:v>
                </c:pt>
                <c:pt idx="718">
                  <c:v>3.1084406694387703E-9</c:v>
                </c:pt>
                <c:pt idx="719">
                  <c:v>2.8450750662750953E-9</c:v>
                </c:pt>
                <c:pt idx="720">
                  <c:v>2.6035823485432623E-9</c:v>
                </c:pt>
                <c:pt idx="721">
                  <c:v>2.3821844041948015E-9</c:v>
                </c:pt>
                <c:pt idx="722">
                  <c:v>2.1792443716222834E-9</c:v>
                </c:pt>
                <c:pt idx="723">
                  <c:v>1.9932556966432035E-9</c:v>
                </c:pt>
                <c:pt idx="724">
                  <c:v>1.8228320143159839E-9</c:v>
                </c:pt>
                <c:pt idx="725">
                  <c:v>1.6666977952787281E-9</c:v>
                </c:pt>
                <c:pt idx="726">
                  <c:v>1.5236797005567268E-9</c:v>
                </c:pt>
                <c:pt idx="727">
                  <c:v>1.3926985927639989E-9</c:v>
                </c:pt>
                <c:pt idx="728">
                  <c:v>1.2727621553220053E-9</c:v>
                </c:pt>
                <c:pt idx="729">
                  <c:v>1.1629580747680864E-9</c:v>
                </c:pt>
                <c:pt idx="730">
                  <c:v>1.0624477444395615E-9</c:v>
                </c:pt>
                <c:pt idx="731">
                  <c:v>9.704604508084575E-10</c:v>
                </c:pt>
                <c:pt idx="732">
                  <c:v>8.8628800652569302E-10</c:v>
                </c:pt>
                <c:pt idx="733">
                  <c:v>8.0927979682644533E-10</c:v>
                </c:pt>
                <c:pt idx="734">
                  <c:v>7.3883820835813788E-10</c:v>
                </c:pt>
                <c:pt idx="735">
                  <c:v>6.7441441173556808E-10</c:v>
                </c:pt>
                <c:pt idx="736">
                  <c:v>6.1550447121399524E-10</c:v>
                </c:pt>
                <c:pt idx="737">
                  <c:v>5.6164575681131743E-10</c:v>
                </c:pt>
                <c:pt idx="738">
                  <c:v>5.1241363601273196E-10</c:v>
                </c:pt>
                <c:pt idx="739">
                  <c:v>4.6741842386724888E-10</c:v>
                </c:pt>
                <c:pt idx="740">
                  <c:v>4.2630257184477747E-10</c:v>
                </c:pt>
                <c:pt idx="741">
                  <c:v>3.8873807726652735E-10</c:v>
                </c:pt>
                <c:pt idx="742">
                  <c:v>3.5442409646678778E-10</c:v>
                </c:pt>
                <c:pt idx="743">
                  <c:v>3.2308474609225956E-10</c:v>
                </c:pt>
                <c:pt idx="744">
                  <c:v>2.9446707810266754E-10</c:v>
                </c:pt>
                <c:pt idx="745">
                  <c:v>2.6833921511185554E-10</c:v>
                </c:pt>
                <c:pt idx="746">
                  <c:v>2.4448863370667666E-10</c:v>
                </c:pt>
                <c:pt idx="747">
                  <c:v>2.2272058430631114E-10</c:v>
                </c:pt>
                <c:pt idx="748">
                  <c:v>2.0285663698339389E-10</c:v>
                </c:pt>
                <c:pt idx="749">
                  <c:v>1.8473334346444347E-10</c:v>
                </c:pt>
                <c:pt idx="750">
                  <c:v>1.6820100626534703E-10</c:v>
                </c:pt>
                <c:pt idx="751">
                  <c:v>1.531225466019508E-10</c:v>
                </c:pt>
                <c:pt idx="752">
                  <c:v>1.3937246334959839E-10</c:v>
                </c:pt>
                <c:pt idx="753">
                  <c:v>1.2683587591350324E-10</c:v>
                </c:pt>
                <c:pt idx="754">
                  <c:v>1.1540764441545006E-10</c:v>
                </c:pt>
                <c:pt idx="755">
                  <c:v>1.0499156110672478E-10</c:v>
                </c:pt>
                <c:pt idx="756">
                  <c:v>9.5499607383641049E-11</c:v>
                </c:pt>
                <c:pt idx="757">
                  <c:v>8.6851271213992587E-11</c:v>
                </c:pt>
                <c:pt idx="758">
                  <c:v>7.8972920182698586E-11</c:v>
                </c:pt>
                <c:pt idx="759">
                  <c:v>7.1797225734557937E-11</c:v>
                </c:pt>
                <c:pt idx="760">
                  <c:v>6.5262634534485866E-11</c:v>
                </c:pt>
                <c:pt idx="761">
                  <c:v>5.9312883182035327E-11</c:v>
                </c:pt>
                <c:pt idx="762">
                  <c:v>5.3896552809600281E-11</c:v>
                </c:pt>
                <c:pt idx="763">
                  <c:v>4.8966660364288827E-11</c:v>
                </c:pt>
                <c:pt idx="764">
                  <c:v>4.4480283623628498E-11</c:v>
                </c:pt>
                <c:pt idx="765">
                  <c:v>4.0398217226266321E-11</c:v>
                </c:pt>
                <c:pt idx="766">
                  <c:v>3.6684657212323159E-11</c:v>
                </c:pt>
                <c:pt idx="767">
                  <c:v>3.3306911765376792E-11</c:v>
                </c:pt>
                <c:pt idx="768">
                  <c:v>3.0235136030059544E-11</c:v>
                </c:pt>
                <c:pt idx="769">
                  <c:v>2.7442089047460753E-11</c:v>
                </c:pt>
                <c:pt idx="770">
                  <c:v>2.4902911005775749E-11</c:v>
                </c:pt>
                <c:pt idx="771">
                  <c:v>2.2594919146853318E-11</c:v>
                </c:pt>
                <c:pt idx="772">
                  <c:v>2.0497420801462954E-11</c:v>
                </c:pt>
                <c:pt idx="773">
                  <c:v>1.8591542148111124E-11</c:v>
                </c:pt>
                <c:pt idx="774">
                  <c:v>1.6860071402621962E-11</c:v>
                </c:pt>
                <c:pt idx="775">
                  <c:v>1.5287315249432918E-11</c:v>
                </c:pt>
                <c:pt idx="776">
                  <c:v>1.3858967421194928E-11</c:v>
                </c:pt>
                <c:pt idx="777">
                  <c:v>1.2561988421321948E-11</c:v>
                </c:pt>
                <c:pt idx="778">
                  <c:v>1.138449546539822E-11</c:v>
                </c:pt>
                <c:pt idx="779">
                  <c:v>1.0315661792146968E-11</c:v>
                </c:pt>
                <c:pt idx="780">
                  <c:v>9.3456245635839323E-12</c:v>
                </c:pt>
                <c:pt idx="781">
                  <c:v>8.4654006374571326E-12</c:v>
                </c:pt>
                <c:pt idx="782">
                  <c:v>7.6668095535041595E-12</c:v>
                </c:pt>
                <c:pt idx="783">
                  <c:v>6.942403128864441E-12</c:v>
                </c:pt>
                <c:pt idx="784">
                  <c:v>6.2854011074962876E-12</c:v>
                </c:pt>
                <c:pt idx="785">
                  <c:v>5.6896323540042646E-12</c:v>
                </c:pt>
                <c:pt idx="786">
                  <c:v>5.1494811242077466E-12</c:v>
                </c:pt>
                <c:pt idx="787">
                  <c:v>4.6598379833241278E-12</c:v>
                </c:pt>
                <c:pt idx="788">
                  <c:v>4.2160549781026212E-12</c:v>
                </c:pt>
                <c:pt idx="789">
                  <c:v>3.8139047018380628E-12</c:v>
                </c:pt>
                <c:pt idx="790">
                  <c:v>3.4495429211556486E-12</c:v>
                </c:pt>
                <c:pt idx="791">
                  <c:v>3.1194744609983303E-12</c:v>
                </c:pt>
                <c:pt idx="792">
                  <c:v>2.8205220695480956E-12</c:v>
                </c:pt>
                <c:pt idx="793">
                  <c:v>2.5497980080583337E-12</c:v>
                </c:pt>
                <c:pt idx="794">
                  <c:v>2.3046781319206793E-12</c:v>
                </c:pt>
                <c:pt idx="795">
                  <c:v>2.0827782488964473E-12</c:v>
                </c:pt>
                <c:pt idx="796">
                  <c:v>1.8819325584381337E-12</c:v>
                </c:pt>
                <c:pt idx="797">
                  <c:v>1.700173992547641E-12</c:v>
                </c:pt>
                <c:pt idx="798">
                  <c:v>1.5357162937793398E-12</c:v>
                </c:pt>
                <c:pt idx="799">
                  <c:v>1.3869376799046519E-12</c:v>
                </c:pt>
                <c:pt idx="800">
                  <c:v>1.2523659575158438E-12</c:v>
                </c:pt>
                <c:pt idx="801">
                  <c:v>1.1306649585507905E-12</c:v>
                </c:pt>
                <c:pt idx="802">
                  <c:v>1.0206221844493464E-12</c:v>
                </c:pt>
                <c:pt idx="803">
                  <c:v>9.211375524918457E-13</c:v>
                </c:pt>
                <c:pt idx="804">
                  <c:v>8.3121314788658378E-13</c:v>
                </c:pt>
                <c:pt idx="805">
                  <c:v>7.4994389343763972E-13</c:v>
                </c:pt>
                <c:pt idx="806">
                  <c:v>6.7650905619410056E-13</c:v>
                </c:pt>
                <c:pt idx="807">
                  <c:v>6.1016451741801463E-13</c:v>
                </c:pt>
                <c:pt idx="808">
                  <c:v>5.5023573856061806E-13</c:v>
                </c:pt>
                <c:pt idx="809">
                  <c:v>4.9611136175076094E-13</c:v>
                </c:pt>
                <c:pt idx="810">
                  <c:v>4.4723738862537617E-13</c:v>
                </c:pt>
                <c:pt idx="811">
                  <c:v>4.0311188620444953E-13</c:v>
                </c:pt>
                <c:pt idx="812">
                  <c:v>3.6328017297256708E-13</c:v>
                </c:pt>
                <c:pt idx="813">
                  <c:v>3.2733044240969643E-13</c:v>
                </c:pt>
                <c:pt idx="814">
                  <c:v>2.9488978494579178E-13</c:v>
                </c:pt>
                <c:pt idx="815">
                  <c:v>2.6562057272734465E-13</c:v>
                </c:pt>
                <c:pt idx="816">
                  <c:v>2.3921717470541904E-13</c:v>
                </c:pt>
                <c:pt idx="817">
                  <c:v>2.1540297240761008E-13</c:v>
                </c:pt>
                <c:pt idx="818">
                  <c:v>1.9392764936441673E-13</c:v>
                </c:pt>
                <c:pt idx="819">
                  <c:v>1.7456472954405777E-13</c:v>
                </c:pt>
                <c:pt idx="820">
                  <c:v>1.5710934232663012E-13</c:v>
                </c:pt>
                <c:pt idx="821">
                  <c:v>1.4137619353795482E-13</c:v>
                </c:pt>
                <c:pt idx="822">
                  <c:v>1.2719772387967663E-13</c:v>
                </c:pt>
                <c:pt idx="823">
                  <c:v>1.1442243775085148E-13</c:v>
                </c:pt>
                <c:pt idx="824">
                  <c:v>1.0291338697061202E-13</c:v>
                </c:pt>
                <c:pt idx="825">
                  <c:v>9.2546795293350269E-14</c:v>
                </c:pt>
                <c:pt idx="826">
                  <c:v>8.3210810869313218E-14</c:v>
                </c:pt>
                <c:pt idx="827">
                  <c:v>7.4804374953977358E-14</c:v>
                </c:pt>
                <c:pt idx="828">
                  <c:v>6.7236196219426649E-14</c:v>
                </c:pt>
                <c:pt idx="829">
                  <c:v>6.042382097822895E-14</c:v>
                </c:pt>
                <c:pt idx="830">
                  <c:v>5.4292790503142753E-14</c:v>
                </c:pt>
                <c:pt idx="831">
                  <c:v>4.8775877421950123E-14</c:v>
                </c:pt>
                <c:pt idx="832">
                  <c:v>4.3812393891961917E-14</c:v>
                </c:pt>
                <c:pt idx="833">
                  <c:v>3.9347564919792025E-14</c:v>
                </c:pt>
                <c:pt idx="834">
                  <c:v>3.5331960794300259E-14</c:v>
                </c:pt>
                <c:pt idx="835">
                  <c:v>3.1720983149269784E-14</c:v>
                </c:pt>
                <c:pt idx="836">
                  <c:v>2.8474399671986569E-14</c:v>
                </c:pt>
                <c:pt idx="837">
                  <c:v>2.5555922928960102E-14</c:v>
                </c:pt>
                <c:pt idx="838">
                  <c:v>2.2932829194302239E-14</c:v>
                </c:pt>
                <c:pt idx="839">
                  <c:v>2.0575613543247333E-14</c:v>
                </c:pt>
                <c:pt idx="840">
                  <c:v>1.8457677816522937E-14</c:v>
                </c:pt>
                <c:pt idx="841">
                  <c:v>1.6555048373496684E-14</c:v>
                </c:pt>
                <c:pt idx="842">
                  <c:v>1.4846120836018978E-14</c:v>
                </c:pt>
                <c:pt idx="843">
                  <c:v>1.3311429283237639E-14</c:v>
                </c:pt>
                <c:pt idx="844">
                  <c:v>1.1933437592606203E-14</c:v>
                </c:pt>
                <c:pt idx="845">
                  <c:v>1.0696350835842181E-14</c:v>
                </c:pt>
                <c:pt idx="846">
                  <c:v>9.5859448327559341E-15</c:v>
                </c:pt>
                <c:pt idx="847">
                  <c:v>8.5894121423415029E-15</c:v>
                </c:pt>
                <c:pt idx="848">
                  <c:v>7.6952229308043319E-15</c:v>
                </c:pt>
                <c:pt idx="849">
                  <c:v>6.8929993018781681E-15</c:v>
                </c:pt>
                <c:pt idx="850">
                  <c:v>6.1734018070800268E-15</c:v>
                </c:pt>
                <c:pt idx="851">
                  <c:v>5.5280269736849529E-15</c:v>
                </c:pt>
                <c:pt idx="852">
                  <c:v>4.9493147972895637E-15</c:v>
                </c:pt>
                <c:pt idx="853">
                  <c:v>4.4304652448538529E-15</c:v>
                </c:pt>
                <c:pt idx="854">
                  <c:v>3.9653629039865209E-15</c:v>
                </c:pt>
                <c:pt idx="855">
                  <c:v>3.5485089957884948E-15</c:v>
                </c:pt>
                <c:pt idx="856">
                  <c:v>3.174960042564535E-15</c:v>
                </c:pt>
                <c:pt idx="857">
                  <c:v>2.8402725488203877E-15</c:v>
                </c:pt>
                <c:pt idx="858">
                  <c:v>2.5404531148346235E-15</c:v>
                </c:pt>
                <c:pt idx="859">
                  <c:v>2.2719134572861422E-15</c:v>
                </c:pt>
                <c:pt idx="860">
                  <c:v>2.0314298614433547E-15</c:v>
                </c:pt>
                <c:pt idx="861">
                  <c:v>1.8161066347776975E-15</c:v>
                </c:pt>
                <c:pt idx="862">
                  <c:v>1.6233431729609739E-15</c:v>
                </c:pt>
                <c:pt idx="863">
                  <c:v>1.4508042864346507E-15</c:v>
                </c:pt>
                <c:pt idx="864">
                  <c:v>1.296393469475051E-15</c:v>
                </c:pt>
                <c:pt idx="865">
                  <c:v>1.1582288242272744E-15</c:v>
                </c:pt>
                <c:pt idx="866">
                  <c:v>1.0346213798429516E-15</c:v>
                </c:pt>
                <c:pt idx="867">
                  <c:v>9.2405557190179936E-16</c:v>
                </c:pt>
                <c:pt idx="868">
                  <c:v>8.2517166996895719E-16</c:v>
                </c:pt>
                <c:pt idx="869">
                  <c:v>7.3674996165694159E-16</c:v>
                </c:pt>
                <c:pt idx="870">
                  <c:v>6.5769652012581439E-16</c:v>
                </c:pt>
                <c:pt idx="871">
                  <c:v>5.8703039874984422E-16</c:v>
                </c:pt>
                <c:pt idx="872">
                  <c:v>5.2387211187076459E-16</c:v>
                </c:pt>
                <c:pt idx="873">
                  <c:v>4.6743327429604448E-16</c:v>
                </c:pt>
                <c:pt idx="874">
                  <c:v>4.1700728462027795E-16</c:v>
                </c:pt>
                <c:pt idx="875">
                  <c:v>3.7196094867837336E-16</c:v>
                </c:pt>
                <c:pt idx="876">
                  <c:v>3.3172694958670811E-16</c:v>
                </c:pt>
                <c:pt idx="877">
                  <c:v>2.9579707999978866E-16</c:v>
                </c:pt>
                <c:pt idx="878">
                  <c:v>2.6371616049557901E-16</c:v>
                </c:pt>
                <c:pt idx="879">
                  <c:v>2.3507657548749468E-16</c:v>
                </c:pt>
                <c:pt idx="880">
                  <c:v>2.0951336482045367E-16</c:v>
                </c:pt>
                <c:pt idx="881">
                  <c:v>1.8669981531226868E-16</c:v>
                </c:pt>
                <c:pt idx="882">
                  <c:v>1.6634350201234391E-16</c:v>
                </c:pt>
                <c:pt idx="883">
                  <c:v>1.4818273392349189E-16</c:v>
                </c:pt>
                <c:pt idx="884">
                  <c:v>1.3198336342155866E-16</c:v>
                </c:pt>
                <c:pt idx="885">
                  <c:v>1.1753592265797359E-16</c:v>
                </c:pt>
                <c:pt idx="886">
                  <c:v>1.0465305388427096E-16</c:v>
                </c:pt>
                <c:pt idx="887">
                  <c:v>9.3167203933094608E-17</c:v>
                </c:pt>
                <c:pt idx="888">
                  <c:v>8.2928556062418799E-17</c:v>
                </c:pt>
                <c:pt idx="889">
                  <c:v>7.3803175049432286E-17</c:v>
                </c:pt>
                <c:pt idx="890">
                  <c:v>6.5671343835929405E-17</c:v>
                </c:pt>
                <c:pt idx="891">
                  <c:v>5.8426072204442661E-17</c:v>
                </c:pt>
                <c:pt idx="892">
                  <c:v>5.1971759802068803E-17</c:v>
                </c:pt>
                <c:pt idx="893">
                  <c:v>4.6222998480097717E-17</c:v>
                </c:pt>
                <c:pt idx="894">
                  <c:v>4.1103497934745353E-17</c:v>
                </c:pt>
                <c:pt idx="895">
                  <c:v>3.6545123767866424E-17</c:v>
                </c:pt>
                <c:pt idx="896">
                  <c:v>3.2487036405169978E-17</c:v>
                </c:pt>
                <c:pt idx="897">
                  <c:v>2.8874918747487333E-17</c:v>
                </c:pt>
                <c:pt idx="898">
                  <c:v>2.5660285176366047E-17</c:v>
                </c:pt>
                <c:pt idx="899">
                  <c:v>2.2799862760190786E-17</c:v>
                </c:pt>
                <c:pt idx="900">
                  <c:v>2.0255037326691679E-17</c:v>
                </c:pt>
                <c:pt idx="901">
                  <c:v>1.7991357688174775E-17</c:v>
                </c:pt>
                <c:pt idx="902">
                  <c:v>1.5978091991427733E-17</c:v>
                </c:pt>
                <c:pt idx="903">
                  <c:v>1.4187830780891196E-17</c:v>
                </c:pt>
                <c:pt idx="904">
                  <c:v>1.2596131918092298E-17</c:v>
                </c:pt>
                <c:pt idx="905">
                  <c:v>1.1181202998698714E-17</c:v>
                </c:pt>
                <c:pt idx="906">
                  <c:v>9.923617356534377E-18</c:v>
                </c:pt>
                <c:pt idx="907">
                  <c:v>8.8060601464307147E-18</c:v>
                </c:pt>
                <c:pt idx="908">
                  <c:v>7.8131013594500427E-18</c:v>
                </c:pt>
                <c:pt idx="909">
                  <c:v>6.9309929489416503E-18</c:v>
                </c:pt>
                <c:pt idx="910">
                  <c:v>6.1474875376643532E-18</c:v>
                </c:pt>
                <c:pt idx="911">
                  <c:v>5.4516764382453614E-18</c:v>
                </c:pt>
                <c:pt idx="912">
                  <c:v>4.8338449545109384E-18</c:v>
                </c:pt>
                <c:pt idx="913">
                  <c:v>4.2853431423822825E-18</c:v>
                </c:pt>
                <c:pt idx="914">
                  <c:v>3.7984703985605272E-18</c:v>
                </c:pt>
                <c:pt idx="915">
                  <c:v>3.366372415294694E-18</c:v>
                </c:pt>
                <c:pt idx="916">
                  <c:v>2.9829491920956073E-18</c:v>
                </c:pt>
                <c:pt idx="917">
                  <c:v>2.6427729321157103E-18</c:v>
                </c:pt>
                <c:pt idx="918">
                  <c:v>2.3410147736583621E-18</c:v>
                </c:pt>
                <c:pt idx="919">
                  <c:v>2.0733794173308327E-18</c:v>
                </c:pt>
                <c:pt idx="920">
                  <c:v>1.8360468080205682E-18</c:v>
                </c:pt>
                <c:pt idx="921">
                  <c:v>1.6256201193136449E-18</c:v>
                </c:pt>
                <c:pt idx="922">
                  <c:v>1.439079367227086E-18</c:v>
                </c:pt>
                <c:pt idx="923">
                  <c:v>1.2737400511418418E-18</c:v>
                </c:pt>
                <c:pt idx="924">
                  <c:v>1.127216283440453E-18</c:v>
                </c:pt>
                <c:pt idx="925">
                  <c:v>9.973879263352285E-19</c:v>
                </c:pt>
                <c:pt idx="926">
                  <c:v>8.8237130540154421E-19</c:v>
                </c:pt>
                <c:pt idx="927">
                  <c:v>7.8049311502005221E-19</c:v>
                </c:pt>
                <c:pt idx="928">
                  <c:v>6.902671718324385E-19</c:v>
                </c:pt>
                <c:pt idx="929">
                  <c:v>6.1037370892440686E-19</c:v>
                </c:pt>
                <c:pt idx="930">
                  <c:v>5.3964093620782547E-19</c:v>
                </c:pt>
                <c:pt idx="931">
                  <c:v>4.7702862178649944E-19</c:v>
                </c:pt>
                <c:pt idx="932">
                  <c:v>4.2161347530898265E-19</c:v>
                </c:pt>
                <c:pt idx="933">
                  <c:v>3.7257613776328897E-19</c:v>
                </c:pt>
                <c:pt idx="934">
                  <c:v>3.2918960313955277E-19</c:v>
                </c:pt>
                <c:pt idx="935">
                  <c:v>2.9080891613534043E-19</c:v>
                </c:pt>
                <c:pt idx="936">
                  <c:v>2.568620068392244E-19</c:v>
                </c:pt>
                <c:pt idx="937">
                  <c:v>2.2684153830722522E-19</c:v>
                </c:pt>
                <c:pt idx="938">
                  <c:v>2.0029765633271252E-19</c:v>
                </c:pt>
                <c:pt idx="939">
                  <c:v>1.7683154266889082E-19</c:v>
                </c:pt>
                <c:pt idx="940">
                  <c:v>1.560896836459702E-19</c:v>
                </c:pt>
                <c:pt idx="941">
                  <c:v>1.3775877566544765E-19</c:v>
                </c:pt>
                <c:pt idx="942">
                  <c:v>1.2156119757370329E-19</c:v>
                </c:pt>
                <c:pt idx="943">
                  <c:v>1.0725098752268885E-19</c:v>
                </c:pt>
                <c:pt idx="944">
                  <c:v>9.4610268715027154E-20</c:v>
                </c:pt>
                <c:pt idx="945">
                  <c:v>8.3446074489979832E-20</c:v>
                </c:pt>
                <c:pt idx="946">
                  <c:v>7.3587528613278017E-20</c:v>
                </c:pt>
                <c:pt idx="947">
                  <c:v>6.48833414578339E-20</c:v>
                </c:pt>
                <c:pt idx="948">
                  <c:v>5.7199587064328359E-20</c:v>
                </c:pt>
                <c:pt idx="949">
                  <c:v>5.0417729908265409E-20</c:v>
                </c:pt>
                <c:pt idx="950">
                  <c:v>4.4432873621384964E-20</c:v>
                </c:pt>
                <c:pt idx="951">
                  <c:v>3.9152206965637153E-20</c:v>
                </c:pt>
                <c:pt idx="952">
                  <c:v>3.4493625076823247E-20</c:v>
                </c:pt>
                <c:pt idx="953">
                  <c:v>3.0384506417971619E-20</c:v>
                </c:pt>
                <c:pt idx="954">
                  <c:v>2.6760628041629462E-20</c:v>
                </c:pt>
                <c:pt idx="955">
                  <c:v>2.356520368363915E-20</c:v>
                </c:pt>
                <c:pt idx="956">
                  <c:v>2.0748030924134415E-20</c:v>
                </c:pt>
                <c:pt idx="957">
                  <c:v>1.8264735177234689E-20</c:v>
                </c:pt>
                <c:pt idx="958">
                  <c:v>1.6076099629478762E-20</c:v>
                </c:pt>
                <c:pt idx="959">
                  <c:v>1.414747145631747E-20</c:v>
                </c:pt>
                <c:pt idx="960">
                  <c:v>1.2448235722557104E-20</c:v>
                </c:pt>
                <c:pt idx="961">
                  <c:v>1.0951349330549076E-20</c:v>
                </c:pt>
                <c:pt idx="962">
                  <c:v>9.6329282323045398E-21</c:v>
                </c:pt>
                <c:pt idx="963">
                  <c:v>8.4718818800262279E-21</c:v>
                </c:pt>
                <c:pt idx="964">
                  <c:v>7.4495895639565618E-21</c:v>
                </c:pt>
                <c:pt idx="965">
                  <c:v>6.5496138862611392E-21</c:v>
                </c:pt>
                <c:pt idx="966">
                  <c:v>5.7574471529459198E-21</c:v>
                </c:pt>
                <c:pt idx="967">
                  <c:v>5.0602869398961737E-21</c:v>
                </c:pt>
                <c:pt idx="968">
                  <c:v>4.4468375105178895E-21</c:v>
                </c:pt>
                <c:pt idx="969">
                  <c:v>3.907134136902071E-21</c:v>
                </c:pt>
                <c:pt idx="970">
                  <c:v>3.4323877091812977E-21</c:v>
                </c:pt>
                <c:pt idx="971">
                  <c:v>3.0148473132923998E-21</c:v>
                </c:pt>
                <c:pt idx="972">
                  <c:v>2.6476787198930357E-21</c:v>
                </c:pt>
                <c:pt idx="973">
                  <c:v>2.3248569603135596E-21</c:v>
                </c:pt>
                <c:pt idx="974">
                  <c:v>2.0410713724111436E-21</c:v>
                </c:pt>
                <c:pt idx="975">
                  <c:v>1.7916416829532491E-21</c:v>
                </c:pt>
                <c:pt idx="976">
                  <c:v>1.5724438562440243E-21</c:v>
                </c:pt>
                <c:pt idx="977">
                  <c:v>1.3798445834449034E-21</c:v>
                </c:pt>
                <c:pt idx="978">
                  <c:v>1.2106434154529594E-21</c:v>
                </c:pt>
                <c:pt idx="979">
                  <c:v>1.0620216561131285E-21</c:v>
                </c:pt>
                <c:pt idx="980">
                  <c:v>9.3149723358252193E-22</c:v>
                </c:pt>
                <c:pt idx="981">
                  <c:v>8.1688485726096174E-22</c:v>
                </c:pt>
                <c:pt idx="982">
                  <c:v>7.1626084714503614E-22</c:v>
                </c:pt>
                <c:pt idx="983">
                  <c:v>6.2793209288473608E-22</c:v>
                </c:pt>
                <c:pt idx="984">
                  <c:v>5.504086622398055E-22</c:v>
                </c:pt>
                <c:pt idx="985">
                  <c:v>4.8237963394590703E-22</c:v>
                </c:pt>
                <c:pt idx="986">
                  <c:v>4.2269177900672841E-22</c:v>
                </c:pt>
                <c:pt idx="987">
                  <c:v>3.7033075784306787E-22</c:v>
                </c:pt>
                <c:pt idx="988">
                  <c:v>3.2440453918096946E-22</c:v>
                </c:pt>
                <c:pt idx="989">
                  <c:v>2.8412878061143735E-22</c:v>
                </c:pt>
                <c:pt idx="990">
                  <c:v>2.4881394090199622E-22</c:v>
                </c:pt>
                <c:pt idx="991">
                  <c:v>2.1785392082965915E-22</c:v>
                </c:pt>
                <c:pt idx="992">
                  <c:v>1.907160529251999E-22</c:v>
                </c:pt>
                <c:pt idx="993">
                  <c:v>1.6693228142187819E-22</c:v>
                </c:pt>
                <c:pt idx="994">
                  <c:v>1.4609139219673582E-22</c:v>
                </c:pt>
                <c:pt idx="995">
                  <c:v>1.2783216885274098E-22</c:v>
                </c:pt>
                <c:pt idx="996">
                  <c:v>1.1183736556068167E-22</c:v>
                </c:pt>
                <c:pt idx="997">
                  <c:v>9.7828400075848431E-23</c:v>
                </c:pt>
                <c:pt idx="998">
                  <c:v>8.556068165864727E-23</c:v>
                </c:pt>
                <c:pt idx="999">
                  <c:v>7.4819498629785423E-23</c:v>
                </c:pt>
              </c:numCache>
            </c:numRef>
          </c:yVal>
        </c:ser>
        <c:ser>
          <c:idx val="6"/>
          <c:order val="11"/>
          <c:spPr>
            <a:ln w="28575">
              <a:noFill/>
            </a:ln>
          </c:spPr>
          <c:marker>
            <c:symbol val="diamond"/>
            <c:size val="7"/>
            <c:spPr>
              <a:solidFill>
                <a:srgbClr val="993300"/>
              </a:solidFill>
              <a:ln>
                <a:solidFill>
                  <a:srgbClr val="993300"/>
                </a:solidFill>
                <a:prstDash val="solid"/>
              </a:ln>
            </c:spPr>
          </c:marker>
          <c:errBars>
            <c:errDir val="y"/>
            <c:errBarType val="plus"/>
            <c:errValType val="cust"/>
            <c:noEndCap val="1"/>
            <c:plus>
              <c:numRef>
                <c:f>'Precision paired'!$G$78</c:f>
                <c:numCache>
                  <c:formatCode>General</c:formatCode>
                  <c:ptCount val="1"/>
                  <c:pt idx="0">
                    <c:v>58</c:v>
                  </c:pt>
                </c:numCache>
              </c:numRef>
            </c:plus>
            <c:spPr>
              <a:ln w="25400">
                <a:solidFill>
                  <a:srgbClr val="993300"/>
                </a:solidFill>
                <a:prstDash val="solid"/>
              </a:ln>
            </c:spPr>
          </c:errBars>
          <c:xVal>
            <c:numRef>
              <c:f>'Precision paired'!$D$77</c:f>
              <c:numCache>
                <c:formatCode>General</c:formatCode>
                <c:ptCount val="1"/>
                <c:pt idx="0">
                  <c:v>0.45</c:v>
                </c:pt>
              </c:numCache>
            </c:numRef>
          </c:xVal>
          <c:yVal>
            <c:numRef>
              <c:f>'Precision paired'!$E$77</c:f>
              <c:numCache>
                <c:formatCode>General</c:formatCode>
                <c:ptCount val="1"/>
                <c:pt idx="0">
                  <c:v>0</c:v>
                </c:pt>
              </c:numCache>
            </c:numRef>
          </c:yVal>
        </c:ser>
        <c:ser>
          <c:idx val="13"/>
          <c:order val="12"/>
          <c:spPr>
            <a:ln w="28575">
              <a:noFill/>
            </a:ln>
          </c:spPr>
          <c:marker>
            <c:symbol val="none"/>
          </c:marker>
          <c:dLbls>
            <c:spPr>
              <a:solidFill>
                <a:srgbClr val="FFFFFF"/>
              </a:solidFill>
              <a:ln w="25400">
                <a:noFill/>
              </a:ln>
            </c:spPr>
            <c:txPr>
              <a:bodyPr/>
              <a:lstStyle/>
              <a:p>
                <a:pPr>
                  <a:defRPr sz="1000" b="1" i="0" u="none" strike="noStrike" baseline="0">
                    <a:solidFill>
                      <a:srgbClr val="000000"/>
                    </a:solidFill>
                    <a:latin typeface="Arial"/>
                    <a:ea typeface="Arial"/>
                    <a:cs typeface="Arial"/>
                  </a:defRPr>
                </a:pPr>
                <a:endParaRPr lang="en-US"/>
              </a:p>
            </c:txPr>
            <c:dLblPos val="b"/>
            <c:showVal val="1"/>
          </c:dLbls>
          <c:xVal>
            <c:numRef>
              <c:f>'Precision paired'!$C$81</c:f>
              <c:numCache>
                <c:formatCode>General</c:formatCode>
                <c:ptCount val="1"/>
                <c:pt idx="0">
                  <c:v>0.45</c:v>
                </c:pt>
              </c:numCache>
            </c:numRef>
          </c:xVal>
          <c:yVal>
            <c:numRef>
              <c:f>'Precision paired'!$D$81</c:f>
              <c:numCache>
                <c:formatCode>General</c:formatCode>
                <c:ptCount val="1"/>
                <c:pt idx="0">
                  <c:v>14</c:v>
                </c:pt>
              </c:numCache>
            </c:numRef>
          </c:yVal>
        </c:ser>
        <c:ser>
          <c:idx val="7"/>
          <c:order val="13"/>
          <c:spPr>
            <a:ln w="28575">
              <a:noFill/>
            </a:ln>
          </c:spPr>
          <c:marker>
            <c:symbol val="none"/>
          </c:marker>
          <c:dLbls>
            <c:dLbl>
              <c:idx val="0"/>
              <c:spPr>
                <a:solidFill>
                  <a:srgbClr val="FFFFFF"/>
                </a:solidFill>
                <a:ln w="25400">
                  <a:noFill/>
                </a:ln>
              </c:spPr>
              <c:txPr>
                <a:bodyPr/>
                <a:lstStyle/>
                <a:p>
                  <a:pPr>
                    <a:defRPr sz="1000" b="1" i="0" u="none" strike="noStrike" baseline="0">
                      <a:solidFill>
                        <a:srgbClr val="FF0000"/>
                      </a:solidFill>
                      <a:latin typeface="Arial"/>
                      <a:ea typeface="Arial"/>
                      <a:cs typeface="Arial"/>
                    </a:defRPr>
                  </a:pPr>
                  <a:endParaRPr lang="en-US"/>
                </a:p>
              </c:txPr>
            </c:dLbl>
            <c:dLbl>
              <c:idx val="1"/>
              <c:spPr>
                <a:solidFill>
                  <a:srgbClr val="FFFFFF"/>
                </a:solidFill>
                <a:ln w="25400">
                  <a:noFill/>
                </a:ln>
              </c:spPr>
              <c:txPr>
                <a:bodyPr/>
                <a:lstStyle/>
                <a:p>
                  <a:pPr>
                    <a:defRPr sz="1000" b="1" i="0" u="none" strike="noStrike" baseline="0">
                      <a:solidFill>
                        <a:srgbClr val="808080"/>
                      </a:solidFill>
                      <a:latin typeface="Arial"/>
                      <a:ea typeface="Arial"/>
                      <a:cs typeface="Arial"/>
                    </a:defRPr>
                  </a:pPr>
                  <a:endParaRPr lang="en-US"/>
                </a:p>
              </c:txPr>
              <c:dLblPos val="b"/>
              <c:showVal val="1"/>
            </c:dLbl>
            <c:dLbl>
              <c:idx val="2"/>
              <c:spPr>
                <a:solidFill>
                  <a:srgbClr val="FFFFFF"/>
                </a:solidFill>
                <a:ln w="25400">
                  <a:noFill/>
                </a:ln>
              </c:spPr>
              <c:txPr>
                <a:bodyPr/>
                <a:lstStyle/>
                <a:p>
                  <a:pPr>
                    <a:defRPr sz="1025" b="0" i="0" u="none" strike="noStrike" baseline="0">
                      <a:solidFill>
                        <a:srgbClr val="000000"/>
                      </a:solidFill>
                      <a:latin typeface="Arial"/>
                      <a:ea typeface="Arial"/>
                      <a:cs typeface="Arial"/>
                    </a:defRPr>
                  </a:pPr>
                  <a:endParaRPr lang="en-US"/>
                </a:p>
              </c:txPr>
            </c:dLbl>
            <c:spPr>
              <a:solidFill>
                <a:srgbClr val="FFFFFF"/>
              </a:solidFill>
              <a:ln w="25400">
                <a:noFill/>
              </a:ln>
            </c:spPr>
            <c:txPr>
              <a:bodyPr/>
              <a:lstStyle/>
              <a:p>
                <a:pPr>
                  <a:defRPr sz="1000" b="1" i="0" u="none" strike="noStrike" baseline="0">
                    <a:solidFill>
                      <a:srgbClr val="000000"/>
                    </a:solidFill>
                    <a:latin typeface="Arial"/>
                    <a:ea typeface="Arial"/>
                    <a:cs typeface="Arial"/>
                  </a:defRPr>
                </a:pPr>
                <a:endParaRPr lang="en-US"/>
              </a:p>
            </c:txPr>
            <c:dLblPos val="t"/>
            <c:showVal val="1"/>
          </c:dLbls>
          <c:xVal>
            <c:numRef>
              <c:f>'Precision paired'!$C$79:$C$80</c:f>
              <c:numCache>
                <c:formatCode>General</c:formatCode>
                <c:ptCount val="2"/>
                <c:pt idx="0">
                  <c:v>0.45</c:v>
                </c:pt>
                <c:pt idx="1">
                  <c:v>0.45</c:v>
                </c:pt>
              </c:numCache>
            </c:numRef>
          </c:xVal>
          <c:yVal>
            <c:numRef>
              <c:f>'Precision paired'!$D$79:$D$80</c:f>
              <c:numCache>
                <c:formatCode>General</c:formatCode>
                <c:ptCount val="2"/>
                <c:pt idx="0">
                  <c:v>#N/A</c:v>
                </c:pt>
                <c:pt idx="1">
                  <c:v>#N/A</c:v>
                </c:pt>
              </c:numCache>
            </c:numRef>
          </c:yVal>
        </c:ser>
        <c:ser>
          <c:idx val="14"/>
          <c:order val="14"/>
          <c:spPr>
            <a:ln w="28575">
              <a:noFill/>
            </a:ln>
          </c:spPr>
          <c:marker>
            <c:symbol val="none"/>
          </c:marker>
          <c:dLbls>
            <c:dLbl>
              <c:idx val="0"/>
              <c:tx>
                <c:strRef>
                  <c:f>'Precision paired'!$D$81</c:f>
                  <c:strCache>
                    <c:ptCount val="1"/>
                    <c:pt idx="0">
                      <c:v>14</c:v>
                    </c:pt>
                  </c:strCache>
                </c:strRef>
              </c:tx>
              <c:dLblPos val="ctr"/>
            </c:dLbl>
            <c:spPr>
              <a:solidFill>
                <a:srgbClr val="FFFFFF"/>
              </a:solidFill>
              <a:ln w="25400">
                <a:noFill/>
              </a:ln>
            </c:spPr>
            <c:txPr>
              <a:bodyPr/>
              <a:lstStyle/>
              <a:p>
                <a:pPr>
                  <a:defRPr sz="1000" b="0" i="0" u="none" strike="noStrike" baseline="0">
                    <a:solidFill>
                      <a:srgbClr val="000000"/>
                    </a:solidFill>
                    <a:latin typeface="Arial"/>
                    <a:ea typeface="Arial"/>
                    <a:cs typeface="Arial"/>
                  </a:defRPr>
                </a:pPr>
                <a:endParaRPr lang="en-US"/>
              </a:p>
            </c:txPr>
            <c:dLblPos val="ctr"/>
            <c:showCatName val="1"/>
          </c:dLbls>
          <c:xVal>
            <c:numRef>
              <c:f>'Precision paired'!$B$83</c:f>
              <c:numCache>
                <c:formatCode>General</c:formatCode>
                <c:ptCount val="1"/>
                <c:pt idx="0">
                  <c:v>0.30600000000000022</c:v>
                </c:pt>
              </c:numCache>
            </c:numRef>
          </c:xVal>
          <c:yVal>
            <c:numRef>
              <c:f>'Precision paired'!$C$83</c:f>
              <c:numCache>
                <c:formatCode>General</c:formatCode>
                <c:ptCount val="1"/>
                <c:pt idx="0">
                  <c:v>1.0685904284061218</c:v>
                </c:pt>
              </c:numCache>
            </c:numRef>
          </c:yVal>
        </c:ser>
        <c:ser>
          <c:idx val="15"/>
          <c:order val="15"/>
          <c:spPr>
            <a:ln w="28575">
              <a:noFill/>
            </a:ln>
          </c:spPr>
          <c:marker>
            <c:symbol val="none"/>
          </c:marker>
          <c:dLbls>
            <c:dLbl>
              <c:idx val="0"/>
              <c:tx>
                <c:strRef>
                  <c:f>'Precision paired'!$D$79</c:f>
                  <c:strCache>
                    <c:ptCount val="1"/>
                    <c:pt idx="0">
                      <c:v>#N/A</c:v>
                    </c:pt>
                  </c:strCache>
                </c:strRef>
              </c:tx>
              <c:dLblPos val="ctr"/>
            </c:dLbl>
            <c:spPr>
              <a:solidFill>
                <a:srgbClr val="FFFFFF"/>
              </a:solidFill>
              <a:ln w="25400">
                <a:noFill/>
              </a:ln>
            </c:spPr>
            <c:txPr>
              <a:bodyPr/>
              <a:lstStyle/>
              <a:p>
                <a:pPr>
                  <a:defRPr sz="1000" b="0" i="0" u="none" strike="noStrike" baseline="0">
                    <a:solidFill>
                      <a:srgbClr val="FF0000"/>
                    </a:solidFill>
                    <a:latin typeface="Arial"/>
                    <a:ea typeface="Arial"/>
                    <a:cs typeface="Arial"/>
                  </a:defRPr>
                </a:pPr>
                <a:endParaRPr lang="en-US"/>
              </a:p>
            </c:txPr>
            <c:dLblPos val="ctr"/>
            <c:showCatName val="1"/>
          </c:dLbls>
          <c:xVal>
            <c:numRef>
              <c:f>'Precision paired'!$D$83</c:f>
              <c:numCache>
                <c:formatCode>General</c:formatCode>
                <c:ptCount val="1"/>
                <c:pt idx="0">
                  <c:v>#N/A</c:v>
                </c:pt>
              </c:numCache>
            </c:numRef>
          </c:xVal>
          <c:yVal>
            <c:numRef>
              <c:f>'Precision paired'!$E$83</c:f>
              <c:numCache>
                <c:formatCode>General</c:formatCode>
                <c:ptCount val="1"/>
                <c:pt idx="0">
                  <c:v>1.0685904284061218</c:v>
                </c:pt>
              </c:numCache>
            </c:numRef>
          </c:yVal>
        </c:ser>
        <c:ser>
          <c:idx val="16"/>
          <c:order val="16"/>
          <c:spPr>
            <a:ln w="28575">
              <a:noFill/>
            </a:ln>
          </c:spPr>
          <c:marker>
            <c:symbol val="none"/>
          </c:marker>
          <c:errBars>
            <c:errDir val="y"/>
            <c:errBarType val="plus"/>
            <c:errValType val="cust"/>
            <c:noEndCap val="1"/>
            <c:plus>
              <c:numRef>
                <c:f>'Precision paired'!$N$102</c:f>
                <c:numCache>
                  <c:formatCode>General</c:formatCode>
                  <c:ptCount val="1"/>
                  <c:pt idx="0">
                    <c:v>4.1675026707838754</c:v>
                  </c:pt>
                </c:numCache>
              </c:numRef>
            </c:plus>
            <c:spPr>
              <a:ln w="12700">
                <a:solidFill>
                  <a:srgbClr val="000000"/>
                </a:solidFill>
                <a:prstDash val="solid"/>
              </a:ln>
            </c:spPr>
          </c:errBars>
          <c:xVal>
            <c:numRef>
              <c:f>'Precision paired'!$L$102</c:f>
              <c:numCache>
                <c:formatCode>General</c:formatCode>
                <c:ptCount val="1"/>
                <c:pt idx="0">
                  <c:v>0.20375000000000018</c:v>
                </c:pt>
              </c:numCache>
            </c:numRef>
          </c:xVal>
          <c:yVal>
            <c:numRef>
              <c:f>'Precision paired'!$M$102</c:f>
              <c:numCache>
                <c:formatCode>General</c:formatCode>
                <c:ptCount val="1"/>
                <c:pt idx="0">
                  <c:v>0</c:v>
                </c:pt>
              </c:numCache>
            </c:numRef>
          </c:yVal>
        </c:ser>
        <c:axId val="100214656"/>
        <c:axId val="100220928"/>
      </c:scatterChart>
      <c:valAx>
        <c:axId val="100214656"/>
        <c:scaling>
          <c:orientation val="minMax"/>
          <c:max val="1.5"/>
          <c:min val="0"/>
        </c:scaling>
        <c:axPos val="b"/>
        <c:majorGridlines>
          <c:spPr>
            <a:ln w="3175">
              <a:pattFill prst="pct50">
                <a:fgClr>
                  <a:srgbClr val="C0C0C0"/>
                </a:fgClr>
                <a:bgClr>
                  <a:srgbClr val="FFFFFF"/>
                </a:bgClr>
              </a:pattFill>
              <a:prstDash val="solid"/>
            </a:ln>
          </c:spPr>
        </c:majorGridlines>
        <c:title>
          <c:tx>
            <c:rich>
              <a:bodyPr/>
              <a:lstStyle/>
              <a:p>
                <a:pPr>
                  <a:defRPr sz="1200" b="0" i="0" u="none" strike="noStrike" baseline="0">
                    <a:solidFill>
                      <a:srgbClr val="000000"/>
                    </a:solidFill>
                    <a:latin typeface="Arial"/>
                    <a:ea typeface="Arial"/>
                    <a:cs typeface="Arial"/>
                  </a:defRPr>
                </a:pPr>
                <a:r>
                  <a:rPr lang="en-AU"/>
                  <a:t>MoE of 95% CI, in population standard deviation units</a:t>
                </a:r>
              </a:p>
            </c:rich>
          </c:tx>
          <c:layout>
            <c:manualLayout>
              <c:xMode val="edge"/>
              <c:yMode val="edge"/>
              <c:x val="0.28556389824604578"/>
              <c:y val="0.94958061119732406"/>
            </c:manualLayout>
          </c:layout>
          <c:spPr>
            <a:noFill/>
            <a:ln w="25400">
              <a:noFill/>
            </a:ln>
          </c:spPr>
        </c:title>
        <c:numFmt formatCode="General" sourceLinked="1"/>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00220928"/>
        <c:crosses val="autoZero"/>
        <c:crossBetween val="midCat"/>
        <c:majorUnit val="0.1"/>
        <c:minorUnit val="0.05"/>
      </c:valAx>
      <c:valAx>
        <c:axId val="100220928"/>
        <c:scaling>
          <c:orientation val="minMax"/>
        </c:scaling>
        <c:axPos val="l"/>
        <c:majorGridlines>
          <c:spPr>
            <a:ln w="3175">
              <a:pattFill prst="pct50">
                <a:fgClr>
                  <a:srgbClr val="C0C0C0"/>
                </a:fgClr>
                <a:bgClr>
                  <a:srgbClr val="FFFFFF"/>
                </a:bgClr>
              </a:pattFill>
              <a:prstDash val="solid"/>
            </a:ln>
          </c:spPr>
        </c:majorGridlines>
        <c:title>
          <c:tx>
            <c:rich>
              <a:bodyPr rot="0" vert="horz"/>
              <a:lstStyle/>
              <a:p>
                <a:pPr algn="ctr">
                  <a:defRPr sz="1200" b="1" i="1" u="none" strike="noStrike" baseline="0">
                    <a:solidFill>
                      <a:srgbClr val="000000"/>
                    </a:solidFill>
                    <a:latin typeface="Arial"/>
                    <a:ea typeface="Arial"/>
                    <a:cs typeface="Arial"/>
                  </a:defRPr>
                </a:pPr>
                <a:r>
                  <a:rPr lang="en-AU"/>
                  <a:t>N</a:t>
                </a:r>
              </a:p>
            </c:rich>
          </c:tx>
          <c:layout>
            <c:manualLayout>
              <c:xMode val="edge"/>
              <c:yMode val="edge"/>
              <c:x val="5.2687066097056407E-3"/>
              <c:y val="0.44033649581185685"/>
            </c:manualLayout>
          </c:layout>
          <c:spPr>
            <a:noFill/>
            <a:ln w="25400">
              <a:noFill/>
            </a:ln>
          </c:spPr>
        </c:title>
        <c:numFmt formatCode="General" sourceLinked="1"/>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00214656"/>
        <c:crosses val="autoZero"/>
        <c:crossBetween val="midCat"/>
      </c:valAx>
      <c:spPr>
        <a:noFill/>
        <a:ln w="25400">
          <a:noFill/>
        </a:ln>
      </c:spPr>
    </c:plotArea>
    <c:legend>
      <c:legendPos val="r"/>
      <c:legendEntry>
        <c:idx val="2"/>
        <c:delete val="1"/>
      </c:legendEntry>
      <c:legendEntry>
        <c:idx val="3"/>
        <c:delete val="1"/>
      </c:legendEntry>
      <c:legendEntry>
        <c:idx val="4"/>
        <c:delete val="1"/>
      </c:legendEntry>
      <c:legendEntry>
        <c:idx val="5"/>
        <c:delete val="1"/>
      </c:legendEntry>
      <c:legendEntry>
        <c:idx val="6"/>
        <c:delete val="1"/>
      </c:legendEntry>
      <c:legendEntry>
        <c:idx val="8"/>
        <c:delete val="1"/>
      </c:legendEntry>
      <c:legendEntry>
        <c:idx val="9"/>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ayout>
        <c:manualLayout>
          <c:xMode val="edge"/>
          <c:yMode val="edge"/>
          <c:x val="0.6701794807545578"/>
          <c:y val="0.19663881683201223"/>
          <c:w val="4.6364618165409613E-2"/>
          <c:h val="0.20168083777642301"/>
        </c:manualLayout>
      </c:layout>
      <c:spPr>
        <a:solidFill>
          <a:srgbClr val="FFFFFF"/>
        </a:solidFill>
        <a:ln w="25400">
          <a:noFill/>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orientation="landscape" verticalDpi="-3"/>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6.2903225806451704E-2"/>
          <c:y val="8.4033682406842846E-3"/>
          <c:w val="0.9306451612903226"/>
          <c:h val="0.91932848553086066"/>
        </c:manualLayout>
      </c:layout>
      <c:scatterChart>
        <c:scatterStyle val="lineMarker"/>
        <c:ser>
          <c:idx val="0"/>
          <c:order val="0"/>
          <c:spPr>
            <a:ln w="28575">
              <a:noFill/>
            </a:ln>
          </c:spPr>
          <c:marker>
            <c:symbol val="circle"/>
            <c:size val="4"/>
            <c:spPr>
              <a:solidFill>
                <a:srgbClr val="0000FF"/>
              </a:solidFill>
              <a:ln>
                <a:solidFill>
                  <a:srgbClr val="000000"/>
                </a:solidFill>
                <a:prstDash val="solid"/>
              </a:ln>
            </c:spPr>
          </c:marker>
          <c:xVal>
            <c:numRef>
              <c:f>'See r'!$BE$9:$BE$308</c:f>
              <c:numCache>
                <c:formatCode>General</c:formatCode>
                <c:ptCount val="300"/>
                <c:pt idx="0">
                  <c:v>-0.92670835204829083</c:v>
                </c:pt>
                <c:pt idx="1">
                  <c:v>1.2934276209379991</c:v>
                </c:pt>
                <c:pt idx="2">
                  <c:v>-0.92707392367922981</c:v>
                </c:pt>
                <c:pt idx="3">
                  <c:v>-1.2850905922434621</c:v>
                </c:pt>
                <c:pt idx="4">
                  <c:v>1.0105648512762113</c:v>
                </c:pt>
                <c:pt idx="5">
                  <c:v>1.3468443375550168</c:v>
                </c:pt>
                <c:pt idx="6">
                  <c:v>1.0005338077014621</c:v>
                </c:pt>
                <c:pt idx="7">
                  <c:v>-1.2317665712248749</c:v>
                </c:pt>
                <c:pt idx="8">
                  <c:v>1.8229617263756963</c:v>
                </c:pt>
                <c:pt idx="9">
                  <c:v>-0.34093564230330187</c:v>
                </c:pt>
                <c:pt idx="10">
                  <c:v>-1.3095382725108271</c:v>
                </c:pt>
                <c:pt idx="11">
                  <c:v>-0.77207375015769064</c:v>
                </c:pt>
                <c:pt idx="12">
                  <c:v>-2.8522040873406702</c:v>
                </c:pt>
                <c:pt idx="13">
                  <c:v>-0.30140084567241654</c:v>
                </c:pt>
                <c:pt idx="14">
                  <c:v>-0.96782377837347178</c:v>
                </c:pt>
                <c:pt idx="15">
                  <c:v>-1.6297930567779133</c:v>
                </c:pt>
                <c:pt idx="16">
                  <c:v>0.22145166566771984</c:v>
                </c:pt>
                <c:pt idx="17">
                  <c:v>-0.73453730732462419</c:v>
                </c:pt>
                <c:pt idx="18">
                  <c:v>0.24471116390548187</c:v>
                </c:pt>
                <c:pt idx="19">
                  <c:v>-1.8084208570269404</c:v>
                </c:pt>
                <c:pt idx="20">
                  <c:v>0.43849788232873821</c:v>
                </c:pt>
                <c:pt idx="21">
                  <c:v>-2.6750986232635565</c:v>
                </c:pt>
                <c:pt idx="22">
                  <c:v>-0.70961014973198444</c:v>
                </c:pt>
                <c:pt idx="23">
                  <c:v>-0.21400988872480092</c:v>
                </c:pt>
                <c:pt idx="24">
                  <c:v>1.882471095989266E-2</c:v>
                </c:pt>
                <c:pt idx="25">
                  <c:v>0.25132646802277436</c:v>
                </c:pt>
                <c:pt idx="26">
                  <c:v>-0.64482336687202868</c:v>
                </c:pt>
                <c:pt idx="27">
                  <c:v>-0.68013109622511503</c:v>
                </c:pt>
                <c:pt idx="28">
                  <c:v>0.45087988023704795</c:v>
                </c:pt>
                <c:pt idx="29">
                  <c:v>0.61478799365670134</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'See r'!$BF$9:$BF$308</c:f>
              <c:numCache>
                <c:formatCode>General</c:formatCode>
                <c:ptCount val="300"/>
                <c:pt idx="0">
                  <c:v>-0.6090138206437099</c:v>
                </c:pt>
                <c:pt idx="1">
                  <c:v>0.42453210760677307</c:v>
                </c:pt>
                <c:pt idx="2">
                  <c:v>-2.885209215414509</c:v>
                </c:pt>
                <c:pt idx="3">
                  <c:v>0.43406576019224496</c:v>
                </c:pt>
                <c:pt idx="4">
                  <c:v>0.56570336696341261</c:v>
                </c:pt>
                <c:pt idx="5">
                  <c:v>-0.46659137180165478</c:v>
                </c:pt>
                <c:pt idx="6">
                  <c:v>0.56229173138341071</c:v>
                </c:pt>
                <c:pt idx="7">
                  <c:v>-1.2740582396679703</c:v>
                </c:pt>
                <c:pt idx="8">
                  <c:v>-0.74155055550030591</c:v>
                </c:pt>
                <c:pt idx="9">
                  <c:v>-0.37850519813008177</c:v>
                </c:pt>
                <c:pt idx="10">
                  <c:v>-0.51225717883440647</c:v>
                </c:pt>
                <c:pt idx="11">
                  <c:v>-0.64992458489495397</c:v>
                </c:pt>
                <c:pt idx="12">
                  <c:v>-1.5106900750069108</c:v>
                </c:pt>
                <c:pt idx="13">
                  <c:v>-0.18578365562861091</c:v>
                </c:pt>
                <c:pt idx="14">
                  <c:v>-0.16481277227678065</c:v>
                </c:pt>
                <c:pt idx="15">
                  <c:v>0.48575583591731442</c:v>
                </c:pt>
                <c:pt idx="16">
                  <c:v>-0.57395737327603835</c:v>
                </c:pt>
                <c:pt idx="17">
                  <c:v>8.1839795613521504E-2</c:v>
                </c:pt>
                <c:pt idx="18">
                  <c:v>0.25102801251789053</c:v>
                </c:pt>
                <c:pt idx="19">
                  <c:v>0.21731066846117622</c:v>
                </c:pt>
                <c:pt idx="20">
                  <c:v>-5.5058073631526261E-2</c:v>
                </c:pt>
                <c:pt idx="21">
                  <c:v>-0.54443860656010878</c:v>
                </c:pt>
                <c:pt idx="22">
                  <c:v>-0.58702406244791072</c:v>
                </c:pt>
                <c:pt idx="23">
                  <c:v>0.43745898523317539</c:v>
                </c:pt>
                <c:pt idx="24">
                  <c:v>0.1380784416417857</c:v>
                </c:pt>
                <c:pt idx="25">
                  <c:v>-1.0516929702216888</c:v>
                </c:pt>
                <c:pt idx="26">
                  <c:v>-0.72612657088078347</c:v>
                </c:pt>
                <c:pt idx="27">
                  <c:v>-1.7067266425399747</c:v>
                </c:pt>
                <c:pt idx="28">
                  <c:v>5.9919118090217237E-2</c:v>
                </c:pt>
                <c:pt idx="29">
                  <c:v>0.14297493470560996</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er>
        <c:ser>
          <c:idx val="1"/>
          <c:order val="1"/>
          <c:spPr>
            <a:ln w="28575">
              <a:noFill/>
            </a:ln>
          </c:spPr>
          <c:marker>
            <c:symbol val="circle"/>
            <c:size val="3"/>
            <c:spPr>
              <a:solidFill>
                <a:srgbClr val="FF0000"/>
              </a:solidFill>
              <a:ln>
                <a:solidFill>
                  <a:srgbClr val="FF0000"/>
                </a:solidFill>
                <a:prstDash val="solid"/>
              </a:ln>
            </c:spPr>
          </c:marker>
          <c:xVal>
            <c:numRef>
              <c:f>'See r'!$BH$9:$BH$308</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'See r'!$BI$9:$BI$308</c:f>
              <c:numCache>
                <c:formatCode>General</c:formatCode>
                <c:ptCount val="300"/>
                <c:pt idx="0">
                  <c:v>-0.6090138206437099</c:v>
                </c:pt>
                <c:pt idx="1">
                  <c:v>0.42453210760677307</c:v>
                </c:pt>
                <c:pt idx="2">
                  <c:v>-2.885209215414509</c:v>
                </c:pt>
                <c:pt idx="3">
                  <c:v>0.43406576019224496</c:v>
                </c:pt>
                <c:pt idx="4">
                  <c:v>0.56570336696341261</c:v>
                </c:pt>
                <c:pt idx="5">
                  <c:v>-0.46659137180165478</c:v>
                </c:pt>
                <c:pt idx="6">
                  <c:v>0.56229173138341071</c:v>
                </c:pt>
                <c:pt idx="7">
                  <c:v>-1.2740582396679703</c:v>
                </c:pt>
                <c:pt idx="8">
                  <c:v>-0.74155055550030591</c:v>
                </c:pt>
                <c:pt idx="9">
                  <c:v>-0.37850519813008177</c:v>
                </c:pt>
                <c:pt idx="10">
                  <c:v>-0.51225717883440647</c:v>
                </c:pt>
                <c:pt idx="11">
                  <c:v>-0.64992458489495397</c:v>
                </c:pt>
                <c:pt idx="12">
                  <c:v>-1.5106900750069108</c:v>
                </c:pt>
                <c:pt idx="13">
                  <c:v>-0.18578365562861091</c:v>
                </c:pt>
                <c:pt idx="14">
                  <c:v>-0.16481277227678065</c:v>
                </c:pt>
                <c:pt idx="15">
                  <c:v>0.48575583591731442</c:v>
                </c:pt>
                <c:pt idx="16">
                  <c:v>-0.57395737327603835</c:v>
                </c:pt>
                <c:pt idx="17">
                  <c:v>8.1839795613521504E-2</c:v>
                </c:pt>
                <c:pt idx="18">
                  <c:v>0.25102801251789053</c:v>
                </c:pt>
                <c:pt idx="19">
                  <c:v>0.21731066846117622</c:v>
                </c:pt>
                <c:pt idx="20">
                  <c:v>-5.5058073631526261E-2</c:v>
                </c:pt>
                <c:pt idx="21">
                  <c:v>-0.54443860656010878</c:v>
                </c:pt>
                <c:pt idx="22">
                  <c:v>-0.58702406244791072</c:v>
                </c:pt>
                <c:pt idx="23">
                  <c:v>0.43745898523317539</c:v>
                </c:pt>
                <c:pt idx="24">
                  <c:v>0.1380784416417857</c:v>
                </c:pt>
                <c:pt idx="25">
                  <c:v>-1.0516929702216888</c:v>
                </c:pt>
                <c:pt idx="26">
                  <c:v>-0.72612657088078347</c:v>
                </c:pt>
                <c:pt idx="27">
                  <c:v>-1.7067266425399747</c:v>
                </c:pt>
                <c:pt idx="28">
                  <c:v>5.9919118090217237E-2</c:v>
                </c:pt>
                <c:pt idx="29">
                  <c:v>0.14297493470560996</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er>
        <c:ser>
          <c:idx val="2"/>
          <c:order val="2"/>
          <c:spPr>
            <a:ln w="12700">
              <a:solidFill>
                <a:srgbClr val="800000"/>
              </a:solidFill>
              <a:prstDash val="solid"/>
            </a:ln>
          </c:spPr>
          <c:marker>
            <c:symbol val="none"/>
          </c:marker>
          <c:xVal>
            <c:numRef>
              <c:f>'See r'!$BF$1:$BF$2</c:f>
              <c:numCache>
                <c:formatCode>General</c:formatCode>
                <c:ptCount val="2"/>
                <c:pt idx="0">
                  <c:v>#N/A</c:v>
                </c:pt>
                <c:pt idx="1">
                  <c:v>#N/A</c:v>
                </c:pt>
              </c:numCache>
            </c:numRef>
          </c:xVal>
          <c:yVal>
            <c:numRef>
              <c:f>'See r'!$BG$1:$BG$2</c:f>
              <c:numCache>
                <c:formatCode>General</c:formatCode>
                <c:ptCount val="2"/>
                <c:pt idx="0">
                  <c:v>#N/A</c:v>
                </c:pt>
                <c:pt idx="1">
                  <c:v>#N/A</c:v>
                </c:pt>
              </c:numCache>
            </c:numRef>
          </c:yVal>
        </c:ser>
        <c:ser>
          <c:idx val="3"/>
          <c:order val="3"/>
          <c:spPr>
            <a:ln w="28575">
              <a:noFill/>
            </a:ln>
          </c:spPr>
          <c:marker>
            <c:symbol val="circle"/>
            <c:size val="3"/>
            <c:spPr>
              <a:noFill/>
              <a:ln>
                <a:solidFill>
                  <a:srgbClr val="000000"/>
                </a:solidFill>
                <a:prstDash val="solid"/>
              </a:ln>
            </c:spPr>
          </c:marker>
          <c:xVal>
            <c:numRef>
              <c:f>'See r'!$BJ$9:$BJ$308</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'See r'!$BK$9:$BK$308</c:f>
              <c:numCache>
                <c:formatCode>General</c:formatCode>
                <c:ptCount val="300"/>
                <c:pt idx="0">
                  <c:v>-2.94</c:v>
                </c:pt>
                <c:pt idx="1">
                  <c:v>-2.94</c:v>
                </c:pt>
                <c:pt idx="2">
                  <c:v>-2.94</c:v>
                </c:pt>
                <c:pt idx="3">
                  <c:v>-2.94</c:v>
                </c:pt>
                <c:pt idx="4">
                  <c:v>-2.94</c:v>
                </c:pt>
                <c:pt idx="5">
                  <c:v>-2.94</c:v>
                </c:pt>
                <c:pt idx="6">
                  <c:v>-2.94</c:v>
                </c:pt>
                <c:pt idx="7">
                  <c:v>-2.94</c:v>
                </c:pt>
                <c:pt idx="8">
                  <c:v>-2.94</c:v>
                </c:pt>
                <c:pt idx="9">
                  <c:v>-2.94</c:v>
                </c:pt>
                <c:pt idx="10">
                  <c:v>-2.94</c:v>
                </c:pt>
                <c:pt idx="11">
                  <c:v>-2.94</c:v>
                </c:pt>
                <c:pt idx="12">
                  <c:v>-2.94</c:v>
                </c:pt>
                <c:pt idx="13">
                  <c:v>-2.94</c:v>
                </c:pt>
                <c:pt idx="14">
                  <c:v>-2.94</c:v>
                </c:pt>
                <c:pt idx="15">
                  <c:v>-2.94</c:v>
                </c:pt>
                <c:pt idx="16">
                  <c:v>-2.94</c:v>
                </c:pt>
                <c:pt idx="17">
                  <c:v>-2.94</c:v>
                </c:pt>
                <c:pt idx="18">
                  <c:v>-2.94</c:v>
                </c:pt>
                <c:pt idx="19">
                  <c:v>-2.94</c:v>
                </c:pt>
                <c:pt idx="20">
                  <c:v>-2.94</c:v>
                </c:pt>
                <c:pt idx="21">
                  <c:v>-2.94</c:v>
                </c:pt>
                <c:pt idx="22">
                  <c:v>-2.94</c:v>
                </c:pt>
                <c:pt idx="23">
                  <c:v>-2.94</c:v>
                </c:pt>
                <c:pt idx="24">
                  <c:v>-2.94</c:v>
                </c:pt>
                <c:pt idx="25">
                  <c:v>-2.94</c:v>
                </c:pt>
                <c:pt idx="26">
                  <c:v>-2.94</c:v>
                </c:pt>
                <c:pt idx="27">
                  <c:v>-2.94</c:v>
                </c:pt>
                <c:pt idx="28">
                  <c:v>-2.94</c:v>
                </c:pt>
                <c:pt idx="29">
                  <c:v>-2.94</c:v>
                </c:pt>
                <c:pt idx="30">
                  <c:v>-2.94</c:v>
                </c:pt>
                <c:pt idx="31">
                  <c:v>-2.94</c:v>
                </c:pt>
                <c:pt idx="32">
                  <c:v>-2.94</c:v>
                </c:pt>
                <c:pt idx="33">
                  <c:v>-2.94</c:v>
                </c:pt>
                <c:pt idx="34">
                  <c:v>-2.94</c:v>
                </c:pt>
                <c:pt idx="35">
                  <c:v>-2.94</c:v>
                </c:pt>
                <c:pt idx="36">
                  <c:v>-2.94</c:v>
                </c:pt>
                <c:pt idx="37">
                  <c:v>-2.94</c:v>
                </c:pt>
                <c:pt idx="38">
                  <c:v>-2.94</c:v>
                </c:pt>
                <c:pt idx="39">
                  <c:v>-2.94</c:v>
                </c:pt>
                <c:pt idx="40">
                  <c:v>-2.94</c:v>
                </c:pt>
                <c:pt idx="41">
                  <c:v>-2.94</c:v>
                </c:pt>
                <c:pt idx="42">
                  <c:v>-2.94</c:v>
                </c:pt>
                <c:pt idx="43">
                  <c:v>-2.94</c:v>
                </c:pt>
                <c:pt idx="44">
                  <c:v>-2.94</c:v>
                </c:pt>
                <c:pt idx="45">
                  <c:v>-2.94</c:v>
                </c:pt>
                <c:pt idx="46">
                  <c:v>-2.94</c:v>
                </c:pt>
                <c:pt idx="47">
                  <c:v>-2.94</c:v>
                </c:pt>
                <c:pt idx="48">
                  <c:v>-2.94</c:v>
                </c:pt>
                <c:pt idx="49">
                  <c:v>-2.94</c:v>
                </c:pt>
                <c:pt idx="50">
                  <c:v>-2.94</c:v>
                </c:pt>
                <c:pt idx="51">
                  <c:v>-2.94</c:v>
                </c:pt>
                <c:pt idx="52">
                  <c:v>-2.94</c:v>
                </c:pt>
                <c:pt idx="53">
                  <c:v>-2.94</c:v>
                </c:pt>
                <c:pt idx="54">
                  <c:v>-2.94</c:v>
                </c:pt>
                <c:pt idx="55">
                  <c:v>-2.94</c:v>
                </c:pt>
                <c:pt idx="56">
                  <c:v>-2.94</c:v>
                </c:pt>
                <c:pt idx="57">
                  <c:v>-2.94</c:v>
                </c:pt>
                <c:pt idx="58">
                  <c:v>-2.94</c:v>
                </c:pt>
                <c:pt idx="59">
                  <c:v>-2.94</c:v>
                </c:pt>
                <c:pt idx="60">
                  <c:v>-2.94</c:v>
                </c:pt>
                <c:pt idx="61">
                  <c:v>-2.94</c:v>
                </c:pt>
                <c:pt idx="62">
                  <c:v>-2.94</c:v>
                </c:pt>
                <c:pt idx="63">
                  <c:v>-2.94</c:v>
                </c:pt>
                <c:pt idx="64">
                  <c:v>-2.94</c:v>
                </c:pt>
                <c:pt idx="65">
                  <c:v>-2.94</c:v>
                </c:pt>
                <c:pt idx="66">
                  <c:v>-2.94</c:v>
                </c:pt>
                <c:pt idx="67">
                  <c:v>-2.94</c:v>
                </c:pt>
                <c:pt idx="68">
                  <c:v>-2.94</c:v>
                </c:pt>
                <c:pt idx="69">
                  <c:v>-2.94</c:v>
                </c:pt>
                <c:pt idx="70">
                  <c:v>-2.94</c:v>
                </c:pt>
                <c:pt idx="71">
                  <c:v>-2.94</c:v>
                </c:pt>
                <c:pt idx="72">
                  <c:v>-2.94</c:v>
                </c:pt>
                <c:pt idx="73">
                  <c:v>-2.94</c:v>
                </c:pt>
                <c:pt idx="74">
                  <c:v>-2.94</c:v>
                </c:pt>
                <c:pt idx="75">
                  <c:v>-2.94</c:v>
                </c:pt>
                <c:pt idx="76">
                  <c:v>-2.94</c:v>
                </c:pt>
                <c:pt idx="77">
                  <c:v>-2.94</c:v>
                </c:pt>
                <c:pt idx="78">
                  <c:v>-2.94</c:v>
                </c:pt>
                <c:pt idx="79">
                  <c:v>-2.94</c:v>
                </c:pt>
                <c:pt idx="80">
                  <c:v>-2.94</c:v>
                </c:pt>
                <c:pt idx="81">
                  <c:v>-2.94</c:v>
                </c:pt>
                <c:pt idx="82">
                  <c:v>-2.94</c:v>
                </c:pt>
                <c:pt idx="83">
                  <c:v>-2.94</c:v>
                </c:pt>
                <c:pt idx="84">
                  <c:v>-2.94</c:v>
                </c:pt>
                <c:pt idx="85">
                  <c:v>-2.94</c:v>
                </c:pt>
                <c:pt idx="86">
                  <c:v>-2.94</c:v>
                </c:pt>
                <c:pt idx="87">
                  <c:v>-2.94</c:v>
                </c:pt>
                <c:pt idx="88">
                  <c:v>-2.94</c:v>
                </c:pt>
                <c:pt idx="89">
                  <c:v>-2.94</c:v>
                </c:pt>
                <c:pt idx="90">
                  <c:v>-2.94</c:v>
                </c:pt>
                <c:pt idx="91">
                  <c:v>-2.94</c:v>
                </c:pt>
                <c:pt idx="92">
                  <c:v>-2.94</c:v>
                </c:pt>
                <c:pt idx="93">
                  <c:v>-2.94</c:v>
                </c:pt>
                <c:pt idx="94">
                  <c:v>-2.94</c:v>
                </c:pt>
                <c:pt idx="95">
                  <c:v>-2.94</c:v>
                </c:pt>
                <c:pt idx="96">
                  <c:v>-2.94</c:v>
                </c:pt>
                <c:pt idx="97">
                  <c:v>-2.94</c:v>
                </c:pt>
                <c:pt idx="98">
                  <c:v>-2.94</c:v>
                </c:pt>
                <c:pt idx="99">
                  <c:v>-2.94</c:v>
                </c:pt>
                <c:pt idx="100">
                  <c:v>-2.94</c:v>
                </c:pt>
                <c:pt idx="101">
                  <c:v>-2.94</c:v>
                </c:pt>
                <c:pt idx="102">
                  <c:v>-2.94</c:v>
                </c:pt>
                <c:pt idx="103">
                  <c:v>-2.94</c:v>
                </c:pt>
                <c:pt idx="104">
                  <c:v>-2.94</c:v>
                </c:pt>
                <c:pt idx="105">
                  <c:v>-2.94</c:v>
                </c:pt>
                <c:pt idx="106">
                  <c:v>-2.94</c:v>
                </c:pt>
                <c:pt idx="107">
                  <c:v>-2.94</c:v>
                </c:pt>
                <c:pt idx="108">
                  <c:v>-2.94</c:v>
                </c:pt>
                <c:pt idx="109">
                  <c:v>-2.94</c:v>
                </c:pt>
                <c:pt idx="110">
                  <c:v>-2.94</c:v>
                </c:pt>
                <c:pt idx="111">
                  <c:v>-2.94</c:v>
                </c:pt>
                <c:pt idx="112">
                  <c:v>-2.94</c:v>
                </c:pt>
                <c:pt idx="113">
                  <c:v>-2.94</c:v>
                </c:pt>
                <c:pt idx="114">
                  <c:v>-2.94</c:v>
                </c:pt>
                <c:pt idx="115">
                  <c:v>-2.94</c:v>
                </c:pt>
                <c:pt idx="116">
                  <c:v>-2.94</c:v>
                </c:pt>
                <c:pt idx="117">
                  <c:v>-2.94</c:v>
                </c:pt>
                <c:pt idx="118">
                  <c:v>-2.94</c:v>
                </c:pt>
                <c:pt idx="119">
                  <c:v>-2.94</c:v>
                </c:pt>
                <c:pt idx="120">
                  <c:v>-2.94</c:v>
                </c:pt>
                <c:pt idx="121">
                  <c:v>-2.94</c:v>
                </c:pt>
                <c:pt idx="122">
                  <c:v>-2.94</c:v>
                </c:pt>
                <c:pt idx="123">
                  <c:v>-2.94</c:v>
                </c:pt>
                <c:pt idx="124">
                  <c:v>-2.94</c:v>
                </c:pt>
                <c:pt idx="125">
                  <c:v>-2.94</c:v>
                </c:pt>
                <c:pt idx="126">
                  <c:v>-2.94</c:v>
                </c:pt>
                <c:pt idx="127">
                  <c:v>-2.94</c:v>
                </c:pt>
                <c:pt idx="128">
                  <c:v>-2.94</c:v>
                </c:pt>
                <c:pt idx="129">
                  <c:v>-2.94</c:v>
                </c:pt>
                <c:pt idx="130">
                  <c:v>-2.94</c:v>
                </c:pt>
                <c:pt idx="131">
                  <c:v>-2.94</c:v>
                </c:pt>
                <c:pt idx="132">
                  <c:v>-2.94</c:v>
                </c:pt>
                <c:pt idx="133">
                  <c:v>-2.94</c:v>
                </c:pt>
                <c:pt idx="134">
                  <c:v>-2.94</c:v>
                </c:pt>
                <c:pt idx="135">
                  <c:v>-2.94</c:v>
                </c:pt>
                <c:pt idx="136">
                  <c:v>-2.94</c:v>
                </c:pt>
                <c:pt idx="137">
                  <c:v>-2.94</c:v>
                </c:pt>
                <c:pt idx="138">
                  <c:v>-2.94</c:v>
                </c:pt>
                <c:pt idx="139">
                  <c:v>-2.94</c:v>
                </c:pt>
                <c:pt idx="140">
                  <c:v>-2.94</c:v>
                </c:pt>
                <c:pt idx="141">
                  <c:v>-2.94</c:v>
                </c:pt>
                <c:pt idx="142">
                  <c:v>-2.94</c:v>
                </c:pt>
                <c:pt idx="143">
                  <c:v>-2.94</c:v>
                </c:pt>
                <c:pt idx="144">
                  <c:v>-2.94</c:v>
                </c:pt>
                <c:pt idx="145">
                  <c:v>-2.94</c:v>
                </c:pt>
                <c:pt idx="146">
                  <c:v>-2.94</c:v>
                </c:pt>
                <c:pt idx="147">
                  <c:v>-2.94</c:v>
                </c:pt>
                <c:pt idx="148">
                  <c:v>-2.94</c:v>
                </c:pt>
                <c:pt idx="149">
                  <c:v>-2.94</c:v>
                </c:pt>
                <c:pt idx="150">
                  <c:v>-2.94</c:v>
                </c:pt>
                <c:pt idx="151">
                  <c:v>-2.94</c:v>
                </c:pt>
                <c:pt idx="152">
                  <c:v>-2.94</c:v>
                </c:pt>
                <c:pt idx="153">
                  <c:v>-2.94</c:v>
                </c:pt>
                <c:pt idx="154">
                  <c:v>-2.94</c:v>
                </c:pt>
                <c:pt idx="155">
                  <c:v>-2.94</c:v>
                </c:pt>
                <c:pt idx="156">
                  <c:v>-2.94</c:v>
                </c:pt>
                <c:pt idx="157">
                  <c:v>-2.94</c:v>
                </c:pt>
                <c:pt idx="158">
                  <c:v>-2.94</c:v>
                </c:pt>
                <c:pt idx="159">
                  <c:v>-2.94</c:v>
                </c:pt>
                <c:pt idx="160">
                  <c:v>-2.94</c:v>
                </c:pt>
                <c:pt idx="161">
                  <c:v>-2.94</c:v>
                </c:pt>
                <c:pt idx="162">
                  <c:v>-2.94</c:v>
                </c:pt>
                <c:pt idx="163">
                  <c:v>-2.94</c:v>
                </c:pt>
                <c:pt idx="164">
                  <c:v>-2.94</c:v>
                </c:pt>
                <c:pt idx="165">
                  <c:v>-2.94</c:v>
                </c:pt>
                <c:pt idx="166">
                  <c:v>-2.94</c:v>
                </c:pt>
                <c:pt idx="167">
                  <c:v>-2.94</c:v>
                </c:pt>
                <c:pt idx="168">
                  <c:v>-2.94</c:v>
                </c:pt>
                <c:pt idx="169">
                  <c:v>-2.94</c:v>
                </c:pt>
                <c:pt idx="170">
                  <c:v>-2.94</c:v>
                </c:pt>
                <c:pt idx="171">
                  <c:v>-2.94</c:v>
                </c:pt>
                <c:pt idx="172">
                  <c:v>-2.94</c:v>
                </c:pt>
                <c:pt idx="173">
                  <c:v>-2.94</c:v>
                </c:pt>
                <c:pt idx="174">
                  <c:v>-2.94</c:v>
                </c:pt>
                <c:pt idx="175">
                  <c:v>-2.94</c:v>
                </c:pt>
                <c:pt idx="176">
                  <c:v>-2.94</c:v>
                </c:pt>
                <c:pt idx="177">
                  <c:v>-2.94</c:v>
                </c:pt>
                <c:pt idx="178">
                  <c:v>-2.94</c:v>
                </c:pt>
                <c:pt idx="179">
                  <c:v>-2.94</c:v>
                </c:pt>
                <c:pt idx="180">
                  <c:v>-2.94</c:v>
                </c:pt>
                <c:pt idx="181">
                  <c:v>-2.94</c:v>
                </c:pt>
                <c:pt idx="182">
                  <c:v>-2.94</c:v>
                </c:pt>
                <c:pt idx="183">
                  <c:v>-2.94</c:v>
                </c:pt>
                <c:pt idx="184">
                  <c:v>-2.94</c:v>
                </c:pt>
                <c:pt idx="185">
                  <c:v>-2.94</c:v>
                </c:pt>
                <c:pt idx="186">
                  <c:v>-2.94</c:v>
                </c:pt>
                <c:pt idx="187">
                  <c:v>-2.94</c:v>
                </c:pt>
                <c:pt idx="188">
                  <c:v>-2.94</c:v>
                </c:pt>
                <c:pt idx="189">
                  <c:v>-2.94</c:v>
                </c:pt>
                <c:pt idx="190">
                  <c:v>-2.94</c:v>
                </c:pt>
                <c:pt idx="191">
                  <c:v>-2.94</c:v>
                </c:pt>
                <c:pt idx="192">
                  <c:v>-2.94</c:v>
                </c:pt>
                <c:pt idx="193">
                  <c:v>-2.94</c:v>
                </c:pt>
                <c:pt idx="194">
                  <c:v>-2.94</c:v>
                </c:pt>
                <c:pt idx="195">
                  <c:v>-2.94</c:v>
                </c:pt>
                <c:pt idx="196">
                  <c:v>-2.94</c:v>
                </c:pt>
                <c:pt idx="197">
                  <c:v>-2.94</c:v>
                </c:pt>
                <c:pt idx="198">
                  <c:v>-2.94</c:v>
                </c:pt>
                <c:pt idx="199">
                  <c:v>-2.94</c:v>
                </c:pt>
                <c:pt idx="200">
                  <c:v>-2.94</c:v>
                </c:pt>
                <c:pt idx="201">
                  <c:v>-2.94</c:v>
                </c:pt>
                <c:pt idx="202">
                  <c:v>-2.94</c:v>
                </c:pt>
                <c:pt idx="203">
                  <c:v>-2.94</c:v>
                </c:pt>
                <c:pt idx="204">
                  <c:v>-2.94</c:v>
                </c:pt>
                <c:pt idx="205">
                  <c:v>-2.94</c:v>
                </c:pt>
                <c:pt idx="206">
                  <c:v>-2.94</c:v>
                </c:pt>
                <c:pt idx="207">
                  <c:v>-2.94</c:v>
                </c:pt>
                <c:pt idx="208">
                  <c:v>-2.94</c:v>
                </c:pt>
                <c:pt idx="209">
                  <c:v>-2.94</c:v>
                </c:pt>
                <c:pt idx="210">
                  <c:v>-2.94</c:v>
                </c:pt>
                <c:pt idx="211">
                  <c:v>-2.94</c:v>
                </c:pt>
                <c:pt idx="212">
                  <c:v>-2.94</c:v>
                </c:pt>
                <c:pt idx="213">
                  <c:v>-2.94</c:v>
                </c:pt>
                <c:pt idx="214">
                  <c:v>-2.94</c:v>
                </c:pt>
                <c:pt idx="215">
                  <c:v>-2.94</c:v>
                </c:pt>
                <c:pt idx="216">
                  <c:v>-2.94</c:v>
                </c:pt>
                <c:pt idx="217">
                  <c:v>-2.94</c:v>
                </c:pt>
                <c:pt idx="218">
                  <c:v>-2.94</c:v>
                </c:pt>
                <c:pt idx="219">
                  <c:v>-2.94</c:v>
                </c:pt>
                <c:pt idx="220">
                  <c:v>-2.94</c:v>
                </c:pt>
                <c:pt idx="221">
                  <c:v>-2.94</c:v>
                </c:pt>
                <c:pt idx="222">
                  <c:v>-2.94</c:v>
                </c:pt>
                <c:pt idx="223">
                  <c:v>-2.94</c:v>
                </c:pt>
                <c:pt idx="224">
                  <c:v>-2.94</c:v>
                </c:pt>
                <c:pt idx="225">
                  <c:v>-2.94</c:v>
                </c:pt>
                <c:pt idx="226">
                  <c:v>-2.94</c:v>
                </c:pt>
                <c:pt idx="227">
                  <c:v>-2.94</c:v>
                </c:pt>
                <c:pt idx="228">
                  <c:v>-2.94</c:v>
                </c:pt>
                <c:pt idx="229">
                  <c:v>-2.94</c:v>
                </c:pt>
                <c:pt idx="230">
                  <c:v>-2.94</c:v>
                </c:pt>
                <c:pt idx="231">
                  <c:v>-2.94</c:v>
                </c:pt>
                <c:pt idx="232">
                  <c:v>-2.94</c:v>
                </c:pt>
                <c:pt idx="233">
                  <c:v>-2.94</c:v>
                </c:pt>
                <c:pt idx="234">
                  <c:v>-2.94</c:v>
                </c:pt>
                <c:pt idx="235">
                  <c:v>-2.94</c:v>
                </c:pt>
                <c:pt idx="236">
                  <c:v>-2.94</c:v>
                </c:pt>
                <c:pt idx="237">
                  <c:v>-2.94</c:v>
                </c:pt>
                <c:pt idx="238">
                  <c:v>-2.94</c:v>
                </c:pt>
                <c:pt idx="239">
                  <c:v>-2.94</c:v>
                </c:pt>
                <c:pt idx="240">
                  <c:v>-2.94</c:v>
                </c:pt>
                <c:pt idx="241">
                  <c:v>-2.94</c:v>
                </c:pt>
                <c:pt idx="242">
                  <c:v>-2.94</c:v>
                </c:pt>
                <c:pt idx="243">
                  <c:v>-2.94</c:v>
                </c:pt>
                <c:pt idx="244">
                  <c:v>-2.94</c:v>
                </c:pt>
                <c:pt idx="245">
                  <c:v>-2.94</c:v>
                </c:pt>
                <c:pt idx="246">
                  <c:v>-2.94</c:v>
                </c:pt>
                <c:pt idx="247">
                  <c:v>-2.94</c:v>
                </c:pt>
                <c:pt idx="248">
                  <c:v>-2.94</c:v>
                </c:pt>
                <c:pt idx="249">
                  <c:v>-2.94</c:v>
                </c:pt>
                <c:pt idx="250">
                  <c:v>-2.94</c:v>
                </c:pt>
                <c:pt idx="251">
                  <c:v>-2.94</c:v>
                </c:pt>
                <c:pt idx="252">
                  <c:v>-2.94</c:v>
                </c:pt>
                <c:pt idx="253">
                  <c:v>-2.94</c:v>
                </c:pt>
                <c:pt idx="254">
                  <c:v>-2.94</c:v>
                </c:pt>
                <c:pt idx="255">
                  <c:v>-2.94</c:v>
                </c:pt>
                <c:pt idx="256">
                  <c:v>-2.94</c:v>
                </c:pt>
                <c:pt idx="257">
                  <c:v>-2.94</c:v>
                </c:pt>
                <c:pt idx="258">
                  <c:v>-2.94</c:v>
                </c:pt>
                <c:pt idx="259">
                  <c:v>-2.94</c:v>
                </c:pt>
                <c:pt idx="260">
                  <c:v>-2.94</c:v>
                </c:pt>
                <c:pt idx="261">
                  <c:v>-2.94</c:v>
                </c:pt>
                <c:pt idx="262">
                  <c:v>-2.94</c:v>
                </c:pt>
                <c:pt idx="263">
                  <c:v>-2.94</c:v>
                </c:pt>
                <c:pt idx="264">
                  <c:v>-2.94</c:v>
                </c:pt>
                <c:pt idx="265">
                  <c:v>-2.94</c:v>
                </c:pt>
                <c:pt idx="266">
                  <c:v>-2.94</c:v>
                </c:pt>
                <c:pt idx="267">
                  <c:v>-2.94</c:v>
                </c:pt>
                <c:pt idx="268">
                  <c:v>-2.94</c:v>
                </c:pt>
                <c:pt idx="269">
                  <c:v>-2.94</c:v>
                </c:pt>
                <c:pt idx="270">
                  <c:v>-2.94</c:v>
                </c:pt>
                <c:pt idx="271">
                  <c:v>-2.94</c:v>
                </c:pt>
                <c:pt idx="272">
                  <c:v>-2.94</c:v>
                </c:pt>
                <c:pt idx="273">
                  <c:v>-2.94</c:v>
                </c:pt>
                <c:pt idx="274">
                  <c:v>-2.94</c:v>
                </c:pt>
                <c:pt idx="275">
                  <c:v>-2.94</c:v>
                </c:pt>
                <c:pt idx="276">
                  <c:v>-2.94</c:v>
                </c:pt>
                <c:pt idx="277">
                  <c:v>-2.94</c:v>
                </c:pt>
                <c:pt idx="278">
                  <c:v>-2.94</c:v>
                </c:pt>
                <c:pt idx="279">
                  <c:v>-2.94</c:v>
                </c:pt>
                <c:pt idx="280">
                  <c:v>-2.94</c:v>
                </c:pt>
                <c:pt idx="281">
                  <c:v>-2.94</c:v>
                </c:pt>
                <c:pt idx="282">
                  <c:v>-2.94</c:v>
                </c:pt>
                <c:pt idx="283">
                  <c:v>-2.94</c:v>
                </c:pt>
                <c:pt idx="284">
                  <c:v>-2.94</c:v>
                </c:pt>
                <c:pt idx="285">
                  <c:v>-2.94</c:v>
                </c:pt>
                <c:pt idx="286">
                  <c:v>-2.94</c:v>
                </c:pt>
                <c:pt idx="287">
                  <c:v>-2.94</c:v>
                </c:pt>
                <c:pt idx="288">
                  <c:v>-2.94</c:v>
                </c:pt>
                <c:pt idx="289">
                  <c:v>-2.94</c:v>
                </c:pt>
                <c:pt idx="290">
                  <c:v>-2.94</c:v>
                </c:pt>
                <c:pt idx="291">
                  <c:v>-2.94</c:v>
                </c:pt>
                <c:pt idx="292">
                  <c:v>-2.94</c:v>
                </c:pt>
                <c:pt idx="293">
                  <c:v>-2.94</c:v>
                </c:pt>
                <c:pt idx="294">
                  <c:v>-2.94</c:v>
                </c:pt>
                <c:pt idx="295">
                  <c:v>-2.94</c:v>
                </c:pt>
                <c:pt idx="296">
                  <c:v>-2.94</c:v>
                </c:pt>
                <c:pt idx="297">
                  <c:v>-2.94</c:v>
                </c:pt>
                <c:pt idx="298">
                  <c:v>-2.94</c:v>
                </c:pt>
                <c:pt idx="299">
                  <c:v>-2.94</c:v>
                </c:pt>
              </c:numCache>
            </c:numRef>
          </c:yVal>
        </c:ser>
        <c:ser>
          <c:idx val="4"/>
          <c:order val="4"/>
          <c:spPr>
            <a:ln w="28575">
              <a:noFill/>
            </a:ln>
          </c:spPr>
          <c:marker>
            <c:symbol val="circle"/>
            <c:size val="3"/>
            <c:spPr>
              <a:noFill/>
              <a:ln>
                <a:solidFill>
                  <a:srgbClr val="000000"/>
                </a:solidFill>
                <a:prstDash val="solid"/>
              </a:ln>
            </c:spPr>
          </c:marker>
          <c:xVal>
            <c:numRef>
              <c:f>'See r'!$BL$9:$BL$308</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'See r'!$BM$9:$BM$308</c:f>
              <c:numCache>
                <c:formatCode>General</c:formatCode>
                <c:ptCount val="300"/>
                <c:pt idx="0">
                  <c:v>-0.6090138206437099</c:v>
                </c:pt>
                <c:pt idx="1">
                  <c:v>0.42453210760677307</c:v>
                </c:pt>
                <c:pt idx="2">
                  <c:v>-2.885209215414509</c:v>
                </c:pt>
                <c:pt idx="3">
                  <c:v>0.43406576019224496</c:v>
                </c:pt>
                <c:pt idx="4">
                  <c:v>0.56570336696341261</c:v>
                </c:pt>
                <c:pt idx="5">
                  <c:v>-0.46659137180165478</c:v>
                </c:pt>
                <c:pt idx="6">
                  <c:v>0.56229173138341071</c:v>
                </c:pt>
                <c:pt idx="7">
                  <c:v>-1.2740582396679703</c:v>
                </c:pt>
                <c:pt idx="8">
                  <c:v>-0.74155055550030591</c:v>
                </c:pt>
                <c:pt idx="9">
                  <c:v>-0.37850519813008177</c:v>
                </c:pt>
                <c:pt idx="10">
                  <c:v>-0.51225717883440647</c:v>
                </c:pt>
                <c:pt idx="11">
                  <c:v>-0.64992458489495397</c:v>
                </c:pt>
                <c:pt idx="12">
                  <c:v>-1.5106900750069108</c:v>
                </c:pt>
                <c:pt idx="13">
                  <c:v>-0.18578365562861091</c:v>
                </c:pt>
                <c:pt idx="14">
                  <c:v>-0.16481277227678065</c:v>
                </c:pt>
                <c:pt idx="15">
                  <c:v>0.48575583591731442</c:v>
                </c:pt>
                <c:pt idx="16">
                  <c:v>-0.57395737327603835</c:v>
                </c:pt>
                <c:pt idx="17">
                  <c:v>8.1839795613521504E-2</c:v>
                </c:pt>
                <c:pt idx="18">
                  <c:v>0.25102801251789053</c:v>
                </c:pt>
                <c:pt idx="19">
                  <c:v>0.21731066846117622</c:v>
                </c:pt>
                <c:pt idx="20">
                  <c:v>-5.5058073631526261E-2</c:v>
                </c:pt>
                <c:pt idx="21">
                  <c:v>-0.54443860656010878</c:v>
                </c:pt>
                <c:pt idx="22">
                  <c:v>-0.58702406244791072</c:v>
                </c:pt>
                <c:pt idx="23">
                  <c:v>0.43745898523317539</c:v>
                </c:pt>
                <c:pt idx="24">
                  <c:v>0.1380784416417857</c:v>
                </c:pt>
                <c:pt idx="25">
                  <c:v>-1.0516929702216888</c:v>
                </c:pt>
                <c:pt idx="26">
                  <c:v>-0.72612657088078347</c:v>
                </c:pt>
                <c:pt idx="27">
                  <c:v>-1.7067266425399747</c:v>
                </c:pt>
                <c:pt idx="28">
                  <c:v>5.9919118090217237E-2</c:v>
                </c:pt>
                <c:pt idx="29">
                  <c:v>0.14297493470560996</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er>
        <c:ser>
          <c:idx val="6"/>
          <c:order val="5"/>
          <c:spPr>
            <a:ln w="28575">
              <a:noFill/>
            </a:ln>
          </c:spPr>
          <c:marker>
            <c:symbol val="none"/>
          </c:marker>
          <c:errBars>
            <c:errDir val="x"/>
            <c:errBarType val="both"/>
            <c:errValType val="cust"/>
            <c:noEndCap val="1"/>
            <c:plus>
              <c:numLit>
                <c:formatCode>General</c:formatCode>
                <c:ptCount val="1"/>
                <c:pt idx="0">
                  <c:v>9</c:v>
                </c:pt>
              </c:numLit>
            </c:plus>
            <c:minus>
              <c:numLit>
                <c:formatCode>General</c:formatCode>
                <c:ptCount val="1"/>
                <c:pt idx="0">
                  <c:v>9</c:v>
                </c:pt>
              </c:numLit>
            </c:minus>
            <c:spPr>
              <a:ln w="12700">
                <a:pattFill prst="pct50">
                  <a:fgClr>
                    <a:srgbClr val="000000"/>
                  </a:fgClr>
                  <a:bgClr>
                    <a:srgbClr val="FFFFFF"/>
                  </a:bgClr>
                </a:pattFill>
                <a:prstDash val="solid"/>
              </a:ln>
            </c:spPr>
          </c:errBars>
          <c:errBars>
            <c:errDir val="y"/>
            <c:errBarType val="both"/>
            <c:errValType val="cust"/>
            <c:noEndCap val="1"/>
            <c:plus>
              <c:numLit>
                <c:formatCode>General</c:formatCode>
                <c:ptCount val="1"/>
                <c:pt idx="0">
                  <c:v>9</c:v>
                </c:pt>
              </c:numLit>
            </c:plus>
            <c:minus>
              <c:numLit>
                <c:formatCode>General</c:formatCode>
                <c:ptCount val="1"/>
                <c:pt idx="0">
                  <c:v>9</c:v>
                </c:pt>
              </c:numLit>
            </c:minus>
            <c:spPr>
              <a:ln w="12700">
                <a:pattFill prst="pct50">
                  <a:fgClr>
                    <a:srgbClr val="000000"/>
                  </a:fgClr>
                  <a:bgClr>
                    <a:srgbClr val="FFFFFF"/>
                  </a:bgClr>
                </a:pattFill>
                <a:prstDash val="solid"/>
              </a:ln>
            </c:spPr>
          </c:errBars>
          <c:xVal>
            <c:numRef>
              <c:f>'See r'!$BE$6</c:f>
              <c:numCache>
                <c:formatCode>General</c:formatCode>
                <c:ptCount val="1"/>
                <c:pt idx="0">
                  <c:v>#N/A</c:v>
                </c:pt>
              </c:numCache>
            </c:numRef>
          </c:xVal>
          <c:yVal>
            <c:numRef>
              <c:f>'See r'!$BF$6</c:f>
              <c:numCache>
                <c:formatCode>General</c:formatCode>
                <c:ptCount val="1"/>
                <c:pt idx="0">
                  <c:v>#N/A</c:v>
                </c:pt>
              </c:numCache>
            </c:numRef>
          </c:yVal>
        </c:ser>
        <c:ser>
          <c:idx val="7"/>
          <c:order val="6"/>
          <c:spPr>
            <a:ln w="12700">
              <a:solidFill>
                <a:srgbClr val="800000"/>
              </a:solidFill>
              <a:prstDash val="solid"/>
            </a:ln>
          </c:spPr>
          <c:marker>
            <c:symbol val="none"/>
          </c:marker>
          <c:xVal>
            <c:numRef>
              <c:f>'See r'!$BK$1:$BK$2</c:f>
              <c:numCache>
                <c:formatCode>General</c:formatCode>
                <c:ptCount val="2"/>
                <c:pt idx="0">
                  <c:v>#N/A</c:v>
                </c:pt>
                <c:pt idx="1">
                  <c:v>#N/A</c:v>
                </c:pt>
              </c:numCache>
            </c:numRef>
          </c:xVal>
          <c:yVal>
            <c:numRef>
              <c:f>'See r'!$BL$1:$BL$2</c:f>
              <c:numCache>
                <c:formatCode>General</c:formatCode>
                <c:ptCount val="2"/>
                <c:pt idx="0">
                  <c:v>#N/A</c:v>
                </c:pt>
                <c:pt idx="1">
                  <c:v>#N/A</c:v>
                </c:pt>
              </c:numCache>
            </c:numRef>
          </c:yVal>
        </c:ser>
        <c:ser>
          <c:idx val="8"/>
          <c:order val="7"/>
          <c:spPr>
            <a:ln w="28575">
              <a:noFill/>
            </a:ln>
          </c:spPr>
          <c:marker>
            <c:symbol val="circle"/>
            <c:size val="3"/>
            <c:spPr>
              <a:solidFill>
                <a:srgbClr val="000000"/>
              </a:solidFill>
              <a:ln>
                <a:solidFill>
                  <a:srgbClr val="000000"/>
                </a:solidFill>
                <a:prstDash val="solid"/>
              </a:ln>
            </c:spPr>
          </c:marker>
          <c:xVal>
            <c:numRef>
              <c:f>'See r'!$BN$9:$BN$308</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'See r'!$BO$9:$BO$308</c:f>
              <c:numCache>
                <c:formatCode>General</c:formatCode>
                <c:ptCount val="300"/>
                <c:pt idx="0">
                  <c:v>-2.94</c:v>
                </c:pt>
                <c:pt idx="1">
                  <c:v>-2.94</c:v>
                </c:pt>
                <c:pt idx="2">
                  <c:v>-2.94</c:v>
                </c:pt>
                <c:pt idx="3">
                  <c:v>-2.94</c:v>
                </c:pt>
                <c:pt idx="4">
                  <c:v>-2.94</c:v>
                </c:pt>
                <c:pt idx="5">
                  <c:v>-2.94</c:v>
                </c:pt>
                <c:pt idx="6">
                  <c:v>-2.94</c:v>
                </c:pt>
                <c:pt idx="7">
                  <c:v>-2.94</c:v>
                </c:pt>
                <c:pt idx="8">
                  <c:v>-2.94</c:v>
                </c:pt>
                <c:pt idx="9">
                  <c:v>-2.94</c:v>
                </c:pt>
                <c:pt idx="10">
                  <c:v>-2.94</c:v>
                </c:pt>
                <c:pt idx="11">
                  <c:v>-2.94</c:v>
                </c:pt>
                <c:pt idx="12">
                  <c:v>-2.94</c:v>
                </c:pt>
                <c:pt idx="13">
                  <c:v>-2.94</c:v>
                </c:pt>
                <c:pt idx="14">
                  <c:v>-2.94</c:v>
                </c:pt>
                <c:pt idx="15">
                  <c:v>-2.94</c:v>
                </c:pt>
                <c:pt idx="16">
                  <c:v>-2.94</c:v>
                </c:pt>
                <c:pt idx="17">
                  <c:v>-2.94</c:v>
                </c:pt>
                <c:pt idx="18">
                  <c:v>-2.94</c:v>
                </c:pt>
                <c:pt idx="19">
                  <c:v>-2.94</c:v>
                </c:pt>
                <c:pt idx="20">
                  <c:v>-2.94</c:v>
                </c:pt>
                <c:pt idx="21">
                  <c:v>-2.94</c:v>
                </c:pt>
                <c:pt idx="22">
                  <c:v>-2.94</c:v>
                </c:pt>
                <c:pt idx="23">
                  <c:v>-2.94</c:v>
                </c:pt>
                <c:pt idx="24">
                  <c:v>-2.94</c:v>
                </c:pt>
                <c:pt idx="25">
                  <c:v>-2.94</c:v>
                </c:pt>
                <c:pt idx="26">
                  <c:v>-2.94</c:v>
                </c:pt>
                <c:pt idx="27">
                  <c:v>-2.94</c:v>
                </c:pt>
                <c:pt idx="28">
                  <c:v>-2.94</c:v>
                </c:pt>
                <c:pt idx="29">
                  <c:v>-2.94</c:v>
                </c:pt>
                <c:pt idx="30">
                  <c:v>-2.94</c:v>
                </c:pt>
                <c:pt idx="31">
                  <c:v>-2.94</c:v>
                </c:pt>
                <c:pt idx="32">
                  <c:v>-2.94</c:v>
                </c:pt>
                <c:pt idx="33">
                  <c:v>-2.94</c:v>
                </c:pt>
                <c:pt idx="34">
                  <c:v>-2.94</c:v>
                </c:pt>
                <c:pt idx="35">
                  <c:v>-2.94</c:v>
                </c:pt>
                <c:pt idx="36">
                  <c:v>-2.94</c:v>
                </c:pt>
                <c:pt idx="37">
                  <c:v>-2.94</c:v>
                </c:pt>
                <c:pt idx="38">
                  <c:v>-2.94</c:v>
                </c:pt>
                <c:pt idx="39">
                  <c:v>-2.94</c:v>
                </c:pt>
                <c:pt idx="40">
                  <c:v>-2.94</c:v>
                </c:pt>
                <c:pt idx="41">
                  <c:v>-2.94</c:v>
                </c:pt>
                <c:pt idx="42">
                  <c:v>-2.94</c:v>
                </c:pt>
                <c:pt idx="43">
                  <c:v>-2.94</c:v>
                </c:pt>
                <c:pt idx="44">
                  <c:v>-2.94</c:v>
                </c:pt>
                <c:pt idx="45">
                  <c:v>-2.94</c:v>
                </c:pt>
                <c:pt idx="46">
                  <c:v>-2.94</c:v>
                </c:pt>
                <c:pt idx="47">
                  <c:v>-2.94</c:v>
                </c:pt>
                <c:pt idx="48">
                  <c:v>-2.94</c:v>
                </c:pt>
                <c:pt idx="49">
                  <c:v>-2.94</c:v>
                </c:pt>
                <c:pt idx="50">
                  <c:v>-2.94</c:v>
                </c:pt>
                <c:pt idx="51">
                  <c:v>-2.94</c:v>
                </c:pt>
                <c:pt idx="52">
                  <c:v>-2.94</c:v>
                </c:pt>
                <c:pt idx="53">
                  <c:v>-2.94</c:v>
                </c:pt>
                <c:pt idx="54">
                  <c:v>-2.94</c:v>
                </c:pt>
                <c:pt idx="55">
                  <c:v>-2.94</c:v>
                </c:pt>
                <c:pt idx="56">
                  <c:v>-2.94</c:v>
                </c:pt>
                <c:pt idx="57">
                  <c:v>-2.94</c:v>
                </c:pt>
                <c:pt idx="58">
                  <c:v>-2.94</c:v>
                </c:pt>
                <c:pt idx="59">
                  <c:v>-2.94</c:v>
                </c:pt>
                <c:pt idx="60">
                  <c:v>-2.94</c:v>
                </c:pt>
                <c:pt idx="61">
                  <c:v>-2.94</c:v>
                </c:pt>
                <c:pt idx="62">
                  <c:v>-2.94</c:v>
                </c:pt>
                <c:pt idx="63">
                  <c:v>-2.94</c:v>
                </c:pt>
                <c:pt idx="64">
                  <c:v>-2.94</c:v>
                </c:pt>
                <c:pt idx="65">
                  <c:v>-2.94</c:v>
                </c:pt>
                <c:pt idx="66">
                  <c:v>-2.94</c:v>
                </c:pt>
                <c:pt idx="67">
                  <c:v>-2.94</c:v>
                </c:pt>
                <c:pt idx="68">
                  <c:v>-2.94</c:v>
                </c:pt>
                <c:pt idx="69">
                  <c:v>-2.94</c:v>
                </c:pt>
                <c:pt idx="70">
                  <c:v>-2.94</c:v>
                </c:pt>
                <c:pt idx="71">
                  <c:v>-2.94</c:v>
                </c:pt>
                <c:pt idx="72">
                  <c:v>-2.94</c:v>
                </c:pt>
                <c:pt idx="73">
                  <c:v>-2.94</c:v>
                </c:pt>
                <c:pt idx="74">
                  <c:v>-2.94</c:v>
                </c:pt>
                <c:pt idx="75">
                  <c:v>-2.94</c:v>
                </c:pt>
                <c:pt idx="76">
                  <c:v>-2.94</c:v>
                </c:pt>
                <c:pt idx="77">
                  <c:v>-2.94</c:v>
                </c:pt>
                <c:pt idx="78">
                  <c:v>-2.94</c:v>
                </c:pt>
                <c:pt idx="79">
                  <c:v>-2.94</c:v>
                </c:pt>
                <c:pt idx="80">
                  <c:v>-2.94</c:v>
                </c:pt>
                <c:pt idx="81">
                  <c:v>-2.94</c:v>
                </c:pt>
                <c:pt idx="82">
                  <c:v>-2.94</c:v>
                </c:pt>
                <c:pt idx="83">
                  <c:v>-2.94</c:v>
                </c:pt>
                <c:pt idx="84">
                  <c:v>-2.94</c:v>
                </c:pt>
                <c:pt idx="85">
                  <c:v>-2.94</c:v>
                </c:pt>
                <c:pt idx="86">
                  <c:v>-2.94</c:v>
                </c:pt>
                <c:pt idx="87">
                  <c:v>-2.94</c:v>
                </c:pt>
                <c:pt idx="88">
                  <c:v>-2.94</c:v>
                </c:pt>
                <c:pt idx="89">
                  <c:v>-2.94</c:v>
                </c:pt>
                <c:pt idx="90">
                  <c:v>-2.94</c:v>
                </c:pt>
                <c:pt idx="91">
                  <c:v>-2.94</c:v>
                </c:pt>
                <c:pt idx="92">
                  <c:v>-2.94</c:v>
                </c:pt>
                <c:pt idx="93">
                  <c:v>-2.94</c:v>
                </c:pt>
                <c:pt idx="94">
                  <c:v>-2.94</c:v>
                </c:pt>
                <c:pt idx="95">
                  <c:v>-2.94</c:v>
                </c:pt>
                <c:pt idx="96">
                  <c:v>-2.94</c:v>
                </c:pt>
                <c:pt idx="97">
                  <c:v>-2.94</c:v>
                </c:pt>
                <c:pt idx="98">
                  <c:v>-2.94</c:v>
                </c:pt>
                <c:pt idx="99">
                  <c:v>-2.94</c:v>
                </c:pt>
                <c:pt idx="100">
                  <c:v>-2.94</c:v>
                </c:pt>
                <c:pt idx="101">
                  <c:v>-2.94</c:v>
                </c:pt>
                <c:pt idx="102">
                  <c:v>-2.94</c:v>
                </c:pt>
                <c:pt idx="103">
                  <c:v>-2.94</c:v>
                </c:pt>
                <c:pt idx="104">
                  <c:v>-2.94</c:v>
                </c:pt>
                <c:pt idx="105">
                  <c:v>-2.94</c:v>
                </c:pt>
                <c:pt idx="106">
                  <c:v>-2.94</c:v>
                </c:pt>
                <c:pt idx="107">
                  <c:v>-2.94</c:v>
                </c:pt>
                <c:pt idx="108">
                  <c:v>-2.94</c:v>
                </c:pt>
                <c:pt idx="109">
                  <c:v>-2.94</c:v>
                </c:pt>
                <c:pt idx="110">
                  <c:v>-2.94</c:v>
                </c:pt>
                <c:pt idx="111">
                  <c:v>-2.94</c:v>
                </c:pt>
                <c:pt idx="112">
                  <c:v>-2.94</c:v>
                </c:pt>
                <c:pt idx="113">
                  <c:v>-2.94</c:v>
                </c:pt>
                <c:pt idx="114">
                  <c:v>-2.94</c:v>
                </c:pt>
                <c:pt idx="115">
                  <c:v>-2.94</c:v>
                </c:pt>
                <c:pt idx="116">
                  <c:v>-2.94</c:v>
                </c:pt>
                <c:pt idx="117">
                  <c:v>-2.94</c:v>
                </c:pt>
                <c:pt idx="118">
                  <c:v>-2.94</c:v>
                </c:pt>
                <c:pt idx="119">
                  <c:v>-2.94</c:v>
                </c:pt>
                <c:pt idx="120">
                  <c:v>-2.94</c:v>
                </c:pt>
                <c:pt idx="121">
                  <c:v>-2.94</c:v>
                </c:pt>
                <c:pt idx="122">
                  <c:v>-2.94</c:v>
                </c:pt>
                <c:pt idx="123">
                  <c:v>-2.94</c:v>
                </c:pt>
                <c:pt idx="124">
                  <c:v>-2.94</c:v>
                </c:pt>
                <c:pt idx="125">
                  <c:v>-2.94</c:v>
                </c:pt>
                <c:pt idx="126">
                  <c:v>-2.94</c:v>
                </c:pt>
                <c:pt idx="127">
                  <c:v>-2.94</c:v>
                </c:pt>
                <c:pt idx="128">
                  <c:v>-2.94</c:v>
                </c:pt>
                <c:pt idx="129">
                  <c:v>-2.94</c:v>
                </c:pt>
                <c:pt idx="130">
                  <c:v>-2.94</c:v>
                </c:pt>
                <c:pt idx="131">
                  <c:v>-2.94</c:v>
                </c:pt>
                <c:pt idx="132">
                  <c:v>-2.94</c:v>
                </c:pt>
                <c:pt idx="133">
                  <c:v>-2.94</c:v>
                </c:pt>
                <c:pt idx="134">
                  <c:v>-2.94</c:v>
                </c:pt>
                <c:pt idx="135">
                  <c:v>-2.94</c:v>
                </c:pt>
                <c:pt idx="136">
                  <c:v>-2.94</c:v>
                </c:pt>
                <c:pt idx="137">
                  <c:v>-2.94</c:v>
                </c:pt>
                <c:pt idx="138">
                  <c:v>-2.94</c:v>
                </c:pt>
                <c:pt idx="139">
                  <c:v>-2.94</c:v>
                </c:pt>
                <c:pt idx="140">
                  <c:v>-2.94</c:v>
                </c:pt>
                <c:pt idx="141">
                  <c:v>-2.94</c:v>
                </c:pt>
                <c:pt idx="142">
                  <c:v>-2.94</c:v>
                </c:pt>
                <c:pt idx="143">
                  <c:v>-2.94</c:v>
                </c:pt>
                <c:pt idx="144">
                  <c:v>-2.94</c:v>
                </c:pt>
                <c:pt idx="145">
                  <c:v>-2.94</c:v>
                </c:pt>
                <c:pt idx="146">
                  <c:v>-2.94</c:v>
                </c:pt>
                <c:pt idx="147">
                  <c:v>-2.94</c:v>
                </c:pt>
                <c:pt idx="148">
                  <c:v>-2.94</c:v>
                </c:pt>
                <c:pt idx="149">
                  <c:v>-2.94</c:v>
                </c:pt>
                <c:pt idx="150">
                  <c:v>-2.94</c:v>
                </c:pt>
                <c:pt idx="151">
                  <c:v>-2.94</c:v>
                </c:pt>
                <c:pt idx="152">
                  <c:v>-2.94</c:v>
                </c:pt>
                <c:pt idx="153">
                  <c:v>-2.94</c:v>
                </c:pt>
                <c:pt idx="154">
                  <c:v>-2.94</c:v>
                </c:pt>
                <c:pt idx="155">
                  <c:v>-2.94</c:v>
                </c:pt>
                <c:pt idx="156">
                  <c:v>-2.94</c:v>
                </c:pt>
                <c:pt idx="157">
                  <c:v>-2.94</c:v>
                </c:pt>
                <c:pt idx="158">
                  <c:v>-2.94</c:v>
                </c:pt>
                <c:pt idx="159">
                  <c:v>-2.94</c:v>
                </c:pt>
                <c:pt idx="160">
                  <c:v>-2.94</c:v>
                </c:pt>
                <c:pt idx="161">
                  <c:v>-2.94</c:v>
                </c:pt>
                <c:pt idx="162">
                  <c:v>-2.94</c:v>
                </c:pt>
                <c:pt idx="163">
                  <c:v>-2.94</c:v>
                </c:pt>
                <c:pt idx="164">
                  <c:v>-2.94</c:v>
                </c:pt>
                <c:pt idx="165">
                  <c:v>-2.94</c:v>
                </c:pt>
                <c:pt idx="166">
                  <c:v>-2.94</c:v>
                </c:pt>
                <c:pt idx="167">
                  <c:v>-2.94</c:v>
                </c:pt>
                <c:pt idx="168">
                  <c:v>-2.94</c:v>
                </c:pt>
                <c:pt idx="169">
                  <c:v>-2.94</c:v>
                </c:pt>
                <c:pt idx="170">
                  <c:v>-2.94</c:v>
                </c:pt>
                <c:pt idx="171">
                  <c:v>-2.94</c:v>
                </c:pt>
                <c:pt idx="172">
                  <c:v>-2.94</c:v>
                </c:pt>
                <c:pt idx="173">
                  <c:v>-2.94</c:v>
                </c:pt>
                <c:pt idx="174">
                  <c:v>-2.94</c:v>
                </c:pt>
                <c:pt idx="175">
                  <c:v>-2.94</c:v>
                </c:pt>
                <c:pt idx="176">
                  <c:v>-2.94</c:v>
                </c:pt>
                <c:pt idx="177">
                  <c:v>-2.94</c:v>
                </c:pt>
                <c:pt idx="178">
                  <c:v>-2.94</c:v>
                </c:pt>
                <c:pt idx="179">
                  <c:v>-2.94</c:v>
                </c:pt>
                <c:pt idx="180">
                  <c:v>-2.94</c:v>
                </c:pt>
                <c:pt idx="181">
                  <c:v>-2.94</c:v>
                </c:pt>
                <c:pt idx="182">
                  <c:v>-2.94</c:v>
                </c:pt>
                <c:pt idx="183">
                  <c:v>-2.94</c:v>
                </c:pt>
                <c:pt idx="184">
                  <c:v>-2.94</c:v>
                </c:pt>
                <c:pt idx="185">
                  <c:v>-2.94</c:v>
                </c:pt>
                <c:pt idx="186">
                  <c:v>-2.94</c:v>
                </c:pt>
                <c:pt idx="187">
                  <c:v>-2.94</c:v>
                </c:pt>
                <c:pt idx="188">
                  <c:v>-2.94</c:v>
                </c:pt>
                <c:pt idx="189">
                  <c:v>-2.94</c:v>
                </c:pt>
                <c:pt idx="190">
                  <c:v>-2.94</c:v>
                </c:pt>
                <c:pt idx="191">
                  <c:v>-2.94</c:v>
                </c:pt>
                <c:pt idx="192">
                  <c:v>-2.94</c:v>
                </c:pt>
                <c:pt idx="193">
                  <c:v>-2.94</c:v>
                </c:pt>
                <c:pt idx="194">
                  <c:v>-2.94</c:v>
                </c:pt>
                <c:pt idx="195">
                  <c:v>-2.94</c:v>
                </c:pt>
                <c:pt idx="196">
                  <c:v>-2.94</c:v>
                </c:pt>
                <c:pt idx="197">
                  <c:v>-2.94</c:v>
                </c:pt>
                <c:pt idx="198">
                  <c:v>-2.94</c:v>
                </c:pt>
                <c:pt idx="199">
                  <c:v>-2.94</c:v>
                </c:pt>
                <c:pt idx="200">
                  <c:v>-2.94</c:v>
                </c:pt>
                <c:pt idx="201">
                  <c:v>-2.94</c:v>
                </c:pt>
                <c:pt idx="202">
                  <c:v>-2.94</c:v>
                </c:pt>
                <c:pt idx="203">
                  <c:v>-2.94</c:v>
                </c:pt>
                <c:pt idx="204">
                  <c:v>-2.94</c:v>
                </c:pt>
                <c:pt idx="205">
                  <c:v>-2.94</c:v>
                </c:pt>
                <c:pt idx="206">
                  <c:v>-2.94</c:v>
                </c:pt>
                <c:pt idx="207">
                  <c:v>-2.94</c:v>
                </c:pt>
                <c:pt idx="208">
                  <c:v>-2.94</c:v>
                </c:pt>
                <c:pt idx="209">
                  <c:v>-2.94</c:v>
                </c:pt>
                <c:pt idx="210">
                  <c:v>-2.94</c:v>
                </c:pt>
                <c:pt idx="211">
                  <c:v>-2.94</c:v>
                </c:pt>
                <c:pt idx="212">
                  <c:v>-2.94</c:v>
                </c:pt>
                <c:pt idx="213">
                  <c:v>-2.94</c:v>
                </c:pt>
                <c:pt idx="214">
                  <c:v>-2.94</c:v>
                </c:pt>
                <c:pt idx="215">
                  <c:v>-2.94</c:v>
                </c:pt>
                <c:pt idx="216">
                  <c:v>-2.94</c:v>
                </c:pt>
                <c:pt idx="217">
                  <c:v>-2.94</c:v>
                </c:pt>
                <c:pt idx="218">
                  <c:v>-2.94</c:v>
                </c:pt>
                <c:pt idx="219">
                  <c:v>-2.94</c:v>
                </c:pt>
                <c:pt idx="220">
                  <c:v>-2.94</c:v>
                </c:pt>
                <c:pt idx="221">
                  <c:v>-2.94</c:v>
                </c:pt>
                <c:pt idx="222">
                  <c:v>-2.94</c:v>
                </c:pt>
                <c:pt idx="223">
                  <c:v>-2.94</c:v>
                </c:pt>
                <c:pt idx="224">
                  <c:v>-2.94</c:v>
                </c:pt>
                <c:pt idx="225">
                  <c:v>-2.94</c:v>
                </c:pt>
                <c:pt idx="226">
                  <c:v>-2.94</c:v>
                </c:pt>
                <c:pt idx="227">
                  <c:v>-2.94</c:v>
                </c:pt>
                <c:pt idx="228">
                  <c:v>-2.94</c:v>
                </c:pt>
                <c:pt idx="229">
                  <c:v>-2.94</c:v>
                </c:pt>
                <c:pt idx="230">
                  <c:v>-2.94</c:v>
                </c:pt>
                <c:pt idx="231">
                  <c:v>-2.94</c:v>
                </c:pt>
                <c:pt idx="232">
                  <c:v>-2.94</c:v>
                </c:pt>
                <c:pt idx="233">
                  <c:v>-2.94</c:v>
                </c:pt>
                <c:pt idx="234">
                  <c:v>-2.94</c:v>
                </c:pt>
                <c:pt idx="235">
                  <c:v>-2.94</c:v>
                </c:pt>
                <c:pt idx="236">
                  <c:v>-2.94</c:v>
                </c:pt>
                <c:pt idx="237">
                  <c:v>-2.94</c:v>
                </c:pt>
                <c:pt idx="238">
                  <c:v>-2.94</c:v>
                </c:pt>
                <c:pt idx="239">
                  <c:v>-2.94</c:v>
                </c:pt>
                <c:pt idx="240">
                  <c:v>-2.94</c:v>
                </c:pt>
                <c:pt idx="241">
                  <c:v>-2.94</c:v>
                </c:pt>
                <c:pt idx="242">
                  <c:v>-2.94</c:v>
                </c:pt>
                <c:pt idx="243">
                  <c:v>-2.94</c:v>
                </c:pt>
                <c:pt idx="244">
                  <c:v>-2.94</c:v>
                </c:pt>
                <c:pt idx="245">
                  <c:v>-2.94</c:v>
                </c:pt>
                <c:pt idx="246">
                  <c:v>-2.94</c:v>
                </c:pt>
                <c:pt idx="247">
                  <c:v>-2.94</c:v>
                </c:pt>
                <c:pt idx="248">
                  <c:v>-2.94</c:v>
                </c:pt>
                <c:pt idx="249">
                  <c:v>-2.94</c:v>
                </c:pt>
                <c:pt idx="250">
                  <c:v>-2.94</c:v>
                </c:pt>
                <c:pt idx="251">
                  <c:v>-2.94</c:v>
                </c:pt>
                <c:pt idx="252">
                  <c:v>-2.94</c:v>
                </c:pt>
                <c:pt idx="253">
                  <c:v>-2.94</c:v>
                </c:pt>
                <c:pt idx="254">
                  <c:v>-2.94</c:v>
                </c:pt>
                <c:pt idx="255">
                  <c:v>-2.94</c:v>
                </c:pt>
                <c:pt idx="256">
                  <c:v>-2.94</c:v>
                </c:pt>
                <c:pt idx="257">
                  <c:v>-2.94</c:v>
                </c:pt>
                <c:pt idx="258">
                  <c:v>-2.94</c:v>
                </c:pt>
                <c:pt idx="259">
                  <c:v>-2.94</c:v>
                </c:pt>
                <c:pt idx="260">
                  <c:v>-2.94</c:v>
                </c:pt>
                <c:pt idx="261">
                  <c:v>-2.94</c:v>
                </c:pt>
                <c:pt idx="262">
                  <c:v>-2.94</c:v>
                </c:pt>
                <c:pt idx="263">
                  <c:v>-2.94</c:v>
                </c:pt>
                <c:pt idx="264">
                  <c:v>-2.94</c:v>
                </c:pt>
                <c:pt idx="265">
                  <c:v>-2.94</c:v>
                </c:pt>
                <c:pt idx="266">
                  <c:v>-2.94</c:v>
                </c:pt>
                <c:pt idx="267">
                  <c:v>-2.94</c:v>
                </c:pt>
                <c:pt idx="268">
                  <c:v>-2.94</c:v>
                </c:pt>
                <c:pt idx="269">
                  <c:v>-2.94</c:v>
                </c:pt>
                <c:pt idx="270">
                  <c:v>-2.94</c:v>
                </c:pt>
                <c:pt idx="271">
                  <c:v>-2.94</c:v>
                </c:pt>
                <c:pt idx="272">
                  <c:v>-2.94</c:v>
                </c:pt>
                <c:pt idx="273">
                  <c:v>-2.94</c:v>
                </c:pt>
                <c:pt idx="274">
                  <c:v>-2.94</c:v>
                </c:pt>
                <c:pt idx="275">
                  <c:v>-2.94</c:v>
                </c:pt>
                <c:pt idx="276">
                  <c:v>-2.94</c:v>
                </c:pt>
                <c:pt idx="277">
                  <c:v>-2.94</c:v>
                </c:pt>
                <c:pt idx="278">
                  <c:v>-2.94</c:v>
                </c:pt>
                <c:pt idx="279">
                  <c:v>-2.94</c:v>
                </c:pt>
                <c:pt idx="280">
                  <c:v>-2.94</c:v>
                </c:pt>
                <c:pt idx="281">
                  <c:v>-2.94</c:v>
                </c:pt>
                <c:pt idx="282">
                  <c:v>-2.94</c:v>
                </c:pt>
                <c:pt idx="283">
                  <c:v>-2.94</c:v>
                </c:pt>
                <c:pt idx="284">
                  <c:v>-2.94</c:v>
                </c:pt>
                <c:pt idx="285">
                  <c:v>-2.94</c:v>
                </c:pt>
                <c:pt idx="286">
                  <c:v>-2.94</c:v>
                </c:pt>
                <c:pt idx="287">
                  <c:v>-2.94</c:v>
                </c:pt>
                <c:pt idx="288">
                  <c:v>-2.94</c:v>
                </c:pt>
                <c:pt idx="289">
                  <c:v>-2.94</c:v>
                </c:pt>
                <c:pt idx="290">
                  <c:v>-2.94</c:v>
                </c:pt>
                <c:pt idx="291">
                  <c:v>-2.94</c:v>
                </c:pt>
                <c:pt idx="292">
                  <c:v>-2.94</c:v>
                </c:pt>
                <c:pt idx="293">
                  <c:v>-2.94</c:v>
                </c:pt>
                <c:pt idx="294">
                  <c:v>-2.94</c:v>
                </c:pt>
                <c:pt idx="295">
                  <c:v>-2.94</c:v>
                </c:pt>
                <c:pt idx="296">
                  <c:v>-2.94</c:v>
                </c:pt>
                <c:pt idx="297">
                  <c:v>-2.94</c:v>
                </c:pt>
                <c:pt idx="298">
                  <c:v>-2.94</c:v>
                </c:pt>
                <c:pt idx="299">
                  <c:v>-2.94</c:v>
                </c:pt>
              </c:numCache>
            </c:numRef>
          </c:yVal>
        </c:ser>
        <c:ser>
          <c:idx val="9"/>
          <c:order val="8"/>
          <c:spPr>
            <a:ln w="28575">
              <a:noFill/>
            </a:ln>
          </c:spPr>
          <c:marker>
            <c:symbol val="circle"/>
            <c:size val="3"/>
            <c:spPr>
              <a:solidFill>
                <a:srgbClr val="000000"/>
              </a:solidFill>
              <a:ln>
                <a:solidFill>
                  <a:srgbClr val="000000"/>
                </a:solidFill>
                <a:prstDash val="solid"/>
              </a:ln>
            </c:spPr>
          </c:marker>
          <c:xVal>
            <c:numRef>
              <c:f>'See r'!$BP$9:$BP$308</c:f>
              <c:numCache>
                <c:formatCode>General</c:formatCode>
                <c:ptCount val="300"/>
                <c:pt idx="0">
                  <c:v>-2.9249999999999998</c:v>
                </c:pt>
                <c:pt idx="1">
                  <c:v>-2.9249999999999998</c:v>
                </c:pt>
                <c:pt idx="2">
                  <c:v>-2.9249999999999998</c:v>
                </c:pt>
                <c:pt idx="3">
                  <c:v>-2.9249999999999998</c:v>
                </c:pt>
                <c:pt idx="4">
                  <c:v>-2.9249999999999998</c:v>
                </c:pt>
                <c:pt idx="5">
                  <c:v>-2.9249999999999998</c:v>
                </c:pt>
                <c:pt idx="6">
                  <c:v>-2.9249999999999998</c:v>
                </c:pt>
                <c:pt idx="7">
                  <c:v>-2.9249999999999998</c:v>
                </c:pt>
                <c:pt idx="8">
                  <c:v>-2.9249999999999998</c:v>
                </c:pt>
                <c:pt idx="9">
                  <c:v>-2.9249999999999998</c:v>
                </c:pt>
                <c:pt idx="10">
                  <c:v>-2.9249999999999998</c:v>
                </c:pt>
                <c:pt idx="11">
                  <c:v>-2.9249999999999998</c:v>
                </c:pt>
                <c:pt idx="12">
                  <c:v>-2.9249999999999998</c:v>
                </c:pt>
                <c:pt idx="13">
                  <c:v>-2.9249999999999998</c:v>
                </c:pt>
                <c:pt idx="14">
                  <c:v>-2.9249999999999998</c:v>
                </c:pt>
                <c:pt idx="15">
                  <c:v>-2.9249999999999998</c:v>
                </c:pt>
                <c:pt idx="16">
                  <c:v>-2.9249999999999998</c:v>
                </c:pt>
                <c:pt idx="17">
                  <c:v>-2.9249999999999998</c:v>
                </c:pt>
                <c:pt idx="18">
                  <c:v>-2.9249999999999998</c:v>
                </c:pt>
                <c:pt idx="19">
                  <c:v>-2.9249999999999998</c:v>
                </c:pt>
                <c:pt idx="20">
                  <c:v>-2.9249999999999998</c:v>
                </c:pt>
                <c:pt idx="21">
                  <c:v>-2.9249999999999998</c:v>
                </c:pt>
                <c:pt idx="22">
                  <c:v>-2.9249999999999998</c:v>
                </c:pt>
                <c:pt idx="23">
                  <c:v>-2.9249999999999998</c:v>
                </c:pt>
                <c:pt idx="24">
                  <c:v>-2.9249999999999998</c:v>
                </c:pt>
                <c:pt idx="25">
                  <c:v>-2.9249999999999998</c:v>
                </c:pt>
                <c:pt idx="26">
                  <c:v>-2.9249999999999998</c:v>
                </c:pt>
                <c:pt idx="27">
                  <c:v>-2.9249999999999998</c:v>
                </c:pt>
                <c:pt idx="28">
                  <c:v>-2.9249999999999998</c:v>
                </c:pt>
                <c:pt idx="29">
                  <c:v>-2.9249999999999998</c:v>
                </c:pt>
                <c:pt idx="30">
                  <c:v>-2.9249999999999998</c:v>
                </c:pt>
                <c:pt idx="31">
                  <c:v>-2.9249999999999998</c:v>
                </c:pt>
                <c:pt idx="32">
                  <c:v>-2.9249999999999998</c:v>
                </c:pt>
                <c:pt idx="33">
                  <c:v>-2.9249999999999998</c:v>
                </c:pt>
                <c:pt idx="34">
                  <c:v>-2.9249999999999998</c:v>
                </c:pt>
                <c:pt idx="35">
                  <c:v>-2.9249999999999998</c:v>
                </c:pt>
                <c:pt idx="36">
                  <c:v>-2.9249999999999998</c:v>
                </c:pt>
                <c:pt idx="37">
                  <c:v>-2.9249999999999998</c:v>
                </c:pt>
                <c:pt idx="38">
                  <c:v>-2.9249999999999998</c:v>
                </c:pt>
                <c:pt idx="39">
                  <c:v>-2.9249999999999998</c:v>
                </c:pt>
                <c:pt idx="40">
                  <c:v>-2.9249999999999998</c:v>
                </c:pt>
                <c:pt idx="41">
                  <c:v>-2.9249999999999998</c:v>
                </c:pt>
                <c:pt idx="42">
                  <c:v>-2.9249999999999998</c:v>
                </c:pt>
                <c:pt idx="43">
                  <c:v>-2.9249999999999998</c:v>
                </c:pt>
                <c:pt idx="44">
                  <c:v>-2.9249999999999998</c:v>
                </c:pt>
                <c:pt idx="45">
                  <c:v>-2.9249999999999998</c:v>
                </c:pt>
                <c:pt idx="46">
                  <c:v>-2.9249999999999998</c:v>
                </c:pt>
                <c:pt idx="47">
                  <c:v>-2.9249999999999998</c:v>
                </c:pt>
                <c:pt idx="48">
                  <c:v>-2.9249999999999998</c:v>
                </c:pt>
                <c:pt idx="49">
                  <c:v>-2.9249999999999998</c:v>
                </c:pt>
                <c:pt idx="50">
                  <c:v>-2.9249999999999998</c:v>
                </c:pt>
                <c:pt idx="51">
                  <c:v>-2.9249999999999998</c:v>
                </c:pt>
                <c:pt idx="52">
                  <c:v>-2.9249999999999998</c:v>
                </c:pt>
                <c:pt idx="53">
                  <c:v>-2.9249999999999998</c:v>
                </c:pt>
                <c:pt idx="54">
                  <c:v>-2.9249999999999998</c:v>
                </c:pt>
                <c:pt idx="55">
                  <c:v>-2.9249999999999998</c:v>
                </c:pt>
                <c:pt idx="56">
                  <c:v>-2.9249999999999998</c:v>
                </c:pt>
                <c:pt idx="57">
                  <c:v>-2.9249999999999998</c:v>
                </c:pt>
                <c:pt idx="58">
                  <c:v>-2.9249999999999998</c:v>
                </c:pt>
                <c:pt idx="59">
                  <c:v>-2.9249999999999998</c:v>
                </c:pt>
                <c:pt idx="60">
                  <c:v>-2.9249999999999998</c:v>
                </c:pt>
                <c:pt idx="61">
                  <c:v>-2.9249999999999998</c:v>
                </c:pt>
                <c:pt idx="62">
                  <c:v>-2.9249999999999998</c:v>
                </c:pt>
                <c:pt idx="63">
                  <c:v>-2.9249999999999998</c:v>
                </c:pt>
                <c:pt idx="64">
                  <c:v>-2.9249999999999998</c:v>
                </c:pt>
                <c:pt idx="65">
                  <c:v>-2.9249999999999998</c:v>
                </c:pt>
                <c:pt idx="66">
                  <c:v>-2.9249999999999998</c:v>
                </c:pt>
                <c:pt idx="67">
                  <c:v>-2.9249999999999998</c:v>
                </c:pt>
                <c:pt idx="68">
                  <c:v>-2.9249999999999998</c:v>
                </c:pt>
                <c:pt idx="69">
                  <c:v>-2.9249999999999998</c:v>
                </c:pt>
                <c:pt idx="70">
                  <c:v>-2.9249999999999998</c:v>
                </c:pt>
                <c:pt idx="71">
                  <c:v>-2.9249999999999998</c:v>
                </c:pt>
                <c:pt idx="72">
                  <c:v>-2.9249999999999998</c:v>
                </c:pt>
                <c:pt idx="73">
                  <c:v>-2.9249999999999998</c:v>
                </c:pt>
                <c:pt idx="74">
                  <c:v>-2.9249999999999998</c:v>
                </c:pt>
                <c:pt idx="75">
                  <c:v>-2.9249999999999998</c:v>
                </c:pt>
                <c:pt idx="76">
                  <c:v>-2.9249999999999998</c:v>
                </c:pt>
                <c:pt idx="77">
                  <c:v>-2.9249999999999998</c:v>
                </c:pt>
                <c:pt idx="78">
                  <c:v>-2.9249999999999998</c:v>
                </c:pt>
                <c:pt idx="79">
                  <c:v>-2.9249999999999998</c:v>
                </c:pt>
                <c:pt idx="80">
                  <c:v>-2.9249999999999998</c:v>
                </c:pt>
                <c:pt idx="81">
                  <c:v>-2.9249999999999998</c:v>
                </c:pt>
                <c:pt idx="82">
                  <c:v>-2.9249999999999998</c:v>
                </c:pt>
                <c:pt idx="83">
                  <c:v>-2.9249999999999998</c:v>
                </c:pt>
                <c:pt idx="84">
                  <c:v>-2.9249999999999998</c:v>
                </c:pt>
                <c:pt idx="85">
                  <c:v>-2.9249999999999998</c:v>
                </c:pt>
                <c:pt idx="86">
                  <c:v>-2.9249999999999998</c:v>
                </c:pt>
                <c:pt idx="87">
                  <c:v>-2.9249999999999998</c:v>
                </c:pt>
                <c:pt idx="88">
                  <c:v>-2.9249999999999998</c:v>
                </c:pt>
                <c:pt idx="89">
                  <c:v>-2.9249999999999998</c:v>
                </c:pt>
                <c:pt idx="90">
                  <c:v>-2.9249999999999998</c:v>
                </c:pt>
                <c:pt idx="91">
                  <c:v>-2.9249999999999998</c:v>
                </c:pt>
                <c:pt idx="92">
                  <c:v>-2.9249999999999998</c:v>
                </c:pt>
                <c:pt idx="93">
                  <c:v>-2.9249999999999998</c:v>
                </c:pt>
                <c:pt idx="94">
                  <c:v>-2.9249999999999998</c:v>
                </c:pt>
                <c:pt idx="95">
                  <c:v>-2.9249999999999998</c:v>
                </c:pt>
                <c:pt idx="96">
                  <c:v>-2.9249999999999998</c:v>
                </c:pt>
                <c:pt idx="97">
                  <c:v>-2.9249999999999998</c:v>
                </c:pt>
                <c:pt idx="98">
                  <c:v>-2.9249999999999998</c:v>
                </c:pt>
                <c:pt idx="99">
                  <c:v>-2.9249999999999998</c:v>
                </c:pt>
                <c:pt idx="100">
                  <c:v>-2.9249999999999998</c:v>
                </c:pt>
                <c:pt idx="101">
                  <c:v>-2.9249999999999998</c:v>
                </c:pt>
                <c:pt idx="102">
                  <c:v>-2.9249999999999998</c:v>
                </c:pt>
                <c:pt idx="103">
                  <c:v>-2.9249999999999998</c:v>
                </c:pt>
                <c:pt idx="104">
                  <c:v>-2.9249999999999998</c:v>
                </c:pt>
                <c:pt idx="105">
                  <c:v>-2.9249999999999998</c:v>
                </c:pt>
                <c:pt idx="106">
                  <c:v>-2.9249999999999998</c:v>
                </c:pt>
                <c:pt idx="107">
                  <c:v>-2.9249999999999998</c:v>
                </c:pt>
                <c:pt idx="108">
                  <c:v>-2.9249999999999998</c:v>
                </c:pt>
                <c:pt idx="109">
                  <c:v>-2.9249999999999998</c:v>
                </c:pt>
                <c:pt idx="110">
                  <c:v>-2.9249999999999998</c:v>
                </c:pt>
                <c:pt idx="111">
                  <c:v>-2.9249999999999998</c:v>
                </c:pt>
                <c:pt idx="112">
                  <c:v>-2.9249999999999998</c:v>
                </c:pt>
                <c:pt idx="113">
                  <c:v>-2.9249999999999998</c:v>
                </c:pt>
                <c:pt idx="114">
                  <c:v>-2.9249999999999998</c:v>
                </c:pt>
                <c:pt idx="115">
                  <c:v>-2.9249999999999998</c:v>
                </c:pt>
                <c:pt idx="116">
                  <c:v>-2.9249999999999998</c:v>
                </c:pt>
                <c:pt idx="117">
                  <c:v>-2.9249999999999998</c:v>
                </c:pt>
                <c:pt idx="118">
                  <c:v>-2.9249999999999998</c:v>
                </c:pt>
                <c:pt idx="119">
                  <c:v>-2.9249999999999998</c:v>
                </c:pt>
                <c:pt idx="120">
                  <c:v>-2.9249999999999998</c:v>
                </c:pt>
                <c:pt idx="121">
                  <c:v>-2.9249999999999998</c:v>
                </c:pt>
                <c:pt idx="122">
                  <c:v>-2.9249999999999998</c:v>
                </c:pt>
                <c:pt idx="123">
                  <c:v>-2.9249999999999998</c:v>
                </c:pt>
                <c:pt idx="124">
                  <c:v>-2.9249999999999998</c:v>
                </c:pt>
                <c:pt idx="125">
                  <c:v>-2.9249999999999998</c:v>
                </c:pt>
                <c:pt idx="126">
                  <c:v>-2.9249999999999998</c:v>
                </c:pt>
                <c:pt idx="127">
                  <c:v>-2.9249999999999998</c:v>
                </c:pt>
                <c:pt idx="128">
                  <c:v>-2.9249999999999998</c:v>
                </c:pt>
                <c:pt idx="129">
                  <c:v>-2.9249999999999998</c:v>
                </c:pt>
                <c:pt idx="130">
                  <c:v>-2.9249999999999998</c:v>
                </c:pt>
                <c:pt idx="131">
                  <c:v>-2.9249999999999998</c:v>
                </c:pt>
                <c:pt idx="132">
                  <c:v>-2.9249999999999998</c:v>
                </c:pt>
                <c:pt idx="133">
                  <c:v>-2.9249999999999998</c:v>
                </c:pt>
                <c:pt idx="134">
                  <c:v>-2.9249999999999998</c:v>
                </c:pt>
                <c:pt idx="135">
                  <c:v>-2.9249999999999998</c:v>
                </c:pt>
                <c:pt idx="136">
                  <c:v>-2.9249999999999998</c:v>
                </c:pt>
                <c:pt idx="137">
                  <c:v>-2.9249999999999998</c:v>
                </c:pt>
                <c:pt idx="138">
                  <c:v>-2.9249999999999998</c:v>
                </c:pt>
                <c:pt idx="139">
                  <c:v>-2.9249999999999998</c:v>
                </c:pt>
                <c:pt idx="140">
                  <c:v>-2.9249999999999998</c:v>
                </c:pt>
                <c:pt idx="141">
                  <c:v>-2.9249999999999998</c:v>
                </c:pt>
                <c:pt idx="142">
                  <c:v>-2.9249999999999998</c:v>
                </c:pt>
                <c:pt idx="143">
                  <c:v>-2.9249999999999998</c:v>
                </c:pt>
                <c:pt idx="144">
                  <c:v>-2.9249999999999998</c:v>
                </c:pt>
                <c:pt idx="145">
                  <c:v>-2.9249999999999998</c:v>
                </c:pt>
                <c:pt idx="146">
                  <c:v>-2.9249999999999998</c:v>
                </c:pt>
                <c:pt idx="147">
                  <c:v>-2.9249999999999998</c:v>
                </c:pt>
                <c:pt idx="148">
                  <c:v>-2.9249999999999998</c:v>
                </c:pt>
                <c:pt idx="149">
                  <c:v>-2.9249999999999998</c:v>
                </c:pt>
                <c:pt idx="150">
                  <c:v>-2.9249999999999998</c:v>
                </c:pt>
                <c:pt idx="151">
                  <c:v>-2.9249999999999998</c:v>
                </c:pt>
                <c:pt idx="152">
                  <c:v>-2.9249999999999998</c:v>
                </c:pt>
                <c:pt idx="153">
                  <c:v>-2.9249999999999998</c:v>
                </c:pt>
                <c:pt idx="154">
                  <c:v>-2.9249999999999998</c:v>
                </c:pt>
                <c:pt idx="155">
                  <c:v>-2.9249999999999998</c:v>
                </c:pt>
                <c:pt idx="156">
                  <c:v>-2.9249999999999998</c:v>
                </c:pt>
                <c:pt idx="157">
                  <c:v>-2.9249999999999998</c:v>
                </c:pt>
                <c:pt idx="158">
                  <c:v>-2.9249999999999998</c:v>
                </c:pt>
                <c:pt idx="159">
                  <c:v>-2.9249999999999998</c:v>
                </c:pt>
                <c:pt idx="160">
                  <c:v>-2.9249999999999998</c:v>
                </c:pt>
                <c:pt idx="161">
                  <c:v>-2.9249999999999998</c:v>
                </c:pt>
                <c:pt idx="162">
                  <c:v>-2.9249999999999998</c:v>
                </c:pt>
                <c:pt idx="163">
                  <c:v>-2.9249999999999998</c:v>
                </c:pt>
                <c:pt idx="164">
                  <c:v>-2.9249999999999998</c:v>
                </c:pt>
                <c:pt idx="165">
                  <c:v>-2.9249999999999998</c:v>
                </c:pt>
                <c:pt idx="166">
                  <c:v>-2.9249999999999998</c:v>
                </c:pt>
                <c:pt idx="167">
                  <c:v>-2.9249999999999998</c:v>
                </c:pt>
                <c:pt idx="168">
                  <c:v>-2.9249999999999998</c:v>
                </c:pt>
                <c:pt idx="169">
                  <c:v>-2.9249999999999998</c:v>
                </c:pt>
                <c:pt idx="170">
                  <c:v>-2.9249999999999998</c:v>
                </c:pt>
                <c:pt idx="171">
                  <c:v>-2.9249999999999998</c:v>
                </c:pt>
                <c:pt idx="172">
                  <c:v>-2.9249999999999998</c:v>
                </c:pt>
                <c:pt idx="173">
                  <c:v>-2.9249999999999998</c:v>
                </c:pt>
                <c:pt idx="174">
                  <c:v>-2.9249999999999998</c:v>
                </c:pt>
                <c:pt idx="175">
                  <c:v>-2.9249999999999998</c:v>
                </c:pt>
                <c:pt idx="176">
                  <c:v>-2.9249999999999998</c:v>
                </c:pt>
                <c:pt idx="177">
                  <c:v>-2.9249999999999998</c:v>
                </c:pt>
                <c:pt idx="178">
                  <c:v>-2.9249999999999998</c:v>
                </c:pt>
                <c:pt idx="179">
                  <c:v>-2.9249999999999998</c:v>
                </c:pt>
                <c:pt idx="180">
                  <c:v>-2.9249999999999998</c:v>
                </c:pt>
                <c:pt idx="181">
                  <c:v>-2.9249999999999998</c:v>
                </c:pt>
                <c:pt idx="182">
                  <c:v>-2.9249999999999998</c:v>
                </c:pt>
                <c:pt idx="183">
                  <c:v>-2.9249999999999998</c:v>
                </c:pt>
                <c:pt idx="184">
                  <c:v>-2.9249999999999998</c:v>
                </c:pt>
                <c:pt idx="185">
                  <c:v>-2.9249999999999998</c:v>
                </c:pt>
                <c:pt idx="186">
                  <c:v>-2.9249999999999998</c:v>
                </c:pt>
                <c:pt idx="187">
                  <c:v>-2.9249999999999998</c:v>
                </c:pt>
                <c:pt idx="188">
                  <c:v>-2.9249999999999998</c:v>
                </c:pt>
                <c:pt idx="189">
                  <c:v>-2.9249999999999998</c:v>
                </c:pt>
                <c:pt idx="190">
                  <c:v>-2.9249999999999998</c:v>
                </c:pt>
                <c:pt idx="191">
                  <c:v>-2.9249999999999998</c:v>
                </c:pt>
                <c:pt idx="192">
                  <c:v>-2.9249999999999998</c:v>
                </c:pt>
                <c:pt idx="193">
                  <c:v>-2.9249999999999998</c:v>
                </c:pt>
                <c:pt idx="194">
                  <c:v>-2.9249999999999998</c:v>
                </c:pt>
                <c:pt idx="195">
                  <c:v>-2.9249999999999998</c:v>
                </c:pt>
                <c:pt idx="196">
                  <c:v>-2.9249999999999998</c:v>
                </c:pt>
                <c:pt idx="197">
                  <c:v>-2.9249999999999998</c:v>
                </c:pt>
                <c:pt idx="198">
                  <c:v>-2.9249999999999998</c:v>
                </c:pt>
                <c:pt idx="199">
                  <c:v>-2.9249999999999998</c:v>
                </c:pt>
                <c:pt idx="200">
                  <c:v>-2.9249999999999998</c:v>
                </c:pt>
                <c:pt idx="201">
                  <c:v>-2.9249999999999998</c:v>
                </c:pt>
                <c:pt idx="202">
                  <c:v>-2.9249999999999998</c:v>
                </c:pt>
                <c:pt idx="203">
                  <c:v>-2.9249999999999998</c:v>
                </c:pt>
                <c:pt idx="204">
                  <c:v>-2.9249999999999998</c:v>
                </c:pt>
                <c:pt idx="205">
                  <c:v>-2.9249999999999998</c:v>
                </c:pt>
                <c:pt idx="206">
                  <c:v>-2.9249999999999998</c:v>
                </c:pt>
                <c:pt idx="207">
                  <c:v>-2.9249999999999998</c:v>
                </c:pt>
                <c:pt idx="208">
                  <c:v>-2.9249999999999998</c:v>
                </c:pt>
                <c:pt idx="209">
                  <c:v>-2.9249999999999998</c:v>
                </c:pt>
                <c:pt idx="210">
                  <c:v>-2.9249999999999998</c:v>
                </c:pt>
                <c:pt idx="211">
                  <c:v>-2.9249999999999998</c:v>
                </c:pt>
                <c:pt idx="212">
                  <c:v>-2.9249999999999998</c:v>
                </c:pt>
                <c:pt idx="213">
                  <c:v>-2.9249999999999998</c:v>
                </c:pt>
                <c:pt idx="214">
                  <c:v>-2.9249999999999998</c:v>
                </c:pt>
                <c:pt idx="215">
                  <c:v>-2.9249999999999998</c:v>
                </c:pt>
                <c:pt idx="216">
                  <c:v>-2.9249999999999998</c:v>
                </c:pt>
                <c:pt idx="217">
                  <c:v>-2.9249999999999998</c:v>
                </c:pt>
                <c:pt idx="218">
                  <c:v>-2.9249999999999998</c:v>
                </c:pt>
                <c:pt idx="219">
                  <c:v>-2.9249999999999998</c:v>
                </c:pt>
                <c:pt idx="220">
                  <c:v>-2.9249999999999998</c:v>
                </c:pt>
                <c:pt idx="221">
                  <c:v>-2.9249999999999998</c:v>
                </c:pt>
                <c:pt idx="222">
                  <c:v>-2.9249999999999998</c:v>
                </c:pt>
                <c:pt idx="223">
                  <c:v>-2.9249999999999998</c:v>
                </c:pt>
                <c:pt idx="224">
                  <c:v>-2.9249999999999998</c:v>
                </c:pt>
                <c:pt idx="225">
                  <c:v>-2.9249999999999998</c:v>
                </c:pt>
                <c:pt idx="226">
                  <c:v>-2.9249999999999998</c:v>
                </c:pt>
                <c:pt idx="227">
                  <c:v>-2.9249999999999998</c:v>
                </c:pt>
                <c:pt idx="228">
                  <c:v>-2.9249999999999998</c:v>
                </c:pt>
                <c:pt idx="229">
                  <c:v>-2.9249999999999998</c:v>
                </c:pt>
                <c:pt idx="230">
                  <c:v>-2.9249999999999998</c:v>
                </c:pt>
                <c:pt idx="231">
                  <c:v>-2.9249999999999998</c:v>
                </c:pt>
                <c:pt idx="232">
                  <c:v>-2.9249999999999998</c:v>
                </c:pt>
                <c:pt idx="233">
                  <c:v>-2.9249999999999998</c:v>
                </c:pt>
                <c:pt idx="234">
                  <c:v>-2.9249999999999998</c:v>
                </c:pt>
                <c:pt idx="235">
                  <c:v>-2.9249999999999998</c:v>
                </c:pt>
                <c:pt idx="236">
                  <c:v>-2.9249999999999998</c:v>
                </c:pt>
                <c:pt idx="237">
                  <c:v>-2.9249999999999998</c:v>
                </c:pt>
                <c:pt idx="238">
                  <c:v>-2.9249999999999998</c:v>
                </c:pt>
                <c:pt idx="239">
                  <c:v>-2.9249999999999998</c:v>
                </c:pt>
                <c:pt idx="240">
                  <c:v>-2.9249999999999998</c:v>
                </c:pt>
                <c:pt idx="241">
                  <c:v>-2.9249999999999998</c:v>
                </c:pt>
                <c:pt idx="242">
                  <c:v>-2.9249999999999998</c:v>
                </c:pt>
                <c:pt idx="243">
                  <c:v>-2.9249999999999998</c:v>
                </c:pt>
                <c:pt idx="244">
                  <c:v>-2.9249999999999998</c:v>
                </c:pt>
                <c:pt idx="245">
                  <c:v>-2.9249999999999998</c:v>
                </c:pt>
                <c:pt idx="246">
                  <c:v>-2.9249999999999998</c:v>
                </c:pt>
                <c:pt idx="247">
                  <c:v>-2.9249999999999998</c:v>
                </c:pt>
                <c:pt idx="248">
                  <c:v>-2.9249999999999998</c:v>
                </c:pt>
                <c:pt idx="249">
                  <c:v>-2.9249999999999998</c:v>
                </c:pt>
                <c:pt idx="250">
                  <c:v>-2.9249999999999998</c:v>
                </c:pt>
                <c:pt idx="251">
                  <c:v>-2.9249999999999998</c:v>
                </c:pt>
                <c:pt idx="252">
                  <c:v>-2.9249999999999998</c:v>
                </c:pt>
                <c:pt idx="253">
                  <c:v>-2.9249999999999998</c:v>
                </c:pt>
                <c:pt idx="254">
                  <c:v>-2.9249999999999998</c:v>
                </c:pt>
                <c:pt idx="255">
                  <c:v>-2.9249999999999998</c:v>
                </c:pt>
                <c:pt idx="256">
                  <c:v>-2.9249999999999998</c:v>
                </c:pt>
                <c:pt idx="257">
                  <c:v>-2.9249999999999998</c:v>
                </c:pt>
                <c:pt idx="258">
                  <c:v>-2.9249999999999998</c:v>
                </c:pt>
                <c:pt idx="259">
                  <c:v>-2.9249999999999998</c:v>
                </c:pt>
                <c:pt idx="260">
                  <c:v>-2.9249999999999998</c:v>
                </c:pt>
                <c:pt idx="261">
                  <c:v>-2.9249999999999998</c:v>
                </c:pt>
                <c:pt idx="262">
                  <c:v>-2.9249999999999998</c:v>
                </c:pt>
                <c:pt idx="263">
                  <c:v>-2.9249999999999998</c:v>
                </c:pt>
                <c:pt idx="264">
                  <c:v>-2.9249999999999998</c:v>
                </c:pt>
                <c:pt idx="265">
                  <c:v>-2.9249999999999998</c:v>
                </c:pt>
                <c:pt idx="266">
                  <c:v>-2.9249999999999998</c:v>
                </c:pt>
                <c:pt idx="267">
                  <c:v>-2.9249999999999998</c:v>
                </c:pt>
                <c:pt idx="268">
                  <c:v>-2.9249999999999998</c:v>
                </c:pt>
                <c:pt idx="269">
                  <c:v>-2.9249999999999998</c:v>
                </c:pt>
                <c:pt idx="270">
                  <c:v>-2.9249999999999998</c:v>
                </c:pt>
                <c:pt idx="271">
                  <c:v>-2.9249999999999998</c:v>
                </c:pt>
                <c:pt idx="272">
                  <c:v>-2.9249999999999998</c:v>
                </c:pt>
                <c:pt idx="273">
                  <c:v>-2.9249999999999998</c:v>
                </c:pt>
                <c:pt idx="274">
                  <c:v>-2.9249999999999998</c:v>
                </c:pt>
                <c:pt idx="275">
                  <c:v>-2.9249999999999998</c:v>
                </c:pt>
                <c:pt idx="276">
                  <c:v>-2.9249999999999998</c:v>
                </c:pt>
                <c:pt idx="277">
                  <c:v>-2.9249999999999998</c:v>
                </c:pt>
                <c:pt idx="278">
                  <c:v>-2.9249999999999998</c:v>
                </c:pt>
                <c:pt idx="279">
                  <c:v>-2.9249999999999998</c:v>
                </c:pt>
                <c:pt idx="280">
                  <c:v>-2.9249999999999998</c:v>
                </c:pt>
                <c:pt idx="281">
                  <c:v>-2.9249999999999998</c:v>
                </c:pt>
                <c:pt idx="282">
                  <c:v>-2.9249999999999998</c:v>
                </c:pt>
                <c:pt idx="283">
                  <c:v>-2.9249999999999998</c:v>
                </c:pt>
                <c:pt idx="284">
                  <c:v>-2.9249999999999998</c:v>
                </c:pt>
                <c:pt idx="285">
                  <c:v>-2.9249999999999998</c:v>
                </c:pt>
                <c:pt idx="286">
                  <c:v>-2.9249999999999998</c:v>
                </c:pt>
                <c:pt idx="287">
                  <c:v>-2.9249999999999998</c:v>
                </c:pt>
                <c:pt idx="288">
                  <c:v>-2.9249999999999998</c:v>
                </c:pt>
                <c:pt idx="289">
                  <c:v>-2.9249999999999998</c:v>
                </c:pt>
                <c:pt idx="290">
                  <c:v>-2.9249999999999998</c:v>
                </c:pt>
                <c:pt idx="291">
                  <c:v>-2.9249999999999998</c:v>
                </c:pt>
                <c:pt idx="292">
                  <c:v>-2.9249999999999998</c:v>
                </c:pt>
                <c:pt idx="293">
                  <c:v>-2.9249999999999998</c:v>
                </c:pt>
                <c:pt idx="294">
                  <c:v>-2.9249999999999998</c:v>
                </c:pt>
                <c:pt idx="295">
                  <c:v>-2.9249999999999998</c:v>
                </c:pt>
                <c:pt idx="296">
                  <c:v>-2.9249999999999998</c:v>
                </c:pt>
                <c:pt idx="297">
                  <c:v>-2.9249999999999998</c:v>
                </c:pt>
                <c:pt idx="298">
                  <c:v>-2.9249999999999998</c:v>
                </c:pt>
                <c:pt idx="299">
                  <c:v>-2.9249999999999998</c:v>
                </c:pt>
              </c:numCache>
            </c:numRef>
          </c:xVal>
          <c:yVal>
            <c:numRef>
              <c:f>'See r'!$BQ$9:$BQ$308</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er>
        <c:ser>
          <c:idx val="5"/>
          <c:order val="9"/>
          <c:spPr>
            <a:ln w="12700">
              <a:solidFill>
                <a:srgbClr val="0000FF"/>
              </a:solidFill>
              <a:prstDash val="solid"/>
            </a:ln>
          </c:spPr>
          <c:marker>
            <c:symbol val="none"/>
          </c:marker>
          <c:xVal>
            <c:numRef>
              <c:f>'See r'!$BO$1:$BO$2</c:f>
              <c:numCache>
                <c:formatCode>General</c:formatCode>
                <c:ptCount val="2"/>
                <c:pt idx="0">
                  <c:v>#N/A</c:v>
                </c:pt>
                <c:pt idx="1">
                  <c:v>#N/A</c:v>
                </c:pt>
              </c:numCache>
            </c:numRef>
          </c:xVal>
          <c:yVal>
            <c:numRef>
              <c:f>'See r'!$BP$1:$BP$2</c:f>
              <c:numCache>
                <c:formatCode>General</c:formatCode>
                <c:ptCount val="2"/>
                <c:pt idx="0">
                  <c:v>#N/A</c:v>
                </c:pt>
                <c:pt idx="1">
                  <c:v>#N/A</c:v>
                </c:pt>
              </c:numCache>
            </c:numRef>
          </c:yVal>
        </c:ser>
        <c:ser>
          <c:idx val="10"/>
          <c:order val="10"/>
          <c:spPr>
            <a:ln w="12700">
              <a:solidFill>
                <a:srgbClr val="CCFFCC"/>
              </a:solidFill>
              <a:prstDash val="solid"/>
            </a:ln>
          </c:spPr>
          <c:marker>
            <c:symbol val="none"/>
          </c:marker>
          <c:dLbls>
            <c:dLbl>
              <c:idx val="0"/>
              <c:tx>
                <c:strRef>
                  <c:f>'See r'!$AY$10</c:f>
                  <c:strCache>
                    <c:ptCount val="1"/>
                    <c:pt idx="0">
                      <c:v>.3</c:v>
                    </c:pt>
                  </c:strCache>
                </c:strRef>
              </c:tx>
              <c:dLblPos val="r"/>
            </c:dLbl>
            <c:spPr>
              <a:solidFill>
                <a:srgbClr val="FFFFFF"/>
              </a:solidFill>
              <a:ln w="25400">
                <a:noFill/>
              </a:ln>
            </c:spPr>
            <c:txPr>
              <a:bodyPr/>
              <a:lstStyle/>
              <a:p>
                <a:pPr>
                  <a:defRPr sz="1800" b="0" i="0" u="none" strike="noStrike" baseline="0">
                    <a:solidFill>
                      <a:srgbClr val="000000"/>
                    </a:solidFill>
                    <a:latin typeface="Arial"/>
                    <a:ea typeface="Arial"/>
                    <a:cs typeface="Arial"/>
                  </a:defRPr>
                </a:pPr>
                <a:endParaRPr lang="en-US"/>
              </a:p>
            </c:txPr>
            <c:dLblPos val="r"/>
            <c:showCatName val="1"/>
          </c:dLbls>
          <c:xVal>
            <c:numRef>
              <c:f>'See r'!$AX$11</c:f>
              <c:numCache>
                <c:formatCode>General</c:formatCode>
                <c:ptCount val="1"/>
                <c:pt idx="0">
                  <c:v>-1.51</c:v>
                </c:pt>
              </c:numCache>
            </c:numRef>
          </c:xVal>
          <c:yVal>
            <c:numRef>
              <c:f>'See r'!$AY$11</c:f>
              <c:numCache>
                <c:formatCode>General</c:formatCode>
                <c:ptCount val="1"/>
                <c:pt idx="0">
                  <c:v>3</c:v>
                </c:pt>
              </c:numCache>
            </c:numRef>
          </c:yVal>
        </c:ser>
        <c:ser>
          <c:idx val="11"/>
          <c:order val="11"/>
          <c:spPr>
            <a:ln w="12700">
              <a:solidFill>
                <a:srgbClr val="FFFF99"/>
              </a:solidFill>
              <a:prstDash val="solid"/>
            </a:ln>
          </c:spPr>
          <c:marker>
            <c:symbol val="none"/>
          </c:marker>
          <c:dLbls>
            <c:dLbl>
              <c:idx val="0"/>
              <c:tx>
                <c:rich>
                  <a:bodyPr/>
                  <a:lstStyle/>
                  <a:p>
                    <a:pPr>
                      <a:defRPr sz="1800" b="0" i="1" u="none" strike="noStrike" baseline="0">
                        <a:solidFill>
                          <a:srgbClr val="000000"/>
                        </a:solidFill>
                        <a:latin typeface="Arial"/>
                        <a:ea typeface="Arial"/>
                        <a:cs typeface="Arial"/>
                      </a:defRPr>
                    </a:pPr>
                    <a:r>
                      <a:rPr lang="en-AU" sz="1800" b="0" i="1" u="none" strike="noStrike" baseline="0">
                        <a:solidFill>
                          <a:srgbClr val="000000"/>
                        </a:solidFill>
                        <a:latin typeface="Arial"/>
                        <a:cs typeface="Arial"/>
                      </a:rPr>
                      <a:t>r</a:t>
                    </a:r>
                    <a:r>
                      <a:rPr lang="en-AU" sz="1800" b="0" i="0" u="none" strike="noStrike" baseline="0">
                        <a:solidFill>
                          <a:srgbClr val="000000"/>
                        </a:solidFill>
                        <a:latin typeface="Arial"/>
                        <a:cs typeface="Arial"/>
                      </a:rPr>
                      <a:t> =</a:t>
                    </a:r>
                  </a:p>
                </c:rich>
              </c:tx>
              <c:spPr>
                <a:noFill/>
                <a:ln w="25400">
                  <a:noFill/>
                </a:ln>
              </c:spPr>
              <c:dLblPos val="ctr"/>
            </c:dLbl>
            <c:spPr>
              <a:noFill/>
              <a:ln w="25400">
                <a:noFill/>
              </a:ln>
            </c:spPr>
            <c:txPr>
              <a:bodyPr/>
              <a:lstStyle/>
              <a:p>
                <a:pPr>
                  <a:defRPr sz="1800" b="0" i="0" u="none" strike="noStrike" baseline="0">
                    <a:solidFill>
                      <a:srgbClr val="000000"/>
                    </a:solidFill>
                    <a:latin typeface="Arial"/>
                    <a:ea typeface="Arial"/>
                    <a:cs typeface="Arial"/>
                  </a:defRPr>
                </a:pPr>
                <a:endParaRPr lang="en-US"/>
              </a:p>
            </c:txPr>
            <c:dLblPos val="ctr"/>
            <c:showVal val="1"/>
          </c:dLbls>
          <c:xVal>
            <c:numRef>
              <c:f>'See r'!$AX$12</c:f>
              <c:numCache>
                <c:formatCode>General</c:formatCode>
                <c:ptCount val="1"/>
                <c:pt idx="0">
                  <c:v>-1.63</c:v>
                </c:pt>
              </c:numCache>
            </c:numRef>
          </c:xVal>
          <c:yVal>
            <c:numRef>
              <c:f>'See r'!$AY$12</c:f>
              <c:numCache>
                <c:formatCode>General</c:formatCode>
                <c:ptCount val="1"/>
                <c:pt idx="0">
                  <c:v>3</c:v>
                </c:pt>
              </c:numCache>
            </c:numRef>
          </c:yVal>
        </c:ser>
        <c:axId val="153021440"/>
        <c:axId val="157095040"/>
      </c:scatterChart>
      <c:valAx>
        <c:axId val="153021440"/>
        <c:scaling>
          <c:orientation val="minMax"/>
          <c:max val="3"/>
          <c:min val="-3"/>
        </c:scaling>
        <c:axPos val="b"/>
        <c:title>
          <c:tx>
            <c:rich>
              <a:bodyPr/>
              <a:lstStyle/>
              <a:p>
                <a:pPr>
                  <a:defRPr sz="1800" b="0" i="1" u="none" strike="noStrike" baseline="0">
                    <a:solidFill>
                      <a:srgbClr val="000000"/>
                    </a:solidFill>
                    <a:latin typeface="Arial"/>
                    <a:ea typeface="Arial"/>
                    <a:cs typeface="Arial"/>
                  </a:defRPr>
                </a:pPr>
                <a:r>
                  <a:rPr lang="en-AU"/>
                  <a:t>X</a:t>
                </a:r>
              </a:p>
            </c:rich>
          </c:tx>
          <c:layout>
            <c:manualLayout>
              <c:xMode val="edge"/>
              <c:yMode val="edge"/>
              <c:x val="0.50483870967741939"/>
              <c:y val="0.92100915917899762"/>
            </c:manualLayout>
          </c:layout>
          <c:spPr>
            <a:noFill/>
            <a:ln w="25400">
              <a:noFill/>
            </a:ln>
          </c:spPr>
        </c:title>
        <c:numFmt formatCode="General" sourceLinked="1"/>
        <c:majorTickMark val="none"/>
        <c:tickLblPos val="none"/>
        <c:spPr>
          <a:ln w="3175">
            <a:solidFill>
              <a:srgbClr val="000000"/>
            </a:solidFill>
            <a:prstDash val="solid"/>
          </a:ln>
        </c:spPr>
        <c:crossAx val="157095040"/>
        <c:crossesAt val="-999"/>
        <c:crossBetween val="midCat"/>
        <c:majorUnit val="1"/>
        <c:minorUnit val="0.5"/>
      </c:valAx>
      <c:valAx>
        <c:axId val="157095040"/>
        <c:scaling>
          <c:orientation val="minMax"/>
          <c:max val="3"/>
          <c:min val="-3"/>
        </c:scaling>
        <c:axPos val="l"/>
        <c:title>
          <c:tx>
            <c:rich>
              <a:bodyPr rot="0" vert="wordArtVert"/>
              <a:lstStyle/>
              <a:p>
                <a:pPr algn="ctr">
                  <a:defRPr sz="1800" b="0" i="1" u="none" strike="noStrike" baseline="0">
                    <a:solidFill>
                      <a:srgbClr val="000000"/>
                    </a:solidFill>
                    <a:latin typeface="Arial"/>
                    <a:ea typeface="Arial"/>
                    <a:cs typeface="Arial"/>
                  </a:defRPr>
                </a:pPr>
                <a:r>
                  <a:rPr lang="en-AU"/>
                  <a:t>Y</a:t>
                </a:r>
              </a:p>
            </c:rich>
          </c:tx>
          <c:layout>
            <c:manualLayout>
              <c:xMode val="edge"/>
              <c:yMode val="edge"/>
              <c:x val="8.0645161290322682E-3"/>
              <c:y val="0.43193312757117219"/>
            </c:manualLayout>
          </c:layout>
          <c:spPr>
            <a:noFill/>
            <a:ln w="25400">
              <a:noFill/>
            </a:ln>
          </c:spPr>
        </c:title>
        <c:numFmt formatCode="General" sourceLinked="1"/>
        <c:majorTickMark val="none"/>
        <c:tickLblPos val="none"/>
        <c:spPr>
          <a:ln w="3175">
            <a:solidFill>
              <a:srgbClr val="000000"/>
            </a:solidFill>
            <a:prstDash val="solid"/>
          </a:ln>
        </c:spPr>
        <c:crossAx val="153021440"/>
        <c:crossesAt val="-999"/>
        <c:crossBetween val="midCat"/>
        <c:majorUnit val="1"/>
        <c:minorUnit val="0.5"/>
      </c:valAx>
      <c:spPr>
        <a:noFill/>
        <a:ln w="25400">
          <a:noFill/>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0.53987834380627753"/>
          <c:y val="0.19219237397306657"/>
          <c:w val="3.8645550737743611E-5"/>
          <c:h val="0.68768739229376685"/>
        </c:manualLayout>
      </c:layout>
      <c:scatterChart>
        <c:scatterStyle val="lineMarker"/>
        <c:ser>
          <c:idx val="1"/>
          <c:order val="0"/>
          <c:spPr>
            <a:ln w="28575">
              <a:noFill/>
            </a:ln>
          </c:spPr>
          <c:marker>
            <c:symbol val="diamond"/>
            <c:size val="7"/>
            <c:spPr>
              <a:solidFill>
                <a:srgbClr val="FF0000"/>
              </a:solidFill>
              <a:ln>
                <a:solidFill>
                  <a:srgbClr val="000000"/>
                </a:solidFill>
                <a:prstDash val="solid"/>
              </a:ln>
            </c:spPr>
          </c:marker>
          <c:errBars>
            <c:errDir val="y"/>
            <c:errBarType val="both"/>
            <c:errValType val="cust"/>
            <c:noEndCap val="1"/>
            <c:plus>
              <c:numRef>
                <c:f>Scatterplots!$DE$32</c:f>
                <c:numCache>
                  <c:formatCode>General</c:formatCode>
                  <c:ptCount val="1"/>
                  <c:pt idx="0">
                    <c:v>0.23</c:v>
                  </c:pt>
                </c:numCache>
              </c:numRef>
            </c:plus>
            <c:minus>
              <c:numRef>
                <c:f>Scatterplots!$DE$32</c:f>
                <c:numCache>
                  <c:formatCode>General</c:formatCode>
                  <c:ptCount val="1"/>
                  <c:pt idx="0">
                    <c:v>0.23</c:v>
                  </c:pt>
                </c:numCache>
              </c:numRef>
            </c:minus>
            <c:spPr>
              <a:ln w="38100">
                <a:solidFill>
                  <a:srgbClr val="FF0000"/>
                </a:solidFill>
                <a:prstDash val="solid"/>
              </a:ln>
            </c:spPr>
          </c:errBars>
          <c:xVal>
            <c:numRef>
              <c:f>Scatterplots!$DD$33</c:f>
              <c:numCache>
                <c:formatCode>General</c:formatCode>
                <c:ptCount val="1"/>
                <c:pt idx="0">
                  <c:v>0.96</c:v>
                </c:pt>
              </c:numCache>
            </c:numRef>
          </c:xVal>
          <c:yVal>
            <c:numRef>
              <c:f>Scatterplots!$DE$33</c:f>
              <c:numCache>
                <c:formatCode>General</c:formatCode>
                <c:ptCount val="1"/>
                <c:pt idx="0">
                  <c:v>1.05</c:v>
                </c:pt>
              </c:numCache>
            </c:numRef>
          </c:yVal>
        </c:ser>
        <c:axId val="158995968"/>
        <c:axId val="158997504"/>
      </c:scatterChart>
      <c:valAx>
        <c:axId val="158995968"/>
        <c:scaling>
          <c:orientation val="minMax"/>
          <c:max val="1.2"/>
          <c:min val="0.98"/>
        </c:scaling>
        <c:axPos val="b"/>
        <c:numFmt formatCode="General" sourceLinked="1"/>
        <c:majorTickMark val="none"/>
        <c:tickLblPos val="none"/>
        <c:spPr>
          <a:ln w="9525">
            <a:noFill/>
          </a:ln>
        </c:spPr>
        <c:crossAx val="158997504"/>
        <c:crosses val="autoZero"/>
        <c:crossBetween val="midCat"/>
      </c:valAx>
      <c:valAx>
        <c:axId val="158997504"/>
        <c:scaling>
          <c:orientation val="minMax"/>
          <c:max val="1.4"/>
          <c:min val="0.70000000000000062"/>
        </c:scaling>
        <c:axPos val="l"/>
        <c:numFmt formatCode="General" sourceLinked="1"/>
        <c:majorTickMark val="none"/>
        <c:tickLblPos val="none"/>
        <c:spPr>
          <a:ln w="9525">
            <a:noFill/>
          </a:ln>
        </c:spPr>
        <c:crossAx val="158995968"/>
        <c:crosses val="autoZero"/>
        <c:crossBetween val="midCat"/>
      </c:valAx>
      <c:spPr>
        <a:noFill/>
        <a:ln w="25400">
          <a:noFill/>
        </a:ln>
      </c:spPr>
    </c:plotArea>
    <c:plotVisOnly val="1"/>
    <c:dispBlanksAs val="gap"/>
  </c:chart>
  <c:spPr>
    <a:solidFill>
      <a:srgbClr val="FF99CC">
        <a:alpha val="0"/>
      </a:srgbClr>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0.12593996521451797"/>
          <c:y val="5.2631627253828563E-2"/>
          <c:w val="0.84398573703460711"/>
          <c:h val="0.8270684282744476"/>
        </c:manualLayout>
      </c:layout>
      <c:scatterChart>
        <c:scatterStyle val="lineMarker"/>
        <c:ser>
          <c:idx val="16"/>
          <c:order val="0"/>
          <c:spPr>
            <a:ln w="25400">
              <a:solidFill>
                <a:srgbClr val="008000"/>
              </a:solidFill>
              <a:prstDash val="solid"/>
            </a:ln>
          </c:spPr>
          <c:marker>
            <c:symbol val="diamond"/>
            <c:size val="7"/>
            <c:spPr>
              <a:solidFill>
                <a:srgbClr val="FFFFFF"/>
              </a:solidFill>
              <a:ln>
                <a:solidFill>
                  <a:srgbClr val="008000"/>
                </a:solidFill>
                <a:prstDash val="solid"/>
              </a:ln>
            </c:spPr>
          </c:marker>
          <c:xVal>
            <c:numRef>
              <c:f>Scatterplots!$DD$62:$DD$63</c:f>
              <c:numCache>
                <c:formatCode>General</c:formatCode>
                <c:ptCount val="2"/>
                <c:pt idx="0">
                  <c:v>#N/A</c:v>
                </c:pt>
                <c:pt idx="1">
                  <c:v>#N/A</c:v>
                </c:pt>
              </c:numCache>
            </c:numRef>
          </c:xVal>
          <c:yVal>
            <c:numRef>
              <c:f>Scatterplots!$DE$62:$DE$63</c:f>
              <c:numCache>
                <c:formatCode>General</c:formatCode>
                <c:ptCount val="2"/>
                <c:pt idx="0">
                  <c:v>#N/A</c:v>
                </c:pt>
                <c:pt idx="1">
                  <c:v>#N/A</c:v>
                </c:pt>
              </c:numCache>
            </c:numRef>
          </c:yVal>
        </c:ser>
        <c:ser>
          <c:idx val="0"/>
          <c:order val="1"/>
          <c:spPr>
            <a:ln w="28575">
              <a:noFill/>
            </a:ln>
          </c:spPr>
          <c:marker>
            <c:symbol val="circle"/>
            <c:size val="5"/>
            <c:spPr>
              <a:solidFill>
                <a:srgbClr val="0000FF"/>
              </a:solidFill>
              <a:ln>
                <a:solidFill>
                  <a:srgbClr val="000000"/>
                </a:solidFill>
                <a:prstDash val="solid"/>
              </a:ln>
            </c:spPr>
          </c:marker>
          <c:xVal>
            <c:numRef>
              <c:f>Scatterplots!$B$13:$B$312</c:f>
              <c:numCache>
                <c:formatCode>General</c:formatCode>
                <c:ptCount val="300"/>
                <c:pt idx="0">
                  <c:v>13</c:v>
                </c:pt>
                <c:pt idx="1">
                  <c:v>12</c:v>
                </c:pt>
                <c:pt idx="2">
                  <c:v>12</c:v>
                </c:pt>
                <c:pt idx="3">
                  <c:v>9</c:v>
                </c:pt>
                <c:pt idx="4">
                  <c:v>14</c:v>
                </c:pt>
                <c:pt idx="5">
                  <c:v>17</c:v>
                </c:pt>
                <c:pt idx="6">
                  <c:v>14</c:v>
                </c:pt>
                <c:pt idx="7">
                  <c:v>9</c:v>
                </c:pt>
                <c:pt idx="8">
                  <c:v>6</c:v>
                </c:pt>
                <c:pt idx="9">
                  <c:v>7</c:v>
                </c:pt>
                <c:pt idx="10">
                  <c:v>11</c:v>
                </c:pt>
                <c:pt idx="11">
                  <c:v>15</c:v>
                </c:pt>
              </c:numCache>
            </c:numRef>
          </c:xVal>
          <c:yVal>
            <c:numRef>
              <c:f>Scatterplots!$C$13:$C$312</c:f>
              <c:numCache>
                <c:formatCode>General</c:formatCode>
                <c:ptCount val="300"/>
                <c:pt idx="0">
                  <c:v>14</c:v>
                </c:pt>
                <c:pt idx="1">
                  <c:v>13</c:v>
                </c:pt>
                <c:pt idx="2">
                  <c:v>16</c:v>
                </c:pt>
                <c:pt idx="3">
                  <c:v>12</c:v>
                </c:pt>
                <c:pt idx="4">
                  <c:v>15</c:v>
                </c:pt>
                <c:pt idx="5">
                  <c:v>18</c:v>
                </c:pt>
                <c:pt idx="6">
                  <c:v>13</c:v>
                </c:pt>
                <c:pt idx="7">
                  <c:v>10</c:v>
                </c:pt>
                <c:pt idx="8">
                  <c:v>10</c:v>
                </c:pt>
                <c:pt idx="9">
                  <c:v>8</c:v>
                </c:pt>
                <c:pt idx="10">
                  <c:v>14</c:v>
                </c:pt>
                <c:pt idx="11">
                  <c:v>16</c:v>
                </c:pt>
              </c:numCache>
            </c:numRef>
          </c:yVal>
        </c:ser>
        <c:ser>
          <c:idx val="15"/>
          <c:order val="2"/>
          <c:spPr>
            <a:ln w="38100">
              <a:solidFill>
                <a:srgbClr val="FF0000"/>
              </a:solidFill>
              <a:prstDash val="solid"/>
            </a:ln>
          </c:spPr>
          <c:marker>
            <c:symbol val="none"/>
          </c:marker>
          <c:xVal>
            <c:numRef>
              <c:f>Scatterplots!$DD$59:$DD$60</c:f>
              <c:numCache>
                <c:formatCode>General</c:formatCode>
                <c:ptCount val="2"/>
                <c:pt idx="0">
                  <c:v>#N/A</c:v>
                </c:pt>
                <c:pt idx="1">
                  <c:v>#N/A</c:v>
                </c:pt>
              </c:numCache>
            </c:numRef>
          </c:xVal>
          <c:yVal>
            <c:numRef>
              <c:f>Scatterplots!$DE$59:$DE$60</c:f>
              <c:numCache>
                <c:formatCode>General</c:formatCode>
                <c:ptCount val="2"/>
                <c:pt idx="0">
                  <c:v>#N/A</c:v>
                </c:pt>
                <c:pt idx="1">
                  <c:v>#N/A</c:v>
                </c:pt>
              </c:numCache>
            </c:numRef>
          </c:yVal>
        </c:ser>
        <c:ser>
          <c:idx val="1"/>
          <c:order val="3"/>
          <c:spPr>
            <a:ln w="28575">
              <a:noFill/>
            </a:ln>
          </c:spPr>
          <c:marker>
            <c:symbol val="none"/>
          </c:marker>
          <c:errBars>
            <c:errDir val="x"/>
            <c:errBarType val="both"/>
            <c:errValType val="cust"/>
            <c:noEndCap val="1"/>
            <c:plus>
              <c:numRef>
                <c:f>Scatterplots!$DE$5</c:f>
                <c:numCache>
                  <c:formatCode>General</c:formatCode>
                  <c:ptCount val="1"/>
                  <c:pt idx="0">
                    <c:v>#N/A</c:v>
                  </c:pt>
                </c:numCache>
              </c:numRef>
            </c:plus>
            <c:minus>
              <c:numRef>
                <c:f>Scatterplots!$DD$5</c:f>
                <c:numCache>
                  <c:formatCode>General</c:formatCode>
                  <c:ptCount val="1"/>
                  <c:pt idx="0">
                    <c:v>#N/A</c:v>
                  </c:pt>
                </c:numCache>
              </c:numRef>
            </c:minus>
            <c:spPr>
              <a:ln w="12700">
                <a:pattFill prst="pct50">
                  <a:fgClr>
                    <a:srgbClr val="000000"/>
                  </a:fgClr>
                  <a:bgClr>
                    <a:srgbClr val="FFFFFF"/>
                  </a:bgClr>
                </a:pattFill>
                <a:prstDash val="solid"/>
              </a:ln>
            </c:spPr>
          </c:errBars>
          <c:errBars>
            <c:errDir val="y"/>
            <c:errBarType val="both"/>
            <c:errValType val="cust"/>
            <c:noEndCap val="1"/>
            <c:plus>
              <c:numRef>
                <c:f>Scatterplots!$DE$6</c:f>
                <c:numCache>
                  <c:formatCode>General</c:formatCode>
                  <c:ptCount val="1"/>
                  <c:pt idx="0">
                    <c:v>#N/A</c:v>
                  </c:pt>
                </c:numCache>
              </c:numRef>
            </c:plus>
            <c:minus>
              <c:numRef>
                <c:f>Scatterplots!$DD$6</c:f>
                <c:numCache>
                  <c:formatCode>General</c:formatCode>
                  <c:ptCount val="1"/>
                  <c:pt idx="0">
                    <c:v>#N/A</c:v>
                  </c:pt>
                </c:numCache>
              </c:numRef>
            </c:minus>
            <c:spPr>
              <a:ln w="12700">
                <a:pattFill prst="pct50">
                  <a:fgClr>
                    <a:srgbClr val="000000"/>
                  </a:fgClr>
                  <a:bgClr>
                    <a:srgbClr val="FFFFFF"/>
                  </a:bgClr>
                </a:pattFill>
                <a:prstDash val="solid"/>
              </a:ln>
            </c:spPr>
          </c:errBars>
          <c:xVal>
            <c:numRef>
              <c:f>Scatterplots!$DD$2</c:f>
              <c:numCache>
                <c:formatCode>General</c:formatCode>
                <c:ptCount val="1"/>
                <c:pt idx="0">
                  <c:v>#N/A</c:v>
                </c:pt>
              </c:numCache>
            </c:numRef>
          </c:xVal>
          <c:yVal>
            <c:numRef>
              <c:f>Scatterplots!$DE$2</c:f>
              <c:numCache>
                <c:formatCode>General</c:formatCode>
                <c:ptCount val="1"/>
                <c:pt idx="0">
                  <c:v>#N/A</c:v>
                </c:pt>
              </c:numCache>
            </c:numRef>
          </c:yVal>
        </c:ser>
        <c:ser>
          <c:idx val="2"/>
          <c:order val="4"/>
          <c:spPr>
            <a:ln w="12700">
              <a:solidFill>
                <a:srgbClr val="0000FF"/>
              </a:solidFill>
              <a:prstDash val="solid"/>
            </a:ln>
          </c:spPr>
          <c:marker>
            <c:symbol val="none"/>
          </c:marker>
          <c:xVal>
            <c:numRef>
              <c:f>Scatterplots!$DC$12:$DC$13</c:f>
              <c:numCache>
                <c:formatCode>General</c:formatCode>
                <c:ptCount val="2"/>
                <c:pt idx="0">
                  <c:v>#N/A</c:v>
                </c:pt>
                <c:pt idx="1">
                  <c:v>#N/A</c:v>
                </c:pt>
              </c:numCache>
            </c:numRef>
          </c:xVal>
          <c:yVal>
            <c:numRef>
              <c:f>Scatterplots!$DD$12:$DD$13</c:f>
              <c:numCache>
                <c:formatCode>General</c:formatCode>
                <c:ptCount val="2"/>
                <c:pt idx="0">
                  <c:v>#N/A</c:v>
                </c:pt>
                <c:pt idx="1">
                  <c:v>#N/A</c:v>
                </c:pt>
              </c:numCache>
            </c:numRef>
          </c:yVal>
        </c:ser>
        <c:ser>
          <c:idx val="3"/>
          <c:order val="5"/>
          <c:spPr>
            <a:ln w="25400">
              <a:solidFill>
                <a:srgbClr val="000000"/>
              </a:solidFill>
              <a:prstDash val="solid"/>
            </a:ln>
          </c:spPr>
          <c:marker>
            <c:symbol val="none"/>
          </c:marker>
          <c:xVal>
            <c:numRef>
              <c:f>Scatterplots!$DC$18:$DC$19</c:f>
              <c:numCache>
                <c:formatCode>General</c:formatCode>
                <c:ptCount val="2"/>
                <c:pt idx="0">
                  <c:v>#N/A</c:v>
                </c:pt>
                <c:pt idx="1">
                  <c:v>#N/A</c:v>
                </c:pt>
              </c:numCache>
            </c:numRef>
          </c:xVal>
          <c:yVal>
            <c:numRef>
              <c:f>Scatterplots!$DD$18:$DD$19</c:f>
              <c:numCache>
                <c:formatCode>General</c:formatCode>
                <c:ptCount val="2"/>
                <c:pt idx="0">
                  <c:v>#N/A</c:v>
                </c:pt>
                <c:pt idx="1">
                  <c:v>#N/A</c:v>
                </c:pt>
              </c:numCache>
            </c:numRef>
          </c:yVal>
        </c:ser>
        <c:ser>
          <c:idx val="4"/>
          <c:order val="6"/>
          <c:spPr>
            <a:ln w="28575">
              <a:noFill/>
            </a:ln>
          </c:spPr>
          <c:marker>
            <c:symbol val="none"/>
          </c:marker>
          <c:errBars>
            <c:errDir val="y"/>
            <c:errBarType val="plus"/>
            <c:errValType val="cust"/>
            <c:noEndCap val="1"/>
            <c:plus>
              <c:numRef>
                <c:f>Scatterplots!$DR$11:$DR$310</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plus>
            <c:spPr>
              <a:ln w="12700">
                <a:solidFill>
                  <a:srgbClr val="FF0000"/>
                </a:solidFill>
                <a:prstDash val="solid"/>
              </a:ln>
            </c:spPr>
          </c:errBars>
          <c:xVal>
            <c:numRef>
              <c:f>Scatterplots!$DP$11:$DP$310</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Scatterplots!$DQ$11:$DQ$310</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er>
        <c:ser>
          <c:idx val="5"/>
          <c:order val="7"/>
          <c:spPr>
            <a:ln w="25400">
              <a:solidFill>
                <a:srgbClr val="FF0000"/>
              </a:solidFill>
              <a:prstDash val="solid"/>
            </a:ln>
          </c:spPr>
          <c:marker>
            <c:symbol val="none"/>
          </c:marker>
          <c:xVal>
            <c:numRef>
              <c:f>Scatterplots!$DC$23:$DC$24</c:f>
              <c:numCache>
                <c:formatCode>General</c:formatCode>
                <c:ptCount val="2"/>
                <c:pt idx="0">
                  <c:v>#N/A</c:v>
                </c:pt>
                <c:pt idx="1">
                  <c:v>#N/A</c:v>
                </c:pt>
              </c:numCache>
            </c:numRef>
          </c:xVal>
          <c:yVal>
            <c:numRef>
              <c:f>Scatterplots!$DD$23:$DD$24</c:f>
              <c:numCache>
                <c:formatCode>General</c:formatCode>
                <c:ptCount val="2"/>
                <c:pt idx="0">
                  <c:v>#N/A</c:v>
                </c:pt>
                <c:pt idx="1">
                  <c:v>#N/A</c:v>
                </c:pt>
              </c:numCache>
            </c:numRef>
          </c:yVal>
        </c:ser>
        <c:ser>
          <c:idx val="6"/>
          <c:order val="8"/>
          <c:spPr>
            <a:ln w="3175">
              <a:solidFill>
                <a:srgbClr val="000000"/>
              </a:solidFill>
              <a:prstDash val="sysDash"/>
            </a:ln>
          </c:spPr>
          <c:marker>
            <c:symbol val="none"/>
          </c:marker>
          <c:xVal>
            <c:numRef>
              <c:f>Scatterplots!$DU$11:$DU$211</c:f>
              <c:numCache>
                <c:formatCode>General</c:formatCode>
                <c:ptCount val="201"/>
                <c:pt idx="0">
                  <c:v>6</c:v>
                </c:pt>
                <c:pt idx="1">
                  <c:v>6.0549999999999997</c:v>
                </c:pt>
                <c:pt idx="2">
                  <c:v>6.1099999999999994</c:v>
                </c:pt>
                <c:pt idx="3">
                  <c:v>6.1649999999999991</c:v>
                </c:pt>
                <c:pt idx="4">
                  <c:v>6.2199999999999989</c:v>
                </c:pt>
                <c:pt idx="5">
                  <c:v>6.2749999999999986</c:v>
                </c:pt>
                <c:pt idx="6">
                  <c:v>6.3299999999999983</c:v>
                </c:pt>
                <c:pt idx="7">
                  <c:v>6.384999999999998</c:v>
                </c:pt>
                <c:pt idx="8">
                  <c:v>6.4399999999999977</c:v>
                </c:pt>
                <c:pt idx="9">
                  <c:v>6.4949999999999974</c:v>
                </c:pt>
                <c:pt idx="10">
                  <c:v>6.5499999999999972</c:v>
                </c:pt>
                <c:pt idx="11">
                  <c:v>6.6049999999999969</c:v>
                </c:pt>
                <c:pt idx="12">
                  <c:v>6.6599999999999966</c:v>
                </c:pt>
                <c:pt idx="13">
                  <c:v>6.7149999999999963</c:v>
                </c:pt>
                <c:pt idx="14">
                  <c:v>6.769999999999996</c:v>
                </c:pt>
                <c:pt idx="15">
                  <c:v>6.8249999999999957</c:v>
                </c:pt>
                <c:pt idx="16">
                  <c:v>6.8799999999999955</c:v>
                </c:pt>
                <c:pt idx="17">
                  <c:v>6.9349999999999952</c:v>
                </c:pt>
                <c:pt idx="18">
                  <c:v>6.9899999999999949</c:v>
                </c:pt>
                <c:pt idx="19">
                  <c:v>7.0449999999999946</c:v>
                </c:pt>
                <c:pt idx="20">
                  <c:v>7.0999999999999943</c:v>
                </c:pt>
                <c:pt idx="21">
                  <c:v>7.154999999999994</c:v>
                </c:pt>
                <c:pt idx="22">
                  <c:v>7.2099999999999937</c:v>
                </c:pt>
                <c:pt idx="23">
                  <c:v>7.2649999999999935</c:v>
                </c:pt>
                <c:pt idx="24">
                  <c:v>7.3199999999999932</c:v>
                </c:pt>
                <c:pt idx="25">
                  <c:v>7.3749999999999929</c:v>
                </c:pt>
                <c:pt idx="26">
                  <c:v>7.4299999999999926</c:v>
                </c:pt>
                <c:pt idx="27">
                  <c:v>7.4849999999999923</c:v>
                </c:pt>
                <c:pt idx="28">
                  <c:v>7.539999999999992</c:v>
                </c:pt>
                <c:pt idx="29">
                  <c:v>7.5949999999999918</c:v>
                </c:pt>
                <c:pt idx="30">
                  <c:v>7.6499999999999915</c:v>
                </c:pt>
                <c:pt idx="31">
                  <c:v>7.7049999999999912</c:v>
                </c:pt>
                <c:pt idx="32">
                  <c:v>7.7599999999999909</c:v>
                </c:pt>
                <c:pt idx="33">
                  <c:v>7.8149999999999906</c:v>
                </c:pt>
                <c:pt idx="34">
                  <c:v>7.8699999999999903</c:v>
                </c:pt>
                <c:pt idx="35">
                  <c:v>7.9249999999999901</c:v>
                </c:pt>
                <c:pt idx="36">
                  <c:v>7.9799999999999898</c:v>
                </c:pt>
                <c:pt idx="37">
                  <c:v>8.0349999999999895</c:v>
                </c:pt>
                <c:pt idx="38">
                  <c:v>8.0899999999999892</c:v>
                </c:pt>
                <c:pt idx="39">
                  <c:v>8.1449999999999889</c:v>
                </c:pt>
                <c:pt idx="40">
                  <c:v>8.1999999999999886</c:v>
                </c:pt>
                <c:pt idx="41">
                  <c:v>8.2549999999999883</c:v>
                </c:pt>
                <c:pt idx="42">
                  <c:v>8.3099999999999881</c:v>
                </c:pt>
                <c:pt idx="43">
                  <c:v>8.3649999999999878</c:v>
                </c:pt>
                <c:pt idx="44">
                  <c:v>8.4199999999999875</c:v>
                </c:pt>
                <c:pt idx="45">
                  <c:v>8.4749999999999872</c:v>
                </c:pt>
                <c:pt idx="46">
                  <c:v>8.5299999999999869</c:v>
                </c:pt>
                <c:pt idx="47">
                  <c:v>8.5849999999999866</c:v>
                </c:pt>
                <c:pt idx="48">
                  <c:v>8.6399999999999864</c:v>
                </c:pt>
                <c:pt idx="49">
                  <c:v>8.6949999999999861</c:v>
                </c:pt>
                <c:pt idx="50">
                  <c:v>8.7499999999999858</c:v>
                </c:pt>
                <c:pt idx="51">
                  <c:v>8.8049999999999855</c:v>
                </c:pt>
                <c:pt idx="52">
                  <c:v>8.8599999999999852</c:v>
                </c:pt>
                <c:pt idx="53">
                  <c:v>8.9149999999999849</c:v>
                </c:pt>
                <c:pt idx="54">
                  <c:v>8.9699999999999847</c:v>
                </c:pt>
                <c:pt idx="55">
                  <c:v>9.0249999999999844</c:v>
                </c:pt>
                <c:pt idx="56">
                  <c:v>9.0799999999999841</c:v>
                </c:pt>
                <c:pt idx="57">
                  <c:v>9.1349999999999838</c:v>
                </c:pt>
                <c:pt idx="58">
                  <c:v>9.1899999999999835</c:v>
                </c:pt>
                <c:pt idx="59">
                  <c:v>9.2449999999999832</c:v>
                </c:pt>
                <c:pt idx="60">
                  <c:v>9.2999999999999829</c:v>
                </c:pt>
                <c:pt idx="61">
                  <c:v>9.3549999999999827</c:v>
                </c:pt>
                <c:pt idx="62">
                  <c:v>9.4099999999999824</c:v>
                </c:pt>
                <c:pt idx="63">
                  <c:v>9.4649999999999821</c:v>
                </c:pt>
                <c:pt idx="64">
                  <c:v>9.5199999999999818</c:v>
                </c:pt>
                <c:pt idx="65">
                  <c:v>9.5749999999999815</c:v>
                </c:pt>
                <c:pt idx="66">
                  <c:v>9.6299999999999812</c:v>
                </c:pt>
                <c:pt idx="67">
                  <c:v>9.684999999999981</c:v>
                </c:pt>
                <c:pt idx="68">
                  <c:v>9.7399999999999807</c:v>
                </c:pt>
                <c:pt idx="69">
                  <c:v>9.7949999999999804</c:v>
                </c:pt>
                <c:pt idx="70">
                  <c:v>9.8499999999999801</c:v>
                </c:pt>
                <c:pt idx="71">
                  <c:v>9.9049999999999798</c:v>
                </c:pt>
                <c:pt idx="72">
                  <c:v>9.9599999999999795</c:v>
                </c:pt>
                <c:pt idx="73">
                  <c:v>10.014999999999979</c:v>
                </c:pt>
                <c:pt idx="74">
                  <c:v>10.069999999999979</c:v>
                </c:pt>
                <c:pt idx="75">
                  <c:v>10.124999999999979</c:v>
                </c:pt>
                <c:pt idx="76">
                  <c:v>10.179999999999978</c:v>
                </c:pt>
                <c:pt idx="77">
                  <c:v>10.234999999999978</c:v>
                </c:pt>
                <c:pt idx="78">
                  <c:v>10.289999999999978</c:v>
                </c:pt>
                <c:pt idx="79">
                  <c:v>10.344999999999978</c:v>
                </c:pt>
                <c:pt idx="80">
                  <c:v>10.399999999999977</c:v>
                </c:pt>
                <c:pt idx="81">
                  <c:v>10.454999999999977</c:v>
                </c:pt>
                <c:pt idx="82">
                  <c:v>10.509999999999977</c:v>
                </c:pt>
                <c:pt idx="83">
                  <c:v>10.564999999999976</c:v>
                </c:pt>
                <c:pt idx="84">
                  <c:v>10.619999999999976</c:v>
                </c:pt>
                <c:pt idx="85">
                  <c:v>10.674999999999976</c:v>
                </c:pt>
                <c:pt idx="86">
                  <c:v>10.729999999999976</c:v>
                </c:pt>
                <c:pt idx="87">
                  <c:v>10.784999999999975</c:v>
                </c:pt>
                <c:pt idx="88">
                  <c:v>10.839999999999975</c:v>
                </c:pt>
                <c:pt idx="89">
                  <c:v>10.894999999999975</c:v>
                </c:pt>
                <c:pt idx="90">
                  <c:v>10.949999999999974</c:v>
                </c:pt>
                <c:pt idx="91">
                  <c:v>11.004999999999974</c:v>
                </c:pt>
                <c:pt idx="92">
                  <c:v>11.059999999999974</c:v>
                </c:pt>
                <c:pt idx="93">
                  <c:v>11.114999999999974</c:v>
                </c:pt>
                <c:pt idx="94">
                  <c:v>11.169999999999973</c:v>
                </c:pt>
                <c:pt idx="95">
                  <c:v>11.224999999999973</c:v>
                </c:pt>
                <c:pt idx="96">
                  <c:v>11.279999999999973</c:v>
                </c:pt>
                <c:pt idx="97">
                  <c:v>11.334999999999972</c:v>
                </c:pt>
                <c:pt idx="98">
                  <c:v>11.389999999999972</c:v>
                </c:pt>
                <c:pt idx="99">
                  <c:v>11.444999999999972</c:v>
                </c:pt>
                <c:pt idx="100">
                  <c:v>11.499999999999972</c:v>
                </c:pt>
                <c:pt idx="101">
                  <c:v>11.554999999999971</c:v>
                </c:pt>
                <c:pt idx="102">
                  <c:v>11.609999999999971</c:v>
                </c:pt>
                <c:pt idx="103">
                  <c:v>11.664999999999971</c:v>
                </c:pt>
                <c:pt idx="104">
                  <c:v>11.71999999999997</c:v>
                </c:pt>
                <c:pt idx="105">
                  <c:v>11.77499999999997</c:v>
                </c:pt>
                <c:pt idx="106">
                  <c:v>11.82999999999997</c:v>
                </c:pt>
                <c:pt idx="107">
                  <c:v>11.88499999999997</c:v>
                </c:pt>
                <c:pt idx="108">
                  <c:v>11.939999999999969</c:v>
                </c:pt>
                <c:pt idx="109">
                  <c:v>11.994999999999969</c:v>
                </c:pt>
                <c:pt idx="110">
                  <c:v>12.049999999999969</c:v>
                </c:pt>
                <c:pt idx="111">
                  <c:v>12.104999999999968</c:v>
                </c:pt>
                <c:pt idx="112">
                  <c:v>12.159999999999968</c:v>
                </c:pt>
                <c:pt idx="113">
                  <c:v>12.214999999999968</c:v>
                </c:pt>
                <c:pt idx="114">
                  <c:v>12.269999999999968</c:v>
                </c:pt>
                <c:pt idx="115">
                  <c:v>12.324999999999967</c:v>
                </c:pt>
                <c:pt idx="116">
                  <c:v>12.379999999999967</c:v>
                </c:pt>
                <c:pt idx="117">
                  <c:v>12.434999999999967</c:v>
                </c:pt>
                <c:pt idx="118">
                  <c:v>12.489999999999966</c:v>
                </c:pt>
                <c:pt idx="119">
                  <c:v>12.544999999999966</c:v>
                </c:pt>
                <c:pt idx="120">
                  <c:v>12.599999999999966</c:v>
                </c:pt>
                <c:pt idx="121">
                  <c:v>12.654999999999966</c:v>
                </c:pt>
                <c:pt idx="122">
                  <c:v>12.709999999999965</c:v>
                </c:pt>
                <c:pt idx="123">
                  <c:v>12.764999999999965</c:v>
                </c:pt>
                <c:pt idx="124">
                  <c:v>12.819999999999965</c:v>
                </c:pt>
                <c:pt idx="125">
                  <c:v>12.874999999999964</c:v>
                </c:pt>
                <c:pt idx="126">
                  <c:v>12.929999999999964</c:v>
                </c:pt>
                <c:pt idx="127">
                  <c:v>12.984999999999964</c:v>
                </c:pt>
                <c:pt idx="128">
                  <c:v>13.039999999999964</c:v>
                </c:pt>
                <c:pt idx="129">
                  <c:v>13.094999999999963</c:v>
                </c:pt>
                <c:pt idx="130">
                  <c:v>13.149999999999963</c:v>
                </c:pt>
                <c:pt idx="131">
                  <c:v>13.204999999999963</c:v>
                </c:pt>
                <c:pt idx="132">
                  <c:v>13.259999999999962</c:v>
                </c:pt>
                <c:pt idx="133">
                  <c:v>13.314999999999962</c:v>
                </c:pt>
                <c:pt idx="134">
                  <c:v>13.369999999999962</c:v>
                </c:pt>
                <c:pt idx="135">
                  <c:v>13.424999999999962</c:v>
                </c:pt>
                <c:pt idx="136">
                  <c:v>13.479999999999961</c:v>
                </c:pt>
                <c:pt idx="137">
                  <c:v>13.534999999999961</c:v>
                </c:pt>
                <c:pt idx="138">
                  <c:v>13.589999999999961</c:v>
                </c:pt>
                <c:pt idx="139">
                  <c:v>13.64499999999996</c:v>
                </c:pt>
                <c:pt idx="140">
                  <c:v>13.69999999999996</c:v>
                </c:pt>
                <c:pt idx="141">
                  <c:v>13.75499999999996</c:v>
                </c:pt>
                <c:pt idx="142">
                  <c:v>13.80999999999996</c:v>
                </c:pt>
                <c:pt idx="143">
                  <c:v>13.864999999999959</c:v>
                </c:pt>
                <c:pt idx="144">
                  <c:v>13.919999999999959</c:v>
                </c:pt>
                <c:pt idx="145">
                  <c:v>13.974999999999959</c:v>
                </c:pt>
                <c:pt idx="146">
                  <c:v>14.029999999999959</c:v>
                </c:pt>
                <c:pt idx="147">
                  <c:v>14.084999999999958</c:v>
                </c:pt>
                <c:pt idx="148">
                  <c:v>14.139999999999958</c:v>
                </c:pt>
                <c:pt idx="149">
                  <c:v>14.194999999999958</c:v>
                </c:pt>
                <c:pt idx="150">
                  <c:v>14.249999999999957</c:v>
                </c:pt>
                <c:pt idx="151">
                  <c:v>14.304999999999957</c:v>
                </c:pt>
                <c:pt idx="152">
                  <c:v>14.359999999999957</c:v>
                </c:pt>
                <c:pt idx="153">
                  <c:v>14.414999999999957</c:v>
                </c:pt>
                <c:pt idx="154">
                  <c:v>14.469999999999956</c:v>
                </c:pt>
                <c:pt idx="155">
                  <c:v>14.524999999999956</c:v>
                </c:pt>
                <c:pt idx="156">
                  <c:v>14.579999999999956</c:v>
                </c:pt>
                <c:pt idx="157">
                  <c:v>14.634999999999955</c:v>
                </c:pt>
                <c:pt idx="158">
                  <c:v>14.689999999999955</c:v>
                </c:pt>
                <c:pt idx="159">
                  <c:v>14.744999999999955</c:v>
                </c:pt>
                <c:pt idx="160">
                  <c:v>14.799999999999955</c:v>
                </c:pt>
                <c:pt idx="161">
                  <c:v>14.854999999999954</c:v>
                </c:pt>
                <c:pt idx="162">
                  <c:v>14.909999999999954</c:v>
                </c:pt>
                <c:pt idx="163">
                  <c:v>14.964999999999954</c:v>
                </c:pt>
                <c:pt idx="164">
                  <c:v>15.019999999999953</c:v>
                </c:pt>
                <c:pt idx="165">
                  <c:v>15.074999999999953</c:v>
                </c:pt>
                <c:pt idx="166">
                  <c:v>15.129999999999953</c:v>
                </c:pt>
                <c:pt idx="167">
                  <c:v>15.184999999999953</c:v>
                </c:pt>
                <c:pt idx="168">
                  <c:v>15.239999999999952</c:v>
                </c:pt>
                <c:pt idx="169">
                  <c:v>15.294999999999952</c:v>
                </c:pt>
                <c:pt idx="170">
                  <c:v>15.349999999999952</c:v>
                </c:pt>
                <c:pt idx="171">
                  <c:v>15.404999999999951</c:v>
                </c:pt>
                <c:pt idx="172">
                  <c:v>15.459999999999951</c:v>
                </c:pt>
                <c:pt idx="173">
                  <c:v>15.514999999999951</c:v>
                </c:pt>
                <c:pt idx="174">
                  <c:v>15.569999999999951</c:v>
                </c:pt>
                <c:pt idx="175">
                  <c:v>15.62499999999995</c:v>
                </c:pt>
                <c:pt idx="176">
                  <c:v>15.67999999999995</c:v>
                </c:pt>
                <c:pt idx="177">
                  <c:v>15.73499999999995</c:v>
                </c:pt>
                <c:pt idx="178">
                  <c:v>15.789999999999949</c:v>
                </c:pt>
                <c:pt idx="179">
                  <c:v>15.844999999999949</c:v>
                </c:pt>
                <c:pt idx="180">
                  <c:v>15.899999999999949</c:v>
                </c:pt>
                <c:pt idx="181">
                  <c:v>15.954999999999949</c:v>
                </c:pt>
                <c:pt idx="182">
                  <c:v>16.009999999999948</c:v>
                </c:pt>
                <c:pt idx="183">
                  <c:v>16.064999999999948</c:v>
                </c:pt>
                <c:pt idx="184">
                  <c:v>16.119999999999948</c:v>
                </c:pt>
                <c:pt idx="185">
                  <c:v>16.174999999999947</c:v>
                </c:pt>
                <c:pt idx="186">
                  <c:v>16.229999999999947</c:v>
                </c:pt>
                <c:pt idx="187">
                  <c:v>16.284999999999947</c:v>
                </c:pt>
                <c:pt idx="188">
                  <c:v>16.339999999999947</c:v>
                </c:pt>
                <c:pt idx="189">
                  <c:v>16.394999999999946</c:v>
                </c:pt>
                <c:pt idx="190">
                  <c:v>16.449999999999946</c:v>
                </c:pt>
                <c:pt idx="191">
                  <c:v>16.504999999999946</c:v>
                </c:pt>
                <c:pt idx="192">
                  <c:v>16.559999999999945</c:v>
                </c:pt>
                <c:pt idx="193">
                  <c:v>16.614999999999945</c:v>
                </c:pt>
                <c:pt idx="194">
                  <c:v>16.669999999999945</c:v>
                </c:pt>
                <c:pt idx="195">
                  <c:v>16.724999999999945</c:v>
                </c:pt>
                <c:pt idx="196">
                  <c:v>16.779999999999944</c:v>
                </c:pt>
                <c:pt idx="197">
                  <c:v>16.834999999999944</c:v>
                </c:pt>
                <c:pt idx="198">
                  <c:v>16.889999999999944</c:v>
                </c:pt>
                <c:pt idx="199">
                  <c:v>16.944999999999943</c:v>
                </c:pt>
                <c:pt idx="200">
                  <c:v>16.999999999999943</c:v>
                </c:pt>
              </c:numCache>
            </c:numRef>
          </c:xVal>
          <c:yVal>
            <c:numRef>
              <c:f>Scatterplots!$DX$11:$DX$211</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er>
        <c:ser>
          <c:idx val="9"/>
          <c:order val="9"/>
          <c:spPr>
            <a:ln w="12700">
              <a:solidFill>
                <a:srgbClr val="000000"/>
              </a:solidFill>
              <a:prstDash val="lgDash"/>
            </a:ln>
          </c:spPr>
          <c:marker>
            <c:symbol val="none"/>
          </c:marker>
          <c:xVal>
            <c:numRef>
              <c:f>Scatterplots!$DU$11:$DU$211</c:f>
              <c:numCache>
                <c:formatCode>General</c:formatCode>
                <c:ptCount val="201"/>
                <c:pt idx="0">
                  <c:v>6</c:v>
                </c:pt>
                <c:pt idx="1">
                  <c:v>6.0549999999999997</c:v>
                </c:pt>
                <c:pt idx="2">
                  <c:v>6.1099999999999994</c:v>
                </c:pt>
                <c:pt idx="3">
                  <c:v>6.1649999999999991</c:v>
                </c:pt>
                <c:pt idx="4">
                  <c:v>6.2199999999999989</c:v>
                </c:pt>
                <c:pt idx="5">
                  <c:v>6.2749999999999986</c:v>
                </c:pt>
                <c:pt idx="6">
                  <c:v>6.3299999999999983</c:v>
                </c:pt>
                <c:pt idx="7">
                  <c:v>6.384999999999998</c:v>
                </c:pt>
                <c:pt idx="8">
                  <c:v>6.4399999999999977</c:v>
                </c:pt>
                <c:pt idx="9">
                  <c:v>6.4949999999999974</c:v>
                </c:pt>
                <c:pt idx="10">
                  <c:v>6.5499999999999972</c:v>
                </c:pt>
                <c:pt idx="11">
                  <c:v>6.6049999999999969</c:v>
                </c:pt>
                <c:pt idx="12">
                  <c:v>6.6599999999999966</c:v>
                </c:pt>
                <c:pt idx="13">
                  <c:v>6.7149999999999963</c:v>
                </c:pt>
                <c:pt idx="14">
                  <c:v>6.769999999999996</c:v>
                </c:pt>
                <c:pt idx="15">
                  <c:v>6.8249999999999957</c:v>
                </c:pt>
                <c:pt idx="16">
                  <c:v>6.8799999999999955</c:v>
                </c:pt>
                <c:pt idx="17">
                  <c:v>6.9349999999999952</c:v>
                </c:pt>
                <c:pt idx="18">
                  <c:v>6.9899999999999949</c:v>
                </c:pt>
                <c:pt idx="19">
                  <c:v>7.0449999999999946</c:v>
                </c:pt>
                <c:pt idx="20">
                  <c:v>7.0999999999999943</c:v>
                </c:pt>
                <c:pt idx="21">
                  <c:v>7.154999999999994</c:v>
                </c:pt>
                <c:pt idx="22">
                  <c:v>7.2099999999999937</c:v>
                </c:pt>
                <c:pt idx="23">
                  <c:v>7.2649999999999935</c:v>
                </c:pt>
                <c:pt idx="24">
                  <c:v>7.3199999999999932</c:v>
                </c:pt>
                <c:pt idx="25">
                  <c:v>7.3749999999999929</c:v>
                </c:pt>
                <c:pt idx="26">
                  <c:v>7.4299999999999926</c:v>
                </c:pt>
                <c:pt idx="27">
                  <c:v>7.4849999999999923</c:v>
                </c:pt>
                <c:pt idx="28">
                  <c:v>7.539999999999992</c:v>
                </c:pt>
                <c:pt idx="29">
                  <c:v>7.5949999999999918</c:v>
                </c:pt>
                <c:pt idx="30">
                  <c:v>7.6499999999999915</c:v>
                </c:pt>
                <c:pt idx="31">
                  <c:v>7.7049999999999912</c:v>
                </c:pt>
                <c:pt idx="32">
                  <c:v>7.7599999999999909</c:v>
                </c:pt>
                <c:pt idx="33">
                  <c:v>7.8149999999999906</c:v>
                </c:pt>
                <c:pt idx="34">
                  <c:v>7.8699999999999903</c:v>
                </c:pt>
                <c:pt idx="35">
                  <c:v>7.9249999999999901</c:v>
                </c:pt>
                <c:pt idx="36">
                  <c:v>7.9799999999999898</c:v>
                </c:pt>
                <c:pt idx="37">
                  <c:v>8.0349999999999895</c:v>
                </c:pt>
                <c:pt idx="38">
                  <c:v>8.0899999999999892</c:v>
                </c:pt>
                <c:pt idx="39">
                  <c:v>8.1449999999999889</c:v>
                </c:pt>
                <c:pt idx="40">
                  <c:v>8.1999999999999886</c:v>
                </c:pt>
                <c:pt idx="41">
                  <c:v>8.2549999999999883</c:v>
                </c:pt>
                <c:pt idx="42">
                  <c:v>8.3099999999999881</c:v>
                </c:pt>
                <c:pt idx="43">
                  <c:v>8.3649999999999878</c:v>
                </c:pt>
                <c:pt idx="44">
                  <c:v>8.4199999999999875</c:v>
                </c:pt>
                <c:pt idx="45">
                  <c:v>8.4749999999999872</c:v>
                </c:pt>
                <c:pt idx="46">
                  <c:v>8.5299999999999869</c:v>
                </c:pt>
                <c:pt idx="47">
                  <c:v>8.5849999999999866</c:v>
                </c:pt>
                <c:pt idx="48">
                  <c:v>8.6399999999999864</c:v>
                </c:pt>
                <c:pt idx="49">
                  <c:v>8.6949999999999861</c:v>
                </c:pt>
                <c:pt idx="50">
                  <c:v>8.7499999999999858</c:v>
                </c:pt>
                <c:pt idx="51">
                  <c:v>8.8049999999999855</c:v>
                </c:pt>
                <c:pt idx="52">
                  <c:v>8.8599999999999852</c:v>
                </c:pt>
                <c:pt idx="53">
                  <c:v>8.9149999999999849</c:v>
                </c:pt>
                <c:pt idx="54">
                  <c:v>8.9699999999999847</c:v>
                </c:pt>
                <c:pt idx="55">
                  <c:v>9.0249999999999844</c:v>
                </c:pt>
                <c:pt idx="56">
                  <c:v>9.0799999999999841</c:v>
                </c:pt>
                <c:pt idx="57">
                  <c:v>9.1349999999999838</c:v>
                </c:pt>
                <c:pt idx="58">
                  <c:v>9.1899999999999835</c:v>
                </c:pt>
                <c:pt idx="59">
                  <c:v>9.2449999999999832</c:v>
                </c:pt>
                <c:pt idx="60">
                  <c:v>9.2999999999999829</c:v>
                </c:pt>
                <c:pt idx="61">
                  <c:v>9.3549999999999827</c:v>
                </c:pt>
                <c:pt idx="62">
                  <c:v>9.4099999999999824</c:v>
                </c:pt>
                <c:pt idx="63">
                  <c:v>9.4649999999999821</c:v>
                </c:pt>
                <c:pt idx="64">
                  <c:v>9.5199999999999818</c:v>
                </c:pt>
                <c:pt idx="65">
                  <c:v>9.5749999999999815</c:v>
                </c:pt>
                <c:pt idx="66">
                  <c:v>9.6299999999999812</c:v>
                </c:pt>
                <c:pt idx="67">
                  <c:v>9.684999999999981</c:v>
                </c:pt>
                <c:pt idx="68">
                  <c:v>9.7399999999999807</c:v>
                </c:pt>
                <c:pt idx="69">
                  <c:v>9.7949999999999804</c:v>
                </c:pt>
                <c:pt idx="70">
                  <c:v>9.8499999999999801</c:v>
                </c:pt>
                <c:pt idx="71">
                  <c:v>9.9049999999999798</c:v>
                </c:pt>
                <c:pt idx="72">
                  <c:v>9.9599999999999795</c:v>
                </c:pt>
                <c:pt idx="73">
                  <c:v>10.014999999999979</c:v>
                </c:pt>
                <c:pt idx="74">
                  <c:v>10.069999999999979</c:v>
                </c:pt>
                <c:pt idx="75">
                  <c:v>10.124999999999979</c:v>
                </c:pt>
                <c:pt idx="76">
                  <c:v>10.179999999999978</c:v>
                </c:pt>
                <c:pt idx="77">
                  <c:v>10.234999999999978</c:v>
                </c:pt>
                <c:pt idx="78">
                  <c:v>10.289999999999978</c:v>
                </c:pt>
                <c:pt idx="79">
                  <c:v>10.344999999999978</c:v>
                </c:pt>
                <c:pt idx="80">
                  <c:v>10.399999999999977</c:v>
                </c:pt>
                <c:pt idx="81">
                  <c:v>10.454999999999977</c:v>
                </c:pt>
                <c:pt idx="82">
                  <c:v>10.509999999999977</c:v>
                </c:pt>
                <c:pt idx="83">
                  <c:v>10.564999999999976</c:v>
                </c:pt>
                <c:pt idx="84">
                  <c:v>10.619999999999976</c:v>
                </c:pt>
                <c:pt idx="85">
                  <c:v>10.674999999999976</c:v>
                </c:pt>
                <c:pt idx="86">
                  <c:v>10.729999999999976</c:v>
                </c:pt>
                <c:pt idx="87">
                  <c:v>10.784999999999975</c:v>
                </c:pt>
                <c:pt idx="88">
                  <c:v>10.839999999999975</c:v>
                </c:pt>
                <c:pt idx="89">
                  <c:v>10.894999999999975</c:v>
                </c:pt>
                <c:pt idx="90">
                  <c:v>10.949999999999974</c:v>
                </c:pt>
                <c:pt idx="91">
                  <c:v>11.004999999999974</c:v>
                </c:pt>
                <c:pt idx="92">
                  <c:v>11.059999999999974</c:v>
                </c:pt>
                <c:pt idx="93">
                  <c:v>11.114999999999974</c:v>
                </c:pt>
                <c:pt idx="94">
                  <c:v>11.169999999999973</c:v>
                </c:pt>
                <c:pt idx="95">
                  <c:v>11.224999999999973</c:v>
                </c:pt>
                <c:pt idx="96">
                  <c:v>11.279999999999973</c:v>
                </c:pt>
                <c:pt idx="97">
                  <c:v>11.334999999999972</c:v>
                </c:pt>
                <c:pt idx="98">
                  <c:v>11.389999999999972</c:v>
                </c:pt>
                <c:pt idx="99">
                  <c:v>11.444999999999972</c:v>
                </c:pt>
                <c:pt idx="100">
                  <c:v>11.499999999999972</c:v>
                </c:pt>
                <c:pt idx="101">
                  <c:v>11.554999999999971</c:v>
                </c:pt>
                <c:pt idx="102">
                  <c:v>11.609999999999971</c:v>
                </c:pt>
                <c:pt idx="103">
                  <c:v>11.664999999999971</c:v>
                </c:pt>
                <c:pt idx="104">
                  <c:v>11.71999999999997</c:v>
                </c:pt>
                <c:pt idx="105">
                  <c:v>11.77499999999997</c:v>
                </c:pt>
                <c:pt idx="106">
                  <c:v>11.82999999999997</c:v>
                </c:pt>
                <c:pt idx="107">
                  <c:v>11.88499999999997</c:v>
                </c:pt>
                <c:pt idx="108">
                  <c:v>11.939999999999969</c:v>
                </c:pt>
                <c:pt idx="109">
                  <c:v>11.994999999999969</c:v>
                </c:pt>
                <c:pt idx="110">
                  <c:v>12.049999999999969</c:v>
                </c:pt>
                <c:pt idx="111">
                  <c:v>12.104999999999968</c:v>
                </c:pt>
                <c:pt idx="112">
                  <c:v>12.159999999999968</c:v>
                </c:pt>
                <c:pt idx="113">
                  <c:v>12.214999999999968</c:v>
                </c:pt>
                <c:pt idx="114">
                  <c:v>12.269999999999968</c:v>
                </c:pt>
                <c:pt idx="115">
                  <c:v>12.324999999999967</c:v>
                </c:pt>
                <c:pt idx="116">
                  <c:v>12.379999999999967</c:v>
                </c:pt>
                <c:pt idx="117">
                  <c:v>12.434999999999967</c:v>
                </c:pt>
                <c:pt idx="118">
                  <c:v>12.489999999999966</c:v>
                </c:pt>
                <c:pt idx="119">
                  <c:v>12.544999999999966</c:v>
                </c:pt>
                <c:pt idx="120">
                  <c:v>12.599999999999966</c:v>
                </c:pt>
                <c:pt idx="121">
                  <c:v>12.654999999999966</c:v>
                </c:pt>
                <c:pt idx="122">
                  <c:v>12.709999999999965</c:v>
                </c:pt>
                <c:pt idx="123">
                  <c:v>12.764999999999965</c:v>
                </c:pt>
                <c:pt idx="124">
                  <c:v>12.819999999999965</c:v>
                </c:pt>
                <c:pt idx="125">
                  <c:v>12.874999999999964</c:v>
                </c:pt>
                <c:pt idx="126">
                  <c:v>12.929999999999964</c:v>
                </c:pt>
                <c:pt idx="127">
                  <c:v>12.984999999999964</c:v>
                </c:pt>
                <c:pt idx="128">
                  <c:v>13.039999999999964</c:v>
                </c:pt>
                <c:pt idx="129">
                  <c:v>13.094999999999963</c:v>
                </c:pt>
                <c:pt idx="130">
                  <c:v>13.149999999999963</c:v>
                </c:pt>
                <c:pt idx="131">
                  <c:v>13.204999999999963</c:v>
                </c:pt>
                <c:pt idx="132">
                  <c:v>13.259999999999962</c:v>
                </c:pt>
                <c:pt idx="133">
                  <c:v>13.314999999999962</c:v>
                </c:pt>
                <c:pt idx="134">
                  <c:v>13.369999999999962</c:v>
                </c:pt>
                <c:pt idx="135">
                  <c:v>13.424999999999962</c:v>
                </c:pt>
                <c:pt idx="136">
                  <c:v>13.479999999999961</c:v>
                </c:pt>
                <c:pt idx="137">
                  <c:v>13.534999999999961</c:v>
                </c:pt>
                <c:pt idx="138">
                  <c:v>13.589999999999961</c:v>
                </c:pt>
                <c:pt idx="139">
                  <c:v>13.64499999999996</c:v>
                </c:pt>
                <c:pt idx="140">
                  <c:v>13.69999999999996</c:v>
                </c:pt>
                <c:pt idx="141">
                  <c:v>13.75499999999996</c:v>
                </c:pt>
                <c:pt idx="142">
                  <c:v>13.80999999999996</c:v>
                </c:pt>
                <c:pt idx="143">
                  <c:v>13.864999999999959</c:v>
                </c:pt>
                <c:pt idx="144">
                  <c:v>13.919999999999959</c:v>
                </c:pt>
                <c:pt idx="145">
                  <c:v>13.974999999999959</c:v>
                </c:pt>
                <c:pt idx="146">
                  <c:v>14.029999999999959</c:v>
                </c:pt>
                <c:pt idx="147">
                  <c:v>14.084999999999958</c:v>
                </c:pt>
                <c:pt idx="148">
                  <c:v>14.139999999999958</c:v>
                </c:pt>
                <c:pt idx="149">
                  <c:v>14.194999999999958</c:v>
                </c:pt>
                <c:pt idx="150">
                  <c:v>14.249999999999957</c:v>
                </c:pt>
                <c:pt idx="151">
                  <c:v>14.304999999999957</c:v>
                </c:pt>
                <c:pt idx="152">
                  <c:v>14.359999999999957</c:v>
                </c:pt>
                <c:pt idx="153">
                  <c:v>14.414999999999957</c:v>
                </c:pt>
                <c:pt idx="154">
                  <c:v>14.469999999999956</c:v>
                </c:pt>
                <c:pt idx="155">
                  <c:v>14.524999999999956</c:v>
                </c:pt>
                <c:pt idx="156">
                  <c:v>14.579999999999956</c:v>
                </c:pt>
                <c:pt idx="157">
                  <c:v>14.634999999999955</c:v>
                </c:pt>
                <c:pt idx="158">
                  <c:v>14.689999999999955</c:v>
                </c:pt>
                <c:pt idx="159">
                  <c:v>14.744999999999955</c:v>
                </c:pt>
                <c:pt idx="160">
                  <c:v>14.799999999999955</c:v>
                </c:pt>
                <c:pt idx="161">
                  <c:v>14.854999999999954</c:v>
                </c:pt>
                <c:pt idx="162">
                  <c:v>14.909999999999954</c:v>
                </c:pt>
                <c:pt idx="163">
                  <c:v>14.964999999999954</c:v>
                </c:pt>
                <c:pt idx="164">
                  <c:v>15.019999999999953</c:v>
                </c:pt>
                <c:pt idx="165">
                  <c:v>15.074999999999953</c:v>
                </c:pt>
                <c:pt idx="166">
                  <c:v>15.129999999999953</c:v>
                </c:pt>
                <c:pt idx="167">
                  <c:v>15.184999999999953</c:v>
                </c:pt>
                <c:pt idx="168">
                  <c:v>15.239999999999952</c:v>
                </c:pt>
                <c:pt idx="169">
                  <c:v>15.294999999999952</c:v>
                </c:pt>
                <c:pt idx="170">
                  <c:v>15.349999999999952</c:v>
                </c:pt>
                <c:pt idx="171">
                  <c:v>15.404999999999951</c:v>
                </c:pt>
                <c:pt idx="172">
                  <c:v>15.459999999999951</c:v>
                </c:pt>
                <c:pt idx="173">
                  <c:v>15.514999999999951</c:v>
                </c:pt>
                <c:pt idx="174">
                  <c:v>15.569999999999951</c:v>
                </c:pt>
                <c:pt idx="175">
                  <c:v>15.62499999999995</c:v>
                </c:pt>
                <c:pt idx="176">
                  <c:v>15.67999999999995</c:v>
                </c:pt>
                <c:pt idx="177">
                  <c:v>15.73499999999995</c:v>
                </c:pt>
                <c:pt idx="178">
                  <c:v>15.789999999999949</c:v>
                </c:pt>
                <c:pt idx="179">
                  <c:v>15.844999999999949</c:v>
                </c:pt>
                <c:pt idx="180">
                  <c:v>15.899999999999949</c:v>
                </c:pt>
                <c:pt idx="181">
                  <c:v>15.954999999999949</c:v>
                </c:pt>
                <c:pt idx="182">
                  <c:v>16.009999999999948</c:v>
                </c:pt>
                <c:pt idx="183">
                  <c:v>16.064999999999948</c:v>
                </c:pt>
                <c:pt idx="184">
                  <c:v>16.119999999999948</c:v>
                </c:pt>
                <c:pt idx="185">
                  <c:v>16.174999999999947</c:v>
                </c:pt>
                <c:pt idx="186">
                  <c:v>16.229999999999947</c:v>
                </c:pt>
                <c:pt idx="187">
                  <c:v>16.284999999999947</c:v>
                </c:pt>
                <c:pt idx="188">
                  <c:v>16.339999999999947</c:v>
                </c:pt>
                <c:pt idx="189">
                  <c:v>16.394999999999946</c:v>
                </c:pt>
                <c:pt idx="190">
                  <c:v>16.449999999999946</c:v>
                </c:pt>
                <c:pt idx="191">
                  <c:v>16.504999999999946</c:v>
                </c:pt>
                <c:pt idx="192">
                  <c:v>16.559999999999945</c:v>
                </c:pt>
                <c:pt idx="193">
                  <c:v>16.614999999999945</c:v>
                </c:pt>
                <c:pt idx="194">
                  <c:v>16.669999999999945</c:v>
                </c:pt>
                <c:pt idx="195">
                  <c:v>16.724999999999945</c:v>
                </c:pt>
                <c:pt idx="196">
                  <c:v>16.779999999999944</c:v>
                </c:pt>
                <c:pt idx="197">
                  <c:v>16.834999999999944</c:v>
                </c:pt>
                <c:pt idx="198">
                  <c:v>16.889999999999944</c:v>
                </c:pt>
                <c:pt idx="199">
                  <c:v>16.944999999999943</c:v>
                </c:pt>
                <c:pt idx="200">
                  <c:v>16.999999999999943</c:v>
                </c:pt>
              </c:numCache>
            </c:numRef>
          </c:xVal>
          <c:yVal>
            <c:numRef>
              <c:f>Scatterplots!$EC$11:$EC$211</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er>
        <c:ser>
          <c:idx val="7"/>
          <c:order val="10"/>
          <c:spPr>
            <a:ln w="3175">
              <a:solidFill>
                <a:srgbClr val="000000"/>
              </a:solidFill>
              <a:prstDash val="sysDash"/>
            </a:ln>
          </c:spPr>
          <c:marker>
            <c:symbol val="none"/>
          </c:marker>
          <c:xVal>
            <c:numRef>
              <c:f>Scatterplots!$DU$11:$DU$211</c:f>
              <c:numCache>
                <c:formatCode>General</c:formatCode>
                <c:ptCount val="201"/>
                <c:pt idx="0">
                  <c:v>6</c:v>
                </c:pt>
                <c:pt idx="1">
                  <c:v>6.0549999999999997</c:v>
                </c:pt>
                <c:pt idx="2">
                  <c:v>6.1099999999999994</c:v>
                </c:pt>
                <c:pt idx="3">
                  <c:v>6.1649999999999991</c:v>
                </c:pt>
                <c:pt idx="4">
                  <c:v>6.2199999999999989</c:v>
                </c:pt>
                <c:pt idx="5">
                  <c:v>6.2749999999999986</c:v>
                </c:pt>
                <c:pt idx="6">
                  <c:v>6.3299999999999983</c:v>
                </c:pt>
                <c:pt idx="7">
                  <c:v>6.384999999999998</c:v>
                </c:pt>
                <c:pt idx="8">
                  <c:v>6.4399999999999977</c:v>
                </c:pt>
                <c:pt idx="9">
                  <c:v>6.4949999999999974</c:v>
                </c:pt>
                <c:pt idx="10">
                  <c:v>6.5499999999999972</c:v>
                </c:pt>
                <c:pt idx="11">
                  <c:v>6.6049999999999969</c:v>
                </c:pt>
                <c:pt idx="12">
                  <c:v>6.6599999999999966</c:v>
                </c:pt>
                <c:pt idx="13">
                  <c:v>6.7149999999999963</c:v>
                </c:pt>
                <c:pt idx="14">
                  <c:v>6.769999999999996</c:v>
                </c:pt>
                <c:pt idx="15">
                  <c:v>6.8249999999999957</c:v>
                </c:pt>
                <c:pt idx="16">
                  <c:v>6.8799999999999955</c:v>
                </c:pt>
                <c:pt idx="17">
                  <c:v>6.9349999999999952</c:v>
                </c:pt>
                <c:pt idx="18">
                  <c:v>6.9899999999999949</c:v>
                </c:pt>
                <c:pt idx="19">
                  <c:v>7.0449999999999946</c:v>
                </c:pt>
                <c:pt idx="20">
                  <c:v>7.0999999999999943</c:v>
                </c:pt>
                <c:pt idx="21">
                  <c:v>7.154999999999994</c:v>
                </c:pt>
                <c:pt idx="22">
                  <c:v>7.2099999999999937</c:v>
                </c:pt>
                <c:pt idx="23">
                  <c:v>7.2649999999999935</c:v>
                </c:pt>
                <c:pt idx="24">
                  <c:v>7.3199999999999932</c:v>
                </c:pt>
                <c:pt idx="25">
                  <c:v>7.3749999999999929</c:v>
                </c:pt>
                <c:pt idx="26">
                  <c:v>7.4299999999999926</c:v>
                </c:pt>
                <c:pt idx="27">
                  <c:v>7.4849999999999923</c:v>
                </c:pt>
                <c:pt idx="28">
                  <c:v>7.539999999999992</c:v>
                </c:pt>
                <c:pt idx="29">
                  <c:v>7.5949999999999918</c:v>
                </c:pt>
                <c:pt idx="30">
                  <c:v>7.6499999999999915</c:v>
                </c:pt>
                <c:pt idx="31">
                  <c:v>7.7049999999999912</c:v>
                </c:pt>
                <c:pt idx="32">
                  <c:v>7.7599999999999909</c:v>
                </c:pt>
                <c:pt idx="33">
                  <c:v>7.8149999999999906</c:v>
                </c:pt>
                <c:pt idx="34">
                  <c:v>7.8699999999999903</c:v>
                </c:pt>
                <c:pt idx="35">
                  <c:v>7.9249999999999901</c:v>
                </c:pt>
                <c:pt idx="36">
                  <c:v>7.9799999999999898</c:v>
                </c:pt>
                <c:pt idx="37">
                  <c:v>8.0349999999999895</c:v>
                </c:pt>
                <c:pt idx="38">
                  <c:v>8.0899999999999892</c:v>
                </c:pt>
                <c:pt idx="39">
                  <c:v>8.1449999999999889</c:v>
                </c:pt>
                <c:pt idx="40">
                  <c:v>8.1999999999999886</c:v>
                </c:pt>
                <c:pt idx="41">
                  <c:v>8.2549999999999883</c:v>
                </c:pt>
                <c:pt idx="42">
                  <c:v>8.3099999999999881</c:v>
                </c:pt>
                <c:pt idx="43">
                  <c:v>8.3649999999999878</c:v>
                </c:pt>
                <c:pt idx="44">
                  <c:v>8.4199999999999875</c:v>
                </c:pt>
                <c:pt idx="45">
                  <c:v>8.4749999999999872</c:v>
                </c:pt>
                <c:pt idx="46">
                  <c:v>8.5299999999999869</c:v>
                </c:pt>
                <c:pt idx="47">
                  <c:v>8.5849999999999866</c:v>
                </c:pt>
                <c:pt idx="48">
                  <c:v>8.6399999999999864</c:v>
                </c:pt>
                <c:pt idx="49">
                  <c:v>8.6949999999999861</c:v>
                </c:pt>
                <c:pt idx="50">
                  <c:v>8.7499999999999858</c:v>
                </c:pt>
                <c:pt idx="51">
                  <c:v>8.8049999999999855</c:v>
                </c:pt>
                <c:pt idx="52">
                  <c:v>8.8599999999999852</c:v>
                </c:pt>
                <c:pt idx="53">
                  <c:v>8.9149999999999849</c:v>
                </c:pt>
                <c:pt idx="54">
                  <c:v>8.9699999999999847</c:v>
                </c:pt>
                <c:pt idx="55">
                  <c:v>9.0249999999999844</c:v>
                </c:pt>
                <c:pt idx="56">
                  <c:v>9.0799999999999841</c:v>
                </c:pt>
                <c:pt idx="57">
                  <c:v>9.1349999999999838</c:v>
                </c:pt>
                <c:pt idx="58">
                  <c:v>9.1899999999999835</c:v>
                </c:pt>
                <c:pt idx="59">
                  <c:v>9.2449999999999832</c:v>
                </c:pt>
                <c:pt idx="60">
                  <c:v>9.2999999999999829</c:v>
                </c:pt>
                <c:pt idx="61">
                  <c:v>9.3549999999999827</c:v>
                </c:pt>
                <c:pt idx="62">
                  <c:v>9.4099999999999824</c:v>
                </c:pt>
                <c:pt idx="63">
                  <c:v>9.4649999999999821</c:v>
                </c:pt>
                <c:pt idx="64">
                  <c:v>9.5199999999999818</c:v>
                </c:pt>
                <c:pt idx="65">
                  <c:v>9.5749999999999815</c:v>
                </c:pt>
                <c:pt idx="66">
                  <c:v>9.6299999999999812</c:v>
                </c:pt>
                <c:pt idx="67">
                  <c:v>9.684999999999981</c:v>
                </c:pt>
                <c:pt idx="68">
                  <c:v>9.7399999999999807</c:v>
                </c:pt>
                <c:pt idx="69">
                  <c:v>9.7949999999999804</c:v>
                </c:pt>
                <c:pt idx="70">
                  <c:v>9.8499999999999801</c:v>
                </c:pt>
                <c:pt idx="71">
                  <c:v>9.9049999999999798</c:v>
                </c:pt>
                <c:pt idx="72">
                  <c:v>9.9599999999999795</c:v>
                </c:pt>
                <c:pt idx="73">
                  <c:v>10.014999999999979</c:v>
                </c:pt>
                <c:pt idx="74">
                  <c:v>10.069999999999979</c:v>
                </c:pt>
                <c:pt idx="75">
                  <c:v>10.124999999999979</c:v>
                </c:pt>
                <c:pt idx="76">
                  <c:v>10.179999999999978</c:v>
                </c:pt>
                <c:pt idx="77">
                  <c:v>10.234999999999978</c:v>
                </c:pt>
                <c:pt idx="78">
                  <c:v>10.289999999999978</c:v>
                </c:pt>
                <c:pt idx="79">
                  <c:v>10.344999999999978</c:v>
                </c:pt>
                <c:pt idx="80">
                  <c:v>10.399999999999977</c:v>
                </c:pt>
                <c:pt idx="81">
                  <c:v>10.454999999999977</c:v>
                </c:pt>
                <c:pt idx="82">
                  <c:v>10.509999999999977</c:v>
                </c:pt>
                <c:pt idx="83">
                  <c:v>10.564999999999976</c:v>
                </c:pt>
                <c:pt idx="84">
                  <c:v>10.619999999999976</c:v>
                </c:pt>
                <c:pt idx="85">
                  <c:v>10.674999999999976</c:v>
                </c:pt>
                <c:pt idx="86">
                  <c:v>10.729999999999976</c:v>
                </c:pt>
                <c:pt idx="87">
                  <c:v>10.784999999999975</c:v>
                </c:pt>
                <c:pt idx="88">
                  <c:v>10.839999999999975</c:v>
                </c:pt>
                <c:pt idx="89">
                  <c:v>10.894999999999975</c:v>
                </c:pt>
                <c:pt idx="90">
                  <c:v>10.949999999999974</c:v>
                </c:pt>
                <c:pt idx="91">
                  <c:v>11.004999999999974</c:v>
                </c:pt>
                <c:pt idx="92">
                  <c:v>11.059999999999974</c:v>
                </c:pt>
                <c:pt idx="93">
                  <c:v>11.114999999999974</c:v>
                </c:pt>
                <c:pt idx="94">
                  <c:v>11.169999999999973</c:v>
                </c:pt>
                <c:pt idx="95">
                  <c:v>11.224999999999973</c:v>
                </c:pt>
                <c:pt idx="96">
                  <c:v>11.279999999999973</c:v>
                </c:pt>
                <c:pt idx="97">
                  <c:v>11.334999999999972</c:v>
                </c:pt>
                <c:pt idx="98">
                  <c:v>11.389999999999972</c:v>
                </c:pt>
                <c:pt idx="99">
                  <c:v>11.444999999999972</c:v>
                </c:pt>
                <c:pt idx="100">
                  <c:v>11.499999999999972</c:v>
                </c:pt>
                <c:pt idx="101">
                  <c:v>11.554999999999971</c:v>
                </c:pt>
                <c:pt idx="102">
                  <c:v>11.609999999999971</c:v>
                </c:pt>
                <c:pt idx="103">
                  <c:v>11.664999999999971</c:v>
                </c:pt>
                <c:pt idx="104">
                  <c:v>11.71999999999997</c:v>
                </c:pt>
                <c:pt idx="105">
                  <c:v>11.77499999999997</c:v>
                </c:pt>
                <c:pt idx="106">
                  <c:v>11.82999999999997</c:v>
                </c:pt>
                <c:pt idx="107">
                  <c:v>11.88499999999997</c:v>
                </c:pt>
                <c:pt idx="108">
                  <c:v>11.939999999999969</c:v>
                </c:pt>
                <c:pt idx="109">
                  <c:v>11.994999999999969</c:v>
                </c:pt>
                <c:pt idx="110">
                  <c:v>12.049999999999969</c:v>
                </c:pt>
                <c:pt idx="111">
                  <c:v>12.104999999999968</c:v>
                </c:pt>
                <c:pt idx="112">
                  <c:v>12.159999999999968</c:v>
                </c:pt>
                <c:pt idx="113">
                  <c:v>12.214999999999968</c:v>
                </c:pt>
                <c:pt idx="114">
                  <c:v>12.269999999999968</c:v>
                </c:pt>
                <c:pt idx="115">
                  <c:v>12.324999999999967</c:v>
                </c:pt>
                <c:pt idx="116">
                  <c:v>12.379999999999967</c:v>
                </c:pt>
                <c:pt idx="117">
                  <c:v>12.434999999999967</c:v>
                </c:pt>
                <c:pt idx="118">
                  <c:v>12.489999999999966</c:v>
                </c:pt>
                <c:pt idx="119">
                  <c:v>12.544999999999966</c:v>
                </c:pt>
                <c:pt idx="120">
                  <c:v>12.599999999999966</c:v>
                </c:pt>
                <c:pt idx="121">
                  <c:v>12.654999999999966</c:v>
                </c:pt>
                <c:pt idx="122">
                  <c:v>12.709999999999965</c:v>
                </c:pt>
                <c:pt idx="123">
                  <c:v>12.764999999999965</c:v>
                </c:pt>
                <c:pt idx="124">
                  <c:v>12.819999999999965</c:v>
                </c:pt>
                <c:pt idx="125">
                  <c:v>12.874999999999964</c:v>
                </c:pt>
                <c:pt idx="126">
                  <c:v>12.929999999999964</c:v>
                </c:pt>
                <c:pt idx="127">
                  <c:v>12.984999999999964</c:v>
                </c:pt>
                <c:pt idx="128">
                  <c:v>13.039999999999964</c:v>
                </c:pt>
                <c:pt idx="129">
                  <c:v>13.094999999999963</c:v>
                </c:pt>
                <c:pt idx="130">
                  <c:v>13.149999999999963</c:v>
                </c:pt>
                <c:pt idx="131">
                  <c:v>13.204999999999963</c:v>
                </c:pt>
                <c:pt idx="132">
                  <c:v>13.259999999999962</c:v>
                </c:pt>
                <c:pt idx="133">
                  <c:v>13.314999999999962</c:v>
                </c:pt>
                <c:pt idx="134">
                  <c:v>13.369999999999962</c:v>
                </c:pt>
                <c:pt idx="135">
                  <c:v>13.424999999999962</c:v>
                </c:pt>
                <c:pt idx="136">
                  <c:v>13.479999999999961</c:v>
                </c:pt>
                <c:pt idx="137">
                  <c:v>13.534999999999961</c:v>
                </c:pt>
                <c:pt idx="138">
                  <c:v>13.589999999999961</c:v>
                </c:pt>
                <c:pt idx="139">
                  <c:v>13.64499999999996</c:v>
                </c:pt>
                <c:pt idx="140">
                  <c:v>13.69999999999996</c:v>
                </c:pt>
                <c:pt idx="141">
                  <c:v>13.75499999999996</c:v>
                </c:pt>
                <c:pt idx="142">
                  <c:v>13.80999999999996</c:v>
                </c:pt>
                <c:pt idx="143">
                  <c:v>13.864999999999959</c:v>
                </c:pt>
                <c:pt idx="144">
                  <c:v>13.919999999999959</c:v>
                </c:pt>
                <c:pt idx="145">
                  <c:v>13.974999999999959</c:v>
                </c:pt>
                <c:pt idx="146">
                  <c:v>14.029999999999959</c:v>
                </c:pt>
                <c:pt idx="147">
                  <c:v>14.084999999999958</c:v>
                </c:pt>
                <c:pt idx="148">
                  <c:v>14.139999999999958</c:v>
                </c:pt>
                <c:pt idx="149">
                  <c:v>14.194999999999958</c:v>
                </c:pt>
                <c:pt idx="150">
                  <c:v>14.249999999999957</c:v>
                </c:pt>
                <c:pt idx="151">
                  <c:v>14.304999999999957</c:v>
                </c:pt>
                <c:pt idx="152">
                  <c:v>14.359999999999957</c:v>
                </c:pt>
                <c:pt idx="153">
                  <c:v>14.414999999999957</c:v>
                </c:pt>
                <c:pt idx="154">
                  <c:v>14.469999999999956</c:v>
                </c:pt>
                <c:pt idx="155">
                  <c:v>14.524999999999956</c:v>
                </c:pt>
                <c:pt idx="156">
                  <c:v>14.579999999999956</c:v>
                </c:pt>
                <c:pt idx="157">
                  <c:v>14.634999999999955</c:v>
                </c:pt>
                <c:pt idx="158">
                  <c:v>14.689999999999955</c:v>
                </c:pt>
                <c:pt idx="159">
                  <c:v>14.744999999999955</c:v>
                </c:pt>
                <c:pt idx="160">
                  <c:v>14.799999999999955</c:v>
                </c:pt>
                <c:pt idx="161">
                  <c:v>14.854999999999954</c:v>
                </c:pt>
                <c:pt idx="162">
                  <c:v>14.909999999999954</c:v>
                </c:pt>
                <c:pt idx="163">
                  <c:v>14.964999999999954</c:v>
                </c:pt>
                <c:pt idx="164">
                  <c:v>15.019999999999953</c:v>
                </c:pt>
                <c:pt idx="165">
                  <c:v>15.074999999999953</c:v>
                </c:pt>
                <c:pt idx="166">
                  <c:v>15.129999999999953</c:v>
                </c:pt>
                <c:pt idx="167">
                  <c:v>15.184999999999953</c:v>
                </c:pt>
                <c:pt idx="168">
                  <c:v>15.239999999999952</c:v>
                </c:pt>
                <c:pt idx="169">
                  <c:v>15.294999999999952</c:v>
                </c:pt>
                <c:pt idx="170">
                  <c:v>15.349999999999952</c:v>
                </c:pt>
                <c:pt idx="171">
                  <c:v>15.404999999999951</c:v>
                </c:pt>
                <c:pt idx="172">
                  <c:v>15.459999999999951</c:v>
                </c:pt>
                <c:pt idx="173">
                  <c:v>15.514999999999951</c:v>
                </c:pt>
                <c:pt idx="174">
                  <c:v>15.569999999999951</c:v>
                </c:pt>
                <c:pt idx="175">
                  <c:v>15.62499999999995</c:v>
                </c:pt>
                <c:pt idx="176">
                  <c:v>15.67999999999995</c:v>
                </c:pt>
                <c:pt idx="177">
                  <c:v>15.73499999999995</c:v>
                </c:pt>
                <c:pt idx="178">
                  <c:v>15.789999999999949</c:v>
                </c:pt>
                <c:pt idx="179">
                  <c:v>15.844999999999949</c:v>
                </c:pt>
                <c:pt idx="180">
                  <c:v>15.899999999999949</c:v>
                </c:pt>
                <c:pt idx="181">
                  <c:v>15.954999999999949</c:v>
                </c:pt>
                <c:pt idx="182">
                  <c:v>16.009999999999948</c:v>
                </c:pt>
                <c:pt idx="183">
                  <c:v>16.064999999999948</c:v>
                </c:pt>
                <c:pt idx="184">
                  <c:v>16.119999999999948</c:v>
                </c:pt>
                <c:pt idx="185">
                  <c:v>16.174999999999947</c:v>
                </c:pt>
                <c:pt idx="186">
                  <c:v>16.229999999999947</c:v>
                </c:pt>
                <c:pt idx="187">
                  <c:v>16.284999999999947</c:v>
                </c:pt>
                <c:pt idx="188">
                  <c:v>16.339999999999947</c:v>
                </c:pt>
                <c:pt idx="189">
                  <c:v>16.394999999999946</c:v>
                </c:pt>
                <c:pt idx="190">
                  <c:v>16.449999999999946</c:v>
                </c:pt>
                <c:pt idx="191">
                  <c:v>16.504999999999946</c:v>
                </c:pt>
                <c:pt idx="192">
                  <c:v>16.559999999999945</c:v>
                </c:pt>
                <c:pt idx="193">
                  <c:v>16.614999999999945</c:v>
                </c:pt>
                <c:pt idx="194">
                  <c:v>16.669999999999945</c:v>
                </c:pt>
                <c:pt idx="195">
                  <c:v>16.724999999999945</c:v>
                </c:pt>
                <c:pt idx="196">
                  <c:v>16.779999999999944</c:v>
                </c:pt>
                <c:pt idx="197">
                  <c:v>16.834999999999944</c:v>
                </c:pt>
                <c:pt idx="198">
                  <c:v>16.889999999999944</c:v>
                </c:pt>
                <c:pt idx="199">
                  <c:v>16.944999999999943</c:v>
                </c:pt>
                <c:pt idx="200">
                  <c:v>16.999999999999943</c:v>
                </c:pt>
              </c:numCache>
            </c:numRef>
          </c:xVal>
          <c:yVal>
            <c:numRef>
              <c:f>Scatterplots!$DY$11:$DY$211</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er>
        <c:ser>
          <c:idx val="8"/>
          <c:order val="11"/>
          <c:spPr>
            <a:ln w="12700">
              <a:solidFill>
                <a:srgbClr val="000000"/>
              </a:solidFill>
              <a:prstDash val="lgDash"/>
            </a:ln>
          </c:spPr>
          <c:marker>
            <c:symbol val="none"/>
          </c:marker>
          <c:xVal>
            <c:numRef>
              <c:f>Scatterplots!$DU$11:$DU$211</c:f>
              <c:numCache>
                <c:formatCode>General</c:formatCode>
                <c:ptCount val="201"/>
                <c:pt idx="0">
                  <c:v>6</c:v>
                </c:pt>
                <c:pt idx="1">
                  <c:v>6.0549999999999997</c:v>
                </c:pt>
                <c:pt idx="2">
                  <c:v>6.1099999999999994</c:v>
                </c:pt>
                <c:pt idx="3">
                  <c:v>6.1649999999999991</c:v>
                </c:pt>
                <c:pt idx="4">
                  <c:v>6.2199999999999989</c:v>
                </c:pt>
                <c:pt idx="5">
                  <c:v>6.2749999999999986</c:v>
                </c:pt>
                <c:pt idx="6">
                  <c:v>6.3299999999999983</c:v>
                </c:pt>
                <c:pt idx="7">
                  <c:v>6.384999999999998</c:v>
                </c:pt>
                <c:pt idx="8">
                  <c:v>6.4399999999999977</c:v>
                </c:pt>
                <c:pt idx="9">
                  <c:v>6.4949999999999974</c:v>
                </c:pt>
                <c:pt idx="10">
                  <c:v>6.5499999999999972</c:v>
                </c:pt>
                <c:pt idx="11">
                  <c:v>6.6049999999999969</c:v>
                </c:pt>
                <c:pt idx="12">
                  <c:v>6.6599999999999966</c:v>
                </c:pt>
                <c:pt idx="13">
                  <c:v>6.7149999999999963</c:v>
                </c:pt>
                <c:pt idx="14">
                  <c:v>6.769999999999996</c:v>
                </c:pt>
                <c:pt idx="15">
                  <c:v>6.8249999999999957</c:v>
                </c:pt>
                <c:pt idx="16">
                  <c:v>6.8799999999999955</c:v>
                </c:pt>
                <c:pt idx="17">
                  <c:v>6.9349999999999952</c:v>
                </c:pt>
                <c:pt idx="18">
                  <c:v>6.9899999999999949</c:v>
                </c:pt>
                <c:pt idx="19">
                  <c:v>7.0449999999999946</c:v>
                </c:pt>
                <c:pt idx="20">
                  <c:v>7.0999999999999943</c:v>
                </c:pt>
                <c:pt idx="21">
                  <c:v>7.154999999999994</c:v>
                </c:pt>
                <c:pt idx="22">
                  <c:v>7.2099999999999937</c:v>
                </c:pt>
                <c:pt idx="23">
                  <c:v>7.2649999999999935</c:v>
                </c:pt>
                <c:pt idx="24">
                  <c:v>7.3199999999999932</c:v>
                </c:pt>
                <c:pt idx="25">
                  <c:v>7.3749999999999929</c:v>
                </c:pt>
                <c:pt idx="26">
                  <c:v>7.4299999999999926</c:v>
                </c:pt>
                <c:pt idx="27">
                  <c:v>7.4849999999999923</c:v>
                </c:pt>
                <c:pt idx="28">
                  <c:v>7.539999999999992</c:v>
                </c:pt>
                <c:pt idx="29">
                  <c:v>7.5949999999999918</c:v>
                </c:pt>
                <c:pt idx="30">
                  <c:v>7.6499999999999915</c:v>
                </c:pt>
                <c:pt idx="31">
                  <c:v>7.7049999999999912</c:v>
                </c:pt>
                <c:pt idx="32">
                  <c:v>7.7599999999999909</c:v>
                </c:pt>
                <c:pt idx="33">
                  <c:v>7.8149999999999906</c:v>
                </c:pt>
                <c:pt idx="34">
                  <c:v>7.8699999999999903</c:v>
                </c:pt>
                <c:pt idx="35">
                  <c:v>7.9249999999999901</c:v>
                </c:pt>
                <c:pt idx="36">
                  <c:v>7.9799999999999898</c:v>
                </c:pt>
                <c:pt idx="37">
                  <c:v>8.0349999999999895</c:v>
                </c:pt>
                <c:pt idx="38">
                  <c:v>8.0899999999999892</c:v>
                </c:pt>
                <c:pt idx="39">
                  <c:v>8.1449999999999889</c:v>
                </c:pt>
                <c:pt idx="40">
                  <c:v>8.1999999999999886</c:v>
                </c:pt>
                <c:pt idx="41">
                  <c:v>8.2549999999999883</c:v>
                </c:pt>
                <c:pt idx="42">
                  <c:v>8.3099999999999881</c:v>
                </c:pt>
                <c:pt idx="43">
                  <c:v>8.3649999999999878</c:v>
                </c:pt>
                <c:pt idx="44">
                  <c:v>8.4199999999999875</c:v>
                </c:pt>
                <c:pt idx="45">
                  <c:v>8.4749999999999872</c:v>
                </c:pt>
                <c:pt idx="46">
                  <c:v>8.5299999999999869</c:v>
                </c:pt>
                <c:pt idx="47">
                  <c:v>8.5849999999999866</c:v>
                </c:pt>
                <c:pt idx="48">
                  <c:v>8.6399999999999864</c:v>
                </c:pt>
                <c:pt idx="49">
                  <c:v>8.6949999999999861</c:v>
                </c:pt>
                <c:pt idx="50">
                  <c:v>8.7499999999999858</c:v>
                </c:pt>
                <c:pt idx="51">
                  <c:v>8.8049999999999855</c:v>
                </c:pt>
                <c:pt idx="52">
                  <c:v>8.8599999999999852</c:v>
                </c:pt>
                <c:pt idx="53">
                  <c:v>8.9149999999999849</c:v>
                </c:pt>
                <c:pt idx="54">
                  <c:v>8.9699999999999847</c:v>
                </c:pt>
                <c:pt idx="55">
                  <c:v>9.0249999999999844</c:v>
                </c:pt>
                <c:pt idx="56">
                  <c:v>9.0799999999999841</c:v>
                </c:pt>
                <c:pt idx="57">
                  <c:v>9.1349999999999838</c:v>
                </c:pt>
                <c:pt idx="58">
                  <c:v>9.1899999999999835</c:v>
                </c:pt>
                <c:pt idx="59">
                  <c:v>9.2449999999999832</c:v>
                </c:pt>
                <c:pt idx="60">
                  <c:v>9.2999999999999829</c:v>
                </c:pt>
                <c:pt idx="61">
                  <c:v>9.3549999999999827</c:v>
                </c:pt>
                <c:pt idx="62">
                  <c:v>9.4099999999999824</c:v>
                </c:pt>
                <c:pt idx="63">
                  <c:v>9.4649999999999821</c:v>
                </c:pt>
                <c:pt idx="64">
                  <c:v>9.5199999999999818</c:v>
                </c:pt>
                <c:pt idx="65">
                  <c:v>9.5749999999999815</c:v>
                </c:pt>
                <c:pt idx="66">
                  <c:v>9.6299999999999812</c:v>
                </c:pt>
                <c:pt idx="67">
                  <c:v>9.684999999999981</c:v>
                </c:pt>
                <c:pt idx="68">
                  <c:v>9.7399999999999807</c:v>
                </c:pt>
                <c:pt idx="69">
                  <c:v>9.7949999999999804</c:v>
                </c:pt>
                <c:pt idx="70">
                  <c:v>9.8499999999999801</c:v>
                </c:pt>
                <c:pt idx="71">
                  <c:v>9.9049999999999798</c:v>
                </c:pt>
                <c:pt idx="72">
                  <c:v>9.9599999999999795</c:v>
                </c:pt>
                <c:pt idx="73">
                  <c:v>10.014999999999979</c:v>
                </c:pt>
                <c:pt idx="74">
                  <c:v>10.069999999999979</c:v>
                </c:pt>
                <c:pt idx="75">
                  <c:v>10.124999999999979</c:v>
                </c:pt>
                <c:pt idx="76">
                  <c:v>10.179999999999978</c:v>
                </c:pt>
                <c:pt idx="77">
                  <c:v>10.234999999999978</c:v>
                </c:pt>
                <c:pt idx="78">
                  <c:v>10.289999999999978</c:v>
                </c:pt>
                <c:pt idx="79">
                  <c:v>10.344999999999978</c:v>
                </c:pt>
                <c:pt idx="80">
                  <c:v>10.399999999999977</c:v>
                </c:pt>
                <c:pt idx="81">
                  <c:v>10.454999999999977</c:v>
                </c:pt>
                <c:pt idx="82">
                  <c:v>10.509999999999977</c:v>
                </c:pt>
                <c:pt idx="83">
                  <c:v>10.564999999999976</c:v>
                </c:pt>
                <c:pt idx="84">
                  <c:v>10.619999999999976</c:v>
                </c:pt>
                <c:pt idx="85">
                  <c:v>10.674999999999976</c:v>
                </c:pt>
                <c:pt idx="86">
                  <c:v>10.729999999999976</c:v>
                </c:pt>
                <c:pt idx="87">
                  <c:v>10.784999999999975</c:v>
                </c:pt>
                <c:pt idx="88">
                  <c:v>10.839999999999975</c:v>
                </c:pt>
                <c:pt idx="89">
                  <c:v>10.894999999999975</c:v>
                </c:pt>
                <c:pt idx="90">
                  <c:v>10.949999999999974</c:v>
                </c:pt>
                <c:pt idx="91">
                  <c:v>11.004999999999974</c:v>
                </c:pt>
                <c:pt idx="92">
                  <c:v>11.059999999999974</c:v>
                </c:pt>
                <c:pt idx="93">
                  <c:v>11.114999999999974</c:v>
                </c:pt>
                <c:pt idx="94">
                  <c:v>11.169999999999973</c:v>
                </c:pt>
                <c:pt idx="95">
                  <c:v>11.224999999999973</c:v>
                </c:pt>
                <c:pt idx="96">
                  <c:v>11.279999999999973</c:v>
                </c:pt>
                <c:pt idx="97">
                  <c:v>11.334999999999972</c:v>
                </c:pt>
                <c:pt idx="98">
                  <c:v>11.389999999999972</c:v>
                </c:pt>
                <c:pt idx="99">
                  <c:v>11.444999999999972</c:v>
                </c:pt>
                <c:pt idx="100">
                  <c:v>11.499999999999972</c:v>
                </c:pt>
                <c:pt idx="101">
                  <c:v>11.554999999999971</c:v>
                </c:pt>
                <c:pt idx="102">
                  <c:v>11.609999999999971</c:v>
                </c:pt>
                <c:pt idx="103">
                  <c:v>11.664999999999971</c:v>
                </c:pt>
                <c:pt idx="104">
                  <c:v>11.71999999999997</c:v>
                </c:pt>
                <c:pt idx="105">
                  <c:v>11.77499999999997</c:v>
                </c:pt>
                <c:pt idx="106">
                  <c:v>11.82999999999997</c:v>
                </c:pt>
                <c:pt idx="107">
                  <c:v>11.88499999999997</c:v>
                </c:pt>
                <c:pt idx="108">
                  <c:v>11.939999999999969</c:v>
                </c:pt>
                <c:pt idx="109">
                  <c:v>11.994999999999969</c:v>
                </c:pt>
                <c:pt idx="110">
                  <c:v>12.049999999999969</c:v>
                </c:pt>
                <c:pt idx="111">
                  <c:v>12.104999999999968</c:v>
                </c:pt>
                <c:pt idx="112">
                  <c:v>12.159999999999968</c:v>
                </c:pt>
                <c:pt idx="113">
                  <c:v>12.214999999999968</c:v>
                </c:pt>
                <c:pt idx="114">
                  <c:v>12.269999999999968</c:v>
                </c:pt>
                <c:pt idx="115">
                  <c:v>12.324999999999967</c:v>
                </c:pt>
                <c:pt idx="116">
                  <c:v>12.379999999999967</c:v>
                </c:pt>
                <c:pt idx="117">
                  <c:v>12.434999999999967</c:v>
                </c:pt>
                <c:pt idx="118">
                  <c:v>12.489999999999966</c:v>
                </c:pt>
                <c:pt idx="119">
                  <c:v>12.544999999999966</c:v>
                </c:pt>
                <c:pt idx="120">
                  <c:v>12.599999999999966</c:v>
                </c:pt>
                <c:pt idx="121">
                  <c:v>12.654999999999966</c:v>
                </c:pt>
                <c:pt idx="122">
                  <c:v>12.709999999999965</c:v>
                </c:pt>
                <c:pt idx="123">
                  <c:v>12.764999999999965</c:v>
                </c:pt>
                <c:pt idx="124">
                  <c:v>12.819999999999965</c:v>
                </c:pt>
                <c:pt idx="125">
                  <c:v>12.874999999999964</c:v>
                </c:pt>
                <c:pt idx="126">
                  <c:v>12.929999999999964</c:v>
                </c:pt>
                <c:pt idx="127">
                  <c:v>12.984999999999964</c:v>
                </c:pt>
                <c:pt idx="128">
                  <c:v>13.039999999999964</c:v>
                </c:pt>
                <c:pt idx="129">
                  <c:v>13.094999999999963</c:v>
                </c:pt>
                <c:pt idx="130">
                  <c:v>13.149999999999963</c:v>
                </c:pt>
                <c:pt idx="131">
                  <c:v>13.204999999999963</c:v>
                </c:pt>
                <c:pt idx="132">
                  <c:v>13.259999999999962</c:v>
                </c:pt>
                <c:pt idx="133">
                  <c:v>13.314999999999962</c:v>
                </c:pt>
                <c:pt idx="134">
                  <c:v>13.369999999999962</c:v>
                </c:pt>
                <c:pt idx="135">
                  <c:v>13.424999999999962</c:v>
                </c:pt>
                <c:pt idx="136">
                  <c:v>13.479999999999961</c:v>
                </c:pt>
                <c:pt idx="137">
                  <c:v>13.534999999999961</c:v>
                </c:pt>
                <c:pt idx="138">
                  <c:v>13.589999999999961</c:v>
                </c:pt>
                <c:pt idx="139">
                  <c:v>13.64499999999996</c:v>
                </c:pt>
                <c:pt idx="140">
                  <c:v>13.69999999999996</c:v>
                </c:pt>
                <c:pt idx="141">
                  <c:v>13.75499999999996</c:v>
                </c:pt>
                <c:pt idx="142">
                  <c:v>13.80999999999996</c:v>
                </c:pt>
                <c:pt idx="143">
                  <c:v>13.864999999999959</c:v>
                </c:pt>
                <c:pt idx="144">
                  <c:v>13.919999999999959</c:v>
                </c:pt>
                <c:pt idx="145">
                  <c:v>13.974999999999959</c:v>
                </c:pt>
                <c:pt idx="146">
                  <c:v>14.029999999999959</c:v>
                </c:pt>
                <c:pt idx="147">
                  <c:v>14.084999999999958</c:v>
                </c:pt>
                <c:pt idx="148">
                  <c:v>14.139999999999958</c:v>
                </c:pt>
                <c:pt idx="149">
                  <c:v>14.194999999999958</c:v>
                </c:pt>
                <c:pt idx="150">
                  <c:v>14.249999999999957</c:v>
                </c:pt>
                <c:pt idx="151">
                  <c:v>14.304999999999957</c:v>
                </c:pt>
                <c:pt idx="152">
                  <c:v>14.359999999999957</c:v>
                </c:pt>
                <c:pt idx="153">
                  <c:v>14.414999999999957</c:v>
                </c:pt>
                <c:pt idx="154">
                  <c:v>14.469999999999956</c:v>
                </c:pt>
                <c:pt idx="155">
                  <c:v>14.524999999999956</c:v>
                </c:pt>
                <c:pt idx="156">
                  <c:v>14.579999999999956</c:v>
                </c:pt>
                <c:pt idx="157">
                  <c:v>14.634999999999955</c:v>
                </c:pt>
                <c:pt idx="158">
                  <c:v>14.689999999999955</c:v>
                </c:pt>
                <c:pt idx="159">
                  <c:v>14.744999999999955</c:v>
                </c:pt>
                <c:pt idx="160">
                  <c:v>14.799999999999955</c:v>
                </c:pt>
                <c:pt idx="161">
                  <c:v>14.854999999999954</c:v>
                </c:pt>
                <c:pt idx="162">
                  <c:v>14.909999999999954</c:v>
                </c:pt>
                <c:pt idx="163">
                  <c:v>14.964999999999954</c:v>
                </c:pt>
                <c:pt idx="164">
                  <c:v>15.019999999999953</c:v>
                </c:pt>
                <c:pt idx="165">
                  <c:v>15.074999999999953</c:v>
                </c:pt>
                <c:pt idx="166">
                  <c:v>15.129999999999953</c:v>
                </c:pt>
                <c:pt idx="167">
                  <c:v>15.184999999999953</c:v>
                </c:pt>
                <c:pt idx="168">
                  <c:v>15.239999999999952</c:v>
                </c:pt>
                <c:pt idx="169">
                  <c:v>15.294999999999952</c:v>
                </c:pt>
                <c:pt idx="170">
                  <c:v>15.349999999999952</c:v>
                </c:pt>
                <c:pt idx="171">
                  <c:v>15.404999999999951</c:v>
                </c:pt>
                <c:pt idx="172">
                  <c:v>15.459999999999951</c:v>
                </c:pt>
                <c:pt idx="173">
                  <c:v>15.514999999999951</c:v>
                </c:pt>
                <c:pt idx="174">
                  <c:v>15.569999999999951</c:v>
                </c:pt>
                <c:pt idx="175">
                  <c:v>15.62499999999995</c:v>
                </c:pt>
                <c:pt idx="176">
                  <c:v>15.67999999999995</c:v>
                </c:pt>
                <c:pt idx="177">
                  <c:v>15.73499999999995</c:v>
                </c:pt>
                <c:pt idx="178">
                  <c:v>15.789999999999949</c:v>
                </c:pt>
                <c:pt idx="179">
                  <c:v>15.844999999999949</c:v>
                </c:pt>
                <c:pt idx="180">
                  <c:v>15.899999999999949</c:v>
                </c:pt>
                <c:pt idx="181">
                  <c:v>15.954999999999949</c:v>
                </c:pt>
                <c:pt idx="182">
                  <c:v>16.009999999999948</c:v>
                </c:pt>
                <c:pt idx="183">
                  <c:v>16.064999999999948</c:v>
                </c:pt>
                <c:pt idx="184">
                  <c:v>16.119999999999948</c:v>
                </c:pt>
                <c:pt idx="185">
                  <c:v>16.174999999999947</c:v>
                </c:pt>
                <c:pt idx="186">
                  <c:v>16.229999999999947</c:v>
                </c:pt>
                <c:pt idx="187">
                  <c:v>16.284999999999947</c:v>
                </c:pt>
                <c:pt idx="188">
                  <c:v>16.339999999999947</c:v>
                </c:pt>
                <c:pt idx="189">
                  <c:v>16.394999999999946</c:v>
                </c:pt>
                <c:pt idx="190">
                  <c:v>16.449999999999946</c:v>
                </c:pt>
                <c:pt idx="191">
                  <c:v>16.504999999999946</c:v>
                </c:pt>
                <c:pt idx="192">
                  <c:v>16.559999999999945</c:v>
                </c:pt>
                <c:pt idx="193">
                  <c:v>16.614999999999945</c:v>
                </c:pt>
                <c:pt idx="194">
                  <c:v>16.669999999999945</c:v>
                </c:pt>
                <c:pt idx="195">
                  <c:v>16.724999999999945</c:v>
                </c:pt>
                <c:pt idx="196">
                  <c:v>16.779999999999944</c:v>
                </c:pt>
                <c:pt idx="197">
                  <c:v>16.834999999999944</c:v>
                </c:pt>
                <c:pt idx="198">
                  <c:v>16.889999999999944</c:v>
                </c:pt>
                <c:pt idx="199">
                  <c:v>16.944999999999943</c:v>
                </c:pt>
                <c:pt idx="200">
                  <c:v>16.999999999999943</c:v>
                </c:pt>
              </c:numCache>
            </c:numRef>
          </c:xVal>
          <c:yVal>
            <c:numRef>
              <c:f>Scatterplots!$EB$11:$EB$211</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er>
        <c:ser>
          <c:idx val="10"/>
          <c:order val="12"/>
          <c:spPr>
            <a:ln w="28575">
              <a:noFill/>
            </a:ln>
          </c:spPr>
          <c:marker>
            <c:symbol val="diamond"/>
            <c:size val="7"/>
            <c:spPr>
              <a:solidFill>
                <a:srgbClr val="FF0000"/>
              </a:solidFill>
              <a:ln>
                <a:solidFill>
                  <a:srgbClr val="000000"/>
                </a:solidFill>
                <a:prstDash val="solid"/>
              </a:ln>
            </c:spPr>
          </c:marker>
          <c:xVal>
            <c:numRef>
              <c:f>Scatterplots!$DD$41</c:f>
              <c:numCache>
                <c:formatCode>General</c:formatCode>
                <c:ptCount val="1"/>
                <c:pt idx="0">
                  <c:v>#N/A</c:v>
                </c:pt>
              </c:numCache>
            </c:numRef>
          </c:xVal>
          <c:yVal>
            <c:numRef>
              <c:f>Scatterplots!$DE$41</c:f>
              <c:numCache>
                <c:formatCode>General</c:formatCode>
                <c:ptCount val="1"/>
                <c:pt idx="0">
                  <c:v>#N/A</c:v>
                </c:pt>
              </c:numCache>
            </c:numRef>
          </c:yVal>
        </c:ser>
        <c:ser>
          <c:idx val="11"/>
          <c:order val="13"/>
          <c:spPr>
            <a:ln w="28575">
              <a:noFill/>
            </a:ln>
          </c:spPr>
          <c:marker>
            <c:symbol val="none"/>
          </c:marker>
          <c:dLbls>
            <c:dLbl>
              <c:idx val="0"/>
              <c:layout/>
              <c:tx>
                <c:strRef>
                  <c:f>Scatterplots!$DE$46</c:f>
                  <c:strCache>
                    <c:ptCount val="1"/>
                  </c:strCache>
                </c:strRef>
              </c:tx>
              <c:dLblPos val="b"/>
            </c:dLbl>
            <c:spPr>
              <a:noFill/>
              <a:ln w="25400">
                <a:noFill/>
              </a:ln>
            </c:spPr>
            <c:txPr>
              <a:bodyPr/>
              <a:lstStyle/>
              <a:p>
                <a:pPr>
                  <a:defRPr sz="1150" b="0" i="0" u="none" strike="noStrike" baseline="0">
                    <a:solidFill>
                      <a:srgbClr val="000000"/>
                    </a:solidFill>
                    <a:latin typeface="Arial"/>
                    <a:ea typeface="Arial"/>
                    <a:cs typeface="Arial"/>
                  </a:defRPr>
                </a:pPr>
                <a:endParaRPr lang="en-US"/>
              </a:p>
            </c:txPr>
            <c:dLblPos val="b"/>
            <c:showCatName val="1"/>
          </c:dLbls>
          <c:xVal>
            <c:numRef>
              <c:f>Scatterplots!$DD$45</c:f>
              <c:numCache>
                <c:formatCode>General</c:formatCode>
                <c:ptCount val="1"/>
                <c:pt idx="0">
                  <c:v>#N/A</c:v>
                </c:pt>
              </c:numCache>
            </c:numRef>
          </c:xVal>
          <c:yVal>
            <c:numRef>
              <c:f>Scatterplots!$DE$45</c:f>
              <c:numCache>
                <c:formatCode>General</c:formatCode>
                <c:ptCount val="1"/>
                <c:pt idx="0">
                  <c:v>#N/A</c:v>
                </c:pt>
              </c:numCache>
            </c:numRef>
          </c:yVal>
        </c:ser>
        <c:ser>
          <c:idx val="12"/>
          <c:order val="14"/>
          <c:spPr>
            <a:ln w="28575">
              <a:noFill/>
            </a:ln>
          </c:spPr>
          <c:marker>
            <c:symbol val="none"/>
          </c:marker>
          <c:dLbls>
            <c:dLbl>
              <c:idx val="0"/>
              <c:layout/>
              <c:tx>
                <c:strRef>
                  <c:f>Scatterplots!$DE$49</c:f>
                  <c:strCache>
                    <c:ptCount val="1"/>
                  </c:strCache>
                </c:strRef>
              </c:tx>
              <c:dLblPos val="ctr"/>
            </c:dLbl>
            <c:spPr>
              <a:solidFill>
                <a:srgbClr val="FFFFFF"/>
              </a:solidFill>
              <a:ln w="25400">
                <a:noFill/>
              </a:ln>
            </c:spPr>
            <c:txPr>
              <a:bodyPr/>
              <a:lstStyle/>
              <a:p>
                <a:pPr>
                  <a:defRPr sz="1150" b="0" i="0" u="none" strike="noStrike" baseline="0">
                    <a:solidFill>
                      <a:srgbClr val="000000"/>
                    </a:solidFill>
                    <a:latin typeface="Arial"/>
                    <a:ea typeface="Arial"/>
                    <a:cs typeface="Arial"/>
                  </a:defRPr>
                </a:pPr>
                <a:endParaRPr lang="en-US"/>
              </a:p>
            </c:txPr>
            <c:dLblPos val="ctr"/>
            <c:showVal val="1"/>
          </c:dLbls>
          <c:xVal>
            <c:numRef>
              <c:f>Scatterplots!$DD$48</c:f>
              <c:numCache>
                <c:formatCode>General</c:formatCode>
                <c:ptCount val="1"/>
                <c:pt idx="0">
                  <c:v>#N/A</c:v>
                </c:pt>
              </c:numCache>
            </c:numRef>
          </c:xVal>
          <c:yVal>
            <c:numRef>
              <c:f>Scatterplots!$DE$48</c:f>
              <c:numCache>
                <c:formatCode>General</c:formatCode>
                <c:ptCount val="1"/>
                <c:pt idx="0">
                  <c:v>#N/A</c:v>
                </c:pt>
              </c:numCache>
            </c:numRef>
          </c:yVal>
        </c:ser>
        <c:ser>
          <c:idx val="13"/>
          <c:order val="15"/>
          <c:spPr>
            <a:ln w="28575">
              <a:noFill/>
            </a:ln>
          </c:spPr>
          <c:marker>
            <c:symbol val="none"/>
          </c:marker>
          <c:dLbls>
            <c:dLbl>
              <c:idx val="0"/>
              <c:layout/>
              <c:tx>
                <c:strRef>
                  <c:f>Scatterplots!$DE$44</c:f>
                  <c:strCache>
                    <c:ptCount val="1"/>
                  </c:strCache>
                </c:strRef>
              </c:tx>
              <c:spPr>
                <a:solidFill>
                  <a:srgbClr val="FFFFFF"/>
                </a:solidFill>
                <a:ln w="25400">
                  <a:noFill/>
                </a:ln>
              </c:spPr>
              <c:txPr>
                <a:bodyPr/>
                <a:lstStyle/>
                <a:p>
                  <a:pPr>
                    <a:defRPr sz="1150" b="0" i="1" u="none" strike="noStrike" baseline="0">
                      <a:solidFill>
                        <a:srgbClr val="000000"/>
                      </a:solidFill>
                      <a:latin typeface="Arial"/>
                      <a:ea typeface="Arial"/>
                      <a:cs typeface="Arial"/>
                    </a:defRPr>
                  </a:pPr>
                  <a:endParaRPr lang="en-US"/>
                </a:p>
              </c:txPr>
              <c:dLblPos val="ctr"/>
            </c:dLbl>
            <c:spPr>
              <a:solidFill>
                <a:srgbClr val="FFFFFF"/>
              </a:solidFill>
              <a:ln w="25400">
                <a:noFill/>
              </a:ln>
            </c:spPr>
            <c:txPr>
              <a:bodyPr/>
              <a:lstStyle/>
              <a:p>
                <a:pPr>
                  <a:defRPr sz="1150" b="0" i="0" u="none" strike="noStrike" baseline="0">
                    <a:solidFill>
                      <a:srgbClr val="000000"/>
                    </a:solidFill>
                    <a:latin typeface="Arial"/>
                    <a:ea typeface="Arial"/>
                    <a:cs typeface="Arial"/>
                  </a:defRPr>
                </a:pPr>
                <a:endParaRPr lang="en-US"/>
              </a:p>
            </c:txPr>
            <c:dLblPos val="ctr"/>
            <c:showCatName val="1"/>
          </c:dLbls>
          <c:xVal>
            <c:numRef>
              <c:f>Scatterplots!$DD$45</c:f>
              <c:numCache>
                <c:formatCode>General</c:formatCode>
                <c:ptCount val="1"/>
                <c:pt idx="0">
                  <c:v>#N/A</c:v>
                </c:pt>
              </c:numCache>
            </c:numRef>
          </c:xVal>
          <c:yVal>
            <c:numRef>
              <c:f>Scatterplots!$DE$45</c:f>
              <c:numCache>
                <c:formatCode>General</c:formatCode>
                <c:ptCount val="1"/>
                <c:pt idx="0">
                  <c:v>#N/A</c:v>
                </c:pt>
              </c:numCache>
            </c:numRef>
          </c:yVal>
        </c:ser>
        <c:ser>
          <c:idx val="14"/>
          <c:order val="16"/>
          <c:spPr>
            <a:ln w="28575">
              <a:noFill/>
            </a:ln>
          </c:spPr>
          <c:marker>
            <c:symbol val="none"/>
          </c:marker>
          <c:dLbls>
            <c:dLbl>
              <c:idx val="0"/>
              <c:layout/>
              <c:tx>
                <c:strRef>
                  <c:f>Scatterplots!$DE$47</c:f>
                  <c:strCache>
                    <c:ptCount val="1"/>
                  </c:strCache>
                </c:strRef>
              </c:tx>
              <c:spPr>
                <a:solidFill>
                  <a:srgbClr val="FFFFFF"/>
                </a:solidFill>
                <a:ln w="25400">
                  <a:noFill/>
                </a:ln>
              </c:spPr>
              <c:txPr>
                <a:bodyPr/>
                <a:lstStyle/>
                <a:p>
                  <a:pPr>
                    <a:defRPr sz="1150" b="0" i="1" u="none" strike="noStrike" baseline="0">
                      <a:solidFill>
                        <a:srgbClr val="000000"/>
                      </a:solidFill>
                      <a:latin typeface="Arial"/>
                      <a:ea typeface="Arial"/>
                      <a:cs typeface="Arial"/>
                    </a:defRPr>
                  </a:pPr>
                  <a:endParaRPr lang="en-US"/>
                </a:p>
              </c:txPr>
              <c:dLblPos val="t"/>
            </c:dLbl>
            <c:spPr>
              <a:solidFill>
                <a:srgbClr val="FFFFFF"/>
              </a:solidFill>
              <a:ln w="25400">
                <a:noFill/>
              </a:ln>
            </c:spPr>
            <c:txPr>
              <a:bodyPr/>
              <a:lstStyle/>
              <a:p>
                <a:pPr>
                  <a:defRPr sz="1150" b="0" i="0" u="none" strike="noStrike" baseline="0">
                    <a:solidFill>
                      <a:srgbClr val="000000"/>
                    </a:solidFill>
                    <a:latin typeface="Arial"/>
                    <a:ea typeface="Arial"/>
                    <a:cs typeface="Arial"/>
                  </a:defRPr>
                </a:pPr>
                <a:endParaRPr lang="en-US"/>
              </a:p>
            </c:txPr>
            <c:dLblPos val="t"/>
            <c:showCatName val="1"/>
          </c:dLbls>
          <c:xVal>
            <c:numRef>
              <c:f>Scatterplots!$DD$48</c:f>
              <c:numCache>
                <c:formatCode>General</c:formatCode>
                <c:ptCount val="1"/>
                <c:pt idx="0">
                  <c:v>#N/A</c:v>
                </c:pt>
              </c:numCache>
            </c:numRef>
          </c:xVal>
          <c:yVal>
            <c:numRef>
              <c:f>Scatterplots!$DE$48</c:f>
              <c:numCache>
                <c:formatCode>General</c:formatCode>
                <c:ptCount val="1"/>
                <c:pt idx="0">
                  <c:v>#N/A</c:v>
                </c:pt>
              </c:numCache>
            </c:numRef>
          </c:yVal>
        </c:ser>
        <c:ser>
          <c:idx val="17"/>
          <c:order val="17"/>
          <c:spPr>
            <a:ln w="28575">
              <a:noFill/>
            </a:ln>
          </c:spPr>
          <c:marker>
            <c:symbol val="none"/>
          </c:marker>
          <c:errBars>
            <c:errDir val="x"/>
            <c:errBarType val="minus"/>
            <c:errValType val="cust"/>
            <c:noEndCap val="1"/>
            <c:minus>
              <c:numRef>
                <c:f>Scatterplots!$DE$43</c:f>
                <c:numCache>
                  <c:formatCode>General</c:formatCode>
                  <c:ptCount val="1"/>
                  <c:pt idx="0">
                    <c:v>#N/A</c:v>
                  </c:pt>
                </c:numCache>
              </c:numRef>
            </c:minus>
            <c:spPr>
              <a:ln w="12700">
                <a:solidFill>
                  <a:srgbClr val="000000"/>
                </a:solidFill>
                <a:prstDash val="sysDash"/>
              </a:ln>
            </c:spPr>
          </c:errBars>
          <c:errBars>
            <c:errDir val="y"/>
            <c:errBarType val="minus"/>
            <c:errValType val="cust"/>
            <c:noEndCap val="1"/>
            <c:minus>
              <c:numRef>
                <c:f>Scatterplots!$DD$43</c:f>
                <c:numCache>
                  <c:formatCode>General</c:formatCode>
                  <c:ptCount val="1"/>
                  <c:pt idx="0">
                    <c:v>#N/A</c:v>
                  </c:pt>
                </c:numCache>
              </c:numRef>
            </c:minus>
            <c:spPr>
              <a:ln w="12700">
                <a:solidFill>
                  <a:srgbClr val="000000"/>
                </a:solidFill>
                <a:prstDash val="sysDash"/>
              </a:ln>
            </c:spPr>
          </c:errBars>
          <c:xVal>
            <c:numRef>
              <c:f>Scatterplots!$DD$40</c:f>
              <c:numCache>
                <c:formatCode>General</c:formatCode>
                <c:ptCount val="1"/>
                <c:pt idx="0">
                  <c:v>#N/A</c:v>
                </c:pt>
              </c:numCache>
            </c:numRef>
          </c:xVal>
          <c:yVal>
            <c:numRef>
              <c:f>Scatterplots!$DE$40</c:f>
              <c:numCache>
                <c:formatCode>General</c:formatCode>
                <c:ptCount val="1"/>
                <c:pt idx="0">
                  <c:v>#N/A</c:v>
                </c:pt>
              </c:numCache>
            </c:numRef>
          </c:yVal>
        </c:ser>
        <c:axId val="159174656"/>
        <c:axId val="159176576"/>
      </c:scatterChart>
      <c:valAx>
        <c:axId val="159174656"/>
        <c:scaling>
          <c:orientation val="minMax"/>
        </c:scaling>
        <c:axPos val="b"/>
        <c:title>
          <c:tx>
            <c:strRef>
              <c:f>Scatterplots!$DH$7</c:f>
              <c:strCache>
                <c:ptCount val="1"/>
                <c:pt idx="0">
                  <c:v>LSAT Pretest</c:v>
                </c:pt>
              </c:strCache>
            </c:strRef>
          </c:tx>
          <c:layout>
            <c:manualLayout>
              <c:xMode val="edge"/>
              <c:yMode val="edge"/>
              <c:x val="0.44548913068419094"/>
              <c:y val="0.94360988862221062"/>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tickLblPos val="nextTo"/>
        <c:spPr>
          <a:solidFill>
            <a:srgbClr val="FFFFFF"/>
          </a:solidFill>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9176576"/>
        <c:crosses val="autoZero"/>
        <c:crossBetween val="midCat"/>
      </c:valAx>
      <c:valAx>
        <c:axId val="159176576"/>
        <c:scaling>
          <c:orientation val="minMax"/>
        </c:scaling>
        <c:axPos val="l"/>
        <c:title>
          <c:tx>
            <c:strRef>
              <c:f>Scatterplots!$DH$6</c:f>
              <c:strCache>
                <c:ptCount val="1"/>
                <c:pt idx="0">
                  <c:v>LSAT Posttest</c:v>
                </c:pt>
              </c:strCache>
            </c:strRef>
          </c:tx>
          <c:layout>
            <c:manualLayout>
              <c:xMode val="edge"/>
              <c:yMode val="edge"/>
              <c:x val="9.3985048667550985E-3"/>
              <c:y val="0.35526348396334251"/>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tickLblPos val="nextTo"/>
        <c:spPr>
          <a:solidFill>
            <a:srgbClr val="FFFFFF"/>
          </a:solidFill>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9174656"/>
        <c:crosses val="autoZero"/>
        <c:crossBetween val="midCat"/>
      </c:valAx>
      <c:spPr>
        <a:noFill/>
        <a:ln w="25400">
          <a:noFill/>
        </a:ln>
      </c:spPr>
    </c:plotArea>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paperSize="9" orientation="landscape" horizontalDpi="1200" verticalDpi="1200"/>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0.1146617593744121"/>
          <c:y val="6.3909833093934568E-2"/>
          <c:w val="0.85902334482141451"/>
          <c:h val="0.81391052146099019"/>
        </c:manualLayout>
      </c:layout>
      <c:scatterChart>
        <c:scatterStyle val="lineMarker"/>
        <c:ser>
          <c:idx val="0"/>
          <c:order val="0"/>
          <c:spPr>
            <a:ln w="28575">
              <a:noFill/>
            </a:ln>
          </c:spPr>
          <c:marker>
            <c:symbol val="circle"/>
            <c:size val="5"/>
            <c:spPr>
              <a:solidFill>
                <a:srgbClr val="0000FF"/>
              </a:solidFill>
              <a:ln>
                <a:solidFill>
                  <a:srgbClr val="000000"/>
                </a:solidFill>
                <a:prstDash val="solid"/>
              </a:ln>
            </c:spPr>
          </c:marker>
          <c:xVal>
            <c:numRef>
              <c:f>Scatterplots!$DK$11:$DK$310</c:f>
              <c:numCache>
                <c:formatCode>General</c:formatCode>
                <c:ptCount val="300"/>
                <c:pt idx="0">
                  <c:v>0.42728823464938825</c:v>
                </c:pt>
                <c:pt idx="1">
                  <c:v>0.12567301019099641</c:v>
                </c:pt>
                <c:pt idx="2">
                  <c:v>0.12567301019099641</c:v>
                </c:pt>
                <c:pt idx="3">
                  <c:v>-0.7791726631841791</c:v>
                </c:pt>
                <c:pt idx="4">
                  <c:v>0.72890345910778009</c:v>
                </c:pt>
                <c:pt idx="5">
                  <c:v>1.6337491324829556</c:v>
                </c:pt>
                <c:pt idx="6">
                  <c:v>0.72890345910778009</c:v>
                </c:pt>
                <c:pt idx="7">
                  <c:v>-0.7791726631841791</c:v>
                </c:pt>
                <c:pt idx="8">
                  <c:v>-1.6840183365593546</c:v>
                </c:pt>
                <c:pt idx="9">
                  <c:v>-1.3824031121009628</c:v>
                </c:pt>
                <c:pt idx="10">
                  <c:v>-0.1759422142673954</c:v>
                </c:pt>
                <c:pt idx="11">
                  <c:v>1.0305186835661719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Scatterplots!$DL$11:$DL$310</c:f>
              <c:numCache>
                <c:formatCode>General</c:formatCode>
                <c:ptCount val="300"/>
                <c:pt idx="0">
                  <c:v>0.25898488514140611</c:v>
                </c:pt>
                <c:pt idx="1">
                  <c:v>-8.6328295047135378E-2</c:v>
                </c:pt>
                <c:pt idx="2">
                  <c:v>0.94961124551848908</c:v>
                </c:pt>
                <c:pt idx="3">
                  <c:v>-0.43164147523567686</c:v>
                </c:pt>
                <c:pt idx="4">
                  <c:v>0.60429806532994756</c:v>
                </c:pt>
                <c:pt idx="5">
                  <c:v>1.6402376058955721</c:v>
                </c:pt>
                <c:pt idx="6">
                  <c:v>-8.6328295047135378E-2</c:v>
                </c:pt>
                <c:pt idx="7">
                  <c:v>-1.1222678356127598</c:v>
                </c:pt>
                <c:pt idx="8">
                  <c:v>-1.1222678356127598</c:v>
                </c:pt>
                <c:pt idx="9">
                  <c:v>-1.8128941959898428</c:v>
                </c:pt>
                <c:pt idx="10">
                  <c:v>0.25898488514140611</c:v>
                </c:pt>
                <c:pt idx="11">
                  <c:v>0.94961124551848908</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er>
        <c:ser>
          <c:idx val="1"/>
          <c:order val="1"/>
          <c:spPr>
            <a:ln w="28575">
              <a:noFill/>
            </a:ln>
          </c:spPr>
          <c:marker>
            <c:symbol val="circle"/>
            <c:size val="3"/>
            <c:spPr>
              <a:solidFill>
                <a:srgbClr val="FF0000"/>
              </a:solidFill>
              <a:ln>
                <a:solidFill>
                  <a:srgbClr val="FF0000"/>
                </a:solidFill>
                <a:prstDash val="solid"/>
              </a:ln>
            </c:spPr>
          </c:marker>
          <c:xVal>
            <c:numRef>
              <c:f>Scatterplots!$DN$11:$DN$310</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Scatterplots!$DO$11:$DO$310</c:f>
              <c:numCache>
                <c:formatCode>General</c:formatCode>
                <c:ptCount val="300"/>
                <c:pt idx="0">
                  <c:v>0.25898488514140611</c:v>
                </c:pt>
                <c:pt idx="1">
                  <c:v>-8.6328295047135378E-2</c:v>
                </c:pt>
                <c:pt idx="2">
                  <c:v>0.94961124551848908</c:v>
                </c:pt>
                <c:pt idx="3">
                  <c:v>-0.43164147523567686</c:v>
                </c:pt>
                <c:pt idx="4">
                  <c:v>0.60429806532994756</c:v>
                </c:pt>
                <c:pt idx="5">
                  <c:v>1.6402376058955721</c:v>
                </c:pt>
                <c:pt idx="6">
                  <c:v>-8.6328295047135378E-2</c:v>
                </c:pt>
                <c:pt idx="7">
                  <c:v>-1.1222678356127598</c:v>
                </c:pt>
                <c:pt idx="8">
                  <c:v>-1.1222678356127598</c:v>
                </c:pt>
                <c:pt idx="9">
                  <c:v>-1.8128941959898428</c:v>
                </c:pt>
                <c:pt idx="10">
                  <c:v>0.25898488514140611</c:v>
                </c:pt>
                <c:pt idx="11">
                  <c:v>0.94961124551848908</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er>
        <c:ser>
          <c:idx val="6"/>
          <c:order val="2"/>
          <c:spPr>
            <a:ln w="28575">
              <a:noFill/>
            </a:ln>
          </c:spPr>
          <c:marker>
            <c:symbol val="none"/>
          </c:marker>
          <c:errBars>
            <c:errDir val="x"/>
            <c:errBarType val="both"/>
            <c:errValType val="cust"/>
            <c:noEndCap val="1"/>
            <c:plus>
              <c:numLit>
                <c:formatCode>General</c:formatCode>
                <c:ptCount val="1"/>
                <c:pt idx="0">
                  <c:v>9</c:v>
                </c:pt>
              </c:numLit>
            </c:plus>
            <c:minus>
              <c:numLit>
                <c:formatCode>General</c:formatCode>
                <c:ptCount val="1"/>
                <c:pt idx="0">
                  <c:v>9</c:v>
                </c:pt>
              </c:numLit>
            </c:minus>
            <c:spPr>
              <a:ln w="12700">
                <a:pattFill prst="pct50">
                  <a:fgClr>
                    <a:srgbClr val="000000"/>
                  </a:fgClr>
                  <a:bgClr>
                    <a:srgbClr val="FFFFFF"/>
                  </a:bgClr>
                </a:pattFill>
                <a:prstDash val="solid"/>
              </a:ln>
            </c:spPr>
          </c:errBars>
          <c:errBars>
            <c:errDir val="y"/>
            <c:errBarType val="both"/>
            <c:errValType val="cust"/>
            <c:noEndCap val="1"/>
            <c:plus>
              <c:numLit>
                <c:formatCode>General</c:formatCode>
                <c:ptCount val="1"/>
                <c:pt idx="0">
                  <c:v>9</c:v>
                </c:pt>
              </c:numLit>
            </c:plus>
            <c:minus>
              <c:numLit>
                <c:formatCode>General</c:formatCode>
                <c:ptCount val="1"/>
                <c:pt idx="0">
                  <c:v>9</c:v>
                </c:pt>
              </c:numLit>
            </c:minus>
            <c:spPr>
              <a:ln w="12700">
                <a:pattFill prst="pct50">
                  <a:fgClr>
                    <a:srgbClr val="000000"/>
                  </a:fgClr>
                  <a:bgClr>
                    <a:srgbClr val="FFFFFF"/>
                  </a:bgClr>
                </a:pattFill>
                <a:prstDash val="solid"/>
              </a:ln>
            </c:spPr>
          </c:errBars>
          <c:xVal>
            <c:numRef>
              <c:f>Scatterplots!$DK$3</c:f>
              <c:numCache>
                <c:formatCode>General</c:formatCode>
                <c:ptCount val="1"/>
                <c:pt idx="0">
                  <c:v>#N/A</c:v>
                </c:pt>
              </c:numCache>
            </c:numRef>
          </c:xVal>
          <c:yVal>
            <c:numRef>
              <c:f>Scatterplots!$DL$3</c:f>
              <c:numCache>
                <c:formatCode>General</c:formatCode>
                <c:ptCount val="1"/>
                <c:pt idx="0">
                  <c:v>#N/A</c:v>
                </c:pt>
              </c:numCache>
            </c:numRef>
          </c:yVal>
        </c:ser>
        <c:ser>
          <c:idx val="5"/>
          <c:order val="3"/>
          <c:spPr>
            <a:ln w="12700">
              <a:solidFill>
                <a:srgbClr val="0000FF"/>
              </a:solidFill>
              <a:prstDash val="solid"/>
            </a:ln>
          </c:spPr>
          <c:marker>
            <c:symbol val="none"/>
          </c:marker>
          <c:xVal>
            <c:numRef>
              <c:f>Scatterplots!$DP$2:$DP$3</c:f>
              <c:numCache>
                <c:formatCode>General</c:formatCode>
                <c:ptCount val="2"/>
                <c:pt idx="0">
                  <c:v>#N/A</c:v>
                </c:pt>
                <c:pt idx="1">
                  <c:v>#N/A</c:v>
                </c:pt>
              </c:numCache>
            </c:numRef>
          </c:xVal>
          <c:yVal>
            <c:numRef>
              <c:f>Scatterplots!$DQ$2:$DQ$3</c:f>
              <c:numCache>
                <c:formatCode>General</c:formatCode>
                <c:ptCount val="2"/>
                <c:pt idx="0">
                  <c:v>#N/A</c:v>
                </c:pt>
                <c:pt idx="1">
                  <c:v>#N/A</c:v>
                </c:pt>
              </c:numCache>
            </c:numRef>
          </c:yVal>
        </c:ser>
        <c:ser>
          <c:idx val="10"/>
          <c:order val="4"/>
          <c:spPr>
            <a:ln w="12700">
              <a:solidFill>
                <a:srgbClr val="CCFFCC"/>
              </a:solidFill>
              <a:prstDash val="solid"/>
            </a:ln>
          </c:spPr>
          <c:marker>
            <c:symbol val="none"/>
          </c:marker>
          <c:dLbls>
            <c:dLbl>
              <c:idx val="0"/>
              <c:layout/>
              <c:tx>
                <c:strRef>
                  <c:f>Scatterplots!$DH$3</c:f>
                  <c:strCache>
                    <c:ptCount val="1"/>
                    <c:pt idx="0">
                      <c:v>.89</c:v>
                    </c:pt>
                  </c:strCache>
                </c:strRef>
              </c:tx>
              <c:dLblPos val="r"/>
            </c:dLbl>
            <c:spPr>
              <a:solidFill>
                <a:srgbClr val="FFFFFF"/>
              </a:solidFill>
              <a:ln w="25400">
                <a:noFill/>
              </a:ln>
            </c:spPr>
            <c:txPr>
              <a:bodyPr/>
              <a:lstStyle/>
              <a:p>
                <a:pPr>
                  <a:defRPr sz="1800" b="0" i="0" u="none" strike="noStrike" baseline="0">
                    <a:solidFill>
                      <a:srgbClr val="000000"/>
                    </a:solidFill>
                    <a:latin typeface="Arial"/>
                    <a:ea typeface="Arial"/>
                    <a:cs typeface="Arial"/>
                  </a:defRPr>
                </a:pPr>
                <a:endParaRPr lang="en-US"/>
              </a:p>
            </c:txPr>
            <c:dLblPos val="r"/>
            <c:showCatName val="1"/>
          </c:dLbls>
          <c:xVal>
            <c:numRef>
              <c:f>Scatterplots!$DG$4</c:f>
              <c:numCache>
                <c:formatCode>General</c:formatCode>
                <c:ptCount val="1"/>
                <c:pt idx="0">
                  <c:v>-2</c:v>
                </c:pt>
              </c:numCache>
            </c:numRef>
          </c:xVal>
          <c:yVal>
            <c:numRef>
              <c:f>Scatterplots!$DH$4</c:f>
              <c:numCache>
                <c:formatCode>General</c:formatCode>
                <c:ptCount val="1"/>
                <c:pt idx="0">
                  <c:v>4</c:v>
                </c:pt>
              </c:numCache>
            </c:numRef>
          </c:yVal>
        </c:ser>
        <c:ser>
          <c:idx val="11"/>
          <c:order val="5"/>
          <c:spPr>
            <a:ln w="12700">
              <a:solidFill>
                <a:srgbClr val="FFFF99"/>
              </a:solidFill>
              <a:prstDash val="solid"/>
            </a:ln>
          </c:spPr>
          <c:marker>
            <c:symbol val="none"/>
          </c:marker>
          <c:dLbls>
            <c:dLbl>
              <c:idx val="0"/>
              <c:layout/>
              <c:tx>
                <c:rich>
                  <a:bodyPr/>
                  <a:lstStyle/>
                  <a:p>
                    <a:pPr>
                      <a:defRPr sz="1800" b="0" i="1" u="none" strike="noStrike" baseline="0">
                        <a:solidFill>
                          <a:srgbClr val="000000"/>
                        </a:solidFill>
                        <a:latin typeface="Arial"/>
                        <a:ea typeface="Arial"/>
                        <a:cs typeface="Arial"/>
                      </a:defRPr>
                    </a:pPr>
                    <a:r>
                      <a:rPr lang="en-AU" sz="1800" b="0" i="1" u="none" strike="noStrike" baseline="0">
                        <a:solidFill>
                          <a:srgbClr val="000000"/>
                        </a:solidFill>
                        <a:latin typeface="Arial"/>
                        <a:cs typeface="Arial"/>
                      </a:rPr>
                      <a:t>r</a:t>
                    </a:r>
                    <a:r>
                      <a:rPr lang="en-AU" sz="1800" b="0" i="0" u="none" strike="noStrike" baseline="0">
                        <a:solidFill>
                          <a:srgbClr val="000000"/>
                        </a:solidFill>
                        <a:latin typeface="Arial"/>
                        <a:cs typeface="Arial"/>
                      </a:rPr>
                      <a:t> =</a:t>
                    </a:r>
                  </a:p>
                </c:rich>
              </c:tx>
              <c:spPr>
                <a:noFill/>
                <a:ln w="25400">
                  <a:noFill/>
                </a:ln>
              </c:spPr>
              <c:dLblPos val="ctr"/>
            </c:dLbl>
            <c:spPr>
              <a:noFill/>
              <a:ln w="25400">
                <a:noFill/>
              </a:ln>
            </c:spPr>
            <c:txPr>
              <a:bodyPr/>
              <a:lstStyle/>
              <a:p>
                <a:pPr>
                  <a:defRPr sz="1800" b="0" i="0" u="none" strike="noStrike" baseline="0">
                    <a:solidFill>
                      <a:srgbClr val="000000"/>
                    </a:solidFill>
                    <a:latin typeface="Arial"/>
                    <a:ea typeface="Arial"/>
                    <a:cs typeface="Arial"/>
                  </a:defRPr>
                </a:pPr>
                <a:endParaRPr lang="en-US"/>
              </a:p>
            </c:txPr>
            <c:dLblPos val="ctr"/>
            <c:showVal val="1"/>
          </c:dLbls>
          <c:xVal>
            <c:numRef>
              <c:f>Scatterplots!$DG$5</c:f>
              <c:numCache>
                <c:formatCode>General</c:formatCode>
                <c:ptCount val="1"/>
                <c:pt idx="0">
                  <c:v>-2.2000000000000002</c:v>
                </c:pt>
              </c:numCache>
            </c:numRef>
          </c:xVal>
          <c:yVal>
            <c:numRef>
              <c:f>Scatterplots!$DH$5</c:f>
              <c:numCache>
                <c:formatCode>General</c:formatCode>
                <c:ptCount val="1"/>
                <c:pt idx="0">
                  <c:v>4</c:v>
                </c:pt>
              </c:numCache>
            </c:numRef>
          </c:yVal>
        </c:ser>
        <c:ser>
          <c:idx val="2"/>
          <c:order val="6"/>
          <c:spPr>
            <a:ln w="25400">
              <a:solidFill>
                <a:srgbClr val="000000"/>
              </a:solidFill>
              <a:prstDash val="solid"/>
            </a:ln>
          </c:spPr>
          <c:marker>
            <c:symbol val="none"/>
          </c:marker>
          <c:xVal>
            <c:numRef>
              <c:f>Scatterplots!$DC$28:$DC$29</c:f>
              <c:numCache>
                <c:formatCode>General</c:formatCode>
                <c:ptCount val="2"/>
                <c:pt idx="0">
                  <c:v>#N/A</c:v>
                </c:pt>
                <c:pt idx="1">
                  <c:v>#N/A</c:v>
                </c:pt>
              </c:numCache>
            </c:numRef>
          </c:xVal>
          <c:yVal>
            <c:numRef>
              <c:f>Scatterplots!$DD$28:$DD$29</c:f>
              <c:numCache>
                <c:formatCode>General</c:formatCode>
                <c:ptCount val="2"/>
                <c:pt idx="0">
                  <c:v>#N/A</c:v>
                </c:pt>
                <c:pt idx="1">
                  <c:v>#N/A</c:v>
                </c:pt>
              </c:numCache>
            </c:numRef>
          </c:yVal>
        </c:ser>
        <c:axId val="157331456"/>
        <c:axId val="157333376"/>
      </c:scatterChart>
      <c:valAx>
        <c:axId val="157331456"/>
        <c:scaling>
          <c:orientation val="minMax"/>
          <c:max val="4"/>
          <c:min val="-4"/>
        </c:scaling>
        <c:axPos val="b"/>
        <c:title>
          <c:tx>
            <c:rich>
              <a:bodyPr/>
              <a:lstStyle/>
              <a:p>
                <a:pPr>
                  <a:defRPr sz="1400" b="0" i="1" u="none" strike="noStrike" baseline="0">
                    <a:solidFill>
                      <a:srgbClr val="000000"/>
                    </a:solidFill>
                    <a:latin typeface="Arial"/>
                    <a:ea typeface="Arial"/>
                    <a:cs typeface="Arial"/>
                  </a:defRPr>
                </a:pPr>
                <a:r>
                  <a:rPr lang="en-AU" sz="1400" b="0" i="1" u="none" strike="noStrike" baseline="0">
                    <a:solidFill>
                      <a:srgbClr val="000000"/>
                    </a:solidFill>
                    <a:latin typeface="Arial"/>
                    <a:cs typeface="Arial"/>
                  </a:rPr>
                  <a:t>Z</a:t>
                </a:r>
                <a:r>
                  <a:rPr lang="en-AU" sz="1400" b="0" i="1" u="none" strike="noStrike" baseline="-25000">
                    <a:solidFill>
                      <a:srgbClr val="000000"/>
                    </a:solidFill>
                    <a:latin typeface="Arial"/>
                    <a:cs typeface="Arial"/>
                  </a:rPr>
                  <a:t>X</a:t>
                </a:r>
              </a:p>
            </c:rich>
          </c:tx>
          <c:layout>
            <c:manualLayout>
              <c:xMode val="edge"/>
              <c:yMode val="edge"/>
              <c:x val="0.46992524333775465"/>
              <c:y val="0.92293317791534868"/>
            </c:manualLayout>
          </c:layout>
          <c:spPr>
            <a:noFill/>
            <a:ln w="25400">
              <a:noFill/>
            </a:ln>
          </c:spPr>
        </c:title>
        <c:numFmt formatCode="General" sourceLinked="1"/>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7333376"/>
        <c:crossesAt val="-999"/>
        <c:crossBetween val="midCat"/>
        <c:majorUnit val="1"/>
        <c:minorUnit val="0.5"/>
      </c:valAx>
      <c:valAx>
        <c:axId val="157333376"/>
        <c:scaling>
          <c:orientation val="minMax"/>
          <c:max val="4"/>
          <c:min val="-4"/>
        </c:scaling>
        <c:axPos val="l"/>
        <c:title>
          <c:tx>
            <c:rich>
              <a:bodyPr rot="0" vert="horz"/>
              <a:lstStyle/>
              <a:p>
                <a:pPr algn="ctr">
                  <a:defRPr sz="1400" b="0" i="1" u="none" strike="noStrike" baseline="0">
                    <a:solidFill>
                      <a:srgbClr val="000000"/>
                    </a:solidFill>
                    <a:latin typeface="Arial"/>
                    <a:ea typeface="Arial"/>
                    <a:cs typeface="Arial"/>
                  </a:defRPr>
                </a:pPr>
                <a:r>
                  <a:rPr lang="en-AU" sz="1400" b="0" i="1" u="none" strike="noStrike" baseline="0">
                    <a:solidFill>
                      <a:srgbClr val="000000"/>
                    </a:solidFill>
                    <a:latin typeface="Arial"/>
                    <a:cs typeface="Arial"/>
                  </a:rPr>
                  <a:t>Z</a:t>
                </a:r>
                <a:r>
                  <a:rPr lang="en-AU" sz="1400" b="0" i="1" u="none" strike="noStrike" baseline="-25000">
                    <a:solidFill>
                      <a:srgbClr val="000000"/>
                    </a:solidFill>
                    <a:latin typeface="Arial"/>
                    <a:cs typeface="Arial"/>
                  </a:rPr>
                  <a:t>Y</a:t>
                </a:r>
              </a:p>
            </c:rich>
          </c:tx>
          <c:layout>
            <c:manualLayout>
              <c:xMode val="edge"/>
              <c:yMode val="edge"/>
              <c:x val="9.3985048667550985E-3"/>
              <c:y val="0.39661690537706534"/>
            </c:manualLayout>
          </c:layout>
          <c:spPr>
            <a:noFill/>
            <a:ln w="25400">
              <a:noFill/>
            </a:ln>
          </c:spPr>
        </c:title>
        <c:numFmt formatCode="General" sourceLinked="1"/>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7331456"/>
        <c:crossesAt val="-999"/>
        <c:crossBetween val="midCat"/>
        <c:majorUnit val="1"/>
        <c:minorUnit val="0.5"/>
      </c:valAx>
      <c:spPr>
        <a:noFill/>
        <a:ln w="25400">
          <a:noFill/>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0.2123893805309735"/>
          <c:y val="0"/>
          <c:w val="0.54640373493136341"/>
          <c:h val="0.9255812863303956"/>
        </c:manualLayout>
      </c:layout>
      <c:scatterChart>
        <c:scatterStyle val="lineMarker"/>
        <c:ser>
          <c:idx val="0"/>
          <c:order val="0"/>
          <c:spPr>
            <a:ln w="25400">
              <a:solidFill>
                <a:srgbClr val="008000"/>
              </a:solidFill>
              <a:prstDash val="solid"/>
            </a:ln>
          </c:spPr>
          <c:marker>
            <c:symbol val="diamond"/>
            <c:size val="7"/>
            <c:spPr>
              <a:solidFill>
                <a:srgbClr val="FFFFFF"/>
              </a:solidFill>
              <a:ln>
                <a:solidFill>
                  <a:srgbClr val="008000"/>
                </a:solidFill>
                <a:prstDash val="solid"/>
              </a:ln>
            </c:spPr>
          </c:marker>
          <c:xVal>
            <c:numRef>
              <c:f>Scatterplots!$DD$34:$DD$35</c:f>
              <c:numCache>
                <c:formatCode>General</c:formatCode>
                <c:ptCount val="2"/>
                <c:pt idx="0">
                  <c:v>0.99</c:v>
                </c:pt>
                <c:pt idx="1">
                  <c:v>0.99</c:v>
                </c:pt>
              </c:numCache>
            </c:numRef>
          </c:xVal>
          <c:yVal>
            <c:numRef>
              <c:f>Scatterplots!$DE$34:$DE$35</c:f>
              <c:numCache>
                <c:formatCode>General</c:formatCode>
                <c:ptCount val="2"/>
                <c:pt idx="0">
                  <c:v>0.99</c:v>
                </c:pt>
                <c:pt idx="1">
                  <c:v>1.49</c:v>
                </c:pt>
              </c:numCache>
            </c:numRef>
          </c:yVal>
        </c:ser>
        <c:axId val="159220480"/>
        <c:axId val="159222400"/>
      </c:scatterChart>
      <c:valAx>
        <c:axId val="159220480"/>
        <c:scaling>
          <c:orientation val="minMax"/>
          <c:max val="1.03"/>
          <c:min val="0.96000000000000063"/>
        </c:scaling>
        <c:axPos val="b"/>
        <c:numFmt formatCode="General" sourceLinked="1"/>
        <c:majorTickMark val="none"/>
        <c:tickLblPos val="none"/>
        <c:spPr>
          <a:ln w="9525">
            <a:noFill/>
          </a:ln>
        </c:spPr>
        <c:crossAx val="159222400"/>
        <c:crosses val="autoZero"/>
        <c:crossBetween val="midCat"/>
      </c:valAx>
      <c:valAx>
        <c:axId val="159222400"/>
        <c:scaling>
          <c:orientation val="minMax"/>
          <c:max val="1.6"/>
          <c:min val="0.8"/>
        </c:scaling>
        <c:axPos val="l"/>
        <c:numFmt formatCode="General" sourceLinked="1"/>
        <c:majorTickMark val="none"/>
        <c:tickLblPos val="none"/>
        <c:spPr>
          <a:ln w="9525">
            <a:noFill/>
          </a:ln>
        </c:spPr>
        <c:crossAx val="159220480"/>
        <c:crosses val="autoZero"/>
        <c:crossBetween val="midCat"/>
      </c:valAx>
      <c:spPr>
        <a:noFill/>
        <a:ln w="25400">
          <a:noFill/>
        </a:ln>
      </c:spPr>
    </c:plotArea>
    <c:plotVisOnly val="1"/>
    <c:dispBlanksAs val="gap"/>
  </c:chart>
  <c:spPr>
    <a:solidFill>
      <a:srgbClr val="FF99CC">
        <a:alpha val="0"/>
      </a:srgbClr>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0.13461538461538475"/>
          <c:y val="2.9752066115702473E-2"/>
          <c:w val="0.85576923076923073"/>
          <c:h val="0.94214876033057915"/>
        </c:manualLayout>
      </c:layout>
      <c:scatterChart>
        <c:scatterStyle val="lineMarker"/>
        <c:ser>
          <c:idx val="0"/>
          <c:order val="0"/>
          <c:spPr>
            <a:ln w="28575">
              <a:noFill/>
            </a:ln>
          </c:spPr>
          <c:marker>
            <c:symbol val="circle"/>
            <c:size val="9"/>
            <c:spPr>
              <a:solidFill>
                <a:srgbClr val="000000"/>
              </a:solidFill>
              <a:ln>
                <a:solidFill>
                  <a:srgbClr val="000000"/>
                </a:solidFill>
                <a:prstDash val="solid"/>
              </a:ln>
            </c:spPr>
          </c:marker>
          <c:dLbls>
            <c:dLbl>
              <c:idx val="0"/>
              <c:tx>
                <c:rich>
                  <a:bodyPr/>
                  <a:lstStyle/>
                  <a:p>
                    <a:pPr>
                      <a:defRPr sz="1400" b="0" i="1" u="none" strike="noStrike" baseline="0">
                        <a:solidFill>
                          <a:srgbClr val="000000"/>
                        </a:solidFill>
                        <a:latin typeface="Arial"/>
                        <a:ea typeface="Arial"/>
                        <a:cs typeface="Arial"/>
                      </a:defRPr>
                    </a:pPr>
                    <a:r>
                      <a:rPr lang="en-AU"/>
                      <a:t>r</a:t>
                    </a:r>
                  </a:p>
                </c:rich>
              </c:tx>
              <c:spPr>
                <a:noFill/>
                <a:ln w="25400">
                  <a:noFill/>
                </a:ln>
              </c:spPr>
              <c:dLblPos val="l"/>
            </c:dLbl>
            <c:dLbl>
              <c:idx val="1"/>
              <c:tx>
                <c:rich>
                  <a:bodyPr/>
                  <a:lstStyle/>
                  <a:p>
                    <a:pPr>
                      <a:defRPr sz="1100" b="0" i="0" u="none" strike="noStrike" baseline="0">
                        <a:solidFill>
                          <a:srgbClr val="000000"/>
                        </a:solidFill>
                        <a:latin typeface="Arial"/>
                        <a:ea typeface="Arial"/>
                        <a:cs typeface="Arial"/>
                      </a:defRPr>
                    </a:pPr>
                    <a:r>
                      <a:rPr lang="en-AU" sz="1200" b="0" i="1" u="none" strike="noStrike" baseline="0">
                        <a:solidFill>
                          <a:srgbClr val="000000"/>
                        </a:solidFill>
                        <a:latin typeface="Arial"/>
                        <a:cs typeface="Arial"/>
                      </a:rPr>
                      <a:t>r</a:t>
                    </a:r>
                    <a:r>
                      <a:rPr lang="en-AU" sz="1200" b="0" i="0" u="none" strike="noStrike" baseline="-25000">
                        <a:solidFill>
                          <a:srgbClr val="000000"/>
                        </a:solidFill>
                        <a:latin typeface="Arial"/>
                        <a:cs typeface="Arial"/>
                      </a:rPr>
                      <a:t>2</a:t>
                    </a:r>
                  </a:p>
                </c:rich>
              </c:tx>
              <c:spPr>
                <a:noFill/>
                <a:ln w="25400">
                  <a:noFill/>
                </a:ln>
              </c:spPr>
              <c:dLblPos val="l"/>
            </c:dLbl>
            <c:spPr>
              <a:noFill/>
              <a:ln w="25400">
                <a:noFill/>
              </a:ln>
            </c:spPr>
            <c:txPr>
              <a:bodyPr/>
              <a:lstStyle/>
              <a:p>
                <a:pPr>
                  <a:defRPr sz="1400" b="0" i="0" u="none" strike="noStrike" baseline="0">
                    <a:solidFill>
                      <a:srgbClr val="000000"/>
                    </a:solidFill>
                    <a:latin typeface="Arial"/>
                    <a:ea typeface="Arial"/>
                    <a:cs typeface="Arial"/>
                  </a:defRPr>
                </a:pPr>
                <a:endParaRPr lang="en-US"/>
              </a:p>
            </c:txPr>
            <c:dLblPos val="l"/>
            <c:showCatName val="1"/>
          </c:dLbls>
          <c:errBars>
            <c:errDir val="y"/>
            <c:errBarType val="both"/>
            <c:errValType val="cust"/>
            <c:noEndCap val="1"/>
            <c:plus>
              <c:numRef>
                <c:f>'One correlation'!$I$15</c:f>
                <c:numCache>
                  <c:formatCode>General</c:formatCode>
                  <c:ptCount val="1"/>
                  <c:pt idx="0">
                    <c:v>0.26450844608401458</c:v>
                  </c:pt>
                </c:numCache>
              </c:numRef>
            </c:plus>
            <c:minus>
              <c:numRef>
                <c:f>'One correlation'!$G$15</c:f>
                <c:numCache>
                  <c:formatCode>General</c:formatCode>
                  <c:ptCount val="1"/>
                  <c:pt idx="0">
                    <c:v>0.35357970051186721</c:v>
                  </c:pt>
                </c:numCache>
              </c:numRef>
            </c:minus>
            <c:spPr>
              <a:ln w="25400">
                <a:solidFill>
                  <a:srgbClr val="000000"/>
                </a:solidFill>
                <a:prstDash val="solid"/>
              </a:ln>
            </c:spPr>
          </c:errBars>
          <c:xVal>
            <c:numRef>
              <c:f>'One correlation'!$AX$1</c:f>
              <c:numCache>
                <c:formatCode>General</c:formatCode>
                <c:ptCount val="1"/>
                <c:pt idx="0">
                  <c:v>1</c:v>
                </c:pt>
              </c:numCache>
            </c:numRef>
          </c:xVal>
          <c:yVal>
            <c:numRef>
              <c:f>'One correlation'!$AY$1</c:f>
              <c:numCache>
                <c:formatCode>General</c:formatCode>
                <c:ptCount val="1"/>
                <c:pt idx="0">
                  <c:v>0.4</c:v>
                </c:pt>
              </c:numCache>
            </c:numRef>
          </c:yVal>
        </c:ser>
        <c:ser>
          <c:idx val="6"/>
          <c:order val="1"/>
          <c:spPr>
            <a:ln w="12700">
              <a:solidFill>
                <a:srgbClr val="008080"/>
              </a:solidFill>
              <a:prstDash val="solid"/>
            </a:ln>
          </c:spPr>
          <c:marker>
            <c:symbol val="none"/>
          </c:marker>
          <c:errBars>
            <c:errDir val="x"/>
            <c:errBarType val="plus"/>
            <c:errValType val="cust"/>
            <c:noEndCap val="1"/>
            <c:plus>
              <c:numLit>
                <c:formatCode>General</c:formatCode>
                <c:ptCount val="1"/>
                <c:pt idx="0">
                  <c:v>1.8</c:v>
                </c:pt>
              </c:numLit>
            </c:plus>
            <c:spPr>
              <a:ln w="12700">
                <a:solidFill>
                  <a:srgbClr val="000000"/>
                </a:solidFill>
                <a:prstDash val="solid"/>
              </a:ln>
            </c:spPr>
          </c:errBars>
          <c:xVal>
            <c:numRef>
              <c:f>'One correlation'!$BE$12</c:f>
              <c:numCache>
                <c:formatCode>General</c:formatCode>
                <c:ptCount val="1"/>
                <c:pt idx="0">
                  <c:v>0</c:v>
                </c:pt>
              </c:numCache>
            </c:numRef>
          </c:xVal>
          <c:yVal>
            <c:numRef>
              <c:f>'One correlation'!$BF$12</c:f>
              <c:numCache>
                <c:formatCode>General</c:formatCode>
                <c:ptCount val="1"/>
                <c:pt idx="0">
                  <c:v>0</c:v>
                </c:pt>
              </c:numCache>
            </c:numRef>
          </c:yVal>
        </c:ser>
        <c:ser>
          <c:idx val="3"/>
          <c:order val="2"/>
          <c:spPr>
            <a:ln w="28575">
              <a:noFill/>
            </a:ln>
          </c:spPr>
          <c:marker>
            <c:symbol val="none"/>
          </c:marker>
          <c:errBars>
            <c:errDir val="x"/>
            <c:errBarType val="plus"/>
            <c:errValType val="cust"/>
            <c:noEndCap val="1"/>
            <c:plus>
              <c:numLit>
                <c:formatCode>General</c:formatCode>
                <c:ptCount val="1"/>
                <c:pt idx="0">
                  <c:v>9</c:v>
                </c:pt>
              </c:numLit>
            </c:plus>
            <c:spPr>
              <a:ln w="3175">
                <a:pattFill prst="pct50">
                  <a:fgClr>
                    <a:srgbClr val="FF6600"/>
                  </a:fgClr>
                  <a:bgClr>
                    <a:srgbClr val="FFFFFF"/>
                  </a:bgClr>
                </a:pattFill>
                <a:prstDash val="solid"/>
              </a:ln>
            </c:spPr>
          </c:errBars>
          <c:xVal>
            <c:numRef>
              <c:f>'One correlation'!$O$16</c:f>
              <c:numCache>
                <c:formatCode>General</c:formatCode>
                <c:ptCount val="1"/>
              </c:numCache>
            </c:numRef>
          </c:xVal>
          <c:yVal>
            <c:numRef>
              <c:f>'One correlation'!$P$16</c:f>
              <c:numCache>
                <c:formatCode>General</c:formatCode>
                <c:ptCount val="1"/>
              </c:numCache>
            </c:numRef>
          </c:yVal>
        </c:ser>
        <c:ser>
          <c:idx val="4"/>
          <c:order val="3"/>
          <c:spPr>
            <a:ln w="28575">
              <a:noFill/>
            </a:ln>
          </c:spPr>
          <c:marker>
            <c:symbol val="none"/>
          </c:marker>
          <c:errBars>
            <c:errDir val="x"/>
            <c:errBarType val="plus"/>
            <c:errValType val="cust"/>
            <c:noEndCap val="1"/>
            <c:plus>
              <c:numLit>
                <c:formatCode>General</c:formatCode>
                <c:ptCount val="1"/>
                <c:pt idx="0">
                  <c:v>9</c:v>
                </c:pt>
              </c:numLit>
            </c:plus>
            <c:spPr>
              <a:ln w="3175">
                <a:pattFill prst="pct50">
                  <a:fgClr>
                    <a:srgbClr val="FF6600"/>
                  </a:fgClr>
                  <a:bgClr>
                    <a:srgbClr val="FFFFFF"/>
                  </a:bgClr>
                </a:pattFill>
                <a:prstDash val="solid"/>
              </a:ln>
            </c:spPr>
          </c:errBars>
          <c:xVal>
            <c:numRef>
              <c:f>'One correlation'!$O$17:$O$18</c:f>
              <c:numCache>
                <c:formatCode>General</c:formatCode>
                <c:ptCount val="2"/>
              </c:numCache>
            </c:numRef>
          </c:xVal>
          <c:yVal>
            <c:numRef>
              <c:f>'One correlation'!$P$17:$P$18</c:f>
              <c:numCache>
                <c:formatCode>General</c:formatCode>
                <c:ptCount val="2"/>
              </c:numCache>
            </c:numRef>
          </c:yVal>
        </c:ser>
        <c:ser>
          <c:idx val="1"/>
          <c:order val="4"/>
          <c:spPr>
            <a:ln w="12700">
              <a:solidFill>
                <a:srgbClr val="000000"/>
              </a:solidFill>
              <a:prstDash val="solid"/>
            </a:ln>
          </c:spPr>
          <c:marker>
            <c:symbol val="none"/>
          </c:marker>
          <c:xVal>
            <c:numRef>
              <c:f>'One correlation'!$AY$7:$AY$1007</c:f>
              <c:numCache>
                <c:formatCode>General</c:formatCode>
                <c:ptCount val="10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numCache>
            </c:numRef>
          </c:xVal>
          <c:yVal>
            <c:numRef>
              <c:f>'One correlation'!$BA$7:$BA$1007</c:f>
              <c:numCache>
                <c:formatCode>General</c:formatCode>
                <c:ptCount val="1001"/>
                <c:pt idx="0">
                  <c:v>-0.99505475368673058</c:v>
                </c:pt>
                <c:pt idx="1">
                  <c:v>-0.99499520263903007</c:v>
                </c:pt>
                <c:pt idx="2">
                  <c:v>-0.9949349362935247</c:v>
                </c:pt>
                <c:pt idx="3">
                  <c:v>-0.99487394610251867</c:v>
                </c:pt>
                <c:pt idx="4">
                  <c:v>-0.99481222341724207</c:v>
                </c:pt>
                <c:pt idx="5">
                  <c:v>-0.99474975948667965</c:v>
                </c:pt>
                <c:pt idx="6">
                  <c:v>-0.99468654545639046</c:v>
                </c:pt>
                <c:pt idx="7">
                  <c:v>-0.99462257236731155</c:v>
                </c:pt>
                <c:pt idx="8">
                  <c:v>-0.99455783115455032</c:v>
                </c:pt>
                <c:pt idx="9">
                  <c:v>-0.99449231264616178</c:v>
                </c:pt>
                <c:pt idx="10">
                  <c:v>-0.99442600756191557</c:v>
                </c:pt>
                <c:pt idx="11">
                  <c:v>-0.9943589065120445</c:v>
                </c:pt>
                <c:pt idx="12">
                  <c:v>-0.99429099999598547</c:v>
                </c:pt>
                <c:pt idx="13">
                  <c:v>-0.994222278401101</c:v>
                </c:pt>
                <c:pt idx="14">
                  <c:v>-0.99415273200139032</c:v>
                </c:pt>
                <c:pt idx="15">
                  <c:v>-0.99408235095618569</c:v>
                </c:pt>
                <c:pt idx="16">
                  <c:v>-0.99401112530883295</c:v>
                </c:pt>
                <c:pt idx="17">
                  <c:v>-0.99393904498536056</c:v>
                </c:pt>
                <c:pt idx="18">
                  <c:v>-0.9938660997931309</c:v>
                </c:pt>
                <c:pt idx="19">
                  <c:v>-0.99379227941948034</c:v>
                </c:pt>
                <c:pt idx="20">
                  <c:v>-0.99371757343034128</c:v>
                </c:pt>
                <c:pt idx="21">
                  <c:v>-0.99364197126885201</c:v>
                </c:pt>
                <c:pt idx="22">
                  <c:v>-0.99356546225394982</c:v>
                </c:pt>
                <c:pt idx="23">
                  <c:v>-0.99348803557895038</c:v>
                </c:pt>
                <c:pt idx="24">
                  <c:v>-0.99340968031010968</c:v>
                </c:pt>
                <c:pt idx="25">
                  <c:v>-0.99333038538517338</c:v>
                </c:pt>
                <c:pt idx="26">
                  <c:v>-0.99325013961190778</c:v>
                </c:pt>
                <c:pt idx="27">
                  <c:v>-0.99316893166661724</c:v>
                </c:pt>
                <c:pt idx="28">
                  <c:v>-0.99308675009264447</c:v>
                </c:pt>
                <c:pt idx="29">
                  <c:v>-0.9930035832988553</c:v>
                </c:pt>
                <c:pt idx="30">
                  <c:v>-0.99291941955810703</c:v>
                </c:pt>
                <c:pt idx="31">
                  <c:v>-0.99283424700570111</c:v>
                </c:pt>
                <c:pt idx="32">
                  <c:v>-0.99274805363781848</c:v>
                </c:pt>
                <c:pt idx="33">
                  <c:v>-0.99266082730993843</c:v>
                </c:pt>
                <c:pt idx="34">
                  <c:v>-0.99257255573524261</c:v>
                </c:pt>
                <c:pt idx="35">
                  <c:v>-0.99248322648299858</c:v>
                </c:pt>
                <c:pt idx="36">
                  <c:v>-0.99239282697692976</c:v>
                </c:pt>
                <c:pt idx="37">
                  <c:v>-0.99230134449356688</c:v>
                </c:pt>
                <c:pt idx="38">
                  <c:v>-0.99220876616058085</c:v>
                </c:pt>
                <c:pt idx="39">
                  <c:v>-0.99211507895510076</c:v>
                </c:pt>
                <c:pt idx="40">
                  <c:v>-0.99202026970201196</c:v>
                </c:pt>
                <c:pt idx="41">
                  <c:v>-0.99192432507223749</c:v>
                </c:pt>
                <c:pt idx="42">
                  <c:v>-0.99182723158100217</c:v>
                </c:pt>
                <c:pt idx="43">
                  <c:v>-0.99172897558607642</c:v>
                </c:pt>
                <c:pt idx="44">
                  <c:v>-0.99162954328600472</c:v>
                </c:pt>
                <c:pt idx="45">
                  <c:v>-0.99152892071831322</c:v>
                </c:pt>
                <c:pt idx="46">
                  <c:v>-0.99142709375770077</c:v>
                </c:pt>
                <c:pt idx="47">
                  <c:v>-0.99132404811420949</c:v>
                </c:pt>
                <c:pt idx="48">
                  <c:v>-0.99121976933137823</c:v>
                </c:pt>
                <c:pt idx="49">
                  <c:v>-0.99111424278437654</c:v>
                </c:pt>
                <c:pt idx="50">
                  <c:v>-0.99100745367811782</c:v>
                </c:pt>
                <c:pt idx="51">
                  <c:v>-0.99089938704535652</c:v>
                </c:pt>
                <c:pt idx="52">
                  <c:v>-0.99079002774476255</c:v>
                </c:pt>
                <c:pt idx="53">
                  <c:v>-0.99067936045897875</c:v>
                </c:pt>
                <c:pt idx="54">
                  <c:v>-0.99056736969265657</c:v>
                </c:pt>
                <c:pt idx="55">
                  <c:v>-0.99045403977047375</c:v>
                </c:pt>
                <c:pt idx="56">
                  <c:v>-0.99033935483513047</c:v>
                </c:pt>
                <c:pt idx="57">
                  <c:v>-0.99022329884532623</c:v>
                </c:pt>
                <c:pt idx="58">
                  <c:v>-0.99010585557371578</c:v>
                </c:pt>
                <c:pt idx="59">
                  <c:v>-0.98998700860484545</c:v>
                </c:pt>
                <c:pt idx="60">
                  <c:v>-0.98986674133306762</c:v>
                </c:pt>
                <c:pt idx="61">
                  <c:v>-0.98974503696043636</c:v>
                </c:pt>
                <c:pt idx="62">
                  <c:v>-0.98962187849457928</c:v>
                </c:pt>
                <c:pt idx="63">
                  <c:v>-0.98949724874655121</c:v>
                </c:pt>
                <c:pt idx="64">
                  <c:v>-0.98937113032866553</c:v>
                </c:pt>
                <c:pt idx="65">
                  <c:v>-0.98924350565230312</c:v>
                </c:pt>
                <c:pt idx="66">
                  <c:v>-0.98911435692570138</c:v>
                </c:pt>
                <c:pt idx="67">
                  <c:v>-0.98898366615172084</c:v>
                </c:pt>
                <c:pt idx="68">
                  <c:v>-0.98885141512559072</c:v>
                </c:pt>
                <c:pt idx="69">
                  <c:v>-0.98871758543263089</c:v>
                </c:pt>
                <c:pt idx="70">
                  <c:v>-0.98858215844595354</c:v>
                </c:pt>
                <c:pt idx="71">
                  <c:v>-0.98844511532414225</c:v>
                </c:pt>
                <c:pt idx="72">
                  <c:v>-0.98830643700890708</c:v>
                </c:pt>
                <c:pt idx="73">
                  <c:v>-0.98816610422272055</c:v>
                </c:pt>
                <c:pt idx="74">
                  <c:v>-0.98802409746642683</c:v>
                </c:pt>
                <c:pt idx="75">
                  <c:v>-0.98788039701683217</c:v>
                </c:pt>
                <c:pt idx="76">
                  <c:v>-0.98773498292426898</c:v>
                </c:pt>
                <c:pt idx="77">
                  <c:v>-0.98758783501013947</c:v>
                </c:pt>
                <c:pt idx="78">
                  <c:v>-0.98743893286443474</c:v>
                </c:pt>
                <c:pt idx="79">
                  <c:v>-0.98728825584323121</c:v>
                </c:pt>
                <c:pt idx="80">
                  <c:v>-0.98713578306616312</c:v>
                </c:pt>
                <c:pt idx="81">
                  <c:v>-0.98698149341387198</c:v>
                </c:pt>
                <c:pt idx="82">
                  <c:v>-0.9868253655254321</c:v>
                </c:pt>
                <c:pt idx="83">
                  <c:v>-0.9866673777957522</c:v>
                </c:pt>
                <c:pt idx="84">
                  <c:v>-0.98650750837295376</c:v>
                </c:pt>
                <c:pt idx="85">
                  <c:v>-0.98634573515572421</c:v>
                </c:pt>
                <c:pt idx="86">
                  <c:v>-0.98618203579064756</c:v>
                </c:pt>
                <c:pt idx="87">
                  <c:v>-0.9860163876695095</c:v>
                </c:pt>
                <c:pt idx="88">
                  <c:v>-0.98584876792657794</c:v>
                </c:pt>
                <c:pt idx="89">
                  <c:v>-0.98567915343586088</c:v>
                </c:pt>
                <c:pt idx="90">
                  <c:v>-0.9855075208083377</c:v>
                </c:pt>
                <c:pt idx="91">
                  <c:v>-0.98533384638916688</c:v>
                </c:pt>
                <c:pt idx="92">
                  <c:v>-0.98515810625486899</c:v>
                </c:pt>
                <c:pt idx="93">
                  <c:v>-0.9849802762104839</c:v>
                </c:pt>
                <c:pt idx="94">
                  <c:v>-0.98480033178670445</c:v>
                </c:pt>
                <c:pt idx="95">
                  <c:v>-0.98461824823698385</c:v>
                </c:pt>
                <c:pt idx="96">
                  <c:v>-0.98443400053461905</c:v>
                </c:pt>
                <c:pt idx="97">
                  <c:v>-0.98424756336980723</c:v>
                </c:pt>
                <c:pt idx="98">
                  <c:v>-0.98405891114667909</c:v>
                </c:pt>
                <c:pt idx="99">
                  <c:v>-0.98386801798030621</c:v>
                </c:pt>
                <c:pt idx="100">
                  <c:v>-0.98367485769368102</c:v>
                </c:pt>
                <c:pt idx="101">
                  <c:v>-0.98347940381467414</c:v>
                </c:pt>
                <c:pt idx="102">
                  <c:v>-0.9832816295729655</c:v>
                </c:pt>
                <c:pt idx="103">
                  <c:v>-0.98308150789694759</c:v>
                </c:pt>
                <c:pt idx="104">
                  <c:v>-0.9828790114106063</c:v>
                </c:pt>
                <c:pt idx="105">
                  <c:v>-0.9826741124303745</c:v>
                </c:pt>
                <c:pt idx="106">
                  <c:v>-0.98246678296195888</c:v>
                </c:pt>
                <c:pt idx="107">
                  <c:v>-0.98225699469714389</c:v>
                </c:pt>
                <c:pt idx="108">
                  <c:v>-0.98204471901056734</c:v>
                </c:pt>
                <c:pt idx="109">
                  <c:v>-0.98182992695647064</c:v>
                </c:pt>
                <c:pt idx="110">
                  <c:v>-0.98161258926542472</c:v>
                </c:pt>
                <c:pt idx="111">
                  <c:v>-0.98139267634102889</c:v>
                </c:pt>
                <c:pt idx="112">
                  <c:v>-0.98117015825658371</c:v>
                </c:pt>
                <c:pt idx="113">
                  <c:v>-0.98094500475173907</c:v>
                </c:pt>
                <c:pt idx="114">
                  <c:v>-0.98071718522911489</c:v>
                </c:pt>
                <c:pt idx="115">
                  <c:v>-0.98048666875089829</c:v>
                </c:pt>
                <c:pt idx="116">
                  <c:v>-0.98025342403541293</c:v>
                </c:pt>
                <c:pt idx="117">
                  <c:v>-0.98001741945366394</c:v>
                </c:pt>
                <c:pt idx="118">
                  <c:v>-0.97977862302585617</c:v>
                </c:pt>
                <c:pt idx="119">
                  <c:v>-0.97953700241788777</c:v>
                </c:pt>
                <c:pt idx="120">
                  <c:v>-0.97929252493781749</c:v>
                </c:pt>
                <c:pt idx="121">
                  <c:v>-0.97904515753230714</c:v>
                </c:pt>
                <c:pt idx="122">
                  <c:v>-0.97879486678303729</c:v>
                </c:pt>
                <c:pt idx="123">
                  <c:v>-0.97854161890310021</c:v>
                </c:pt>
                <c:pt idx="124">
                  <c:v>-0.97828537973336394</c:v>
                </c:pt>
                <c:pt idx="125">
                  <c:v>-0.97802611473881496</c:v>
                </c:pt>
                <c:pt idx="126">
                  <c:v>-0.9777637890048726</c:v>
                </c:pt>
                <c:pt idx="127">
                  <c:v>-0.977498367233681</c:v>
                </c:pt>
                <c:pt idx="128">
                  <c:v>-0.97722981374037499</c:v>
                </c:pt>
                <c:pt idx="129">
                  <c:v>-0.97695809244932119</c:v>
                </c:pt>
                <c:pt idx="130">
                  <c:v>-0.97668316689033519</c:v>
                </c:pt>
                <c:pt idx="131">
                  <c:v>-0.97640500019487464</c:v>
                </c:pt>
                <c:pt idx="132">
                  <c:v>-0.97612355509220805</c:v>
                </c:pt>
                <c:pt idx="133">
                  <c:v>-0.97583879390555817</c:v>
                </c:pt>
                <c:pt idx="134">
                  <c:v>-0.97555067854822342</c:v>
                </c:pt>
                <c:pt idx="135">
                  <c:v>-0.97525917051967659</c:v>
                </c:pt>
                <c:pt idx="136">
                  <c:v>-0.97496423090163642</c:v>
                </c:pt>
                <c:pt idx="137">
                  <c:v>-0.97466582035412053</c:v>
                </c:pt>
                <c:pt idx="138">
                  <c:v>-0.97436389911147225</c:v>
                </c:pt>
                <c:pt idx="139">
                  <c:v>-0.97405842697836731</c:v>
                </c:pt>
                <c:pt idx="140">
                  <c:v>-0.97374936332579598</c:v>
                </c:pt>
                <c:pt idx="141">
                  <c:v>-0.9734366670870257</c:v>
                </c:pt>
                <c:pt idx="142">
                  <c:v>-0.9731202967535395</c:v>
                </c:pt>
                <c:pt idx="143">
                  <c:v>-0.97280021037095554</c:v>
                </c:pt>
                <c:pt idx="144">
                  <c:v>-0.97247636553492312</c:v>
                </c:pt>
                <c:pt idx="145">
                  <c:v>-0.97214871938700087</c:v>
                </c:pt>
                <c:pt idx="146">
                  <c:v>-0.97181722861051234</c:v>
                </c:pt>
                <c:pt idx="147">
                  <c:v>-0.9714818494263826</c:v>
                </c:pt>
                <c:pt idx="148">
                  <c:v>-0.97114253758895619</c:v>
                </c:pt>
                <c:pt idx="149">
                  <c:v>-0.97079924838179465</c:v>
                </c:pt>
                <c:pt idx="150">
                  <c:v>-0.97045193661345575</c:v>
                </c:pt>
                <c:pt idx="151">
                  <c:v>-0.97010055661325634</c:v>
                </c:pt>
                <c:pt idx="152">
                  <c:v>-0.96974506222701506</c:v>
                </c:pt>
                <c:pt idx="153">
                  <c:v>-0.96938540681277963</c:v>
                </c:pt>
                <c:pt idx="154">
                  <c:v>-0.96902154323653611</c:v>
                </c:pt>
                <c:pt idx="155">
                  <c:v>-0.96865342386790487</c:v>
                </c:pt>
                <c:pt idx="156">
                  <c:v>-0.96828100057581779</c:v>
                </c:pt>
                <c:pt idx="157">
                  <c:v>-0.96790422472418214</c:v>
                </c:pt>
                <c:pt idx="158">
                  <c:v>-0.96752304716753068</c:v>
                </c:pt>
                <c:pt idx="159">
                  <c:v>-0.967137418246657</c:v>
                </c:pt>
                <c:pt idx="160">
                  <c:v>-0.96674728778423902</c:v>
                </c:pt>
                <c:pt idx="161">
                  <c:v>-0.96635260508044851</c:v>
                </c:pt>
                <c:pt idx="162">
                  <c:v>-0.96595331890855152</c:v>
                </c:pt>
                <c:pt idx="163">
                  <c:v>-0.96554937751049474</c:v>
                </c:pt>
                <c:pt idx="164">
                  <c:v>-0.96514072859248501</c:v>
                </c:pt>
                <c:pt idx="165">
                  <c:v>-0.96472731932055711</c:v>
                </c:pt>
                <c:pt idx="166">
                  <c:v>-0.96430909631613415</c:v>
                </c:pt>
                <c:pt idx="167">
                  <c:v>-0.96388600565157967</c:v>
                </c:pt>
                <c:pt idx="168">
                  <c:v>-0.96345799284574418</c:v>
                </c:pt>
                <c:pt idx="169">
                  <c:v>-0.96302500285950321</c:v>
                </c:pt>
                <c:pt idx="170">
                  <c:v>-0.96258698009129351</c:v>
                </c:pt>
                <c:pt idx="171">
                  <c:v>-0.96214386837264232</c:v>
                </c:pt>
                <c:pt idx="172">
                  <c:v>-0.96169561096369593</c:v>
                </c:pt>
                <c:pt idx="173">
                  <c:v>-0.96124215054874407</c:v>
                </c:pt>
                <c:pt idx="174">
                  <c:v>-0.96078342923174465</c:v>
                </c:pt>
                <c:pt idx="175">
                  <c:v>-0.96031938853184773</c:v>
                </c:pt>
                <c:pt idx="176">
                  <c:v>-0.95984996937892175</c:v>
                </c:pt>
                <c:pt idx="177">
                  <c:v>-0.95937511210908022</c:v>
                </c:pt>
                <c:pt idx="178">
                  <c:v>-0.95889475646021294</c:v>
                </c:pt>
                <c:pt idx="179">
                  <c:v>-0.95840884156752293</c:v>
                </c:pt>
                <c:pt idx="180">
                  <c:v>-0.95791730595906643</c:v>
                </c:pt>
                <c:pt idx="181">
                  <c:v>-0.95742008755130248</c:v>
                </c:pt>
                <c:pt idx="182">
                  <c:v>-0.95691712364464987</c:v>
                </c:pt>
                <c:pt idx="183">
                  <c:v>-0.95640835091905518</c:v>
                </c:pt>
                <c:pt idx="184">
                  <c:v>-0.95589370542956897</c:v>
                </c:pt>
                <c:pt idx="185">
                  <c:v>-0.95537312260193874</c:v>
                </c:pt>
                <c:pt idx="186">
                  <c:v>-0.95484653722821222</c:v>
                </c:pt>
                <c:pt idx="187">
                  <c:v>-0.95431388346235912</c:v>
                </c:pt>
                <c:pt idx="188">
                  <c:v>-0.95377509481590805</c:v>
                </c:pt>
                <c:pt idx="189">
                  <c:v>-0.9532301041536031</c:v>
                </c:pt>
                <c:pt idx="190">
                  <c:v>-0.95267884368908096</c:v>
                </c:pt>
                <c:pt idx="191">
                  <c:v>-0.9521212449805686</c:v>
                </c:pt>
                <c:pt idx="192">
                  <c:v>-0.9515572389266076</c:v>
                </c:pt>
                <c:pt idx="193">
                  <c:v>-0.95098675576180003</c:v>
                </c:pt>
                <c:pt idx="194">
                  <c:v>-0.95040972505258525</c:v>
                </c:pt>
                <c:pt idx="195">
                  <c:v>-0.94982607569304378</c:v>
                </c:pt>
                <c:pt idx="196">
                  <c:v>-0.94923573590073351</c:v>
                </c:pt>
                <c:pt idx="197">
                  <c:v>-0.94863863321255704</c:v>
                </c:pt>
                <c:pt idx="198">
                  <c:v>-0.94803469448066569</c:v>
                </c:pt>
                <c:pt idx="199">
                  <c:v>-0.94742384586840067</c:v>
                </c:pt>
                <c:pt idx="200">
                  <c:v>-0.94680601284627197</c:v>
                </c:pt>
                <c:pt idx="201">
                  <c:v>-0.94618112018797951</c:v>
                </c:pt>
                <c:pt idx="202">
                  <c:v>-0.94554909196647741</c:v>
                </c:pt>
                <c:pt idx="203">
                  <c:v>-0.94490985155008411</c:v>
                </c:pt>
                <c:pt idx="204">
                  <c:v>-0.94426332159864079</c:v>
                </c:pt>
                <c:pt idx="205">
                  <c:v>-0.9436094240597187</c:v>
                </c:pt>
                <c:pt idx="206">
                  <c:v>-0.94294808016488219</c:v>
                </c:pt>
                <c:pt idx="207">
                  <c:v>-0.94227921042600249</c:v>
                </c:pt>
                <c:pt idx="208">
                  <c:v>-0.94160273463163457</c:v>
                </c:pt>
                <c:pt idx="209">
                  <c:v>-0.94091857184344918</c:v>
                </c:pt>
                <c:pt idx="210">
                  <c:v>-0.94022664039273163</c:v>
                </c:pt>
                <c:pt idx="211">
                  <c:v>-0.93952685787694401</c:v>
                </c:pt>
                <c:pt idx="212">
                  <c:v>-0.93881914115635634</c:v>
                </c:pt>
                <c:pt idx="213">
                  <c:v>-0.93810340635074985</c:v>
                </c:pt>
                <c:pt idx="214">
                  <c:v>-0.93737956883619211</c:v>
                </c:pt>
                <c:pt idx="215">
                  <c:v>-0.93664754324189159</c:v>
                </c:pt>
                <c:pt idx="216">
                  <c:v>-0.93590724344712994</c:v>
                </c:pt>
                <c:pt idx="217">
                  <c:v>-0.93515858257827944</c:v>
                </c:pt>
                <c:pt idx="218">
                  <c:v>-0.93440147300590415</c:v>
                </c:pt>
                <c:pt idx="219">
                  <c:v>-0.93363582634195219</c:v>
                </c:pt>
                <c:pt idx="220">
                  <c:v>-0.93286155343703958</c:v>
                </c:pt>
                <c:pt idx="221">
                  <c:v>-0.93207856437783099</c:v>
                </c:pt>
                <c:pt idx="222">
                  <c:v>-0.93128676848451752</c:v>
                </c:pt>
                <c:pt idx="223">
                  <c:v>-0.93048607430839969</c:v>
                </c:pt>
                <c:pt idx="224">
                  <c:v>-0.92967638962957444</c:v>
                </c:pt>
                <c:pt idx="225">
                  <c:v>-0.9288576214547325</c:v>
                </c:pt>
                <c:pt idx="226">
                  <c:v>-0.92802967601507069</c:v>
                </c:pt>
                <c:pt idx="227">
                  <c:v>-0.92719245876431755</c:v>
                </c:pt>
                <c:pt idx="228">
                  <c:v>-0.92634587437688387</c:v>
                </c:pt>
                <c:pt idx="229">
                  <c:v>-0.925489826746135</c:v>
                </c:pt>
                <c:pt idx="230">
                  <c:v>-0.92462421898279323</c:v>
                </c:pt>
                <c:pt idx="231">
                  <c:v>-0.92374895341347163</c:v>
                </c:pt>
                <c:pt idx="232">
                  <c:v>-0.92286393157934488</c:v>
                </c:pt>
                <c:pt idx="233">
                  <c:v>-0.92196905423496178</c:v>
                </c:pt>
                <c:pt idx="234">
                  <c:v>-0.92106422134720112</c:v>
                </c:pt>
                <c:pt idx="235">
                  <c:v>-0.92014933209437788</c:v>
                </c:pt>
                <c:pt idx="236">
                  <c:v>-0.91922428486550156</c:v>
                </c:pt>
                <c:pt idx="237">
                  <c:v>-0.91828897725969438</c:v>
                </c:pt>
                <c:pt idx="238">
                  <c:v>-0.91734330608577042</c:v>
                </c:pt>
                <c:pt idx="239">
                  <c:v>-0.91638716736198189</c:v>
                </c:pt>
                <c:pt idx="240">
                  <c:v>-0.91542045631593816</c:v>
                </c:pt>
                <c:pt idx="241">
                  <c:v>-0.91444306738469872</c:v>
                </c:pt>
                <c:pt idx="242">
                  <c:v>-0.91345489421504977</c:v>
                </c:pt>
                <c:pt idx="243">
                  <c:v>-0.91245582966396521</c:v>
                </c:pt>
                <c:pt idx="244">
                  <c:v>-0.91144576579925884</c:v>
                </c:pt>
                <c:pt idx="245">
                  <c:v>-0.91042459390043251</c:v>
                </c:pt>
                <c:pt idx="246">
                  <c:v>-0.90939220445972502</c:v>
                </c:pt>
                <c:pt idx="247">
                  <c:v>-0.90834848718336614</c:v>
                </c:pt>
                <c:pt idx="248">
                  <c:v>-0.90729333099304454</c:v>
                </c:pt>
                <c:pt idx="249">
                  <c:v>-0.90622662402758902</c:v>
                </c:pt>
                <c:pt idx="250">
                  <c:v>-0.90514825364487272</c:v>
                </c:pt>
                <c:pt idx="251">
                  <c:v>-0.90405810642394679</c:v>
                </c:pt>
                <c:pt idx="252">
                  <c:v>-0.9029560681674027</c:v>
                </c:pt>
                <c:pt idx="253">
                  <c:v>-0.90184202390397672</c:v>
                </c:pt>
                <c:pt idx="254">
                  <c:v>-0.90071585789139552</c:v>
                </c:pt>
                <c:pt idx="255">
                  <c:v>-0.89957745361947361</c:v>
                </c:pt>
                <c:pt idx="256">
                  <c:v>-0.89842669381346507</c:v>
                </c:pt>
                <c:pt idx="257">
                  <c:v>-0.89726346043767602</c:v>
                </c:pt>
                <c:pt idx="258">
                  <c:v>-0.8960876346993456</c:v>
                </c:pt>
                <c:pt idx="259">
                  <c:v>-0.8948990970527988</c:v>
                </c:pt>
                <c:pt idx="260">
                  <c:v>-0.89369772720387963</c:v>
                </c:pt>
                <c:pt idx="261">
                  <c:v>-0.89248340411466864</c:v>
                </c:pt>
                <c:pt idx="262">
                  <c:v>-0.89125600600849109</c:v>
                </c:pt>
                <c:pt idx="263">
                  <c:v>-0.89001541037522514</c:v>
                </c:pt>
                <c:pt idx="264">
                  <c:v>-0.88876149397691107</c:v>
                </c:pt>
                <c:pt idx="265">
                  <c:v>-0.88749413285367285</c:v>
                </c:pt>
                <c:pt idx="266">
                  <c:v>-0.88621320232995404</c:v>
                </c:pt>
                <c:pt idx="267">
                  <c:v>-0.88491857702107912</c:v>
                </c:pt>
                <c:pt idx="268">
                  <c:v>-0.88361013084014239</c:v>
                </c:pt>
                <c:pt idx="269">
                  <c:v>-0.88228773700523333</c:v>
                </c:pt>
                <c:pt idx="270">
                  <c:v>-0.88095126804700485</c:v>
                </c:pt>
                <c:pt idx="271">
                  <c:v>-0.87960059581658989</c:v>
                </c:pt>
                <c:pt idx="272">
                  <c:v>-0.87823559149387453</c:v>
                </c:pt>
                <c:pt idx="273">
                  <c:v>-0.87685612559613335</c:v>
                </c:pt>
                <c:pt idx="274">
                  <c:v>-0.87546206798703352</c:v>
                </c:pt>
                <c:pt idx="275">
                  <c:v>-0.87405328788601522</c:v>
                </c:pt>
                <c:pt idx="276">
                  <c:v>-0.87262965387805613</c:v>
                </c:pt>
                <c:pt idx="277">
                  <c:v>-0.87119103392382191</c:v>
                </c:pt>
                <c:pt idx="278">
                  <c:v>-0.86973729537021671</c:v>
                </c:pt>
                <c:pt idx="279">
                  <c:v>-0.86826830496133578</c:v>
                </c:pt>
                <c:pt idx="280">
                  <c:v>-0.86678392884982747</c:v>
                </c:pt>
                <c:pt idx="281">
                  <c:v>-0.86528403260867248</c:v>
                </c:pt>
                <c:pt idx="282">
                  <c:v>-0.86376848124338856</c:v>
                </c:pt>
                <c:pt idx="283">
                  <c:v>-0.86223713920466361</c:v>
                </c:pt>
                <c:pt idx="284">
                  <c:v>-0.86068987040142897</c:v>
                </c:pt>
                <c:pt idx="285">
                  <c:v>-0.85912653821437523</c:v>
                </c:pt>
                <c:pt idx="286">
                  <c:v>-0.85754700550992102</c:v>
                </c:pt>
                <c:pt idx="287">
                  <c:v>-0.85595113465464079</c:v>
                </c:pt>
                <c:pt idx="288">
                  <c:v>-0.85433878753015524</c:v>
                </c:pt>
                <c:pt idx="289">
                  <c:v>-0.85270982554849717</c:v>
                </c:pt>
                <c:pt idx="290">
                  <c:v>-0.85106410966795365</c:v>
                </c:pt>
                <c:pt idx="291">
                  <c:v>-0.8494015004093961</c:v>
                </c:pt>
                <c:pt idx="292">
                  <c:v>-0.84772185787310173</c:v>
                </c:pt>
                <c:pt idx="293">
                  <c:v>-0.84602504175607396</c:v>
                </c:pt>
                <c:pt idx="294">
                  <c:v>-0.84431091136987013</c:v>
                </c:pt>
                <c:pt idx="295">
                  <c:v>-0.84257932565893978</c:v>
                </c:pt>
                <c:pt idx="296">
                  <c:v>-0.84083014321948424</c:v>
                </c:pt>
                <c:pt idx="297">
                  <c:v>-0.83906322231883945</c:v>
                </c:pt>
                <c:pt idx="298">
                  <c:v>-0.83727842091539273</c:v>
                </c:pt>
                <c:pt idx="299">
                  <c:v>-0.83547559667903615</c:v>
                </c:pt>
                <c:pt idx="300">
                  <c:v>-0.83365460701216609</c:v>
                </c:pt>
                <c:pt idx="301">
                  <c:v>-0.83181530907123125</c:v>
                </c:pt>
                <c:pt idx="302">
                  <c:v>-0.82995755978883967</c:v>
                </c:pt>
                <c:pt idx="303">
                  <c:v>-0.82808121589642658</c:v>
                </c:pt>
                <c:pt idx="304">
                  <c:v>-0.82618613394749141</c:v>
                </c:pt>
                <c:pt idx="305">
                  <c:v>-0.82427217034140876</c:v>
                </c:pt>
                <c:pt idx="306">
                  <c:v>-0.82233918134781903</c:v>
                </c:pt>
                <c:pt idx="307">
                  <c:v>-0.82038702313160394</c:v>
                </c:pt>
                <c:pt idx="308">
                  <c:v>-0.81841555177845215</c:v>
                </c:pt>
                <c:pt idx="309">
                  <c:v>-0.81642462332102117</c:v>
                </c:pt>
                <c:pt idx="310">
                  <c:v>-0.81441409376569784</c:v>
                </c:pt>
                <c:pt idx="311">
                  <c:v>-0.81238381911996616</c:v>
                </c:pt>
                <c:pt idx="312">
                  <c:v>-0.8103336554203826</c:v>
                </c:pt>
                <c:pt idx="313">
                  <c:v>-0.80826345876116679</c:v>
                </c:pt>
                <c:pt idx="314">
                  <c:v>-0.80617308532340981</c:v>
                </c:pt>
                <c:pt idx="315">
                  <c:v>-0.80406239140490454</c:v>
                </c:pt>
                <c:pt idx="316">
                  <c:v>-0.80193123345060213</c:v>
                </c:pt>
                <c:pt idx="317">
                  <c:v>-0.79977946808369738</c:v>
                </c:pt>
                <c:pt idx="318">
                  <c:v>-0.79760695213734789</c:v>
                </c:pt>
                <c:pt idx="319">
                  <c:v>-0.79541354268702624</c:v>
                </c:pt>
                <c:pt idx="320">
                  <c:v>-0.79319909708351399</c:v>
                </c:pt>
                <c:pt idx="321">
                  <c:v>-0.79096347298653236</c:v>
                </c:pt>
                <c:pt idx="322">
                  <c:v>-0.78870652839902033</c:v>
                </c:pt>
                <c:pt idx="323">
                  <c:v>-0.78642812170205301</c:v>
                </c:pt>
                <c:pt idx="324">
                  <c:v>-0.78412811169040963</c:v>
                </c:pt>
                <c:pt idx="325">
                  <c:v>-0.78180635760878781</c:v>
                </c:pt>
                <c:pt idx="326">
                  <c:v>-0.77946271918866561</c:v>
                </c:pt>
                <c:pt idx="327">
                  <c:v>-0.77709705668581464</c:v>
                </c:pt>
                <c:pt idx="328">
                  <c:v>-0.77470923091845956</c:v>
                </c:pt>
                <c:pt idx="329">
                  <c:v>-0.77229910330608897</c:v>
                </c:pt>
                <c:pt idx="330">
                  <c:v>-0.76986653590891463</c:v>
                </c:pt>
                <c:pt idx="331">
                  <c:v>-0.76741139146797621</c:v>
                </c:pt>
                <c:pt idx="332">
                  <c:v>-0.76493353344589454</c:v>
                </c:pt>
                <c:pt idx="333">
                  <c:v>-0.76243282606826834</c:v>
                </c:pt>
                <c:pt idx="334">
                  <c:v>-0.75990913436571317</c:v>
                </c:pt>
                <c:pt idx="335">
                  <c:v>-0.75736232421654115</c:v>
                </c:pt>
                <c:pt idx="336">
                  <c:v>-0.75479226239007557</c:v>
                </c:pt>
                <c:pt idx="337">
                  <c:v>-0.75219881659059995</c:v>
                </c:pt>
                <c:pt idx="338">
                  <c:v>-0.74958185550193557</c:v>
                </c:pt>
                <c:pt idx="339">
                  <c:v>-0.74694124883264501</c:v>
                </c:pt>
                <c:pt idx="340">
                  <c:v>-0.74427686736185295</c:v>
                </c:pt>
                <c:pt idx="341">
                  <c:v>-0.74158858298568342</c:v>
                </c:pt>
                <c:pt idx="342">
                  <c:v>-0.73887626876430401</c:v>
                </c:pt>
                <c:pt idx="343">
                  <c:v>-0.73613979896957205</c:v>
                </c:pt>
                <c:pt idx="344">
                  <c:v>-0.73337904913327534</c:v>
                </c:pt>
                <c:pt idx="345">
                  <c:v>-0.73059389609596026</c:v>
                </c:pt>
                <c:pt idx="346">
                  <c:v>-0.72778421805633731</c:v>
                </c:pt>
                <c:pt idx="347">
                  <c:v>-0.72494989462125847</c:v>
                </c:pt>
                <c:pt idx="348">
                  <c:v>-0.72209080685625393</c:v>
                </c:pt>
                <c:pt idx="349">
                  <c:v>-0.71920683733661872</c:v>
                </c:pt>
                <c:pt idx="350">
                  <c:v>-0.71629787019904156</c:v>
                </c:pt>
                <c:pt idx="351">
                  <c:v>-0.71336379119376025</c:v>
                </c:pt>
                <c:pt idx="352">
                  <c:v>-0.71040448773723619</c:v>
                </c:pt>
                <c:pt idx="353">
                  <c:v>-0.70741984896533172</c:v>
                </c:pt>
                <c:pt idx="354">
                  <c:v>-0.70440976578697967</c:v>
                </c:pt>
                <c:pt idx="355">
                  <c:v>-0.70137413093833023</c:v>
                </c:pt>
                <c:pt idx="356">
                  <c:v>-0.69831283903736241</c:v>
                </c:pt>
                <c:pt idx="357">
                  <c:v>-0.69522578663894119</c:v>
                </c:pt>
                <c:pt idx="358">
                  <c:v>-0.6921128722903096</c:v>
                </c:pt>
                <c:pt idx="359">
                  <c:v>-0.68897399658699454</c:v>
                </c:pt>
                <c:pt idx="360">
                  <c:v>-0.68580906222911298</c:v>
                </c:pt>
                <c:pt idx="361">
                  <c:v>-0.68261797407805824</c:v>
                </c:pt>
                <c:pt idx="362">
                  <c:v>-0.67940063921354765</c:v>
                </c:pt>
                <c:pt idx="363">
                  <c:v>-0.67615696699101535</c:v>
                </c:pt>
                <c:pt idx="364">
                  <c:v>-0.67288686909932549</c:v>
                </c:pt>
                <c:pt idx="365">
                  <c:v>-0.66959025961878993</c:v>
                </c:pt>
                <c:pt idx="366">
                  <c:v>-0.66626705507946538</c:v>
                </c:pt>
                <c:pt idx="367">
                  <c:v>-0.66291717451970877</c:v>
                </c:pt>
                <c:pt idx="368">
                  <c:v>-0.65954053954496938</c:v>
                </c:pt>
                <c:pt idx="369">
                  <c:v>-0.65613707438679236</c:v>
                </c:pt>
                <c:pt idx="370">
                  <c:v>-0.65270670596200997</c:v>
                </c:pt>
                <c:pt idx="371">
                  <c:v>-0.64924936393209509</c:v>
                </c:pt>
                <c:pt idx="372">
                  <c:v>-0.64576498076265143</c:v>
                </c:pt>
                <c:pt idx="373">
                  <c:v>-0.64225349178301394</c:v>
                </c:pt>
                <c:pt idx="374">
                  <c:v>-0.63871483524593242</c:v>
                </c:pt>
                <c:pt idx="375">
                  <c:v>-0.63514895238730806</c:v>
                </c:pt>
                <c:pt idx="376">
                  <c:v>-0.63155578748595853</c:v>
                </c:pt>
                <c:pt idx="377">
                  <c:v>-0.62793528792337694</c:v>
                </c:pt>
                <c:pt idx="378">
                  <c:v>-0.62428740424345941</c:v>
                </c:pt>
                <c:pt idx="379">
                  <c:v>-0.62061209021216601</c:v>
                </c:pt>
                <c:pt idx="380">
                  <c:v>-0.61690930287708656</c:v>
                </c:pt>
                <c:pt idx="381">
                  <c:v>-0.61317900262687874</c:v>
                </c:pt>
                <c:pt idx="382">
                  <c:v>-0.60942115325054225</c:v>
                </c:pt>
                <c:pt idx="383">
                  <c:v>-0.6056357219965014</c:v>
                </c:pt>
                <c:pt idx="384">
                  <c:v>-0.60182267963145464</c:v>
                </c:pt>
                <c:pt idx="385">
                  <c:v>-0.59798200049896366</c:v>
                </c:pt>
                <c:pt idx="386">
                  <c:v>-0.59411366257773934</c:v>
                </c:pt>
                <c:pt idx="387">
                  <c:v>-0.59021764753959416</c:v>
                </c:pt>
                <c:pt idx="388">
                  <c:v>-0.58629394080702102</c:v>
                </c:pt>
                <c:pt idx="389">
                  <c:v>-0.58234253161036165</c:v>
                </c:pt>
                <c:pt idx="390">
                  <c:v>-0.57836341304452887</c:v>
                </c:pt>
                <c:pt idx="391">
                  <c:v>-0.57435658212523977</c:v>
                </c:pt>
                <c:pt idx="392">
                  <c:v>-0.5703220398447264</c:v>
                </c:pt>
                <c:pt idx="393">
                  <c:v>-0.5662597912268803</c:v>
                </c:pt>
                <c:pt idx="394">
                  <c:v>-0.56216984538179227</c:v>
                </c:pt>
                <c:pt idx="395">
                  <c:v>-0.55805221555964823</c:v>
                </c:pt>
                <c:pt idx="396">
                  <c:v>-0.55390691920393864</c:v>
                </c:pt>
                <c:pt idx="397">
                  <c:v>-0.54973397800394008</c:v>
                </c:pt>
                <c:pt idx="398">
                  <c:v>-0.54553341794643051</c:v>
                </c:pt>
                <c:pt idx="399">
                  <c:v>-0.54130526936659151</c:v>
                </c:pt>
                <c:pt idx="400">
                  <c:v>-0.53704956699806006</c:v>
                </c:pt>
                <c:pt idx="401">
                  <c:v>-0.53276635002208328</c:v>
                </c:pt>
                <c:pt idx="402">
                  <c:v>-0.52845566211573747</c:v>
                </c:pt>
                <c:pt idx="403">
                  <c:v>-0.52411755149916373</c:v>
                </c:pt>
                <c:pt idx="404">
                  <c:v>-0.51975207098178178</c:v>
                </c:pt>
                <c:pt idx="405">
                  <c:v>-0.5153592780074352</c:v>
                </c:pt>
                <c:pt idx="406">
                  <c:v>-0.51093923469842673</c:v>
                </c:pt>
                <c:pt idx="407">
                  <c:v>-0.5064920078983991</c:v>
                </c:pt>
                <c:pt idx="408">
                  <c:v>-0.50201766921401858</c:v>
                </c:pt>
                <c:pt idx="409">
                  <c:v>-0.49751629505541717</c:v>
                </c:pt>
                <c:pt idx="410">
                  <c:v>-0.49298796667535055</c:v>
                </c:pt>
                <c:pt idx="411">
                  <c:v>-0.48843277020702885</c:v>
                </c:pt>
                <c:pt idx="412">
                  <c:v>-0.48385079670057496</c:v>
                </c:pt>
                <c:pt idx="413">
                  <c:v>-0.47924214215807076</c:v>
                </c:pt>
                <c:pt idx="414">
                  <c:v>-0.47460690756714535</c:v>
                </c:pt>
                <c:pt idx="415">
                  <c:v>-0.46994519893306469</c:v>
                </c:pt>
                <c:pt idx="416">
                  <c:v>-0.46525712730927948</c:v>
                </c:pt>
                <c:pt idx="417">
                  <c:v>-0.46054280882639043</c:v>
                </c:pt>
                <c:pt idx="418">
                  <c:v>-0.45580236471948904</c:v>
                </c:pt>
                <c:pt idx="419">
                  <c:v>-0.45103592135383114</c:v>
                </c:pt>
                <c:pt idx="420">
                  <c:v>-0.44624361024880738</c:v>
                </c:pt>
                <c:pt idx="421">
                  <c:v>-0.44142556810016531</c:v>
                </c:pt>
                <c:pt idx="422">
                  <c:v>-0.43658193680044788</c:v>
                </c:pt>
                <c:pt idx="423">
                  <c:v>-0.43171286345760762</c:v>
                </c:pt>
                <c:pt idx="424">
                  <c:v>-0.42681850041175989</c:v>
                </c:pt>
                <c:pt idx="425">
                  <c:v>-0.42189900525003632</c:v>
                </c:pt>
                <c:pt idx="426">
                  <c:v>-0.41695454081950456</c:v>
                </c:pt>
                <c:pt idx="427">
                  <c:v>-0.41198527523811618</c:v>
                </c:pt>
                <c:pt idx="428">
                  <c:v>-0.40699138190365119</c:v>
                </c:pt>
                <c:pt idx="429">
                  <c:v>-0.40197303950062163</c:v>
                </c:pt>
                <c:pt idx="430">
                  <c:v>-0.39693043200510658</c:v>
                </c:pt>
                <c:pt idx="431">
                  <c:v>-0.39186374868748258</c:v>
                </c:pt>
                <c:pt idx="432">
                  <c:v>-0.38677318411302075</c:v>
                </c:pt>
                <c:pt idx="433">
                  <c:v>-0.38165893814032353</c:v>
                </c:pt>
                <c:pt idx="434">
                  <c:v>-0.37652121591756854</c:v>
                </c:pt>
                <c:pt idx="435">
                  <c:v>-0.37136022787653744</c:v>
                </c:pt>
                <c:pt idx="436">
                  <c:v>-0.36617618972440003</c:v>
                </c:pt>
                <c:pt idx="437">
                  <c:v>-0.36096932243323354</c:v>
                </c:pt>
                <c:pt idx="438">
                  <c:v>-0.35573985222725135</c:v>
                </c:pt>
                <c:pt idx="439">
                  <c:v>-0.35048801056772066</c:v>
                </c:pt>
                <c:pt idx="440">
                  <c:v>-0.34521403413555135</c:v>
                </c:pt>
                <c:pt idx="441">
                  <c:v>-0.33991816481153392</c:v>
                </c:pt>
                <c:pt idx="442">
                  <c:v>-0.33460064965421388</c:v>
                </c:pt>
                <c:pt idx="443">
                  <c:v>-0.32926174087538451</c:v>
                </c:pt>
                <c:pt idx="444">
                  <c:v>-0.32390169581318651</c:v>
                </c:pt>
                <c:pt idx="445">
                  <c:v>-0.31852077690280184</c:v>
                </c:pt>
                <c:pt idx="446">
                  <c:v>-0.31311925164473203</c:v>
                </c:pt>
                <c:pt idx="447">
                  <c:v>-0.30769739257065332</c:v>
                </c:pt>
                <c:pt idx="448">
                  <c:v>-0.30225547720684137</c:v>
                </c:pt>
                <c:pt idx="449">
                  <c:v>-0.29679378803516171</c:v>
                </c:pt>
                <c:pt idx="450">
                  <c:v>-0.29131261245162238</c:v>
                </c:pt>
                <c:pt idx="451">
                  <c:v>-0.28581224272248973</c:v>
                </c:pt>
                <c:pt idx="452">
                  <c:v>-0.28029297593796526</c:v>
                </c:pt>
                <c:pt idx="453">
                  <c:v>-0.27475511396343133</c:v>
                </c:pt>
                <c:pt idx="454">
                  <c:v>-0.26919896338826577</c:v>
                </c:pt>
                <c:pt idx="455">
                  <c:v>-0.26362483547223531</c:v>
                </c:pt>
                <c:pt idx="456">
                  <c:v>-0.2580330460894773</c:v>
                </c:pt>
                <c:pt idx="457">
                  <c:v>-0.25242391567007794</c:v>
                </c:pt>
                <c:pt idx="458">
                  <c:v>-0.24679776913926282</c:v>
                </c:pt>
                <c:pt idx="459">
                  <c:v>-0.24115493585421419</c:v>
                </c:pt>
                <c:pt idx="460">
                  <c:v>-0.23549574953853042</c:v>
                </c:pt>
                <c:pt idx="461">
                  <c:v>-0.22982054821434947</c:v>
                </c:pt>
                <c:pt idx="462">
                  <c:v>-0.22412967413215543</c:v>
                </c:pt>
                <c:pt idx="463">
                  <c:v>-0.21842347369829318</c:v>
                </c:pt>
                <c:pt idx="464">
                  <c:v>-0.21270229740021462</c:v>
                </c:pt>
                <c:pt idx="465">
                  <c:v>-0.2069664997294855</c:v>
                </c:pt>
                <c:pt idx="466">
                  <c:v>-0.20121643910258194</c:v>
                </c:pt>
                <c:pt idx="467">
                  <c:v>-0.19545247777950725</c:v>
                </c:pt>
                <c:pt idx="468">
                  <c:v>-0.18967498178026329</c:v>
                </c:pt>
                <c:pt idx="469">
                  <c:v>-0.1838843207992118</c:v>
                </c:pt>
                <c:pt idx="470">
                  <c:v>-0.17808086811736351</c:v>
                </c:pt>
                <c:pt idx="471">
                  <c:v>-0.17226500051263241</c:v>
                </c:pt>
                <c:pt idx="472">
                  <c:v>-0.16643709816810021</c:v>
                </c:pt>
                <c:pt idx="473">
                  <c:v>-0.16059754457833028</c:v>
                </c:pt>
                <c:pt idx="474">
                  <c:v>-0.15474672645377938</c:v>
                </c:pt>
                <c:pt idx="475">
                  <c:v>-0.14888503362335151</c:v>
                </c:pt>
                <c:pt idx="476">
                  <c:v>-0.14301285893514545</c:v>
                </c:pt>
                <c:pt idx="477">
                  <c:v>-0.13713059815544362</c:v>
                </c:pt>
                <c:pt idx="478">
                  <c:v>-0.13123864986599676</c:v>
                </c:pt>
                <c:pt idx="479">
                  <c:v>-0.12533741535965787</c:v>
                </c:pt>
                <c:pt idx="480">
                  <c:v>-0.11942729853441973</c:v>
                </c:pt>
                <c:pt idx="481">
                  <c:v>-0.1135087057859151</c:v>
                </c:pt>
                <c:pt idx="482">
                  <c:v>-0.10758204589843751</c:v>
                </c:pt>
                <c:pt idx="483">
                  <c:v>-0.10164772993454188</c:v>
                </c:pt>
                <c:pt idx="484">
                  <c:v>-9.5706171123288927E-2</c:v>
                </c:pt>
                <c:pt idx="485">
                  <c:v>-8.9757784747194133E-2</c:v>
                </c:pt>
                <c:pt idx="486">
                  <c:v>-8.3802988027946737E-2</c:v>
                </c:pt>
                <c:pt idx="487">
                  <c:v>-7.7842200010964799E-2</c:v>
                </c:pt>
                <c:pt idx="488">
                  <c:v>-7.1875841448851813E-2</c:v>
                </c:pt>
                <c:pt idx="489">
                  <c:v>-6.5904334683824159E-2</c:v>
                </c:pt>
                <c:pt idx="490">
                  <c:v>-5.9928103529177636E-2</c:v>
                </c:pt>
                <c:pt idx="491">
                  <c:v>-5.3947573149863183E-2</c:v>
                </c:pt>
                <c:pt idx="492">
                  <c:v>-4.7963169942243075E-2</c:v>
                </c:pt>
                <c:pt idx="493">
                  <c:v>-4.1975321413098864E-2</c:v>
                </c:pt>
                <c:pt idx="494">
                  <c:v>-3.5984456057964034E-2</c:v>
                </c:pt>
                <c:pt idx="495">
                  <c:v>-2.9991003238854355E-2</c:v>
                </c:pt>
                <c:pt idx="496">
                  <c:v>-2.3995393061469965E-2</c:v>
                </c:pt>
                <c:pt idx="497">
                  <c:v>-1.7998056251943624E-2</c:v>
                </c:pt>
                <c:pt idx="498">
                  <c:v>-1.1999424033209902E-2</c:v>
                </c:pt>
                <c:pt idx="499">
                  <c:v>-5.9999280010710658E-3</c:v>
                </c:pt>
                <c:pt idx="500">
                  <c:v>-3.4250380309687253E-14</c:v>
                </c:pt>
                <c:pt idx="501">
                  <c:v>5.9999280010024766E-3</c:v>
                </c:pt>
                <c:pt idx="502">
                  <c:v>1.1999424033141417E-2</c:v>
                </c:pt>
                <c:pt idx="503">
                  <c:v>1.7998056251875082E-2</c:v>
                </c:pt>
                <c:pt idx="504">
                  <c:v>2.3995393061401523E-2</c:v>
                </c:pt>
                <c:pt idx="505">
                  <c:v>2.9991003238785889E-2</c:v>
                </c:pt>
                <c:pt idx="506">
                  <c:v>3.5984456057895568E-2</c:v>
                </c:pt>
                <c:pt idx="507">
                  <c:v>4.1975321413030516E-2</c:v>
                </c:pt>
                <c:pt idx="508">
                  <c:v>4.7963169942174748E-2</c:v>
                </c:pt>
                <c:pt idx="509">
                  <c:v>5.3947573149794883E-2</c:v>
                </c:pt>
                <c:pt idx="510">
                  <c:v>5.9928103529109385E-2</c:v>
                </c:pt>
                <c:pt idx="511">
                  <c:v>6.5904334683755977E-2</c:v>
                </c:pt>
                <c:pt idx="512">
                  <c:v>7.1875841448783631E-2</c:v>
                </c:pt>
                <c:pt idx="513">
                  <c:v>7.7842200010896659E-2</c:v>
                </c:pt>
                <c:pt idx="514">
                  <c:v>8.3802988027878667E-2</c:v>
                </c:pt>
                <c:pt idx="515">
                  <c:v>8.9757784747126146E-2</c:v>
                </c:pt>
                <c:pt idx="516">
                  <c:v>9.5706171123221079E-2</c:v>
                </c:pt>
                <c:pt idx="517">
                  <c:v>0.10164772993447402</c:v>
                </c:pt>
                <c:pt idx="518">
                  <c:v>0.10758204589836977</c:v>
                </c:pt>
                <c:pt idx="519">
                  <c:v>0.11350870578584747</c:v>
                </c:pt>
                <c:pt idx="520">
                  <c:v>0.11942729853435216</c:v>
                </c:pt>
                <c:pt idx="521">
                  <c:v>0.12533741535959039</c:v>
                </c:pt>
                <c:pt idx="522">
                  <c:v>0.13123864986592948</c:v>
                </c:pt>
                <c:pt idx="523">
                  <c:v>0.13713059815537634</c:v>
                </c:pt>
                <c:pt idx="524">
                  <c:v>0.14301285893507837</c:v>
                </c:pt>
                <c:pt idx="525">
                  <c:v>0.14888503362328454</c:v>
                </c:pt>
                <c:pt idx="526">
                  <c:v>0.15474672645371243</c:v>
                </c:pt>
                <c:pt idx="527">
                  <c:v>0.16059754457826353</c:v>
                </c:pt>
                <c:pt idx="528">
                  <c:v>0.16643709816803356</c:v>
                </c:pt>
                <c:pt idx="529">
                  <c:v>0.17226500051256591</c:v>
                </c:pt>
                <c:pt idx="530">
                  <c:v>0.17808086811729709</c:v>
                </c:pt>
                <c:pt idx="531">
                  <c:v>0.1838843207991456</c:v>
                </c:pt>
                <c:pt idx="532">
                  <c:v>0.1896749817801972</c:v>
                </c:pt>
                <c:pt idx="533">
                  <c:v>0.19545247777944136</c:v>
                </c:pt>
                <c:pt idx="534">
                  <c:v>0.20121643910251627</c:v>
                </c:pt>
                <c:pt idx="535">
                  <c:v>0.20696649972941986</c:v>
                </c:pt>
                <c:pt idx="536">
                  <c:v>0.21270229740014918</c:v>
                </c:pt>
                <c:pt idx="537">
                  <c:v>0.21842347369822798</c:v>
                </c:pt>
                <c:pt idx="538">
                  <c:v>0.22412967413209037</c:v>
                </c:pt>
                <c:pt idx="539">
                  <c:v>0.22982054821428452</c:v>
                </c:pt>
                <c:pt idx="540">
                  <c:v>0.23549574953846569</c:v>
                </c:pt>
                <c:pt idx="541">
                  <c:v>0.24115493585414971</c:v>
                </c:pt>
                <c:pt idx="542">
                  <c:v>0.24679776913919849</c:v>
                </c:pt>
                <c:pt idx="543">
                  <c:v>0.25242391567001371</c:v>
                </c:pt>
                <c:pt idx="544">
                  <c:v>0.25803304608941335</c:v>
                </c:pt>
                <c:pt idx="545">
                  <c:v>0.26362483547217153</c:v>
                </c:pt>
                <c:pt idx="546">
                  <c:v>0.26919896338820215</c:v>
                </c:pt>
                <c:pt idx="547">
                  <c:v>0.27475511396336799</c:v>
                </c:pt>
                <c:pt idx="548">
                  <c:v>0.28029297593790209</c:v>
                </c:pt>
                <c:pt idx="549">
                  <c:v>0.28581224272242667</c:v>
                </c:pt>
                <c:pt idx="550">
                  <c:v>0.2913126124515597</c:v>
                </c:pt>
                <c:pt idx="551">
                  <c:v>0.2967937880350992</c:v>
                </c:pt>
                <c:pt idx="552">
                  <c:v>0.30225547720677903</c:v>
                </c:pt>
                <c:pt idx="553">
                  <c:v>0.3076973925705912</c:v>
                </c:pt>
                <c:pt idx="554">
                  <c:v>0.31311925164467019</c:v>
                </c:pt>
                <c:pt idx="555">
                  <c:v>0.31852077690274028</c:v>
                </c:pt>
                <c:pt idx="556">
                  <c:v>0.32390169581312517</c:v>
                </c:pt>
                <c:pt idx="557">
                  <c:v>0.32926174087532345</c:v>
                </c:pt>
                <c:pt idx="558">
                  <c:v>0.33460064965415298</c:v>
                </c:pt>
                <c:pt idx="559">
                  <c:v>0.33991816481147324</c:v>
                </c:pt>
                <c:pt idx="560">
                  <c:v>0.3452140341354909</c:v>
                </c:pt>
                <c:pt idx="561">
                  <c:v>0.35048801056766049</c:v>
                </c:pt>
                <c:pt idx="562">
                  <c:v>0.3557398522271914</c:v>
                </c:pt>
                <c:pt idx="563">
                  <c:v>0.36096932243317398</c:v>
                </c:pt>
                <c:pt idx="564">
                  <c:v>0.36617618972434068</c:v>
                </c:pt>
                <c:pt idx="565">
                  <c:v>0.37136022787647838</c:v>
                </c:pt>
                <c:pt idx="566">
                  <c:v>0.37652121591750976</c:v>
                </c:pt>
                <c:pt idx="567">
                  <c:v>0.38165893814026491</c:v>
                </c:pt>
                <c:pt idx="568">
                  <c:v>0.38677318411296241</c:v>
                </c:pt>
                <c:pt idx="569">
                  <c:v>0.39186374868742452</c:v>
                </c:pt>
                <c:pt idx="570">
                  <c:v>0.39693043200504891</c:v>
                </c:pt>
                <c:pt idx="571">
                  <c:v>0.40197303950056412</c:v>
                </c:pt>
                <c:pt idx="572">
                  <c:v>0.40699138190359391</c:v>
                </c:pt>
                <c:pt idx="573">
                  <c:v>0.41198527523805928</c:v>
                </c:pt>
                <c:pt idx="574">
                  <c:v>0.41695454081944788</c:v>
                </c:pt>
                <c:pt idx="575">
                  <c:v>0.42189900524997997</c:v>
                </c:pt>
                <c:pt idx="576">
                  <c:v>0.42681850041170388</c:v>
                </c:pt>
                <c:pt idx="577">
                  <c:v>0.43171286345755189</c:v>
                </c:pt>
                <c:pt idx="578">
                  <c:v>0.43658193680039237</c:v>
                </c:pt>
                <c:pt idx="579">
                  <c:v>0.44142556810011008</c:v>
                </c:pt>
                <c:pt idx="580">
                  <c:v>0.44624361024875253</c:v>
                </c:pt>
                <c:pt idx="581">
                  <c:v>0.45103592135377657</c:v>
                </c:pt>
                <c:pt idx="582">
                  <c:v>0.45580236471943469</c:v>
                </c:pt>
                <c:pt idx="583">
                  <c:v>0.46054280882633652</c:v>
                </c:pt>
                <c:pt idx="584">
                  <c:v>0.46525712730922564</c:v>
                </c:pt>
                <c:pt idx="585">
                  <c:v>0.46994519893301112</c:v>
                </c:pt>
                <c:pt idx="586">
                  <c:v>0.47460690756709223</c:v>
                </c:pt>
                <c:pt idx="587">
                  <c:v>0.47924214215801797</c:v>
                </c:pt>
                <c:pt idx="588">
                  <c:v>0.48385079670052245</c:v>
                </c:pt>
                <c:pt idx="589">
                  <c:v>0.48843277020697662</c:v>
                </c:pt>
                <c:pt idx="590">
                  <c:v>0.49298796667529865</c:v>
                </c:pt>
                <c:pt idx="591">
                  <c:v>0.49751629505536549</c:v>
                </c:pt>
                <c:pt idx="592">
                  <c:v>0.50201766921396718</c:v>
                </c:pt>
                <c:pt idx="593">
                  <c:v>0.50649200789834803</c:v>
                </c:pt>
                <c:pt idx="594">
                  <c:v>0.51093923469837599</c:v>
                </c:pt>
                <c:pt idx="595">
                  <c:v>0.51535927800738468</c:v>
                </c:pt>
                <c:pt idx="596">
                  <c:v>0.51975207098173171</c:v>
                </c:pt>
                <c:pt idx="597">
                  <c:v>0.52411755149911399</c:v>
                </c:pt>
                <c:pt idx="598">
                  <c:v>0.52845566211568806</c:v>
                </c:pt>
                <c:pt idx="599">
                  <c:v>0.5327663500220341</c:v>
                </c:pt>
                <c:pt idx="600">
                  <c:v>0.53704956699801121</c:v>
                </c:pt>
                <c:pt idx="601">
                  <c:v>0.541305269366543</c:v>
                </c:pt>
                <c:pt idx="602">
                  <c:v>0.54553341794638244</c:v>
                </c:pt>
                <c:pt idx="603">
                  <c:v>0.54973397800389223</c:v>
                </c:pt>
                <c:pt idx="604">
                  <c:v>0.55390691920389112</c:v>
                </c:pt>
                <c:pt idx="605">
                  <c:v>0.55805221555960105</c:v>
                </c:pt>
                <c:pt idx="606">
                  <c:v>0.5621698453817453</c:v>
                </c:pt>
                <c:pt idx="607">
                  <c:v>0.56625979122683368</c:v>
                </c:pt>
                <c:pt idx="608">
                  <c:v>0.57032203984468011</c:v>
                </c:pt>
                <c:pt idx="609">
                  <c:v>0.5743565821251938</c:v>
                </c:pt>
                <c:pt idx="610">
                  <c:v>0.57836341304448324</c:v>
                </c:pt>
                <c:pt idx="611">
                  <c:v>0.58234253161031635</c:v>
                </c:pt>
                <c:pt idx="612">
                  <c:v>0.58629394080697583</c:v>
                </c:pt>
                <c:pt idx="613">
                  <c:v>0.59021764753954942</c:v>
                </c:pt>
                <c:pt idx="614">
                  <c:v>0.59411366257769482</c:v>
                </c:pt>
                <c:pt idx="615">
                  <c:v>0.59798200049891959</c:v>
                </c:pt>
                <c:pt idx="616">
                  <c:v>0.6018226796314109</c:v>
                </c:pt>
                <c:pt idx="617">
                  <c:v>0.60563572199645788</c:v>
                </c:pt>
                <c:pt idx="618">
                  <c:v>0.60942115325049917</c:v>
                </c:pt>
                <c:pt idx="619">
                  <c:v>0.61317900262683589</c:v>
                </c:pt>
                <c:pt idx="620">
                  <c:v>0.61690930287704415</c:v>
                </c:pt>
                <c:pt idx="621">
                  <c:v>0.62061209021212371</c:v>
                </c:pt>
                <c:pt idx="622">
                  <c:v>0.62428740424341755</c:v>
                </c:pt>
                <c:pt idx="623">
                  <c:v>0.62793528792333553</c:v>
                </c:pt>
                <c:pt idx="624">
                  <c:v>0.63155578748591734</c:v>
                </c:pt>
                <c:pt idx="625">
                  <c:v>0.63514895238726721</c:v>
                </c:pt>
                <c:pt idx="626">
                  <c:v>0.63871483524589179</c:v>
                </c:pt>
                <c:pt idx="627">
                  <c:v>0.64225349178297375</c:v>
                </c:pt>
                <c:pt idx="628">
                  <c:v>0.64576498076261135</c:v>
                </c:pt>
                <c:pt idx="629">
                  <c:v>0.64924936393205535</c:v>
                </c:pt>
                <c:pt idx="630">
                  <c:v>0.65270670596197056</c:v>
                </c:pt>
                <c:pt idx="631">
                  <c:v>0.65613707438675328</c:v>
                </c:pt>
                <c:pt idx="632">
                  <c:v>0.65954053954493053</c:v>
                </c:pt>
                <c:pt idx="633">
                  <c:v>0.66291717451967025</c:v>
                </c:pt>
                <c:pt idx="634">
                  <c:v>0.6662670550794273</c:v>
                </c:pt>
                <c:pt idx="635">
                  <c:v>0.66959025961875218</c:v>
                </c:pt>
                <c:pt idx="636">
                  <c:v>0.67288686909928797</c:v>
                </c:pt>
                <c:pt idx="637">
                  <c:v>0.67615696699097805</c:v>
                </c:pt>
                <c:pt idx="638">
                  <c:v>0.67940063921351068</c:v>
                </c:pt>
                <c:pt idx="639">
                  <c:v>0.68261797407802161</c:v>
                </c:pt>
                <c:pt idx="640">
                  <c:v>0.68580906222907678</c:v>
                </c:pt>
                <c:pt idx="641">
                  <c:v>0.68897399658695846</c:v>
                </c:pt>
                <c:pt idx="642">
                  <c:v>0.69211287229027374</c:v>
                </c:pt>
                <c:pt idx="643">
                  <c:v>0.69522578663890577</c:v>
                </c:pt>
                <c:pt idx="644">
                  <c:v>0.69831283903732722</c:v>
                </c:pt>
                <c:pt idx="645">
                  <c:v>0.70137413093829537</c:v>
                </c:pt>
                <c:pt idx="646">
                  <c:v>0.70440976578694503</c:v>
                </c:pt>
                <c:pt idx="647">
                  <c:v>0.70741984896529753</c:v>
                </c:pt>
                <c:pt idx="648">
                  <c:v>0.71040448773720233</c:v>
                </c:pt>
                <c:pt idx="649">
                  <c:v>0.71336379119372662</c:v>
                </c:pt>
                <c:pt idx="650">
                  <c:v>0.71629787019900804</c:v>
                </c:pt>
                <c:pt idx="651">
                  <c:v>0.71920683733658564</c:v>
                </c:pt>
                <c:pt idx="652">
                  <c:v>0.72209080685622107</c:v>
                </c:pt>
                <c:pt idx="653">
                  <c:v>0.72494989462122605</c:v>
                </c:pt>
                <c:pt idx="654">
                  <c:v>0.727784218056305</c:v>
                </c:pt>
                <c:pt idx="655">
                  <c:v>0.73059389609592817</c:v>
                </c:pt>
                <c:pt idx="656">
                  <c:v>0.73337904913324359</c:v>
                </c:pt>
                <c:pt idx="657">
                  <c:v>0.73613979896954052</c:v>
                </c:pt>
                <c:pt idx="658">
                  <c:v>0.73887626876427281</c:v>
                </c:pt>
                <c:pt idx="659">
                  <c:v>0.74158858298565256</c:v>
                </c:pt>
                <c:pt idx="660">
                  <c:v>0.74427686736182241</c:v>
                </c:pt>
                <c:pt idx="661">
                  <c:v>0.7469412488326147</c:v>
                </c:pt>
                <c:pt idx="662">
                  <c:v>0.74958185550190548</c:v>
                </c:pt>
                <c:pt idx="663">
                  <c:v>0.75219881659057009</c:v>
                </c:pt>
                <c:pt idx="664">
                  <c:v>0.75479226239004593</c:v>
                </c:pt>
                <c:pt idx="665">
                  <c:v>0.75736232421651206</c:v>
                </c:pt>
                <c:pt idx="666">
                  <c:v>0.75990913436568419</c:v>
                </c:pt>
                <c:pt idx="667">
                  <c:v>0.76243282606823948</c:v>
                </c:pt>
                <c:pt idx="668">
                  <c:v>0.76493353344586601</c:v>
                </c:pt>
                <c:pt idx="669">
                  <c:v>0.76741139146794801</c:v>
                </c:pt>
                <c:pt idx="670">
                  <c:v>0.76986653590888665</c:v>
                </c:pt>
                <c:pt idx="671">
                  <c:v>0.77229910330606133</c:v>
                </c:pt>
                <c:pt idx="672">
                  <c:v>0.77470923091843202</c:v>
                </c:pt>
                <c:pt idx="673">
                  <c:v>0.77709705668578755</c:v>
                </c:pt>
                <c:pt idx="674">
                  <c:v>0.77946271918863874</c:v>
                </c:pt>
                <c:pt idx="675">
                  <c:v>0.78180635760876105</c:v>
                </c:pt>
                <c:pt idx="676">
                  <c:v>0.78412811169038321</c:v>
                </c:pt>
                <c:pt idx="677">
                  <c:v>0.78642812170202681</c:v>
                </c:pt>
                <c:pt idx="678">
                  <c:v>0.78870652839899436</c:v>
                </c:pt>
                <c:pt idx="679">
                  <c:v>0.79096347298650671</c:v>
                </c:pt>
                <c:pt idx="680">
                  <c:v>0.79319909708348846</c:v>
                </c:pt>
                <c:pt idx="681">
                  <c:v>0.79541354268700115</c:v>
                </c:pt>
                <c:pt idx="682">
                  <c:v>0.79760695213732291</c:v>
                </c:pt>
                <c:pt idx="683">
                  <c:v>0.79977946808367273</c:v>
                </c:pt>
                <c:pt idx="684">
                  <c:v>0.8019312334505776</c:v>
                </c:pt>
                <c:pt idx="685">
                  <c:v>0.80406239140488034</c:v>
                </c:pt>
                <c:pt idx="686">
                  <c:v>0.80617308532338583</c:v>
                </c:pt>
                <c:pt idx="687">
                  <c:v>0.80826345876114303</c:v>
                </c:pt>
                <c:pt idx="688">
                  <c:v>0.81033365542035907</c:v>
                </c:pt>
                <c:pt idx="689">
                  <c:v>0.81238381911994284</c:v>
                </c:pt>
                <c:pt idx="690">
                  <c:v>0.81441409376567475</c:v>
                </c:pt>
                <c:pt idx="691">
                  <c:v>0.8164246233209983</c:v>
                </c:pt>
                <c:pt idx="692">
                  <c:v>0.81841555177842962</c:v>
                </c:pt>
                <c:pt idx="693">
                  <c:v>0.82038702313158163</c:v>
                </c:pt>
                <c:pt idx="694">
                  <c:v>0.82233918134779693</c:v>
                </c:pt>
                <c:pt idx="695">
                  <c:v>0.82427217034138678</c:v>
                </c:pt>
                <c:pt idx="696">
                  <c:v>0.82618613394746965</c:v>
                </c:pt>
                <c:pt idx="697">
                  <c:v>0.82808121589640504</c:v>
                </c:pt>
                <c:pt idx="698">
                  <c:v>0.82995755978881836</c:v>
                </c:pt>
                <c:pt idx="699">
                  <c:v>0.83181530907121004</c:v>
                </c:pt>
                <c:pt idx="700">
                  <c:v>0.83365460701214511</c:v>
                </c:pt>
                <c:pt idx="701">
                  <c:v>0.83547559667901539</c:v>
                </c:pt>
                <c:pt idx="702">
                  <c:v>0.83727842091537208</c:v>
                </c:pt>
                <c:pt idx="703">
                  <c:v>0.83906322231881914</c:v>
                </c:pt>
                <c:pt idx="704">
                  <c:v>0.84083014321946403</c:v>
                </c:pt>
                <c:pt idx="705">
                  <c:v>0.84257932565891991</c:v>
                </c:pt>
                <c:pt idx="706">
                  <c:v>0.84431091136985037</c:v>
                </c:pt>
                <c:pt idx="707">
                  <c:v>0.84602504175605442</c:v>
                </c:pt>
                <c:pt idx="708">
                  <c:v>0.84772185787308241</c:v>
                </c:pt>
                <c:pt idx="709">
                  <c:v>0.84940150040937701</c:v>
                </c:pt>
                <c:pt idx="710">
                  <c:v>0.85106410966793467</c:v>
                </c:pt>
                <c:pt idx="711">
                  <c:v>0.85270982554847841</c:v>
                </c:pt>
                <c:pt idx="712">
                  <c:v>0.85433878753013681</c:v>
                </c:pt>
                <c:pt idx="713">
                  <c:v>0.85595113465462247</c:v>
                </c:pt>
                <c:pt idx="714">
                  <c:v>0.85754700550990293</c:v>
                </c:pt>
                <c:pt idx="715">
                  <c:v>0.85912653821435714</c:v>
                </c:pt>
                <c:pt idx="716">
                  <c:v>0.86068987040141109</c:v>
                </c:pt>
                <c:pt idx="717">
                  <c:v>0.86223713920464606</c:v>
                </c:pt>
                <c:pt idx="718">
                  <c:v>0.86376848124337113</c:v>
                </c:pt>
                <c:pt idx="719">
                  <c:v>0.86528403260865538</c:v>
                </c:pt>
                <c:pt idx="720">
                  <c:v>0.86678392884981037</c:v>
                </c:pt>
                <c:pt idx="721">
                  <c:v>0.86826830496131902</c:v>
                </c:pt>
                <c:pt idx="722">
                  <c:v>0.86973729537020006</c:v>
                </c:pt>
                <c:pt idx="723">
                  <c:v>0.87119103392380537</c:v>
                </c:pt>
                <c:pt idx="724">
                  <c:v>0.87262965387803981</c:v>
                </c:pt>
                <c:pt idx="725">
                  <c:v>0.87405328788599923</c:v>
                </c:pt>
                <c:pt idx="726">
                  <c:v>0.87546206798701742</c:v>
                </c:pt>
                <c:pt idx="727">
                  <c:v>0.87685612559611747</c:v>
                </c:pt>
                <c:pt idx="728">
                  <c:v>0.87823559149385899</c:v>
                </c:pt>
                <c:pt idx="729">
                  <c:v>0.87960059581657446</c:v>
                </c:pt>
                <c:pt idx="730">
                  <c:v>0.88095126804698964</c:v>
                </c:pt>
                <c:pt idx="731">
                  <c:v>0.88228773700521823</c:v>
                </c:pt>
                <c:pt idx="732">
                  <c:v>0.88361013084012729</c:v>
                </c:pt>
                <c:pt idx="733">
                  <c:v>0.88491857702106425</c:v>
                </c:pt>
                <c:pt idx="734">
                  <c:v>0.88621320232993928</c:v>
                </c:pt>
                <c:pt idx="735">
                  <c:v>0.88749413285365819</c:v>
                </c:pt>
                <c:pt idx="736">
                  <c:v>0.88876149397689674</c:v>
                </c:pt>
                <c:pt idx="737">
                  <c:v>0.89001541037521092</c:v>
                </c:pt>
                <c:pt idx="738">
                  <c:v>0.89125600600847699</c:v>
                </c:pt>
                <c:pt idx="739">
                  <c:v>0.89248340411465454</c:v>
                </c:pt>
                <c:pt idx="740">
                  <c:v>0.89369772720386587</c:v>
                </c:pt>
                <c:pt idx="741">
                  <c:v>0.89489909705278514</c:v>
                </c:pt>
                <c:pt idx="742">
                  <c:v>0.89608763469933195</c:v>
                </c:pt>
                <c:pt idx="743">
                  <c:v>0.8972634604376627</c:v>
                </c:pt>
                <c:pt idx="744">
                  <c:v>0.89842669381345186</c:v>
                </c:pt>
                <c:pt idx="745">
                  <c:v>0.89957745361946062</c:v>
                </c:pt>
                <c:pt idx="746">
                  <c:v>0.90071585789138253</c:v>
                </c:pt>
                <c:pt idx="747">
                  <c:v>0.90184202390396384</c:v>
                </c:pt>
                <c:pt idx="748">
                  <c:v>0.90295606816739016</c:v>
                </c:pt>
                <c:pt idx="749">
                  <c:v>0.90405810642393436</c:v>
                </c:pt>
                <c:pt idx="750">
                  <c:v>0.90514825364486051</c:v>
                </c:pt>
                <c:pt idx="751">
                  <c:v>0.9062266240275767</c:v>
                </c:pt>
                <c:pt idx="752">
                  <c:v>0.90729333099303255</c:v>
                </c:pt>
                <c:pt idx="753">
                  <c:v>0.90834848718335426</c:v>
                </c:pt>
                <c:pt idx="754">
                  <c:v>0.90939220445971303</c:v>
                </c:pt>
                <c:pt idx="755">
                  <c:v>0.91042459390042085</c:v>
                </c:pt>
                <c:pt idx="756">
                  <c:v>0.9114457657992473</c:v>
                </c:pt>
                <c:pt idx="757">
                  <c:v>0.91245582966395367</c:v>
                </c:pt>
                <c:pt idx="758">
                  <c:v>0.91345489421503834</c:v>
                </c:pt>
                <c:pt idx="759">
                  <c:v>0.91444306738468739</c:v>
                </c:pt>
                <c:pt idx="760">
                  <c:v>0.91542045631592706</c:v>
                </c:pt>
                <c:pt idx="761">
                  <c:v>0.91638716736197101</c:v>
                </c:pt>
                <c:pt idx="762">
                  <c:v>0.91734330608575954</c:v>
                </c:pt>
                <c:pt idx="763">
                  <c:v>0.91828897725968361</c:v>
                </c:pt>
                <c:pt idx="764">
                  <c:v>0.9192242848654909</c:v>
                </c:pt>
                <c:pt idx="765">
                  <c:v>0.92014933209436733</c:v>
                </c:pt>
                <c:pt idx="766">
                  <c:v>0.9210642213471909</c:v>
                </c:pt>
                <c:pt idx="767">
                  <c:v>0.92196905423495157</c:v>
                </c:pt>
                <c:pt idx="768">
                  <c:v>0.92286393157933466</c:v>
                </c:pt>
                <c:pt idx="769">
                  <c:v>0.92374895341346153</c:v>
                </c:pt>
                <c:pt idx="770">
                  <c:v>0.92462421898278335</c:v>
                </c:pt>
                <c:pt idx="771">
                  <c:v>0.92548982674612523</c:v>
                </c:pt>
                <c:pt idx="772">
                  <c:v>0.9263458743768741</c:v>
                </c:pt>
                <c:pt idx="773">
                  <c:v>0.92719245876430778</c:v>
                </c:pt>
                <c:pt idx="774">
                  <c:v>0.92802967601506103</c:v>
                </c:pt>
                <c:pt idx="775">
                  <c:v>0.92885762145472317</c:v>
                </c:pt>
                <c:pt idx="776">
                  <c:v>0.929676389629565</c:v>
                </c:pt>
                <c:pt idx="777">
                  <c:v>0.93048607430839048</c:v>
                </c:pt>
                <c:pt idx="778">
                  <c:v>0.93128676848450853</c:v>
                </c:pt>
                <c:pt idx="779">
                  <c:v>0.93207856437782199</c:v>
                </c:pt>
                <c:pt idx="780">
                  <c:v>0.9328615534370307</c:v>
                </c:pt>
                <c:pt idx="781">
                  <c:v>0.93363582634194331</c:v>
                </c:pt>
                <c:pt idx="782">
                  <c:v>0.93440147300589538</c:v>
                </c:pt>
                <c:pt idx="783">
                  <c:v>0.93515858257827089</c:v>
                </c:pt>
                <c:pt idx="784">
                  <c:v>0.93590724344712162</c:v>
                </c:pt>
                <c:pt idx="785">
                  <c:v>0.93664754324188315</c:v>
                </c:pt>
                <c:pt idx="786">
                  <c:v>0.93737956883618379</c:v>
                </c:pt>
                <c:pt idx="787">
                  <c:v>0.93810340635074163</c:v>
                </c:pt>
                <c:pt idx="788">
                  <c:v>0.93881914115634835</c:v>
                </c:pt>
                <c:pt idx="789">
                  <c:v>0.93952685787693591</c:v>
                </c:pt>
                <c:pt idx="790">
                  <c:v>0.94022664039272374</c:v>
                </c:pt>
                <c:pt idx="791">
                  <c:v>0.94091857184344141</c:v>
                </c:pt>
                <c:pt idx="792">
                  <c:v>0.9416027346316268</c:v>
                </c:pt>
                <c:pt idx="793">
                  <c:v>0.94227921042599483</c:v>
                </c:pt>
                <c:pt idx="794">
                  <c:v>0.94294808016487452</c:v>
                </c:pt>
                <c:pt idx="795">
                  <c:v>0.94360942405971127</c:v>
                </c:pt>
                <c:pt idx="796">
                  <c:v>0.94426332159863324</c:v>
                </c:pt>
                <c:pt idx="797">
                  <c:v>0.94490985155007678</c:v>
                </c:pt>
                <c:pt idx="798">
                  <c:v>0.94554909196647008</c:v>
                </c:pt>
                <c:pt idx="799">
                  <c:v>0.94618112018797229</c:v>
                </c:pt>
                <c:pt idx="800">
                  <c:v>0.94680601284626487</c:v>
                </c:pt>
                <c:pt idx="801">
                  <c:v>0.94742384586839368</c:v>
                </c:pt>
                <c:pt idx="802">
                  <c:v>0.94803469448065869</c:v>
                </c:pt>
                <c:pt idx="803">
                  <c:v>0.94863863321255004</c:v>
                </c:pt>
                <c:pt idx="804">
                  <c:v>0.94923573590072674</c:v>
                </c:pt>
                <c:pt idx="805">
                  <c:v>0.94982607569303712</c:v>
                </c:pt>
                <c:pt idx="806">
                  <c:v>0.95040972505257848</c:v>
                </c:pt>
                <c:pt idx="807">
                  <c:v>0.95098675576179337</c:v>
                </c:pt>
                <c:pt idx="808">
                  <c:v>0.95155723892660105</c:v>
                </c:pt>
                <c:pt idx="809">
                  <c:v>0.95212124498056228</c:v>
                </c:pt>
                <c:pt idx="810">
                  <c:v>0.95267884368907452</c:v>
                </c:pt>
                <c:pt idx="811">
                  <c:v>0.95323010415359688</c:v>
                </c:pt>
                <c:pt idx="812">
                  <c:v>0.95377509481590184</c:v>
                </c:pt>
                <c:pt idx="813">
                  <c:v>0.95431388346235291</c:v>
                </c:pt>
                <c:pt idx="814">
                  <c:v>0.95484653722820612</c:v>
                </c:pt>
                <c:pt idx="815">
                  <c:v>0.95537312260193263</c:v>
                </c:pt>
                <c:pt idx="816">
                  <c:v>0.95589370542956309</c:v>
                </c:pt>
                <c:pt idx="817">
                  <c:v>0.9564083509190493</c:v>
                </c:pt>
                <c:pt idx="818">
                  <c:v>0.95691712364464421</c:v>
                </c:pt>
                <c:pt idx="819">
                  <c:v>0.95742008755129671</c:v>
                </c:pt>
                <c:pt idx="820">
                  <c:v>0.95791730595906077</c:v>
                </c:pt>
                <c:pt idx="821">
                  <c:v>0.95840884156751738</c:v>
                </c:pt>
                <c:pt idx="822">
                  <c:v>0.9588947564602075</c:v>
                </c:pt>
                <c:pt idx="823">
                  <c:v>0.95937511210907467</c:v>
                </c:pt>
                <c:pt idx="824">
                  <c:v>0.95984996937891642</c:v>
                </c:pt>
                <c:pt idx="825">
                  <c:v>0.9603193885318424</c:v>
                </c:pt>
                <c:pt idx="826">
                  <c:v>0.96078342923173932</c:v>
                </c:pt>
                <c:pt idx="827">
                  <c:v>0.96124215054873885</c:v>
                </c:pt>
                <c:pt idx="828">
                  <c:v>0.96169561096369083</c:v>
                </c:pt>
                <c:pt idx="829">
                  <c:v>0.96214386837263721</c:v>
                </c:pt>
                <c:pt idx="830">
                  <c:v>0.9625869800912884</c:v>
                </c:pt>
                <c:pt idx="831">
                  <c:v>0.96302500285949821</c:v>
                </c:pt>
                <c:pt idx="832">
                  <c:v>0.96345799284573919</c:v>
                </c:pt>
                <c:pt idx="833">
                  <c:v>0.9638860056515749</c:v>
                </c:pt>
                <c:pt idx="834">
                  <c:v>0.96430909631612927</c:v>
                </c:pt>
                <c:pt idx="835">
                  <c:v>0.96472731932055233</c:v>
                </c:pt>
                <c:pt idx="836">
                  <c:v>0.96514072859248035</c:v>
                </c:pt>
                <c:pt idx="837">
                  <c:v>0.96554937751049008</c:v>
                </c:pt>
                <c:pt idx="838">
                  <c:v>0.96595331890854697</c:v>
                </c:pt>
                <c:pt idx="839">
                  <c:v>0.96635260508044407</c:v>
                </c:pt>
                <c:pt idx="840">
                  <c:v>0.96674728778423447</c:v>
                </c:pt>
                <c:pt idx="841">
                  <c:v>0.96713741824665256</c:v>
                </c:pt>
                <c:pt idx="842">
                  <c:v>0.96752304716752624</c:v>
                </c:pt>
                <c:pt idx="843">
                  <c:v>0.96790422472417781</c:v>
                </c:pt>
                <c:pt idx="844">
                  <c:v>0.96828100057581346</c:v>
                </c:pt>
                <c:pt idx="845">
                  <c:v>0.96865342386790065</c:v>
                </c:pt>
                <c:pt idx="846">
                  <c:v>0.96902154323653178</c:v>
                </c:pt>
                <c:pt idx="847">
                  <c:v>0.9693854068127753</c:v>
                </c:pt>
                <c:pt idx="848">
                  <c:v>0.96974506222701107</c:v>
                </c:pt>
                <c:pt idx="849">
                  <c:v>0.97010055661325234</c:v>
                </c:pt>
                <c:pt idx="850">
                  <c:v>0.97045193661345175</c:v>
                </c:pt>
                <c:pt idx="851">
                  <c:v>0.97079924838179055</c:v>
                </c:pt>
                <c:pt idx="852">
                  <c:v>0.9711425375889523</c:v>
                </c:pt>
                <c:pt idx="853">
                  <c:v>0.97148184942637883</c:v>
                </c:pt>
                <c:pt idx="854">
                  <c:v>0.97181722861050845</c:v>
                </c:pt>
                <c:pt idx="855">
                  <c:v>0.97214871938699721</c:v>
                </c:pt>
                <c:pt idx="856">
                  <c:v>0.97247636553491945</c:v>
                </c:pt>
                <c:pt idx="857">
                  <c:v>0.97280021037095188</c:v>
                </c:pt>
                <c:pt idx="858">
                  <c:v>0.97312029675353595</c:v>
                </c:pt>
                <c:pt idx="859">
                  <c:v>0.97343666708702203</c:v>
                </c:pt>
                <c:pt idx="860">
                  <c:v>0.97374936332579243</c:v>
                </c:pt>
                <c:pt idx="861">
                  <c:v>0.97405842697836365</c:v>
                </c:pt>
                <c:pt idx="862">
                  <c:v>0.9743638991114687</c:v>
                </c:pt>
                <c:pt idx="863">
                  <c:v>0.97466582035411697</c:v>
                </c:pt>
                <c:pt idx="864">
                  <c:v>0.97496423090163298</c:v>
                </c:pt>
                <c:pt idx="865">
                  <c:v>0.97525917051967326</c:v>
                </c:pt>
                <c:pt idx="866">
                  <c:v>0.9755506785482202</c:v>
                </c:pt>
                <c:pt idx="867">
                  <c:v>0.97583879390555472</c:v>
                </c:pt>
                <c:pt idx="868">
                  <c:v>0.97612355509220483</c:v>
                </c:pt>
                <c:pt idx="869">
                  <c:v>0.97640500019487153</c:v>
                </c:pt>
                <c:pt idx="870">
                  <c:v>0.97668316689033197</c:v>
                </c:pt>
                <c:pt idx="871">
                  <c:v>0.97695809244931786</c:v>
                </c:pt>
                <c:pt idx="872">
                  <c:v>0.97722981374037188</c:v>
                </c:pt>
                <c:pt idx="873">
                  <c:v>0.977498367233678</c:v>
                </c:pt>
                <c:pt idx="874">
                  <c:v>0.97776378900486949</c:v>
                </c:pt>
                <c:pt idx="875">
                  <c:v>0.97802611473881185</c:v>
                </c:pt>
                <c:pt idx="876">
                  <c:v>0.97828537973336094</c:v>
                </c:pt>
                <c:pt idx="877">
                  <c:v>0.97854161890309721</c:v>
                </c:pt>
                <c:pt idx="878">
                  <c:v>0.9787948667830344</c:v>
                </c:pt>
                <c:pt idx="879">
                  <c:v>0.97904515753230426</c:v>
                </c:pt>
                <c:pt idx="880">
                  <c:v>0.97929252493781471</c:v>
                </c:pt>
                <c:pt idx="881">
                  <c:v>0.97953700241788499</c:v>
                </c:pt>
                <c:pt idx="882">
                  <c:v>0.9797786230258535</c:v>
                </c:pt>
                <c:pt idx="883">
                  <c:v>0.98001741945366128</c:v>
                </c:pt>
                <c:pt idx="884">
                  <c:v>0.98025342403541027</c:v>
                </c:pt>
                <c:pt idx="885">
                  <c:v>0.98048666875089563</c:v>
                </c:pt>
                <c:pt idx="886">
                  <c:v>0.98071718522911222</c:v>
                </c:pt>
                <c:pt idx="887">
                  <c:v>0.9809450047517364</c:v>
                </c:pt>
                <c:pt idx="888">
                  <c:v>0.98117015825658127</c:v>
                </c:pt>
                <c:pt idx="889">
                  <c:v>0.98139267634102634</c:v>
                </c:pt>
                <c:pt idx="890">
                  <c:v>0.98161258926542216</c:v>
                </c:pt>
                <c:pt idx="891">
                  <c:v>0.98182992695646798</c:v>
                </c:pt>
                <c:pt idx="892">
                  <c:v>0.98204471901056478</c:v>
                </c:pt>
                <c:pt idx="893">
                  <c:v>0.98225699469714156</c:v>
                </c:pt>
                <c:pt idx="894">
                  <c:v>0.98246678296195655</c:v>
                </c:pt>
                <c:pt idx="895">
                  <c:v>0.98267411243037206</c:v>
                </c:pt>
                <c:pt idx="896">
                  <c:v>0.98287901141060408</c:v>
                </c:pt>
                <c:pt idx="897">
                  <c:v>0.98308150789694526</c:v>
                </c:pt>
                <c:pt idx="898">
                  <c:v>0.98328162957296317</c:v>
                </c:pt>
                <c:pt idx="899">
                  <c:v>0.98347940381467203</c:v>
                </c:pt>
                <c:pt idx="900">
                  <c:v>0.98367485769367868</c:v>
                </c:pt>
                <c:pt idx="901">
                  <c:v>0.98386801798030399</c:v>
                </c:pt>
                <c:pt idx="902">
                  <c:v>0.9840589111466771</c:v>
                </c:pt>
                <c:pt idx="903">
                  <c:v>0.98424756336980501</c:v>
                </c:pt>
                <c:pt idx="904">
                  <c:v>0.98443400053461694</c:v>
                </c:pt>
                <c:pt idx="905">
                  <c:v>0.98461824823698185</c:v>
                </c:pt>
                <c:pt idx="906">
                  <c:v>0.98480033178670234</c:v>
                </c:pt>
                <c:pt idx="907">
                  <c:v>0.98498027621048179</c:v>
                </c:pt>
                <c:pt idx="908">
                  <c:v>0.98515810625486688</c:v>
                </c:pt>
                <c:pt idx="909">
                  <c:v>0.98533384638916488</c:v>
                </c:pt>
                <c:pt idx="910">
                  <c:v>0.9855075208083357</c:v>
                </c:pt>
                <c:pt idx="911">
                  <c:v>0.98567915343585899</c:v>
                </c:pt>
                <c:pt idx="912">
                  <c:v>0.98584876792657605</c:v>
                </c:pt>
                <c:pt idx="913">
                  <c:v>0.9860163876695075</c:v>
                </c:pt>
                <c:pt idx="914">
                  <c:v>0.98618203579064567</c:v>
                </c:pt>
                <c:pt idx="915">
                  <c:v>0.98634573515572233</c:v>
                </c:pt>
                <c:pt idx="916">
                  <c:v>0.98650750837295176</c:v>
                </c:pt>
                <c:pt idx="917">
                  <c:v>0.98666737779575031</c:v>
                </c:pt>
                <c:pt idx="918">
                  <c:v>0.98682536552543032</c:v>
                </c:pt>
                <c:pt idx="919">
                  <c:v>0.98698149341387031</c:v>
                </c:pt>
                <c:pt idx="920">
                  <c:v>0.98713578306616145</c:v>
                </c:pt>
                <c:pt idx="921">
                  <c:v>0.98728825584322943</c:v>
                </c:pt>
                <c:pt idx="922">
                  <c:v>0.98743893286443296</c:v>
                </c:pt>
                <c:pt idx="923">
                  <c:v>0.98758783501013769</c:v>
                </c:pt>
                <c:pt idx="924">
                  <c:v>0.98773498292426731</c:v>
                </c:pt>
                <c:pt idx="925">
                  <c:v>0.9878803970168305</c:v>
                </c:pt>
                <c:pt idx="926">
                  <c:v>0.98802409746642528</c:v>
                </c:pt>
                <c:pt idx="927">
                  <c:v>0.98816610422271889</c:v>
                </c:pt>
                <c:pt idx="928">
                  <c:v>0.98830643700890553</c:v>
                </c:pt>
                <c:pt idx="929">
                  <c:v>0.98844511532414059</c:v>
                </c:pt>
                <c:pt idx="930">
                  <c:v>0.9885821584459521</c:v>
                </c:pt>
                <c:pt idx="931">
                  <c:v>0.98871758543262944</c:v>
                </c:pt>
                <c:pt idx="932">
                  <c:v>0.98885141512558927</c:v>
                </c:pt>
                <c:pt idx="933">
                  <c:v>0.9889836661517194</c:v>
                </c:pt>
                <c:pt idx="934">
                  <c:v>0.98911435692569982</c:v>
                </c:pt>
                <c:pt idx="935">
                  <c:v>0.98924350565230157</c:v>
                </c:pt>
                <c:pt idx="936">
                  <c:v>0.98937113032866408</c:v>
                </c:pt>
                <c:pt idx="937">
                  <c:v>0.98949724874654987</c:v>
                </c:pt>
                <c:pt idx="938">
                  <c:v>0.98962187849457783</c:v>
                </c:pt>
                <c:pt idx="939">
                  <c:v>0.98974503696043492</c:v>
                </c:pt>
                <c:pt idx="940">
                  <c:v>0.9898667413330664</c:v>
                </c:pt>
                <c:pt idx="941">
                  <c:v>0.98998700860484412</c:v>
                </c:pt>
                <c:pt idx="942">
                  <c:v>0.99010585557371456</c:v>
                </c:pt>
                <c:pt idx="943">
                  <c:v>0.99022329884532501</c:v>
                </c:pt>
                <c:pt idx="944">
                  <c:v>0.99033935483512925</c:v>
                </c:pt>
                <c:pt idx="945">
                  <c:v>0.99045403977047253</c:v>
                </c:pt>
                <c:pt idx="946">
                  <c:v>0.99056736969265535</c:v>
                </c:pt>
                <c:pt idx="947">
                  <c:v>0.99067936045897742</c:v>
                </c:pt>
                <c:pt idx="948">
                  <c:v>0.99079002774476133</c:v>
                </c:pt>
                <c:pt idx="949">
                  <c:v>0.99089938704535518</c:v>
                </c:pt>
                <c:pt idx="950">
                  <c:v>0.9910074536781166</c:v>
                </c:pt>
                <c:pt idx="951">
                  <c:v>0.99111424278437521</c:v>
                </c:pt>
                <c:pt idx="952">
                  <c:v>0.99121976933137712</c:v>
                </c:pt>
                <c:pt idx="953">
                  <c:v>0.99132404811420827</c:v>
                </c:pt>
                <c:pt idx="954">
                  <c:v>0.99142709375769955</c:v>
                </c:pt>
                <c:pt idx="955">
                  <c:v>0.99152892071831211</c:v>
                </c:pt>
                <c:pt idx="956">
                  <c:v>0.99162954328600361</c:v>
                </c:pt>
                <c:pt idx="957">
                  <c:v>0.99172897558607542</c:v>
                </c:pt>
                <c:pt idx="958">
                  <c:v>0.99182723158100106</c:v>
                </c:pt>
                <c:pt idx="959">
                  <c:v>0.99192432507223649</c:v>
                </c:pt>
                <c:pt idx="960">
                  <c:v>0.99202026970201085</c:v>
                </c:pt>
                <c:pt idx="961">
                  <c:v>0.99211507895509976</c:v>
                </c:pt>
                <c:pt idx="962">
                  <c:v>0.99220876616057985</c:v>
                </c:pt>
                <c:pt idx="963">
                  <c:v>0.99230134449356588</c:v>
                </c:pt>
                <c:pt idx="964">
                  <c:v>0.99239282697692888</c:v>
                </c:pt>
                <c:pt idx="965">
                  <c:v>0.99248322648299747</c:v>
                </c:pt>
                <c:pt idx="966">
                  <c:v>0.9925725557352415</c:v>
                </c:pt>
                <c:pt idx="967">
                  <c:v>0.99266082730993743</c:v>
                </c:pt>
                <c:pt idx="968">
                  <c:v>0.99274805363781737</c:v>
                </c:pt>
                <c:pt idx="969">
                  <c:v>0.99283424700570011</c:v>
                </c:pt>
                <c:pt idx="970">
                  <c:v>0.99291941955810614</c:v>
                </c:pt>
                <c:pt idx="971">
                  <c:v>0.9930035832988543</c:v>
                </c:pt>
                <c:pt idx="972">
                  <c:v>0.99308675009264358</c:v>
                </c:pt>
                <c:pt idx="973">
                  <c:v>0.99316893166661635</c:v>
                </c:pt>
                <c:pt idx="974">
                  <c:v>0.99325013961190689</c:v>
                </c:pt>
                <c:pt idx="975">
                  <c:v>0.99333038538517249</c:v>
                </c:pt>
                <c:pt idx="976">
                  <c:v>0.99340968031010879</c:v>
                </c:pt>
                <c:pt idx="977">
                  <c:v>0.99348803557894949</c:v>
                </c:pt>
                <c:pt idx="978">
                  <c:v>0.99356546225394893</c:v>
                </c:pt>
                <c:pt idx="979">
                  <c:v>0.99364197126885101</c:v>
                </c:pt>
                <c:pt idx="980">
                  <c:v>0.99371757343034028</c:v>
                </c:pt>
                <c:pt idx="981">
                  <c:v>0.99379227941947945</c:v>
                </c:pt>
                <c:pt idx="982">
                  <c:v>0.99386609979313012</c:v>
                </c:pt>
                <c:pt idx="983">
                  <c:v>0.99393904498535968</c:v>
                </c:pt>
                <c:pt idx="984">
                  <c:v>0.99401112530883218</c:v>
                </c:pt>
                <c:pt idx="985">
                  <c:v>0.9940823509561848</c:v>
                </c:pt>
                <c:pt idx="986">
                  <c:v>0.99415273200138954</c:v>
                </c:pt>
                <c:pt idx="987">
                  <c:v>0.99422227840110011</c:v>
                </c:pt>
                <c:pt idx="988">
                  <c:v>0.99429099999598469</c:v>
                </c:pt>
                <c:pt idx="989">
                  <c:v>0.99435890651204373</c:v>
                </c:pt>
                <c:pt idx="990">
                  <c:v>0.99442600756191468</c:v>
                </c:pt>
                <c:pt idx="991">
                  <c:v>0.99449231264616111</c:v>
                </c:pt>
                <c:pt idx="992">
                  <c:v>0.99455783115454954</c:v>
                </c:pt>
                <c:pt idx="993">
                  <c:v>0.99462257236731089</c:v>
                </c:pt>
                <c:pt idx="994">
                  <c:v>0.99468654545638968</c:v>
                </c:pt>
                <c:pt idx="995">
                  <c:v>0.99474975948667888</c:v>
                </c:pt>
                <c:pt idx="996">
                  <c:v>0.99481222341724129</c:v>
                </c:pt>
                <c:pt idx="997">
                  <c:v>0.994873946102518</c:v>
                </c:pt>
                <c:pt idx="998">
                  <c:v>0.99493493629352392</c:v>
                </c:pt>
                <c:pt idx="999">
                  <c:v>0.99499520263902941</c:v>
                </c:pt>
                <c:pt idx="1000">
                  <c:v>0.9950547536867298</c:v>
                </c:pt>
              </c:numCache>
            </c:numRef>
          </c:yVal>
        </c:ser>
        <c:ser>
          <c:idx val="2"/>
          <c:order val="5"/>
          <c:spPr>
            <a:ln w="12700">
              <a:solidFill>
                <a:srgbClr val="000000"/>
              </a:solidFill>
              <a:prstDash val="solid"/>
            </a:ln>
          </c:spPr>
          <c:marker>
            <c:symbol val="none"/>
          </c:marker>
          <c:xVal>
            <c:numRef>
              <c:f>'One correlation'!$AZ$7:$AZ$1007</c:f>
              <c:numCache>
                <c:formatCode>General</c:formatCode>
                <c:ptCount val="10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numCache>
            </c:numRef>
          </c:xVal>
          <c:yVal>
            <c:numRef>
              <c:f>'One correlation'!$BA$7:$BA$1007</c:f>
              <c:numCache>
                <c:formatCode>General</c:formatCode>
                <c:ptCount val="1001"/>
                <c:pt idx="0">
                  <c:v>-0.99505475368673058</c:v>
                </c:pt>
                <c:pt idx="1">
                  <c:v>-0.99499520263903007</c:v>
                </c:pt>
                <c:pt idx="2">
                  <c:v>-0.9949349362935247</c:v>
                </c:pt>
                <c:pt idx="3">
                  <c:v>-0.99487394610251867</c:v>
                </c:pt>
                <c:pt idx="4">
                  <c:v>-0.99481222341724207</c:v>
                </c:pt>
                <c:pt idx="5">
                  <c:v>-0.99474975948667965</c:v>
                </c:pt>
                <c:pt idx="6">
                  <c:v>-0.99468654545639046</c:v>
                </c:pt>
                <c:pt idx="7">
                  <c:v>-0.99462257236731155</c:v>
                </c:pt>
                <c:pt idx="8">
                  <c:v>-0.99455783115455032</c:v>
                </c:pt>
                <c:pt idx="9">
                  <c:v>-0.99449231264616178</c:v>
                </c:pt>
                <c:pt idx="10">
                  <c:v>-0.99442600756191557</c:v>
                </c:pt>
                <c:pt idx="11">
                  <c:v>-0.9943589065120445</c:v>
                </c:pt>
                <c:pt idx="12">
                  <c:v>-0.99429099999598547</c:v>
                </c:pt>
                <c:pt idx="13">
                  <c:v>-0.994222278401101</c:v>
                </c:pt>
                <c:pt idx="14">
                  <c:v>-0.99415273200139032</c:v>
                </c:pt>
                <c:pt idx="15">
                  <c:v>-0.99408235095618569</c:v>
                </c:pt>
                <c:pt idx="16">
                  <c:v>-0.99401112530883295</c:v>
                </c:pt>
                <c:pt idx="17">
                  <c:v>-0.99393904498536056</c:v>
                </c:pt>
                <c:pt idx="18">
                  <c:v>-0.9938660997931309</c:v>
                </c:pt>
                <c:pt idx="19">
                  <c:v>-0.99379227941948034</c:v>
                </c:pt>
                <c:pt idx="20">
                  <c:v>-0.99371757343034128</c:v>
                </c:pt>
                <c:pt idx="21">
                  <c:v>-0.99364197126885201</c:v>
                </c:pt>
                <c:pt idx="22">
                  <c:v>-0.99356546225394982</c:v>
                </c:pt>
                <c:pt idx="23">
                  <c:v>-0.99348803557895038</c:v>
                </c:pt>
                <c:pt idx="24">
                  <c:v>-0.99340968031010968</c:v>
                </c:pt>
                <c:pt idx="25">
                  <c:v>-0.99333038538517338</c:v>
                </c:pt>
                <c:pt idx="26">
                  <c:v>-0.99325013961190778</c:v>
                </c:pt>
                <c:pt idx="27">
                  <c:v>-0.99316893166661724</c:v>
                </c:pt>
                <c:pt idx="28">
                  <c:v>-0.99308675009264447</c:v>
                </c:pt>
                <c:pt idx="29">
                  <c:v>-0.9930035832988553</c:v>
                </c:pt>
                <c:pt idx="30">
                  <c:v>-0.99291941955810703</c:v>
                </c:pt>
                <c:pt idx="31">
                  <c:v>-0.99283424700570111</c:v>
                </c:pt>
                <c:pt idx="32">
                  <c:v>-0.99274805363781848</c:v>
                </c:pt>
                <c:pt idx="33">
                  <c:v>-0.99266082730993843</c:v>
                </c:pt>
                <c:pt idx="34">
                  <c:v>-0.99257255573524261</c:v>
                </c:pt>
                <c:pt idx="35">
                  <c:v>-0.99248322648299858</c:v>
                </c:pt>
                <c:pt idx="36">
                  <c:v>-0.99239282697692976</c:v>
                </c:pt>
                <c:pt idx="37">
                  <c:v>-0.99230134449356688</c:v>
                </c:pt>
                <c:pt idx="38">
                  <c:v>-0.99220876616058085</c:v>
                </c:pt>
                <c:pt idx="39">
                  <c:v>-0.99211507895510076</c:v>
                </c:pt>
                <c:pt idx="40">
                  <c:v>-0.99202026970201196</c:v>
                </c:pt>
                <c:pt idx="41">
                  <c:v>-0.99192432507223749</c:v>
                </c:pt>
                <c:pt idx="42">
                  <c:v>-0.99182723158100217</c:v>
                </c:pt>
                <c:pt idx="43">
                  <c:v>-0.99172897558607642</c:v>
                </c:pt>
                <c:pt idx="44">
                  <c:v>-0.99162954328600472</c:v>
                </c:pt>
                <c:pt idx="45">
                  <c:v>-0.99152892071831322</c:v>
                </c:pt>
                <c:pt idx="46">
                  <c:v>-0.99142709375770077</c:v>
                </c:pt>
                <c:pt idx="47">
                  <c:v>-0.99132404811420949</c:v>
                </c:pt>
                <c:pt idx="48">
                  <c:v>-0.99121976933137823</c:v>
                </c:pt>
                <c:pt idx="49">
                  <c:v>-0.99111424278437654</c:v>
                </c:pt>
                <c:pt idx="50">
                  <c:v>-0.99100745367811782</c:v>
                </c:pt>
                <c:pt idx="51">
                  <c:v>-0.99089938704535652</c:v>
                </c:pt>
                <c:pt idx="52">
                  <c:v>-0.99079002774476255</c:v>
                </c:pt>
                <c:pt idx="53">
                  <c:v>-0.99067936045897875</c:v>
                </c:pt>
                <c:pt idx="54">
                  <c:v>-0.99056736969265657</c:v>
                </c:pt>
                <c:pt idx="55">
                  <c:v>-0.99045403977047375</c:v>
                </c:pt>
                <c:pt idx="56">
                  <c:v>-0.99033935483513047</c:v>
                </c:pt>
                <c:pt idx="57">
                  <c:v>-0.99022329884532623</c:v>
                </c:pt>
                <c:pt idx="58">
                  <c:v>-0.99010585557371578</c:v>
                </c:pt>
                <c:pt idx="59">
                  <c:v>-0.98998700860484545</c:v>
                </c:pt>
                <c:pt idx="60">
                  <c:v>-0.98986674133306762</c:v>
                </c:pt>
                <c:pt idx="61">
                  <c:v>-0.98974503696043636</c:v>
                </c:pt>
                <c:pt idx="62">
                  <c:v>-0.98962187849457928</c:v>
                </c:pt>
                <c:pt idx="63">
                  <c:v>-0.98949724874655121</c:v>
                </c:pt>
                <c:pt idx="64">
                  <c:v>-0.98937113032866553</c:v>
                </c:pt>
                <c:pt idx="65">
                  <c:v>-0.98924350565230312</c:v>
                </c:pt>
                <c:pt idx="66">
                  <c:v>-0.98911435692570138</c:v>
                </c:pt>
                <c:pt idx="67">
                  <c:v>-0.98898366615172084</c:v>
                </c:pt>
                <c:pt idx="68">
                  <c:v>-0.98885141512559072</c:v>
                </c:pt>
                <c:pt idx="69">
                  <c:v>-0.98871758543263089</c:v>
                </c:pt>
                <c:pt idx="70">
                  <c:v>-0.98858215844595354</c:v>
                </c:pt>
                <c:pt idx="71">
                  <c:v>-0.98844511532414225</c:v>
                </c:pt>
                <c:pt idx="72">
                  <c:v>-0.98830643700890708</c:v>
                </c:pt>
                <c:pt idx="73">
                  <c:v>-0.98816610422272055</c:v>
                </c:pt>
                <c:pt idx="74">
                  <c:v>-0.98802409746642683</c:v>
                </c:pt>
                <c:pt idx="75">
                  <c:v>-0.98788039701683217</c:v>
                </c:pt>
                <c:pt idx="76">
                  <c:v>-0.98773498292426898</c:v>
                </c:pt>
                <c:pt idx="77">
                  <c:v>-0.98758783501013947</c:v>
                </c:pt>
                <c:pt idx="78">
                  <c:v>-0.98743893286443474</c:v>
                </c:pt>
                <c:pt idx="79">
                  <c:v>-0.98728825584323121</c:v>
                </c:pt>
                <c:pt idx="80">
                  <c:v>-0.98713578306616312</c:v>
                </c:pt>
                <c:pt idx="81">
                  <c:v>-0.98698149341387198</c:v>
                </c:pt>
                <c:pt idx="82">
                  <c:v>-0.9868253655254321</c:v>
                </c:pt>
                <c:pt idx="83">
                  <c:v>-0.9866673777957522</c:v>
                </c:pt>
                <c:pt idx="84">
                  <c:v>-0.98650750837295376</c:v>
                </c:pt>
                <c:pt idx="85">
                  <c:v>-0.98634573515572421</c:v>
                </c:pt>
                <c:pt idx="86">
                  <c:v>-0.98618203579064756</c:v>
                </c:pt>
                <c:pt idx="87">
                  <c:v>-0.9860163876695095</c:v>
                </c:pt>
                <c:pt idx="88">
                  <c:v>-0.98584876792657794</c:v>
                </c:pt>
                <c:pt idx="89">
                  <c:v>-0.98567915343586088</c:v>
                </c:pt>
                <c:pt idx="90">
                  <c:v>-0.9855075208083377</c:v>
                </c:pt>
                <c:pt idx="91">
                  <c:v>-0.98533384638916688</c:v>
                </c:pt>
                <c:pt idx="92">
                  <c:v>-0.98515810625486899</c:v>
                </c:pt>
                <c:pt idx="93">
                  <c:v>-0.9849802762104839</c:v>
                </c:pt>
                <c:pt idx="94">
                  <c:v>-0.98480033178670445</c:v>
                </c:pt>
                <c:pt idx="95">
                  <c:v>-0.98461824823698385</c:v>
                </c:pt>
                <c:pt idx="96">
                  <c:v>-0.98443400053461905</c:v>
                </c:pt>
                <c:pt idx="97">
                  <c:v>-0.98424756336980723</c:v>
                </c:pt>
                <c:pt idx="98">
                  <c:v>-0.98405891114667909</c:v>
                </c:pt>
                <c:pt idx="99">
                  <c:v>-0.98386801798030621</c:v>
                </c:pt>
                <c:pt idx="100">
                  <c:v>-0.98367485769368102</c:v>
                </c:pt>
                <c:pt idx="101">
                  <c:v>-0.98347940381467414</c:v>
                </c:pt>
                <c:pt idx="102">
                  <c:v>-0.9832816295729655</c:v>
                </c:pt>
                <c:pt idx="103">
                  <c:v>-0.98308150789694759</c:v>
                </c:pt>
                <c:pt idx="104">
                  <c:v>-0.9828790114106063</c:v>
                </c:pt>
                <c:pt idx="105">
                  <c:v>-0.9826741124303745</c:v>
                </c:pt>
                <c:pt idx="106">
                  <c:v>-0.98246678296195888</c:v>
                </c:pt>
                <c:pt idx="107">
                  <c:v>-0.98225699469714389</c:v>
                </c:pt>
                <c:pt idx="108">
                  <c:v>-0.98204471901056734</c:v>
                </c:pt>
                <c:pt idx="109">
                  <c:v>-0.98182992695647064</c:v>
                </c:pt>
                <c:pt idx="110">
                  <c:v>-0.98161258926542472</c:v>
                </c:pt>
                <c:pt idx="111">
                  <c:v>-0.98139267634102889</c:v>
                </c:pt>
                <c:pt idx="112">
                  <c:v>-0.98117015825658371</c:v>
                </c:pt>
                <c:pt idx="113">
                  <c:v>-0.98094500475173907</c:v>
                </c:pt>
                <c:pt idx="114">
                  <c:v>-0.98071718522911489</c:v>
                </c:pt>
                <c:pt idx="115">
                  <c:v>-0.98048666875089829</c:v>
                </c:pt>
                <c:pt idx="116">
                  <c:v>-0.98025342403541293</c:v>
                </c:pt>
                <c:pt idx="117">
                  <c:v>-0.98001741945366394</c:v>
                </c:pt>
                <c:pt idx="118">
                  <c:v>-0.97977862302585617</c:v>
                </c:pt>
                <c:pt idx="119">
                  <c:v>-0.97953700241788777</c:v>
                </c:pt>
                <c:pt idx="120">
                  <c:v>-0.97929252493781749</c:v>
                </c:pt>
                <c:pt idx="121">
                  <c:v>-0.97904515753230714</c:v>
                </c:pt>
                <c:pt idx="122">
                  <c:v>-0.97879486678303729</c:v>
                </c:pt>
                <c:pt idx="123">
                  <c:v>-0.97854161890310021</c:v>
                </c:pt>
                <c:pt idx="124">
                  <c:v>-0.97828537973336394</c:v>
                </c:pt>
                <c:pt idx="125">
                  <c:v>-0.97802611473881496</c:v>
                </c:pt>
                <c:pt idx="126">
                  <c:v>-0.9777637890048726</c:v>
                </c:pt>
                <c:pt idx="127">
                  <c:v>-0.977498367233681</c:v>
                </c:pt>
                <c:pt idx="128">
                  <c:v>-0.97722981374037499</c:v>
                </c:pt>
                <c:pt idx="129">
                  <c:v>-0.97695809244932119</c:v>
                </c:pt>
                <c:pt idx="130">
                  <c:v>-0.97668316689033519</c:v>
                </c:pt>
                <c:pt idx="131">
                  <c:v>-0.97640500019487464</c:v>
                </c:pt>
                <c:pt idx="132">
                  <c:v>-0.97612355509220805</c:v>
                </c:pt>
                <c:pt idx="133">
                  <c:v>-0.97583879390555817</c:v>
                </c:pt>
                <c:pt idx="134">
                  <c:v>-0.97555067854822342</c:v>
                </c:pt>
                <c:pt idx="135">
                  <c:v>-0.97525917051967659</c:v>
                </c:pt>
                <c:pt idx="136">
                  <c:v>-0.97496423090163642</c:v>
                </c:pt>
                <c:pt idx="137">
                  <c:v>-0.97466582035412053</c:v>
                </c:pt>
                <c:pt idx="138">
                  <c:v>-0.97436389911147225</c:v>
                </c:pt>
                <c:pt idx="139">
                  <c:v>-0.97405842697836731</c:v>
                </c:pt>
                <c:pt idx="140">
                  <c:v>-0.97374936332579598</c:v>
                </c:pt>
                <c:pt idx="141">
                  <c:v>-0.9734366670870257</c:v>
                </c:pt>
                <c:pt idx="142">
                  <c:v>-0.9731202967535395</c:v>
                </c:pt>
                <c:pt idx="143">
                  <c:v>-0.97280021037095554</c:v>
                </c:pt>
                <c:pt idx="144">
                  <c:v>-0.97247636553492312</c:v>
                </c:pt>
                <c:pt idx="145">
                  <c:v>-0.97214871938700087</c:v>
                </c:pt>
                <c:pt idx="146">
                  <c:v>-0.97181722861051234</c:v>
                </c:pt>
                <c:pt idx="147">
                  <c:v>-0.9714818494263826</c:v>
                </c:pt>
                <c:pt idx="148">
                  <c:v>-0.97114253758895619</c:v>
                </c:pt>
                <c:pt idx="149">
                  <c:v>-0.97079924838179465</c:v>
                </c:pt>
                <c:pt idx="150">
                  <c:v>-0.97045193661345575</c:v>
                </c:pt>
                <c:pt idx="151">
                  <c:v>-0.97010055661325634</c:v>
                </c:pt>
                <c:pt idx="152">
                  <c:v>-0.96974506222701506</c:v>
                </c:pt>
                <c:pt idx="153">
                  <c:v>-0.96938540681277963</c:v>
                </c:pt>
                <c:pt idx="154">
                  <c:v>-0.96902154323653611</c:v>
                </c:pt>
                <c:pt idx="155">
                  <c:v>-0.96865342386790487</c:v>
                </c:pt>
                <c:pt idx="156">
                  <c:v>-0.96828100057581779</c:v>
                </c:pt>
                <c:pt idx="157">
                  <c:v>-0.96790422472418214</c:v>
                </c:pt>
                <c:pt idx="158">
                  <c:v>-0.96752304716753068</c:v>
                </c:pt>
                <c:pt idx="159">
                  <c:v>-0.967137418246657</c:v>
                </c:pt>
                <c:pt idx="160">
                  <c:v>-0.96674728778423902</c:v>
                </c:pt>
                <c:pt idx="161">
                  <c:v>-0.96635260508044851</c:v>
                </c:pt>
                <c:pt idx="162">
                  <c:v>-0.96595331890855152</c:v>
                </c:pt>
                <c:pt idx="163">
                  <c:v>-0.96554937751049474</c:v>
                </c:pt>
                <c:pt idx="164">
                  <c:v>-0.96514072859248501</c:v>
                </c:pt>
                <c:pt idx="165">
                  <c:v>-0.96472731932055711</c:v>
                </c:pt>
                <c:pt idx="166">
                  <c:v>-0.96430909631613415</c:v>
                </c:pt>
                <c:pt idx="167">
                  <c:v>-0.96388600565157967</c:v>
                </c:pt>
                <c:pt idx="168">
                  <c:v>-0.96345799284574418</c:v>
                </c:pt>
                <c:pt idx="169">
                  <c:v>-0.96302500285950321</c:v>
                </c:pt>
                <c:pt idx="170">
                  <c:v>-0.96258698009129351</c:v>
                </c:pt>
                <c:pt idx="171">
                  <c:v>-0.96214386837264232</c:v>
                </c:pt>
                <c:pt idx="172">
                  <c:v>-0.96169561096369593</c:v>
                </c:pt>
                <c:pt idx="173">
                  <c:v>-0.96124215054874407</c:v>
                </c:pt>
                <c:pt idx="174">
                  <c:v>-0.96078342923174465</c:v>
                </c:pt>
                <c:pt idx="175">
                  <c:v>-0.96031938853184773</c:v>
                </c:pt>
                <c:pt idx="176">
                  <c:v>-0.95984996937892175</c:v>
                </c:pt>
                <c:pt idx="177">
                  <c:v>-0.95937511210908022</c:v>
                </c:pt>
                <c:pt idx="178">
                  <c:v>-0.95889475646021294</c:v>
                </c:pt>
                <c:pt idx="179">
                  <c:v>-0.95840884156752293</c:v>
                </c:pt>
                <c:pt idx="180">
                  <c:v>-0.95791730595906643</c:v>
                </c:pt>
                <c:pt idx="181">
                  <c:v>-0.95742008755130248</c:v>
                </c:pt>
                <c:pt idx="182">
                  <c:v>-0.95691712364464987</c:v>
                </c:pt>
                <c:pt idx="183">
                  <c:v>-0.95640835091905518</c:v>
                </c:pt>
                <c:pt idx="184">
                  <c:v>-0.95589370542956897</c:v>
                </c:pt>
                <c:pt idx="185">
                  <c:v>-0.95537312260193874</c:v>
                </c:pt>
                <c:pt idx="186">
                  <c:v>-0.95484653722821222</c:v>
                </c:pt>
                <c:pt idx="187">
                  <c:v>-0.95431388346235912</c:v>
                </c:pt>
                <c:pt idx="188">
                  <c:v>-0.95377509481590805</c:v>
                </c:pt>
                <c:pt idx="189">
                  <c:v>-0.9532301041536031</c:v>
                </c:pt>
                <c:pt idx="190">
                  <c:v>-0.95267884368908096</c:v>
                </c:pt>
                <c:pt idx="191">
                  <c:v>-0.9521212449805686</c:v>
                </c:pt>
                <c:pt idx="192">
                  <c:v>-0.9515572389266076</c:v>
                </c:pt>
                <c:pt idx="193">
                  <c:v>-0.95098675576180003</c:v>
                </c:pt>
                <c:pt idx="194">
                  <c:v>-0.95040972505258525</c:v>
                </c:pt>
                <c:pt idx="195">
                  <c:v>-0.94982607569304378</c:v>
                </c:pt>
                <c:pt idx="196">
                  <c:v>-0.94923573590073351</c:v>
                </c:pt>
                <c:pt idx="197">
                  <c:v>-0.94863863321255704</c:v>
                </c:pt>
                <c:pt idx="198">
                  <c:v>-0.94803469448066569</c:v>
                </c:pt>
                <c:pt idx="199">
                  <c:v>-0.94742384586840067</c:v>
                </c:pt>
                <c:pt idx="200">
                  <c:v>-0.94680601284627197</c:v>
                </c:pt>
                <c:pt idx="201">
                  <c:v>-0.94618112018797951</c:v>
                </c:pt>
                <c:pt idx="202">
                  <c:v>-0.94554909196647741</c:v>
                </c:pt>
                <c:pt idx="203">
                  <c:v>-0.94490985155008411</c:v>
                </c:pt>
                <c:pt idx="204">
                  <c:v>-0.94426332159864079</c:v>
                </c:pt>
                <c:pt idx="205">
                  <c:v>-0.9436094240597187</c:v>
                </c:pt>
                <c:pt idx="206">
                  <c:v>-0.94294808016488219</c:v>
                </c:pt>
                <c:pt idx="207">
                  <c:v>-0.94227921042600249</c:v>
                </c:pt>
                <c:pt idx="208">
                  <c:v>-0.94160273463163457</c:v>
                </c:pt>
                <c:pt idx="209">
                  <c:v>-0.94091857184344918</c:v>
                </c:pt>
                <c:pt idx="210">
                  <c:v>-0.94022664039273163</c:v>
                </c:pt>
                <c:pt idx="211">
                  <c:v>-0.93952685787694401</c:v>
                </c:pt>
                <c:pt idx="212">
                  <c:v>-0.93881914115635634</c:v>
                </c:pt>
                <c:pt idx="213">
                  <c:v>-0.93810340635074985</c:v>
                </c:pt>
                <c:pt idx="214">
                  <c:v>-0.93737956883619211</c:v>
                </c:pt>
                <c:pt idx="215">
                  <c:v>-0.93664754324189159</c:v>
                </c:pt>
                <c:pt idx="216">
                  <c:v>-0.93590724344712994</c:v>
                </c:pt>
                <c:pt idx="217">
                  <c:v>-0.93515858257827944</c:v>
                </c:pt>
                <c:pt idx="218">
                  <c:v>-0.93440147300590415</c:v>
                </c:pt>
                <c:pt idx="219">
                  <c:v>-0.93363582634195219</c:v>
                </c:pt>
                <c:pt idx="220">
                  <c:v>-0.93286155343703958</c:v>
                </c:pt>
                <c:pt idx="221">
                  <c:v>-0.93207856437783099</c:v>
                </c:pt>
                <c:pt idx="222">
                  <c:v>-0.93128676848451752</c:v>
                </c:pt>
                <c:pt idx="223">
                  <c:v>-0.93048607430839969</c:v>
                </c:pt>
                <c:pt idx="224">
                  <c:v>-0.92967638962957444</c:v>
                </c:pt>
                <c:pt idx="225">
                  <c:v>-0.9288576214547325</c:v>
                </c:pt>
                <c:pt idx="226">
                  <c:v>-0.92802967601507069</c:v>
                </c:pt>
                <c:pt idx="227">
                  <c:v>-0.92719245876431755</c:v>
                </c:pt>
                <c:pt idx="228">
                  <c:v>-0.92634587437688387</c:v>
                </c:pt>
                <c:pt idx="229">
                  <c:v>-0.925489826746135</c:v>
                </c:pt>
                <c:pt idx="230">
                  <c:v>-0.92462421898279323</c:v>
                </c:pt>
                <c:pt idx="231">
                  <c:v>-0.92374895341347163</c:v>
                </c:pt>
                <c:pt idx="232">
                  <c:v>-0.92286393157934488</c:v>
                </c:pt>
                <c:pt idx="233">
                  <c:v>-0.92196905423496178</c:v>
                </c:pt>
                <c:pt idx="234">
                  <c:v>-0.92106422134720112</c:v>
                </c:pt>
                <c:pt idx="235">
                  <c:v>-0.92014933209437788</c:v>
                </c:pt>
                <c:pt idx="236">
                  <c:v>-0.91922428486550156</c:v>
                </c:pt>
                <c:pt idx="237">
                  <c:v>-0.91828897725969438</c:v>
                </c:pt>
                <c:pt idx="238">
                  <c:v>-0.91734330608577042</c:v>
                </c:pt>
                <c:pt idx="239">
                  <c:v>-0.91638716736198189</c:v>
                </c:pt>
                <c:pt idx="240">
                  <c:v>-0.91542045631593816</c:v>
                </c:pt>
                <c:pt idx="241">
                  <c:v>-0.91444306738469872</c:v>
                </c:pt>
                <c:pt idx="242">
                  <c:v>-0.91345489421504977</c:v>
                </c:pt>
                <c:pt idx="243">
                  <c:v>-0.91245582966396521</c:v>
                </c:pt>
                <c:pt idx="244">
                  <c:v>-0.91144576579925884</c:v>
                </c:pt>
                <c:pt idx="245">
                  <c:v>-0.91042459390043251</c:v>
                </c:pt>
                <c:pt idx="246">
                  <c:v>-0.90939220445972502</c:v>
                </c:pt>
                <c:pt idx="247">
                  <c:v>-0.90834848718336614</c:v>
                </c:pt>
                <c:pt idx="248">
                  <c:v>-0.90729333099304454</c:v>
                </c:pt>
                <c:pt idx="249">
                  <c:v>-0.90622662402758902</c:v>
                </c:pt>
                <c:pt idx="250">
                  <c:v>-0.90514825364487272</c:v>
                </c:pt>
                <c:pt idx="251">
                  <c:v>-0.90405810642394679</c:v>
                </c:pt>
                <c:pt idx="252">
                  <c:v>-0.9029560681674027</c:v>
                </c:pt>
                <c:pt idx="253">
                  <c:v>-0.90184202390397672</c:v>
                </c:pt>
                <c:pt idx="254">
                  <c:v>-0.90071585789139552</c:v>
                </c:pt>
                <c:pt idx="255">
                  <c:v>-0.89957745361947361</c:v>
                </c:pt>
                <c:pt idx="256">
                  <c:v>-0.89842669381346507</c:v>
                </c:pt>
                <c:pt idx="257">
                  <c:v>-0.89726346043767602</c:v>
                </c:pt>
                <c:pt idx="258">
                  <c:v>-0.8960876346993456</c:v>
                </c:pt>
                <c:pt idx="259">
                  <c:v>-0.8948990970527988</c:v>
                </c:pt>
                <c:pt idx="260">
                  <c:v>-0.89369772720387963</c:v>
                </c:pt>
                <c:pt idx="261">
                  <c:v>-0.89248340411466864</c:v>
                </c:pt>
                <c:pt idx="262">
                  <c:v>-0.89125600600849109</c:v>
                </c:pt>
                <c:pt idx="263">
                  <c:v>-0.89001541037522514</c:v>
                </c:pt>
                <c:pt idx="264">
                  <c:v>-0.88876149397691107</c:v>
                </c:pt>
                <c:pt idx="265">
                  <c:v>-0.88749413285367285</c:v>
                </c:pt>
                <c:pt idx="266">
                  <c:v>-0.88621320232995404</c:v>
                </c:pt>
                <c:pt idx="267">
                  <c:v>-0.88491857702107912</c:v>
                </c:pt>
                <c:pt idx="268">
                  <c:v>-0.88361013084014239</c:v>
                </c:pt>
                <c:pt idx="269">
                  <c:v>-0.88228773700523333</c:v>
                </c:pt>
                <c:pt idx="270">
                  <c:v>-0.88095126804700485</c:v>
                </c:pt>
                <c:pt idx="271">
                  <c:v>-0.87960059581658989</c:v>
                </c:pt>
                <c:pt idx="272">
                  <c:v>-0.87823559149387453</c:v>
                </c:pt>
                <c:pt idx="273">
                  <c:v>-0.87685612559613335</c:v>
                </c:pt>
                <c:pt idx="274">
                  <c:v>-0.87546206798703352</c:v>
                </c:pt>
                <c:pt idx="275">
                  <c:v>-0.87405328788601522</c:v>
                </c:pt>
                <c:pt idx="276">
                  <c:v>-0.87262965387805613</c:v>
                </c:pt>
                <c:pt idx="277">
                  <c:v>-0.87119103392382191</c:v>
                </c:pt>
                <c:pt idx="278">
                  <c:v>-0.86973729537021671</c:v>
                </c:pt>
                <c:pt idx="279">
                  <c:v>-0.86826830496133578</c:v>
                </c:pt>
                <c:pt idx="280">
                  <c:v>-0.86678392884982747</c:v>
                </c:pt>
                <c:pt idx="281">
                  <c:v>-0.86528403260867248</c:v>
                </c:pt>
                <c:pt idx="282">
                  <c:v>-0.86376848124338856</c:v>
                </c:pt>
                <c:pt idx="283">
                  <c:v>-0.86223713920466361</c:v>
                </c:pt>
                <c:pt idx="284">
                  <c:v>-0.86068987040142897</c:v>
                </c:pt>
                <c:pt idx="285">
                  <c:v>-0.85912653821437523</c:v>
                </c:pt>
                <c:pt idx="286">
                  <c:v>-0.85754700550992102</c:v>
                </c:pt>
                <c:pt idx="287">
                  <c:v>-0.85595113465464079</c:v>
                </c:pt>
                <c:pt idx="288">
                  <c:v>-0.85433878753015524</c:v>
                </c:pt>
                <c:pt idx="289">
                  <c:v>-0.85270982554849717</c:v>
                </c:pt>
                <c:pt idx="290">
                  <c:v>-0.85106410966795365</c:v>
                </c:pt>
                <c:pt idx="291">
                  <c:v>-0.8494015004093961</c:v>
                </c:pt>
                <c:pt idx="292">
                  <c:v>-0.84772185787310173</c:v>
                </c:pt>
                <c:pt idx="293">
                  <c:v>-0.84602504175607396</c:v>
                </c:pt>
                <c:pt idx="294">
                  <c:v>-0.84431091136987013</c:v>
                </c:pt>
                <c:pt idx="295">
                  <c:v>-0.84257932565893978</c:v>
                </c:pt>
                <c:pt idx="296">
                  <c:v>-0.84083014321948424</c:v>
                </c:pt>
                <c:pt idx="297">
                  <c:v>-0.83906322231883945</c:v>
                </c:pt>
                <c:pt idx="298">
                  <c:v>-0.83727842091539273</c:v>
                </c:pt>
                <c:pt idx="299">
                  <c:v>-0.83547559667903615</c:v>
                </c:pt>
                <c:pt idx="300">
                  <c:v>-0.83365460701216609</c:v>
                </c:pt>
                <c:pt idx="301">
                  <c:v>-0.83181530907123125</c:v>
                </c:pt>
                <c:pt idx="302">
                  <c:v>-0.82995755978883967</c:v>
                </c:pt>
                <c:pt idx="303">
                  <c:v>-0.82808121589642658</c:v>
                </c:pt>
                <c:pt idx="304">
                  <c:v>-0.82618613394749141</c:v>
                </c:pt>
                <c:pt idx="305">
                  <c:v>-0.82427217034140876</c:v>
                </c:pt>
                <c:pt idx="306">
                  <c:v>-0.82233918134781903</c:v>
                </c:pt>
                <c:pt idx="307">
                  <c:v>-0.82038702313160394</c:v>
                </c:pt>
                <c:pt idx="308">
                  <c:v>-0.81841555177845215</c:v>
                </c:pt>
                <c:pt idx="309">
                  <c:v>-0.81642462332102117</c:v>
                </c:pt>
                <c:pt idx="310">
                  <c:v>-0.81441409376569784</c:v>
                </c:pt>
                <c:pt idx="311">
                  <c:v>-0.81238381911996616</c:v>
                </c:pt>
                <c:pt idx="312">
                  <c:v>-0.8103336554203826</c:v>
                </c:pt>
                <c:pt idx="313">
                  <c:v>-0.80826345876116679</c:v>
                </c:pt>
                <c:pt idx="314">
                  <c:v>-0.80617308532340981</c:v>
                </c:pt>
                <c:pt idx="315">
                  <c:v>-0.80406239140490454</c:v>
                </c:pt>
                <c:pt idx="316">
                  <c:v>-0.80193123345060213</c:v>
                </c:pt>
                <c:pt idx="317">
                  <c:v>-0.79977946808369738</c:v>
                </c:pt>
                <c:pt idx="318">
                  <c:v>-0.79760695213734789</c:v>
                </c:pt>
                <c:pt idx="319">
                  <c:v>-0.79541354268702624</c:v>
                </c:pt>
                <c:pt idx="320">
                  <c:v>-0.79319909708351399</c:v>
                </c:pt>
                <c:pt idx="321">
                  <c:v>-0.79096347298653236</c:v>
                </c:pt>
                <c:pt idx="322">
                  <c:v>-0.78870652839902033</c:v>
                </c:pt>
                <c:pt idx="323">
                  <c:v>-0.78642812170205301</c:v>
                </c:pt>
                <c:pt idx="324">
                  <c:v>-0.78412811169040963</c:v>
                </c:pt>
                <c:pt idx="325">
                  <c:v>-0.78180635760878781</c:v>
                </c:pt>
                <c:pt idx="326">
                  <c:v>-0.77946271918866561</c:v>
                </c:pt>
                <c:pt idx="327">
                  <c:v>-0.77709705668581464</c:v>
                </c:pt>
                <c:pt idx="328">
                  <c:v>-0.77470923091845956</c:v>
                </c:pt>
                <c:pt idx="329">
                  <c:v>-0.77229910330608897</c:v>
                </c:pt>
                <c:pt idx="330">
                  <c:v>-0.76986653590891463</c:v>
                </c:pt>
                <c:pt idx="331">
                  <c:v>-0.76741139146797621</c:v>
                </c:pt>
                <c:pt idx="332">
                  <c:v>-0.76493353344589454</c:v>
                </c:pt>
                <c:pt idx="333">
                  <c:v>-0.76243282606826834</c:v>
                </c:pt>
                <c:pt idx="334">
                  <c:v>-0.75990913436571317</c:v>
                </c:pt>
                <c:pt idx="335">
                  <c:v>-0.75736232421654115</c:v>
                </c:pt>
                <c:pt idx="336">
                  <c:v>-0.75479226239007557</c:v>
                </c:pt>
                <c:pt idx="337">
                  <c:v>-0.75219881659059995</c:v>
                </c:pt>
                <c:pt idx="338">
                  <c:v>-0.74958185550193557</c:v>
                </c:pt>
                <c:pt idx="339">
                  <c:v>-0.74694124883264501</c:v>
                </c:pt>
                <c:pt idx="340">
                  <c:v>-0.74427686736185295</c:v>
                </c:pt>
                <c:pt idx="341">
                  <c:v>-0.74158858298568342</c:v>
                </c:pt>
                <c:pt idx="342">
                  <c:v>-0.73887626876430401</c:v>
                </c:pt>
                <c:pt idx="343">
                  <c:v>-0.73613979896957205</c:v>
                </c:pt>
                <c:pt idx="344">
                  <c:v>-0.73337904913327534</c:v>
                </c:pt>
                <c:pt idx="345">
                  <c:v>-0.73059389609596026</c:v>
                </c:pt>
                <c:pt idx="346">
                  <c:v>-0.72778421805633731</c:v>
                </c:pt>
                <c:pt idx="347">
                  <c:v>-0.72494989462125847</c:v>
                </c:pt>
                <c:pt idx="348">
                  <c:v>-0.72209080685625393</c:v>
                </c:pt>
                <c:pt idx="349">
                  <c:v>-0.71920683733661872</c:v>
                </c:pt>
                <c:pt idx="350">
                  <c:v>-0.71629787019904156</c:v>
                </c:pt>
                <c:pt idx="351">
                  <c:v>-0.71336379119376025</c:v>
                </c:pt>
                <c:pt idx="352">
                  <c:v>-0.71040448773723619</c:v>
                </c:pt>
                <c:pt idx="353">
                  <c:v>-0.70741984896533172</c:v>
                </c:pt>
                <c:pt idx="354">
                  <c:v>-0.70440976578697967</c:v>
                </c:pt>
                <c:pt idx="355">
                  <c:v>-0.70137413093833023</c:v>
                </c:pt>
                <c:pt idx="356">
                  <c:v>-0.69831283903736241</c:v>
                </c:pt>
                <c:pt idx="357">
                  <c:v>-0.69522578663894119</c:v>
                </c:pt>
                <c:pt idx="358">
                  <c:v>-0.6921128722903096</c:v>
                </c:pt>
                <c:pt idx="359">
                  <c:v>-0.68897399658699454</c:v>
                </c:pt>
                <c:pt idx="360">
                  <c:v>-0.68580906222911298</c:v>
                </c:pt>
                <c:pt idx="361">
                  <c:v>-0.68261797407805824</c:v>
                </c:pt>
                <c:pt idx="362">
                  <c:v>-0.67940063921354765</c:v>
                </c:pt>
                <c:pt idx="363">
                  <c:v>-0.67615696699101535</c:v>
                </c:pt>
                <c:pt idx="364">
                  <c:v>-0.67288686909932549</c:v>
                </c:pt>
                <c:pt idx="365">
                  <c:v>-0.66959025961878993</c:v>
                </c:pt>
                <c:pt idx="366">
                  <c:v>-0.66626705507946538</c:v>
                </c:pt>
                <c:pt idx="367">
                  <c:v>-0.66291717451970877</c:v>
                </c:pt>
                <c:pt idx="368">
                  <c:v>-0.65954053954496938</c:v>
                </c:pt>
                <c:pt idx="369">
                  <c:v>-0.65613707438679236</c:v>
                </c:pt>
                <c:pt idx="370">
                  <c:v>-0.65270670596200997</c:v>
                </c:pt>
                <c:pt idx="371">
                  <c:v>-0.64924936393209509</c:v>
                </c:pt>
                <c:pt idx="372">
                  <c:v>-0.64576498076265143</c:v>
                </c:pt>
                <c:pt idx="373">
                  <c:v>-0.64225349178301394</c:v>
                </c:pt>
                <c:pt idx="374">
                  <c:v>-0.63871483524593242</c:v>
                </c:pt>
                <c:pt idx="375">
                  <c:v>-0.63514895238730806</c:v>
                </c:pt>
                <c:pt idx="376">
                  <c:v>-0.63155578748595853</c:v>
                </c:pt>
                <c:pt idx="377">
                  <c:v>-0.62793528792337694</c:v>
                </c:pt>
                <c:pt idx="378">
                  <c:v>-0.62428740424345941</c:v>
                </c:pt>
                <c:pt idx="379">
                  <c:v>-0.62061209021216601</c:v>
                </c:pt>
                <c:pt idx="380">
                  <c:v>-0.61690930287708656</c:v>
                </c:pt>
                <c:pt idx="381">
                  <c:v>-0.61317900262687874</c:v>
                </c:pt>
                <c:pt idx="382">
                  <c:v>-0.60942115325054225</c:v>
                </c:pt>
                <c:pt idx="383">
                  <c:v>-0.6056357219965014</c:v>
                </c:pt>
                <c:pt idx="384">
                  <c:v>-0.60182267963145464</c:v>
                </c:pt>
                <c:pt idx="385">
                  <c:v>-0.59798200049896366</c:v>
                </c:pt>
                <c:pt idx="386">
                  <c:v>-0.59411366257773934</c:v>
                </c:pt>
                <c:pt idx="387">
                  <c:v>-0.59021764753959416</c:v>
                </c:pt>
                <c:pt idx="388">
                  <c:v>-0.58629394080702102</c:v>
                </c:pt>
                <c:pt idx="389">
                  <c:v>-0.58234253161036165</c:v>
                </c:pt>
                <c:pt idx="390">
                  <c:v>-0.57836341304452887</c:v>
                </c:pt>
                <c:pt idx="391">
                  <c:v>-0.57435658212523977</c:v>
                </c:pt>
                <c:pt idx="392">
                  <c:v>-0.5703220398447264</c:v>
                </c:pt>
                <c:pt idx="393">
                  <c:v>-0.5662597912268803</c:v>
                </c:pt>
                <c:pt idx="394">
                  <c:v>-0.56216984538179227</c:v>
                </c:pt>
                <c:pt idx="395">
                  <c:v>-0.55805221555964823</c:v>
                </c:pt>
                <c:pt idx="396">
                  <c:v>-0.55390691920393864</c:v>
                </c:pt>
                <c:pt idx="397">
                  <c:v>-0.54973397800394008</c:v>
                </c:pt>
                <c:pt idx="398">
                  <c:v>-0.54553341794643051</c:v>
                </c:pt>
                <c:pt idx="399">
                  <c:v>-0.54130526936659151</c:v>
                </c:pt>
                <c:pt idx="400">
                  <c:v>-0.53704956699806006</c:v>
                </c:pt>
                <c:pt idx="401">
                  <c:v>-0.53276635002208328</c:v>
                </c:pt>
                <c:pt idx="402">
                  <c:v>-0.52845566211573747</c:v>
                </c:pt>
                <c:pt idx="403">
                  <c:v>-0.52411755149916373</c:v>
                </c:pt>
                <c:pt idx="404">
                  <c:v>-0.51975207098178178</c:v>
                </c:pt>
                <c:pt idx="405">
                  <c:v>-0.5153592780074352</c:v>
                </c:pt>
                <c:pt idx="406">
                  <c:v>-0.51093923469842673</c:v>
                </c:pt>
                <c:pt idx="407">
                  <c:v>-0.5064920078983991</c:v>
                </c:pt>
                <c:pt idx="408">
                  <c:v>-0.50201766921401858</c:v>
                </c:pt>
                <c:pt idx="409">
                  <c:v>-0.49751629505541717</c:v>
                </c:pt>
                <c:pt idx="410">
                  <c:v>-0.49298796667535055</c:v>
                </c:pt>
                <c:pt idx="411">
                  <c:v>-0.48843277020702885</c:v>
                </c:pt>
                <c:pt idx="412">
                  <c:v>-0.48385079670057496</c:v>
                </c:pt>
                <c:pt idx="413">
                  <c:v>-0.47924214215807076</c:v>
                </c:pt>
                <c:pt idx="414">
                  <c:v>-0.47460690756714535</c:v>
                </c:pt>
                <c:pt idx="415">
                  <c:v>-0.46994519893306469</c:v>
                </c:pt>
                <c:pt idx="416">
                  <c:v>-0.46525712730927948</c:v>
                </c:pt>
                <c:pt idx="417">
                  <c:v>-0.46054280882639043</c:v>
                </c:pt>
                <c:pt idx="418">
                  <c:v>-0.45580236471948904</c:v>
                </c:pt>
                <c:pt idx="419">
                  <c:v>-0.45103592135383114</c:v>
                </c:pt>
                <c:pt idx="420">
                  <c:v>-0.44624361024880738</c:v>
                </c:pt>
                <c:pt idx="421">
                  <c:v>-0.44142556810016531</c:v>
                </c:pt>
                <c:pt idx="422">
                  <c:v>-0.43658193680044788</c:v>
                </c:pt>
                <c:pt idx="423">
                  <c:v>-0.43171286345760762</c:v>
                </c:pt>
                <c:pt idx="424">
                  <c:v>-0.42681850041175989</c:v>
                </c:pt>
                <c:pt idx="425">
                  <c:v>-0.42189900525003632</c:v>
                </c:pt>
                <c:pt idx="426">
                  <c:v>-0.41695454081950456</c:v>
                </c:pt>
                <c:pt idx="427">
                  <c:v>-0.41198527523811618</c:v>
                </c:pt>
                <c:pt idx="428">
                  <c:v>-0.40699138190365119</c:v>
                </c:pt>
                <c:pt idx="429">
                  <c:v>-0.40197303950062163</c:v>
                </c:pt>
                <c:pt idx="430">
                  <c:v>-0.39693043200510658</c:v>
                </c:pt>
                <c:pt idx="431">
                  <c:v>-0.39186374868748258</c:v>
                </c:pt>
                <c:pt idx="432">
                  <c:v>-0.38677318411302075</c:v>
                </c:pt>
                <c:pt idx="433">
                  <c:v>-0.38165893814032353</c:v>
                </c:pt>
                <c:pt idx="434">
                  <c:v>-0.37652121591756854</c:v>
                </c:pt>
                <c:pt idx="435">
                  <c:v>-0.37136022787653744</c:v>
                </c:pt>
                <c:pt idx="436">
                  <c:v>-0.36617618972440003</c:v>
                </c:pt>
                <c:pt idx="437">
                  <c:v>-0.36096932243323354</c:v>
                </c:pt>
                <c:pt idx="438">
                  <c:v>-0.35573985222725135</c:v>
                </c:pt>
                <c:pt idx="439">
                  <c:v>-0.35048801056772066</c:v>
                </c:pt>
                <c:pt idx="440">
                  <c:v>-0.34521403413555135</c:v>
                </c:pt>
                <c:pt idx="441">
                  <c:v>-0.33991816481153392</c:v>
                </c:pt>
                <c:pt idx="442">
                  <c:v>-0.33460064965421388</c:v>
                </c:pt>
                <c:pt idx="443">
                  <c:v>-0.32926174087538451</c:v>
                </c:pt>
                <c:pt idx="444">
                  <c:v>-0.32390169581318651</c:v>
                </c:pt>
                <c:pt idx="445">
                  <c:v>-0.31852077690280184</c:v>
                </c:pt>
                <c:pt idx="446">
                  <c:v>-0.31311925164473203</c:v>
                </c:pt>
                <c:pt idx="447">
                  <c:v>-0.30769739257065332</c:v>
                </c:pt>
                <c:pt idx="448">
                  <c:v>-0.30225547720684137</c:v>
                </c:pt>
                <c:pt idx="449">
                  <c:v>-0.29679378803516171</c:v>
                </c:pt>
                <c:pt idx="450">
                  <c:v>-0.29131261245162238</c:v>
                </c:pt>
                <c:pt idx="451">
                  <c:v>-0.28581224272248973</c:v>
                </c:pt>
                <c:pt idx="452">
                  <c:v>-0.28029297593796526</c:v>
                </c:pt>
                <c:pt idx="453">
                  <c:v>-0.27475511396343133</c:v>
                </c:pt>
                <c:pt idx="454">
                  <c:v>-0.26919896338826577</c:v>
                </c:pt>
                <c:pt idx="455">
                  <c:v>-0.26362483547223531</c:v>
                </c:pt>
                <c:pt idx="456">
                  <c:v>-0.2580330460894773</c:v>
                </c:pt>
                <c:pt idx="457">
                  <c:v>-0.25242391567007794</c:v>
                </c:pt>
                <c:pt idx="458">
                  <c:v>-0.24679776913926282</c:v>
                </c:pt>
                <c:pt idx="459">
                  <c:v>-0.24115493585421419</c:v>
                </c:pt>
                <c:pt idx="460">
                  <c:v>-0.23549574953853042</c:v>
                </c:pt>
                <c:pt idx="461">
                  <c:v>-0.22982054821434947</c:v>
                </c:pt>
                <c:pt idx="462">
                  <c:v>-0.22412967413215543</c:v>
                </c:pt>
                <c:pt idx="463">
                  <c:v>-0.21842347369829318</c:v>
                </c:pt>
                <c:pt idx="464">
                  <c:v>-0.21270229740021462</c:v>
                </c:pt>
                <c:pt idx="465">
                  <c:v>-0.2069664997294855</c:v>
                </c:pt>
                <c:pt idx="466">
                  <c:v>-0.20121643910258194</c:v>
                </c:pt>
                <c:pt idx="467">
                  <c:v>-0.19545247777950725</c:v>
                </c:pt>
                <c:pt idx="468">
                  <c:v>-0.18967498178026329</c:v>
                </c:pt>
                <c:pt idx="469">
                  <c:v>-0.1838843207992118</c:v>
                </c:pt>
                <c:pt idx="470">
                  <c:v>-0.17808086811736351</c:v>
                </c:pt>
                <c:pt idx="471">
                  <c:v>-0.17226500051263241</c:v>
                </c:pt>
                <c:pt idx="472">
                  <c:v>-0.16643709816810021</c:v>
                </c:pt>
                <c:pt idx="473">
                  <c:v>-0.16059754457833028</c:v>
                </c:pt>
                <c:pt idx="474">
                  <c:v>-0.15474672645377938</c:v>
                </c:pt>
                <c:pt idx="475">
                  <c:v>-0.14888503362335151</c:v>
                </c:pt>
                <c:pt idx="476">
                  <c:v>-0.14301285893514545</c:v>
                </c:pt>
                <c:pt idx="477">
                  <c:v>-0.13713059815544362</c:v>
                </c:pt>
                <c:pt idx="478">
                  <c:v>-0.13123864986599676</c:v>
                </c:pt>
                <c:pt idx="479">
                  <c:v>-0.12533741535965787</c:v>
                </c:pt>
                <c:pt idx="480">
                  <c:v>-0.11942729853441973</c:v>
                </c:pt>
                <c:pt idx="481">
                  <c:v>-0.1135087057859151</c:v>
                </c:pt>
                <c:pt idx="482">
                  <c:v>-0.10758204589843751</c:v>
                </c:pt>
                <c:pt idx="483">
                  <c:v>-0.10164772993454188</c:v>
                </c:pt>
                <c:pt idx="484">
                  <c:v>-9.5706171123288927E-2</c:v>
                </c:pt>
                <c:pt idx="485">
                  <c:v>-8.9757784747194133E-2</c:v>
                </c:pt>
                <c:pt idx="486">
                  <c:v>-8.3802988027946737E-2</c:v>
                </c:pt>
                <c:pt idx="487">
                  <c:v>-7.7842200010964799E-2</c:v>
                </c:pt>
                <c:pt idx="488">
                  <c:v>-7.1875841448851813E-2</c:v>
                </c:pt>
                <c:pt idx="489">
                  <c:v>-6.5904334683824159E-2</c:v>
                </c:pt>
                <c:pt idx="490">
                  <c:v>-5.9928103529177636E-2</c:v>
                </c:pt>
                <c:pt idx="491">
                  <c:v>-5.3947573149863183E-2</c:v>
                </c:pt>
                <c:pt idx="492">
                  <c:v>-4.7963169942243075E-2</c:v>
                </c:pt>
                <c:pt idx="493">
                  <c:v>-4.1975321413098864E-2</c:v>
                </c:pt>
                <c:pt idx="494">
                  <c:v>-3.5984456057964034E-2</c:v>
                </c:pt>
                <c:pt idx="495">
                  <c:v>-2.9991003238854355E-2</c:v>
                </c:pt>
                <c:pt idx="496">
                  <c:v>-2.3995393061469965E-2</c:v>
                </c:pt>
                <c:pt idx="497">
                  <c:v>-1.7998056251943624E-2</c:v>
                </c:pt>
                <c:pt idx="498">
                  <c:v>-1.1999424033209902E-2</c:v>
                </c:pt>
                <c:pt idx="499">
                  <c:v>-5.9999280010710658E-3</c:v>
                </c:pt>
                <c:pt idx="500">
                  <c:v>-3.4250380309687253E-14</c:v>
                </c:pt>
                <c:pt idx="501">
                  <c:v>5.9999280010024766E-3</c:v>
                </c:pt>
                <c:pt idx="502">
                  <c:v>1.1999424033141417E-2</c:v>
                </c:pt>
                <c:pt idx="503">
                  <c:v>1.7998056251875082E-2</c:v>
                </c:pt>
                <c:pt idx="504">
                  <c:v>2.3995393061401523E-2</c:v>
                </c:pt>
                <c:pt idx="505">
                  <c:v>2.9991003238785889E-2</c:v>
                </c:pt>
                <c:pt idx="506">
                  <c:v>3.5984456057895568E-2</c:v>
                </c:pt>
                <c:pt idx="507">
                  <c:v>4.1975321413030516E-2</c:v>
                </c:pt>
                <c:pt idx="508">
                  <c:v>4.7963169942174748E-2</c:v>
                </c:pt>
                <c:pt idx="509">
                  <c:v>5.3947573149794883E-2</c:v>
                </c:pt>
                <c:pt idx="510">
                  <c:v>5.9928103529109385E-2</c:v>
                </c:pt>
                <c:pt idx="511">
                  <c:v>6.5904334683755977E-2</c:v>
                </c:pt>
                <c:pt idx="512">
                  <c:v>7.1875841448783631E-2</c:v>
                </c:pt>
                <c:pt idx="513">
                  <c:v>7.7842200010896659E-2</c:v>
                </c:pt>
                <c:pt idx="514">
                  <c:v>8.3802988027878667E-2</c:v>
                </c:pt>
                <c:pt idx="515">
                  <c:v>8.9757784747126146E-2</c:v>
                </c:pt>
                <c:pt idx="516">
                  <c:v>9.5706171123221079E-2</c:v>
                </c:pt>
                <c:pt idx="517">
                  <c:v>0.10164772993447402</c:v>
                </c:pt>
                <c:pt idx="518">
                  <c:v>0.10758204589836977</c:v>
                </c:pt>
                <c:pt idx="519">
                  <c:v>0.11350870578584747</c:v>
                </c:pt>
                <c:pt idx="520">
                  <c:v>0.11942729853435216</c:v>
                </c:pt>
                <c:pt idx="521">
                  <c:v>0.12533741535959039</c:v>
                </c:pt>
                <c:pt idx="522">
                  <c:v>0.13123864986592948</c:v>
                </c:pt>
                <c:pt idx="523">
                  <c:v>0.13713059815537634</c:v>
                </c:pt>
                <c:pt idx="524">
                  <c:v>0.14301285893507837</c:v>
                </c:pt>
                <c:pt idx="525">
                  <c:v>0.14888503362328454</c:v>
                </c:pt>
                <c:pt idx="526">
                  <c:v>0.15474672645371243</c:v>
                </c:pt>
                <c:pt idx="527">
                  <c:v>0.16059754457826353</c:v>
                </c:pt>
                <c:pt idx="528">
                  <c:v>0.16643709816803356</c:v>
                </c:pt>
                <c:pt idx="529">
                  <c:v>0.17226500051256591</c:v>
                </c:pt>
                <c:pt idx="530">
                  <c:v>0.17808086811729709</c:v>
                </c:pt>
                <c:pt idx="531">
                  <c:v>0.1838843207991456</c:v>
                </c:pt>
                <c:pt idx="532">
                  <c:v>0.1896749817801972</c:v>
                </c:pt>
                <c:pt idx="533">
                  <c:v>0.19545247777944136</c:v>
                </c:pt>
                <c:pt idx="534">
                  <c:v>0.20121643910251627</c:v>
                </c:pt>
                <c:pt idx="535">
                  <c:v>0.20696649972941986</c:v>
                </c:pt>
                <c:pt idx="536">
                  <c:v>0.21270229740014918</c:v>
                </c:pt>
                <c:pt idx="537">
                  <c:v>0.21842347369822798</c:v>
                </c:pt>
                <c:pt idx="538">
                  <c:v>0.22412967413209037</c:v>
                </c:pt>
                <c:pt idx="539">
                  <c:v>0.22982054821428452</c:v>
                </c:pt>
                <c:pt idx="540">
                  <c:v>0.23549574953846569</c:v>
                </c:pt>
                <c:pt idx="541">
                  <c:v>0.24115493585414971</c:v>
                </c:pt>
                <c:pt idx="542">
                  <c:v>0.24679776913919849</c:v>
                </c:pt>
                <c:pt idx="543">
                  <c:v>0.25242391567001371</c:v>
                </c:pt>
                <c:pt idx="544">
                  <c:v>0.25803304608941335</c:v>
                </c:pt>
                <c:pt idx="545">
                  <c:v>0.26362483547217153</c:v>
                </c:pt>
                <c:pt idx="546">
                  <c:v>0.26919896338820215</c:v>
                </c:pt>
                <c:pt idx="547">
                  <c:v>0.27475511396336799</c:v>
                </c:pt>
                <c:pt idx="548">
                  <c:v>0.28029297593790209</c:v>
                </c:pt>
                <c:pt idx="549">
                  <c:v>0.28581224272242667</c:v>
                </c:pt>
                <c:pt idx="550">
                  <c:v>0.2913126124515597</c:v>
                </c:pt>
                <c:pt idx="551">
                  <c:v>0.2967937880350992</c:v>
                </c:pt>
                <c:pt idx="552">
                  <c:v>0.30225547720677903</c:v>
                </c:pt>
                <c:pt idx="553">
                  <c:v>0.3076973925705912</c:v>
                </c:pt>
                <c:pt idx="554">
                  <c:v>0.31311925164467019</c:v>
                </c:pt>
                <c:pt idx="555">
                  <c:v>0.31852077690274028</c:v>
                </c:pt>
                <c:pt idx="556">
                  <c:v>0.32390169581312517</c:v>
                </c:pt>
                <c:pt idx="557">
                  <c:v>0.32926174087532345</c:v>
                </c:pt>
                <c:pt idx="558">
                  <c:v>0.33460064965415298</c:v>
                </c:pt>
                <c:pt idx="559">
                  <c:v>0.33991816481147324</c:v>
                </c:pt>
                <c:pt idx="560">
                  <c:v>0.3452140341354909</c:v>
                </c:pt>
                <c:pt idx="561">
                  <c:v>0.35048801056766049</c:v>
                </c:pt>
                <c:pt idx="562">
                  <c:v>0.3557398522271914</c:v>
                </c:pt>
                <c:pt idx="563">
                  <c:v>0.36096932243317398</c:v>
                </c:pt>
                <c:pt idx="564">
                  <c:v>0.36617618972434068</c:v>
                </c:pt>
                <c:pt idx="565">
                  <c:v>0.37136022787647838</c:v>
                </c:pt>
                <c:pt idx="566">
                  <c:v>0.37652121591750976</c:v>
                </c:pt>
                <c:pt idx="567">
                  <c:v>0.38165893814026491</c:v>
                </c:pt>
                <c:pt idx="568">
                  <c:v>0.38677318411296241</c:v>
                </c:pt>
                <c:pt idx="569">
                  <c:v>0.39186374868742452</c:v>
                </c:pt>
                <c:pt idx="570">
                  <c:v>0.39693043200504891</c:v>
                </c:pt>
                <c:pt idx="571">
                  <c:v>0.40197303950056412</c:v>
                </c:pt>
                <c:pt idx="572">
                  <c:v>0.40699138190359391</c:v>
                </c:pt>
                <c:pt idx="573">
                  <c:v>0.41198527523805928</c:v>
                </c:pt>
                <c:pt idx="574">
                  <c:v>0.41695454081944788</c:v>
                </c:pt>
                <c:pt idx="575">
                  <c:v>0.42189900524997997</c:v>
                </c:pt>
                <c:pt idx="576">
                  <c:v>0.42681850041170388</c:v>
                </c:pt>
                <c:pt idx="577">
                  <c:v>0.43171286345755189</c:v>
                </c:pt>
                <c:pt idx="578">
                  <c:v>0.43658193680039237</c:v>
                </c:pt>
                <c:pt idx="579">
                  <c:v>0.44142556810011008</c:v>
                </c:pt>
                <c:pt idx="580">
                  <c:v>0.44624361024875253</c:v>
                </c:pt>
                <c:pt idx="581">
                  <c:v>0.45103592135377657</c:v>
                </c:pt>
                <c:pt idx="582">
                  <c:v>0.45580236471943469</c:v>
                </c:pt>
                <c:pt idx="583">
                  <c:v>0.46054280882633652</c:v>
                </c:pt>
                <c:pt idx="584">
                  <c:v>0.46525712730922564</c:v>
                </c:pt>
                <c:pt idx="585">
                  <c:v>0.46994519893301112</c:v>
                </c:pt>
                <c:pt idx="586">
                  <c:v>0.47460690756709223</c:v>
                </c:pt>
                <c:pt idx="587">
                  <c:v>0.47924214215801797</c:v>
                </c:pt>
                <c:pt idx="588">
                  <c:v>0.48385079670052245</c:v>
                </c:pt>
                <c:pt idx="589">
                  <c:v>0.48843277020697662</c:v>
                </c:pt>
                <c:pt idx="590">
                  <c:v>0.49298796667529865</c:v>
                </c:pt>
                <c:pt idx="591">
                  <c:v>0.49751629505536549</c:v>
                </c:pt>
                <c:pt idx="592">
                  <c:v>0.50201766921396718</c:v>
                </c:pt>
                <c:pt idx="593">
                  <c:v>0.50649200789834803</c:v>
                </c:pt>
                <c:pt idx="594">
                  <c:v>0.51093923469837599</c:v>
                </c:pt>
                <c:pt idx="595">
                  <c:v>0.51535927800738468</c:v>
                </c:pt>
                <c:pt idx="596">
                  <c:v>0.51975207098173171</c:v>
                </c:pt>
                <c:pt idx="597">
                  <c:v>0.52411755149911399</c:v>
                </c:pt>
                <c:pt idx="598">
                  <c:v>0.52845566211568806</c:v>
                </c:pt>
                <c:pt idx="599">
                  <c:v>0.5327663500220341</c:v>
                </c:pt>
                <c:pt idx="600">
                  <c:v>0.53704956699801121</c:v>
                </c:pt>
                <c:pt idx="601">
                  <c:v>0.541305269366543</c:v>
                </c:pt>
                <c:pt idx="602">
                  <c:v>0.54553341794638244</c:v>
                </c:pt>
                <c:pt idx="603">
                  <c:v>0.54973397800389223</c:v>
                </c:pt>
                <c:pt idx="604">
                  <c:v>0.55390691920389112</c:v>
                </c:pt>
                <c:pt idx="605">
                  <c:v>0.55805221555960105</c:v>
                </c:pt>
                <c:pt idx="606">
                  <c:v>0.5621698453817453</c:v>
                </c:pt>
                <c:pt idx="607">
                  <c:v>0.56625979122683368</c:v>
                </c:pt>
                <c:pt idx="608">
                  <c:v>0.57032203984468011</c:v>
                </c:pt>
                <c:pt idx="609">
                  <c:v>0.5743565821251938</c:v>
                </c:pt>
                <c:pt idx="610">
                  <c:v>0.57836341304448324</c:v>
                </c:pt>
                <c:pt idx="611">
                  <c:v>0.58234253161031635</c:v>
                </c:pt>
                <c:pt idx="612">
                  <c:v>0.58629394080697583</c:v>
                </c:pt>
                <c:pt idx="613">
                  <c:v>0.59021764753954942</c:v>
                </c:pt>
                <c:pt idx="614">
                  <c:v>0.59411366257769482</c:v>
                </c:pt>
                <c:pt idx="615">
                  <c:v>0.59798200049891959</c:v>
                </c:pt>
                <c:pt idx="616">
                  <c:v>0.6018226796314109</c:v>
                </c:pt>
                <c:pt idx="617">
                  <c:v>0.60563572199645788</c:v>
                </c:pt>
                <c:pt idx="618">
                  <c:v>0.60942115325049917</c:v>
                </c:pt>
                <c:pt idx="619">
                  <c:v>0.61317900262683589</c:v>
                </c:pt>
                <c:pt idx="620">
                  <c:v>0.61690930287704415</c:v>
                </c:pt>
                <c:pt idx="621">
                  <c:v>0.62061209021212371</c:v>
                </c:pt>
                <c:pt idx="622">
                  <c:v>0.62428740424341755</c:v>
                </c:pt>
                <c:pt idx="623">
                  <c:v>0.62793528792333553</c:v>
                </c:pt>
                <c:pt idx="624">
                  <c:v>0.63155578748591734</c:v>
                </c:pt>
                <c:pt idx="625">
                  <c:v>0.63514895238726721</c:v>
                </c:pt>
                <c:pt idx="626">
                  <c:v>0.63871483524589179</c:v>
                </c:pt>
                <c:pt idx="627">
                  <c:v>0.64225349178297375</c:v>
                </c:pt>
                <c:pt idx="628">
                  <c:v>0.64576498076261135</c:v>
                </c:pt>
                <c:pt idx="629">
                  <c:v>0.64924936393205535</c:v>
                </c:pt>
                <c:pt idx="630">
                  <c:v>0.65270670596197056</c:v>
                </c:pt>
                <c:pt idx="631">
                  <c:v>0.65613707438675328</c:v>
                </c:pt>
                <c:pt idx="632">
                  <c:v>0.65954053954493053</c:v>
                </c:pt>
                <c:pt idx="633">
                  <c:v>0.66291717451967025</c:v>
                </c:pt>
                <c:pt idx="634">
                  <c:v>0.6662670550794273</c:v>
                </c:pt>
                <c:pt idx="635">
                  <c:v>0.66959025961875218</c:v>
                </c:pt>
                <c:pt idx="636">
                  <c:v>0.67288686909928797</c:v>
                </c:pt>
                <c:pt idx="637">
                  <c:v>0.67615696699097805</c:v>
                </c:pt>
                <c:pt idx="638">
                  <c:v>0.67940063921351068</c:v>
                </c:pt>
                <c:pt idx="639">
                  <c:v>0.68261797407802161</c:v>
                </c:pt>
                <c:pt idx="640">
                  <c:v>0.68580906222907678</c:v>
                </c:pt>
                <c:pt idx="641">
                  <c:v>0.68897399658695846</c:v>
                </c:pt>
                <c:pt idx="642">
                  <c:v>0.69211287229027374</c:v>
                </c:pt>
                <c:pt idx="643">
                  <c:v>0.69522578663890577</c:v>
                </c:pt>
                <c:pt idx="644">
                  <c:v>0.69831283903732722</c:v>
                </c:pt>
                <c:pt idx="645">
                  <c:v>0.70137413093829537</c:v>
                </c:pt>
                <c:pt idx="646">
                  <c:v>0.70440976578694503</c:v>
                </c:pt>
                <c:pt idx="647">
                  <c:v>0.70741984896529753</c:v>
                </c:pt>
                <c:pt idx="648">
                  <c:v>0.71040448773720233</c:v>
                </c:pt>
                <c:pt idx="649">
                  <c:v>0.71336379119372662</c:v>
                </c:pt>
                <c:pt idx="650">
                  <c:v>0.71629787019900804</c:v>
                </c:pt>
                <c:pt idx="651">
                  <c:v>0.71920683733658564</c:v>
                </c:pt>
                <c:pt idx="652">
                  <c:v>0.72209080685622107</c:v>
                </c:pt>
                <c:pt idx="653">
                  <c:v>0.72494989462122605</c:v>
                </c:pt>
                <c:pt idx="654">
                  <c:v>0.727784218056305</c:v>
                </c:pt>
                <c:pt idx="655">
                  <c:v>0.73059389609592817</c:v>
                </c:pt>
                <c:pt idx="656">
                  <c:v>0.73337904913324359</c:v>
                </c:pt>
                <c:pt idx="657">
                  <c:v>0.73613979896954052</c:v>
                </c:pt>
                <c:pt idx="658">
                  <c:v>0.73887626876427281</c:v>
                </c:pt>
                <c:pt idx="659">
                  <c:v>0.74158858298565256</c:v>
                </c:pt>
                <c:pt idx="660">
                  <c:v>0.74427686736182241</c:v>
                </c:pt>
                <c:pt idx="661">
                  <c:v>0.7469412488326147</c:v>
                </c:pt>
                <c:pt idx="662">
                  <c:v>0.74958185550190548</c:v>
                </c:pt>
                <c:pt idx="663">
                  <c:v>0.75219881659057009</c:v>
                </c:pt>
                <c:pt idx="664">
                  <c:v>0.75479226239004593</c:v>
                </c:pt>
                <c:pt idx="665">
                  <c:v>0.75736232421651206</c:v>
                </c:pt>
                <c:pt idx="666">
                  <c:v>0.75990913436568419</c:v>
                </c:pt>
                <c:pt idx="667">
                  <c:v>0.76243282606823948</c:v>
                </c:pt>
                <c:pt idx="668">
                  <c:v>0.76493353344586601</c:v>
                </c:pt>
                <c:pt idx="669">
                  <c:v>0.76741139146794801</c:v>
                </c:pt>
                <c:pt idx="670">
                  <c:v>0.76986653590888665</c:v>
                </c:pt>
                <c:pt idx="671">
                  <c:v>0.77229910330606133</c:v>
                </c:pt>
                <c:pt idx="672">
                  <c:v>0.77470923091843202</c:v>
                </c:pt>
                <c:pt idx="673">
                  <c:v>0.77709705668578755</c:v>
                </c:pt>
                <c:pt idx="674">
                  <c:v>0.77946271918863874</c:v>
                </c:pt>
                <c:pt idx="675">
                  <c:v>0.78180635760876105</c:v>
                </c:pt>
                <c:pt idx="676">
                  <c:v>0.78412811169038321</c:v>
                </c:pt>
                <c:pt idx="677">
                  <c:v>0.78642812170202681</c:v>
                </c:pt>
                <c:pt idx="678">
                  <c:v>0.78870652839899436</c:v>
                </c:pt>
                <c:pt idx="679">
                  <c:v>0.79096347298650671</c:v>
                </c:pt>
                <c:pt idx="680">
                  <c:v>0.79319909708348846</c:v>
                </c:pt>
                <c:pt idx="681">
                  <c:v>0.79541354268700115</c:v>
                </c:pt>
                <c:pt idx="682">
                  <c:v>0.79760695213732291</c:v>
                </c:pt>
                <c:pt idx="683">
                  <c:v>0.79977946808367273</c:v>
                </c:pt>
                <c:pt idx="684">
                  <c:v>0.8019312334505776</c:v>
                </c:pt>
                <c:pt idx="685">
                  <c:v>0.80406239140488034</c:v>
                </c:pt>
                <c:pt idx="686">
                  <c:v>0.80617308532338583</c:v>
                </c:pt>
                <c:pt idx="687">
                  <c:v>0.80826345876114303</c:v>
                </c:pt>
                <c:pt idx="688">
                  <c:v>0.81033365542035907</c:v>
                </c:pt>
                <c:pt idx="689">
                  <c:v>0.81238381911994284</c:v>
                </c:pt>
                <c:pt idx="690">
                  <c:v>0.81441409376567475</c:v>
                </c:pt>
                <c:pt idx="691">
                  <c:v>0.8164246233209983</c:v>
                </c:pt>
                <c:pt idx="692">
                  <c:v>0.81841555177842962</c:v>
                </c:pt>
                <c:pt idx="693">
                  <c:v>0.82038702313158163</c:v>
                </c:pt>
                <c:pt idx="694">
                  <c:v>0.82233918134779693</c:v>
                </c:pt>
                <c:pt idx="695">
                  <c:v>0.82427217034138678</c:v>
                </c:pt>
                <c:pt idx="696">
                  <c:v>0.82618613394746965</c:v>
                </c:pt>
                <c:pt idx="697">
                  <c:v>0.82808121589640504</c:v>
                </c:pt>
                <c:pt idx="698">
                  <c:v>0.82995755978881836</c:v>
                </c:pt>
                <c:pt idx="699">
                  <c:v>0.83181530907121004</c:v>
                </c:pt>
                <c:pt idx="700">
                  <c:v>0.83365460701214511</c:v>
                </c:pt>
                <c:pt idx="701">
                  <c:v>0.83547559667901539</c:v>
                </c:pt>
                <c:pt idx="702">
                  <c:v>0.83727842091537208</c:v>
                </c:pt>
                <c:pt idx="703">
                  <c:v>0.83906322231881914</c:v>
                </c:pt>
                <c:pt idx="704">
                  <c:v>0.84083014321946403</c:v>
                </c:pt>
                <c:pt idx="705">
                  <c:v>0.84257932565891991</c:v>
                </c:pt>
                <c:pt idx="706">
                  <c:v>0.84431091136985037</c:v>
                </c:pt>
                <c:pt idx="707">
                  <c:v>0.84602504175605442</c:v>
                </c:pt>
                <c:pt idx="708">
                  <c:v>0.84772185787308241</c:v>
                </c:pt>
                <c:pt idx="709">
                  <c:v>0.84940150040937701</c:v>
                </c:pt>
                <c:pt idx="710">
                  <c:v>0.85106410966793467</c:v>
                </c:pt>
                <c:pt idx="711">
                  <c:v>0.85270982554847841</c:v>
                </c:pt>
                <c:pt idx="712">
                  <c:v>0.85433878753013681</c:v>
                </c:pt>
                <c:pt idx="713">
                  <c:v>0.85595113465462247</c:v>
                </c:pt>
                <c:pt idx="714">
                  <c:v>0.85754700550990293</c:v>
                </c:pt>
                <c:pt idx="715">
                  <c:v>0.85912653821435714</c:v>
                </c:pt>
                <c:pt idx="716">
                  <c:v>0.86068987040141109</c:v>
                </c:pt>
                <c:pt idx="717">
                  <c:v>0.86223713920464606</c:v>
                </c:pt>
                <c:pt idx="718">
                  <c:v>0.86376848124337113</c:v>
                </c:pt>
                <c:pt idx="719">
                  <c:v>0.86528403260865538</c:v>
                </c:pt>
                <c:pt idx="720">
                  <c:v>0.86678392884981037</c:v>
                </c:pt>
                <c:pt idx="721">
                  <c:v>0.86826830496131902</c:v>
                </c:pt>
                <c:pt idx="722">
                  <c:v>0.86973729537020006</c:v>
                </c:pt>
                <c:pt idx="723">
                  <c:v>0.87119103392380537</c:v>
                </c:pt>
                <c:pt idx="724">
                  <c:v>0.87262965387803981</c:v>
                </c:pt>
                <c:pt idx="725">
                  <c:v>0.87405328788599923</c:v>
                </c:pt>
                <c:pt idx="726">
                  <c:v>0.87546206798701742</c:v>
                </c:pt>
                <c:pt idx="727">
                  <c:v>0.87685612559611747</c:v>
                </c:pt>
                <c:pt idx="728">
                  <c:v>0.87823559149385899</c:v>
                </c:pt>
                <c:pt idx="729">
                  <c:v>0.87960059581657446</c:v>
                </c:pt>
                <c:pt idx="730">
                  <c:v>0.88095126804698964</c:v>
                </c:pt>
                <c:pt idx="731">
                  <c:v>0.88228773700521823</c:v>
                </c:pt>
                <c:pt idx="732">
                  <c:v>0.88361013084012729</c:v>
                </c:pt>
                <c:pt idx="733">
                  <c:v>0.88491857702106425</c:v>
                </c:pt>
                <c:pt idx="734">
                  <c:v>0.88621320232993928</c:v>
                </c:pt>
                <c:pt idx="735">
                  <c:v>0.88749413285365819</c:v>
                </c:pt>
                <c:pt idx="736">
                  <c:v>0.88876149397689674</c:v>
                </c:pt>
                <c:pt idx="737">
                  <c:v>0.89001541037521092</c:v>
                </c:pt>
                <c:pt idx="738">
                  <c:v>0.89125600600847699</c:v>
                </c:pt>
                <c:pt idx="739">
                  <c:v>0.89248340411465454</c:v>
                </c:pt>
                <c:pt idx="740">
                  <c:v>0.89369772720386587</c:v>
                </c:pt>
                <c:pt idx="741">
                  <c:v>0.89489909705278514</c:v>
                </c:pt>
                <c:pt idx="742">
                  <c:v>0.89608763469933195</c:v>
                </c:pt>
                <c:pt idx="743">
                  <c:v>0.8972634604376627</c:v>
                </c:pt>
                <c:pt idx="744">
                  <c:v>0.89842669381345186</c:v>
                </c:pt>
                <c:pt idx="745">
                  <c:v>0.89957745361946062</c:v>
                </c:pt>
                <c:pt idx="746">
                  <c:v>0.90071585789138253</c:v>
                </c:pt>
                <c:pt idx="747">
                  <c:v>0.90184202390396384</c:v>
                </c:pt>
                <c:pt idx="748">
                  <c:v>0.90295606816739016</c:v>
                </c:pt>
                <c:pt idx="749">
                  <c:v>0.90405810642393436</c:v>
                </c:pt>
                <c:pt idx="750">
                  <c:v>0.90514825364486051</c:v>
                </c:pt>
                <c:pt idx="751">
                  <c:v>0.9062266240275767</c:v>
                </c:pt>
                <c:pt idx="752">
                  <c:v>0.90729333099303255</c:v>
                </c:pt>
                <c:pt idx="753">
                  <c:v>0.90834848718335426</c:v>
                </c:pt>
                <c:pt idx="754">
                  <c:v>0.90939220445971303</c:v>
                </c:pt>
                <c:pt idx="755">
                  <c:v>0.91042459390042085</c:v>
                </c:pt>
                <c:pt idx="756">
                  <c:v>0.9114457657992473</c:v>
                </c:pt>
                <c:pt idx="757">
                  <c:v>0.91245582966395367</c:v>
                </c:pt>
                <c:pt idx="758">
                  <c:v>0.91345489421503834</c:v>
                </c:pt>
                <c:pt idx="759">
                  <c:v>0.91444306738468739</c:v>
                </c:pt>
                <c:pt idx="760">
                  <c:v>0.91542045631592706</c:v>
                </c:pt>
                <c:pt idx="761">
                  <c:v>0.91638716736197101</c:v>
                </c:pt>
                <c:pt idx="762">
                  <c:v>0.91734330608575954</c:v>
                </c:pt>
                <c:pt idx="763">
                  <c:v>0.91828897725968361</c:v>
                </c:pt>
                <c:pt idx="764">
                  <c:v>0.9192242848654909</c:v>
                </c:pt>
                <c:pt idx="765">
                  <c:v>0.92014933209436733</c:v>
                </c:pt>
                <c:pt idx="766">
                  <c:v>0.9210642213471909</c:v>
                </c:pt>
                <c:pt idx="767">
                  <c:v>0.92196905423495157</c:v>
                </c:pt>
                <c:pt idx="768">
                  <c:v>0.92286393157933466</c:v>
                </c:pt>
                <c:pt idx="769">
                  <c:v>0.92374895341346153</c:v>
                </c:pt>
                <c:pt idx="770">
                  <c:v>0.92462421898278335</c:v>
                </c:pt>
                <c:pt idx="771">
                  <c:v>0.92548982674612523</c:v>
                </c:pt>
                <c:pt idx="772">
                  <c:v>0.9263458743768741</c:v>
                </c:pt>
                <c:pt idx="773">
                  <c:v>0.92719245876430778</c:v>
                </c:pt>
                <c:pt idx="774">
                  <c:v>0.92802967601506103</c:v>
                </c:pt>
                <c:pt idx="775">
                  <c:v>0.92885762145472317</c:v>
                </c:pt>
                <c:pt idx="776">
                  <c:v>0.929676389629565</c:v>
                </c:pt>
                <c:pt idx="777">
                  <c:v>0.93048607430839048</c:v>
                </c:pt>
                <c:pt idx="778">
                  <c:v>0.93128676848450853</c:v>
                </c:pt>
                <c:pt idx="779">
                  <c:v>0.93207856437782199</c:v>
                </c:pt>
                <c:pt idx="780">
                  <c:v>0.9328615534370307</c:v>
                </c:pt>
                <c:pt idx="781">
                  <c:v>0.93363582634194331</c:v>
                </c:pt>
                <c:pt idx="782">
                  <c:v>0.93440147300589538</c:v>
                </c:pt>
                <c:pt idx="783">
                  <c:v>0.93515858257827089</c:v>
                </c:pt>
                <c:pt idx="784">
                  <c:v>0.93590724344712162</c:v>
                </c:pt>
                <c:pt idx="785">
                  <c:v>0.93664754324188315</c:v>
                </c:pt>
                <c:pt idx="786">
                  <c:v>0.93737956883618379</c:v>
                </c:pt>
                <c:pt idx="787">
                  <c:v>0.93810340635074163</c:v>
                </c:pt>
                <c:pt idx="788">
                  <c:v>0.93881914115634835</c:v>
                </c:pt>
                <c:pt idx="789">
                  <c:v>0.93952685787693591</c:v>
                </c:pt>
                <c:pt idx="790">
                  <c:v>0.94022664039272374</c:v>
                </c:pt>
                <c:pt idx="791">
                  <c:v>0.94091857184344141</c:v>
                </c:pt>
                <c:pt idx="792">
                  <c:v>0.9416027346316268</c:v>
                </c:pt>
                <c:pt idx="793">
                  <c:v>0.94227921042599483</c:v>
                </c:pt>
                <c:pt idx="794">
                  <c:v>0.94294808016487452</c:v>
                </c:pt>
                <c:pt idx="795">
                  <c:v>0.94360942405971127</c:v>
                </c:pt>
                <c:pt idx="796">
                  <c:v>0.94426332159863324</c:v>
                </c:pt>
                <c:pt idx="797">
                  <c:v>0.94490985155007678</c:v>
                </c:pt>
                <c:pt idx="798">
                  <c:v>0.94554909196647008</c:v>
                </c:pt>
                <c:pt idx="799">
                  <c:v>0.94618112018797229</c:v>
                </c:pt>
                <c:pt idx="800">
                  <c:v>0.94680601284626487</c:v>
                </c:pt>
                <c:pt idx="801">
                  <c:v>0.94742384586839368</c:v>
                </c:pt>
                <c:pt idx="802">
                  <c:v>0.94803469448065869</c:v>
                </c:pt>
                <c:pt idx="803">
                  <c:v>0.94863863321255004</c:v>
                </c:pt>
                <c:pt idx="804">
                  <c:v>0.94923573590072674</c:v>
                </c:pt>
                <c:pt idx="805">
                  <c:v>0.94982607569303712</c:v>
                </c:pt>
                <c:pt idx="806">
                  <c:v>0.95040972505257848</c:v>
                </c:pt>
                <c:pt idx="807">
                  <c:v>0.95098675576179337</c:v>
                </c:pt>
                <c:pt idx="808">
                  <c:v>0.95155723892660105</c:v>
                </c:pt>
                <c:pt idx="809">
                  <c:v>0.95212124498056228</c:v>
                </c:pt>
                <c:pt idx="810">
                  <c:v>0.95267884368907452</c:v>
                </c:pt>
                <c:pt idx="811">
                  <c:v>0.95323010415359688</c:v>
                </c:pt>
                <c:pt idx="812">
                  <c:v>0.95377509481590184</c:v>
                </c:pt>
                <c:pt idx="813">
                  <c:v>0.95431388346235291</c:v>
                </c:pt>
                <c:pt idx="814">
                  <c:v>0.95484653722820612</c:v>
                </c:pt>
                <c:pt idx="815">
                  <c:v>0.95537312260193263</c:v>
                </c:pt>
                <c:pt idx="816">
                  <c:v>0.95589370542956309</c:v>
                </c:pt>
                <c:pt idx="817">
                  <c:v>0.9564083509190493</c:v>
                </c:pt>
                <c:pt idx="818">
                  <c:v>0.95691712364464421</c:v>
                </c:pt>
                <c:pt idx="819">
                  <c:v>0.95742008755129671</c:v>
                </c:pt>
                <c:pt idx="820">
                  <c:v>0.95791730595906077</c:v>
                </c:pt>
                <c:pt idx="821">
                  <c:v>0.95840884156751738</c:v>
                </c:pt>
                <c:pt idx="822">
                  <c:v>0.9588947564602075</c:v>
                </c:pt>
                <c:pt idx="823">
                  <c:v>0.95937511210907467</c:v>
                </c:pt>
                <c:pt idx="824">
                  <c:v>0.95984996937891642</c:v>
                </c:pt>
                <c:pt idx="825">
                  <c:v>0.9603193885318424</c:v>
                </c:pt>
                <c:pt idx="826">
                  <c:v>0.96078342923173932</c:v>
                </c:pt>
                <c:pt idx="827">
                  <c:v>0.96124215054873885</c:v>
                </c:pt>
                <c:pt idx="828">
                  <c:v>0.96169561096369083</c:v>
                </c:pt>
                <c:pt idx="829">
                  <c:v>0.96214386837263721</c:v>
                </c:pt>
                <c:pt idx="830">
                  <c:v>0.9625869800912884</c:v>
                </c:pt>
                <c:pt idx="831">
                  <c:v>0.96302500285949821</c:v>
                </c:pt>
                <c:pt idx="832">
                  <c:v>0.96345799284573919</c:v>
                </c:pt>
                <c:pt idx="833">
                  <c:v>0.9638860056515749</c:v>
                </c:pt>
                <c:pt idx="834">
                  <c:v>0.96430909631612927</c:v>
                </c:pt>
                <c:pt idx="835">
                  <c:v>0.96472731932055233</c:v>
                </c:pt>
                <c:pt idx="836">
                  <c:v>0.96514072859248035</c:v>
                </c:pt>
                <c:pt idx="837">
                  <c:v>0.96554937751049008</c:v>
                </c:pt>
                <c:pt idx="838">
                  <c:v>0.96595331890854697</c:v>
                </c:pt>
                <c:pt idx="839">
                  <c:v>0.96635260508044407</c:v>
                </c:pt>
                <c:pt idx="840">
                  <c:v>0.96674728778423447</c:v>
                </c:pt>
                <c:pt idx="841">
                  <c:v>0.96713741824665256</c:v>
                </c:pt>
                <c:pt idx="842">
                  <c:v>0.96752304716752624</c:v>
                </c:pt>
                <c:pt idx="843">
                  <c:v>0.96790422472417781</c:v>
                </c:pt>
                <c:pt idx="844">
                  <c:v>0.96828100057581346</c:v>
                </c:pt>
                <c:pt idx="845">
                  <c:v>0.96865342386790065</c:v>
                </c:pt>
                <c:pt idx="846">
                  <c:v>0.96902154323653178</c:v>
                </c:pt>
                <c:pt idx="847">
                  <c:v>0.9693854068127753</c:v>
                </c:pt>
                <c:pt idx="848">
                  <c:v>0.96974506222701107</c:v>
                </c:pt>
                <c:pt idx="849">
                  <c:v>0.97010055661325234</c:v>
                </c:pt>
                <c:pt idx="850">
                  <c:v>0.97045193661345175</c:v>
                </c:pt>
                <c:pt idx="851">
                  <c:v>0.97079924838179055</c:v>
                </c:pt>
                <c:pt idx="852">
                  <c:v>0.9711425375889523</c:v>
                </c:pt>
                <c:pt idx="853">
                  <c:v>0.97148184942637883</c:v>
                </c:pt>
                <c:pt idx="854">
                  <c:v>0.97181722861050845</c:v>
                </c:pt>
                <c:pt idx="855">
                  <c:v>0.97214871938699721</c:v>
                </c:pt>
                <c:pt idx="856">
                  <c:v>0.97247636553491945</c:v>
                </c:pt>
                <c:pt idx="857">
                  <c:v>0.97280021037095188</c:v>
                </c:pt>
                <c:pt idx="858">
                  <c:v>0.97312029675353595</c:v>
                </c:pt>
                <c:pt idx="859">
                  <c:v>0.97343666708702203</c:v>
                </c:pt>
                <c:pt idx="860">
                  <c:v>0.97374936332579243</c:v>
                </c:pt>
                <c:pt idx="861">
                  <c:v>0.97405842697836365</c:v>
                </c:pt>
                <c:pt idx="862">
                  <c:v>0.9743638991114687</c:v>
                </c:pt>
                <c:pt idx="863">
                  <c:v>0.97466582035411697</c:v>
                </c:pt>
                <c:pt idx="864">
                  <c:v>0.97496423090163298</c:v>
                </c:pt>
                <c:pt idx="865">
                  <c:v>0.97525917051967326</c:v>
                </c:pt>
                <c:pt idx="866">
                  <c:v>0.9755506785482202</c:v>
                </c:pt>
                <c:pt idx="867">
                  <c:v>0.97583879390555472</c:v>
                </c:pt>
                <c:pt idx="868">
                  <c:v>0.97612355509220483</c:v>
                </c:pt>
                <c:pt idx="869">
                  <c:v>0.97640500019487153</c:v>
                </c:pt>
                <c:pt idx="870">
                  <c:v>0.97668316689033197</c:v>
                </c:pt>
                <c:pt idx="871">
                  <c:v>0.97695809244931786</c:v>
                </c:pt>
                <c:pt idx="872">
                  <c:v>0.97722981374037188</c:v>
                </c:pt>
                <c:pt idx="873">
                  <c:v>0.977498367233678</c:v>
                </c:pt>
                <c:pt idx="874">
                  <c:v>0.97776378900486949</c:v>
                </c:pt>
                <c:pt idx="875">
                  <c:v>0.97802611473881185</c:v>
                </c:pt>
                <c:pt idx="876">
                  <c:v>0.97828537973336094</c:v>
                </c:pt>
                <c:pt idx="877">
                  <c:v>0.97854161890309721</c:v>
                </c:pt>
                <c:pt idx="878">
                  <c:v>0.9787948667830344</c:v>
                </c:pt>
                <c:pt idx="879">
                  <c:v>0.97904515753230426</c:v>
                </c:pt>
                <c:pt idx="880">
                  <c:v>0.97929252493781471</c:v>
                </c:pt>
                <c:pt idx="881">
                  <c:v>0.97953700241788499</c:v>
                </c:pt>
                <c:pt idx="882">
                  <c:v>0.9797786230258535</c:v>
                </c:pt>
                <c:pt idx="883">
                  <c:v>0.98001741945366128</c:v>
                </c:pt>
                <c:pt idx="884">
                  <c:v>0.98025342403541027</c:v>
                </c:pt>
                <c:pt idx="885">
                  <c:v>0.98048666875089563</c:v>
                </c:pt>
                <c:pt idx="886">
                  <c:v>0.98071718522911222</c:v>
                </c:pt>
                <c:pt idx="887">
                  <c:v>0.9809450047517364</c:v>
                </c:pt>
                <c:pt idx="888">
                  <c:v>0.98117015825658127</c:v>
                </c:pt>
                <c:pt idx="889">
                  <c:v>0.98139267634102634</c:v>
                </c:pt>
                <c:pt idx="890">
                  <c:v>0.98161258926542216</c:v>
                </c:pt>
                <c:pt idx="891">
                  <c:v>0.98182992695646798</c:v>
                </c:pt>
                <c:pt idx="892">
                  <c:v>0.98204471901056478</c:v>
                </c:pt>
                <c:pt idx="893">
                  <c:v>0.98225699469714156</c:v>
                </c:pt>
                <c:pt idx="894">
                  <c:v>0.98246678296195655</c:v>
                </c:pt>
                <c:pt idx="895">
                  <c:v>0.98267411243037206</c:v>
                </c:pt>
                <c:pt idx="896">
                  <c:v>0.98287901141060408</c:v>
                </c:pt>
                <c:pt idx="897">
                  <c:v>0.98308150789694526</c:v>
                </c:pt>
                <c:pt idx="898">
                  <c:v>0.98328162957296317</c:v>
                </c:pt>
                <c:pt idx="899">
                  <c:v>0.98347940381467203</c:v>
                </c:pt>
                <c:pt idx="900">
                  <c:v>0.98367485769367868</c:v>
                </c:pt>
                <c:pt idx="901">
                  <c:v>0.98386801798030399</c:v>
                </c:pt>
                <c:pt idx="902">
                  <c:v>0.9840589111466771</c:v>
                </c:pt>
                <c:pt idx="903">
                  <c:v>0.98424756336980501</c:v>
                </c:pt>
                <c:pt idx="904">
                  <c:v>0.98443400053461694</c:v>
                </c:pt>
                <c:pt idx="905">
                  <c:v>0.98461824823698185</c:v>
                </c:pt>
                <c:pt idx="906">
                  <c:v>0.98480033178670234</c:v>
                </c:pt>
                <c:pt idx="907">
                  <c:v>0.98498027621048179</c:v>
                </c:pt>
                <c:pt idx="908">
                  <c:v>0.98515810625486688</c:v>
                </c:pt>
                <c:pt idx="909">
                  <c:v>0.98533384638916488</c:v>
                </c:pt>
                <c:pt idx="910">
                  <c:v>0.9855075208083357</c:v>
                </c:pt>
                <c:pt idx="911">
                  <c:v>0.98567915343585899</c:v>
                </c:pt>
                <c:pt idx="912">
                  <c:v>0.98584876792657605</c:v>
                </c:pt>
                <c:pt idx="913">
                  <c:v>0.9860163876695075</c:v>
                </c:pt>
                <c:pt idx="914">
                  <c:v>0.98618203579064567</c:v>
                </c:pt>
                <c:pt idx="915">
                  <c:v>0.98634573515572233</c:v>
                </c:pt>
                <c:pt idx="916">
                  <c:v>0.98650750837295176</c:v>
                </c:pt>
                <c:pt idx="917">
                  <c:v>0.98666737779575031</c:v>
                </c:pt>
                <c:pt idx="918">
                  <c:v>0.98682536552543032</c:v>
                </c:pt>
                <c:pt idx="919">
                  <c:v>0.98698149341387031</c:v>
                </c:pt>
                <c:pt idx="920">
                  <c:v>0.98713578306616145</c:v>
                </c:pt>
                <c:pt idx="921">
                  <c:v>0.98728825584322943</c:v>
                </c:pt>
                <c:pt idx="922">
                  <c:v>0.98743893286443296</c:v>
                </c:pt>
                <c:pt idx="923">
                  <c:v>0.98758783501013769</c:v>
                </c:pt>
                <c:pt idx="924">
                  <c:v>0.98773498292426731</c:v>
                </c:pt>
                <c:pt idx="925">
                  <c:v>0.9878803970168305</c:v>
                </c:pt>
                <c:pt idx="926">
                  <c:v>0.98802409746642528</c:v>
                </c:pt>
                <c:pt idx="927">
                  <c:v>0.98816610422271889</c:v>
                </c:pt>
                <c:pt idx="928">
                  <c:v>0.98830643700890553</c:v>
                </c:pt>
                <c:pt idx="929">
                  <c:v>0.98844511532414059</c:v>
                </c:pt>
                <c:pt idx="930">
                  <c:v>0.9885821584459521</c:v>
                </c:pt>
                <c:pt idx="931">
                  <c:v>0.98871758543262944</c:v>
                </c:pt>
                <c:pt idx="932">
                  <c:v>0.98885141512558927</c:v>
                </c:pt>
                <c:pt idx="933">
                  <c:v>0.9889836661517194</c:v>
                </c:pt>
                <c:pt idx="934">
                  <c:v>0.98911435692569982</c:v>
                </c:pt>
                <c:pt idx="935">
                  <c:v>0.98924350565230157</c:v>
                </c:pt>
                <c:pt idx="936">
                  <c:v>0.98937113032866408</c:v>
                </c:pt>
                <c:pt idx="937">
                  <c:v>0.98949724874654987</c:v>
                </c:pt>
                <c:pt idx="938">
                  <c:v>0.98962187849457783</c:v>
                </c:pt>
                <c:pt idx="939">
                  <c:v>0.98974503696043492</c:v>
                </c:pt>
                <c:pt idx="940">
                  <c:v>0.9898667413330664</c:v>
                </c:pt>
                <c:pt idx="941">
                  <c:v>0.98998700860484412</c:v>
                </c:pt>
                <c:pt idx="942">
                  <c:v>0.99010585557371456</c:v>
                </c:pt>
                <c:pt idx="943">
                  <c:v>0.99022329884532501</c:v>
                </c:pt>
                <c:pt idx="944">
                  <c:v>0.99033935483512925</c:v>
                </c:pt>
                <c:pt idx="945">
                  <c:v>0.99045403977047253</c:v>
                </c:pt>
                <c:pt idx="946">
                  <c:v>0.99056736969265535</c:v>
                </c:pt>
                <c:pt idx="947">
                  <c:v>0.99067936045897742</c:v>
                </c:pt>
                <c:pt idx="948">
                  <c:v>0.99079002774476133</c:v>
                </c:pt>
                <c:pt idx="949">
                  <c:v>0.99089938704535518</c:v>
                </c:pt>
                <c:pt idx="950">
                  <c:v>0.9910074536781166</c:v>
                </c:pt>
                <c:pt idx="951">
                  <c:v>0.99111424278437521</c:v>
                </c:pt>
                <c:pt idx="952">
                  <c:v>0.99121976933137712</c:v>
                </c:pt>
                <c:pt idx="953">
                  <c:v>0.99132404811420827</c:v>
                </c:pt>
                <c:pt idx="954">
                  <c:v>0.99142709375769955</c:v>
                </c:pt>
                <c:pt idx="955">
                  <c:v>0.99152892071831211</c:v>
                </c:pt>
                <c:pt idx="956">
                  <c:v>0.99162954328600361</c:v>
                </c:pt>
                <c:pt idx="957">
                  <c:v>0.99172897558607542</c:v>
                </c:pt>
                <c:pt idx="958">
                  <c:v>0.99182723158100106</c:v>
                </c:pt>
                <c:pt idx="959">
                  <c:v>0.99192432507223649</c:v>
                </c:pt>
                <c:pt idx="960">
                  <c:v>0.99202026970201085</c:v>
                </c:pt>
                <c:pt idx="961">
                  <c:v>0.99211507895509976</c:v>
                </c:pt>
                <c:pt idx="962">
                  <c:v>0.99220876616057985</c:v>
                </c:pt>
                <c:pt idx="963">
                  <c:v>0.99230134449356588</c:v>
                </c:pt>
                <c:pt idx="964">
                  <c:v>0.99239282697692888</c:v>
                </c:pt>
                <c:pt idx="965">
                  <c:v>0.99248322648299747</c:v>
                </c:pt>
                <c:pt idx="966">
                  <c:v>0.9925725557352415</c:v>
                </c:pt>
                <c:pt idx="967">
                  <c:v>0.99266082730993743</c:v>
                </c:pt>
                <c:pt idx="968">
                  <c:v>0.99274805363781737</c:v>
                </c:pt>
                <c:pt idx="969">
                  <c:v>0.99283424700570011</c:v>
                </c:pt>
                <c:pt idx="970">
                  <c:v>0.99291941955810614</c:v>
                </c:pt>
                <c:pt idx="971">
                  <c:v>0.9930035832988543</c:v>
                </c:pt>
                <c:pt idx="972">
                  <c:v>0.99308675009264358</c:v>
                </c:pt>
                <c:pt idx="973">
                  <c:v>0.99316893166661635</c:v>
                </c:pt>
                <c:pt idx="974">
                  <c:v>0.99325013961190689</c:v>
                </c:pt>
                <c:pt idx="975">
                  <c:v>0.99333038538517249</c:v>
                </c:pt>
                <c:pt idx="976">
                  <c:v>0.99340968031010879</c:v>
                </c:pt>
                <c:pt idx="977">
                  <c:v>0.99348803557894949</c:v>
                </c:pt>
                <c:pt idx="978">
                  <c:v>0.99356546225394893</c:v>
                </c:pt>
                <c:pt idx="979">
                  <c:v>0.99364197126885101</c:v>
                </c:pt>
                <c:pt idx="980">
                  <c:v>0.99371757343034028</c:v>
                </c:pt>
                <c:pt idx="981">
                  <c:v>0.99379227941947945</c:v>
                </c:pt>
                <c:pt idx="982">
                  <c:v>0.99386609979313012</c:v>
                </c:pt>
                <c:pt idx="983">
                  <c:v>0.99393904498535968</c:v>
                </c:pt>
                <c:pt idx="984">
                  <c:v>0.99401112530883218</c:v>
                </c:pt>
                <c:pt idx="985">
                  <c:v>0.9940823509561848</c:v>
                </c:pt>
                <c:pt idx="986">
                  <c:v>0.99415273200138954</c:v>
                </c:pt>
                <c:pt idx="987">
                  <c:v>0.99422227840110011</c:v>
                </c:pt>
                <c:pt idx="988">
                  <c:v>0.99429099999598469</c:v>
                </c:pt>
                <c:pt idx="989">
                  <c:v>0.99435890651204373</c:v>
                </c:pt>
                <c:pt idx="990">
                  <c:v>0.99442600756191468</c:v>
                </c:pt>
                <c:pt idx="991">
                  <c:v>0.99449231264616111</c:v>
                </c:pt>
                <c:pt idx="992">
                  <c:v>0.99455783115454954</c:v>
                </c:pt>
                <c:pt idx="993">
                  <c:v>0.99462257236731089</c:v>
                </c:pt>
                <c:pt idx="994">
                  <c:v>0.99468654545638968</c:v>
                </c:pt>
                <c:pt idx="995">
                  <c:v>0.99474975948667888</c:v>
                </c:pt>
                <c:pt idx="996">
                  <c:v>0.99481222341724129</c:v>
                </c:pt>
                <c:pt idx="997">
                  <c:v>0.994873946102518</c:v>
                </c:pt>
                <c:pt idx="998">
                  <c:v>0.99493493629352392</c:v>
                </c:pt>
                <c:pt idx="999">
                  <c:v>0.99499520263902941</c:v>
                </c:pt>
                <c:pt idx="1000">
                  <c:v>0.9950547536867298</c:v>
                </c:pt>
              </c:numCache>
            </c:numRef>
          </c:yVal>
        </c:ser>
        <c:ser>
          <c:idx val="5"/>
          <c:order val="6"/>
          <c:spPr>
            <a:ln w="12700">
              <a:solidFill>
                <a:srgbClr val="800000"/>
              </a:solidFill>
              <a:prstDash val="solid"/>
            </a:ln>
          </c:spPr>
          <c:marker>
            <c:symbol val="none"/>
          </c:marker>
          <c:dLbls>
            <c:dLbl>
              <c:idx val="0"/>
              <c:tx>
                <c:rich>
                  <a:bodyPr/>
                  <a:lstStyle/>
                  <a:p>
                    <a:pPr>
                      <a:defRPr sz="1800" b="0" i="0" u="none" strike="noStrike" baseline="0">
                        <a:solidFill>
                          <a:srgbClr val="FF0000"/>
                        </a:solidFill>
                        <a:latin typeface="Symbol"/>
                        <a:ea typeface="Symbol"/>
                        <a:cs typeface="Symbol"/>
                      </a:defRPr>
                    </a:pPr>
                    <a:r>
                      <a:rPr lang="en-AU" sz="1800" b="0" i="0" u="none" strike="noStrike" baseline="0">
                        <a:solidFill>
                          <a:srgbClr val="FF0000"/>
                        </a:solidFill>
                        <a:latin typeface="Symbol"/>
                      </a:rPr>
                      <a:t>r</a:t>
                    </a:r>
                    <a:r>
                      <a:rPr lang="en-AU" sz="1600" b="0" i="0" u="none" strike="noStrike" baseline="-25000">
                        <a:solidFill>
                          <a:srgbClr val="FF0000"/>
                        </a:solidFill>
                        <a:latin typeface="Arial"/>
                        <a:cs typeface="Arial"/>
                      </a:rPr>
                      <a:t>0</a:t>
                    </a:r>
                  </a:p>
                </c:rich>
              </c:tx>
              <c:spPr>
                <a:solidFill>
                  <a:srgbClr val="FFFFFF"/>
                </a:solidFill>
                <a:ln w="25400">
                  <a:noFill/>
                </a:ln>
              </c:spPr>
              <c:dLblPos val="r"/>
            </c:dLbl>
            <c:spPr>
              <a:solidFill>
                <a:srgbClr val="FFFFFF"/>
              </a:solidFill>
              <a:ln w="25400">
                <a:noFill/>
              </a:ln>
            </c:spPr>
            <c:txPr>
              <a:bodyPr/>
              <a:lstStyle/>
              <a:p>
                <a:pPr>
                  <a:defRPr sz="1400" b="0" i="0" u="none" strike="noStrike" baseline="0">
                    <a:solidFill>
                      <a:srgbClr val="FF0000"/>
                    </a:solidFill>
                    <a:latin typeface="Arial"/>
                    <a:ea typeface="Arial"/>
                    <a:cs typeface="Arial"/>
                  </a:defRPr>
                </a:pPr>
                <a:endParaRPr lang="en-US"/>
              </a:p>
            </c:txPr>
            <c:dLblPos val="r"/>
            <c:showCatName val="1"/>
          </c:dLbls>
          <c:errBars>
            <c:errDir val="x"/>
            <c:errBarType val="minus"/>
            <c:errValType val="cust"/>
            <c:noEndCap val="1"/>
            <c:minus>
              <c:numLit>
                <c:formatCode>General</c:formatCode>
                <c:ptCount val="1"/>
                <c:pt idx="0">
                  <c:v>9</c:v>
                </c:pt>
              </c:numLit>
            </c:minus>
            <c:spPr>
              <a:ln w="12700">
                <a:solidFill>
                  <a:srgbClr val="FF0000"/>
                </a:solidFill>
                <a:prstDash val="solid"/>
              </a:ln>
            </c:spPr>
          </c:errBars>
          <c:xVal>
            <c:numRef>
              <c:f>'One correlation'!$BE$10</c:f>
              <c:numCache>
                <c:formatCode>General</c:formatCode>
                <c:ptCount val="1"/>
                <c:pt idx="0">
                  <c:v>#N/A</c:v>
                </c:pt>
              </c:numCache>
            </c:numRef>
          </c:xVal>
          <c:yVal>
            <c:numRef>
              <c:f>'One correlation'!$BF$10</c:f>
              <c:numCache>
                <c:formatCode>General</c:formatCode>
                <c:ptCount val="1"/>
                <c:pt idx="0">
                  <c:v>#N/A</c:v>
                </c:pt>
              </c:numCache>
            </c:numRef>
          </c:yVal>
        </c:ser>
        <c:axId val="164806016"/>
        <c:axId val="164824192"/>
      </c:scatterChart>
      <c:valAx>
        <c:axId val="164806016"/>
        <c:scaling>
          <c:orientation val="minMax"/>
          <c:max val="2"/>
          <c:min val="0"/>
        </c:scaling>
        <c:axPos val="b"/>
        <c:numFmt formatCode="General" sourceLinked="1"/>
        <c:majorTickMark val="none"/>
        <c:tickLblPos val="none"/>
        <c:spPr>
          <a:ln w="9525">
            <a:noFill/>
          </a:ln>
        </c:spPr>
        <c:crossAx val="164824192"/>
        <c:crosses val="autoZero"/>
        <c:crossBetween val="midCat"/>
        <c:majorUnit val="1"/>
      </c:valAx>
      <c:valAx>
        <c:axId val="164824192"/>
        <c:scaling>
          <c:orientation val="minMax"/>
          <c:max val="1"/>
          <c:min val="-1"/>
        </c:scaling>
        <c:axPos val="l"/>
        <c:title>
          <c:tx>
            <c:rich>
              <a:bodyPr rot="0" vert="horz"/>
              <a:lstStyle/>
              <a:p>
                <a:pPr algn="ctr">
                  <a:defRPr sz="1600" b="0" i="1" u="none" strike="noStrike" baseline="0">
                    <a:solidFill>
                      <a:srgbClr val="000000"/>
                    </a:solidFill>
                    <a:latin typeface="Arial"/>
                    <a:ea typeface="Arial"/>
                    <a:cs typeface="Arial"/>
                  </a:defRPr>
                </a:pPr>
                <a:r>
                  <a:rPr lang="en-AU"/>
                  <a:t>r</a:t>
                </a:r>
              </a:p>
            </c:rich>
          </c:tx>
          <c:layout>
            <c:manualLayout>
              <c:xMode val="edge"/>
              <c:yMode val="edge"/>
              <c:x val="1.201923076923077E-2"/>
              <c:y val="0.46942148760330582"/>
            </c:manualLayout>
          </c:layout>
          <c:spPr>
            <a:noFill/>
            <a:ln w="25400">
              <a:noFill/>
            </a:ln>
          </c:spPr>
        </c:title>
        <c:numFmt formatCode=".0;\-.0;0" sourceLinked="0"/>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64806016"/>
        <c:crosses val="autoZero"/>
        <c:crossBetween val="midCat"/>
        <c:majorUnit val="0.2"/>
        <c:minorUnit val="0.1"/>
      </c:valAx>
      <c:spPr>
        <a:noFill/>
        <a:ln w="25400">
          <a:noFill/>
        </a:ln>
      </c:spPr>
    </c:plotArea>
    <c:plotVisOnly val="1"/>
    <c:dispBlanksAs val="gap"/>
  </c:char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0.10396985022028066"/>
          <c:y val="2.9752066115702473E-2"/>
          <c:w val="0.88846962915512451"/>
          <c:h val="0.94214876033057915"/>
        </c:manualLayout>
      </c:layout>
      <c:scatterChart>
        <c:scatterStyle val="lineMarker"/>
        <c:ser>
          <c:idx val="0"/>
          <c:order val="0"/>
          <c:spPr>
            <a:ln w="28575">
              <a:noFill/>
            </a:ln>
          </c:spPr>
          <c:marker>
            <c:symbol val="circle"/>
            <c:size val="9"/>
            <c:spPr>
              <a:solidFill>
                <a:srgbClr val="000000"/>
              </a:solidFill>
              <a:ln>
                <a:solidFill>
                  <a:srgbClr val="000000"/>
                </a:solidFill>
                <a:prstDash val="solid"/>
              </a:ln>
            </c:spPr>
          </c:marker>
          <c:dLbls>
            <c:dLbl>
              <c:idx val="0"/>
              <c:tx>
                <c:rich>
                  <a:bodyPr/>
                  <a:lstStyle/>
                  <a:p>
                    <a:pPr>
                      <a:defRPr sz="1400" b="0" i="1" u="none" strike="noStrike" baseline="0">
                        <a:solidFill>
                          <a:srgbClr val="000000"/>
                        </a:solidFill>
                        <a:latin typeface="Arial"/>
                        <a:ea typeface="Arial"/>
                        <a:cs typeface="Arial"/>
                      </a:defRPr>
                    </a:pPr>
                    <a:r>
                      <a:rPr lang="en-AU" sz="1400" b="0" i="1" u="none" strike="noStrike" baseline="0">
                        <a:solidFill>
                          <a:srgbClr val="000000"/>
                        </a:solidFill>
                        <a:latin typeface="Arial"/>
                        <a:cs typeface="Arial"/>
                      </a:rPr>
                      <a:t>r</a:t>
                    </a:r>
                    <a:r>
                      <a:rPr lang="en-AU" sz="1400" b="0" i="0" u="none" strike="noStrike" baseline="-25000">
                        <a:solidFill>
                          <a:srgbClr val="000000"/>
                        </a:solidFill>
                        <a:latin typeface="Arial"/>
                        <a:cs typeface="Arial"/>
                      </a:rPr>
                      <a:t>1</a:t>
                    </a:r>
                  </a:p>
                </c:rich>
              </c:tx>
              <c:spPr>
                <a:noFill/>
                <a:ln w="25400">
                  <a:noFill/>
                </a:ln>
              </c:spPr>
              <c:dLblPos val="l"/>
            </c:dLbl>
            <c:dLbl>
              <c:idx val="1"/>
              <c:tx>
                <c:rich>
                  <a:bodyPr/>
                  <a:lstStyle/>
                  <a:p>
                    <a:pPr>
                      <a:defRPr sz="1400" b="0" i="1" u="none" strike="noStrike" baseline="0">
                        <a:solidFill>
                          <a:srgbClr val="000000"/>
                        </a:solidFill>
                        <a:latin typeface="Arial"/>
                        <a:ea typeface="Arial"/>
                        <a:cs typeface="Arial"/>
                      </a:defRPr>
                    </a:pPr>
                    <a:r>
                      <a:rPr lang="en-AU" sz="1400" b="0" i="1" u="none" strike="noStrike" baseline="0">
                        <a:solidFill>
                          <a:srgbClr val="000000"/>
                        </a:solidFill>
                        <a:latin typeface="Arial"/>
                        <a:cs typeface="Arial"/>
                      </a:rPr>
                      <a:t>r</a:t>
                    </a:r>
                    <a:r>
                      <a:rPr lang="en-AU" sz="1400" b="0" i="0" u="none" strike="noStrike" baseline="-25000">
                        <a:solidFill>
                          <a:srgbClr val="000000"/>
                        </a:solidFill>
                        <a:latin typeface="Arial"/>
                        <a:cs typeface="Arial"/>
                      </a:rPr>
                      <a:t>2</a:t>
                    </a:r>
                  </a:p>
                </c:rich>
              </c:tx>
              <c:spPr>
                <a:noFill/>
                <a:ln w="25400">
                  <a:noFill/>
                </a:ln>
              </c:spPr>
              <c:dLblPos val="l"/>
            </c:dLbl>
            <c:spPr>
              <a:noFill/>
              <a:ln w="25400">
                <a:noFill/>
              </a:ln>
            </c:spPr>
            <c:txPr>
              <a:bodyPr/>
              <a:lstStyle/>
              <a:p>
                <a:pPr>
                  <a:defRPr sz="1400" b="0" i="0" u="none" strike="noStrike" baseline="0">
                    <a:solidFill>
                      <a:srgbClr val="000000"/>
                    </a:solidFill>
                    <a:latin typeface="Arial"/>
                    <a:ea typeface="Arial"/>
                    <a:cs typeface="Arial"/>
                  </a:defRPr>
                </a:pPr>
                <a:endParaRPr lang="en-US"/>
              </a:p>
            </c:txPr>
            <c:dLblPos val="l"/>
            <c:showCatName val="1"/>
          </c:dLbls>
          <c:errBars>
            <c:errDir val="y"/>
            <c:errBarType val="both"/>
            <c:errValType val="cust"/>
            <c:noEndCap val="1"/>
            <c:plus>
              <c:numRef>
                <c:f>'Two correlations'!$BL$17:$BM$17</c:f>
                <c:numCache>
                  <c:formatCode>General</c:formatCode>
                  <c:ptCount val="2"/>
                  <c:pt idx="0">
                    <c:v>0.17042438366075563</c:v>
                  </c:pt>
                  <c:pt idx="1">
                    <c:v>0.11470843315982648</c:v>
                  </c:pt>
                </c:numCache>
              </c:numRef>
            </c:plus>
            <c:minus>
              <c:numRef>
                <c:f>'Two correlations'!$BL$18:$BM$18</c:f>
                <c:numCache>
                  <c:formatCode>General</c:formatCode>
                  <c:ptCount val="2"/>
                  <c:pt idx="0">
                    <c:v>0.19839305317225514</c:v>
                  </c:pt>
                  <c:pt idx="1">
                    <c:v>0.13462371999652889</c:v>
                  </c:pt>
                </c:numCache>
              </c:numRef>
            </c:minus>
            <c:spPr>
              <a:ln w="25400">
                <a:solidFill>
                  <a:srgbClr val="000000"/>
                </a:solidFill>
                <a:prstDash val="solid"/>
              </a:ln>
            </c:spPr>
          </c:errBars>
          <c:xVal>
            <c:numRef>
              <c:f>'Two correlations'!$BL$1:$BL$2</c:f>
              <c:numCache>
                <c:formatCode>General</c:formatCode>
                <c:ptCount val="2"/>
                <c:pt idx="0">
                  <c:v>1</c:v>
                </c:pt>
                <c:pt idx="1">
                  <c:v>2</c:v>
                </c:pt>
              </c:numCache>
            </c:numRef>
          </c:xVal>
          <c:yVal>
            <c:numRef>
              <c:f>'Two correlations'!$BM$1:$BM$2</c:f>
              <c:numCache>
                <c:formatCode>General</c:formatCode>
                <c:ptCount val="2"/>
                <c:pt idx="0">
                  <c:v>0.36</c:v>
                </c:pt>
                <c:pt idx="1">
                  <c:v>0.49</c:v>
                </c:pt>
              </c:numCache>
            </c:numRef>
          </c:yVal>
        </c:ser>
        <c:ser>
          <c:idx val="1"/>
          <c:order val="1"/>
          <c:spPr>
            <a:ln w="12700">
              <a:pattFill prst="pct50">
                <a:fgClr>
                  <a:srgbClr val="000000"/>
                </a:fgClr>
                <a:bgClr>
                  <a:srgbClr val="FFFFFF"/>
                </a:bgClr>
              </a:pattFill>
              <a:prstDash val="solid"/>
            </a:ln>
          </c:spPr>
          <c:marker>
            <c:symbol val="none"/>
          </c:marker>
          <c:xVal>
            <c:numRef>
              <c:f>'Two correlations'!$BJ$4:$BJ$5</c:f>
              <c:numCache>
                <c:formatCode>General</c:formatCode>
                <c:ptCount val="2"/>
                <c:pt idx="0">
                  <c:v>#N/A</c:v>
                </c:pt>
                <c:pt idx="1">
                  <c:v>#N/A</c:v>
                </c:pt>
              </c:numCache>
            </c:numRef>
          </c:xVal>
          <c:yVal>
            <c:numRef>
              <c:f>'Two correlations'!$BK$4:$BK$5</c:f>
              <c:numCache>
                <c:formatCode>.0##;\-.0##;0</c:formatCode>
                <c:ptCount val="2"/>
                <c:pt idx="0">
                  <c:v>0.3553762800034711</c:v>
                </c:pt>
                <c:pt idx="1">
                  <c:v>0.3553762800034711</c:v>
                </c:pt>
              </c:numCache>
            </c:numRef>
          </c:yVal>
        </c:ser>
        <c:ser>
          <c:idx val="2"/>
          <c:order val="2"/>
          <c:spPr>
            <a:ln w="12700">
              <a:pattFill prst="pct50">
                <a:fgClr>
                  <a:srgbClr val="000000"/>
                </a:fgClr>
                <a:bgClr>
                  <a:srgbClr val="FFFFFF"/>
                </a:bgClr>
              </a:pattFill>
              <a:prstDash val="solid"/>
            </a:ln>
          </c:spPr>
          <c:marker>
            <c:symbol val="none"/>
          </c:marker>
          <c:xVal>
            <c:numRef>
              <c:f>'Two correlations'!$BL$4:$BL$5</c:f>
              <c:numCache>
                <c:formatCode>General</c:formatCode>
                <c:ptCount val="2"/>
                <c:pt idx="0">
                  <c:v>#N/A</c:v>
                </c:pt>
                <c:pt idx="1">
                  <c:v>#N/A</c:v>
                </c:pt>
              </c:numCache>
            </c:numRef>
          </c:xVal>
          <c:yVal>
            <c:numRef>
              <c:f>'Two correlations'!$BM$4:$BM$5</c:f>
              <c:numCache>
                <c:formatCode>General</c:formatCode>
                <c:ptCount val="2"/>
                <c:pt idx="0" formatCode=".0##;\-.0##;0">
                  <c:v>0.53042438366075562</c:v>
                </c:pt>
                <c:pt idx="1">
                  <c:v>0.53042438366075562</c:v>
                </c:pt>
              </c:numCache>
            </c:numRef>
          </c:yVal>
        </c:ser>
        <c:ser>
          <c:idx val="3"/>
          <c:order val="3"/>
          <c:spPr>
            <a:ln w="28575">
              <a:noFill/>
            </a:ln>
          </c:spPr>
          <c:marker>
            <c:symbol val="none"/>
          </c:marker>
          <c:errBars>
            <c:errDir val="x"/>
            <c:errBarType val="plus"/>
            <c:errValType val="cust"/>
            <c:noEndCap val="1"/>
            <c:plus>
              <c:numLit>
                <c:formatCode>General</c:formatCode>
                <c:ptCount val="1"/>
                <c:pt idx="0">
                  <c:v>9</c:v>
                </c:pt>
              </c:numLit>
            </c:plus>
            <c:spPr>
              <a:ln w="3175">
                <a:pattFill prst="pct50">
                  <a:fgClr>
                    <a:srgbClr val="008000"/>
                  </a:fgClr>
                  <a:bgClr>
                    <a:srgbClr val="FFFFFF"/>
                  </a:bgClr>
                </a:pattFill>
                <a:prstDash val="solid"/>
              </a:ln>
            </c:spPr>
          </c:errBars>
          <c:xVal>
            <c:numRef>
              <c:f>'Two correlations'!$AC$16</c:f>
              <c:numCache>
                <c:formatCode>General</c:formatCode>
                <c:ptCount val="1"/>
              </c:numCache>
            </c:numRef>
          </c:xVal>
          <c:yVal>
            <c:numRef>
              <c:f>'Two correlations'!$AD$16</c:f>
              <c:numCache>
                <c:formatCode>General</c:formatCode>
                <c:ptCount val="1"/>
              </c:numCache>
            </c:numRef>
          </c:yVal>
        </c:ser>
        <c:ser>
          <c:idx val="4"/>
          <c:order val="4"/>
          <c:spPr>
            <a:ln w="28575">
              <a:noFill/>
            </a:ln>
          </c:spPr>
          <c:marker>
            <c:symbol val="none"/>
          </c:marker>
          <c:errBars>
            <c:errDir val="x"/>
            <c:errBarType val="plus"/>
            <c:errValType val="cust"/>
            <c:noEndCap val="1"/>
            <c:plus>
              <c:numLit>
                <c:formatCode>General</c:formatCode>
                <c:ptCount val="1"/>
                <c:pt idx="0">
                  <c:v>9</c:v>
                </c:pt>
              </c:numLit>
            </c:plus>
            <c:spPr>
              <a:ln w="3175">
                <a:pattFill prst="pct50">
                  <a:fgClr>
                    <a:srgbClr val="FF0000"/>
                  </a:fgClr>
                  <a:bgClr>
                    <a:srgbClr val="FFFFFF"/>
                  </a:bgClr>
                </a:pattFill>
                <a:prstDash val="solid"/>
              </a:ln>
            </c:spPr>
          </c:errBars>
          <c:xVal>
            <c:numRef>
              <c:f>'Two correlations'!$AC$17:$AC$18</c:f>
              <c:numCache>
                <c:formatCode>General</c:formatCode>
                <c:ptCount val="2"/>
              </c:numCache>
            </c:numRef>
          </c:xVal>
          <c:yVal>
            <c:numRef>
              <c:f>'Two correlations'!$AD$17:$AD$18</c:f>
              <c:numCache>
                <c:formatCode>General</c:formatCode>
                <c:ptCount val="2"/>
              </c:numCache>
            </c:numRef>
          </c:yVal>
        </c:ser>
        <c:ser>
          <c:idx val="5"/>
          <c:order val="5"/>
          <c:spPr>
            <a:ln w="28575">
              <a:noFill/>
            </a:ln>
          </c:spPr>
          <c:marker>
            <c:symbol val="triangle"/>
            <c:size val="9"/>
            <c:spPr>
              <a:solidFill>
                <a:srgbClr val="000000"/>
              </a:solidFill>
              <a:ln>
                <a:solidFill>
                  <a:srgbClr val="000000"/>
                </a:solidFill>
                <a:prstDash val="solid"/>
              </a:ln>
            </c:spPr>
          </c:marker>
          <c:errBars>
            <c:errDir val="y"/>
            <c:errBarType val="both"/>
            <c:errValType val="cust"/>
            <c:noEndCap val="1"/>
            <c:plus>
              <c:numRef>
                <c:f>'Two correlations'!$BL$14</c:f>
                <c:numCache>
                  <c:formatCode>General</c:formatCode>
                  <c:ptCount val="1"/>
                  <c:pt idx="0">
                    <c:v>0.2291676857346856</c:v>
                  </c:pt>
                </c:numCache>
              </c:numRef>
            </c:plus>
            <c:minus>
              <c:numRef>
                <c:f>'Two correlations'!$BL$15</c:f>
                <c:numCache>
                  <c:formatCode>General</c:formatCode>
                  <c:ptCount val="1"/>
                  <c:pt idx="0">
                    <c:v>0.21718198942788106</c:v>
                  </c:pt>
                </c:numCache>
              </c:numRef>
            </c:minus>
            <c:spPr>
              <a:ln w="25400">
                <a:solidFill>
                  <a:srgbClr val="000000"/>
                </a:solidFill>
                <a:prstDash val="solid"/>
              </a:ln>
            </c:spPr>
          </c:errBars>
          <c:xVal>
            <c:numRef>
              <c:f>'Two correlations'!$BJ$17</c:f>
              <c:numCache>
                <c:formatCode>General</c:formatCode>
                <c:ptCount val="1"/>
                <c:pt idx="0">
                  <c:v>2.9</c:v>
                </c:pt>
              </c:numCache>
            </c:numRef>
          </c:xVal>
          <c:yVal>
            <c:numRef>
              <c:f>'Two correlations'!$BK$17</c:f>
              <c:numCache>
                <c:formatCode>General</c:formatCode>
                <c:ptCount val="1"/>
                <c:pt idx="0">
                  <c:v>0.49</c:v>
                </c:pt>
              </c:numCache>
            </c:numRef>
          </c:yVal>
        </c:ser>
        <c:ser>
          <c:idx val="6"/>
          <c:order val="6"/>
          <c:spPr>
            <a:ln w="12700">
              <a:solidFill>
                <a:srgbClr val="000000"/>
              </a:solidFill>
              <a:prstDash val="solid"/>
            </a:ln>
          </c:spPr>
          <c:marker>
            <c:symbol val="dot"/>
            <c:size val="5"/>
            <c:spPr>
              <a:noFill/>
              <a:ln>
                <a:solidFill>
                  <a:srgbClr val="000000"/>
                </a:solidFill>
                <a:prstDash val="solid"/>
              </a:ln>
            </c:spPr>
          </c:marker>
          <c:dLbls>
            <c:dLbl>
              <c:idx val="0"/>
              <c:delete val="1"/>
            </c:dLbl>
            <c:dLbl>
              <c:idx val="1"/>
              <c:tx>
                <c:rich>
                  <a:bodyPr/>
                  <a:lstStyle/>
                  <a:p>
                    <a:pPr>
                      <a:defRPr sz="1150" b="0" i="0" u="none" strike="noStrike" baseline="0">
                        <a:solidFill>
                          <a:srgbClr val="000000"/>
                        </a:solidFill>
                        <a:latin typeface="Arial"/>
                        <a:ea typeface="Arial"/>
                        <a:cs typeface="Arial"/>
                      </a:defRPr>
                    </a:pPr>
                    <a:r>
                      <a:rPr lang="en-AU"/>
                      <a:t>1.8</a:t>
                    </a:r>
                  </a:p>
                </c:rich>
              </c:tx>
              <c:spPr>
                <a:noFill/>
                <a:ln w="25400">
                  <a:noFill/>
                </a:ln>
              </c:spPr>
            </c:dLbl>
            <c:dLbl>
              <c:idx val="2"/>
              <c:delete val="1"/>
            </c:dLbl>
            <c:dLbl>
              <c:idx val="3"/>
              <c:tx>
                <c:rich>
                  <a:bodyPr/>
                  <a:lstStyle/>
                  <a:p>
                    <a:pPr>
                      <a:defRPr sz="1150" b="0" i="0" u="none" strike="noStrike" baseline="0">
                        <a:solidFill>
                          <a:srgbClr val="000000"/>
                        </a:solidFill>
                        <a:latin typeface="Arial"/>
                        <a:ea typeface="Arial"/>
                        <a:cs typeface="Arial"/>
                      </a:defRPr>
                    </a:pPr>
                    <a:r>
                      <a:rPr lang="en-AU"/>
                      <a:t>1.6</a:t>
                    </a:r>
                  </a:p>
                </c:rich>
              </c:tx>
              <c:spPr>
                <a:noFill/>
                <a:ln w="25400">
                  <a:noFill/>
                </a:ln>
              </c:spPr>
            </c:dLbl>
            <c:dLbl>
              <c:idx val="4"/>
              <c:delete val="1"/>
            </c:dLbl>
            <c:dLbl>
              <c:idx val="5"/>
              <c:tx>
                <c:rich>
                  <a:bodyPr/>
                  <a:lstStyle/>
                  <a:p>
                    <a:pPr>
                      <a:defRPr sz="1150" b="0" i="0" u="none" strike="noStrike" baseline="0">
                        <a:solidFill>
                          <a:srgbClr val="000000"/>
                        </a:solidFill>
                        <a:latin typeface="Arial"/>
                        <a:ea typeface="Arial"/>
                        <a:cs typeface="Arial"/>
                      </a:defRPr>
                    </a:pPr>
                    <a:r>
                      <a:rPr lang="en-AU"/>
                      <a:t>1.4</a:t>
                    </a:r>
                  </a:p>
                </c:rich>
              </c:tx>
              <c:spPr>
                <a:noFill/>
                <a:ln w="25400">
                  <a:noFill/>
                </a:ln>
              </c:spPr>
            </c:dLbl>
            <c:dLbl>
              <c:idx val="6"/>
              <c:delete val="1"/>
            </c:dLbl>
            <c:dLbl>
              <c:idx val="7"/>
              <c:tx>
                <c:rich>
                  <a:bodyPr/>
                  <a:lstStyle/>
                  <a:p>
                    <a:pPr>
                      <a:defRPr sz="1150" b="0" i="0" u="none" strike="noStrike" baseline="0">
                        <a:solidFill>
                          <a:srgbClr val="000000"/>
                        </a:solidFill>
                        <a:latin typeface="Arial"/>
                        <a:ea typeface="Arial"/>
                        <a:cs typeface="Arial"/>
                      </a:defRPr>
                    </a:pPr>
                    <a:r>
                      <a:rPr lang="en-AU"/>
                      <a:t>1.2</a:t>
                    </a:r>
                  </a:p>
                </c:rich>
              </c:tx>
              <c:spPr>
                <a:noFill/>
                <a:ln w="25400">
                  <a:noFill/>
                </a:ln>
              </c:spPr>
            </c:dLbl>
            <c:dLbl>
              <c:idx val="8"/>
              <c:delete val="1"/>
            </c:dLbl>
            <c:dLbl>
              <c:idx val="9"/>
              <c:tx>
                <c:rich>
                  <a:bodyPr/>
                  <a:lstStyle/>
                  <a:p>
                    <a:pPr>
                      <a:defRPr sz="1150" b="0" i="0" u="none" strike="noStrike" baseline="0">
                        <a:solidFill>
                          <a:srgbClr val="000000"/>
                        </a:solidFill>
                        <a:latin typeface="Arial"/>
                        <a:ea typeface="Arial"/>
                        <a:cs typeface="Arial"/>
                      </a:defRPr>
                    </a:pPr>
                    <a:r>
                      <a:rPr lang="en-AU"/>
                      <a:t>1.0</a:t>
                    </a:r>
                  </a:p>
                </c:rich>
              </c:tx>
              <c:spPr>
                <a:noFill/>
                <a:ln w="25400">
                  <a:noFill/>
                </a:ln>
              </c:spPr>
            </c:dLbl>
            <c:dLbl>
              <c:idx val="10"/>
              <c:delete val="1"/>
            </c:dLbl>
            <c:dLbl>
              <c:idx val="11"/>
              <c:tx>
                <c:rich>
                  <a:bodyPr/>
                  <a:lstStyle/>
                  <a:p>
                    <a:pPr>
                      <a:defRPr sz="1150" b="0" i="0" u="none" strike="noStrike" baseline="0">
                        <a:solidFill>
                          <a:srgbClr val="000000"/>
                        </a:solidFill>
                        <a:latin typeface="Arial"/>
                        <a:ea typeface="Arial"/>
                        <a:cs typeface="Arial"/>
                      </a:defRPr>
                    </a:pPr>
                    <a:r>
                      <a:rPr lang="en-AU"/>
                      <a:t>.8</a:t>
                    </a:r>
                  </a:p>
                </c:rich>
              </c:tx>
              <c:spPr>
                <a:noFill/>
                <a:ln w="25400">
                  <a:noFill/>
                </a:ln>
              </c:spPr>
            </c:dLbl>
            <c:dLbl>
              <c:idx val="12"/>
              <c:delete val="1"/>
            </c:dLbl>
            <c:dLbl>
              <c:idx val="13"/>
              <c:tx>
                <c:rich>
                  <a:bodyPr/>
                  <a:lstStyle/>
                  <a:p>
                    <a:r>
                      <a:rPr lang="en-AU"/>
                      <a:t>.6</a:t>
                    </a:r>
                  </a:p>
                </c:rich>
              </c:tx>
            </c:dLbl>
            <c:dLbl>
              <c:idx val="14"/>
              <c:delete val="1"/>
            </c:dLbl>
            <c:dLbl>
              <c:idx val="15"/>
              <c:tx>
                <c:rich>
                  <a:bodyPr/>
                  <a:lstStyle/>
                  <a:p>
                    <a:r>
                      <a:rPr lang="en-AU"/>
                      <a:t>.4</a:t>
                    </a:r>
                  </a:p>
                </c:rich>
              </c:tx>
            </c:dLbl>
            <c:dLbl>
              <c:idx val="16"/>
              <c:delete val="1"/>
            </c:dLbl>
            <c:dLbl>
              <c:idx val="17"/>
              <c:tx>
                <c:rich>
                  <a:bodyPr/>
                  <a:lstStyle/>
                  <a:p>
                    <a:r>
                      <a:rPr lang="en-AU"/>
                      <a:t>.2</a:t>
                    </a:r>
                  </a:p>
                </c:rich>
              </c:tx>
            </c:dLbl>
            <c:dLbl>
              <c:idx val="18"/>
              <c:delete val="1"/>
            </c:dLbl>
            <c:dLbl>
              <c:idx val="19"/>
              <c:tx>
                <c:rich>
                  <a:bodyPr/>
                  <a:lstStyle/>
                  <a:p>
                    <a:r>
                      <a:rPr lang="en-AU"/>
                      <a:t>0</a:t>
                    </a:r>
                  </a:p>
                </c:rich>
              </c:tx>
            </c:dLbl>
            <c:dLbl>
              <c:idx val="20"/>
              <c:delete val="1"/>
            </c:dLbl>
            <c:dLbl>
              <c:idx val="21"/>
              <c:tx>
                <c:rich>
                  <a:bodyPr/>
                  <a:lstStyle/>
                  <a:p>
                    <a:r>
                      <a:rPr lang="en-AU"/>
                      <a:t>-.2</a:t>
                    </a:r>
                  </a:p>
                </c:rich>
              </c:tx>
            </c:dLbl>
            <c:dLbl>
              <c:idx val="22"/>
              <c:delete val="1"/>
            </c:dLbl>
            <c:dLbl>
              <c:idx val="23"/>
              <c:tx>
                <c:rich>
                  <a:bodyPr/>
                  <a:lstStyle/>
                  <a:p>
                    <a:r>
                      <a:rPr lang="en-AU"/>
                      <a:t>-.4</a:t>
                    </a:r>
                  </a:p>
                </c:rich>
              </c:tx>
            </c:dLbl>
            <c:dLbl>
              <c:idx val="24"/>
              <c:delete val="1"/>
            </c:dLbl>
            <c:dLbl>
              <c:idx val="25"/>
              <c:tx>
                <c:rich>
                  <a:bodyPr/>
                  <a:lstStyle/>
                  <a:p>
                    <a:r>
                      <a:rPr lang="en-AU"/>
                      <a:t>-.6</a:t>
                    </a:r>
                  </a:p>
                </c:rich>
              </c:tx>
            </c:dLbl>
            <c:dLbl>
              <c:idx val="26"/>
              <c:delete val="1"/>
            </c:dLbl>
            <c:dLbl>
              <c:idx val="27"/>
              <c:tx>
                <c:rich>
                  <a:bodyPr/>
                  <a:lstStyle/>
                  <a:p>
                    <a:r>
                      <a:rPr lang="en-AU"/>
                      <a:t>-.8</a:t>
                    </a:r>
                  </a:p>
                </c:rich>
              </c:tx>
            </c:dLbl>
            <c:dLbl>
              <c:idx val="28"/>
              <c:delete val="1"/>
            </c:dLbl>
            <c:dLbl>
              <c:idx val="29"/>
              <c:tx>
                <c:rich>
                  <a:bodyPr/>
                  <a:lstStyle/>
                  <a:p>
                    <a:r>
                      <a:rPr lang="en-AU"/>
                      <a:t>-1.0</a:t>
                    </a:r>
                  </a:p>
                </c:rich>
              </c:tx>
            </c:dLbl>
            <c:dLbl>
              <c:idx val="30"/>
              <c:delete val="1"/>
            </c:dLbl>
            <c:dLbl>
              <c:idx val="31"/>
              <c:tx>
                <c:rich>
                  <a:bodyPr/>
                  <a:lstStyle/>
                  <a:p>
                    <a:r>
                      <a:rPr lang="en-AU"/>
                      <a:t>-1.2</a:t>
                    </a:r>
                  </a:p>
                </c:rich>
              </c:tx>
            </c:dLbl>
            <c:dLbl>
              <c:idx val="32"/>
              <c:delete val="1"/>
            </c:dLbl>
            <c:dLbl>
              <c:idx val="33"/>
              <c:tx>
                <c:rich>
                  <a:bodyPr/>
                  <a:lstStyle/>
                  <a:p>
                    <a:pPr>
                      <a:defRPr sz="1150" b="0" i="0" u="none" strike="noStrike" baseline="0">
                        <a:solidFill>
                          <a:srgbClr val="000000"/>
                        </a:solidFill>
                        <a:latin typeface="Arial"/>
                        <a:ea typeface="Arial"/>
                        <a:cs typeface="Arial"/>
                      </a:defRPr>
                    </a:pPr>
                    <a:r>
                      <a:rPr lang="en-AU"/>
                      <a:t>-1.4</a:t>
                    </a:r>
                  </a:p>
                </c:rich>
              </c:tx>
              <c:spPr>
                <a:noFill/>
                <a:ln w="25400">
                  <a:noFill/>
                </a:ln>
              </c:spPr>
            </c:dLbl>
            <c:dLbl>
              <c:idx val="34"/>
              <c:delete val="1"/>
            </c:dLbl>
            <c:dLbl>
              <c:idx val="35"/>
              <c:tx>
                <c:rich>
                  <a:bodyPr/>
                  <a:lstStyle/>
                  <a:p>
                    <a:pPr>
                      <a:defRPr sz="1150" b="0" i="0" u="none" strike="noStrike" baseline="0">
                        <a:solidFill>
                          <a:srgbClr val="000000"/>
                        </a:solidFill>
                        <a:latin typeface="Arial"/>
                        <a:ea typeface="Arial"/>
                        <a:cs typeface="Arial"/>
                      </a:defRPr>
                    </a:pPr>
                    <a:r>
                      <a:rPr lang="en-AU"/>
                      <a:t>-1.6</a:t>
                    </a:r>
                  </a:p>
                </c:rich>
              </c:tx>
              <c:spPr>
                <a:noFill/>
                <a:ln w="25400">
                  <a:noFill/>
                </a:ln>
              </c:spPr>
            </c:dLbl>
            <c:dLbl>
              <c:idx val="36"/>
              <c:delete val="1"/>
            </c:dLbl>
            <c:dLbl>
              <c:idx val="37"/>
              <c:tx>
                <c:rich>
                  <a:bodyPr/>
                  <a:lstStyle/>
                  <a:p>
                    <a:pPr>
                      <a:defRPr sz="1150" b="0" i="0" u="none" strike="noStrike" baseline="0">
                        <a:solidFill>
                          <a:srgbClr val="000000"/>
                        </a:solidFill>
                        <a:latin typeface="Arial"/>
                        <a:ea typeface="Arial"/>
                        <a:cs typeface="Arial"/>
                      </a:defRPr>
                    </a:pPr>
                    <a:r>
                      <a:rPr lang="en-AU"/>
                      <a:t>-1.8</a:t>
                    </a:r>
                  </a:p>
                </c:rich>
              </c:tx>
              <c:spPr>
                <a:noFill/>
                <a:ln w="25400">
                  <a:noFill/>
                </a:ln>
              </c:spPr>
            </c:dLbl>
            <c:dLbl>
              <c:idx val="38"/>
              <c:delete val="1"/>
            </c:dLbl>
            <c:spPr>
              <a:noFill/>
              <a:ln w="25400">
                <a:noFill/>
              </a:ln>
            </c:spPr>
            <c:txPr>
              <a:bodyPr/>
              <a:lstStyle/>
              <a:p>
                <a:pPr>
                  <a:defRPr sz="1100" b="0" i="0" u="none" strike="noStrike" baseline="0">
                    <a:solidFill>
                      <a:srgbClr val="000000"/>
                    </a:solidFill>
                    <a:latin typeface="Arial"/>
                    <a:ea typeface="Arial"/>
                    <a:cs typeface="Arial"/>
                  </a:defRPr>
                </a:pPr>
                <a:endParaRPr lang="en-US"/>
              </a:p>
            </c:txPr>
            <c:showCatName val="1"/>
          </c:dLbls>
          <c:xVal>
            <c:numRef>
              <c:f>'Two correlations'!$BP$2:$BP$40</c:f>
              <c:numCache>
                <c:formatCode>General</c:formatCode>
                <c:ptCount val="39"/>
                <c:pt idx="0">
                  <c:v>3.3</c:v>
                </c:pt>
                <c:pt idx="1">
                  <c:v>3.3</c:v>
                </c:pt>
                <c:pt idx="2">
                  <c:v>3.3</c:v>
                </c:pt>
                <c:pt idx="3">
                  <c:v>3.3</c:v>
                </c:pt>
                <c:pt idx="4">
                  <c:v>3.3</c:v>
                </c:pt>
                <c:pt idx="5">
                  <c:v>3.3</c:v>
                </c:pt>
                <c:pt idx="6">
                  <c:v>3.3</c:v>
                </c:pt>
                <c:pt idx="7">
                  <c:v>3.3</c:v>
                </c:pt>
                <c:pt idx="8">
                  <c:v>3.3</c:v>
                </c:pt>
                <c:pt idx="9">
                  <c:v>3.3</c:v>
                </c:pt>
                <c:pt idx="10">
                  <c:v>3.3</c:v>
                </c:pt>
                <c:pt idx="11">
                  <c:v>3.3</c:v>
                </c:pt>
                <c:pt idx="12">
                  <c:v>3.3</c:v>
                </c:pt>
                <c:pt idx="13">
                  <c:v>3.3</c:v>
                </c:pt>
                <c:pt idx="14">
                  <c:v>3.3</c:v>
                </c:pt>
                <c:pt idx="15">
                  <c:v>3.3</c:v>
                </c:pt>
                <c:pt idx="16">
                  <c:v>3.3</c:v>
                </c:pt>
                <c:pt idx="17">
                  <c:v>3.3</c:v>
                </c:pt>
                <c:pt idx="18">
                  <c:v>3.3</c:v>
                </c:pt>
                <c:pt idx="19">
                  <c:v>3.3</c:v>
                </c:pt>
                <c:pt idx="20">
                  <c:v>3.3</c:v>
                </c:pt>
                <c:pt idx="21">
                  <c:v>3.3</c:v>
                </c:pt>
                <c:pt idx="22">
                  <c:v>3.3</c:v>
                </c:pt>
                <c:pt idx="23">
                  <c:v>3.3</c:v>
                </c:pt>
                <c:pt idx="24">
                  <c:v>3.3</c:v>
                </c:pt>
                <c:pt idx="25">
                  <c:v>3.3</c:v>
                </c:pt>
                <c:pt idx="26">
                  <c:v>3.3</c:v>
                </c:pt>
                <c:pt idx="27">
                  <c:v>3.3</c:v>
                </c:pt>
                <c:pt idx="28">
                  <c:v>3.3</c:v>
                </c:pt>
                <c:pt idx="29">
                  <c:v>3.3</c:v>
                </c:pt>
                <c:pt idx="30">
                  <c:v>3.3</c:v>
                </c:pt>
                <c:pt idx="31">
                  <c:v>3.3</c:v>
                </c:pt>
                <c:pt idx="32">
                  <c:v>3.3</c:v>
                </c:pt>
                <c:pt idx="33">
                  <c:v>3.3</c:v>
                </c:pt>
                <c:pt idx="34">
                  <c:v>3.3</c:v>
                </c:pt>
                <c:pt idx="35">
                  <c:v>3.3</c:v>
                </c:pt>
                <c:pt idx="36">
                  <c:v>3.3</c:v>
                </c:pt>
                <c:pt idx="37">
                  <c:v>3.3</c:v>
                </c:pt>
                <c:pt idx="38">
                  <c:v>3.3</c:v>
                </c:pt>
              </c:numCache>
            </c:numRef>
          </c:xVal>
          <c:yVal>
            <c:numRef>
              <c:f>'Two correlations'!$BQ$2:$BQ$40</c:f>
              <c:numCache>
                <c:formatCode>General</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0.86</c:v>
                </c:pt>
                <c:pt idx="15">
                  <c:v>0.76</c:v>
                </c:pt>
                <c:pt idx="16">
                  <c:v>0.65999999999999992</c:v>
                </c:pt>
                <c:pt idx="17">
                  <c:v>0.56000000000000005</c:v>
                </c:pt>
                <c:pt idx="18">
                  <c:v>0.45999999999999996</c:v>
                </c:pt>
                <c:pt idx="19">
                  <c:v>0.36</c:v>
                </c:pt>
                <c:pt idx="20">
                  <c:v>0.26</c:v>
                </c:pt>
                <c:pt idx="21">
                  <c:v>0.15999999999999998</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yVal>
        </c:ser>
        <c:ser>
          <c:idx val="7"/>
          <c:order val="7"/>
          <c:spPr>
            <a:ln w="12700">
              <a:solidFill>
                <a:srgbClr val="000000"/>
              </a:solidFill>
              <a:prstDash val="sysDash"/>
            </a:ln>
          </c:spPr>
          <c:marker>
            <c:symbol val="none"/>
          </c:marker>
          <c:xVal>
            <c:numRef>
              <c:f>'Two correlations'!$BJ$19:$BJ$20</c:f>
              <c:numCache>
                <c:formatCode>General</c:formatCode>
                <c:ptCount val="2"/>
                <c:pt idx="0">
                  <c:v>1</c:v>
                </c:pt>
                <c:pt idx="1">
                  <c:v>3.3</c:v>
                </c:pt>
              </c:numCache>
            </c:numRef>
          </c:xVal>
          <c:yVal>
            <c:numRef>
              <c:f>'Two correlations'!$BK$19:$BK$20</c:f>
              <c:numCache>
                <c:formatCode>General</c:formatCode>
                <c:ptCount val="2"/>
                <c:pt idx="0">
                  <c:v>0.36</c:v>
                </c:pt>
                <c:pt idx="1">
                  <c:v>0.36</c:v>
                </c:pt>
              </c:numCache>
            </c:numRef>
          </c:yVal>
        </c:ser>
        <c:ser>
          <c:idx val="8"/>
          <c:order val="8"/>
          <c:spPr>
            <a:ln w="12700">
              <a:solidFill>
                <a:srgbClr val="000000"/>
              </a:solidFill>
              <a:prstDash val="sysDash"/>
            </a:ln>
          </c:spPr>
          <c:marker>
            <c:symbol val="none"/>
          </c:marker>
          <c:xVal>
            <c:numRef>
              <c:f>'Two correlations'!$BJ$21:$BJ$22</c:f>
              <c:numCache>
                <c:formatCode>General</c:formatCode>
                <c:ptCount val="2"/>
                <c:pt idx="0">
                  <c:v>2</c:v>
                </c:pt>
                <c:pt idx="1">
                  <c:v>2.9</c:v>
                </c:pt>
              </c:numCache>
            </c:numRef>
          </c:xVal>
          <c:yVal>
            <c:numRef>
              <c:f>'Two correlations'!$BK$21:$BK$22</c:f>
              <c:numCache>
                <c:formatCode>General</c:formatCode>
                <c:ptCount val="2"/>
                <c:pt idx="0">
                  <c:v>0.49</c:v>
                </c:pt>
                <c:pt idx="1">
                  <c:v>0.49</c:v>
                </c:pt>
              </c:numCache>
            </c:numRef>
          </c:yVal>
        </c:ser>
        <c:ser>
          <c:idx val="9"/>
          <c:order val="9"/>
          <c:spPr>
            <a:ln w="12700">
              <a:solidFill>
                <a:srgbClr val="000000"/>
              </a:solidFill>
              <a:prstDash val="solid"/>
            </a:ln>
          </c:spPr>
          <c:marker>
            <c:symbol val="none"/>
          </c:marker>
          <c:xVal>
            <c:numRef>
              <c:f>'Two correlations'!$BJ$23:$BJ$24</c:f>
              <c:numCache>
                <c:formatCode>General</c:formatCode>
                <c:ptCount val="2"/>
                <c:pt idx="0">
                  <c:v>2.9</c:v>
                </c:pt>
                <c:pt idx="1">
                  <c:v>3.3</c:v>
                </c:pt>
              </c:numCache>
            </c:numRef>
          </c:xVal>
          <c:yVal>
            <c:numRef>
              <c:f>'Two correlations'!$BK$23:$BK$24</c:f>
              <c:numCache>
                <c:formatCode>General</c:formatCode>
                <c:ptCount val="2"/>
                <c:pt idx="0">
                  <c:v>0.49</c:v>
                </c:pt>
                <c:pt idx="1">
                  <c:v>0.49</c:v>
                </c:pt>
              </c:numCache>
            </c:numRef>
          </c:yVal>
        </c:ser>
        <c:ser>
          <c:idx val="10"/>
          <c:order val="10"/>
          <c:spPr>
            <a:ln w="28575">
              <a:noFill/>
            </a:ln>
          </c:spPr>
          <c:marker>
            <c:symbol val="none"/>
          </c:marker>
          <c:dLbls>
            <c:dLbl>
              <c:idx val="0"/>
              <c:tx>
                <c:rich>
                  <a:bodyPr rot="-5400000" vert="horz"/>
                  <a:lstStyle/>
                  <a:p>
                    <a:pPr algn="ctr">
                      <a:defRPr sz="1200" b="0" i="0" u="none" strike="noStrike" baseline="0">
                        <a:solidFill>
                          <a:srgbClr val="000000"/>
                        </a:solidFill>
                        <a:latin typeface="Arial"/>
                        <a:ea typeface="Arial"/>
                        <a:cs typeface="Arial"/>
                      </a:defRPr>
                    </a:pPr>
                    <a:r>
                      <a:rPr lang="en-AU"/>
                      <a:t>Difference axis</a:t>
                    </a:r>
                  </a:p>
                </c:rich>
              </c:tx>
              <c:spPr>
                <a:noFill/>
                <a:ln w="25400">
                  <a:noFill/>
                </a:ln>
              </c:spPr>
              <c:dLblPos val="ctr"/>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CatName val="1"/>
          </c:dLbls>
          <c:xVal>
            <c:numRef>
              <c:f>'Two correlations'!$BJ$28</c:f>
              <c:numCache>
                <c:formatCode>General</c:formatCode>
                <c:ptCount val="1"/>
                <c:pt idx="0">
                  <c:v>3.8</c:v>
                </c:pt>
              </c:numCache>
            </c:numRef>
          </c:xVal>
          <c:yVal>
            <c:numRef>
              <c:f>'Two correlations'!$BK$28</c:f>
              <c:numCache>
                <c:formatCode>General</c:formatCode>
                <c:ptCount val="1"/>
                <c:pt idx="0">
                  <c:v>0.36</c:v>
                </c:pt>
              </c:numCache>
            </c:numRef>
          </c:yVal>
        </c:ser>
        <c:ser>
          <c:idx val="11"/>
          <c:order val="11"/>
          <c:spPr>
            <a:ln w="28575">
              <a:noFill/>
            </a:ln>
          </c:spPr>
          <c:marker>
            <c:symbol val="none"/>
          </c:marker>
          <c:errBars>
            <c:errDir val="x"/>
            <c:errBarType val="plus"/>
            <c:errValType val="cust"/>
            <c:noEndCap val="1"/>
            <c:plus>
              <c:numRef>
                <c:f>'Two correlations'!$BL$30</c:f>
                <c:numCache>
                  <c:formatCode>General</c:formatCode>
                  <c:ptCount val="1"/>
                  <c:pt idx="0">
                    <c:v>2.4</c:v>
                  </c:pt>
                </c:numCache>
              </c:numRef>
            </c:plus>
            <c:spPr>
              <a:ln w="12700">
                <a:solidFill>
                  <a:srgbClr val="969696"/>
                </a:solidFill>
                <a:prstDash val="solid"/>
              </a:ln>
            </c:spPr>
          </c:errBars>
          <c:xVal>
            <c:numRef>
              <c:f>'Two correlations'!$BJ$30:$BJ$32</c:f>
              <c:numCache>
                <c:formatCode>General</c:formatCode>
                <c:ptCount val="3"/>
                <c:pt idx="0">
                  <c:v>0</c:v>
                </c:pt>
                <c:pt idx="1">
                  <c:v>0</c:v>
                </c:pt>
                <c:pt idx="2">
                  <c:v>0</c:v>
                </c:pt>
              </c:numCache>
            </c:numRef>
          </c:xVal>
          <c:yVal>
            <c:numRef>
              <c:f>'Two correlations'!$BK$30:$BK$32</c:f>
              <c:numCache>
                <c:formatCode>General</c:formatCode>
                <c:ptCount val="3"/>
                <c:pt idx="0">
                  <c:v>0</c:v>
                </c:pt>
                <c:pt idx="1">
                  <c:v>-1</c:v>
                </c:pt>
                <c:pt idx="2">
                  <c:v>1</c:v>
                </c:pt>
              </c:numCache>
            </c:numRef>
          </c:yVal>
        </c:ser>
        <c:axId val="168471936"/>
        <c:axId val="168494208"/>
      </c:scatterChart>
      <c:valAx>
        <c:axId val="168471936"/>
        <c:scaling>
          <c:orientation val="minMax"/>
          <c:max val="4.0999999999999996"/>
          <c:min val="0"/>
        </c:scaling>
        <c:axPos val="b"/>
        <c:numFmt formatCode="General" sourceLinked="1"/>
        <c:majorTickMark val="none"/>
        <c:tickLblPos val="none"/>
        <c:spPr>
          <a:ln w="9525">
            <a:noFill/>
          </a:ln>
        </c:spPr>
        <c:crossAx val="168494208"/>
        <c:crosses val="autoZero"/>
        <c:crossBetween val="midCat"/>
        <c:majorUnit val="1"/>
      </c:valAx>
      <c:valAx>
        <c:axId val="168494208"/>
        <c:scaling>
          <c:orientation val="minMax"/>
          <c:max val="1.2"/>
          <c:min val="-1.2"/>
        </c:scaling>
        <c:axPos val="l"/>
        <c:title>
          <c:tx>
            <c:rich>
              <a:bodyPr rot="0" vert="horz"/>
              <a:lstStyle/>
              <a:p>
                <a:pPr algn="ctr">
                  <a:defRPr sz="1600" b="0" i="1" u="none" strike="noStrike" baseline="0">
                    <a:solidFill>
                      <a:srgbClr val="000000"/>
                    </a:solidFill>
                    <a:latin typeface="Arial"/>
                    <a:ea typeface="Arial"/>
                    <a:cs typeface="Arial"/>
                  </a:defRPr>
                </a:pPr>
                <a:r>
                  <a:rPr lang="en-AU"/>
                  <a:t>r</a:t>
                </a:r>
              </a:p>
            </c:rich>
          </c:tx>
          <c:layout>
            <c:manualLayout>
              <c:xMode val="edge"/>
              <c:yMode val="edge"/>
              <c:x val="9.451804565480065E-3"/>
              <c:y val="0.46611570247933876"/>
            </c:manualLayout>
          </c:layout>
          <c:spPr>
            <a:noFill/>
            <a:ln w="25400">
              <a:noFill/>
            </a:ln>
          </c:spPr>
        </c:title>
        <c:numFmt formatCode=".0;\-.0;0" sourceLinked="0"/>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68471936"/>
        <c:crosses val="autoZero"/>
        <c:crossBetween val="midCat"/>
        <c:majorUnit val="0.2"/>
        <c:minorUnit val="0.1"/>
      </c:valAx>
      <c:spPr>
        <a:noFill/>
        <a:ln w="25400">
          <a:noFill/>
        </a:ln>
      </c:spPr>
    </c:plotArea>
    <c:plotVisOnly val="1"/>
    <c:dispBlanksAs val="gap"/>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0.13701923076923106"/>
          <c:y val="2.9315960912052116E-2"/>
          <c:w val="0.85336538461538469"/>
          <c:h val="0.94299674267100975"/>
        </c:manualLayout>
      </c:layout>
      <c:scatterChart>
        <c:scatterStyle val="lineMarker"/>
        <c:ser>
          <c:idx val="1"/>
          <c:order val="0"/>
          <c:spPr>
            <a:ln w="28575">
              <a:noFill/>
            </a:ln>
          </c:spPr>
          <c:marker>
            <c:symbol val="none"/>
          </c:marker>
          <c:errBars>
            <c:errDir val="x"/>
            <c:errBarType val="plus"/>
            <c:errValType val="cust"/>
            <c:noEndCap val="1"/>
            <c:plus>
              <c:numLit>
                <c:formatCode>General</c:formatCode>
                <c:ptCount val="1"/>
                <c:pt idx="0">
                  <c:v>1.3</c:v>
                </c:pt>
              </c:numLit>
            </c:plus>
            <c:spPr>
              <a:ln w="12700">
                <a:solidFill>
                  <a:srgbClr val="C0C0C0"/>
                </a:solidFill>
                <a:prstDash val="solid"/>
              </a:ln>
            </c:spPr>
          </c:errBars>
          <c:xVal>
            <c:numRef>
              <c:f>'One proportion'!$AX$22:$AX$220</c:f>
              <c:numCache>
                <c:formatCode>General</c:formatCode>
                <c:ptCount val="19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numCache>
            </c:numRef>
          </c:xVal>
          <c:yVal>
            <c:numRef>
              <c:f>'One proportion'!$AY$22:$AY$220</c:f>
              <c:numCache>
                <c:formatCode>General</c:formatCode>
                <c:ptCount val="19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numCache>
            </c:numRef>
          </c:yVal>
        </c:ser>
        <c:ser>
          <c:idx val="0"/>
          <c:order val="1"/>
          <c:spPr>
            <a:ln w="28575">
              <a:noFill/>
            </a:ln>
          </c:spPr>
          <c:marker>
            <c:symbol val="circle"/>
            <c:size val="9"/>
            <c:spPr>
              <a:solidFill>
                <a:srgbClr val="000000"/>
              </a:solidFill>
              <a:ln>
                <a:solidFill>
                  <a:srgbClr val="000000"/>
                </a:solidFill>
                <a:prstDash val="solid"/>
              </a:ln>
            </c:spPr>
          </c:marker>
          <c:dLbls>
            <c:dLbl>
              <c:idx val="0"/>
              <c:tx>
                <c:rich>
                  <a:bodyPr/>
                  <a:lstStyle/>
                  <a:p>
                    <a:pPr>
                      <a:defRPr sz="1400" b="0" i="1" u="none" strike="noStrike" baseline="0">
                        <a:solidFill>
                          <a:srgbClr val="000000"/>
                        </a:solidFill>
                        <a:latin typeface="Arial"/>
                        <a:ea typeface="Arial"/>
                        <a:cs typeface="Arial"/>
                      </a:defRPr>
                    </a:pPr>
                    <a:r>
                      <a:rPr lang="en-AU"/>
                      <a:t>P</a:t>
                    </a:r>
                  </a:p>
                </c:rich>
              </c:tx>
              <c:spPr>
                <a:noFill/>
                <a:ln w="25400">
                  <a:noFill/>
                </a:ln>
              </c:spPr>
              <c:dLblPos val="l"/>
            </c:dLbl>
            <c:dLbl>
              <c:idx val="1"/>
              <c:tx>
                <c:rich>
                  <a:bodyPr/>
                  <a:lstStyle/>
                  <a:p>
                    <a:pPr>
                      <a:defRPr sz="1100" b="0" i="0" u="none" strike="noStrike" baseline="0">
                        <a:solidFill>
                          <a:srgbClr val="000000"/>
                        </a:solidFill>
                        <a:latin typeface="Arial"/>
                        <a:ea typeface="Arial"/>
                        <a:cs typeface="Arial"/>
                      </a:defRPr>
                    </a:pPr>
                    <a:r>
                      <a:rPr lang="en-AU" sz="1200" b="0" i="1" u="none" strike="noStrike" baseline="0">
                        <a:solidFill>
                          <a:srgbClr val="000000"/>
                        </a:solidFill>
                        <a:latin typeface="Arial"/>
                        <a:cs typeface="Arial"/>
                      </a:rPr>
                      <a:t>r</a:t>
                    </a:r>
                    <a:r>
                      <a:rPr lang="en-AU" sz="1200" b="0" i="0" u="none" strike="noStrike" baseline="-25000">
                        <a:solidFill>
                          <a:srgbClr val="000000"/>
                        </a:solidFill>
                        <a:latin typeface="Arial"/>
                        <a:cs typeface="Arial"/>
                      </a:rPr>
                      <a:t>2</a:t>
                    </a:r>
                  </a:p>
                </c:rich>
              </c:tx>
              <c:spPr>
                <a:noFill/>
                <a:ln w="25400">
                  <a:noFill/>
                </a:ln>
              </c:spPr>
              <c:dLblPos val="l"/>
            </c:dLbl>
            <c:spPr>
              <a:noFill/>
              <a:ln w="25400">
                <a:noFill/>
              </a:ln>
            </c:spPr>
            <c:txPr>
              <a:bodyPr/>
              <a:lstStyle/>
              <a:p>
                <a:pPr>
                  <a:defRPr sz="1400" b="0" i="0" u="none" strike="noStrike" baseline="0">
                    <a:solidFill>
                      <a:srgbClr val="000000"/>
                    </a:solidFill>
                    <a:latin typeface="Arial"/>
                    <a:ea typeface="Arial"/>
                    <a:cs typeface="Arial"/>
                  </a:defRPr>
                </a:pPr>
                <a:endParaRPr lang="en-US"/>
              </a:p>
            </c:txPr>
            <c:dLblPos val="l"/>
            <c:showCatName val="1"/>
          </c:dLbls>
          <c:errBars>
            <c:errDir val="y"/>
            <c:errBarType val="both"/>
            <c:errValType val="cust"/>
            <c:noEndCap val="1"/>
            <c:plus>
              <c:numRef>
                <c:f>'One proportion'!$L$21</c:f>
                <c:numCache>
                  <c:formatCode>General</c:formatCode>
                  <c:ptCount val="1"/>
                  <c:pt idx="0">
                    <c:v>0.20684655546232622</c:v>
                  </c:pt>
                </c:numCache>
              </c:numRef>
            </c:plus>
            <c:minus>
              <c:numRef>
                <c:f>'One proportion'!$J$21</c:f>
                <c:numCache>
                  <c:formatCode>General</c:formatCode>
                  <c:ptCount val="1"/>
                  <c:pt idx="0">
                    <c:v>0.16630431693270237</c:v>
                  </c:pt>
                </c:numCache>
              </c:numRef>
            </c:minus>
            <c:spPr>
              <a:ln w="25400">
                <a:solidFill>
                  <a:srgbClr val="000000"/>
                </a:solidFill>
                <a:prstDash val="solid"/>
              </a:ln>
            </c:spPr>
          </c:errBars>
          <c:xVal>
            <c:numRef>
              <c:f>'One proportion'!$AY$1</c:f>
              <c:numCache>
                <c:formatCode>General</c:formatCode>
                <c:ptCount val="1"/>
                <c:pt idx="0">
                  <c:v>1</c:v>
                </c:pt>
              </c:numCache>
            </c:numRef>
          </c:xVal>
          <c:yVal>
            <c:numRef>
              <c:f>'One proportion'!$AZ$1</c:f>
              <c:numCache>
                <c:formatCode>General</c:formatCode>
                <c:ptCount val="1"/>
                <c:pt idx="0">
                  <c:v>0.36363636363636365</c:v>
                </c:pt>
              </c:numCache>
            </c:numRef>
          </c:yVal>
        </c:ser>
        <c:ser>
          <c:idx val="6"/>
          <c:order val="2"/>
          <c:spPr>
            <a:ln w="12700">
              <a:solidFill>
                <a:srgbClr val="008080"/>
              </a:solidFill>
              <a:prstDash val="solid"/>
            </a:ln>
          </c:spPr>
          <c:marker>
            <c:symbol val="none"/>
          </c:marker>
          <c:errBars>
            <c:errDir val="x"/>
            <c:errBarType val="plus"/>
            <c:errValType val="cust"/>
            <c:noEndCap val="1"/>
            <c:plus>
              <c:numLit>
                <c:formatCode>General</c:formatCode>
                <c:ptCount val="1"/>
                <c:pt idx="0">
                  <c:v>1.8</c:v>
                </c:pt>
              </c:numLit>
            </c:plus>
            <c:spPr>
              <a:ln w="12700">
                <a:solidFill>
                  <a:srgbClr val="000000"/>
                </a:solidFill>
                <a:prstDash val="solid"/>
              </a:ln>
            </c:spPr>
          </c:errBars>
          <c:xVal>
            <c:numRef>
              <c:f>'One proportion'!$AW$12:$AW$13</c:f>
              <c:numCache>
                <c:formatCode>General</c:formatCode>
                <c:ptCount val="2"/>
                <c:pt idx="0">
                  <c:v>0</c:v>
                </c:pt>
                <c:pt idx="1">
                  <c:v>0</c:v>
                </c:pt>
              </c:numCache>
            </c:numRef>
          </c:xVal>
          <c:yVal>
            <c:numRef>
              <c:f>'One proportion'!$AX$12:$AX$13</c:f>
              <c:numCache>
                <c:formatCode>General</c:formatCode>
                <c:ptCount val="2"/>
                <c:pt idx="0">
                  <c:v>0</c:v>
                </c:pt>
                <c:pt idx="1">
                  <c:v>1</c:v>
                </c:pt>
              </c:numCache>
            </c:numRef>
          </c:yVal>
        </c:ser>
        <c:ser>
          <c:idx val="3"/>
          <c:order val="3"/>
          <c:spPr>
            <a:ln w="28575">
              <a:noFill/>
            </a:ln>
          </c:spPr>
          <c:marker>
            <c:symbol val="none"/>
          </c:marker>
          <c:errBars>
            <c:errDir val="x"/>
            <c:errBarType val="plus"/>
            <c:errValType val="cust"/>
            <c:noEndCap val="1"/>
            <c:plus>
              <c:numLit>
                <c:formatCode>General</c:formatCode>
                <c:ptCount val="1"/>
                <c:pt idx="0">
                  <c:v>9</c:v>
                </c:pt>
              </c:numLit>
            </c:plus>
            <c:spPr>
              <a:ln w="3175">
                <a:pattFill prst="pct50">
                  <a:fgClr>
                    <a:srgbClr val="FF6600"/>
                  </a:fgClr>
                  <a:bgClr>
                    <a:srgbClr val="FFFFFF"/>
                  </a:bgClr>
                </a:pattFill>
                <a:prstDash val="solid"/>
              </a:ln>
            </c:spPr>
          </c:errBars>
          <c:xVal>
            <c:numRef>
              <c:f>'One proportion'!$P$16</c:f>
              <c:numCache>
                <c:formatCode>General</c:formatCode>
                <c:ptCount val="1"/>
              </c:numCache>
            </c:numRef>
          </c:xVal>
          <c:yVal>
            <c:numRef>
              <c:f>'One proportion'!$Q$16</c:f>
              <c:numCache>
                <c:formatCode>General</c:formatCode>
                <c:ptCount val="1"/>
              </c:numCache>
            </c:numRef>
          </c:yVal>
        </c:ser>
        <c:ser>
          <c:idx val="4"/>
          <c:order val="4"/>
          <c:spPr>
            <a:ln w="28575">
              <a:noFill/>
            </a:ln>
          </c:spPr>
          <c:marker>
            <c:symbol val="none"/>
          </c:marker>
          <c:errBars>
            <c:errDir val="x"/>
            <c:errBarType val="plus"/>
            <c:errValType val="cust"/>
            <c:noEndCap val="1"/>
            <c:plus>
              <c:numLit>
                <c:formatCode>General</c:formatCode>
                <c:ptCount val="1"/>
                <c:pt idx="0">
                  <c:v>9</c:v>
                </c:pt>
              </c:numLit>
            </c:plus>
            <c:spPr>
              <a:ln w="3175">
                <a:pattFill prst="pct50">
                  <a:fgClr>
                    <a:srgbClr val="FF6600"/>
                  </a:fgClr>
                  <a:bgClr>
                    <a:srgbClr val="FFFFFF"/>
                  </a:bgClr>
                </a:pattFill>
                <a:prstDash val="solid"/>
              </a:ln>
            </c:spPr>
          </c:errBars>
          <c:xVal>
            <c:numRef>
              <c:f>'One proportion'!$P$17:$P$18</c:f>
              <c:numCache>
                <c:formatCode>General</c:formatCode>
                <c:ptCount val="2"/>
              </c:numCache>
            </c:numRef>
          </c:xVal>
          <c:yVal>
            <c:numRef>
              <c:f>'One proportion'!$Q$17:$Q$18</c:f>
              <c:numCache>
                <c:formatCode>General</c:formatCode>
                <c:ptCount val="2"/>
              </c:numCache>
            </c:numRef>
          </c:yVal>
        </c:ser>
        <c:ser>
          <c:idx val="5"/>
          <c:order val="5"/>
          <c:spPr>
            <a:ln w="12700">
              <a:solidFill>
                <a:srgbClr val="800000"/>
              </a:solidFill>
              <a:prstDash val="solid"/>
            </a:ln>
          </c:spPr>
          <c:marker>
            <c:symbol val="none"/>
          </c:marker>
          <c:dLbls>
            <c:dLbl>
              <c:idx val="0"/>
              <c:tx>
                <c:rich>
                  <a:bodyPr/>
                  <a:lstStyle/>
                  <a:p>
                    <a:pPr>
                      <a:defRPr sz="1800" b="0" i="0" u="none" strike="noStrike" baseline="0">
                        <a:solidFill>
                          <a:srgbClr val="FF0000"/>
                        </a:solidFill>
                        <a:latin typeface="Symbol"/>
                        <a:ea typeface="Symbol"/>
                        <a:cs typeface="Symbol"/>
                      </a:defRPr>
                    </a:pPr>
                    <a:r>
                      <a:rPr lang="en-AU" sz="1800" b="0" i="0" u="none" strike="noStrike" baseline="0">
                        <a:solidFill>
                          <a:srgbClr val="FF0000"/>
                        </a:solidFill>
                        <a:latin typeface="Symbol"/>
                      </a:rPr>
                      <a:t>P</a:t>
                    </a:r>
                    <a:r>
                      <a:rPr lang="en-AU" sz="1600" b="0" i="0" u="none" strike="noStrike" baseline="-25000">
                        <a:solidFill>
                          <a:srgbClr val="FF0000"/>
                        </a:solidFill>
                        <a:latin typeface="Arial"/>
                        <a:cs typeface="Arial"/>
                      </a:rPr>
                      <a:t>0</a:t>
                    </a:r>
                  </a:p>
                </c:rich>
              </c:tx>
              <c:spPr>
                <a:solidFill>
                  <a:srgbClr val="FFFFFF"/>
                </a:solidFill>
                <a:ln w="25400">
                  <a:noFill/>
                </a:ln>
              </c:spPr>
              <c:dLblPos val="r"/>
            </c:dLbl>
            <c:spPr>
              <a:solidFill>
                <a:srgbClr val="FFFFFF"/>
              </a:solidFill>
              <a:ln w="25400">
                <a:noFill/>
              </a:ln>
            </c:spPr>
            <c:txPr>
              <a:bodyPr/>
              <a:lstStyle/>
              <a:p>
                <a:pPr>
                  <a:defRPr sz="1400" b="0" i="0" u="none" strike="noStrike" baseline="0">
                    <a:solidFill>
                      <a:srgbClr val="FF0000"/>
                    </a:solidFill>
                    <a:latin typeface="Arial"/>
                    <a:ea typeface="Arial"/>
                    <a:cs typeface="Arial"/>
                  </a:defRPr>
                </a:pPr>
                <a:endParaRPr lang="en-US"/>
              </a:p>
            </c:txPr>
            <c:dLblPos val="r"/>
            <c:showCatName val="1"/>
          </c:dLbls>
          <c:errBars>
            <c:errDir val="x"/>
            <c:errBarType val="minus"/>
            <c:errValType val="cust"/>
            <c:noEndCap val="1"/>
            <c:minus>
              <c:numLit>
                <c:formatCode>General</c:formatCode>
                <c:ptCount val="1"/>
                <c:pt idx="0">
                  <c:v>9</c:v>
                </c:pt>
              </c:numLit>
            </c:minus>
            <c:spPr>
              <a:ln w="12700">
                <a:solidFill>
                  <a:srgbClr val="FF0000"/>
                </a:solidFill>
                <a:prstDash val="solid"/>
              </a:ln>
            </c:spPr>
          </c:errBars>
          <c:xVal>
            <c:numRef>
              <c:f>'One proportion'!$AW$10</c:f>
              <c:numCache>
                <c:formatCode>General</c:formatCode>
                <c:ptCount val="1"/>
                <c:pt idx="0">
                  <c:v>#N/A</c:v>
                </c:pt>
              </c:numCache>
            </c:numRef>
          </c:xVal>
          <c:yVal>
            <c:numRef>
              <c:f>'One proportion'!$AX$10</c:f>
              <c:numCache>
                <c:formatCode>General</c:formatCode>
                <c:ptCount val="1"/>
                <c:pt idx="0">
                  <c:v>#N/A</c:v>
                </c:pt>
              </c:numCache>
            </c:numRef>
          </c:yVal>
        </c:ser>
        <c:axId val="168652160"/>
        <c:axId val="168666240"/>
      </c:scatterChart>
      <c:valAx>
        <c:axId val="168652160"/>
        <c:scaling>
          <c:orientation val="minMax"/>
          <c:max val="2"/>
          <c:min val="0"/>
        </c:scaling>
        <c:axPos val="b"/>
        <c:numFmt formatCode="General" sourceLinked="1"/>
        <c:majorTickMark val="none"/>
        <c:tickLblPos val="none"/>
        <c:spPr>
          <a:ln w="9525">
            <a:noFill/>
          </a:ln>
        </c:spPr>
        <c:crossAx val="168666240"/>
        <c:crosses val="autoZero"/>
        <c:crossBetween val="midCat"/>
        <c:majorUnit val="1"/>
      </c:valAx>
      <c:valAx>
        <c:axId val="168666240"/>
        <c:scaling>
          <c:orientation val="minMax"/>
          <c:max val="1"/>
          <c:min val="0"/>
        </c:scaling>
        <c:axPos val="l"/>
        <c:title>
          <c:tx>
            <c:rich>
              <a:bodyPr rot="0" vert="horz"/>
              <a:lstStyle/>
              <a:p>
                <a:pPr algn="ctr">
                  <a:defRPr sz="1600" b="0" i="1" u="none" strike="noStrike" baseline="0">
                    <a:solidFill>
                      <a:srgbClr val="000000"/>
                    </a:solidFill>
                    <a:latin typeface="Arial"/>
                    <a:ea typeface="Arial"/>
                    <a:cs typeface="Arial"/>
                  </a:defRPr>
                </a:pPr>
                <a:r>
                  <a:rPr lang="en-AU"/>
                  <a:t>P</a:t>
                </a:r>
              </a:p>
            </c:rich>
          </c:tx>
          <c:layout>
            <c:manualLayout>
              <c:xMode val="edge"/>
              <c:yMode val="edge"/>
              <c:x val="1.201923076923077E-2"/>
              <c:y val="0.5162866449511393"/>
            </c:manualLayout>
          </c:layout>
          <c:spPr>
            <a:noFill/>
            <a:ln w="25400">
              <a:noFill/>
            </a:ln>
          </c:spPr>
        </c:title>
        <c:numFmt formatCode=".0;\-.0;0" sourceLinked="0"/>
        <c:minorTickMark val="out"/>
        <c:tickLblPos val="nextTo"/>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68652160"/>
        <c:crosses val="autoZero"/>
        <c:crossBetween val="midCat"/>
        <c:majorUnit val="0.1"/>
        <c:minorUnit val="2.0000000000000011E-2"/>
      </c:valAx>
      <c:spPr>
        <a:noFill/>
        <a:ln w="25400">
          <a:noFill/>
        </a:ln>
      </c:spPr>
    </c:plotArea>
    <c:plotVisOnly val="1"/>
    <c:dispBlanksAs val="gap"/>
  </c:char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0.10775057204647272"/>
          <c:y val="2.9315960912052116E-2"/>
          <c:w val="0.88468890732893291"/>
          <c:h val="0.94299674267100975"/>
        </c:manualLayout>
      </c:layout>
      <c:scatterChart>
        <c:scatterStyle val="lineMarker"/>
        <c:ser>
          <c:idx val="0"/>
          <c:order val="0"/>
          <c:spPr>
            <a:ln w="28575">
              <a:noFill/>
            </a:ln>
          </c:spPr>
          <c:marker>
            <c:symbol val="circle"/>
            <c:size val="9"/>
            <c:spPr>
              <a:solidFill>
                <a:srgbClr val="000000"/>
              </a:solidFill>
              <a:ln>
                <a:solidFill>
                  <a:srgbClr val="000000"/>
                </a:solidFill>
                <a:prstDash val="solid"/>
              </a:ln>
            </c:spPr>
          </c:marker>
          <c:dLbls>
            <c:dLbl>
              <c:idx val="0"/>
              <c:tx>
                <c:rich>
                  <a:bodyPr/>
                  <a:lstStyle/>
                  <a:p>
                    <a:pPr>
                      <a:defRPr sz="1400" b="0" i="1" u="none" strike="noStrike" baseline="0">
                        <a:solidFill>
                          <a:srgbClr val="000000"/>
                        </a:solidFill>
                        <a:latin typeface="Arial"/>
                        <a:ea typeface="Arial"/>
                        <a:cs typeface="Arial"/>
                      </a:defRPr>
                    </a:pPr>
                    <a:r>
                      <a:rPr lang="en-AU" sz="1400" b="0" i="1" u="none" strike="noStrike" baseline="0">
                        <a:solidFill>
                          <a:srgbClr val="000000"/>
                        </a:solidFill>
                        <a:latin typeface="Arial"/>
                        <a:cs typeface="Arial"/>
                      </a:rPr>
                      <a:t>P</a:t>
                    </a:r>
                    <a:r>
                      <a:rPr lang="en-AU" sz="1400" b="0" i="0" u="none" strike="noStrike" baseline="-25000">
                        <a:solidFill>
                          <a:srgbClr val="000000"/>
                        </a:solidFill>
                        <a:latin typeface="Arial"/>
                        <a:cs typeface="Arial"/>
                      </a:rPr>
                      <a:t>1</a:t>
                    </a:r>
                  </a:p>
                </c:rich>
              </c:tx>
              <c:spPr>
                <a:noFill/>
                <a:ln w="25400">
                  <a:noFill/>
                </a:ln>
              </c:spPr>
              <c:dLblPos val="l"/>
            </c:dLbl>
            <c:dLbl>
              <c:idx val="1"/>
              <c:tx>
                <c:rich>
                  <a:bodyPr/>
                  <a:lstStyle/>
                  <a:p>
                    <a:pPr>
                      <a:defRPr sz="1400" b="0" i="1" u="none" strike="noStrike" baseline="0">
                        <a:solidFill>
                          <a:srgbClr val="000000"/>
                        </a:solidFill>
                        <a:latin typeface="Arial"/>
                        <a:ea typeface="Arial"/>
                        <a:cs typeface="Arial"/>
                      </a:defRPr>
                    </a:pPr>
                    <a:r>
                      <a:rPr lang="en-AU" sz="1400" b="0" i="1" u="none" strike="noStrike" baseline="0">
                        <a:solidFill>
                          <a:srgbClr val="000000"/>
                        </a:solidFill>
                        <a:latin typeface="Arial"/>
                        <a:cs typeface="Arial"/>
                      </a:rPr>
                      <a:t>P</a:t>
                    </a:r>
                    <a:r>
                      <a:rPr lang="en-AU" sz="1400" b="0" i="0" u="none" strike="noStrike" baseline="-25000">
                        <a:solidFill>
                          <a:srgbClr val="000000"/>
                        </a:solidFill>
                        <a:latin typeface="Arial"/>
                        <a:cs typeface="Arial"/>
                      </a:rPr>
                      <a:t>2</a:t>
                    </a:r>
                  </a:p>
                </c:rich>
              </c:tx>
              <c:spPr>
                <a:noFill/>
                <a:ln w="25400">
                  <a:noFill/>
                </a:ln>
              </c:spPr>
              <c:dLblPos val="l"/>
            </c:dLbl>
            <c:spPr>
              <a:noFill/>
              <a:ln w="25400">
                <a:noFill/>
              </a:ln>
            </c:spPr>
            <c:txPr>
              <a:bodyPr/>
              <a:lstStyle/>
              <a:p>
                <a:pPr>
                  <a:defRPr sz="1400" b="0" i="0" u="none" strike="noStrike" baseline="0">
                    <a:solidFill>
                      <a:srgbClr val="000000"/>
                    </a:solidFill>
                    <a:latin typeface="Arial"/>
                    <a:ea typeface="Arial"/>
                    <a:cs typeface="Arial"/>
                  </a:defRPr>
                </a:pPr>
                <a:endParaRPr lang="en-US"/>
              </a:p>
            </c:txPr>
            <c:dLblPos val="l"/>
            <c:showCatName val="1"/>
          </c:dLbls>
          <c:errBars>
            <c:errDir val="y"/>
            <c:errBarType val="both"/>
            <c:errValType val="cust"/>
            <c:noEndCap val="1"/>
            <c:plus>
              <c:numRef>
                <c:f>'Two proportions'!$BJ$3:$BK$3</c:f>
                <c:numCache>
                  <c:formatCode>General</c:formatCode>
                  <c:ptCount val="2"/>
                  <c:pt idx="0">
                    <c:v>5.9580076371916202E-2</c:v>
                  </c:pt>
                  <c:pt idx="1">
                    <c:v>0.2007019918017876</c:v>
                  </c:pt>
                </c:numCache>
              </c:numRef>
            </c:plus>
            <c:minus>
              <c:numRef>
                <c:f>'Two proportions'!$BJ$4:$BK$4</c:f>
                <c:numCache>
                  <c:formatCode>General</c:formatCode>
                  <c:ptCount val="2"/>
                  <c:pt idx="0">
                    <c:v>5.3860077389657479E-2</c:v>
                  </c:pt>
                  <c:pt idx="1">
                    <c:v>0.20070199180178766</c:v>
                  </c:pt>
                </c:numCache>
              </c:numRef>
            </c:minus>
            <c:spPr>
              <a:ln w="25400">
                <a:solidFill>
                  <a:srgbClr val="000000"/>
                </a:solidFill>
                <a:prstDash val="solid"/>
              </a:ln>
            </c:spPr>
          </c:errBars>
          <c:xVal>
            <c:numRef>
              <c:f>'Two proportions'!$BH$3:$BH$4</c:f>
              <c:numCache>
                <c:formatCode>General</c:formatCode>
                <c:ptCount val="2"/>
                <c:pt idx="0">
                  <c:v>1</c:v>
                </c:pt>
                <c:pt idx="1">
                  <c:v>2</c:v>
                </c:pt>
              </c:numCache>
            </c:numRef>
          </c:xVal>
          <c:yVal>
            <c:numRef>
              <c:f>'Two proportions'!$BI$3:$BI$4</c:f>
              <c:numCache>
                <c:formatCode>General</c:formatCode>
                <c:ptCount val="2"/>
                <c:pt idx="0">
                  <c:v>0.30952380952380953</c:v>
                </c:pt>
                <c:pt idx="1">
                  <c:v>0.5</c:v>
                </c:pt>
              </c:numCache>
            </c:numRef>
          </c:yVal>
        </c:ser>
        <c:ser>
          <c:idx val="3"/>
          <c:order val="1"/>
          <c:spPr>
            <a:ln w="28575">
              <a:noFill/>
            </a:ln>
          </c:spPr>
          <c:marker>
            <c:symbol val="none"/>
          </c:marker>
          <c:errBars>
            <c:errDir val="x"/>
            <c:errBarType val="plus"/>
            <c:errValType val="cust"/>
            <c:noEndCap val="1"/>
            <c:plus>
              <c:numLit>
                <c:formatCode>General</c:formatCode>
                <c:ptCount val="1"/>
                <c:pt idx="0">
                  <c:v>9</c:v>
                </c:pt>
              </c:numLit>
            </c:plus>
            <c:spPr>
              <a:ln w="3175">
                <a:pattFill prst="pct50">
                  <a:fgClr>
                    <a:srgbClr val="008000"/>
                  </a:fgClr>
                  <a:bgClr>
                    <a:srgbClr val="FFFFFF"/>
                  </a:bgClr>
                </a:pattFill>
                <a:prstDash val="solid"/>
              </a:ln>
            </c:spPr>
          </c:errBars>
          <c:xVal>
            <c:numRef>
              <c:f>'Two proportions'!$AB$16</c:f>
              <c:numCache>
                <c:formatCode>General</c:formatCode>
                <c:ptCount val="1"/>
              </c:numCache>
            </c:numRef>
          </c:xVal>
          <c:yVal>
            <c:numRef>
              <c:f>'Two proportions'!$AC$16</c:f>
              <c:numCache>
                <c:formatCode>General</c:formatCode>
                <c:ptCount val="1"/>
              </c:numCache>
            </c:numRef>
          </c:yVal>
        </c:ser>
        <c:ser>
          <c:idx val="4"/>
          <c:order val="2"/>
          <c:spPr>
            <a:ln w="28575">
              <a:noFill/>
            </a:ln>
          </c:spPr>
          <c:marker>
            <c:symbol val="none"/>
          </c:marker>
          <c:errBars>
            <c:errDir val="x"/>
            <c:errBarType val="plus"/>
            <c:errValType val="cust"/>
            <c:noEndCap val="1"/>
            <c:plus>
              <c:numLit>
                <c:formatCode>General</c:formatCode>
                <c:ptCount val="1"/>
                <c:pt idx="0">
                  <c:v>9</c:v>
                </c:pt>
              </c:numLit>
            </c:plus>
            <c:spPr>
              <a:ln w="3175">
                <a:pattFill prst="pct50">
                  <a:fgClr>
                    <a:srgbClr val="FF0000"/>
                  </a:fgClr>
                  <a:bgClr>
                    <a:srgbClr val="FFFFFF"/>
                  </a:bgClr>
                </a:pattFill>
                <a:prstDash val="solid"/>
              </a:ln>
            </c:spPr>
          </c:errBars>
          <c:xVal>
            <c:numRef>
              <c:f>'Two proportions'!$AB$17:$AB$18</c:f>
              <c:numCache>
                <c:formatCode>General</c:formatCode>
                <c:ptCount val="2"/>
              </c:numCache>
            </c:numRef>
          </c:xVal>
          <c:yVal>
            <c:numRef>
              <c:f>'Two proportions'!$AC$17:$AC$18</c:f>
              <c:numCache>
                <c:formatCode>General</c:formatCode>
                <c:ptCount val="2"/>
              </c:numCache>
            </c:numRef>
          </c:yVal>
        </c:ser>
        <c:ser>
          <c:idx val="5"/>
          <c:order val="3"/>
          <c:spPr>
            <a:ln w="28575">
              <a:noFill/>
            </a:ln>
          </c:spPr>
          <c:marker>
            <c:symbol val="triangle"/>
            <c:size val="9"/>
            <c:spPr>
              <a:solidFill>
                <a:srgbClr val="000000"/>
              </a:solidFill>
              <a:ln>
                <a:solidFill>
                  <a:srgbClr val="000000"/>
                </a:solidFill>
                <a:prstDash val="solid"/>
              </a:ln>
            </c:spPr>
          </c:marker>
          <c:errBars>
            <c:errDir val="y"/>
            <c:errBarType val="both"/>
            <c:errValType val="cust"/>
            <c:noEndCap val="1"/>
            <c:plus>
              <c:numRef>
                <c:f>'Two proportions'!$BJ$18</c:f>
                <c:numCache>
                  <c:formatCode>General</c:formatCode>
                  <c:ptCount val="1"/>
                  <c:pt idx="0">
                    <c:v>0.20780326621500611</c:v>
                  </c:pt>
                </c:numCache>
              </c:numRef>
            </c:plus>
            <c:minus>
              <c:numRef>
                <c:f>'Two proportions'!$BJ$19</c:f>
                <c:numCache>
                  <c:formatCode>General</c:formatCode>
                  <c:ptCount val="1"/>
                  <c:pt idx="0">
                    <c:v>0.20935872328061284</c:v>
                  </c:pt>
                </c:numCache>
              </c:numRef>
            </c:minus>
            <c:spPr>
              <a:ln w="25400">
                <a:solidFill>
                  <a:srgbClr val="000000"/>
                </a:solidFill>
                <a:prstDash val="solid"/>
              </a:ln>
            </c:spPr>
          </c:errBars>
          <c:xVal>
            <c:numRef>
              <c:f>'Two proportions'!$BH$18</c:f>
              <c:numCache>
                <c:formatCode>General</c:formatCode>
                <c:ptCount val="1"/>
                <c:pt idx="0">
                  <c:v>2.9</c:v>
                </c:pt>
              </c:numCache>
            </c:numRef>
          </c:xVal>
          <c:yVal>
            <c:numRef>
              <c:f>'Two proportions'!$BI$18</c:f>
              <c:numCache>
                <c:formatCode>General</c:formatCode>
                <c:ptCount val="1"/>
                <c:pt idx="0">
                  <c:v>0.5</c:v>
                </c:pt>
              </c:numCache>
            </c:numRef>
          </c:yVal>
        </c:ser>
        <c:ser>
          <c:idx val="6"/>
          <c:order val="4"/>
          <c:spPr>
            <a:ln w="12700">
              <a:solidFill>
                <a:srgbClr val="000000"/>
              </a:solidFill>
              <a:prstDash val="solid"/>
            </a:ln>
          </c:spPr>
          <c:marker>
            <c:symbol val="dot"/>
            <c:size val="5"/>
            <c:spPr>
              <a:noFill/>
              <a:ln>
                <a:solidFill>
                  <a:srgbClr val="000000"/>
                </a:solidFill>
                <a:prstDash val="solid"/>
              </a:ln>
            </c:spPr>
          </c:marker>
          <c:dLbls>
            <c:dLbl>
              <c:idx val="0"/>
              <c:delete val="1"/>
            </c:dLbl>
            <c:dLbl>
              <c:idx val="1"/>
              <c:tx>
                <c:rich>
                  <a:bodyPr/>
                  <a:lstStyle/>
                  <a:p>
                    <a:pPr>
                      <a:defRPr sz="1150" b="0" i="0" u="none" strike="noStrike" baseline="0">
                        <a:solidFill>
                          <a:srgbClr val="000000"/>
                        </a:solidFill>
                        <a:latin typeface="Arial"/>
                        <a:ea typeface="Arial"/>
                        <a:cs typeface="Arial"/>
                      </a:defRPr>
                    </a:pPr>
                    <a:r>
                      <a:rPr lang="en-AU"/>
                      <a:t>1.8</a:t>
                    </a:r>
                  </a:p>
                </c:rich>
              </c:tx>
              <c:spPr>
                <a:noFill/>
                <a:ln w="25400">
                  <a:noFill/>
                </a:ln>
              </c:spPr>
            </c:dLbl>
            <c:dLbl>
              <c:idx val="2"/>
              <c:delete val="1"/>
            </c:dLbl>
            <c:dLbl>
              <c:idx val="3"/>
              <c:tx>
                <c:rich>
                  <a:bodyPr/>
                  <a:lstStyle/>
                  <a:p>
                    <a:pPr>
                      <a:defRPr sz="1150" b="0" i="0" u="none" strike="noStrike" baseline="0">
                        <a:solidFill>
                          <a:srgbClr val="000000"/>
                        </a:solidFill>
                        <a:latin typeface="Arial"/>
                        <a:ea typeface="Arial"/>
                        <a:cs typeface="Arial"/>
                      </a:defRPr>
                    </a:pPr>
                    <a:r>
                      <a:rPr lang="en-AU"/>
                      <a:t>1.6</a:t>
                    </a:r>
                  </a:p>
                </c:rich>
              </c:tx>
              <c:spPr>
                <a:noFill/>
                <a:ln w="25400">
                  <a:noFill/>
                </a:ln>
              </c:spPr>
            </c:dLbl>
            <c:dLbl>
              <c:idx val="4"/>
              <c:delete val="1"/>
            </c:dLbl>
            <c:dLbl>
              <c:idx val="5"/>
              <c:tx>
                <c:rich>
                  <a:bodyPr/>
                  <a:lstStyle/>
                  <a:p>
                    <a:pPr>
                      <a:defRPr sz="1150" b="0" i="0" u="none" strike="noStrike" baseline="0">
                        <a:solidFill>
                          <a:srgbClr val="000000"/>
                        </a:solidFill>
                        <a:latin typeface="Arial"/>
                        <a:ea typeface="Arial"/>
                        <a:cs typeface="Arial"/>
                      </a:defRPr>
                    </a:pPr>
                    <a:r>
                      <a:rPr lang="en-AU"/>
                      <a:t>1.4</a:t>
                    </a:r>
                  </a:p>
                </c:rich>
              </c:tx>
              <c:spPr>
                <a:noFill/>
                <a:ln w="25400">
                  <a:noFill/>
                </a:ln>
              </c:spPr>
            </c:dLbl>
            <c:dLbl>
              <c:idx val="6"/>
              <c:delete val="1"/>
            </c:dLbl>
            <c:dLbl>
              <c:idx val="7"/>
              <c:tx>
                <c:rich>
                  <a:bodyPr/>
                  <a:lstStyle/>
                  <a:p>
                    <a:pPr>
                      <a:defRPr sz="1150" b="0" i="0" u="none" strike="noStrike" baseline="0">
                        <a:solidFill>
                          <a:srgbClr val="000000"/>
                        </a:solidFill>
                        <a:latin typeface="Arial"/>
                        <a:ea typeface="Arial"/>
                        <a:cs typeface="Arial"/>
                      </a:defRPr>
                    </a:pPr>
                    <a:r>
                      <a:rPr lang="en-AU"/>
                      <a:t>1.2</a:t>
                    </a:r>
                  </a:p>
                </c:rich>
              </c:tx>
              <c:spPr>
                <a:noFill/>
                <a:ln w="25400">
                  <a:noFill/>
                </a:ln>
              </c:spPr>
            </c:dLbl>
            <c:dLbl>
              <c:idx val="8"/>
              <c:delete val="1"/>
            </c:dLbl>
            <c:dLbl>
              <c:idx val="9"/>
              <c:tx>
                <c:rich>
                  <a:bodyPr/>
                  <a:lstStyle/>
                  <a:p>
                    <a:pPr>
                      <a:defRPr sz="1150" b="0" i="0" u="none" strike="noStrike" baseline="0">
                        <a:solidFill>
                          <a:srgbClr val="000000"/>
                        </a:solidFill>
                        <a:latin typeface="Arial"/>
                        <a:ea typeface="Arial"/>
                        <a:cs typeface="Arial"/>
                      </a:defRPr>
                    </a:pPr>
                    <a:r>
                      <a:rPr lang="en-AU"/>
                      <a:t>1.0</a:t>
                    </a:r>
                  </a:p>
                </c:rich>
              </c:tx>
              <c:spPr>
                <a:noFill/>
                <a:ln w="25400">
                  <a:noFill/>
                </a:ln>
              </c:spPr>
            </c:dLbl>
            <c:dLbl>
              <c:idx val="10"/>
              <c:delete val="1"/>
            </c:dLbl>
            <c:dLbl>
              <c:idx val="11"/>
              <c:tx>
                <c:rich>
                  <a:bodyPr/>
                  <a:lstStyle/>
                  <a:p>
                    <a:pPr>
                      <a:defRPr sz="1150" b="0" i="0" u="none" strike="noStrike" baseline="0">
                        <a:solidFill>
                          <a:srgbClr val="000000"/>
                        </a:solidFill>
                        <a:latin typeface="Arial"/>
                        <a:ea typeface="Arial"/>
                        <a:cs typeface="Arial"/>
                      </a:defRPr>
                    </a:pPr>
                    <a:r>
                      <a:rPr lang="en-AU"/>
                      <a:t>.8</a:t>
                    </a:r>
                  </a:p>
                </c:rich>
              </c:tx>
              <c:spPr>
                <a:noFill/>
                <a:ln w="25400">
                  <a:noFill/>
                </a:ln>
              </c:spPr>
            </c:dLbl>
            <c:dLbl>
              <c:idx val="12"/>
              <c:delete val="1"/>
            </c:dLbl>
            <c:dLbl>
              <c:idx val="13"/>
              <c:tx>
                <c:rich>
                  <a:bodyPr/>
                  <a:lstStyle/>
                  <a:p>
                    <a:r>
                      <a:rPr lang="en-AU"/>
                      <a:t>.6</a:t>
                    </a:r>
                  </a:p>
                </c:rich>
              </c:tx>
            </c:dLbl>
            <c:dLbl>
              <c:idx val="14"/>
              <c:delete val="1"/>
            </c:dLbl>
            <c:dLbl>
              <c:idx val="15"/>
              <c:tx>
                <c:rich>
                  <a:bodyPr/>
                  <a:lstStyle/>
                  <a:p>
                    <a:r>
                      <a:rPr lang="en-AU"/>
                      <a:t>.4</a:t>
                    </a:r>
                  </a:p>
                </c:rich>
              </c:tx>
            </c:dLbl>
            <c:dLbl>
              <c:idx val="16"/>
              <c:delete val="1"/>
            </c:dLbl>
            <c:dLbl>
              <c:idx val="17"/>
              <c:tx>
                <c:rich>
                  <a:bodyPr/>
                  <a:lstStyle/>
                  <a:p>
                    <a:r>
                      <a:rPr lang="en-AU"/>
                      <a:t>.2</a:t>
                    </a:r>
                  </a:p>
                </c:rich>
              </c:tx>
            </c:dLbl>
            <c:dLbl>
              <c:idx val="18"/>
              <c:delete val="1"/>
            </c:dLbl>
            <c:dLbl>
              <c:idx val="19"/>
              <c:tx>
                <c:rich>
                  <a:bodyPr/>
                  <a:lstStyle/>
                  <a:p>
                    <a:r>
                      <a:rPr lang="en-AU"/>
                      <a:t>0</a:t>
                    </a:r>
                  </a:p>
                </c:rich>
              </c:tx>
            </c:dLbl>
            <c:dLbl>
              <c:idx val="20"/>
              <c:delete val="1"/>
            </c:dLbl>
            <c:dLbl>
              <c:idx val="21"/>
              <c:tx>
                <c:rich>
                  <a:bodyPr/>
                  <a:lstStyle/>
                  <a:p>
                    <a:r>
                      <a:rPr lang="en-AU"/>
                      <a:t>-.2</a:t>
                    </a:r>
                  </a:p>
                </c:rich>
              </c:tx>
            </c:dLbl>
            <c:dLbl>
              <c:idx val="22"/>
              <c:delete val="1"/>
            </c:dLbl>
            <c:dLbl>
              <c:idx val="23"/>
              <c:tx>
                <c:rich>
                  <a:bodyPr/>
                  <a:lstStyle/>
                  <a:p>
                    <a:r>
                      <a:rPr lang="en-AU"/>
                      <a:t>-.4</a:t>
                    </a:r>
                  </a:p>
                </c:rich>
              </c:tx>
            </c:dLbl>
            <c:dLbl>
              <c:idx val="24"/>
              <c:delete val="1"/>
            </c:dLbl>
            <c:dLbl>
              <c:idx val="25"/>
              <c:tx>
                <c:rich>
                  <a:bodyPr/>
                  <a:lstStyle/>
                  <a:p>
                    <a:r>
                      <a:rPr lang="en-AU"/>
                      <a:t>-.6</a:t>
                    </a:r>
                  </a:p>
                </c:rich>
              </c:tx>
            </c:dLbl>
            <c:dLbl>
              <c:idx val="26"/>
              <c:delete val="1"/>
            </c:dLbl>
            <c:dLbl>
              <c:idx val="27"/>
              <c:tx>
                <c:rich>
                  <a:bodyPr/>
                  <a:lstStyle/>
                  <a:p>
                    <a:r>
                      <a:rPr lang="en-AU"/>
                      <a:t>-.8</a:t>
                    </a:r>
                  </a:p>
                </c:rich>
              </c:tx>
            </c:dLbl>
            <c:dLbl>
              <c:idx val="28"/>
              <c:delete val="1"/>
            </c:dLbl>
            <c:dLbl>
              <c:idx val="29"/>
              <c:tx>
                <c:rich>
                  <a:bodyPr/>
                  <a:lstStyle/>
                  <a:p>
                    <a:r>
                      <a:rPr lang="en-AU"/>
                      <a:t>-1.0</a:t>
                    </a:r>
                  </a:p>
                </c:rich>
              </c:tx>
            </c:dLbl>
            <c:dLbl>
              <c:idx val="30"/>
              <c:delete val="1"/>
            </c:dLbl>
            <c:dLbl>
              <c:idx val="31"/>
              <c:tx>
                <c:rich>
                  <a:bodyPr/>
                  <a:lstStyle/>
                  <a:p>
                    <a:r>
                      <a:rPr lang="en-AU"/>
                      <a:t>-1.2</a:t>
                    </a:r>
                  </a:p>
                </c:rich>
              </c:tx>
            </c:dLbl>
            <c:dLbl>
              <c:idx val="32"/>
              <c:delete val="1"/>
            </c:dLbl>
            <c:dLbl>
              <c:idx val="33"/>
              <c:tx>
                <c:rich>
                  <a:bodyPr/>
                  <a:lstStyle/>
                  <a:p>
                    <a:pPr>
                      <a:defRPr sz="1150" b="0" i="0" u="none" strike="noStrike" baseline="0">
                        <a:solidFill>
                          <a:srgbClr val="000000"/>
                        </a:solidFill>
                        <a:latin typeface="Arial"/>
                        <a:ea typeface="Arial"/>
                        <a:cs typeface="Arial"/>
                      </a:defRPr>
                    </a:pPr>
                    <a:r>
                      <a:rPr lang="en-AU"/>
                      <a:t>-1.4</a:t>
                    </a:r>
                  </a:p>
                </c:rich>
              </c:tx>
              <c:spPr>
                <a:noFill/>
                <a:ln w="25400">
                  <a:noFill/>
                </a:ln>
              </c:spPr>
            </c:dLbl>
            <c:dLbl>
              <c:idx val="34"/>
              <c:delete val="1"/>
            </c:dLbl>
            <c:dLbl>
              <c:idx val="35"/>
              <c:tx>
                <c:rich>
                  <a:bodyPr/>
                  <a:lstStyle/>
                  <a:p>
                    <a:pPr>
                      <a:defRPr sz="1150" b="0" i="0" u="none" strike="noStrike" baseline="0">
                        <a:solidFill>
                          <a:srgbClr val="000000"/>
                        </a:solidFill>
                        <a:latin typeface="Arial"/>
                        <a:ea typeface="Arial"/>
                        <a:cs typeface="Arial"/>
                      </a:defRPr>
                    </a:pPr>
                    <a:r>
                      <a:rPr lang="en-AU"/>
                      <a:t>-1.6</a:t>
                    </a:r>
                  </a:p>
                </c:rich>
              </c:tx>
              <c:spPr>
                <a:noFill/>
                <a:ln w="25400">
                  <a:noFill/>
                </a:ln>
              </c:spPr>
            </c:dLbl>
            <c:dLbl>
              <c:idx val="36"/>
              <c:delete val="1"/>
            </c:dLbl>
            <c:dLbl>
              <c:idx val="37"/>
              <c:tx>
                <c:rich>
                  <a:bodyPr/>
                  <a:lstStyle/>
                  <a:p>
                    <a:pPr>
                      <a:defRPr sz="1150" b="0" i="0" u="none" strike="noStrike" baseline="0">
                        <a:solidFill>
                          <a:srgbClr val="000000"/>
                        </a:solidFill>
                        <a:latin typeface="Arial"/>
                        <a:ea typeface="Arial"/>
                        <a:cs typeface="Arial"/>
                      </a:defRPr>
                    </a:pPr>
                    <a:r>
                      <a:rPr lang="en-AU"/>
                      <a:t>-1.8</a:t>
                    </a:r>
                  </a:p>
                </c:rich>
              </c:tx>
              <c:spPr>
                <a:noFill/>
                <a:ln w="25400">
                  <a:noFill/>
                </a:ln>
              </c:spPr>
            </c:dLbl>
            <c:dLbl>
              <c:idx val="38"/>
              <c:delete val="1"/>
            </c:dLbl>
            <c:spPr>
              <a:noFill/>
              <a:ln w="25400">
                <a:noFill/>
              </a:ln>
            </c:spPr>
            <c:txPr>
              <a:bodyPr/>
              <a:lstStyle/>
              <a:p>
                <a:pPr>
                  <a:defRPr sz="1100" b="0" i="0" u="none" strike="noStrike" baseline="0">
                    <a:solidFill>
                      <a:srgbClr val="000000"/>
                    </a:solidFill>
                    <a:latin typeface="Arial"/>
                    <a:ea typeface="Arial"/>
                    <a:cs typeface="Arial"/>
                  </a:defRPr>
                </a:pPr>
                <a:endParaRPr lang="en-US"/>
              </a:p>
            </c:txPr>
            <c:showCatName val="1"/>
          </c:dLbls>
          <c:xVal>
            <c:numRef>
              <c:f>'Two proportions'!$BQ$2:$BQ$40</c:f>
              <c:numCache>
                <c:formatCode>General</c:formatCode>
                <c:ptCount val="39"/>
                <c:pt idx="0">
                  <c:v>3.3</c:v>
                </c:pt>
                <c:pt idx="1">
                  <c:v>3.3</c:v>
                </c:pt>
                <c:pt idx="2">
                  <c:v>3.3</c:v>
                </c:pt>
                <c:pt idx="3">
                  <c:v>3.3</c:v>
                </c:pt>
                <c:pt idx="4">
                  <c:v>3.3</c:v>
                </c:pt>
                <c:pt idx="5">
                  <c:v>3.3</c:v>
                </c:pt>
                <c:pt idx="6">
                  <c:v>3.3</c:v>
                </c:pt>
                <c:pt idx="7">
                  <c:v>3.3</c:v>
                </c:pt>
                <c:pt idx="8">
                  <c:v>3.3</c:v>
                </c:pt>
                <c:pt idx="9">
                  <c:v>3.3</c:v>
                </c:pt>
                <c:pt idx="10">
                  <c:v>3.3</c:v>
                </c:pt>
                <c:pt idx="11">
                  <c:v>3.3</c:v>
                </c:pt>
                <c:pt idx="12">
                  <c:v>3.3</c:v>
                </c:pt>
                <c:pt idx="13">
                  <c:v>3.3</c:v>
                </c:pt>
                <c:pt idx="14">
                  <c:v>3.3</c:v>
                </c:pt>
                <c:pt idx="15">
                  <c:v>3.3</c:v>
                </c:pt>
                <c:pt idx="16">
                  <c:v>3.3</c:v>
                </c:pt>
                <c:pt idx="17">
                  <c:v>3.3</c:v>
                </c:pt>
                <c:pt idx="18">
                  <c:v>3.3</c:v>
                </c:pt>
                <c:pt idx="19">
                  <c:v>3.3</c:v>
                </c:pt>
                <c:pt idx="20">
                  <c:v>3.3</c:v>
                </c:pt>
                <c:pt idx="21">
                  <c:v>3.3</c:v>
                </c:pt>
                <c:pt idx="22">
                  <c:v>3.3</c:v>
                </c:pt>
                <c:pt idx="23">
                  <c:v>3.3</c:v>
                </c:pt>
                <c:pt idx="24">
                  <c:v>3.3</c:v>
                </c:pt>
                <c:pt idx="25">
                  <c:v>3.3</c:v>
                </c:pt>
                <c:pt idx="26">
                  <c:v>3.3</c:v>
                </c:pt>
                <c:pt idx="27">
                  <c:v>3.3</c:v>
                </c:pt>
                <c:pt idx="28">
                  <c:v>3.3</c:v>
                </c:pt>
                <c:pt idx="29">
                  <c:v>3.3</c:v>
                </c:pt>
                <c:pt idx="30">
                  <c:v>3.3</c:v>
                </c:pt>
                <c:pt idx="31">
                  <c:v>3.3</c:v>
                </c:pt>
                <c:pt idx="32">
                  <c:v>3.3</c:v>
                </c:pt>
                <c:pt idx="33">
                  <c:v>3.3</c:v>
                </c:pt>
                <c:pt idx="34">
                  <c:v>3.3</c:v>
                </c:pt>
                <c:pt idx="35">
                  <c:v>3.3</c:v>
                </c:pt>
                <c:pt idx="36">
                  <c:v>3.3</c:v>
                </c:pt>
                <c:pt idx="37">
                  <c:v>3.3</c:v>
                </c:pt>
                <c:pt idx="38">
                  <c:v>3.3</c:v>
                </c:pt>
              </c:numCache>
            </c:numRef>
          </c:xVal>
          <c:yVal>
            <c:numRef>
              <c:f>'Two proportions'!$BR$2:$BR$40</c:f>
              <c:numCache>
                <c:formatCode>General</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0.80952380952380953</c:v>
                </c:pt>
                <c:pt idx="15">
                  <c:v>0.70952380952380956</c:v>
                </c:pt>
                <c:pt idx="16">
                  <c:v>0.60952380952380958</c:v>
                </c:pt>
                <c:pt idx="17">
                  <c:v>0.50952380952380949</c:v>
                </c:pt>
                <c:pt idx="18">
                  <c:v>0.40952380952380951</c:v>
                </c:pt>
                <c:pt idx="19">
                  <c:v>0.30952380952380953</c:v>
                </c:pt>
                <c:pt idx="20">
                  <c:v>0.20952380952380953</c:v>
                </c:pt>
                <c:pt idx="21">
                  <c:v>0.10952380952380952</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yVal>
        </c:ser>
        <c:ser>
          <c:idx val="7"/>
          <c:order val="5"/>
          <c:spPr>
            <a:ln w="12700">
              <a:solidFill>
                <a:srgbClr val="000000"/>
              </a:solidFill>
              <a:prstDash val="sysDash"/>
            </a:ln>
          </c:spPr>
          <c:marker>
            <c:symbol val="none"/>
          </c:marker>
          <c:xVal>
            <c:numRef>
              <c:f>'Two proportions'!$BH$6:$BH$7</c:f>
              <c:numCache>
                <c:formatCode>General</c:formatCode>
                <c:ptCount val="2"/>
                <c:pt idx="0">
                  <c:v>1</c:v>
                </c:pt>
                <c:pt idx="1">
                  <c:v>3.3</c:v>
                </c:pt>
              </c:numCache>
            </c:numRef>
          </c:xVal>
          <c:yVal>
            <c:numRef>
              <c:f>'Two proportions'!$BI$6:$BI$7</c:f>
              <c:numCache>
                <c:formatCode>General</c:formatCode>
                <c:ptCount val="2"/>
                <c:pt idx="0">
                  <c:v>0.30952380952380953</c:v>
                </c:pt>
                <c:pt idx="1">
                  <c:v>0.30952380952380953</c:v>
                </c:pt>
              </c:numCache>
            </c:numRef>
          </c:yVal>
        </c:ser>
        <c:ser>
          <c:idx val="8"/>
          <c:order val="6"/>
          <c:spPr>
            <a:ln w="12700">
              <a:solidFill>
                <a:srgbClr val="000000"/>
              </a:solidFill>
              <a:prstDash val="sysDash"/>
            </a:ln>
          </c:spPr>
          <c:marker>
            <c:symbol val="none"/>
          </c:marker>
          <c:xVal>
            <c:numRef>
              <c:f>'Two proportions'!$BH$8:$BH$9</c:f>
              <c:numCache>
                <c:formatCode>General</c:formatCode>
                <c:ptCount val="2"/>
                <c:pt idx="0">
                  <c:v>2</c:v>
                </c:pt>
                <c:pt idx="1">
                  <c:v>2.9</c:v>
                </c:pt>
              </c:numCache>
            </c:numRef>
          </c:xVal>
          <c:yVal>
            <c:numRef>
              <c:f>'Two proportions'!$BI$8:$BI$9</c:f>
              <c:numCache>
                <c:formatCode>General</c:formatCode>
                <c:ptCount val="2"/>
                <c:pt idx="0">
                  <c:v>0.5</c:v>
                </c:pt>
                <c:pt idx="1">
                  <c:v>0.5</c:v>
                </c:pt>
              </c:numCache>
            </c:numRef>
          </c:yVal>
        </c:ser>
        <c:ser>
          <c:idx val="9"/>
          <c:order val="7"/>
          <c:spPr>
            <a:ln w="12700">
              <a:solidFill>
                <a:srgbClr val="000000"/>
              </a:solidFill>
              <a:prstDash val="solid"/>
            </a:ln>
          </c:spPr>
          <c:marker>
            <c:symbol val="none"/>
          </c:marker>
          <c:xVal>
            <c:numRef>
              <c:f>'Two proportions'!$BH$10:$BH$11</c:f>
              <c:numCache>
                <c:formatCode>General</c:formatCode>
                <c:ptCount val="2"/>
                <c:pt idx="0">
                  <c:v>2.9</c:v>
                </c:pt>
                <c:pt idx="1">
                  <c:v>3.3</c:v>
                </c:pt>
              </c:numCache>
            </c:numRef>
          </c:xVal>
          <c:yVal>
            <c:numRef>
              <c:f>'Two proportions'!$BI$10:$BI$11</c:f>
              <c:numCache>
                <c:formatCode>General</c:formatCode>
                <c:ptCount val="2"/>
                <c:pt idx="0">
                  <c:v>0.5</c:v>
                </c:pt>
                <c:pt idx="1">
                  <c:v>0.5</c:v>
                </c:pt>
              </c:numCache>
            </c:numRef>
          </c:yVal>
        </c:ser>
        <c:ser>
          <c:idx val="10"/>
          <c:order val="8"/>
          <c:spPr>
            <a:ln w="28575">
              <a:noFill/>
            </a:ln>
          </c:spPr>
          <c:marker>
            <c:symbol val="none"/>
          </c:marker>
          <c:dLbls>
            <c:dLbl>
              <c:idx val="0"/>
              <c:tx>
                <c:rich>
                  <a:bodyPr rot="-5400000" vert="horz"/>
                  <a:lstStyle/>
                  <a:p>
                    <a:pPr algn="ctr">
                      <a:defRPr sz="1200" b="0" i="0" u="none" strike="noStrike" baseline="0">
                        <a:solidFill>
                          <a:srgbClr val="000000"/>
                        </a:solidFill>
                        <a:latin typeface="Arial"/>
                        <a:ea typeface="Arial"/>
                        <a:cs typeface="Arial"/>
                      </a:defRPr>
                    </a:pPr>
                    <a:r>
                      <a:rPr lang="en-AU"/>
                      <a:t>Difference axis</a:t>
                    </a:r>
                  </a:p>
                </c:rich>
              </c:tx>
              <c:spPr>
                <a:noFill/>
                <a:ln w="25400">
                  <a:noFill/>
                </a:ln>
              </c:spPr>
              <c:dLblPos val="ctr"/>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CatName val="1"/>
          </c:dLbls>
          <c:xVal>
            <c:numRef>
              <c:f>'Two proportions'!$BL$7</c:f>
              <c:numCache>
                <c:formatCode>General</c:formatCode>
                <c:ptCount val="1"/>
                <c:pt idx="0">
                  <c:v>3.65</c:v>
                </c:pt>
              </c:numCache>
            </c:numRef>
          </c:xVal>
          <c:yVal>
            <c:numRef>
              <c:f>'Two proportions'!$BM$7</c:f>
              <c:numCache>
                <c:formatCode>General</c:formatCode>
                <c:ptCount val="1"/>
                <c:pt idx="0">
                  <c:v>0.30952380952380953</c:v>
                </c:pt>
              </c:numCache>
            </c:numRef>
          </c:yVal>
        </c:ser>
        <c:ser>
          <c:idx val="11"/>
          <c:order val="9"/>
          <c:spPr>
            <a:ln w="28575">
              <a:noFill/>
            </a:ln>
          </c:spPr>
          <c:marker>
            <c:symbol val="none"/>
          </c:marker>
          <c:errBars>
            <c:errDir val="x"/>
            <c:errBarType val="plus"/>
            <c:errValType val="cust"/>
            <c:noEndCap val="1"/>
            <c:plus>
              <c:numRef>
                <c:f>'Two proportions'!$BJ$13</c:f>
                <c:numCache>
                  <c:formatCode>General</c:formatCode>
                  <c:ptCount val="1"/>
                  <c:pt idx="0">
                    <c:v>2.4</c:v>
                  </c:pt>
                </c:numCache>
              </c:numRef>
            </c:plus>
            <c:spPr>
              <a:ln w="12700">
                <a:solidFill>
                  <a:srgbClr val="000000"/>
                </a:solidFill>
                <a:prstDash val="solid"/>
              </a:ln>
            </c:spPr>
          </c:errBars>
          <c:xVal>
            <c:numRef>
              <c:f>'Two proportions'!$BH$13:$BH$14</c:f>
              <c:numCache>
                <c:formatCode>General</c:formatCode>
                <c:ptCount val="2"/>
                <c:pt idx="0">
                  <c:v>0</c:v>
                </c:pt>
                <c:pt idx="1">
                  <c:v>0</c:v>
                </c:pt>
              </c:numCache>
            </c:numRef>
          </c:xVal>
          <c:yVal>
            <c:numRef>
              <c:f>'Two proportions'!$BI$13:$BI$14</c:f>
              <c:numCache>
                <c:formatCode>General</c:formatCode>
                <c:ptCount val="2"/>
                <c:pt idx="0">
                  <c:v>0</c:v>
                </c:pt>
                <c:pt idx="1">
                  <c:v>1</c:v>
                </c:pt>
              </c:numCache>
            </c:numRef>
          </c:yVal>
        </c:ser>
        <c:axId val="169331712"/>
        <c:axId val="169341696"/>
      </c:scatterChart>
      <c:valAx>
        <c:axId val="169331712"/>
        <c:scaling>
          <c:orientation val="minMax"/>
          <c:max val="4"/>
          <c:min val="0"/>
        </c:scaling>
        <c:axPos val="b"/>
        <c:numFmt formatCode="General" sourceLinked="1"/>
        <c:majorTickMark val="none"/>
        <c:tickLblPos val="none"/>
        <c:spPr>
          <a:ln w="9525">
            <a:noFill/>
          </a:ln>
        </c:spPr>
        <c:crossAx val="169341696"/>
        <c:crosses val="autoZero"/>
        <c:crossBetween val="midCat"/>
        <c:majorUnit val="1"/>
      </c:valAx>
      <c:valAx>
        <c:axId val="169341696"/>
        <c:scaling>
          <c:orientation val="minMax"/>
          <c:max val="1.2"/>
          <c:min val="-0.2"/>
        </c:scaling>
        <c:axPos val="l"/>
        <c:title>
          <c:tx>
            <c:rich>
              <a:bodyPr rot="0" vert="horz"/>
              <a:lstStyle/>
              <a:p>
                <a:pPr algn="ctr">
                  <a:defRPr sz="1600" b="0" i="1" u="none" strike="noStrike" baseline="0">
                    <a:solidFill>
                      <a:srgbClr val="000000"/>
                    </a:solidFill>
                    <a:latin typeface="Arial"/>
                    <a:ea typeface="Arial"/>
                    <a:cs typeface="Arial"/>
                  </a:defRPr>
                </a:pPr>
                <a:r>
                  <a:rPr lang="en-AU"/>
                  <a:t>P</a:t>
                </a:r>
              </a:p>
            </c:rich>
          </c:tx>
          <c:layout>
            <c:manualLayout>
              <c:xMode val="edge"/>
              <c:yMode val="edge"/>
              <c:x val="9.451804565480065E-3"/>
              <c:y val="0.46579804560260585"/>
            </c:manualLayout>
          </c:layout>
          <c:spPr>
            <a:noFill/>
            <a:ln w="25400">
              <a:noFill/>
            </a:ln>
          </c:spPr>
        </c:title>
        <c:numFmt formatCode=".0;\-.0;0" sourceLinked="0"/>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69331712"/>
        <c:crosses val="autoZero"/>
        <c:crossBetween val="midCat"/>
        <c:majorUnit val="0.1"/>
        <c:minorUnit val="2.0000000000000011E-2"/>
      </c:valAx>
      <c:spPr>
        <a:noFill/>
        <a:ln w="25400">
          <a:noFill/>
        </a:ln>
      </c:spPr>
    </c:plotArea>
    <c:plotVisOnly val="1"/>
    <c:dispBlanksAs val="gap"/>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4.024770843994023E-2"/>
          <c:y val="2.777785313002696E-2"/>
          <c:w val="0.93498522683553464"/>
          <c:h val="0.87778015890885164"/>
        </c:manualLayout>
      </c:layout>
      <c:scatterChart>
        <c:scatterStyle val="lineMarker"/>
        <c:ser>
          <c:idx val="7"/>
          <c:order val="0"/>
          <c:spPr>
            <a:ln w="28575">
              <a:noFill/>
            </a:ln>
          </c:spPr>
          <c:marker>
            <c:symbol val="none"/>
          </c:marker>
          <c:errBars>
            <c:errDir val="y"/>
            <c:errBarType val="minus"/>
            <c:errValType val="cust"/>
            <c:noEndCap val="1"/>
            <c:minus>
              <c:numLit>
                <c:formatCode>General</c:formatCode>
                <c:ptCount val="1"/>
                <c:pt idx="0">
                  <c:v>24.5</c:v>
                </c:pt>
              </c:numLit>
            </c:minus>
            <c:spPr>
              <a:ln w="12700">
                <a:pattFill prst="pct50">
                  <a:fgClr>
                    <a:srgbClr val="008000"/>
                  </a:fgClr>
                  <a:bgClr>
                    <a:srgbClr val="FFFFFF"/>
                  </a:bgClr>
                </a:pattFill>
                <a:prstDash val="solid"/>
              </a:ln>
            </c:spPr>
          </c:errBars>
          <c:xVal>
            <c:numRef>
              <c:f>'Ind groups comparisons'!$FF$41:$FF$51</c:f>
              <c:numCache>
                <c:formatCode>General</c:formatCode>
                <c:ptCount val="11"/>
              </c:numCache>
            </c:numRef>
          </c:xVal>
          <c:yVal>
            <c:numRef>
              <c:f>'Ind groups comparisons'!$FG$41:$FG$51</c:f>
              <c:numCache>
                <c:formatCode>General</c:formatCode>
                <c:ptCount val="11"/>
              </c:numCache>
            </c:numRef>
          </c:yVal>
        </c:ser>
        <c:ser>
          <c:idx val="2"/>
          <c:order val="1"/>
          <c:spPr>
            <a:ln w="28575">
              <a:noFill/>
            </a:ln>
          </c:spPr>
          <c:marker>
            <c:symbol val="circle"/>
            <c:size val="6"/>
            <c:spPr>
              <a:noFill/>
              <a:ln>
                <a:solidFill>
                  <a:srgbClr val="0000FF"/>
                </a:solidFill>
                <a:prstDash val="solid"/>
              </a:ln>
            </c:spPr>
          </c:marker>
          <c:xVal>
            <c:numRef>
              <c:f>'Ind groups comparisons'!$FK$12:$FK$112</c:f>
              <c:numCache>
                <c:formatCode>General</c:formatCode>
                <c:ptCount val="101"/>
              </c:numCache>
            </c:numRef>
          </c:xVal>
          <c:yVal>
            <c:numRef>
              <c:f>'Ind groups comparisons'!$FL$12:$FL$112</c:f>
              <c:numCache>
                <c:formatCode>General</c:formatCode>
                <c:ptCount val="101"/>
              </c:numCache>
            </c:numRef>
          </c:yVal>
        </c:ser>
        <c:ser>
          <c:idx val="0"/>
          <c:order val="2"/>
          <c:spPr>
            <a:ln w="28575">
              <a:noFill/>
            </a:ln>
          </c:spPr>
          <c:marker>
            <c:symbol val="circle"/>
            <c:size val="6"/>
            <c:spPr>
              <a:solidFill>
                <a:srgbClr val="00FF00"/>
              </a:solidFill>
              <a:ln>
                <a:solidFill>
                  <a:srgbClr val="000000"/>
                </a:solidFill>
                <a:prstDash val="solid"/>
              </a:ln>
            </c:spPr>
          </c:marker>
          <c:xVal>
            <c:numRef>
              <c:f>'Ind groups comparisons'!$FG$87:$FG$386</c:f>
              <c:numCache>
                <c:formatCode>General</c:formatCode>
                <c:ptCount val="300"/>
              </c:numCache>
            </c:numRef>
          </c:xVal>
          <c:yVal>
            <c:numRef>
              <c:f>'Ind groups comparisons'!$FH$116:$FH$415</c:f>
              <c:numCache>
                <c:formatCode>General</c:formatCode>
                <c:ptCount val="300"/>
              </c:numCache>
            </c:numRef>
          </c:yVal>
        </c:ser>
        <c:ser>
          <c:idx val="3"/>
          <c:order val="3"/>
          <c:spPr>
            <a:ln w="28575">
              <a:noFill/>
            </a:ln>
          </c:spPr>
          <c:marker>
            <c:symbol val="circle"/>
            <c:size val="6"/>
            <c:spPr>
              <a:solidFill>
                <a:srgbClr val="008000"/>
              </a:solidFill>
              <a:ln>
                <a:solidFill>
                  <a:srgbClr val="000000"/>
                </a:solidFill>
                <a:prstDash val="solid"/>
              </a:ln>
            </c:spPr>
          </c:marker>
          <c:xVal>
            <c:numRef>
              <c:f>'Ind groups comparisons'!$FG$85</c:f>
              <c:numCache>
                <c:formatCode>General</c:formatCode>
                <c:ptCount val="1"/>
              </c:numCache>
            </c:numRef>
          </c:xVal>
          <c:yVal>
            <c:numRef>
              <c:f>'Ind groups comparisons'!$FH$114</c:f>
              <c:numCache>
                <c:formatCode>General</c:formatCode>
                <c:ptCount val="1"/>
              </c:numCache>
            </c:numRef>
          </c:yVal>
        </c:ser>
        <c:ser>
          <c:idx val="5"/>
          <c:order val="4"/>
          <c:spPr>
            <a:ln w="25400">
              <a:solidFill>
                <a:srgbClr val="008000"/>
              </a:solidFill>
              <a:prstDash val="solid"/>
            </a:ln>
          </c:spPr>
          <c:marker>
            <c:symbol val="none"/>
          </c:marker>
          <c:xVal>
            <c:numRef>
              <c:f>'Ind groups comparisons'!$FA$25:$FA$225</c:f>
              <c:numCache>
                <c:formatCode>General</c:formatCode>
                <c:ptCount val="201"/>
              </c:numCache>
            </c:numRef>
          </c:xVal>
          <c:yVal>
            <c:numRef>
              <c:f>'Ind groups comparisons'!$FD$24:$FD$224</c:f>
              <c:numCache>
                <c:formatCode>General</c:formatCode>
                <c:ptCount val="201"/>
              </c:numCache>
            </c:numRef>
          </c:yVal>
        </c:ser>
        <c:ser>
          <c:idx val="6"/>
          <c:order val="5"/>
          <c:spPr>
            <a:ln w="28575">
              <a:noFill/>
            </a:ln>
          </c:spPr>
          <c:marker>
            <c:symbol val="none"/>
          </c:marker>
          <c:errBars>
            <c:errDir val="y"/>
            <c:errBarType val="minus"/>
            <c:errValType val="cust"/>
            <c:noEndCap val="1"/>
            <c:minus>
              <c:numLit>
                <c:formatCode>General</c:formatCode>
                <c:ptCount val="1"/>
                <c:pt idx="0">
                  <c:v>25</c:v>
                </c:pt>
              </c:numLit>
            </c:minus>
            <c:spPr>
              <a:ln w="12700">
                <a:solidFill>
                  <a:srgbClr val="008000"/>
                </a:solidFill>
                <a:prstDash val="solid"/>
              </a:ln>
            </c:spPr>
          </c:errBars>
          <c:xVal>
            <c:numRef>
              <c:f>'Ind groups comparisons'!#REF!</c:f>
              <c:numCache>
                <c:formatCode>General</c:formatCode>
                <c:ptCount val="1"/>
                <c:pt idx="0">
                  <c:v>1</c:v>
                </c:pt>
              </c:numCache>
            </c:numRef>
          </c:xVal>
          <c:yVal>
            <c:numRef>
              <c:f>'Ind groups comparisons'!$EP$19:$EP$20</c:f>
              <c:numCache>
                <c:formatCode>General</c:formatCode>
                <c:ptCount val="2"/>
              </c:numCache>
            </c:numRef>
          </c:yVal>
        </c:ser>
        <c:ser>
          <c:idx val="8"/>
          <c:order val="6"/>
          <c:spPr>
            <a:ln w="28575">
              <a:noFill/>
            </a:ln>
          </c:spPr>
          <c:marker>
            <c:symbol val="none"/>
          </c:marker>
          <c:errBars>
            <c:errDir val="x"/>
            <c:errBarType val="both"/>
            <c:errValType val="cust"/>
            <c:noEndCap val="1"/>
            <c:plus>
              <c:numRef>
                <c:f>'Ind groups comparisons'!#REF!</c:f>
                <c:numCache>
                  <c:formatCode>General</c:formatCode>
                  <c:ptCount val="1"/>
                  <c:pt idx="0">
                    <c:v>2</c:v>
                  </c:pt>
                </c:numCache>
              </c:numRef>
            </c:plus>
            <c:minus>
              <c:numRef>
                <c:f>'Ind groups comparisons'!#REF!</c:f>
                <c:numCache>
                  <c:formatCode>General</c:formatCode>
                  <c:ptCount val="1"/>
                  <c:pt idx="0">
                    <c:v>0</c:v>
                  </c:pt>
                </c:numCache>
              </c:numRef>
            </c:minus>
            <c:spPr>
              <a:ln w="38100">
                <a:pattFill prst="pct75">
                  <a:fgClr>
                    <a:srgbClr val="008000"/>
                  </a:fgClr>
                  <a:bgClr>
                    <a:srgbClr val="FFFFFF"/>
                  </a:bgClr>
                </a:pattFill>
                <a:prstDash val="solid"/>
              </a:ln>
            </c:spPr>
          </c:errBars>
          <c:xVal>
            <c:numRef>
              <c:f>'Ind groups comparisons'!#REF!</c:f>
              <c:numCache>
                <c:formatCode>General</c:formatCode>
                <c:ptCount val="1"/>
                <c:pt idx="0">
                  <c:v>1</c:v>
                </c:pt>
              </c:numCache>
            </c:numRef>
          </c:xVal>
          <c:yVal>
            <c:numRef>
              <c:f>'Ind groups comparisons'!#REF!</c:f>
              <c:numCache>
                <c:formatCode>General</c:formatCode>
                <c:ptCount val="1"/>
                <c:pt idx="0">
                  <c:v>1</c:v>
                </c:pt>
              </c:numCache>
            </c:numRef>
          </c:yVal>
        </c:ser>
        <c:ser>
          <c:idx val="4"/>
          <c:order val="7"/>
          <c:spPr>
            <a:ln w="28575">
              <a:noFill/>
            </a:ln>
          </c:spPr>
          <c:marker>
            <c:symbol val="plus"/>
            <c:size val="12"/>
            <c:spPr>
              <a:noFill/>
              <a:ln>
                <a:solidFill>
                  <a:srgbClr val="000000"/>
                </a:solidFill>
                <a:prstDash val="solid"/>
              </a:ln>
            </c:spPr>
          </c:marker>
          <c:xVal>
            <c:numRef>
              <c:f>'Ind groups comparisons'!#REF!</c:f>
              <c:numCache>
                <c:formatCode>General</c:formatCode>
                <c:ptCount val="1"/>
                <c:pt idx="0">
                  <c:v>1</c:v>
                </c:pt>
              </c:numCache>
            </c:numRef>
          </c:xVal>
          <c:yVal>
            <c:numRef>
              <c:f>'Ind groups comparisons'!#REF!</c:f>
              <c:numCache>
                <c:formatCode>General</c:formatCode>
                <c:ptCount val="1"/>
                <c:pt idx="0">
                  <c:v>1</c:v>
                </c:pt>
              </c:numCache>
            </c:numRef>
          </c:yVal>
        </c:ser>
        <c:ser>
          <c:idx val="1"/>
          <c:order val="8"/>
          <c:spPr>
            <a:ln w="28575">
              <a:noFill/>
            </a:ln>
          </c:spPr>
          <c:marker>
            <c:symbol val="none"/>
          </c:marker>
          <c:dLbls>
            <c:dLbl>
              <c:idx val="0"/>
              <c:layout>
                <c:manualLayout>
                  <c:x val="-1.7589659412298061E-2"/>
                  <c:y val="1.0637616673751394E-2"/>
                </c:manualLayout>
              </c:layout>
              <c:tx>
                <c:rich>
                  <a:bodyPr/>
                  <a:lstStyle/>
                  <a:p>
                    <a:pPr>
                      <a:defRPr sz="1100" b="0" i="0" u="none" strike="noStrike" baseline="0">
                        <a:solidFill>
                          <a:srgbClr val="000000"/>
                        </a:solidFill>
                        <a:latin typeface="Symbol"/>
                        <a:ea typeface="Symbol"/>
                        <a:cs typeface="Symbol"/>
                      </a:defRPr>
                    </a:pPr>
                    <a:r>
                      <a:t>m</a:t>
                    </a:r>
                  </a:p>
                </c:rich>
              </c:tx>
              <c:spPr>
                <a:noFill/>
                <a:ln w="25400">
                  <a:noFill/>
                </a:ln>
              </c:spPr>
              <c:dLblPos val="r"/>
            </c:dLbl>
            <c:spPr>
              <a:noFill/>
              <a:ln w="25400">
                <a:noFill/>
              </a:ln>
            </c:spPr>
            <c:txPr>
              <a:bodyPr/>
              <a:lstStyle/>
              <a:p>
                <a:pPr>
                  <a:defRPr sz="925" b="0" i="0" u="none" strike="noStrike" baseline="0">
                    <a:solidFill>
                      <a:srgbClr val="000000"/>
                    </a:solidFill>
                    <a:latin typeface="Arial"/>
                    <a:ea typeface="Arial"/>
                    <a:cs typeface="Arial"/>
                  </a:defRPr>
                </a:pPr>
                <a:endParaRPr lang="en-US"/>
              </a:p>
            </c:txPr>
            <c:showVal val="1"/>
          </c:dLbls>
          <c:errBars>
            <c:errDir val="y"/>
            <c:errBarType val="minus"/>
            <c:errValType val="cust"/>
            <c:noEndCap val="1"/>
            <c:minus>
              <c:numRef>
                <c:f>'Ind groups comparisons'!#REF!</c:f>
                <c:numCache>
                  <c:formatCode>General</c:formatCode>
                  <c:ptCount val="1"/>
                  <c:pt idx="0">
                    <c:v>0</c:v>
                  </c:pt>
                </c:numCache>
              </c:numRef>
            </c:minus>
            <c:spPr>
              <a:ln w="12700">
                <a:solidFill>
                  <a:srgbClr val="000000"/>
                </a:solidFill>
                <a:prstDash val="solid"/>
              </a:ln>
            </c:spPr>
          </c:errBars>
          <c:xVal>
            <c:numRef>
              <c:f>'Ind groups comparisons'!#REF!</c:f>
              <c:numCache>
                <c:formatCode>General</c:formatCode>
                <c:ptCount val="1"/>
                <c:pt idx="0">
                  <c:v>1</c:v>
                </c:pt>
              </c:numCache>
            </c:numRef>
          </c:xVal>
          <c:yVal>
            <c:numRef>
              <c:f>'Ind groups comparisons'!#REF!</c:f>
              <c:numCache>
                <c:formatCode>General</c:formatCode>
                <c:ptCount val="1"/>
                <c:pt idx="0">
                  <c:v>1</c:v>
                </c:pt>
              </c:numCache>
            </c:numRef>
          </c:yVal>
        </c:ser>
        <c:axId val="169736832"/>
        <c:axId val="169877888"/>
      </c:scatterChart>
      <c:valAx>
        <c:axId val="169736832"/>
        <c:scaling>
          <c:orientation val="minMax"/>
          <c:max val="100"/>
          <c:min val="0"/>
        </c:scaling>
        <c:axPos val="t"/>
        <c:numFmt formatCode="General" sourceLinked="1"/>
        <c:majorTickMark val="in"/>
        <c:minorTickMark val="in"/>
        <c:tickLblPos val="high"/>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69877888"/>
        <c:crossesAt val="26"/>
        <c:crossBetween val="midCat"/>
        <c:majorUnit val="10"/>
        <c:minorUnit val="2"/>
      </c:valAx>
      <c:valAx>
        <c:axId val="169877888"/>
        <c:scaling>
          <c:orientation val="maxMin"/>
          <c:max val="26"/>
          <c:min val="0"/>
        </c:scaling>
        <c:axPos val="l"/>
        <c:title>
          <c:tx>
            <c:rich>
              <a:bodyPr/>
              <a:lstStyle/>
              <a:p>
                <a:pPr>
                  <a:defRPr sz="925" b="0" i="0" u="none" strike="noStrike" baseline="0">
                    <a:solidFill>
                      <a:srgbClr val="000000"/>
                    </a:solidFill>
                    <a:latin typeface="Arial"/>
                    <a:ea typeface="Arial"/>
                    <a:cs typeface="Arial"/>
                  </a:defRPr>
                </a:pPr>
                <a:r>
                  <a:t>Dot histogram of means</a:t>
                </a:r>
              </a:p>
            </c:rich>
          </c:tx>
          <c:layout>
            <c:manualLayout>
              <c:xMode val="edge"/>
              <c:yMode val="edge"/>
              <c:x val="7.7399380804953647E-3"/>
              <c:y val="0.27777865266841645"/>
            </c:manualLayout>
          </c:layout>
          <c:spPr>
            <a:noFill/>
            <a:ln w="25400">
              <a:noFill/>
            </a:ln>
          </c:spPr>
        </c:title>
        <c:numFmt formatCode="General" sourceLinked="1"/>
        <c:majorTickMark val="none"/>
        <c:tickLblPos val="none"/>
        <c:spPr>
          <a:ln w="3175">
            <a:solidFill>
              <a:srgbClr val="000000"/>
            </a:solidFill>
            <a:prstDash val="solid"/>
          </a:ln>
        </c:spPr>
        <c:crossAx val="169736832"/>
        <c:crossesAt val="0"/>
        <c:crossBetween val="midCat"/>
        <c:majorUnit val="1"/>
        <c:minorUnit val="1"/>
      </c:valAx>
      <c:spPr>
        <a:noFill/>
        <a:ln w="25400">
          <a:noFill/>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7.0496128488169371E-2"/>
          <c:y val="4.9541284403669728E-2"/>
          <c:w val="0.9229770896506615"/>
          <c:h val="0.81651376146788957"/>
        </c:manualLayout>
      </c:layout>
      <c:lineChart>
        <c:grouping val="standard"/>
        <c:ser>
          <c:idx val="4"/>
          <c:order val="0"/>
          <c:spPr>
            <a:ln w="28575">
              <a:noFill/>
            </a:ln>
          </c:spPr>
          <c:marker>
            <c:symbol val="none"/>
          </c:marker>
          <c:cat>
            <c:strRef>
              <c:f>'Ind groups comparisons'!$CU$38:$CZ$38</c:f>
              <c:strCache>
                <c:ptCount val="3"/>
                <c:pt idx="0">
                  <c:v>Neutral</c:v>
                </c:pt>
                <c:pt idx="1">
                  <c:v>Violent</c:v>
                </c:pt>
                <c:pt idx="2">
                  <c:v>Sexual</c:v>
                </c:pt>
              </c:strCache>
            </c:strRef>
          </c:cat>
          <c:val>
            <c:numRef>
              <c:f>'Ind groups comparisons'!$CU$39:$DC$39</c:f>
              <c:numCache>
                <c:formatCode>General</c:formatCode>
                <c:ptCount val="9"/>
                <c:pt idx="0">
                  <c:v>5.76</c:v>
                </c:pt>
                <c:pt idx="1">
                  <c:v>4.3600000000000003</c:v>
                </c:pt>
                <c:pt idx="2">
                  <c:v>3.54</c:v>
                </c:pt>
                <c:pt idx="3">
                  <c:v>0</c:v>
                </c:pt>
                <c:pt idx="4">
                  <c:v>0</c:v>
                </c:pt>
                <c:pt idx="5">
                  <c:v>0</c:v>
                </c:pt>
                <c:pt idx="6">
                  <c:v>0</c:v>
                </c:pt>
              </c:numCache>
            </c:numRef>
          </c:val>
        </c:ser>
        <c:marker val="1"/>
        <c:axId val="170000768"/>
        <c:axId val="170002304"/>
      </c:lineChart>
      <c:scatterChart>
        <c:scatterStyle val="lineMarker"/>
        <c:ser>
          <c:idx val="0"/>
          <c:order val="1"/>
          <c:spPr>
            <a:ln w="28575">
              <a:noFill/>
            </a:ln>
          </c:spPr>
          <c:marker>
            <c:symbol val="circle"/>
            <c:size val="9"/>
            <c:spPr>
              <a:solidFill>
                <a:srgbClr val="000000"/>
              </a:solidFill>
              <a:ln>
                <a:solidFill>
                  <a:srgbClr val="000000"/>
                </a:solidFill>
                <a:prstDash val="solid"/>
              </a:ln>
            </c:spPr>
          </c:marker>
          <c:errBars>
            <c:errDir val="y"/>
            <c:errBarType val="both"/>
            <c:errValType val="cust"/>
            <c:noEndCap val="1"/>
            <c:plus>
              <c:numRef>
                <c:f>'Ind groups comparisons'!$CY$13:$CY$18</c:f>
                <c:numCache>
                  <c:formatCode>General</c:formatCode>
                  <c:ptCount val="6"/>
                  <c:pt idx="0">
                    <c:v>0.54520877929840694</c:v>
                  </c:pt>
                  <c:pt idx="1">
                    <c:v>0.54520877929840694</c:v>
                  </c:pt>
                  <c:pt idx="2">
                    <c:v>0.54520877929840694</c:v>
                  </c:pt>
                  <c:pt idx="3">
                    <c:v>#N/A</c:v>
                  </c:pt>
                  <c:pt idx="4">
                    <c:v>#N/A</c:v>
                  </c:pt>
                  <c:pt idx="5">
                    <c:v>#N/A</c:v>
                  </c:pt>
                </c:numCache>
              </c:numRef>
            </c:plus>
            <c:minus>
              <c:numRef>
                <c:f>'Ind groups comparisons'!$CY$13:$CY$18</c:f>
                <c:numCache>
                  <c:formatCode>General</c:formatCode>
                  <c:ptCount val="6"/>
                  <c:pt idx="0">
                    <c:v>0.54520877929840694</c:v>
                  </c:pt>
                  <c:pt idx="1">
                    <c:v>0.54520877929840694</c:v>
                  </c:pt>
                  <c:pt idx="2">
                    <c:v>0.54520877929840694</c:v>
                  </c:pt>
                  <c:pt idx="3">
                    <c:v>#N/A</c:v>
                  </c:pt>
                  <c:pt idx="4">
                    <c:v>#N/A</c:v>
                  </c:pt>
                  <c:pt idx="5">
                    <c:v>#N/A</c:v>
                  </c:pt>
                </c:numCache>
              </c:numRef>
            </c:minus>
            <c:spPr>
              <a:ln w="25400">
                <a:solidFill>
                  <a:srgbClr val="000000"/>
                </a:solidFill>
                <a:prstDash val="solid"/>
              </a:ln>
            </c:spPr>
          </c:errBars>
          <c:xVal>
            <c:numRef>
              <c:f>'Ind groups comparisons'!$CU$13:$CU$18</c:f>
              <c:numCache>
                <c:formatCode>General</c:formatCode>
                <c:ptCount val="6"/>
                <c:pt idx="0">
                  <c:v>1</c:v>
                </c:pt>
                <c:pt idx="1">
                  <c:v>2</c:v>
                </c:pt>
                <c:pt idx="2">
                  <c:v>3</c:v>
                </c:pt>
                <c:pt idx="3">
                  <c:v>4</c:v>
                </c:pt>
                <c:pt idx="4">
                  <c:v>5</c:v>
                </c:pt>
                <c:pt idx="5">
                  <c:v>6</c:v>
                </c:pt>
              </c:numCache>
            </c:numRef>
          </c:xVal>
          <c:yVal>
            <c:numRef>
              <c:f>'Ind groups comparisons'!$CV$13:$CV$18</c:f>
              <c:numCache>
                <c:formatCode>General</c:formatCode>
                <c:ptCount val="6"/>
                <c:pt idx="0">
                  <c:v>5.76</c:v>
                </c:pt>
                <c:pt idx="1">
                  <c:v>4.3600000000000003</c:v>
                </c:pt>
                <c:pt idx="2">
                  <c:v>#N/A</c:v>
                </c:pt>
                <c:pt idx="3">
                  <c:v>#N/A</c:v>
                </c:pt>
                <c:pt idx="4">
                  <c:v>#N/A</c:v>
                </c:pt>
                <c:pt idx="5">
                  <c:v>#N/A</c:v>
                </c:pt>
              </c:numCache>
            </c:numRef>
          </c:yVal>
        </c:ser>
        <c:ser>
          <c:idx val="2"/>
          <c:order val="2"/>
          <c:spPr>
            <a:ln w="28575">
              <a:noFill/>
            </a:ln>
          </c:spPr>
          <c:marker>
            <c:symbol val="circle"/>
            <c:size val="9"/>
            <c:spPr>
              <a:solidFill>
                <a:srgbClr val="C0C0C0"/>
              </a:solidFill>
              <a:ln>
                <a:solidFill>
                  <a:srgbClr val="C0C0C0"/>
                </a:solidFill>
                <a:prstDash val="solid"/>
              </a:ln>
            </c:spPr>
          </c:marker>
          <c:errBars>
            <c:errDir val="y"/>
            <c:errBarType val="both"/>
            <c:errValType val="cust"/>
            <c:noEndCap val="1"/>
            <c:plus>
              <c:numRef>
                <c:f>'Ind groups comparisons'!$DG$13:$DG$18</c:f>
                <c:numCache>
                  <c:formatCode>General</c:formatCode>
                  <c:ptCount val="6"/>
                  <c:pt idx="0">
                    <c:v>#N/A</c:v>
                  </c:pt>
                  <c:pt idx="1">
                    <c:v>#N/A</c:v>
                  </c:pt>
                  <c:pt idx="2">
                    <c:v>0.54520877929840694</c:v>
                  </c:pt>
                  <c:pt idx="3">
                    <c:v>#N/A</c:v>
                  </c:pt>
                  <c:pt idx="4">
                    <c:v>#N/A</c:v>
                  </c:pt>
                  <c:pt idx="5">
                    <c:v>#N/A</c:v>
                  </c:pt>
                </c:numCache>
              </c:numRef>
            </c:plus>
            <c:minus>
              <c:numRef>
                <c:f>'Ind groups comparisons'!$DG$13:$DG$18</c:f>
                <c:numCache>
                  <c:formatCode>General</c:formatCode>
                  <c:ptCount val="6"/>
                  <c:pt idx="0">
                    <c:v>#N/A</c:v>
                  </c:pt>
                  <c:pt idx="1">
                    <c:v>#N/A</c:v>
                  </c:pt>
                  <c:pt idx="2">
                    <c:v>0.54520877929840694</c:v>
                  </c:pt>
                  <c:pt idx="3">
                    <c:v>#N/A</c:v>
                  </c:pt>
                  <c:pt idx="4">
                    <c:v>#N/A</c:v>
                  </c:pt>
                  <c:pt idx="5">
                    <c:v>#N/A</c:v>
                  </c:pt>
                </c:numCache>
              </c:numRef>
            </c:minus>
            <c:spPr>
              <a:ln w="25400">
                <a:solidFill>
                  <a:srgbClr val="C0C0C0"/>
                </a:solidFill>
                <a:prstDash val="solid"/>
              </a:ln>
            </c:spPr>
          </c:errBars>
          <c:xVal>
            <c:numRef>
              <c:f>'Ind groups comparisons'!$DE$13:$DE$18</c:f>
              <c:numCache>
                <c:formatCode>General</c:formatCode>
                <c:ptCount val="6"/>
                <c:pt idx="0">
                  <c:v>#N/A</c:v>
                </c:pt>
                <c:pt idx="1">
                  <c:v>#N/A</c:v>
                </c:pt>
                <c:pt idx="2">
                  <c:v>3</c:v>
                </c:pt>
                <c:pt idx="3">
                  <c:v>4</c:v>
                </c:pt>
                <c:pt idx="4">
                  <c:v>5</c:v>
                </c:pt>
                <c:pt idx="5">
                  <c:v>6</c:v>
                </c:pt>
              </c:numCache>
            </c:numRef>
          </c:xVal>
          <c:yVal>
            <c:numRef>
              <c:f>'Ind groups comparisons'!$DF$13:$DF$18</c:f>
              <c:numCache>
                <c:formatCode>General</c:formatCode>
                <c:ptCount val="6"/>
                <c:pt idx="0">
                  <c:v>#N/A</c:v>
                </c:pt>
                <c:pt idx="1">
                  <c:v>#N/A</c:v>
                </c:pt>
                <c:pt idx="2">
                  <c:v>3.54</c:v>
                </c:pt>
                <c:pt idx="3">
                  <c:v>#N/A</c:v>
                </c:pt>
                <c:pt idx="4">
                  <c:v>#N/A</c:v>
                </c:pt>
                <c:pt idx="5">
                  <c:v>#N/A</c:v>
                </c:pt>
              </c:numCache>
            </c:numRef>
          </c:yVal>
        </c:ser>
        <c:ser>
          <c:idx val="5"/>
          <c:order val="3"/>
          <c:spPr>
            <a:ln w="28575">
              <a:noFill/>
            </a:ln>
          </c:spPr>
          <c:marker>
            <c:symbol val="none"/>
          </c:marker>
          <c:xVal>
            <c:numRef>
              <c:f>'Ind groups comparisons'!$DG$21:$DG$22</c:f>
              <c:numCache>
                <c:formatCode>General</c:formatCode>
                <c:ptCount val="2"/>
                <c:pt idx="0">
                  <c:v>1</c:v>
                </c:pt>
                <c:pt idx="1">
                  <c:v>1</c:v>
                </c:pt>
              </c:numCache>
            </c:numRef>
          </c:xVal>
          <c:yVal>
            <c:numRef>
              <c:f>'Ind groups comparisons'!$DH$21:$DH$22</c:f>
              <c:numCache>
                <c:formatCode>General</c:formatCode>
                <c:ptCount val="2"/>
                <c:pt idx="0">
                  <c:v>6.3052087792984066</c:v>
                </c:pt>
                <c:pt idx="1">
                  <c:v>2.9947912207015932</c:v>
                </c:pt>
              </c:numCache>
            </c:numRef>
          </c:yVal>
        </c:ser>
        <c:ser>
          <c:idx val="7"/>
          <c:order val="4"/>
          <c:spPr>
            <a:ln w="12700">
              <a:solidFill>
                <a:srgbClr val="000000"/>
              </a:solidFill>
              <a:prstDash val="solid"/>
            </a:ln>
          </c:spPr>
          <c:marker>
            <c:symbol val="dot"/>
            <c:size val="5"/>
            <c:spPr>
              <a:noFill/>
              <a:ln>
                <a:solidFill>
                  <a:srgbClr val="000000"/>
                </a:solidFill>
                <a:prstDash val="solid"/>
              </a:ln>
            </c:spPr>
          </c:marker>
          <c:dLbls>
            <c:dLbl>
              <c:idx val="0"/>
              <c:tx>
                <c:strRef>
                  <c:f>'Ind groups comparisons'!$DM$17</c:f>
                  <c:strCache>
                    <c:ptCount val="1"/>
                    <c:pt idx="0">
                      <c:v>5</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dLbl>
            <c:dLbl>
              <c:idx val="1"/>
              <c:delete val="1"/>
            </c:dLbl>
            <c:dLbl>
              <c:idx val="2"/>
              <c:tx>
                <c:strRef>
                  <c:f>'Ind groups comparisons'!$DM$19</c:f>
                  <c:strCache>
                    <c:ptCount val="1"/>
                    <c:pt idx="0">
                      <c:v>4</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dLbl>
            <c:dLbl>
              <c:idx val="3"/>
              <c:delete val="1"/>
            </c:dLbl>
            <c:dLbl>
              <c:idx val="4"/>
              <c:tx>
                <c:strRef>
                  <c:f>'Ind groups comparisons'!$DM$21</c:f>
                  <c:strCache>
                    <c:ptCount val="1"/>
                    <c:pt idx="0">
                      <c:v>3</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dLbl>
            <c:dLbl>
              <c:idx val="5"/>
              <c:delete val="1"/>
            </c:dLbl>
            <c:dLbl>
              <c:idx val="6"/>
              <c:tx>
                <c:strRef>
                  <c:f>'Ind groups comparisons'!$DM$23</c:f>
                  <c:strCache>
                    <c:ptCount val="1"/>
                    <c:pt idx="0">
                      <c:v>2</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dLbl>
            <c:dLbl>
              <c:idx val="7"/>
              <c:delete val="1"/>
            </c:dLbl>
            <c:dLbl>
              <c:idx val="8"/>
              <c:tx>
                <c:strRef>
                  <c:f>'Ind groups comparisons'!$DM$25</c:f>
                  <c:strCache>
                    <c:ptCount val="1"/>
                    <c:pt idx="0">
                      <c:v>1</c:v>
                    </c:pt>
                  </c:strCache>
                </c:strRef>
              </c:tx>
            </c:dLbl>
            <c:dLbl>
              <c:idx val="9"/>
              <c:delete val="1"/>
            </c:dLbl>
            <c:dLbl>
              <c:idx val="10"/>
              <c:tx>
                <c:strRef>
                  <c:f>'Ind groups comparisons'!$DM$27</c:f>
                  <c:strCache>
                    <c:ptCount val="1"/>
                    <c:pt idx="0">
                      <c:v>0</c:v>
                    </c:pt>
                  </c:strCache>
                </c:strRef>
              </c:tx>
            </c:dLbl>
            <c:dLbl>
              <c:idx val="11"/>
              <c:delete val="1"/>
            </c:dLbl>
            <c:dLbl>
              <c:idx val="12"/>
              <c:tx>
                <c:strRef>
                  <c:f>'Ind groups comparisons'!$DM$29</c:f>
                  <c:strCache>
                    <c:ptCount val="1"/>
                    <c:pt idx="0">
                      <c:v>-1</c:v>
                    </c:pt>
                  </c:strCache>
                </c:strRef>
              </c:tx>
            </c:dLbl>
            <c:dLbl>
              <c:idx val="13"/>
              <c:delete val="1"/>
            </c:dLbl>
            <c:dLbl>
              <c:idx val="14"/>
              <c:tx>
                <c:strRef>
                  <c:f>'Ind groups comparisons'!$DM$31</c:f>
                  <c:strCache>
                    <c:ptCount val="1"/>
                    <c:pt idx="0">
                      <c:v>-2</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dLbl>
            <c:dLbl>
              <c:idx val="15"/>
              <c:delete val="1"/>
            </c:dLbl>
            <c:dLbl>
              <c:idx val="16"/>
              <c:tx>
                <c:strRef>
                  <c:f>'Ind groups comparisons'!$DM$33</c:f>
                  <c:strCache>
                    <c:ptCount val="1"/>
                    <c:pt idx="0">
                      <c:v>-3</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dLbl>
            <c:dLbl>
              <c:idx val="17"/>
              <c:delete val="1"/>
            </c:dLbl>
            <c:dLbl>
              <c:idx val="18"/>
              <c:tx>
                <c:strRef>
                  <c:f>'Ind groups comparisons'!$DM$35</c:f>
                  <c:strCache>
                    <c:ptCount val="1"/>
                    <c:pt idx="0">
                      <c:v>-4</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dLbl>
            <c:dLbl>
              <c:idx val="19"/>
              <c:delete val="1"/>
            </c:dLbl>
            <c:dLbl>
              <c:idx val="20"/>
              <c:tx>
                <c:strRef>
                  <c:f>'Ind groups comparisons'!$DM$37</c:f>
                  <c:strCache>
                    <c:ptCount val="1"/>
                    <c:pt idx="0">
                      <c:v>-5</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Val val="1"/>
          </c:dLbls>
          <c:xVal>
            <c:numRef>
              <c:f>'Ind groups comparisons'!$DO$17:$DO$37</c:f>
              <c:numCache>
                <c:formatCode>General</c:formatCode>
                <c:ptCount val="21"/>
                <c:pt idx="0">
                  <c:v>8.6</c:v>
                </c:pt>
                <c:pt idx="1">
                  <c:v>8.6</c:v>
                </c:pt>
                <c:pt idx="2">
                  <c:v>8.6</c:v>
                </c:pt>
                <c:pt idx="3">
                  <c:v>8.6</c:v>
                </c:pt>
                <c:pt idx="4">
                  <c:v>8.6</c:v>
                </c:pt>
                <c:pt idx="5">
                  <c:v>8.6</c:v>
                </c:pt>
                <c:pt idx="6">
                  <c:v>8.6</c:v>
                </c:pt>
                <c:pt idx="7">
                  <c:v>8.6</c:v>
                </c:pt>
                <c:pt idx="8">
                  <c:v>8.6</c:v>
                </c:pt>
                <c:pt idx="9">
                  <c:v>8.6</c:v>
                </c:pt>
                <c:pt idx="10">
                  <c:v>8.6</c:v>
                </c:pt>
                <c:pt idx="11">
                  <c:v>8.6</c:v>
                </c:pt>
                <c:pt idx="12">
                  <c:v>8.6</c:v>
                </c:pt>
                <c:pt idx="13">
                  <c:v>8.6</c:v>
                </c:pt>
                <c:pt idx="14">
                  <c:v>8.6</c:v>
                </c:pt>
                <c:pt idx="15">
                  <c:v>8.6</c:v>
                </c:pt>
                <c:pt idx="16">
                  <c:v>8.6</c:v>
                </c:pt>
                <c:pt idx="17">
                  <c:v>8.6</c:v>
                </c:pt>
                <c:pt idx="18">
                  <c:v>8.6</c:v>
                </c:pt>
                <c:pt idx="19">
                  <c:v>8.6</c:v>
                </c:pt>
                <c:pt idx="20">
                  <c:v>8.6</c:v>
                </c:pt>
              </c:numCache>
            </c:numRef>
          </c:xVal>
          <c:yVal>
            <c:numRef>
              <c:f>'Ind groups comparisons'!$DP$17:$DP$37</c:f>
              <c:numCache>
                <c:formatCode>General</c:formatCode>
                <c:ptCount val="21"/>
                <c:pt idx="0">
                  <c:v>#N/A</c:v>
                </c:pt>
                <c:pt idx="1">
                  <c:v>#N/A</c:v>
                </c:pt>
                <c:pt idx="2">
                  <c:v>#N/A</c:v>
                </c:pt>
                <c:pt idx="3">
                  <c:v>#N/A</c:v>
                </c:pt>
                <c:pt idx="4">
                  <c:v>#N/A</c:v>
                </c:pt>
                <c:pt idx="5">
                  <c:v>#N/A</c:v>
                </c:pt>
                <c:pt idx="6">
                  <c:v>#N/A</c:v>
                </c:pt>
                <c:pt idx="7">
                  <c:v>5.86</c:v>
                </c:pt>
                <c:pt idx="8">
                  <c:v>5.36</c:v>
                </c:pt>
                <c:pt idx="9">
                  <c:v>4.8600000000000003</c:v>
                </c:pt>
                <c:pt idx="10">
                  <c:v>4.3600000000000003</c:v>
                </c:pt>
                <c:pt idx="11">
                  <c:v>3.8600000000000003</c:v>
                </c:pt>
                <c:pt idx="12">
                  <c:v>3.3600000000000003</c:v>
                </c:pt>
                <c:pt idx="13">
                  <c:v>#N/A</c:v>
                </c:pt>
                <c:pt idx="14">
                  <c:v>#N/A</c:v>
                </c:pt>
                <c:pt idx="15">
                  <c:v>#N/A</c:v>
                </c:pt>
                <c:pt idx="16">
                  <c:v>#N/A</c:v>
                </c:pt>
                <c:pt idx="17">
                  <c:v>#N/A</c:v>
                </c:pt>
                <c:pt idx="18">
                  <c:v>#N/A</c:v>
                </c:pt>
                <c:pt idx="19">
                  <c:v>#N/A</c:v>
                </c:pt>
                <c:pt idx="20">
                  <c:v>#N/A</c:v>
                </c:pt>
              </c:numCache>
            </c:numRef>
          </c:yVal>
        </c:ser>
        <c:ser>
          <c:idx val="8"/>
          <c:order val="5"/>
          <c:spPr>
            <a:ln w="28575">
              <a:noFill/>
            </a:ln>
          </c:spPr>
          <c:marker>
            <c:symbol val="triangle"/>
            <c:size val="10"/>
            <c:spPr>
              <a:solidFill>
                <a:srgbClr val="000000"/>
              </a:solidFill>
              <a:ln>
                <a:solidFill>
                  <a:srgbClr val="000000"/>
                </a:solidFill>
                <a:prstDash val="solid"/>
              </a:ln>
            </c:spPr>
          </c:marker>
          <c:errBars>
            <c:errDir val="y"/>
            <c:errBarType val="both"/>
            <c:errValType val="cust"/>
            <c:noEndCap val="1"/>
            <c:plus>
              <c:numRef>
                <c:f>'Ind groups comparisons'!$DC$29</c:f>
                <c:numCache>
                  <c:formatCode>General</c:formatCode>
                  <c:ptCount val="1"/>
                  <c:pt idx="0">
                    <c:v>0.77104165000868663</c:v>
                  </c:pt>
                </c:numCache>
              </c:numRef>
            </c:plus>
            <c:minus>
              <c:numRef>
                <c:f>'Ind groups comparisons'!$DC$29</c:f>
                <c:numCache>
                  <c:formatCode>General</c:formatCode>
                  <c:ptCount val="1"/>
                  <c:pt idx="0">
                    <c:v>0.77104165000868663</c:v>
                  </c:pt>
                </c:numCache>
              </c:numRef>
            </c:minus>
            <c:spPr>
              <a:ln w="25400">
                <a:solidFill>
                  <a:srgbClr val="000000"/>
                </a:solidFill>
                <a:prstDash val="solid"/>
              </a:ln>
            </c:spPr>
          </c:errBars>
          <c:xVal>
            <c:numRef>
              <c:f>'Ind groups comparisons'!$DH$28</c:f>
              <c:numCache>
                <c:formatCode>General</c:formatCode>
                <c:ptCount val="1"/>
                <c:pt idx="0">
                  <c:v>8.1</c:v>
                </c:pt>
              </c:numCache>
            </c:numRef>
          </c:xVal>
          <c:yVal>
            <c:numRef>
              <c:f>'Ind groups comparisons'!$DI$28</c:f>
              <c:numCache>
                <c:formatCode>General</c:formatCode>
                <c:ptCount val="1"/>
                <c:pt idx="0">
                  <c:v>5.76</c:v>
                </c:pt>
              </c:numCache>
            </c:numRef>
          </c:yVal>
        </c:ser>
        <c:ser>
          <c:idx val="10"/>
          <c:order val="6"/>
          <c:spPr>
            <a:ln w="3175">
              <a:solidFill>
                <a:srgbClr val="000000"/>
              </a:solidFill>
              <a:prstDash val="sysDash"/>
            </a:ln>
          </c:spPr>
          <c:marker>
            <c:symbol val="none"/>
          </c:marker>
          <c:xVal>
            <c:numRef>
              <c:f>'Ind groups comparisons'!$DO$11:$DO$12</c:f>
              <c:numCache>
                <c:formatCode>General</c:formatCode>
                <c:ptCount val="2"/>
                <c:pt idx="0">
                  <c:v>1</c:v>
                </c:pt>
                <c:pt idx="1">
                  <c:v>8.6</c:v>
                </c:pt>
              </c:numCache>
            </c:numRef>
          </c:xVal>
          <c:yVal>
            <c:numRef>
              <c:f>'Ind groups comparisons'!$DP$11:$DP$12</c:f>
              <c:numCache>
                <c:formatCode>General</c:formatCode>
                <c:ptCount val="2"/>
                <c:pt idx="0">
                  <c:v>5.76</c:v>
                </c:pt>
                <c:pt idx="1">
                  <c:v>5.76</c:v>
                </c:pt>
              </c:numCache>
            </c:numRef>
          </c:yVal>
        </c:ser>
        <c:ser>
          <c:idx val="11"/>
          <c:order val="7"/>
          <c:spPr>
            <a:ln w="3175">
              <a:solidFill>
                <a:srgbClr val="000000"/>
              </a:solidFill>
              <a:prstDash val="sysDash"/>
            </a:ln>
          </c:spPr>
          <c:marker>
            <c:symbol val="none"/>
          </c:marker>
          <c:xVal>
            <c:numRef>
              <c:f>'Ind groups comparisons'!$DO$13:$DO$14</c:f>
              <c:numCache>
                <c:formatCode>General</c:formatCode>
                <c:ptCount val="2"/>
                <c:pt idx="0">
                  <c:v>2</c:v>
                </c:pt>
                <c:pt idx="1">
                  <c:v>8.6</c:v>
                </c:pt>
              </c:numCache>
            </c:numRef>
          </c:xVal>
          <c:yVal>
            <c:numRef>
              <c:f>'Ind groups comparisons'!$DP$13:$DP$14</c:f>
              <c:numCache>
                <c:formatCode>General</c:formatCode>
                <c:ptCount val="2"/>
                <c:pt idx="0">
                  <c:v>4.3600000000000003</c:v>
                </c:pt>
                <c:pt idx="1">
                  <c:v>4.3600000000000003</c:v>
                </c:pt>
              </c:numCache>
            </c:numRef>
          </c:yVal>
        </c:ser>
        <c:ser>
          <c:idx val="12"/>
          <c:order val="8"/>
          <c:spPr>
            <a:ln w="28575">
              <a:noFill/>
            </a:ln>
          </c:spPr>
          <c:marker>
            <c:symbol val="none"/>
          </c:marker>
          <c:errBars>
            <c:errDir val="x"/>
            <c:errBarType val="plus"/>
            <c:errValType val="cust"/>
            <c:noEndCap val="1"/>
            <c:plus>
              <c:numRef>
                <c:f>'Ind groups comparisons'!$DJ$34</c:f>
                <c:numCache>
                  <c:formatCode>General</c:formatCode>
                  <c:ptCount val="1"/>
                  <c:pt idx="0">
                    <c:v>6</c:v>
                  </c:pt>
                </c:numCache>
              </c:numRef>
            </c:plus>
            <c:spPr>
              <a:ln w="12700">
                <a:solidFill>
                  <a:srgbClr val="000000"/>
                </a:solidFill>
                <a:prstDash val="solid"/>
              </a:ln>
            </c:spPr>
          </c:errBars>
          <c:xVal>
            <c:numRef>
              <c:f>'Ind groups comparisons'!$DH$34</c:f>
              <c:numCache>
                <c:formatCode>General</c:formatCode>
                <c:ptCount val="1"/>
                <c:pt idx="0">
                  <c:v>0.5</c:v>
                </c:pt>
              </c:numCache>
            </c:numRef>
          </c:xVal>
          <c:yVal>
            <c:numRef>
              <c:f>'Ind groups comparisons'!$DI$34</c:f>
              <c:numCache>
                <c:formatCode>General</c:formatCode>
                <c:ptCount val="1"/>
                <c:pt idx="0">
                  <c:v>0</c:v>
                </c:pt>
              </c:numCache>
            </c:numRef>
          </c:yVal>
        </c:ser>
        <c:axId val="170000768"/>
        <c:axId val="170002304"/>
      </c:scatterChart>
      <c:catAx>
        <c:axId val="170000768"/>
        <c:scaling>
          <c:orientation val="minMax"/>
        </c:scaling>
        <c:axPos val="b"/>
        <c:majorTickMark val="none"/>
        <c:tickLblPos val="none"/>
        <c:spPr>
          <a:ln w="9525">
            <a:noFill/>
          </a:ln>
        </c:spPr>
        <c:crossAx val="170002304"/>
        <c:crosses val="autoZero"/>
        <c:auto val="1"/>
        <c:lblAlgn val="ctr"/>
        <c:lblOffset val="100"/>
        <c:tickMarkSkip val="1"/>
      </c:catAx>
      <c:valAx>
        <c:axId val="170002304"/>
        <c:scaling>
          <c:orientation val="minMax"/>
        </c:scaling>
        <c:axPos val="l"/>
        <c:title>
          <c:tx>
            <c:strRef>
              <c:f>'Ind groups comparisons'!$CX$20</c:f>
              <c:strCache>
                <c:ptCount val="1"/>
                <c:pt idx="0">
                  <c:v>Brand Recognition</c:v>
                </c:pt>
              </c:strCache>
            </c:strRef>
          </c:tx>
          <c:layout>
            <c:manualLayout>
              <c:xMode val="edge"/>
              <c:yMode val="edge"/>
              <c:x val="6.5274193044601329E-3"/>
              <c:y val="0.32844036697247769"/>
            </c:manualLayout>
          </c:layout>
          <c:spPr>
            <a:noFill/>
            <a:ln w="25400">
              <a:noFill/>
            </a:ln>
          </c:spPr>
          <c:txPr>
            <a:bodyPr/>
            <a:lstStyle/>
            <a:p>
              <a:pPr algn="ctr" rtl="0">
                <a:defRPr sz="1200" b="0" i="0" u="none" strike="noStrike" baseline="0">
                  <a:solidFill>
                    <a:srgbClr val="000000"/>
                  </a:solidFill>
                  <a:latin typeface="Arial"/>
                  <a:ea typeface="Arial"/>
                  <a:cs typeface="Arial"/>
                </a:defRPr>
              </a:pPr>
              <a:endParaRPr lang="en-US"/>
            </a:p>
          </c:txPr>
        </c:title>
        <c:numFmt formatCode="General" sourceLinked="1"/>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70000768"/>
        <c:crosses val="autoZero"/>
        <c:crossBetween val="between"/>
      </c:valAx>
      <c:spPr>
        <a:noFill/>
        <a:ln w="25400">
          <a:noFill/>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paperSize="9" orientation="landscape" horizontalDpi="-3" verticalDpi="-3"/>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4.024770843994023E-2"/>
          <c:y val="2.777785313002696E-2"/>
          <c:w val="0.93498522683553464"/>
          <c:h val="0.87778015890885164"/>
        </c:manualLayout>
      </c:layout>
      <c:scatterChart>
        <c:scatterStyle val="lineMarker"/>
        <c:ser>
          <c:idx val="7"/>
          <c:order val="0"/>
          <c:spPr>
            <a:ln w="28575">
              <a:noFill/>
            </a:ln>
          </c:spPr>
          <c:marker>
            <c:symbol val="none"/>
          </c:marker>
          <c:errBars>
            <c:errDir val="y"/>
            <c:errBarType val="minus"/>
            <c:errValType val="cust"/>
            <c:noEndCap val="1"/>
            <c:minus>
              <c:numLit>
                <c:formatCode>General</c:formatCode>
                <c:ptCount val="1"/>
                <c:pt idx="0">
                  <c:v>24.5</c:v>
                </c:pt>
              </c:numLit>
            </c:minus>
            <c:spPr>
              <a:ln w="12700">
                <a:pattFill prst="pct50">
                  <a:fgClr>
                    <a:srgbClr val="008000"/>
                  </a:fgClr>
                  <a:bgClr>
                    <a:srgbClr val="FFFFFF"/>
                  </a:bgClr>
                </a:pattFill>
                <a:prstDash val="solid"/>
              </a:ln>
            </c:spPr>
          </c:errBars>
          <c:xVal>
            <c:numRef>
              <c:f>'Ind groups contrasts'!$FL$41:$FL$51</c:f>
              <c:numCache>
                <c:formatCode>General</c:formatCode>
                <c:ptCount val="11"/>
              </c:numCache>
            </c:numRef>
          </c:xVal>
          <c:yVal>
            <c:numRef>
              <c:f>'Ind groups contrasts'!$FM$41:$FM$51</c:f>
              <c:numCache>
                <c:formatCode>General</c:formatCode>
                <c:ptCount val="11"/>
              </c:numCache>
            </c:numRef>
          </c:yVal>
        </c:ser>
        <c:ser>
          <c:idx val="2"/>
          <c:order val="1"/>
          <c:spPr>
            <a:ln w="28575">
              <a:noFill/>
            </a:ln>
          </c:spPr>
          <c:marker>
            <c:symbol val="circle"/>
            <c:size val="6"/>
            <c:spPr>
              <a:noFill/>
              <a:ln>
                <a:solidFill>
                  <a:srgbClr val="0000FF"/>
                </a:solidFill>
                <a:prstDash val="solid"/>
              </a:ln>
            </c:spPr>
          </c:marker>
          <c:xVal>
            <c:numRef>
              <c:f>'Ind groups contrasts'!$FQ$12:$FQ$112</c:f>
              <c:numCache>
                <c:formatCode>General</c:formatCode>
                <c:ptCount val="101"/>
              </c:numCache>
            </c:numRef>
          </c:xVal>
          <c:yVal>
            <c:numRef>
              <c:f>'Ind groups contrasts'!$FR$12:$FR$112</c:f>
              <c:numCache>
                <c:formatCode>General</c:formatCode>
                <c:ptCount val="101"/>
              </c:numCache>
            </c:numRef>
          </c:yVal>
        </c:ser>
        <c:ser>
          <c:idx val="0"/>
          <c:order val="2"/>
          <c:spPr>
            <a:ln w="28575">
              <a:noFill/>
            </a:ln>
          </c:spPr>
          <c:marker>
            <c:symbol val="circle"/>
            <c:size val="6"/>
            <c:spPr>
              <a:solidFill>
                <a:srgbClr val="00FF00"/>
              </a:solidFill>
              <a:ln>
                <a:solidFill>
                  <a:srgbClr val="000000"/>
                </a:solidFill>
                <a:prstDash val="solid"/>
              </a:ln>
            </c:spPr>
          </c:marker>
          <c:xVal>
            <c:numRef>
              <c:f>'Ind groups contrasts'!$FM$87:$FM$386</c:f>
              <c:numCache>
                <c:formatCode>General</c:formatCode>
                <c:ptCount val="300"/>
              </c:numCache>
            </c:numRef>
          </c:xVal>
          <c:yVal>
            <c:numRef>
              <c:f>'Ind groups contrasts'!$FN$116:$FN$415</c:f>
              <c:numCache>
                <c:formatCode>General</c:formatCode>
                <c:ptCount val="300"/>
              </c:numCache>
            </c:numRef>
          </c:yVal>
        </c:ser>
        <c:ser>
          <c:idx val="3"/>
          <c:order val="3"/>
          <c:spPr>
            <a:ln w="28575">
              <a:noFill/>
            </a:ln>
          </c:spPr>
          <c:marker>
            <c:symbol val="circle"/>
            <c:size val="6"/>
            <c:spPr>
              <a:solidFill>
                <a:srgbClr val="008000"/>
              </a:solidFill>
              <a:ln>
                <a:solidFill>
                  <a:srgbClr val="000000"/>
                </a:solidFill>
                <a:prstDash val="solid"/>
              </a:ln>
            </c:spPr>
          </c:marker>
          <c:xVal>
            <c:numRef>
              <c:f>'Ind groups contrasts'!$FM$85</c:f>
              <c:numCache>
                <c:formatCode>General</c:formatCode>
                <c:ptCount val="1"/>
              </c:numCache>
            </c:numRef>
          </c:xVal>
          <c:yVal>
            <c:numRef>
              <c:f>'Ind groups contrasts'!$FN$114</c:f>
              <c:numCache>
                <c:formatCode>General</c:formatCode>
                <c:ptCount val="1"/>
              </c:numCache>
            </c:numRef>
          </c:yVal>
        </c:ser>
        <c:ser>
          <c:idx val="5"/>
          <c:order val="4"/>
          <c:spPr>
            <a:ln w="25400">
              <a:solidFill>
                <a:srgbClr val="008000"/>
              </a:solidFill>
              <a:prstDash val="solid"/>
            </a:ln>
          </c:spPr>
          <c:marker>
            <c:symbol val="none"/>
          </c:marker>
          <c:xVal>
            <c:numRef>
              <c:f>'Ind groups contrasts'!$FG$25:$FG$225</c:f>
              <c:numCache>
                <c:formatCode>General</c:formatCode>
                <c:ptCount val="201"/>
              </c:numCache>
            </c:numRef>
          </c:xVal>
          <c:yVal>
            <c:numRef>
              <c:f>'Ind groups contrasts'!$FJ$24:$FJ$224</c:f>
              <c:numCache>
                <c:formatCode>General</c:formatCode>
                <c:ptCount val="201"/>
              </c:numCache>
            </c:numRef>
          </c:yVal>
        </c:ser>
        <c:ser>
          <c:idx val="6"/>
          <c:order val="5"/>
          <c:spPr>
            <a:ln w="28575">
              <a:noFill/>
            </a:ln>
          </c:spPr>
          <c:marker>
            <c:symbol val="none"/>
          </c:marker>
          <c:errBars>
            <c:errDir val="y"/>
            <c:errBarType val="minus"/>
            <c:errValType val="cust"/>
            <c:noEndCap val="1"/>
            <c:minus>
              <c:numLit>
                <c:formatCode>General</c:formatCode>
                <c:ptCount val="1"/>
                <c:pt idx="0">
                  <c:v>25</c:v>
                </c:pt>
              </c:numLit>
            </c:minus>
            <c:spPr>
              <a:ln w="12700">
                <a:solidFill>
                  <a:srgbClr val="008000"/>
                </a:solidFill>
                <a:prstDash val="solid"/>
              </a:ln>
            </c:spPr>
          </c:errBars>
          <c:xVal>
            <c:numRef>
              <c:f>'Ind groups contrasts'!#REF!</c:f>
              <c:numCache>
                <c:formatCode>General</c:formatCode>
                <c:ptCount val="1"/>
                <c:pt idx="0">
                  <c:v>1</c:v>
                </c:pt>
              </c:numCache>
            </c:numRef>
          </c:xVal>
          <c:yVal>
            <c:numRef>
              <c:f>'Ind groups contrasts'!$EV$19:$EV$20</c:f>
              <c:numCache>
                <c:formatCode>General</c:formatCode>
                <c:ptCount val="2"/>
              </c:numCache>
            </c:numRef>
          </c:yVal>
        </c:ser>
        <c:ser>
          <c:idx val="8"/>
          <c:order val="6"/>
          <c:spPr>
            <a:ln w="28575">
              <a:noFill/>
            </a:ln>
          </c:spPr>
          <c:marker>
            <c:symbol val="none"/>
          </c:marker>
          <c:errBars>
            <c:errDir val="x"/>
            <c:errBarType val="both"/>
            <c:errValType val="cust"/>
            <c:noEndCap val="1"/>
            <c:plus>
              <c:numRef>
                <c:f>'Ind groups contrasts'!#REF!</c:f>
                <c:numCache>
                  <c:formatCode>General</c:formatCode>
                  <c:ptCount val="1"/>
                  <c:pt idx="0">
                    <c:v>2</c:v>
                  </c:pt>
                </c:numCache>
              </c:numRef>
            </c:plus>
            <c:minus>
              <c:numRef>
                <c:f>'Ind groups contrasts'!#REF!</c:f>
                <c:numCache>
                  <c:formatCode>General</c:formatCode>
                  <c:ptCount val="1"/>
                  <c:pt idx="0">
                    <c:v>0</c:v>
                  </c:pt>
                </c:numCache>
              </c:numRef>
            </c:minus>
            <c:spPr>
              <a:ln w="38100">
                <a:pattFill prst="pct75">
                  <a:fgClr>
                    <a:srgbClr val="008000"/>
                  </a:fgClr>
                  <a:bgClr>
                    <a:srgbClr val="FFFFFF"/>
                  </a:bgClr>
                </a:pattFill>
                <a:prstDash val="solid"/>
              </a:ln>
            </c:spPr>
          </c:errBars>
          <c:xVal>
            <c:numRef>
              <c:f>'Ind groups contrasts'!#REF!</c:f>
              <c:numCache>
                <c:formatCode>General</c:formatCode>
                <c:ptCount val="1"/>
                <c:pt idx="0">
                  <c:v>1</c:v>
                </c:pt>
              </c:numCache>
            </c:numRef>
          </c:xVal>
          <c:yVal>
            <c:numRef>
              <c:f>'Ind groups contrasts'!#REF!</c:f>
              <c:numCache>
                <c:formatCode>General</c:formatCode>
                <c:ptCount val="1"/>
                <c:pt idx="0">
                  <c:v>1</c:v>
                </c:pt>
              </c:numCache>
            </c:numRef>
          </c:yVal>
        </c:ser>
        <c:ser>
          <c:idx val="4"/>
          <c:order val="7"/>
          <c:spPr>
            <a:ln w="28575">
              <a:noFill/>
            </a:ln>
          </c:spPr>
          <c:marker>
            <c:symbol val="plus"/>
            <c:size val="12"/>
            <c:spPr>
              <a:noFill/>
              <a:ln>
                <a:solidFill>
                  <a:srgbClr val="000000"/>
                </a:solidFill>
                <a:prstDash val="solid"/>
              </a:ln>
            </c:spPr>
          </c:marker>
          <c:xVal>
            <c:numRef>
              <c:f>'Ind groups contrasts'!#REF!</c:f>
              <c:numCache>
                <c:formatCode>General</c:formatCode>
                <c:ptCount val="1"/>
                <c:pt idx="0">
                  <c:v>1</c:v>
                </c:pt>
              </c:numCache>
            </c:numRef>
          </c:xVal>
          <c:yVal>
            <c:numRef>
              <c:f>'Ind groups contrasts'!#REF!</c:f>
              <c:numCache>
                <c:formatCode>General</c:formatCode>
                <c:ptCount val="1"/>
                <c:pt idx="0">
                  <c:v>1</c:v>
                </c:pt>
              </c:numCache>
            </c:numRef>
          </c:yVal>
        </c:ser>
        <c:ser>
          <c:idx val="1"/>
          <c:order val="8"/>
          <c:spPr>
            <a:ln w="28575">
              <a:noFill/>
            </a:ln>
          </c:spPr>
          <c:marker>
            <c:symbol val="none"/>
          </c:marker>
          <c:dLbls>
            <c:dLbl>
              <c:idx val="0"/>
              <c:layout>
                <c:manualLayout>
                  <c:x val="-1.7589659412298061E-2"/>
                  <c:y val="1.0637616673751394E-2"/>
                </c:manualLayout>
              </c:layout>
              <c:tx>
                <c:rich>
                  <a:bodyPr/>
                  <a:lstStyle/>
                  <a:p>
                    <a:pPr>
                      <a:defRPr sz="1100" b="0" i="0" u="none" strike="noStrike" baseline="0">
                        <a:solidFill>
                          <a:srgbClr val="000000"/>
                        </a:solidFill>
                        <a:latin typeface="Symbol"/>
                        <a:ea typeface="Symbol"/>
                        <a:cs typeface="Symbol"/>
                      </a:defRPr>
                    </a:pPr>
                    <a:r>
                      <a:t>m</a:t>
                    </a:r>
                  </a:p>
                </c:rich>
              </c:tx>
              <c:spPr>
                <a:noFill/>
                <a:ln w="25400">
                  <a:noFill/>
                </a:ln>
              </c:spPr>
              <c:dLblPos val="r"/>
            </c:dLbl>
            <c:spPr>
              <a:noFill/>
              <a:ln w="25400">
                <a:noFill/>
              </a:ln>
            </c:spPr>
            <c:txPr>
              <a:bodyPr/>
              <a:lstStyle/>
              <a:p>
                <a:pPr>
                  <a:defRPr sz="925" b="0" i="0" u="none" strike="noStrike" baseline="0">
                    <a:solidFill>
                      <a:srgbClr val="000000"/>
                    </a:solidFill>
                    <a:latin typeface="Arial"/>
                    <a:ea typeface="Arial"/>
                    <a:cs typeface="Arial"/>
                  </a:defRPr>
                </a:pPr>
                <a:endParaRPr lang="en-US"/>
              </a:p>
            </c:txPr>
            <c:showVal val="1"/>
          </c:dLbls>
          <c:errBars>
            <c:errDir val="y"/>
            <c:errBarType val="minus"/>
            <c:errValType val="cust"/>
            <c:noEndCap val="1"/>
            <c:minus>
              <c:numRef>
                <c:f>'Ind groups contrasts'!#REF!</c:f>
                <c:numCache>
                  <c:formatCode>General</c:formatCode>
                  <c:ptCount val="1"/>
                  <c:pt idx="0">
                    <c:v>0</c:v>
                  </c:pt>
                </c:numCache>
              </c:numRef>
            </c:minus>
            <c:spPr>
              <a:ln w="12700">
                <a:solidFill>
                  <a:srgbClr val="000000"/>
                </a:solidFill>
                <a:prstDash val="solid"/>
              </a:ln>
            </c:spPr>
          </c:errBars>
          <c:xVal>
            <c:numRef>
              <c:f>'Ind groups contrasts'!#REF!</c:f>
              <c:numCache>
                <c:formatCode>General</c:formatCode>
                <c:ptCount val="1"/>
                <c:pt idx="0">
                  <c:v>1</c:v>
                </c:pt>
              </c:numCache>
            </c:numRef>
          </c:xVal>
          <c:yVal>
            <c:numRef>
              <c:f>'Ind groups contrasts'!#REF!</c:f>
              <c:numCache>
                <c:formatCode>General</c:formatCode>
                <c:ptCount val="1"/>
                <c:pt idx="0">
                  <c:v>1</c:v>
                </c:pt>
              </c:numCache>
            </c:numRef>
          </c:yVal>
        </c:ser>
        <c:axId val="170384768"/>
        <c:axId val="170439808"/>
      </c:scatterChart>
      <c:valAx>
        <c:axId val="170384768"/>
        <c:scaling>
          <c:orientation val="minMax"/>
          <c:max val="100"/>
          <c:min val="0"/>
        </c:scaling>
        <c:axPos val="t"/>
        <c:numFmt formatCode="General" sourceLinked="1"/>
        <c:majorTickMark val="in"/>
        <c:minorTickMark val="in"/>
        <c:tickLblPos val="high"/>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70439808"/>
        <c:crossesAt val="26"/>
        <c:crossBetween val="midCat"/>
        <c:majorUnit val="10"/>
        <c:minorUnit val="2"/>
      </c:valAx>
      <c:valAx>
        <c:axId val="170439808"/>
        <c:scaling>
          <c:orientation val="maxMin"/>
          <c:max val="26"/>
          <c:min val="0"/>
        </c:scaling>
        <c:axPos val="l"/>
        <c:title>
          <c:tx>
            <c:rich>
              <a:bodyPr/>
              <a:lstStyle/>
              <a:p>
                <a:pPr>
                  <a:defRPr sz="925" b="0" i="0" u="none" strike="noStrike" baseline="0">
                    <a:solidFill>
                      <a:srgbClr val="000000"/>
                    </a:solidFill>
                    <a:latin typeface="Arial"/>
                    <a:ea typeface="Arial"/>
                    <a:cs typeface="Arial"/>
                  </a:defRPr>
                </a:pPr>
                <a:r>
                  <a:t>Dot histogram of means</a:t>
                </a:r>
              </a:p>
            </c:rich>
          </c:tx>
          <c:layout>
            <c:manualLayout>
              <c:xMode val="edge"/>
              <c:yMode val="edge"/>
              <c:x val="7.7399380804953647E-3"/>
              <c:y val="0.27777865266841645"/>
            </c:manualLayout>
          </c:layout>
          <c:spPr>
            <a:noFill/>
            <a:ln w="25400">
              <a:noFill/>
            </a:ln>
          </c:spPr>
        </c:title>
        <c:numFmt formatCode="General" sourceLinked="1"/>
        <c:majorTickMark val="none"/>
        <c:tickLblPos val="none"/>
        <c:spPr>
          <a:ln w="3175">
            <a:solidFill>
              <a:srgbClr val="000000"/>
            </a:solidFill>
            <a:prstDash val="solid"/>
          </a:ln>
        </c:spPr>
        <c:crossAx val="170384768"/>
        <c:crossesAt val="0"/>
        <c:crossBetween val="midCat"/>
        <c:majorUnit val="1"/>
        <c:minorUnit val="1"/>
      </c:valAx>
      <c:spPr>
        <a:noFill/>
        <a:ln w="25400">
          <a:noFill/>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8.2245483236197583E-2"/>
          <c:y val="4.9541284403669728E-2"/>
          <c:w val="0.91122773490263309"/>
          <c:h val="0.81651376146788957"/>
        </c:manualLayout>
      </c:layout>
      <c:lineChart>
        <c:grouping val="standard"/>
        <c:ser>
          <c:idx val="4"/>
          <c:order val="10"/>
          <c:spPr>
            <a:ln w="28575">
              <a:noFill/>
            </a:ln>
          </c:spPr>
          <c:marker>
            <c:symbol val="none"/>
          </c:marker>
          <c:cat>
            <c:strRef>
              <c:f>'Ind groups contrasts'!$CY$25:$DD$25</c:f>
              <c:strCache>
                <c:ptCount val="6"/>
                <c:pt idx="0">
                  <c:v>Control10</c:v>
                </c:pt>
                <c:pt idx="1">
                  <c:v>Free10</c:v>
                </c:pt>
                <c:pt idx="2">
                  <c:v>Diet10</c:v>
                </c:pt>
                <c:pt idx="3">
                  <c:v>Control17</c:v>
                </c:pt>
                <c:pt idx="4">
                  <c:v>Free17</c:v>
                </c:pt>
                <c:pt idx="5">
                  <c:v>Diet17</c:v>
                </c:pt>
              </c:strCache>
            </c:strRef>
          </c:cat>
          <c:val>
            <c:numRef>
              <c:f>'Ind groups contrasts'!$CY$26:$DG$26</c:f>
              <c:numCache>
                <c:formatCode>General</c:formatCode>
                <c:ptCount val="9"/>
                <c:pt idx="0">
                  <c:v>37.5</c:v>
                </c:pt>
                <c:pt idx="1">
                  <c:v>31.9</c:v>
                </c:pt>
                <c:pt idx="2">
                  <c:v>41.2</c:v>
                </c:pt>
                <c:pt idx="3">
                  <c:v>33.4</c:v>
                </c:pt>
                <c:pt idx="4">
                  <c:v>29.9</c:v>
                </c:pt>
                <c:pt idx="5">
                  <c:v>38.299999999999997</c:v>
                </c:pt>
                <c:pt idx="6">
                  <c:v>0</c:v>
                </c:pt>
              </c:numCache>
            </c:numRef>
          </c:val>
        </c:ser>
        <c:marker val="1"/>
        <c:axId val="170982784"/>
        <c:axId val="171328640"/>
      </c:lineChart>
      <c:scatterChart>
        <c:scatterStyle val="lineMarker"/>
        <c:ser>
          <c:idx val="16"/>
          <c:order val="0"/>
          <c:spPr>
            <a:ln w="25400">
              <a:pattFill prst="pct75">
                <a:fgClr>
                  <a:srgbClr val="0000FF"/>
                </a:fgClr>
                <a:bgClr>
                  <a:srgbClr val="FFFFFF"/>
                </a:bgClr>
              </a:pattFill>
              <a:prstDash val="solid"/>
            </a:ln>
          </c:spPr>
          <c:marker>
            <c:symbol val="none"/>
          </c:marker>
          <c:xVal>
            <c:numRef>
              <c:f>'Ind groups contrasts'!$DK$30:$DK$31</c:f>
              <c:numCache>
                <c:formatCode>General</c:formatCode>
                <c:ptCount val="2"/>
                <c:pt idx="0">
                  <c:v>4</c:v>
                </c:pt>
                <c:pt idx="1">
                  <c:v>6.3</c:v>
                </c:pt>
              </c:numCache>
            </c:numRef>
          </c:xVal>
          <c:yVal>
            <c:numRef>
              <c:f>'Ind groups contrasts'!$DL$30:$DL$31</c:f>
              <c:numCache>
                <c:formatCode>General</c:formatCode>
                <c:ptCount val="2"/>
                <c:pt idx="0">
                  <c:v>33.4</c:v>
                </c:pt>
                <c:pt idx="1">
                  <c:v>33.4</c:v>
                </c:pt>
              </c:numCache>
            </c:numRef>
          </c:yVal>
        </c:ser>
        <c:ser>
          <c:idx val="11"/>
          <c:order val="1"/>
          <c:spPr>
            <a:ln w="25400">
              <a:pattFill prst="pct75">
                <a:fgClr>
                  <a:srgbClr val="0000FF"/>
                </a:fgClr>
                <a:bgClr>
                  <a:srgbClr val="FFFFFF"/>
                </a:bgClr>
              </a:pattFill>
              <a:prstDash val="solid"/>
            </a:ln>
          </c:spPr>
          <c:marker>
            <c:symbol val="none"/>
          </c:marker>
          <c:xVal>
            <c:numRef>
              <c:f>'Ind groups contrasts'!$DK$28:$DK$29</c:f>
              <c:numCache>
                <c:formatCode>General</c:formatCode>
                <c:ptCount val="2"/>
                <c:pt idx="0">
                  <c:v>#N/A</c:v>
                </c:pt>
                <c:pt idx="1">
                  <c:v>#N/A</c:v>
                </c:pt>
              </c:numCache>
            </c:numRef>
          </c:xVal>
          <c:yVal>
            <c:numRef>
              <c:f>'Ind groups contrasts'!$DL$28:$DL$29</c:f>
              <c:numCache>
                <c:formatCode>General</c:formatCode>
                <c:ptCount val="2"/>
                <c:pt idx="0">
                  <c:v>#N/A</c:v>
                </c:pt>
                <c:pt idx="1">
                  <c:v>#N/A</c:v>
                </c:pt>
              </c:numCache>
            </c:numRef>
          </c:yVal>
        </c:ser>
        <c:ser>
          <c:idx val="5"/>
          <c:order val="2"/>
          <c:spPr>
            <a:ln w="3175">
              <a:solidFill>
                <a:srgbClr val="000000"/>
              </a:solidFill>
              <a:prstDash val="sysDash"/>
            </a:ln>
          </c:spPr>
          <c:marker>
            <c:symbol val="none"/>
          </c:marker>
          <c:xVal>
            <c:numRef>
              <c:f>'Ind groups contrasts'!$DR$11:$DR$12</c:f>
              <c:numCache>
                <c:formatCode>General</c:formatCode>
                <c:ptCount val="2"/>
                <c:pt idx="0">
                  <c:v>6.8</c:v>
                </c:pt>
                <c:pt idx="1">
                  <c:v>8.6999999999999993</c:v>
                </c:pt>
              </c:numCache>
            </c:numRef>
          </c:xVal>
          <c:yVal>
            <c:numRef>
              <c:f>'Ind groups contrasts'!$DS$11:$DS$12</c:f>
              <c:numCache>
                <c:formatCode>General</c:formatCode>
                <c:ptCount val="2"/>
                <c:pt idx="0">
                  <c:v>35.849999999999994</c:v>
                </c:pt>
                <c:pt idx="1">
                  <c:v>35.849999999999994</c:v>
                </c:pt>
              </c:numCache>
            </c:numRef>
          </c:yVal>
        </c:ser>
        <c:ser>
          <c:idx val="8"/>
          <c:order val="3"/>
          <c:spPr>
            <a:ln w="3175">
              <a:solidFill>
                <a:srgbClr val="000000"/>
              </a:solidFill>
              <a:prstDash val="sysDash"/>
            </a:ln>
          </c:spPr>
          <c:marker>
            <c:symbol val="none"/>
          </c:marker>
          <c:xVal>
            <c:numRef>
              <c:f>'Ind groups contrasts'!$DR$13:$DR$14</c:f>
              <c:numCache>
                <c:formatCode>General</c:formatCode>
                <c:ptCount val="2"/>
                <c:pt idx="0">
                  <c:v>7</c:v>
                </c:pt>
                <c:pt idx="1">
                  <c:v>8.6999999999999993</c:v>
                </c:pt>
              </c:numCache>
            </c:numRef>
          </c:xVal>
          <c:yVal>
            <c:numRef>
              <c:f>'Ind groups contrasts'!$DS$13:$DS$14</c:f>
              <c:numCache>
                <c:formatCode>General</c:formatCode>
                <c:ptCount val="2"/>
                <c:pt idx="0">
                  <c:v>39.35</c:v>
                </c:pt>
                <c:pt idx="1">
                  <c:v>39.35</c:v>
                </c:pt>
              </c:numCache>
            </c:numRef>
          </c:yVal>
        </c:ser>
        <c:ser>
          <c:idx val="17"/>
          <c:order val="4"/>
          <c:spPr>
            <a:ln w="3175">
              <a:solidFill>
                <a:srgbClr val="000000"/>
              </a:solidFill>
              <a:prstDash val="sysDash"/>
            </a:ln>
          </c:spPr>
          <c:marker>
            <c:symbol val="none"/>
          </c:marker>
          <c:dPt>
            <c:idx val="1"/>
            <c:spPr>
              <a:ln w="25400">
                <a:pattFill prst="pct75">
                  <a:fgClr>
                    <a:srgbClr val="0000FF"/>
                  </a:fgClr>
                  <a:bgClr>
                    <a:srgbClr val="FFFFFF"/>
                  </a:bgClr>
                </a:pattFill>
                <a:prstDash val="solid"/>
              </a:ln>
            </c:spPr>
          </c:dPt>
          <c:xVal>
            <c:numRef>
              <c:f>'Ind groups contrasts'!$DK$32:$DK$33</c:f>
              <c:numCache>
                <c:formatCode>General</c:formatCode>
                <c:ptCount val="2"/>
                <c:pt idx="0">
                  <c:v>#N/A</c:v>
                </c:pt>
                <c:pt idx="1">
                  <c:v>#N/A</c:v>
                </c:pt>
              </c:numCache>
            </c:numRef>
          </c:xVal>
          <c:yVal>
            <c:numRef>
              <c:f>'Ind groups contrasts'!$DL$32:$DL$33</c:f>
              <c:numCache>
                <c:formatCode>General</c:formatCode>
                <c:ptCount val="2"/>
                <c:pt idx="0">
                  <c:v>#N/A</c:v>
                </c:pt>
                <c:pt idx="1">
                  <c:v>#N/A</c:v>
                </c:pt>
              </c:numCache>
            </c:numRef>
          </c:yVal>
        </c:ser>
        <c:ser>
          <c:idx val="10"/>
          <c:order val="5"/>
          <c:spPr>
            <a:ln w="25400">
              <a:pattFill prst="pct75">
                <a:fgClr>
                  <a:srgbClr val="0000FF"/>
                </a:fgClr>
                <a:bgClr>
                  <a:srgbClr val="FFFFFF"/>
                </a:bgClr>
              </a:pattFill>
              <a:prstDash val="solid"/>
            </a:ln>
          </c:spPr>
          <c:marker>
            <c:symbol val="none"/>
          </c:marker>
          <c:xVal>
            <c:numRef>
              <c:f>'Ind groups contrasts'!$DK$34:$DK$35</c:f>
              <c:numCache>
                <c:formatCode>General</c:formatCode>
                <c:ptCount val="2"/>
                <c:pt idx="0">
                  <c:v>6</c:v>
                </c:pt>
                <c:pt idx="1">
                  <c:v>6.3</c:v>
                </c:pt>
              </c:numCache>
            </c:numRef>
          </c:xVal>
          <c:yVal>
            <c:numRef>
              <c:f>'Ind groups contrasts'!$DL$34:$DL$35</c:f>
              <c:numCache>
                <c:formatCode>General</c:formatCode>
                <c:ptCount val="2"/>
                <c:pt idx="0">
                  <c:v>38.299999999999997</c:v>
                </c:pt>
                <c:pt idx="1">
                  <c:v>38.299999999999997</c:v>
                </c:pt>
              </c:numCache>
            </c:numRef>
          </c:yVal>
        </c:ser>
        <c:ser>
          <c:idx val="25"/>
          <c:order val="6"/>
          <c:spPr>
            <a:ln w="25400">
              <a:pattFill prst="pct75">
                <a:fgClr>
                  <a:srgbClr val="008000"/>
                </a:fgClr>
                <a:bgClr>
                  <a:srgbClr val="FFFFFF"/>
                </a:bgClr>
              </a:pattFill>
              <a:prstDash val="solid"/>
            </a:ln>
          </c:spPr>
          <c:marker>
            <c:symbol val="none"/>
          </c:marker>
          <c:xVal>
            <c:numRef>
              <c:f>'Ind groups contrasts'!$DM$34:$DM$35</c:f>
              <c:numCache>
                <c:formatCode>General</c:formatCode>
                <c:ptCount val="2"/>
                <c:pt idx="0">
                  <c:v>#N/A</c:v>
                </c:pt>
                <c:pt idx="1">
                  <c:v>#N/A</c:v>
                </c:pt>
              </c:numCache>
            </c:numRef>
          </c:xVal>
          <c:yVal>
            <c:numRef>
              <c:f>'Ind groups contrasts'!$DN$34:$DN$35</c:f>
              <c:numCache>
                <c:formatCode>General</c:formatCode>
                <c:ptCount val="2"/>
                <c:pt idx="0">
                  <c:v>#N/A</c:v>
                </c:pt>
                <c:pt idx="1">
                  <c:v>#N/A</c:v>
                </c:pt>
              </c:numCache>
            </c:numRef>
          </c:yVal>
        </c:ser>
        <c:ser>
          <c:idx val="24"/>
          <c:order val="7"/>
          <c:spPr>
            <a:ln w="25400">
              <a:pattFill prst="pct75">
                <a:fgClr>
                  <a:srgbClr val="008000"/>
                </a:fgClr>
                <a:bgClr>
                  <a:srgbClr val="FFFFFF"/>
                </a:bgClr>
              </a:pattFill>
              <a:prstDash val="solid"/>
            </a:ln>
          </c:spPr>
          <c:marker>
            <c:symbol val="none"/>
          </c:marker>
          <c:xVal>
            <c:numRef>
              <c:f>'Ind groups contrasts'!$DM$32:$DM$33</c:f>
              <c:numCache>
                <c:formatCode>General</c:formatCode>
                <c:ptCount val="2"/>
                <c:pt idx="0">
                  <c:v>#N/A</c:v>
                </c:pt>
                <c:pt idx="1">
                  <c:v>#N/A</c:v>
                </c:pt>
              </c:numCache>
            </c:numRef>
          </c:xVal>
          <c:yVal>
            <c:numRef>
              <c:f>'Ind groups contrasts'!$DN$32:$DN$33</c:f>
              <c:numCache>
                <c:formatCode>General</c:formatCode>
                <c:ptCount val="2"/>
                <c:pt idx="0">
                  <c:v>#N/A</c:v>
                </c:pt>
                <c:pt idx="1">
                  <c:v>#N/A</c:v>
                </c:pt>
              </c:numCache>
            </c:numRef>
          </c:yVal>
        </c:ser>
        <c:ser>
          <c:idx val="21"/>
          <c:order val="8"/>
          <c:spPr>
            <a:ln w="25400">
              <a:pattFill prst="pct75">
                <a:fgClr>
                  <a:srgbClr val="008000"/>
                </a:fgClr>
                <a:bgClr>
                  <a:srgbClr val="FFFFFF"/>
                </a:bgClr>
              </a:pattFill>
              <a:prstDash val="solid"/>
            </a:ln>
          </c:spPr>
          <c:marker>
            <c:symbol val="none"/>
          </c:marker>
          <c:xVal>
            <c:numRef>
              <c:f>'Ind groups contrasts'!$DM$26:$DM$27</c:f>
              <c:numCache>
                <c:formatCode>General</c:formatCode>
                <c:ptCount val="2"/>
                <c:pt idx="0">
                  <c:v>#N/A</c:v>
                </c:pt>
                <c:pt idx="1">
                  <c:v>#N/A</c:v>
                </c:pt>
              </c:numCache>
            </c:numRef>
          </c:xVal>
          <c:yVal>
            <c:numRef>
              <c:f>'Ind groups contrasts'!$DN$26:$DN$27</c:f>
              <c:numCache>
                <c:formatCode>General</c:formatCode>
                <c:ptCount val="2"/>
                <c:pt idx="0">
                  <c:v>#N/A</c:v>
                </c:pt>
                <c:pt idx="1">
                  <c:v>#N/A</c:v>
                </c:pt>
              </c:numCache>
            </c:numRef>
          </c:yVal>
        </c:ser>
        <c:ser>
          <c:idx val="19"/>
          <c:order val="9"/>
          <c:spPr>
            <a:ln w="25400">
              <a:pattFill prst="pct75">
                <a:fgClr>
                  <a:srgbClr val="0000FF"/>
                </a:fgClr>
                <a:bgClr>
                  <a:srgbClr val="FFFFFF"/>
                </a:bgClr>
              </a:pattFill>
              <a:prstDash val="solid"/>
            </a:ln>
          </c:spPr>
          <c:marker>
            <c:symbol val="none"/>
          </c:marker>
          <c:xVal>
            <c:numRef>
              <c:f>'Ind groups contrasts'!$DK$40:$DK$41</c:f>
              <c:numCache>
                <c:formatCode>General</c:formatCode>
                <c:ptCount val="2"/>
                <c:pt idx="0">
                  <c:v>6.3</c:v>
                </c:pt>
                <c:pt idx="1">
                  <c:v>6.8</c:v>
                </c:pt>
              </c:numCache>
            </c:numRef>
          </c:xVal>
          <c:yVal>
            <c:numRef>
              <c:f>'Ind groups contrasts'!$DL$40:$DL$41</c:f>
              <c:numCache>
                <c:formatCode>General</c:formatCode>
                <c:ptCount val="2"/>
                <c:pt idx="0">
                  <c:v>35.849999999999994</c:v>
                </c:pt>
                <c:pt idx="1">
                  <c:v>35.849999999999994</c:v>
                </c:pt>
              </c:numCache>
            </c:numRef>
          </c:yVal>
        </c:ser>
        <c:ser>
          <c:idx val="0"/>
          <c:order val="11"/>
          <c:spPr>
            <a:ln w="28575">
              <a:noFill/>
            </a:ln>
          </c:spPr>
          <c:marker>
            <c:symbol val="circle"/>
            <c:size val="9"/>
            <c:spPr>
              <a:solidFill>
                <a:srgbClr val="000000"/>
              </a:solidFill>
              <a:ln>
                <a:solidFill>
                  <a:srgbClr val="000000"/>
                </a:solidFill>
                <a:prstDash val="solid"/>
              </a:ln>
            </c:spPr>
          </c:marker>
          <c:errBars>
            <c:errDir val="y"/>
            <c:errBarType val="both"/>
            <c:errValType val="cust"/>
            <c:noEndCap val="1"/>
            <c:plus>
              <c:numRef>
                <c:f>'Ind groups contrasts'!$DF$13:$DF$18</c:f>
                <c:numCache>
                  <c:formatCode>General</c:formatCode>
                  <c:ptCount val="6"/>
                  <c:pt idx="0">
                    <c:v>5.1748068381822243</c:v>
                  </c:pt>
                  <c:pt idx="1">
                    <c:v>5.1748068381822243</c:v>
                  </c:pt>
                  <c:pt idx="2">
                    <c:v>5.1748068381822243</c:v>
                  </c:pt>
                  <c:pt idx="3">
                    <c:v>5.1748068381822243</c:v>
                  </c:pt>
                  <c:pt idx="4">
                    <c:v>5.1748068381822243</c:v>
                  </c:pt>
                  <c:pt idx="5">
                    <c:v>5.1748068381822243</c:v>
                  </c:pt>
                </c:numCache>
              </c:numRef>
            </c:plus>
            <c:minus>
              <c:numRef>
                <c:f>'Ind groups contrasts'!$DF$13:$DF$18</c:f>
                <c:numCache>
                  <c:formatCode>General</c:formatCode>
                  <c:ptCount val="6"/>
                  <c:pt idx="0">
                    <c:v>5.1748068381822243</c:v>
                  </c:pt>
                  <c:pt idx="1">
                    <c:v>5.1748068381822243</c:v>
                  </c:pt>
                  <c:pt idx="2">
                    <c:v>5.1748068381822243</c:v>
                  </c:pt>
                  <c:pt idx="3">
                    <c:v>5.1748068381822243</c:v>
                  </c:pt>
                  <c:pt idx="4">
                    <c:v>5.1748068381822243</c:v>
                  </c:pt>
                  <c:pt idx="5">
                    <c:v>5.1748068381822243</c:v>
                  </c:pt>
                </c:numCache>
              </c:numRef>
            </c:minus>
            <c:spPr>
              <a:ln w="25400">
                <a:solidFill>
                  <a:srgbClr val="000000"/>
                </a:solidFill>
                <a:prstDash val="solid"/>
              </a:ln>
            </c:spPr>
          </c:errBars>
          <c:xVal>
            <c:numRef>
              <c:f>'Ind groups contrasts'!$DB$13:$DB$18</c:f>
              <c:numCache>
                <c:formatCode>General</c:formatCode>
                <c:ptCount val="6"/>
                <c:pt idx="0">
                  <c:v>1</c:v>
                </c:pt>
                <c:pt idx="1">
                  <c:v>2</c:v>
                </c:pt>
                <c:pt idx="2">
                  <c:v>3</c:v>
                </c:pt>
                <c:pt idx="3">
                  <c:v>4</c:v>
                </c:pt>
                <c:pt idx="4">
                  <c:v>5</c:v>
                </c:pt>
                <c:pt idx="5">
                  <c:v>6</c:v>
                </c:pt>
              </c:numCache>
            </c:numRef>
          </c:xVal>
          <c:yVal>
            <c:numRef>
              <c:f>'Ind groups contrasts'!$DC$13:$DC$18</c:f>
              <c:numCache>
                <c:formatCode>General</c:formatCode>
                <c:ptCount val="6"/>
                <c:pt idx="0">
                  <c:v>#N/A</c:v>
                </c:pt>
                <c:pt idx="1">
                  <c:v>#N/A</c:v>
                </c:pt>
                <c:pt idx="2">
                  <c:v>#N/A</c:v>
                </c:pt>
                <c:pt idx="3">
                  <c:v>#N/A</c:v>
                </c:pt>
                <c:pt idx="4">
                  <c:v>#N/A</c:v>
                </c:pt>
                <c:pt idx="5">
                  <c:v>#N/A</c:v>
                </c:pt>
              </c:numCache>
            </c:numRef>
          </c:yVal>
        </c:ser>
        <c:ser>
          <c:idx val="3"/>
          <c:order val="12"/>
          <c:spPr>
            <a:ln w="28575">
              <a:noFill/>
            </a:ln>
          </c:spPr>
          <c:marker>
            <c:symbol val="circle"/>
            <c:size val="9"/>
            <c:spPr>
              <a:solidFill>
                <a:srgbClr val="C0C0C0"/>
              </a:solidFill>
              <a:ln>
                <a:solidFill>
                  <a:srgbClr val="C0C0C0"/>
                </a:solidFill>
                <a:prstDash val="solid"/>
              </a:ln>
            </c:spPr>
          </c:marker>
          <c:errBars>
            <c:errDir val="y"/>
            <c:errBarType val="both"/>
            <c:errValType val="cust"/>
            <c:noEndCap val="1"/>
            <c:plus>
              <c:numRef>
                <c:f>'Ind groups contrasts'!$DM$13:$DM$18</c:f>
                <c:numCache>
                  <c:formatCode>General</c:formatCode>
                  <c:ptCount val="6"/>
                  <c:pt idx="0">
                    <c:v>#N/A</c:v>
                  </c:pt>
                  <c:pt idx="1">
                    <c:v>5.1748068381822243</c:v>
                  </c:pt>
                  <c:pt idx="2">
                    <c:v>#N/A</c:v>
                  </c:pt>
                  <c:pt idx="3">
                    <c:v>#N/A</c:v>
                  </c:pt>
                  <c:pt idx="4">
                    <c:v>5.1748068381822243</c:v>
                  </c:pt>
                  <c:pt idx="5">
                    <c:v>#N/A</c:v>
                  </c:pt>
                </c:numCache>
              </c:numRef>
            </c:plus>
            <c:minus>
              <c:numRef>
                <c:f>'Ind groups contrasts'!$DM$13:$DM$18</c:f>
                <c:numCache>
                  <c:formatCode>General</c:formatCode>
                  <c:ptCount val="6"/>
                  <c:pt idx="0">
                    <c:v>#N/A</c:v>
                  </c:pt>
                  <c:pt idx="1">
                    <c:v>5.1748068381822243</c:v>
                  </c:pt>
                  <c:pt idx="2">
                    <c:v>#N/A</c:v>
                  </c:pt>
                  <c:pt idx="3">
                    <c:v>#N/A</c:v>
                  </c:pt>
                  <c:pt idx="4">
                    <c:v>5.1748068381822243</c:v>
                  </c:pt>
                  <c:pt idx="5">
                    <c:v>#N/A</c:v>
                  </c:pt>
                </c:numCache>
              </c:numRef>
            </c:minus>
            <c:spPr>
              <a:ln w="25400">
                <a:solidFill>
                  <a:srgbClr val="C0C0C0"/>
                </a:solidFill>
                <a:prstDash val="solid"/>
              </a:ln>
            </c:spPr>
          </c:errBars>
          <c:xVal>
            <c:numRef>
              <c:f>'Ind groups contrasts'!$DK$13:$DK$18</c:f>
              <c:numCache>
                <c:formatCode>General</c:formatCode>
                <c:ptCount val="6"/>
                <c:pt idx="0">
                  <c:v>#N/A</c:v>
                </c:pt>
                <c:pt idx="1">
                  <c:v>2</c:v>
                </c:pt>
                <c:pt idx="2">
                  <c:v>#N/A</c:v>
                </c:pt>
                <c:pt idx="3">
                  <c:v>#N/A</c:v>
                </c:pt>
                <c:pt idx="4">
                  <c:v>5</c:v>
                </c:pt>
                <c:pt idx="5">
                  <c:v>#N/A</c:v>
                </c:pt>
              </c:numCache>
            </c:numRef>
          </c:xVal>
          <c:yVal>
            <c:numRef>
              <c:f>'Ind groups contrasts'!$DL$13:$DL$18</c:f>
              <c:numCache>
                <c:formatCode>General</c:formatCode>
                <c:ptCount val="6"/>
                <c:pt idx="0">
                  <c:v>#N/A</c:v>
                </c:pt>
                <c:pt idx="1">
                  <c:v>31.9</c:v>
                </c:pt>
                <c:pt idx="2">
                  <c:v>#N/A</c:v>
                </c:pt>
                <c:pt idx="3">
                  <c:v>#N/A</c:v>
                </c:pt>
                <c:pt idx="4">
                  <c:v>29.9</c:v>
                </c:pt>
                <c:pt idx="5">
                  <c:v>#N/A</c:v>
                </c:pt>
              </c:numCache>
            </c:numRef>
          </c:yVal>
        </c:ser>
        <c:ser>
          <c:idx val="6"/>
          <c:order val="13"/>
          <c:spPr>
            <a:ln w="28575">
              <a:noFill/>
            </a:ln>
          </c:spPr>
          <c:marker>
            <c:symbol val="none"/>
          </c:marker>
          <c:xVal>
            <c:numRef>
              <c:f>'Ind groups contrasts'!$DC$21:$DC$22</c:f>
              <c:numCache>
                <c:formatCode>General</c:formatCode>
                <c:ptCount val="2"/>
                <c:pt idx="0">
                  <c:v>1</c:v>
                </c:pt>
                <c:pt idx="1">
                  <c:v>1</c:v>
                </c:pt>
              </c:numCache>
            </c:numRef>
          </c:xVal>
          <c:yVal>
            <c:numRef>
              <c:f>'Ind groups contrasts'!$DD$21:$DD$22</c:f>
              <c:numCache>
                <c:formatCode>General</c:formatCode>
                <c:ptCount val="2"/>
                <c:pt idx="0">
                  <c:v>46.374806838182224</c:v>
                </c:pt>
                <c:pt idx="1">
                  <c:v>24.725193161817774</c:v>
                </c:pt>
              </c:numCache>
            </c:numRef>
          </c:yVal>
        </c:ser>
        <c:ser>
          <c:idx val="7"/>
          <c:order val="14"/>
          <c:spPr>
            <a:ln w="12700">
              <a:solidFill>
                <a:srgbClr val="000000"/>
              </a:solidFill>
              <a:prstDash val="solid"/>
            </a:ln>
          </c:spPr>
          <c:marker>
            <c:symbol val="dot"/>
            <c:size val="5"/>
            <c:spPr>
              <a:noFill/>
              <a:ln>
                <a:solidFill>
                  <a:srgbClr val="000000"/>
                </a:solidFill>
                <a:prstDash val="solid"/>
              </a:ln>
            </c:spPr>
          </c:marker>
          <c:dLbls>
            <c:dLbl>
              <c:idx val="0"/>
              <c:tx>
                <c:strRef>
                  <c:f>'Ind groups contrasts'!$DP$17</c:f>
                  <c:strCache>
                    <c:ptCount val="1"/>
                    <c:pt idx="0">
                      <c:v>20</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dLbl>
            <c:dLbl>
              <c:idx val="1"/>
              <c:delete val="1"/>
            </c:dLbl>
            <c:dLbl>
              <c:idx val="2"/>
              <c:tx>
                <c:strRef>
                  <c:f>'Ind groups contrasts'!$DP$19</c:f>
                  <c:strCache>
                    <c:ptCount val="1"/>
                    <c:pt idx="0">
                      <c:v>16</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dLbl>
            <c:dLbl>
              <c:idx val="3"/>
              <c:delete val="1"/>
            </c:dLbl>
            <c:dLbl>
              <c:idx val="4"/>
              <c:tx>
                <c:strRef>
                  <c:f>'Ind groups contrasts'!$DP$21</c:f>
                  <c:strCache>
                    <c:ptCount val="1"/>
                    <c:pt idx="0">
                      <c:v>12</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dLbl>
            <c:dLbl>
              <c:idx val="5"/>
              <c:delete val="1"/>
            </c:dLbl>
            <c:dLbl>
              <c:idx val="6"/>
              <c:tx>
                <c:strRef>
                  <c:f>'Ind groups contrasts'!$DP$23</c:f>
                  <c:strCache>
                    <c:ptCount val="1"/>
                    <c:pt idx="0">
                      <c:v>8</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dLbl>
            <c:dLbl>
              <c:idx val="7"/>
              <c:delete val="1"/>
            </c:dLbl>
            <c:dLbl>
              <c:idx val="8"/>
              <c:tx>
                <c:strRef>
                  <c:f>'Ind groups contrasts'!$DP$25</c:f>
                  <c:strCache>
                    <c:ptCount val="1"/>
                    <c:pt idx="0">
                      <c:v>4</c:v>
                    </c:pt>
                  </c:strCache>
                </c:strRef>
              </c:tx>
            </c:dLbl>
            <c:dLbl>
              <c:idx val="9"/>
              <c:delete val="1"/>
            </c:dLbl>
            <c:dLbl>
              <c:idx val="10"/>
              <c:tx>
                <c:strRef>
                  <c:f>'Ind groups contrasts'!$DP$27</c:f>
                  <c:strCache>
                    <c:ptCount val="1"/>
                    <c:pt idx="0">
                      <c:v>0</c:v>
                    </c:pt>
                  </c:strCache>
                </c:strRef>
              </c:tx>
            </c:dLbl>
            <c:dLbl>
              <c:idx val="11"/>
              <c:delete val="1"/>
            </c:dLbl>
            <c:dLbl>
              <c:idx val="12"/>
              <c:tx>
                <c:strRef>
                  <c:f>'Ind groups contrasts'!$DP$29</c:f>
                  <c:strCache>
                    <c:ptCount val="1"/>
                    <c:pt idx="0">
                      <c:v>-4</c:v>
                    </c:pt>
                  </c:strCache>
                </c:strRef>
              </c:tx>
            </c:dLbl>
            <c:dLbl>
              <c:idx val="13"/>
              <c:delete val="1"/>
            </c:dLbl>
            <c:dLbl>
              <c:idx val="14"/>
              <c:tx>
                <c:strRef>
                  <c:f>'Ind groups contrasts'!$DP$31</c:f>
                  <c:strCache>
                    <c:ptCount val="1"/>
                    <c:pt idx="0">
                      <c:v>-8</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dLbl>
            <c:dLbl>
              <c:idx val="15"/>
              <c:delete val="1"/>
            </c:dLbl>
            <c:dLbl>
              <c:idx val="16"/>
              <c:tx>
                <c:strRef>
                  <c:f>'Ind groups contrasts'!$DP$33</c:f>
                  <c:strCache>
                    <c:ptCount val="1"/>
                    <c:pt idx="0">
                      <c:v>-12</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dLbl>
            <c:dLbl>
              <c:idx val="17"/>
              <c:delete val="1"/>
            </c:dLbl>
            <c:dLbl>
              <c:idx val="18"/>
              <c:tx>
                <c:strRef>
                  <c:f>'Ind groups contrasts'!$DP$35</c:f>
                  <c:strCache>
                    <c:ptCount val="1"/>
                    <c:pt idx="0">
                      <c:v>-16</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dLbl>
            <c:dLbl>
              <c:idx val="19"/>
              <c:delete val="1"/>
            </c:dLbl>
            <c:dLbl>
              <c:idx val="20"/>
              <c:tx>
                <c:strRef>
                  <c:f>'Ind groups contrasts'!$DP$37</c:f>
                  <c:strCache>
                    <c:ptCount val="1"/>
                    <c:pt idx="0">
                      <c:v>-20</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Val val="1"/>
          </c:dLbls>
          <c:xVal>
            <c:numRef>
              <c:f>'Ind groups contrasts'!$DR$17:$DR$37</c:f>
              <c:numCache>
                <c:formatCode>General</c:formatCode>
                <c:ptCount val="21"/>
                <c:pt idx="0">
                  <c:v>8.6999999999999993</c:v>
                </c:pt>
                <c:pt idx="1">
                  <c:v>8.6999999999999993</c:v>
                </c:pt>
                <c:pt idx="2">
                  <c:v>8.6999999999999993</c:v>
                </c:pt>
                <c:pt idx="3">
                  <c:v>8.6999999999999993</c:v>
                </c:pt>
                <c:pt idx="4">
                  <c:v>8.6999999999999993</c:v>
                </c:pt>
                <c:pt idx="5">
                  <c:v>8.6999999999999993</c:v>
                </c:pt>
                <c:pt idx="6">
                  <c:v>8.6999999999999993</c:v>
                </c:pt>
                <c:pt idx="7">
                  <c:v>8.6999999999999993</c:v>
                </c:pt>
                <c:pt idx="8">
                  <c:v>8.6999999999999993</c:v>
                </c:pt>
                <c:pt idx="9">
                  <c:v>8.6999999999999993</c:v>
                </c:pt>
                <c:pt idx="10">
                  <c:v>8.6999999999999993</c:v>
                </c:pt>
                <c:pt idx="11">
                  <c:v>8.6999999999999993</c:v>
                </c:pt>
                <c:pt idx="12">
                  <c:v>8.6999999999999993</c:v>
                </c:pt>
                <c:pt idx="13">
                  <c:v>8.6999999999999993</c:v>
                </c:pt>
                <c:pt idx="14">
                  <c:v>8.6999999999999993</c:v>
                </c:pt>
                <c:pt idx="15">
                  <c:v>8.6999999999999993</c:v>
                </c:pt>
                <c:pt idx="16">
                  <c:v>8.6999999999999993</c:v>
                </c:pt>
                <c:pt idx="17">
                  <c:v>8.6999999999999993</c:v>
                </c:pt>
                <c:pt idx="18">
                  <c:v>8.6999999999999993</c:v>
                </c:pt>
                <c:pt idx="19">
                  <c:v>8.6999999999999993</c:v>
                </c:pt>
                <c:pt idx="20">
                  <c:v>8.6999999999999993</c:v>
                </c:pt>
              </c:numCache>
            </c:numRef>
          </c:xVal>
          <c:yVal>
            <c:numRef>
              <c:f>'Ind groups contrasts'!$DS$17:$DS$37</c:f>
              <c:numCache>
                <c:formatCode>General</c:formatCode>
                <c:ptCount val="21"/>
                <c:pt idx="0">
                  <c:v>#N/A</c:v>
                </c:pt>
                <c:pt idx="1">
                  <c:v>#N/A</c:v>
                </c:pt>
                <c:pt idx="2">
                  <c:v>#N/A</c:v>
                </c:pt>
                <c:pt idx="3">
                  <c:v>#N/A</c:v>
                </c:pt>
                <c:pt idx="4">
                  <c:v>#N/A</c:v>
                </c:pt>
                <c:pt idx="5">
                  <c:v>45.849999999999994</c:v>
                </c:pt>
                <c:pt idx="6">
                  <c:v>43.849999999999994</c:v>
                </c:pt>
                <c:pt idx="7">
                  <c:v>41.849999999999994</c:v>
                </c:pt>
                <c:pt idx="8">
                  <c:v>39.849999999999994</c:v>
                </c:pt>
                <c:pt idx="9">
                  <c:v>37.849999999999994</c:v>
                </c:pt>
                <c:pt idx="10">
                  <c:v>35.849999999999994</c:v>
                </c:pt>
                <c:pt idx="11">
                  <c:v>33.849999999999994</c:v>
                </c:pt>
                <c:pt idx="12">
                  <c:v>31.849999999999994</c:v>
                </c:pt>
                <c:pt idx="13">
                  <c:v>29.849999999999994</c:v>
                </c:pt>
                <c:pt idx="14">
                  <c:v>27.849999999999994</c:v>
                </c:pt>
                <c:pt idx="15">
                  <c:v>25.849999999999994</c:v>
                </c:pt>
                <c:pt idx="16">
                  <c:v>#N/A</c:v>
                </c:pt>
                <c:pt idx="17">
                  <c:v>#N/A</c:v>
                </c:pt>
                <c:pt idx="18">
                  <c:v>#N/A</c:v>
                </c:pt>
                <c:pt idx="19">
                  <c:v>#N/A</c:v>
                </c:pt>
                <c:pt idx="20">
                  <c:v>#N/A</c:v>
                </c:pt>
              </c:numCache>
            </c:numRef>
          </c:yVal>
        </c:ser>
        <c:ser>
          <c:idx val="9"/>
          <c:order val="15"/>
          <c:spPr>
            <a:ln w="28575">
              <a:noFill/>
            </a:ln>
          </c:spPr>
          <c:marker>
            <c:symbol val="triangle"/>
            <c:size val="10"/>
            <c:spPr>
              <a:solidFill>
                <a:srgbClr val="000000"/>
              </a:solidFill>
              <a:ln>
                <a:solidFill>
                  <a:srgbClr val="000000"/>
                </a:solidFill>
                <a:prstDash val="solid"/>
              </a:ln>
            </c:spPr>
          </c:marker>
          <c:errBars>
            <c:errDir val="y"/>
            <c:errBarType val="both"/>
            <c:errValType val="cust"/>
            <c:noEndCap val="1"/>
            <c:plus>
              <c:numRef>
                <c:f>'Ind groups contrasts'!$DM$43</c:f>
                <c:numCache>
                  <c:formatCode>General</c:formatCode>
                  <c:ptCount val="1"/>
                  <c:pt idx="0">
                    <c:v>5.1748068381822252</c:v>
                  </c:pt>
                </c:numCache>
              </c:numRef>
            </c:plus>
            <c:minus>
              <c:numRef>
                <c:f>'Ind groups contrasts'!$DM$43</c:f>
                <c:numCache>
                  <c:formatCode>General</c:formatCode>
                  <c:ptCount val="1"/>
                  <c:pt idx="0">
                    <c:v>5.1748068381822252</c:v>
                  </c:pt>
                </c:numCache>
              </c:numRef>
            </c:minus>
            <c:spPr>
              <a:ln w="25400">
                <a:solidFill>
                  <a:srgbClr val="000000"/>
                </a:solidFill>
                <a:prstDash val="solid"/>
              </a:ln>
            </c:spPr>
          </c:errBars>
          <c:xVal>
            <c:numRef>
              <c:f>'Ind groups contrasts'!$DK$43</c:f>
              <c:numCache>
                <c:formatCode>General</c:formatCode>
                <c:ptCount val="1"/>
                <c:pt idx="0">
                  <c:v>8.3000000000000007</c:v>
                </c:pt>
              </c:numCache>
            </c:numRef>
          </c:xVal>
          <c:yVal>
            <c:numRef>
              <c:f>'Ind groups contrasts'!$DL$43</c:f>
              <c:numCache>
                <c:formatCode>General</c:formatCode>
                <c:ptCount val="1"/>
                <c:pt idx="0">
                  <c:v>39.35</c:v>
                </c:pt>
              </c:numCache>
            </c:numRef>
          </c:yVal>
        </c:ser>
        <c:ser>
          <c:idx val="12"/>
          <c:order val="16"/>
          <c:spPr>
            <a:ln w="28575">
              <a:noFill/>
            </a:ln>
          </c:spPr>
          <c:marker>
            <c:symbol val="none"/>
          </c:marker>
          <c:errBars>
            <c:errDir val="x"/>
            <c:errBarType val="plus"/>
            <c:errValType val="cust"/>
            <c:noEndCap val="1"/>
            <c:plus>
              <c:numRef>
                <c:f>'Ind groups contrasts'!$DH$21</c:f>
                <c:numCache>
                  <c:formatCode>General</c:formatCode>
                  <c:ptCount val="1"/>
                  <c:pt idx="0">
                    <c:v>6</c:v>
                  </c:pt>
                </c:numCache>
              </c:numRef>
            </c:plus>
            <c:spPr>
              <a:ln w="12700">
                <a:solidFill>
                  <a:srgbClr val="000000"/>
                </a:solidFill>
                <a:prstDash val="solid"/>
              </a:ln>
            </c:spPr>
          </c:errBars>
          <c:xVal>
            <c:numRef>
              <c:f>'Ind groups contrasts'!$DF$21</c:f>
              <c:numCache>
                <c:formatCode>General</c:formatCode>
                <c:ptCount val="1"/>
                <c:pt idx="0">
                  <c:v>0.5</c:v>
                </c:pt>
              </c:numCache>
            </c:numRef>
          </c:xVal>
          <c:yVal>
            <c:numRef>
              <c:f>'Ind groups contrasts'!$DG$21</c:f>
              <c:numCache>
                <c:formatCode>General</c:formatCode>
                <c:ptCount val="1"/>
                <c:pt idx="0">
                  <c:v>0</c:v>
                </c:pt>
              </c:numCache>
            </c:numRef>
          </c:yVal>
        </c:ser>
        <c:ser>
          <c:idx val="13"/>
          <c:order val="17"/>
          <c:spPr>
            <a:ln w="28575">
              <a:noFill/>
            </a:ln>
          </c:spPr>
          <c:marker>
            <c:symbol val="square"/>
            <c:size val="9"/>
            <c:spPr>
              <a:solidFill>
                <a:srgbClr val="008000"/>
              </a:solidFill>
              <a:ln>
                <a:solidFill>
                  <a:srgbClr val="008000"/>
                </a:solidFill>
                <a:prstDash val="solid"/>
              </a:ln>
            </c:spPr>
          </c:marker>
          <c:errBars>
            <c:errDir val="y"/>
            <c:errBarType val="both"/>
            <c:errValType val="cust"/>
            <c:noEndCap val="1"/>
            <c:plus>
              <c:numRef>
                <c:f>'Ind groups contrasts'!$DJ$47</c:f>
                <c:numCache>
                  <c:formatCode>General</c:formatCode>
                  <c:ptCount val="1"/>
                  <c:pt idx="0">
                    <c:v>3.6591410066091683</c:v>
                  </c:pt>
                </c:numCache>
              </c:numRef>
            </c:plus>
            <c:minus>
              <c:numRef>
                <c:f>'Ind groups contrasts'!$DJ$47</c:f>
                <c:numCache>
                  <c:formatCode>General</c:formatCode>
                  <c:ptCount val="1"/>
                  <c:pt idx="0">
                    <c:v>3.6591410066091683</c:v>
                  </c:pt>
                </c:numCache>
              </c:numRef>
            </c:minus>
            <c:spPr>
              <a:ln w="25400">
                <a:solidFill>
                  <a:srgbClr val="000000"/>
                </a:solidFill>
                <a:prstDash val="solid"/>
              </a:ln>
            </c:spPr>
          </c:errBars>
          <c:xVal>
            <c:numRef>
              <c:f>'Ind groups contrasts'!$DH$47</c:f>
              <c:numCache>
                <c:formatCode>General</c:formatCode>
                <c:ptCount val="1"/>
                <c:pt idx="0">
                  <c:v>7</c:v>
                </c:pt>
              </c:numCache>
            </c:numRef>
          </c:xVal>
          <c:yVal>
            <c:numRef>
              <c:f>'Ind groups contrasts'!$DI$47</c:f>
              <c:numCache>
                <c:formatCode>General</c:formatCode>
                <c:ptCount val="1"/>
                <c:pt idx="0">
                  <c:v>39.35</c:v>
                </c:pt>
              </c:numCache>
            </c:numRef>
          </c:yVal>
        </c:ser>
        <c:ser>
          <c:idx val="14"/>
          <c:order val="18"/>
          <c:spPr>
            <a:ln w="25400">
              <a:pattFill prst="pct75">
                <a:fgClr>
                  <a:srgbClr val="0000FF"/>
                </a:fgClr>
                <a:bgClr>
                  <a:srgbClr val="FFFFFF"/>
                </a:bgClr>
              </a:pattFill>
              <a:prstDash val="solid"/>
            </a:ln>
          </c:spPr>
          <c:marker>
            <c:symbol val="none"/>
          </c:marker>
          <c:xVal>
            <c:numRef>
              <c:f>'Ind groups contrasts'!$DK$26:$DK$27</c:f>
              <c:numCache>
                <c:formatCode>General</c:formatCode>
                <c:ptCount val="2"/>
                <c:pt idx="0">
                  <c:v>#N/A</c:v>
                </c:pt>
                <c:pt idx="1">
                  <c:v>#N/A</c:v>
                </c:pt>
              </c:numCache>
            </c:numRef>
          </c:xVal>
          <c:yVal>
            <c:numRef>
              <c:f>'Ind groups contrasts'!$DL$26:$DL$27</c:f>
              <c:numCache>
                <c:formatCode>General</c:formatCode>
                <c:ptCount val="2"/>
                <c:pt idx="0">
                  <c:v>#N/A</c:v>
                </c:pt>
                <c:pt idx="1">
                  <c:v>#N/A</c:v>
                </c:pt>
              </c:numCache>
            </c:numRef>
          </c:yVal>
        </c:ser>
        <c:ser>
          <c:idx val="15"/>
          <c:order val="19"/>
          <c:spPr>
            <a:ln w="25400">
              <a:pattFill prst="pct75">
                <a:fgClr>
                  <a:srgbClr val="0000FF"/>
                </a:fgClr>
                <a:bgClr>
                  <a:srgbClr val="FFFFFF"/>
                </a:bgClr>
              </a:pattFill>
              <a:prstDash val="solid"/>
            </a:ln>
          </c:spPr>
          <c:marker>
            <c:symbol val="none"/>
          </c:marker>
          <c:xVal>
            <c:numRef>
              <c:f>'Ind groups contrasts'!$DK$24:$DK$25</c:f>
              <c:numCache>
                <c:formatCode>General</c:formatCode>
                <c:ptCount val="2"/>
                <c:pt idx="0">
                  <c:v>#N/A</c:v>
                </c:pt>
                <c:pt idx="1">
                  <c:v>#N/A</c:v>
                </c:pt>
              </c:numCache>
            </c:numRef>
          </c:xVal>
          <c:yVal>
            <c:numRef>
              <c:f>'Ind groups contrasts'!$DL$24:$DL$25</c:f>
              <c:numCache>
                <c:formatCode>General</c:formatCode>
                <c:ptCount val="2"/>
                <c:pt idx="0">
                  <c:v>#N/A</c:v>
                </c:pt>
                <c:pt idx="1">
                  <c:v>#N/A</c:v>
                </c:pt>
              </c:numCache>
            </c:numRef>
          </c:yVal>
        </c:ser>
        <c:ser>
          <c:idx val="18"/>
          <c:order val="20"/>
          <c:spPr>
            <a:ln w="25400">
              <a:pattFill prst="pct75">
                <a:fgClr>
                  <a:srgbClr val="0000FF"/>
                </a:fgClr>
                <a:bgClr>
                  <a:srgbClr val="FFFFFF"/>
                </a:bgClr>
              </a:pattFill>
              <a:prstDash val="solid"/>
            </a:ln>
          </c:spPr>
          <c:marker>
            <c:symbol val="none"/>
          </c:marker>
          <c:xVal>
            <c:numRef>
              <c:f>'Ind groups contrasts'!$DK$37:$DK$38</c:f>
              <c:numCache>
                <c:formatCode>General</c:formatCode>
                <c:ptCount val="2"/>
                <c:pt idx="0">
                  <c:v>6.3</c:v>
                </c:pt>
                <c:pt idx="1">
                  <c:v>6.3</c:v>
                </c:pt>
              </c:numCache>
            </c:numRef>
          </c:xVal>
          <c:yVal>
            <c:numRef>
              <c:f>'Ind groups contrasts'!$DL$37:$DL$38</c:f>
              <c:numCache>
                <c:formatCode>General</c:formatCode>
                <c:ptCount val="2"/>
                <c:pt idx="0">
                  <c:v>38.299999999999997</c:v>
                </c:pt>
                <c:pt idx="1">
                  <c:v>33.4</c:v>
                </c:pt>
              </c:numCache>
            </c:numRef>
          </c:yVal>
        </c:ser>
        <c:ser>
          <c:idx val="20"/>
          <c:order val="21"/>
          <c:spPr>
            <a:ln w="25400">
              <a:pattFill prst="pct75">
                <a:fgClr>
                  <a:srgbClr val="008000"/>
                </a:fgClr>
                <a:bgClr>
                  <a:srgbClr val="FFFFFF"/>
                </a:bgClr>
              </a:pattFill>
              <a:prstDash val="solid"/>
            </a:ln>
          </c:spPr>
          <c:marker>
            <c:symbol val="none"/>
          </c:marker>
          <c:xVal>
            <c:numRef>
              <c:f>'Ind groups contrasts'!$DM$24:$DM$25</c:f>
              <c:numCache>
                <c:formatCode>General</c:formatCode>
                <c:ptCount val="2"/>
                <c:pt idx="0">
                  <c:v>1</c:v>
                </c:pt>
                <c:pt idx="1">
                  <c:v>6.45</c:v>
                </c:pt>
              </c:numCache>
            </c:numRef>
          </c:xVal>
          <c:yVal>
            <c:numRef>
              <c:f>'Ind groups contrasts'!$DN$24:$DN$25</c:f>
              <c:numCache>
                <c:formatCode>General</c:formatCode>
                <c:ptCount val="2"/>
                <c:pt idx="0">
                  <c:v>37.5</c:v>
                </c:pt>
                <c:pt idx="1">
                  <c:v>37.5</c:v>
                </c:pt>
              </c:numCache>
            </c:numRef>
          </c:yVal>
        </c:ser>
        <c:ser>
          <c:idx val="22"/>
          <c:order val="22"/>
          <c:spPr>
            <a:ln w="25400">
              <a:pattFill prst="pct75">
                <a:fgClr>
                  <a:srgbClr val="008000"/>
                </a:fgClr>
                <a:bgClr>
                  <a:srgbClr val="FFFFFF"/>
                </a:bgClr>
              </a:pattFill>
              <a:prstDash val="solid"/>
            </a:ln>
          </c:spPr>
          <c:marker>
            <c:symbol val="none"/>
          </c:marker>
          <c:xVal>
            <c:numRef>
              <c:f>'Ind groups contrasts'!$DM$28:$DM$29</c:f>
              <c:numCache>
                <c:formatCode>General</c:formatCode>
                <c:ptCount val="2"/>
                <c:pt idx="0">
                  <c:v>3</c:v>
                </c:pt>
                <c:pt idx="1">
                  <c:v>6.45</c:v>
                </c:pt>
              </c:numCache>
            </c:numRef>
          </c:xVal>
          <c:yVal>
            <c:numRef>
              <c:f>'Ind groups contrasts'!$DN$28:$DN$29</c:f>
              <c:numCache>
                <c:formatCode>General</c:formatCode>
                <c:ptCount val="2"/>
                <c:pt idx="0">
                  <c:v>41.2</c:v>
                </c:pt>
                <c:pt idx="1">
                  <c:v>41.2</c:v>
                </c:pt>
              </c:numCache>
            </c:numRef>
          </c:yVal>
        </c:ser>
        <c:ser>
          <c:idx val="23"/>
          <c:order val="23"/>
          <c:spPr>
            <a:ln w="25400">
              <a:pattFill prst="pct75">
                <a:fgClr>
                  <a:srgbClr val="008000"/>
                </a:fgClr>
                <a:bgClr>
                  <a:srgbClr val="FFFFFF"/>
                </a:bgClr>
              </a:pattFill>
              <a:prstDash val="solid"/>
            </a:ln>
          </c:spPr>
          <c:marker>
            <c:symbol val="none"/>
          </c:marker>
          <c:xVal>
            <c:numRef>
              <c:f>'Ind groups contrasts'!$DM$30:$DM$31</c:f>
              <c:numCache>
                <c:formatCode>General</c:formatCode>
                <c:ptCount val="2"/>
                <c:pt idx="0">
                  <c:v>#N/A</c:v>
                </c:pt>
                <c:pt idx="1">
                  <c:v>#N/A</c:v>
                </c:pt>
              </c:numCache>
            </c:numRef>
          </c:xVal>
          <c:yVal>
            <c:numRef>
              <c:f>'Ind groups contrasts'!$DN$30:$DN$31</c:f>
              <c:numCache>
                <c:formatCode>General</c:formatCode>
                <c:ptCount val="2"/>
                <c:pt idx="0">
                  <c:v>#N/A</c:v>
                </c:pt>
                <c:pt idx="1">
                  <c:v>#N/A</c:v>
                </c:pt>
              </c:numCache>
            </c:numRef>
          </c:yVal>
        </c:ser>
        <c:ser>
          <c:idx val="26"/>
          <c:order val="24"/>
          <c:spPr>
            <a:ln w="25400">
              <a:pattFill prst="pct75">
                <a:fgClr>
                  <a:srgbClr val="008000"/>
                </a:fgClr>
                <a:bgClr>
                  <a:srgbClr val="FFFFFF"/>
                </a:bgClr>
              </a:pattFill>
              <a:prstDash val="solid"/>
            </a:ln>
          </c:spPr>
          <c:marker>
            <c:symbol val="none"/>
          </c:marker>
          <c:xVal>
            <c:numRef>
              <c:f>'Ind groups contrasts'!$DM$37:$DM$38</c:f>
              <c:numCache>
                <c:formatCode>General</c:formatCode>
                <c:ptCount val="2"/>
                <c:pt idx="0">
                  <c:v>6.45</c:v>
                </c:pt>
                <c:pt idx="1">
                  <c:v>6.45</c:v>
                </c:pt>
              </c:numCache>
            </c:numRef>
          </c:xVal>
          <c:yVal>
            <c:numRef>
              <c:f>'Ind groups contrasts'!$DN$37:$DN$38</c:f>
              <c:numCache>
                <c:formatCode>General</c:formatCode>
                <c:ptCount val="2"/>
                <c:pt idx="0">
                  <c:v>41.2</c:v>
                </c:pt>
                <c:pt idx="1">
                  <c:v>37.5</c:v>
                </c:pt>
              </c:numCache>
            </c:numRef>
          </c:yVal>
        </c:ser>
        <c:ser>
          <c:idx val="27"/>
          <c:order val="25"/>
          <c:spPr>
            <a:ln w="25400">
              <a:pattFill prst="pct75">
                <a:fgClr>
                  <a:srgbClr val="008000"/>
                </a:fgClr>
                <a:bgClr>
                  <a:srgbClr val="FFFFFF"/>
                </a:bgClr>
              </a:pattFill>
              <a:prstDash val="solid"/>
            </a:ln>
          </c:spPr>
          <c:marker>
            <c:symbol val="none"/>
          </c:marker>
          <c:xVal>
            <c:numRef>
              <c:f>'Ind groups contrasts'!$DM$40:$DM$41</c:f>
              <c:numCache>
                <c:formatCode>General</c:formatCode>
                <c:ptCount val="2"/>
                <c:pt idx="0">
                  <c:v>6.45</c:v>
                </c:pt>
                <c:pt idx="1">
                  <c:v>7</c:v>
                </c:pt>
              </c:numCache>
            </c:numRef>
          </c:xVal>
          <c:yVal>
            <c:numRef>
              <c:f>'Ind groups contrasts'!$DN$40:$DN$41</c:f>
              <c:numCache>
                <c:formatCode>General</c:formatCode>
                <c:ptCount val="2"/>
                <c:pt idx="0">
                  <c:v>39.35</c:v>
                </c:pt>
                <c:pt idx="1">
                  <c:v>39.35</c:v>
                </c:pt>
              </c:numCache>
            </c:numRef>
          </c:yVal>
        </c:ser>
        <c:ser>
          <c:idx val="28"/>
          <c:order val="26"/>
          <c:spPr>
            <a:ln w="28575">
              <a:noFill/>
            </a:ln>
          </c:spPr>
          <c:marker>
            <c:symbol val="square"/>
            <c:size val="9"/>
            <c:spPr>
              <a:solidFill>
                <a:srgbClr val="0000FF"/>
              </a:solidFill>
              <a:ln>
                <a:solidFill>
                  <a:srgbClr val="0000FF"/>
                </a:solidFill>
                <a:prstDash val="solid"/>
              </a:ln>
            </c:spPr>
          </c:marker>
          <c:errBars>
            <c:errDir val="y"/>
            <c:errBarType val="both"/>
            <c:errValType val="cust"/>
            <c:noEndCap val="1"/>
            <c:plus>
              <c:numRef>
                <c:f>'Ind groups contrasts'!$DJ$48</c:f>
                <c:numCache>
                  <c:formatCode>General</c:formatCode>
                  <c:ptCount val="1"/>
                  <c:pt idx="0">
                    <c:v>3.6591410066091683</c:v>
                  </c:pt>
                </c:numCache>
              </c:numRef>
            </c:plus>
            <c:minus>
              <c:numRef>
                <c:f>'Ind groups contrasts'!$DJ$48</c:f>
                <c:numCache>
                  <c:formatCode>General</c:formatCode>
                  <c:ptCount val="1"/>
                  <c:pt idx="0">
                    <c:v>3.6591410066091683</c:v>
                  </c:pt>
                </c:numCache>
              </c:numRef>
            </c:minus>
            <c:spPr>
              <a:ln w="25400">
                <a:solidFill>
                  <a:srgbClr val="000000"/>
                </a:solidFill>
                <a:prstDash val="solid"/>
              </a:ln>
            </c:spPr>
          </c:errBars>
          <c:xVal>
            <c:numRef>
              <c:f>'Ind groups contrasts'!$DH$48</c:f>
              <c:numCache>
                <c:formatCode>General</c:formatCode>
                <c:ptCount val="1"/>
                <c:pt idx="0">
                  <c:v>6.8</c:v>
                </c:pt>
              </c:numCache>
            </c:numRef>
          </c:xVal>
          <c:yVal>
            <c:numRef>
              <c:f>'Ind groups contrasts'!$DI$48</c:f>
              <c:numCache>
                <c:formatCode>General</c:formatCode>
                <c:ptCount val="1"/>
                <c:pt idx="0">
                  <c:v>35.849999999999994</c:v>
                </c:pt>
              </c:numCache>
            </c:numRef>
          </c:yVal>
        </c:ser>
        <c:ser>
          <c:idx val="1"/>
          <c:order val="27"/>
          <c:spPr>
            <a:ln w="28575">
              <a:noFill/>
            </a:ln>
          </c:spPr>
          <c:marker>
            <c:symbol val="circle"/>
            <c:size val="9"/>
            <c:spPr>
              <a:solidFill>
                <a:srgbClr val="0000FF"/>
              </a:solidFill>
              <a:ln>
                <a:solidFill>
                  <a:srgbClr val="0000FF"/>
                </a:solidFill>
                <a:prstDash val="solid"/>
              </a:ln>
            </c:spPr>
          </c:marker>
          <c:errBars>
            <c:errDir val="y"/>
            <c:errBarType val="both"/>
            <c:errValType val="cust"/>
            <c:noEndCap val="1"/>
            <c:plus>
              <c:numRef>
                <c:f>'Ind groups contrasts'!$DF$13:$DF$18</c:f>
                <c:numCache>
                  <c:formatCode>General</c:formatCode>
                  <c:ptCount val="6"/>
                  <c:pt idx="0">
                    <c:v>5.1748068381822243</c:v>
                  </c:pt>
                  <c:pt idx="1">
                    <c:v>5.1748068381822243</c:v>
                  </c:pt>
                  <c:pt idx="2">
                    <c:v>5.1748068381822243</c:v>
                  </c:pt>
                  <c:pt idx="3">
                    <c:v>5.1748068381822243</c:v>
                  </c:pt>
                  <c:pt idx="4">
                    <c:v>5.1748068381822243</c:v>
                  </c:pt>
                  <c:pt idx="5">
                    <c:v>5.1748068381822243</c:v>
                  </c:pt>
                </c:numCache>
              </c:numRef>
            </c:plus>
            <c:minus>
              <c:numRef>
                <c:f>'Ind groups contrasts'!$DF$13:$DF$18</c:f>
                <c:numCache>
                  <c:formatCode>General</c:formatCode>
                  <c:ptCount val="6"/>
                  <c:pt idx="0">
                    <c:v>5.1748068381822243</c:v>
                  </c:pt>
                  <c:pt idx="1">
                    <c:v>5.1748068381822243</c:v>
                  </c:pt>
                  <c:pt idx="2">
                    <c:v>5.1748068381822243</c:v>
                  </c:pt>
                  <c:pt idx="3">
                    <c:v>5.1748068381822243</c:v>
                  </c:pt>
                  <c:pt idx="4">
                    <c:v>5.1748068381822243</c:v>
                  </c:pt>
                  <c:pt idx="5">
                    <c:v>5.1748068381822243</c:v>
                  </c:pt>
                </c:numCache>
              </c:numRef>
            </c:minus>
            <c:spPr>
              <a:ln w="25400">
                <a:solidFill>
                  <a:srgbClr val="C0C0C0"/>
                </a:solidFill>
                <a:prstDash val="solid"/>
              </a:ln>
            </c:spPr>
          </c:errBars>
          <c:xVal>
            <c:numRef>
              <c:f>'Ind groups contrasts'!$DD$13:$DD$18</c:f>
              <c:numCache>
                <c:formatCode>General</c:formatCode>
                <c:ptCount val="6"/>
                <c:pt idx="0">
                  <c:v>1</c:v>
                </c:pt>
                <c:pt idx="1">
                  <c:v>2</c:v>
                </c:pt>
                <c:pt idx="2">
                  <c:v>3</c:v>
                </c:pt>
                <c:pt idx="3">
                  <c:v>4</c:v>
                </c:pt>
                <c:pt idx="4">
                  <c:v>5</c:v>
                </c:pt>
                <c:pt idx="5">
                  <c:v>6</c:v>
                </c:pt>
              </c:numCache>
            </c:numRef>
          </c:xVal>
          <c:yVal>
            <c:numRef>
              <c:f>'Ind groups contrasts'!$DG$13:$DG$18</c:f>
              <c:numCache>
                <c:formatCode>General</c:formatCode>
                <c:ptCount val="6"/>
                <c:pt idx="0">
                  <c:v>#N/A</c:v>
                </c:pt>
                <c:pt idx="1">
                  <c:v>#N/A</c:v>
                </c:pt>
                <c:pt idx="2">
                  <c:v>#N/A</c:v>
                </c:pt>
                <c:pt idx="3">
                  <c:v>33.4</c:v>
                </c:pt>
                <c:pt idx="4">
                  <c:v>#N/A</c:v>
                </c:pt>
                <c:pt idx="5">
                  <c:v>38.299999999999997</c:v>
                </c:pt>
              </c:numCache>
            </c:numRef>
          </c:yVal>
        </c:ser>
        <c:ser>
          <c:idx val="2"/>
          <c:order val="28"/>
          <c:spPr>
            <a:ln w="28575">
              <a:noFill/>
            </a:ln>
          </c:spPr>
          <c:marker>
            <c:symbol val="circle"/>
            <c:size val="9"/>
            <c:spPr>
              <a:solidFill>
                <a:srgbClr val="008000"/>
              </a:solidFill>
              <a:ln>
                <a:solidFill>
                  <a:srgbClr val="008000"/>
                </a:solidFill>
                <a:prstDash val="solid"/>
              </a:ln>
            </c:spPr>
          </c:marker>
          <c:errBars>
            <c:errDir val="y"/>
            <c:errBarType val="both"/>
            <c:errValType val="cust"/>
            <c:noEndCap val="1"/>
            <c:plus>
              <c:numRef>
                <c:f>'Ind groups contrasts'!$DF$13:$DF$18</c:f>
                <c:numCache>
                  <c:formatCode>General</c:formatCode>
                  <c:ptCount val="6"/>
                  <c:pt idx="0">
                    <c:v>5.1748068381822243</c:v>
                  </c:pt>
                  <c:pt idx="1">
                    <c:v>5.1748068381822243</c:v>
                  </c:pt>
                  <c:pt idx="2">
                    <c:v>5.1748068381822243</c:v>
                  </c:pt>
                  <c:pt idx="3">
                    <c:v>5.1748068381822243</c:v>
                  </c:pt>
                  <c:pt idx="4">
                    <c:v>5.1748068381822243</c:v>
                  </c:pt>
                  <c:pt idx="5">
                    <c:v>5.1748068381822243</c:v>
                  </c:pt>
                </c:numCache>
              </c:numRef>
            </c:plus>
            <c:minus>
              <c:numRef>
                <c:f>'Ind groups contrasts'!$DF$13:$DF$18</c:f>
                <c:numCache>
                  <c:formatCode>General</c:formatCode>
                  <c:ptCount val="6"/>
                  <c:pt idx="0">
                    <c:v>5.1748068381822243</c:v>
                  </c:pt>
                  <c:pt idx="1">
                    <c:v>5.1748068381822243</c:v>
                  </c:pt>
                  <c:pt idx="2">
                    <c:v>5.1748068381822243</c:v>
                  </c:pt>
                  <c:pt idx="3">
                    <c:v>5.1748068381822243</c:v>
                  </c:pt>
                  <c:pt idx="4">
                    <c:v>5.1748068381822243</c:v>
                  </c:pt>
                  <c:pt idx="5">
                    <c:v>5.1748068381822243</c:v>
                  </c:pt>
                </c:numCache>
              </c:numRef>
            </c:minus>
            <c:spPr>
              <a:ln w="25400">
                <a:solidFill>
                  <a:srgbClr val="C0C0C0"/>
                </a:solidFill>
                <a:prstDash val="solid"/>
              </a:ln>
            </c:spPr>
          </c:errBars>
          <c:xVal>
            <c:numRef>
              <c:f>'Ind groups contrasts'!$DD$13:$DD$18</c:f>
              <c:numCache>
                <c:formatCode>General</c:formatCode>
                <c:ptCount val="6"/>
                <c:pt idx="0">
                  <c:v>1</c:v>
                </c:pt>
                <c:pt idx="1">
                  <c:v>2</c:v>
                </c:pt>
                <c:pt idx="2">
                  <c:v>3</c:v>
                </c:pt>
                <c:pt idx="3">
                  <c:v>4</c:v>
                </c:pt>
                <c:pt idx="4">
                  <c:v>5</c:v>
                </c:pt>
                <c:pt idx="5">
                  <c:v>6</c:v>
                </c:pt>
              </c:numCache>
            </c:numRef>
          </c:xVal>
          <c:yVal>
            <c:numRef>
              <c:f>'Ind groups contrasts'!$DH$13:$DH$18</c:f>
              <c:numCache>
                <c:formatCode>General</c:formatCode>
                <c:ptCount val="6"/>
                <c:pt idx="0">
                  <c:v>37.5</c:v>
                </c:pt>
                <c:pt idx="1">
                  <c:v>#N/A</c:v>
                </c:pt>
                <c:pt idx="2">
                  <c:v>41.2</c:v>
                </c:pt>
                <c:pt idx="3">
                  <c:v>#N/A</c:v>
                </c:pt>
                <c:pt idx="4">
                  <c:v>#N/A</c:v>
                </c:pt>
                <c:pt idx="5">
                  <c:v>#N/A</c:v>
                </c:pt>
              </c:numCache>
            </c:numRef>
          </c:yVal>
        </c:ser>
        <c:axId val="170982784"/>
        <c:axId val="171328640"/>
      </c:scatterChart>
      <c:catAx>
        <c:axId val="170982784"/>
        <c:scaling>
          <c:orientation val="minMax"/>
        </c:scaling>
        <c:axPos val="b"/>
        <c:majorTickMark val="none"/>
        <c:tickLblPos val="none"/>
        <c:spPr>
          <a:ln w="9525">
            <a:noFill/>
          </a:ln>
        </c:spPr>
        <c:crossAx val="171328640"/>
        <c:crosses val="autoZero"/>
        <c:auto val="1"/>
        <c:lblAlgn val="ctr"/>
        <c:lblOffset val="100"/>
        <c:tickMarkSkip val="1"/>
      </c:catAx>
      <c:valAx>
        <c:axId val="171328640"/>
        <c:scaling>
          <c:orientation val="minMax"/>
        </c:scaling>
        <c:axPos val="l"/>
        <c:title>
          <c:tx>
            <c:strRef>
              <c:f>'Ind groups contrasts'!$CZ$22</c:f>
              <c:strCache>
                <c:ptCount val="1"/>
                <c:pt idx="0">
                  <c:v>% time near target</c:v>
                </c:pt>
              </c:strCache>
            </c:strRef>
          </c:tx>
          <c:layout>
            <c:manualLayout>
              <c:xMode val="edge"/>
              <c:yMode val="edge"/>
              <c:x val="6.5274193044601329E-3"/>
              <c:y val="0.33027522935779852"/>
            </c:manualLayout>
          </c:layout>
          <c:spPr>
            <a:noFill/>
            <a:ln w="25400">
              <a:noFill/>
            </a:ln>
          </c:spPr>
          <c:txPr>
            <a:bodyPr/>
            <a:lstStyle/>
            <a:p>
              <a:pPr algn="ctr" rtl="0">
                <a:defRPr sz="1200" b="0" i="0" u="none" strike="noStrike" baseline="0">
                  <a:solidFill>
                    <a:srgbClr val="000000"/>
                  </a:solidFill>
                  <a:latin typeface="Arial"/>
                  <a:ea typeface="Arial"/>
                  <a:cs typeface="Arial"/>
                </a:defRPr>
              </a:pPr>
              <a:endParaRPr lang="en-US"/>
            </a:p>
          </c:txPr>
        </c:title>
        <c:numFmt formatCode="General" sourceLinked="1"/>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70982784"/>
        <c:crosses val="autoZero"/>
        <c:crossBetween val="between"/>
      </c:valAx>
      <c:spPr>
        <a:noFill/>
        <a:ln w="25400">
          <a:noFill/>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paperSize="9" orientation="landscape" horizontalDpi="-3" verticalDpi="-3"/>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4.024770843994023E-2"/>
          <c:y val="2.777785313002696E-2"/>
          <c:w val="0.93498522683553464"/>
          <c:h val="0.87778015890885164"/>
        </c:manualLayout>
      </c:layout>
      <c:scatterChart>
        <c:scatterStyle val="lineMarker"/>
        <c:ser>
          <c:idx val="7"/>
          <c:order val="0"/>
          <c:spPr>
            <a:ln w="28575">
              <a:noFill/>
            </a:ln>
          </c:spPr>
          <c:marker>
            <c:symbol val="none"/>
          </c:marker>
          <c:errBars>
            <c:errDir val="y"/>
            <c:errBarType val="minus"/>
            <c:errValType val="cust"/>
            <c:noEndCap val="1"/>
            <c:minus>
              <c:numLit>
                <c:formatCode>General</c:formatCode>
                <c:ptCount val="1"/>
                <c:pt idx="0">
                  <c:v>24.5</c:v>
                </c:pt>
              </c:numLit>
            </c:minus>
            <c:spPr>
              <a:ln w="12700">
                <a:pattFill prst="pct50">
                  <a:fgClr>
                    <a:srgbClr val="008000"/>
                  </a:fgClr>
                  <a:bgClr>
                    <a:srgbClr val="FFFFFF"/>
                  </a:bgClr>
                </a:pattFill>
                <a:prstDash val="solid"/>
              </a:ln>
            </c:spPr>
          </c:errBars>
          <c:xVal>
            <c:numRef>
              <c:f>'Ind groups 2 x 2'!$FL$41:$FL$51</c:f>
              <c:numCache>
                <c:formatCode>General</c:formatCode>
                <c:ptCount val="11"/>
              </c:numCache>
            </c:numRef>
          </c:xVal>
          <c:yVal>
            <c:numRef>
              <c:f>'Ind groups 2 x 2'!$FM$41:$FM$51</c:f>
              <c:numCache>
                <c:formatCode>General</c:formatCode>
                <c:ptCount val="11"/>
              </c:numCache>
            </c:numRef>
          </c:yVal>
        </c:ser>
        <c:ser>
          <c:idx val="2"/>
          <c:order val="1"/>
          <c:spPr>
            <a:ln w="28575">
              <a:noFill/>
            </a:ln>
          </c:spPr>
          <c:marker>
            <c:symbol val="circle"/>
            <c:size val="6"/>
            <c:spPr>
              <a:noFill/>
              <a:ln>
                <a:solidFill>
                  <a:srgbClr val="0000FF"/>
                </a:solidFill>
                <a:prstDash val="solid"/>
              </a:ln>
            </c:spPr>
          </c:marker>
          <c:xVal>
            <c:numRef>
              <c:f>'Ind groups 2 x 2'!$FQ$12:$FQ$112</c:f>
              <c:numCache>
                <c:formatCode>General</c:formatCode>
                <c:ptCount val="101"/>
              </c:numCache>
            </c:numRef>
          </c:xVal>
          <c:yVal>
            <c:numRef>
              <c:f>'Ind groups 2 x 2'!$FR$12:$FR$112</c:f>
              <c:numCache>
                <c:formatCode>General</c:formatCode>
                <c:ptCount val="101"/>
              </c:numCache>
            </c:numRef>
          </c:yVal>
        </c:ser>
        <c:ser>
          <c:idx val="0"/>
          <c:order val="2"/>
          <c:spPr>
            <a:ln w="28575">
              <a:noFill/>
            </a:ln>
          </c:spPr>
          <c:marker>
            <c:symbol val="circle"/>
            <c:size val="6"/>
            <c:spPr>
              <a:solidFill>
                <a:srgbClr val="00FF00"/>
              </a:solidFill>
              <a:ln>
                <a:solidFill>
                  <a:srgbClr val="000000"/>
                </a:solidFill>
                <a:prstDash val="solid"/>
              </a:ln>
            </c:spPr>
          </c:marker>
          <c:xVal>
            <c:numRef>
              <c:f>'Ind groups 2 x 2'!$FM$87:$FM$386</c:f>
              <c:numCache>
                <c:formatCode>General</c:formatCode>
                <c:ptCount val="300"/>
              </c:numCache>
            </c:numRef>
          </c:xVal>
          <c:yVal>
            <c:numRef>
              <c:f>'Ind groups 2 x 2'!$FN$116:$FN$415</c:f>
              <c:numCache>
                <c:formatCode>General</c:formatCode>
                <c:ptCount val="300"/>
              </c:numCache>
            </c:numRef>
          </c:yVal>
        </c:ser>
        <c:ser>
          <c:idx val="3"/>
          <c:order val="3"/>
          <c:spPr>
            <a:ln w="28575">
              <a:noFill/>
            </a:ln>
          </c:spPr>
          <c:marker>
            <c:symbol val="circle"/>
            <c:size val="6"/>
            <c:spPr>
              <a:solidFill>
                <a:srgbClr val="008000"/>
              </a:solidFill>
              <a:ln>
                <a:solidFill>
                  <a:srgbClr val="000000"/>
                </a:solidFill>
                <a:prstDash val="solid"/>
              </a:ln>
            </c:spPr>
          </c:marker>
          <c:xVal>
            <c:numRef>
              <c:f>'Ind groups 2 x 2'!$FM$85</c:f>
              <c:numCache>
                <c:formatCode>General</c:formatCode>
                <c:ptCount val="1"/>
              </c:numCache>
            </c:numRef>
          </c:xVal>
          <c:yVal>
            <c:numRef>
              <c:f>'Ind groups 2 x 2'!$FN$114</c:f>
              <c:numCache>
                <c:formatCode>General</c:formatCode>
                <c:ptCount val="1"/>
              </c:numCache>
            </c:numRef>
          </c:yVal>
        </c:ser>
        <c:ser>
          <c:idx val="5"/>
          <c:order val="4"/>
          <c:spPr>
            <a:ln w="25400">
              <a:solidFill>
                <a:srgbClr val="008000"/>
              </a:solidFill>
              <a:prstDash val="solid"/>
            </a:ln>
          </c:spPr>
          <c:marker>
            <c:symbol val="none"/>
          </c:marker>
          <c:xVal>
            <c:numRef>
              <c:f>'Ind groups 2 x 2'!$FG$25:$FG$225</c:f>
              <c:numCache>
                <c:formatCode>General</c:formatCode>
                <c:ptCount val="201"/>
              </c:numCache>
            </c:numRef>
          </c:xVal>
          <c:yVal>
            <c:numRef>
              <c:f>'Ind groups 2 x 2'!$FJ$24:$FJ$224</c:f>
              <c:numCache>
                <c:formatCode>General</c:formatCode>
                <c:ptCount val="201"/>
              </c:numCache>
            </c:numRef>
          </c:yVal>
        </c:ser>
        <c:ser>
          <c:idx val="6"/>
          <c:order val="5"/>
          <c:spPr>
            <a:ln w="28575">
              <a:noFill/>
            </a:ln>
          </c:spPr>
          <c:marker>
            <c:symbol val="none"/>
          </c:marker>
          <c:errBars>
            <c:errDir val="y"/>
            <c:errBarType val="minus"/>
            <c:errValType val="cust"/>
            <c:noEndCap val="1"/>
            <c:minus>
              <c:numLit>
                <c:formatCode>General</c:formatCode>
                <c:ptCount val="1"/>
                <c:pt idx="0">
                  <c:v>25</c:v>
                </c:pt>
              </c:numLit>
            </c:minus>
            <c:spPr>
              <a:ln w="12700">
                <a:solidFill>
                  <a:srgbClr val="008000"/>
                </a:solidFill>
                <a:prstDash val="solid"/>
              </a:ln>
            </c:spPr>
          </c:errBars>
          <c:xVal>
            <c:numRef>
              <c:f>'Ind groups 2 x 2'!#REF!</c:f>
              <c:numCache>
                <c:formatCode>General</c:formatCode>
                <c:ptCount val="1"/>
                <c:pt idx="0">
                  <c:v>1</c:v>
                </c:pt>
              </c:numCache>
            </c:numRef>
          </c:xVal>
          <c:yVal>
            <c:numRef>
              <c:f>'Ind groups 2 x 2'!$EV$19:$EV$20</c:f>
              <c:numCache>
                <c:formatCode>General</c:formatCode>
                <c:ptCount val="2"/>
              </c:numCache>
            </c:numRef>
          </c:yVal>
        </c:ser>
        <c:ser>
          <c:idx val="8"/>
          <c:order val="6"/>
          <c:spPr>
            <a:ln w="28575">
              <a:noFill/>
            </a:ln>
          </c:spPr>
          <c:marker>
            <c:symbol val="none"/>
          </c:marker>
          <c:errBars>
            <c:errDir val="x"/>
            <c:errBarType val="both"/>
            <c:errValType val="cust"/>
            <c:noEndCap val="1"/>
            <c:plus>
              <c:numRef>
                <c:f>'Ind groups 2 x 2'!#REF!</c:f>
                <c:numCache>
                  <c:formatCode>General</c:formatCode>
                  <c:ptCount val="1"/>
                  <c:pt idx="0">
                    <c:v>2</c:v>
                  </c:pt>
                </c:numCache>
              </c:numRef>
            </c:plus>
            <c:minus>
              <c:numRef>
                <c:f>'Ind groups 2 x 2'!#REF!</c:f>
                <c:numCache>
                  <c:formatCode>General</c:formatCode>
                  <c:ptCount val="1"/>
                  <c:pt idx="0">
                    <c:v>0</c:v>
                  </c:pt>
                </c:numCache>
              </c:numRef>
            </c:minus>
            <c:spPr>
              <a:ln w="38100">
                <a:pattFill prst="pct75">
                  <a:fgClr>
                    <a:srgbClr val="008000"/>
                  </a:fgClr>
                  <a:bgClr>
                    <a:srgbClr val="FFFFFF"/>
                  </a:bgClr>
                </a:pattFill>
                <a:prstDash val="solid"/>
              </a:ln>
            </c:spPr>
          </c:errBars>
          <c:xVal>
            <c:numRef>
              <c:f>'Ind groups 2 x 2'!#REF!</c:f>
              <c:numCache>
                <c:formatCode>General</c:formatCode>
                <c:ptCount val="1"/>
                <c:pt idx="0">
                  <c:v>1</c:v>
                </c:pt>
              </c:numCache>
            </c:numRef>
          </c:xVal>
          <c:yVal>
            <c:numRef>
              <c:f>'Ind groups 2 x 2'!#REF!</c:f>
              <c:numCache>
                <c:formatCode>General</c:formatCode>
                <c:ptCount val="1"/>
                <c:pt idx="0">
                  <c:v>1</c:v>
                </c:pt>
              </c:numCache>
            </c:numRef>
          </c:yVal>
        </c:ser>
        <c:ser>
          <c:idx val="4"/>
          <c:order val="7"/>
          <c:spPr>
            <a:ln w="28575">
              <a:noFill/>
            </a:ln>
          </c:spPr>
          <c:marker>
            <c:symbol val="plus"/>
            <c:size val="12"/>
            <c:spPr>
              <a:noFill/>
              <a:ln>
                <a:solidFill>
                  <a:srgbClr val="000000"/>
                </a:solidFill>
                <a:prstDash val="solid"/>
              </a:ln>
            </c:spPr>
          </c:marker>
          <c:xVal>
            <c:numRef>
              <c:f>'Ind groups 2 x 2'!#REF!</c:f>
              <c:numCache>
                <c:formatCode>General</c:formatCode>
                <c:ptCount val="1"/>
                <c:pt idx="0">
                  <c:v>1</c:v>
                </c:pt>
              </c:numCache>
            </c:numRef>
          </c:xVal>
          <c:yVal>
            <c:numRef>
              <c:f>'Ind groups 2 x 2'!#REF!</c:f>
              <c:numCache>
                <c:formatCode>General</c:formatCode>
                <c:ptCount val="1"/>
                <c:pt idx="0">
                  <c:v>1</c:v>
                </c:pt>
              </c:numCache>
            </c:numRef>
          </c:yVal>
        </c:ser>
        <c:ser>
          <c:idx val="1"/>
          <c:order val="8"/>
          <c:spPr>
            <a:ln w="28575">
              <a:noFill/>
            </a:ln>
          </c:spPr>
          <c:marker>
            <c:symbol val="none"/>
          </c:marker>
          <c:dLbls>
            <c:dLbl>
              <c:idx val="0"/>
              <c:layout>
                <c:manualLayout>
                  <c:x val="-1.7589659412298061E-2"/>
                  <c:y val="1.0637616673751394E-2"/>
                </c:manualLayout>
              </c:layout>
              <c:tx>
                <c:rich>
                  <a:bodyPr/>
                  <a:lstStyle/>
                  <a:p>
                    <a:pPr>
                      <a:defRPr sz="1100" b="0" i="0" u="none" strike="noStrike" baseline="0">
                        <a:solidFill>
                          <a:srgbClr val="000000"/>
                        </a:solidFill>
                        <a:latin typeface="Symbol"/>
                        <a:ea typeface="Symbol"/>
                        <a:cs typeface="Symbol"/>
                      </a:defRPr>
                    </a:pPr>
                    <a:r>
                      <a:t>m</a:t>
                    </a:r>
                  </a:p>
                </c:rich>
              </c:tx>
              <c:spPr>
                <a:noFill/>
                <a:ln w="25400">
                  <a:noFill/>
                </a:ln>
              </c:spPr>
              <c:dLblPos val="r"/>
            </c:dLbl>
            <c:spPr>
              <a:noFill/>
              <a:ln w="25400">
                <a:noFill/>
              </a:ln>
            </c:spPr>
            <c:txPr>
              <a:bodyPr/>
              <a:lstStyle/>
              <a:p>
                <a:pPr>
                  <a:defRPr sz="925" b="0" i="0" u="none" strike="noStrike" baseline="0">
                    <a:solidFill>
                      <a:srgbClr val="000000"/>
                    </a:solidFill>
                    <a:latin typeface="Arial"/>
                    <a:ea typeface="Arial"/>
                    <a:cs typeface="Arial"/>
                  </a:defRPr>
                </a:pPr>
                <a:endParaRPr lang="en-US"/>
              </a:p>
            </c:txPr>
            <c:showVal val="1"/>
          </c:dLbls>
          <c:errBars>
            <c:errDir val="y"/>
            <c:errBarType val="minus"/>
            <c:errValType val="cust"/>
            <c:noEndCap val="1"/>
            <c:minus>
              <c:numRef>
                <c:f>'Ind groups 2 x 2'!#REF!</c:f>
                <c:numCache>
                  <c:formatCode>General</c:formatCode>
                  <c:ptCount val="1"/>
                  <c:pt idx="0">
                    <c:v>0</c:v>
                  </c:pt>
                </c:numCache>
              </c:numRef>
            </c:minus>
            <c:spPr>
              <a:ln w="12700">
                <a:solidFill>
                  <a:srgbClr val="000000"/>
                </a:solidFill>
                <a:prstDash val="solid"/>
              </a:ln>
            </c:spPr>
          </c:errBars>
          <c:xVal>
            <c:numRef>
              <c:f>'Ind groups 2 x 2'!#REF!</c:f>
              <c:numCache>
                <c:formatCode>General</c:formatCode>
                <c:ptCount val="1"/>
                <c:pt idx="0">
                  <c:v>1</c:v>
                </c:pt>
              </c:numCache>
            </c:numRef>
          </c:xVal>
          <c:yVal>
            <c:numRef>
              <c:f>'Ind groups 2 x 2'!#REF!</c:f>
              <c:numCache>
                <c:formatCode>General</c:formatCode>
                <c:ptCount val="1"/>
                <c:pt idx="0">
                  <c:v>1</c:v>
                </c:pt>
              </c:numCache>
            </c:numRef>
          </c:yVal>
        </c:ser>
        <c:axId val="179539328"/>
        <c:axId val="179545216"/>
      </c:scatterChart>
      <c:valAx>
        <c:axId val="179539328"/>
        <c:scaling>
          <c:orientation val="minMax"/>
          <c:max val="100"/>
          <c:min val="0"/>
        </c:scaling>
        <c:axPos val="t"/>
        <c:numFmt formatCode="General" sourceLinked="1"/>
        <c:majorTickMark val="in"/>
        <c:minorTickMark val="in"/>
        <c:tickLblPos val="high"/>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79545216"/>
        <c:crossesAt val="26"/>
        <c:crossBetween val="midCat"/>
        <c:majorUnit val="10"/>
        <c:minorUnit val="2"/>
      </c:valAx>
      <c:valAx>
        <c:axId val="179545216"/>
        <c:scaling>
          <c:orientation val="maxMin"/>
          <c:max val="26"/>
          <c:min val="0"/>
        </c:scaling>
        <c:axPos val="l"/>
        <c:title>
          <c:tx>
            <c:rich>
              <a:bodyPr/>
              <a:lstStyle/>
              <a:p>
                <a:pPr>
                  <a:defRPr sz="925" b="0" i="0" u="none" strike="noStrike" baseline="0">
                    <a:solidFill>
                      <a:srgbClr val="000000"/>
                    </a:solidFill>
                    <a:latin typeface="Arial"/>
                    <a:ea typeface="Arial"/>
                    <a:cs typeface="Arial"/>
                  </a:defRPr>
                </a:pPr>
                <a:r>
                  <a:t>Dot histogram of means</a:t>
                </a:r>
              </a:p>
            </c:rich>
          </c:tx>
          <c:layout>
            <c:manualLayout>
              <c:xMode val="edge"/>
              <c:yMode val="edge"/>
              <c:x val="7.7399380804953647E-3"/>
              <c:y val="0.27777865266841645"/>
            </c:manualLayout>
          </c:layout>
          <c:spPr>
            <a:noFill/>
            <a:ln w="25400">
              <a:noFill/>
            </a:ln>
          </c:spPr>
        </c:title>
        <c:numFmt formatCode="General" sourceLinked="1"/>
        <c:majorTickMark val="none"/>
        <c:tickLblPos val="none"/>
        <c:spPr>
          <a:ln w="3175">
            <a:solidFill>
              <a:srgbClr val="000000"/>
            </a:solidFill>
            <a:prstDash val="solid"/>
          </a:ln>
        </c:spPr>
        <c:crossAx val="179539328"/>
        <c:crossesAt val="0"/>
        <c:crossBetween val="midCat"/>
        <c:majorUnit val="1"/>
        <c:minorUnit val="1"/>
      </c:valAx>
      <c:spPr>
        <a:noFill/>
        <a:ln w="25400">
          <a:noFill/>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8.5271425417153005E-2"/>
          <c:y val="4.9319809802511556E-2"/>
          <c:w val="0.9082698798220985"/>
          <c:h val="0.7874162737435455"/>
        </c:manualLayout>
      </c:layout>
      <c:lineChart>
        <c:grouping val="standard"/>
        <c:ser>
          <c:idx val="4"/>
          <c:order val="10"/>
          <c:spPr>
            <a:ln w="28575">
              <a:noFill/>
            </a:ln>
          </c:spPr>
          <c:marker>
            <c:symbol val="none"/>
          </c:marker>
          <c:cat>
            <c:numRef>
              <c:f>'Ind groups 2 x 2'!$CW$25:$DB$25</c:f>
              <c:numCache>
                <c:formatCode>General</c:formatCode>
                <c:ptCount val="6"/>
              </c:numCache>
            </c:numRef>
          </c:cat>
          <c:val>
            <c:numRef>
              <c:f>'Ind groups 2 x 2'!$CW$26:$DE$26</c:f>
              <c:numCache>
                <c:formatCode>General</c:formatCode>
                <c:ptCount val="9"/>
                <c:pt idx="0">
                  <c:v>1.5</c:v>
                </c:pt>
                <c:pt idx="1">
                  <c:v>1.1399999999999999</c:v>
                </c:pt>
                <c:pt idx="2">
                  <c:v>1.38</c:v>
                </c:pt>
                <c:pt idx="3">
                  <c:v>2.2200000000000002</c:v>
                </c:pt>
                <c:pt idx="6">
                  <c:v>0</c:v>
                </c:pt>
              </c:numCache>
            </c:numRef>
          </c:val>
        </c:ser>
        <c:marker val="1"/>
        <c:axId val="180796416"/>
        <c:axId val="180802688"/>
      </c:lineChart>
      <c:scatterChart>
        <c:scatterStyle val="lineMarker"/>
        <c:ser>
          <c:idx val="16"/>
          <c:order val="0"/>
          <c:spPr>
            <a:ln w="25400">
              <a:pattFill prst="pct75">
                <a:fgClr>
                  <a:srgbClr val="0000FF"/>
                </a:fgClr>
                <a:bgClr>
                  <a:srgbClr val="FFFFFF"/>
                </a:bgClr>
              </a:pattFill>
              <a:prstDash val="solid"/>
            </a:ln>
          </c:spPr>
          <c:marker>
            <c:symbol val="none"/>
          </c:marker>
          <c:xVal>
            <c:numRef>
              <c:f>'Ind groups 2 x 2'!$DK$30:$DK$31</c:f>
              <c:numCache>
                <c:formatCode>General</c:formatCode>
                <c:ptCount val="2"/>
                <c:pt idx="0">
                  <c:v>#N/A</c:v>
                </c:pt>
                <c:pt idx="1">
                  <c:v>#N/A</c:v>
                </c:pt>
              </c:numCache>
            </c:numRef>
          </c:xVal>
          <c:yVal>
            <c:numRef>
              <c:f>'Ind groups 2 x 2'!$DL$30:$DL$31</c:f>
              <c:numCache>
                <c:formatCode>General</c:formatCode>
                <c:ptCount val="2"/>
                <c:pt idx="0">
                  <c:v>#N/A</c:v>
                </c:pt>
                <c:pt idx="1">
                  <c:v>#N/A</c:v>
                </c:pt>
              </c:numCache>
            </c:numRef>
          </c:yVal>
        </c:ser>
        <c:ser>
          <c:idx val="11"/>
          <c:order val="1"/>
          <c:spPr>
            <a:ln w="25400">
              <a:pattFill prst="pct75">
                <a:fgClr>
                  <a:srgbClr val="0000FF"/>
                </a:fgClr>
                <a:bgClr>
                  <a:srgbClr val="FFFFFF"/>
                </a:bgClr>
              </a:pattFill>
              <a:prstDash val="solid"/>
            </a:ln>
          </c:spPr>
          <c:marker>
            <c:symbol val="none"/>
          </c:marker>
          <c:xVal>
            <c:numRef>
              <c:f>'Ind groups 2 x 2'!$DK$28:$DK$29</c:f>
              <c:numCache>
                <c:formatCode>General</c:formatCode>
                <c:ptCount val="2"/>
                <c:pt idx="0">
                  <c:v>3.25</c:v>
                </c:pt>
                <c:pt idx="1">
                  <c:v>5.95</c:v>
                </c:pt>
              </c:numCache>
            </c:numRef>
          </c:xVal>
          <c:yVal>
            <c:numRef>
              <c:f>'Ind groups 2 x 2'!$DL$28:$DL$29</c:f>
              <c:numCache>
                <c:formatCode>General</c:formatCode>
                <c:ptCount val="2"/>
                <c:pt idx="0">
                  <c:v>1.38</c:v>
                </c:pt>
                <c:pt idx="1">
                  <c:v>1.38</c:v>
                </c:pt>
              </c:numCache>
            </c:numRef>
          </c:yVal>
        </c:ser>
        <c:ser>
          <c:idx val="5"/>
          <c:order val="2"/>
          <c:spPr>
            <a:ln w="3175">
              <a:solidFill>
                <a:srgbClr val="000000"/>
              </a:solidFill>
              <a:prstDash val="sysDash"/>
            </a:ln>
          </c:spPr>
          <c:marker>
            <c:symbol val="none"/>
          </c:marker>
          <c:xVal>
            <c:numRef>
              <c:f>'Ind groups 2 x 2'!$DR$11:$DR$12</c:f>
              <c:numCache>
                <c:formatCode>General</c:formatCode>
                <c:ptCount val="2"/>
                <c:pt idx="0">
                  <c:v>6.6</c:v>
                </c:pt>
                <c:pt idx="1">
                  <c:v>8.6999999999999993</c:v>
                </c:pt>
              </c:numCache>
            </c:numRef>
          </c:xVal>
          <c:yVal>
            <c:numRef>
              <c:f>'Ind groups 2 x 2'!$DS$11:$DS$12</c:f>
              <c:numCache>
                <c:formatCode>General</c:formatCode>
                <c:ptCount val="2"/>
                <c:pt idx="0">
                  <c:v>1.44</c:v>
                </c:pt>
                <c:pt idx="1">
                  <c:v>1.44</c:v>
                </c:pt>
              </c:numCache>
            </c:numRef>
          </c:yVal>
        </c:ser>
        <c:ser>
          <c:idx val="8"/>
          <c:order val="3"/>
          <c:spPr>
            <a:ln w="3175">
              <a:solidFill>
                <a:srgbClr val="000000"/>
              </a:solidFill>
              <a:prstDash val="sysDash"/>
            </a:ln>
          </c:spPr>
          <c:marker>
            <c:symbol val="none"/>
          </c:marker>
          <c:xVal>
            <c:numRef>
              <c:f>'Ind groups 2 x 2'!$DR$13:$DR$14</c:f>
              <c:numCache>
                <c:formatCode>General</c:formatCode>
                <c:ptCount val="2"/>
                <c:pt idx="0">
                  <c:v>7.2</c:v>
                </c:pt>
                <c:pt idx="1">
                  <c:v>8.6999999999999993</c:v>
                </c:pt>
              </c:numCache>
            </c:numRef>
          </c:xVal>
          <c:yVal>
            <c:numRef>
              <c:f>'Ind groups 2 x 2'!$DS$13:$DS$14</c:f>
              <c:numCache>
                <c:formatCode>General</c:formatCode>
                <c:ptCount val="2"/>
                <c:pt idx="0">
                  <c:v>1.6800000000000002</c:v>
                </c:pt>
                <c:pt idx="1">
                  <c:v>1.6800000000000002</c:v>
                </c:pt>
              </c:numCache>
            </c:numRef>
          </c:yVal>
        </c:ser>
        <c:ser>
          <c:idx val="17"/>
          <c:order val="4"/>
          <c:spPr>
            <a:ln w="3175">
              <a:solidFill>
                <a:srgbClr val="000000"/>
              </a:solidFill>
              <a:prstDash val="sysDash"/>
            </a:ln>
          </c:spPr>
          <c:marker>
            <c:symbol val="none"/>
          </c:marker>
          <c:dPt>
            <c:idx val="1"/>
            <c:spPr>
              <a:ln w="25400">
                <a:pattFill prst="pct75">
                  <a:fgClr>
                    <a:srgbClr val="0000FF"/>
                  </a:fgClr>
                  <a:bgClr>
                    <a:srgbClr val="FFFFFF"/>
                  </a:bgClr>
                </a:pattFill>
                <a:prstDash val="solid"/>
              </a:ln>
            </c:spPr>
          </c:dPt>
          <c:xVal>
            <c:numRef>
              <c:f>'Ind groups 2 x 2'!$DK$32:$DK$33</c:f>
              <c:numCache>
                <c:formatCode>General</c:formatCode>
                <c:ptCount val="2"/>
                <c:pt idx="0">
                  <c:v>#N/A</c:v>
                </c:pt>
                <c:pt idx="1">
                  <c:v>#N/A</c:v>
                </c:pt>
              </c:numCache>
            </c:numRef>
          </c:xVal>
          <c:yVal>
            <c:numRef>
              <c:f>'Ind groups 2 x 2'!$DL$32:$DL$33</c:f>
              <c:numCache>
                <c:formatCode>General</c:formatCode>
                <c:ptCount val="2"/>
                <c:pt idx="0">
                  <c:v>#N/A</c:v>
                </c:pt>
                <c:pt idx="1">
                  <c:v>#N/A</c:v>
                </c:pt>
              </c:numCache>
            </c:numRef>
          </c:yVal>
        </c:ser>
        <c:ser>
          <c:idx val="10"/>
          <c:order val="5"/>
          <c:spPr>
            <a:ln w="25400">
              <a:pattFill prst="pct75">
                <a:fgClr>
                  <a:srgbClr val="0000FF"/>
                </a:fgClr>
                <a:bgClr>
                  <a:srgbClr val="FFFFFF"/>
                </a:bgClr>
              </a:pattFill>
              <a:prstDash val="solid"/>
            </a:ln>
          </c:spPr>
          <c:marker>
            <c:symbol val="none"/>
          </c:marker>
          <c:xVal>
            <c:numRef>
              <c:f>'Ind groups 2 x 2'!$DK$34:$DK$35</c:f>
              <c:numCache>
                <c:formatCode>General</c:formatCode>
                <c:ptCount val="2"/>
                <c:pt idx="0">
                  <c:v>#N/A</c:v>
                </c:pt>
                <c:pt idx="1">
                  <c:v>#N/A</c:v>
                </c:pt>
              </c:numCache>
            </c:numRef>
          </c:xVal>
          <c:yVal>
            <c:numRef>
              <c:f>'Ind groups 2 x 2'!$DL$34:$DL$35</c:f>
              <c:numCache>
                <c:formatCode>General</c:formatCode>
                <c:ptCount val="2"/>
                <c:pt idx="0">
                  <c:v>#N/A</c:v>
                </c:pt>
                <c:pt idx="1">
                  <c:v>#N/A</c:v>
                </c:pt>
              </c:numCache>
            </c:numRef>
          </c:yVal>
        </c:ser>
        <c:ser>
          <c:idx val="25"/>
          <c:order val="6"/>
          <c:spPr>
            <a:ln w="25400">
              <a:pattFill prst="pct75">
                <a:fgClr>
                  <a:srgbClr val="008000"/>
                </a:fgClr>
                <a:bgClr>
                  <a:srgbClr val="FFFFFF"/>
                </a:bgClr>
              </a:pattFill>
              <a:prstDash val="solid"/>
            </a:ln>
          </c:spPr>
          <c:marker>
            <c:symbol val="none"/>
          </c:marker>
          <c:xVal>
            <c:numRef>
              <c:f>'Ind groups 2 x 2'!$DM$34:$DM$35</c:f>
              <c:numCache>
                <c:formatCode>General</c:formatCode>
                <c:ptCount val="2"/>
                <c:pt idx="0">
                  <c:v>#N/A</c:v>
                </c:pt>
                <c:pt idx="1">
                  <c:v>#N/A</c:v>
                </c:pt>
              </c:numCache>
            </c:numRef>
          </c:xVal>
          <c:yVal>
            <c:numRef>
              <c:f>'Ind groups 2 x 2'!$DN$34:$DN$35</c:f>
              <c:numCache>
                <c:formatCode>General</c:formatCode>
                <c:ptCount val="2"/>
                <c:pt idx="0">
                  <c:v>#N/A</c:v>
                </c:pt>
                <c:pt idx="1">
                  <c:v>#N/A</c:v>
                </c:pt>
              </c:numCache>
            </c:numRef>
          </c:yVal>
        </c:ser>
        <c:ser>
          <c:idx val="24"/>
          <c:order val="7"/>
          <c:spPr>
            <a:ln w="25400">
              <a:pattFill prst="pct75">
                <a:fgClr>
                  <a:srgbClr val="008000"/>
                </a:fgClr>
                <a:bgClr>
                  <a:srgbClr val="FFFFFF"/>
                </a:bgClr>
              </a:pattFill>
              <a:prstDash val="solid"/>
            </a:ln>
          </c:spPr>
          <c:marker>
            <c:symbol val="none"/>
          </c:marker>
          <c:xVal>
            <c:numRef>
              <c:f>'Ind groups 2 x 2'!$DM$32:$DM$33</c:f>
              <c:numCache>
                <c:formatCode>General</c:formatCode>
                <c:ptCount val="2"/>
                <c:pt idx="0">
                  <c:v>#N/A</c:v>
                </c:pt>
                <c:pt idx="1">
                  <c:v>#N/A</c:v>
                </c:pt>
              </c:numCache>
            </c:numRef>
          </c:xVal>
          <c:yVal>
            <c:numRef>
              <c:f>'Ind groups 2 x 2'!$DN$32:$DN$33</c:f>
              <c:numCache>
                <c:formatCode>General</c:formatCode>
                <c:ptCount val="2"/>
                <c:pt idx="0">
                  <c:v>#N/A</c:v>
                </c:pt>
                <c:pt idx="1">
                  <c:v>#N/A</c:v>
                </c:pt>
              </c:numCache>
            </c:numRef>
          </c:yVal>
        </c:ser>
        <c:ser>
          <c:idx val="21"/>
          <c:order val="8"/>
          <c:spPr>
            <a:ln w="25400">
              <a:pattFill prst="pct75">
                <a:fgClr>
                  <a:srgbClr val="008000"/>
                </a:fgClr>
                <a:bgClr>
                  <a:srgbClr val="FFFFFF"/>
                </a:bgClr>
              </a:pattFill>
              <a:prstDash val="solid"/>
            </a:ln>
          </c:spPr>
          <c:marker>
            <c:symbol val="none"/>
          </c:marker>
          <c:xVal>
            <c:numRef>
              <c:f>'Ind groups 2 x 2'!$DM$26:$DM$27</c:f>
              <c:numCache>
                <c:formatCode>General</c:formatCode>
                <c:ptCount val="2"/>
                <c:pt idx="0">
                  <c:v>1.75</c:v>
                </c:pt>
                <c:pt idx="1">
                  <c:v>6.15</c:v>
                </c:pt>
              </c:numCache>
            </c:numRef>
          </c:xVal>
          <c:yVal>
            <c:numRef>
              <c:f>'Ind groups 2 x 2'!$DN$26:$DN$27</c:f>
              <c:numCache>
                <c:formatCode>General</c:formatCode>
                <c:ptCount val="2"/>
                <c:pt idx="0">
                  <c:v>1.1399999999999999</c:v>
                </c:pt>
                <c:pt idx="1">
                  <c:v>1.1399999999999999</c:v>
                </c:pt>
              </c:numCache>
            </c:numRef>
          </c:yVal>
        </c:ser>
        <c:ser>
          <c:idx val="19"/>
          <c:order val="9"/>
          <c:spPr>
            <a:ln w="25400">
              <a:pattFill prst="pct75">
                <a:fgClr>
                  <a:srgbClr val="0000FF"/>
                </a:fgClr>
                <a:bgClr>
                  <a:srgbClr val="FFFFFF"/>
                </a:bgClr>
              </a:pattFill>
              <a:prstDash val="solid"/>
            </a:ln>
          </c:spPr>
          <c:marker>
            <c:symbol val="none"/>
          </c:marker>
          <c:xVal>
            <c:numRef>
              <c:f>'Ind groups 2 x 2'!$DK$40:$DK$41</c:f>
              <c:numCache>
                <c:formatCode>General</c:formatCode>
                <c:ptCount val="2"/>
                <c:pt idx="0">
                  <c:v>5.95</c:v>
                </c:pt>
                <c:pt idx="1">
                  <c:v>6.6</c:v>
                </c:pt>
              </c:numCache>
            </c:numRef>
          </c:xVal>
          <c:yVal>
            <c:numRef>
              <c:f>'Ind groups 2 x 2'!$DL$40:$DL$41</c:f>
              <c:numCache>
                <c:formatCode>General</c:formatCode>
                <c:ptCount val="2"/>
                <c:pt idx="0">
                  <c:v>1.44</c:v>
                </c:pt>
                <c:pt idx="1">
                  <c:v>1.44</c:v>
                </c:pt>
              </c:numCache>
            </c:numRef>
          </c:yVal>
        </c:ser>
        <c:ser>
          <c:idx val="0"/>
          <c:order val="11"/>
          <c:spPr>
            <a:ln w="28575">
              <a:noFill/>
            </a:ln>
          </c:spPr>
          <c:marker>
            <c:symbol val="circle"/>
            <c:size val="9"/>
            <c:spPr>
              <a:solidFill>
                <a:srgbClr val="000000"/>
              </a:solidFill>
              <a:ln>
                <a:solidFill>
                  <a:srgbClr val="000000"/>
                </a:solidFill>
                <a:prstDash val="solid"/>
              </a:ln>
            </c:spPr>
          </c:marker>
          <c:errBars>
            <c:errDir val="y"/>
            <c:errBarType val="both"/>
            <c:errValType val="cust"/>
            <c:noEndCap val="1"/>
            <c:plus>
              <c:numRef>
                <c:f>'Ind groups 2 x 2'!$DF$13:$DF$16</c:f>
                <c:numCache>
                  <c:formatCode>General</c:formatCode>
                  <c:ptCount val="4"/>
                  <c:pt idx="0">
                    <c:v>0.54643172235442405</c:v>
                  </c:pt>
                  <c:pt idx="1">
                    <c:v>0.54643172235442405</c:v>
                  </c:pt>
                  <c:pt idx="2">
                    <c:v>0.55725320302626458</c:v>
                  </c:pt>
                  <c:pt idx="3">
                    <c:v>0.54643172235442405</c:v>
                  </c:pt>
                </c:numCache>
              </c:numRef>
            </c:plus>
            <c:minus>
              <c:numRef>
                <c:f>'Ind groups 2 x 2'!$DF$13:$DF$16</c:f>
                <c:numCache>
                  <c:formatCode>General</c:formatCode>
                  <c:ptCount val="4"/>
                  <c:pt idx="0">
                    <c:v>0.54643172235442405</c:v>
                  </c:pt>
                  <c:pt idx="1">
                    <c:v>0.54643172235442405</c:v>
                  </c:pt>
                  <c:pt idx="2">
                    <c:v>0.55725320302626458</c:v>
                  </c:pt>
                  <c:pt idx="3">
                    <c:v>0.54643172235442405</c:v>
                  </c:pt>
                </c:numCache>
              </c:numRef>
            </c:minus>
            <c:spPr>
              <a:ln w="25400">
                <a:solidFill>
                  <a:srgbClr val="FF0000"/>
                </a:solidFill>
                <a:prstDash val="solid"/>
              </a:ln>
            </c:spPr>
          </c:errBars>
          <c:xVal>
            <c:numRef>
              <c:f>'Ind groups 2 x 2'!$DB$13:$DB$16</c:f>
              <c:numCache>
                <c:formatCode>General</c:formatCode>
                <c:ptCount val="4"/>
                <c:pt idx="0">
                  <c:v>1.25</c:v>
                </c:pt>
                <c:pt idx="1">
                  <c:v>1.75</c:v>
                </c:pt>
                <c:pt idx="2">
                  <c:v>3.25</c:v>
                </c:pt>
                <c:pt idx="3">
                  <c:v>3.75</c:v>
                </c:pt>
              </c:numCache>
            </c:numRef>
          </c:xVal>
          <c:yVal>
            <c:numRef>
              <c:f>'Ind groups 2 x 2'!$DC$13:$DC$16</c:f>
              <c:numCache>
                <c:formatCode>General</c:formatCode>
                <c:ptCount val="4"/>
                <c:pt idx="0">
                  <c:v>#N/A</c:v>
                </c:pt>
                <c:pt idx="1">
                  <c:v>#N/A</c:v>
                </c:pt>
                <c:pt idx="2">
                  <c:v>#N/A</c:v>
                </c:pt>
                <c:pt idx="3">
                  <c:v>#N/A</c:v>
                </c:pt>
              </c:numCache>
            </c:numRef>
          </c:yVal>
        </c:ser>
        <c:ser>
          <c:idx val="6"/>
          <c:order val="12"/>
          <c:spPr>
            <a:ln w="28575">
              <a:noFill/>
            </a:ln>
          </c:spPr>
          <c:marker>
            <c:symbol val="none"/>
          </c:marker>
          <c:xVal>
            <c:numRef>
              <c:f>'Ind groups 2 x 2'!$DC$21:$DC$22</c:f>
              <c:numCache>
                <c:formatCode>General</c:formatCode>
                <c:ptCount val="2"/>
                <c:pt idx="0">
                  <c:v>1</c:v>
                </c:pt>
                <c:pt idx="1">
                  <c:v>1</c:v>
                </c:pt>
              </c:numCache>
            </c:numRef>
          </c:xVal>
          <c:yVal>
            <c:numRef>
              <c:f>'Ind groups 2 x 2'!$DD$21:$DD$22</c:f>
              <c:numCache>
                <c:formatCode>General</c:formatCode>
                <c:ptCount val="2"/>
                <c:pt idx="0">
                  <c:v>3.3183141690193656</c:v>
                </c:pt>
                <c:pt idx="1">
                  <c:v>0.59356827764557585</c:v>
                </c:pt>
              </c:numCache>
            </c:numRef>
          </c:yVal>
        </c:ser>
        <c:ser>
          <c:idx val="7"/>
          <c:order val="13"/>
          <c:spPr>
            <a:ln w="12700">
              <a:solidFill>
                <a:srgbClr val="000000"/>
              </a:solidFill>
              <a:prstDash val="solid"/>
            </a:ln>
          </c:spPr>
          <c:marker>
            <c:symbol val="dot"/>
            <c:size val="5"/>
            <c:spPr>
              <a:noFill/>
              <a:ln>
                <a:solidFill>
                  <a:srgbClr val="000000"/>
                </a:solidFill>
                <a:prstDash val="solid"/>
              </a:ln>
            </c:spPr>
          </c:marker>
          <c:dLbls>
            <c:dLbl>
              <c:idx val="0"/>
              <c:tx>
                <c:strRef>
                  <c:f>'Ind groups 2 x 2'!$DP$18</c:f>
                  <c:strCache>
                    <c:ptCount val="1"/>
                    <c:pt idx="0">
                      <c:v>2</c:v>
                    </c:pt>
                  </c:strCache>
                </c:strRef>
              </c:tx>
            </c:dLbl>
            <c:dLbl>
              <c:idx val="1"/>
              <c:delete val="1"/>
            </c:dLbl>
            <c:dLbl>
              <c:idx val="2"/>
              <c:tx>
                <c:strRef>
                  <c:f>'Ind groups 2 x 2'!$DP$20</c:f>
                  <c:strCache>
                    <c:ptCount val="1"/>
                    <c:pt idx="0">
                      <c:v>1.6</c:v>
                    </c:pt>
                  </c:strCache>
                </c:strRef>
              </c:tx>
            </c:dLbl>
            <c:dLbl>
              <c:idx val="3"/>
              <c:delete val="1"/>
            </c:dLbl>
            <c:dLbl>
              <c:idx val="4"/>
              <c:tx>
                <c:strRef>
                  <c:f>'Ind groups 2 x 2'!$DP$22</c:f>
                  <c:strCache>
                    <c:ptCount val="1"/>
                    <c:pt idx="0">
                      <c:v>1.2</c:v>
                    </c:pt>
                  </c:strCache>
                </c:strRef>
              </c:tx>
            </c:dLbl>
            <c:dLbl>
              <c:idx val="5"/>
              <c:delete val="1"/>
            </c:dLbl>
            <c:dLbl>
              <c:idx val="6"/>
              <c:tx>
                <c:strRef>
                  <c:f>'Ind groups 2 x 2'!$DP$24</c:f>
                  <c:strCache>
                    <c:ptCount val="1"/>
                    <c:pt idx="0">
                      <c:v>0.8</c:v>
                    </c:pt>
                  </c:strCache>
                </c:strRef>
              </c:tx>
            </c:dLbl>
            <c:dLbl>
              <c:idx val="7"/>
              <c:delete val="1"/>
            </c:dLbl>
            <c:dLbl>
              <c:idx val="8"/>
              <c:tx>
                <c:strRef>
                  <c:f>'Ind groups 2 x 2'!$DP$26</c:f>
                  <c:strCache>
                    <c:ptCount val="1"/>
                    <c:pt idx="0">
                      <c:v>0.4</c:v>
                    </c:pt>
                  </c:strCache>
                </c:strRef>
              </c:tx>
            </c:dLbl>
            <c:dLbl>
              <c:idx val="9"/>
              <c:delete val="1"/>
            </c:dLbl>
            <c:dLbl>
              <c:idx val="10"/>
              <c:tx>
                <c:strRef>
                  <c:f>'Ind groups 2 x 2'!$DP$28</c:f>
                  <c:strCache>
                    <c:ptCount val="1"/>
                    <c:pt idx="0">
                      <c:v>0</c:v>
                    </c:pt>
                  </c:strCache>
                </c:strRef>
              </c:tx>
            </c:dLbl>
            <c:dLbl>
              <c:idx val="11"/>
              <c:delete val="1"/>
            </c:dLbl>
            <c:dLbl>
              <c:idx val="12"/>
              <c:tx>
                <c:strRef>
                  <c:f>'Ind groups 2 x 2'!$DP$30</c:f>
                  <c:strCache>
                    <c:ptCount val="1"/>
                    <c:pt idx="0">
                      <c:v>-0.4</c:v>
                    </c:pt>
                  </c:strCache>
                </c:strRef>
              </c:tx>
            </c:dLbl>
            <c:dLbl>
              <c:idx val="13"/>
              <c:delete val="1"/>
            </c:dLbl>
            <c:dLbl>
              <c:idx val="14"/>
              <c:tx>
                <c:strRef>
                  <c:f>'Ind groups 2 x 2'!$DP$32</c:f>
                  <c:strCache>
                    <c:ptCount val="1"/>
                    <c:pt idx="0">
                      <c:v>-0.8</c:v>
                    </c:pt>
                  </c:strCache>
                </c:strRef>
              </c:tx>
            </c:dLbl>
            <c:dLbl>
              <c:idx val="15"/>
              <c:delete val="1"/>
            </c:dLbl>
            <c:dLbl>
              <c:idx val="16"/>
              <c:tx>
                <c:strRef>
                  <c:f>'Ind groups 2 x 2'!$DP$34</c:f>
                  <c:strCache>
                    <c:ptCount val="1"/>
                    <c:pt idx="0">
                      <c:v>-1.2</c:v>
                    </c:pt>
                  </c:strCache>
                </c:strRef>
              </c:tx>
            </c:dLbl>
            <c:dLbl>
              <c:idx val="17"/>
              <c:delete val="1"/>
            </c:dLbl>
            <c:dLbl>
              <c:idx val="18"/>
              <c:tx>
                <c:strRef>
                  <c:f>'Ind groups 2 x 2'!$DP$36</c:f>
                  <c:strCache>
                    <c:ptCount val="1"/>
                    <c:pt idx="0">
                      <c:v>-1.6</c:v>
                    </c:pt>
                  </c:strCache>
                </c:strRef>
              </c:tx>
            </c:dLbl>
            <c:dLbl>
              <c:idx val="19"/>
              <c:delete val="1"/>
            </c:dLbl>
            <c:dLbl>
              <c:idx val="20"/>
              <c:tx>
                <c:strRef>
                  <c:f>'Ind groups 2 x 2'!$DP$38</c:f>
                  <c:strCache>
                    <c:ptCount val="1"/>
                    <c:pt idx="0">
                      <c:v>-2</c:v>
                    </c:pt>
                  </c:strCache>
                </c:strRef>
              </c:tx>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Val val="1"/>
          </c:dLbls>
          <c:xVal>
            <c:numRef>
              <c:f>'Ind groups 2 x 2'!$DR$18:$DR$38</c:f>
              <c:numCache>
                <c:formatCode>General</c:formatCode>
                <c:ptCount val="21"/>
                <c:pt idx="0">
                  <c:v>8.6999999999999993</c:v>
                </c:pt>
                <c:pt idx="1">
                  <c:v>8.6999999999999993</c:v>
                </c:pt>
                <c:pt idx="2">
                  <c:v>8.6999999999999993</c:v>
                </c:pt>
                <c:pt idx="3">
                  <c:v>8.6999999999999993</c:v>
                </c:pt>
                <c:pt idx="4">
                  <c:v>8.6999999999999993</c:v>
                </c:pt>
                <c:pt idx="5">
                  <c:v>8.6999999999999993</c:v>
                </c:pt>
                <c:pt idx="6">
                  <c:v>8.6999999999999993</c:v>
                </c:pt>
                <c:pt idx="7">
                  <c:v>8.6999999999999993</c:v>
                </c:pt>
                <c:pt idx="8">
                  <c:v>8.6999999999999993</c:v>
                </c:pt>
                <c:pt idx="9">
                  <c:v>8.6999999999999993</c:v>
                </c:pt>
                <c:pt idx="10">
                  <c:v>8.6999999999999993</c:v>
                </c:pt>
                <c:pt idx="11">
                  <c:v>8.6999999999999993</c:v>
                </c:pt>
                <c:pt idx="12">
                  <c:v>8.6999999999999993</c:v>
                </c:pt>
                <c:pt idx="13">
                  <c:v>8.6999999999999993</c:v>
                </c:pt>
                <c:pt idx="14">
                  <c:v>8.6999999999999993</c:v>
                </c:pt>
                <c:pt idx="15">
                  <c:v>8.6999999999999993</c:v>
                </c:pt>
                <c:pt idx="16">
                  <c:v>8.6999999999999993</c:v>
                </c:pt>
                <c:pt idx="17">
                  <c:v>8.6999999999999993</c:v>
                </c:pt>
                <c:pt idx="18">
                  <c:v>8.6999999999999993</c:v>
                </c:pt>
                <c:pt idx="19">
                  <c:v>8.6999999999999993</c:v>
                </c:pt>
                <c:pt idx="20">
                  <c:v>8.6999999999999993</c:v>
                </c:pt>
              </c:numCache>
            </c:numRef>
          </c:xVal>
          <c:yVal>
            <c:numRef>
              <c:f>'Ind groups 2 x 2'!$DS$18:$DS$38</c:f>
              <c:numCache>
                <c:formatCode>General</c:formatCode>
                <c:ptCount val="21"/>
                <c:pt idx="0">
                  <c:v>#N/A</c:v>
                </c:pt>
                <c:pt idx="1">
                  <c:v>3.24</c:v>
                </c:pt>
                <c:pt idx="2">
                  <c:v>3.04</c:v>
                </c:pt>
                <c:pt idx="3">
                  <c:v>2.84</c:v>
                </c:pt>
                <c:pt idx="4">
                  <c:v>2.64</c:v>
                </c:pt>
                <c:pt idx="5">
                  <c:v>2.44</c:v>
                </c:pt>
                <c:pt idx="6">
                  <c:v>2.2400000000000002</c:v>
                </c:pt>
                <c:pt idx="7">
                  <c:v>2.04</c:v>
                </c:pt>
                <c:pt idx="8">
                  <c:v>1.8399999999999999</c:v>
                </c:pt>
                <c:pt idx="9">
                  <c:v>1.64</c:v>
                </c:pt>
                <c:pt idx="10">
                  <c:v>1.44</c:v>
                </c:pt>
                <c:pt idx="11">
                  <c:v>1.24</c:v>
                </c:pt>
                <c:pt idx="12">
                  <c:v>1.04</c:v>
                </c:pt>
                <c:pt idx="13">
                  <c:v>0.83999999999999986</c:v>
                </c:pt>
                <c:pt idx="14">
                  <c:v>0.6399999999999999</c:v>
                </c:pt>
                <c:pt idx="15">
                  <c:v>#N/A</c:v>
                </c:pt>
                <c:pt idx="16">
                  <c:v>#N/A</c:v>
                </c:pt>
                <c:pt idx="17">
                  <c:v>#N/A</c:v>
                </c:pt>
                <c:pt idx="18">
                  <c:v>#N/A</c:v>
                </c:pt>
                <c:pt idx="19">
                  <c:v>#N/A</c:v>
                </c:pt>
                <c:pt idx="20">
                  <c:v>#N/A</c:v>
                </c:pt>
              </c:numCache>
            </c:numRef>
          </c:yVal>
        </c:ser>
        <c:ser>
          <c:idx val="9"/>
          <c:order val="14"/>
          <c:spPr>
            <a:ln w="28575">
              <a:noFill/>
            </a:ln>
          </c:spPr>
          <c:marker>
            <c:symbol val="triangle"/>
            <c:size val="10"/>
            <c:spPr>
              <a:solidFill>
                <a:srgbClr val="000000"/>
              </a:solidFill>
              <a:ln>
                <a:solidFill>
                  <a:srgbClr val="000000"/>
                </a:solidFill>
                <a:prstDash val="solid"/>
              </a:ln>
            </c:spPr>
          </c:marker>
          <c:errBars>
            <c:errDir val="y"/>
            <c:errBarType val="both"/>
            <c:errValType val="cust"/>
            <c:noEndCap val="1"/>
            <c:plus>
              <c:numRef>
                <c:f>'Ind groups 2 x 2'!$DM$43</c:f>
                <c:numCache>
                  <c:formatCode>General</c:formatCode>
                  <c:ptCount val="1"/>
                  <c:pt idx="0">
                    <c:v>0.54915708450968259</c:v>
                  </c:pt>
                </c:numCache>
              </c:numRef>
            </c:plus>
            <c:minus>
              <c:numRef>
                <c:f>'Ind groups 2 x 2'!$DM$43</c:f>
                <c:numCache>
                  <c:formatCode>General</c:formatCode>
                  <c:ptCount val="1"/>
                  <c:pt idx="0">
                    <c:v>0.54915708450968259</c:v>
                  </c:pt>
                </c:numCache>
              </c:numRef>
            </c:minus>
            <c:spPr>
              <a:ln w="25400">
                <a:solidFill>
                  <a:srgbClr val="FF0000"/>
                </a:solidFill>
                <a:prstDash val="solid"/>
              </a:ln>
            </c:spPr>
          </c:errBars>
          <c:xVal>
            <c:numRef>
              <c:f>'Ind groups 2 x 2'!$DK$43</c:f>
              <c:numCache>
                <c:formatCode>General</c:formatCode>
                <c:ptCount val="1"/>
                <c:pt idx="0">
                  <c:v>8.3000000000000007</c:v>
                </c:pt>
              </c:numCache>
            </c:numRef>
          </c:xVal>
          <c:yVal>
            <c:numRef>
              <c:f>'Ind groups 2 x 2'!$DL$43</c:f>
              <c:numCache>
                <c:formatCode>General</c:formatCode>
                <c:ptCount val="1"/>
                <c:pt idx="0">
                  <c:v>1.6800000000000002</c:v>
                </c:pt>
              </c:numCache>
            </c:numRef>
          </c:yVal>
        </c:ser>
        <c:ser>
          <c:idx val="12"/>
          <c:order val="15"/>
          <c:spPr>
            <a:ln w="28575">
              <a:noFill/>
            </a:ln>
          </c:spPr>
          <c:marker>
            <c:symbol val="none"/>
          </c:marker>
          <c:errBars>
            <c:errDir val="x"/>
            <c:errBarType val="plus"/>
            <c:errValType val="cust"/>
            <c:noEndCap val="1"/>
            <c:plus>
              <c:numRef>
                <c:f>'Ind groups 2 x 2'!$DH$21</c:f>
                <c:numCache>
                  <c:formatCode>General</c:formatCode>
                  <c:ptCount val="1"/>
                  <c:pt idx="0">
                    <c:v>6</c:v>
                  </c:pt>
                </c:numCache>
              </c:numRef>
            </c:plus>
            <c:spPr>
              <a:ln w="12700">
                <a:solidFill>
                  <a:srgbClr val="000000"/>
                </a:solidFill>
                <a:prstDash val="solid"/>
              </a:ln>
            </c:spPr>
          </c:errBars>
          <c:xVal>
            <c:numRef>
              <c:f>'Ind groups 2 x 2'!$DF$21</c:f>
              <c:numCache>
                <c:formatCode>General</c:formatCode>
                <c:ptCount val="1"/>
                <c:pt idx="0">
                  <c:v>0.5</c:v>
                </c:pt>
              </c:numCache>
            </c:numRef>
          </c:xVal>
          <c:yVal>
            <c:numRef>
              <c:f>'Ind groups 2 x 2'!$DG$21</c:f>
              <c:numCache>
                <c:formatCode>General</c:formatCode>
                <c:ptCount val="1"/>
                <c:pt idx="0">
                  <c:v>0</c:v>
                </c:pt>
              </c:numCache>
            </c:numRef>
          </c:yVal>
        </c:ser>
        <c:ser>
          <c:idx val="13"/>
          <c:order val="16"/>
          <c:spPr>
            <a:ln w="28575">
              <a:noFill/>
            </a:ln>
          </c:spPr>
          <c:marker>
            <c:symbol val="square"/>
            <c:size val="9"/>
            <c:spPr>
              <a:solidFill>
                <a:srgbClr val="008000"/>
              </a:solidFill>
              <a:ln>
                <a:solidFill>
                  <a:srgbClr val="008000"/>
                </a:solidFill>
                <a:prstDash val="solid"/>
              </a:ln>
            </c:spPr>
          </c:marker>
          <c:errBars>
            <c:errDir val="y"/>
            <c:errBarType val="both"/>
            <c:errValType val="cust"/>
            <c:noEndCap val="1"/>
            <c:plus>
              <c:numRef>
                <c:f>'Ind groups 2 x 2'!$DJ$47</c:f>
                <c:numCache>
                  <c:formatCode>General</c:formatCode>
                  <c:ptCount val="1"/>
                  <c:pt idx="0">
                    <c:v>0.38638557633225806</c:v>
                  </c:pt>
                </c:numCache>
              </c:numRef>
            </c:plus>
            <c:minus>
              <c:numRef>
                <c:f>'Ind groups 2 x 2'!$DJ$47</c:f>
                <c:numCache>
                  <c:formatCode>General</c:formatCode>
                  <c:ptCount val="1"/>
                  <c:pt idx="0">
                    <c:v>0.38638557633225806</c:v>
                  </c:pt>
                </c:numCache>
              </c:numRef>
            </c:minus>
            <c:spPr>
              <a:ln w="25400">
                <a:solidFill>
                  <a:srgbClr val="FF0000"/>
                </a:solidFill>
                <a:prstDash val="solid"/>
              </a:ln>
            </c:spPr>
          </c:errBars>
          <c:xVal>
            <c:numRef>
              <c:f>'Ind groups 2 x 2'!$DH$47</c:f>
              <c:numCache>
                <c:formatCode>General</c:formatCode>
                <c:ptCount val="1"/>
                <c:pt idx="0">
                  <c:v>7.2</c:v>
                </c:pt>
              </c:numCache>
            </c:numRef>
          </c:xVal>
          <c:yVal>
            <c:numRef>
              <c:f>'Ind groups 2 x 2'!$DI$47</c:f>
              <c:numCache>
                <c:formatCode>General</c:formatCode>
                <c:ptCount val="1"/>
                <c:pt idx="0">
                  <c:v>1.6800000000000002</c:v>
                </c:pt>
              </c:numCache>
            </c:numRef>
          </c:yVal>
        </c:ser>
        <c:ser>
          <c:idx val="14"/>
          <c:order val="17"/>
          <c:spPr>
            <a:ln w="25400">
              <a:pattFill prst="pct75">
                <a:fgClr>
                  <a:srgbClr val="0000FF"/>
                </a:fgClr>
                <a:bgClr>
                  <a:srgbClr val="FFFFFF"/>
                </a:bgClr>
              </a:pattFill>
              <a:prstDash val="solid"/>
            </a:ln>
          </c:spPr>
          <c:marker>
            <c:symbol val="none"/>
          </c:marker>
          <c:xVal>
            <c:numRef>
              <c:f>'Ind groups 2 x 2'!$DK$26:$DK$27</c:f>
              <c:numCache>
                <c:formatCode>General</c:formatCode>
                <c:ptCount val="2"/>
                <c:pt idx="0">
                  <c:v>#N/A</c:v>
                </c:pt>
                <c:pt idx="1">
                  <c:v>#N/A</c:v>
                </c:pt>
              </c:numCache>
            </c:numRef>
          </c:xVal>
          <c:yVal>
            <c:numRef>
              <c:f>'Ind groups 2 x 2'!$DL$26:$DL$27</c:f>
              <c:numCache>
                <c:formatCode>General</c:formatCode>
                <c:ptCount val="2"/>
                <c:pt idx="0">
                  <c:v>#N/A</c:v>
                </c:pt>
                <c:pt idx="1">
                  <c:v>#N/A</c:v>
                </c:pt>
              </c:numCache>
            </c:numRef>
          </c:yVal>
        </c:ser>
        <c:ser>
          <c:idx val="15"/>
          <c:order val="18"/>
          <c:spPr>
            <a:ln w="25400">
              <a:pattFill prst="pct75">
                <a:fgClr>
                  <a:srgbClr val="0000FF"/>
                </a:fgClr>
                <a:bgClr>
                  <a:srgbClr val="FFFFFF"/>
                </a:bgClr>
              </a:pattFill>
              <a:prstDash val="solid"/>
            </a:ln>
          </c:spPr>
          <c:marker>
            <c:symbol val="none"/>
          </c:marker>
          <c:xVal>
            <c:numRef>
              <c:f>'Ind groups 2 x 2'!$DK$24:$DK$25</c:f>
              <c:numCache>
                <c:formatCode>General</c:formatCode>
                <c:ptCount val="2"/>
                <c:pt idx="0">
                  <c:v>1.25</c:v>
                </c:pt>
                <c:pt idx="1">
                  <c:v>5.95</c:v>
                </c:pt>
              </c:numCache>
            </c:numRef>
          </c:xVal>
          <c:yVal>
            <c:numRef>
              <c:f>'Ind groups 2 x 2'!$DL$24:$DL$25</c:f>
              <c:numCache>
                <c:formatCode>General</c:formatCode>
                <c:ptCount val="2"/>
                <c:pt idx="0">
                  <c:v>1.5</c:v>
                </c:pt>
                <c:pt idx="1">
                  <c:v>1.5</c:v>
                </c:pt>
              </c:numCache>
            </c:numRef>
          </c:yVal>
        </c:ser>
        <c:ser>
          <c:idx val="18"/>
          <c:order val="19"/>
          <c:spPr>
            <a:ln w="25400">
              <a:pattFill prst="pct75">
                <a:fgClr>
                  <a:srgbClr val="0000FF"/>
                </a:fgClr>
                <a:bgClr>
                  <a:srgbClr val="FFFFFF"/>
                </a:bgClr>
              </a:pattFill>
              <a:prstDash val="solid"/>
            </a:ln>
          </c:spPr>
          <c:marker>
            <c:symbol val="none"/>
          </c:marker>
          <c:xVal>
            <c:numRef>
              <c:f>'Ind groups 2 x 2'!$DK$37:$DK$38</c:f>
              <c:numCache>
                <c:formatCode>General</c:formatCode>
                <c:ptCount val="2"/>
                <c:pt idx="0">
                  <c:v>5.95</c:v>
                </c:pt>
                <c:pt idx="1">
                  <c:v>5.95</c:v>
                </c:pt>
              </c:numCache>
            </c:numRef>
          </c:xVal>
          <c:yVal>
            <c:numRef>
              <c:f>'Ind groups 2 x 2'!$DL$37:$DL$38</c:f>
              <c:numCache>
                <c:formatCode>General</c:formatCode>
                <c:ptCount val="2"/>
                <c:pt idx="0">
                  <c:v>1.5</c:v>
                </c:pt>
                <c:pt idx="1">
                  <c:v>1.38</c:v>
                </c:pt>
              </c:numCache>
            </c:numRef>
          </c:yVal>
        </c:ser>
        <c:ser>
          <c:idx val="20"/>
          <c:order val="20"/>
          <c:spPr>
            <a:ln w="25400">
              <a:pattFill prst="pct75">
                <a:fgClr>
                  <a:srgbClr val="008000"/>
                </a:fgClr>
                <a:bgClr>
                  <a:srgbClr val="FFFFFF"/>
                </a:bgClr>
              </a:pattFill>
              <a:prstDash val="solid"/>
            </a:ln>
          </c:spPr>
          <c:marker>
            <c:symbol val="none"/>
          </c:marker>
          <c:xVal>
            <c:numRef>
              <c:f>'Ind groups 2 x 2'!$DM$24:$DM$25</c:f>
              <c:numCache>
                <c:formatCode>General</c:formatCode>
                <c:ptCount val="2"/>
                <c:pt idx="0">
                  <c:v>#N/A</c:v>
                </c:pt>
                <c:pt idx="1">
                  <c:v>#N/A</c:v>
                </c:pt>
              </c:numCache>
            </c:numRef>
          </c:xVal>
          <c:yVal>
            <c:numRef>
              <c:f>'Ind groups 2 x 2'!$DN$24:$DN$25</c:f>
              <c:numCache>
                <c:formatCode>General</c:formatCode>
                <c:ptCount val="2"/>
                <c:pt idx="0">
                  <c:v>#N/A</c:v>
                </c:pt>
                <c:pt idx="1">
                  <c:v>#N/A</c:v>
                </c:pt>
              </c:numCache>
            </c:numRef>
          </c:yVal>
        </c:ser>
        <c:ser>
          <c:idx val="22"/>
          <c:order val="21"/>
          <c:spPr>
            <a:ln w="25400">
              <a:pattFill prst="pct75">
                <a:fgClr>
                  <a:srgbClr val="008000"/>
                </a:fgClr>
                <a:bgClr>
                  <a:srgbClr val="FFFFFF"/>
                </a:bgClr>
              </a:pattFill>
              <a:prstDash val="solid"/>
            </a:ln>
          </c:spPr>
          <c:marker>
            <c:symbol val="none"/>
          </c:marker>
          <c:xVal>
            <c:numRef>
              <c:f>'Ind groups 2 x 2'!$DM$28:$DM$29</c:f>
              <c:numCache>
                <c:formatCode>General</c:formatCode>
                <c:ptCount val="2"/>
                <c:pt idx="0">
                  <c:v>#N/A</c:v>
                </c:pt>
                <c:pt idx="1">
                  <c:v>#N/A</c:v>
                </c:pt>
              </c:numCache>
            </c:numRef>
          </c:xVal>
          <c:yVal>
            <c:numRef>
              <c:f>'Ind groups 2 x 2'!$DN$28:$DN$29</c:f>
              <c:numCache>
                <c:formatCode>General</c:formatCode>
                <c:ptCount val="2"/>
                <c:pt idx="0">
                  <c:v>#N/A</c:v>
                </c:pt>
                <c:pt idx="1">
                  <c:v>#N/A</c:v>
                </c:pt>
              </c:numCache>
            </c:numRef>
          </c:yVal>
        </c:ser>
        <c:ser>
          <c:idx val="23"/>
          <c:order val="22"/>
          <c:spPr>
            <a:ln w="25400">
              <a:pattFill prst="pct75">
                <a:fgClr>
                  <a:srgbClr val="008000"/>
                </a:fgClr>
                <a:bgClr>
                  <a:srgbClr val="FFFFFF"/>
                </a:bgClr>
              </a:pattFill>
              <a:prstDash val="solid"/>
            </a:ln>
          </c:spPr>
          <c:marker>
            <c:symbol val="none"/>
          </c:marker>
          <c:xVal>
            <c:numRef>
              <c:f>'Ind groups 2 x 2'!$DM$30:$DM$31</c:f>
              <c:numCache>
                <c:formatCode>General</c:formatCode>
                <c:ptCount val="2"/>
                <c:pt idx="0">
                  <c:v>3.75</c:v>
                </c:pt>
                <c:pt idx="1">
                  <c:v>6.15</c:v>
                </c:pt>
              </c:numCache>
            </c:numRef>
          </c:xVal>
          <c:yVal>
            <c:numRef>
              <c:f>'Ind groups 2 x 2'!$DN$30:$DN$31</c:f>
              <c:numCache>
                <c:formatCode>General</c:formatCode>
                <c:ptCount val="2"/>
                <c:pt idx="0">
                  <c:v>2.2200000000000002</c:v>
                </c:pt>
                <c:pt idx="1">
                  <c:v>2.2200000000000002</c:v>
                </c:pt>
              </c:numCache>
            </c:numRef>
          </c:yVal>
        </c:ser>
        <c:ser>
          <c:idx val="26"/>
          <c:order val="23"/>
          <c:spPr>
            <a:ln w="25400">
              <a:pattFill prst="pct75">
                <a:fgClr>
                  <a:srgbClr val="008000"/>
                </a:fgClr>
                <a:bgClr>
                  <a:srgbClr val="FFFFFF"/>
                </a:bgClr>
              </a:pattFill>
              <a:prstDash val="solid"/>
            </a:ln>
          </c:spPr>
          <c:marker>
            <c:symbol val="none"/>
          </c:marker>
          <c:xVal>
            <c:numRef>
              <c:f>'Ind groups 2 x 2'!$DM$37:$DM$38</c:f>
              <c:numCache>
                <c:formatCode>General</c:formatCode>
                <c:ptCount val="2"/>
                <c:pt idx="0">
                  <c:v>6.15</c:v>
                </c:pt>
                <c:pt idx="1">
                  <c:v>6.15</c:v>
                </c:pt>
              </c:numCache>
            </c:numRef>
          </c:xVal>
          <c:yVal>
            <c:numRef>
              <c:f>'Ind groups 2 x 2'!$DN$37:$DN$38</c:f>
              <c:numCache>
                <c:formatCode>General</c:formatCode>
                <c:ptCount val="2"/>
                <c:pt idx="0">
                  <c:v>2.2200000000000002</c:v>
                </c:pt>
                <c:pt idx="1">
                  <c:v>1.1399999999999999</c:v>
                </c:pt>
              </c:numCache>
            </c:numRef>
          </c:yVal>
        </c:ser>
        <c:ser>
          <c:idx val="27"/>
          <c:order val="24"/>
          <c:spPr>
            <a:ln w="25400">
              <a:pattFill prst="pct75">
                <a:fgClr>
                  <a:srgbClr val="008000"/>
                </a:fgClr>
                <a:bgClr>
                  <a:srgbClr val="FFFFFF"/>
                </a:bgClr>
              </a:pattFill>
              <a:prstDash val="solid"/>
            </a:ln>
          </c:spPr>
          <c:marker>
            <c:symbol val="none"/>
          </c:marker>
          <c:xVal>
            <c:numRef>
              <c:f>'Ind groups 2 x 2'!$DM$40:$DM$41</c:f>
              <c:numCache>
                <c:formatCode>General</c:formatCode>
                <c:ptCount val="2"/>
                <c:pt idx="0">
                  <c:v>6.15</c:v>
                </c:pt>
                <c:pt idx="1">
                  <c:v>7.2</c:v>
                </c:pt>
              </c:numCache>
            </c:numRef>
          </c:xVal>
          <c:yVal>
            <c:numRef>
              <c:f>'Ind groups 2 x 2'!$DN$40:$DN$41</c:f>
              <c:numCache>
                <c:formatCode>General</c:formatCode>
                <c:ptCount val="2"/>
                <c:pt idx="0">
                  <c:v>1.6800000000000002</c:v>
                </c:pt>
                <c:pt idx="1">
                  <c:v>1.6800000000000002</c:v>
                </c:pt>
              </c:numCache>
            </c:numRef>
          </c:yVal>
        </c:ser>
        <c:ser>
          <c:idx val="28"/>
          <c:order val="25"/>
          <c:spPr>
            <a:ln w="28575">
              <a:noFill/>
            </a:ln>
          </c:spPr>
          <c:marker>
            <c:symbol val="square"/>
            <c:size val="9"/>
            <c:spPr>
              <a:solidFill>
                <a:srgbClr val="0000FF"/>
              </a:solidFill>
              <a:ln>
                <a:solidFill>
                  <a:srgbClr val="0000FF"/>
                </a:solidFill>
                <a:prstDash val="solid"/>
              </a:ln>
            </c:spPr>
          </c:marker>
          <c:errBars>
            <c:errDir val="y"/>
            <c:errBarType val="both"/>
            <c:errValType val="cust"/>
            <c:noEndCap val="1"/>
            <c:plus>
              <c:numRef>
                <c:f>'Ind groups 2 x 2'!$DJ$48</c:f>
                <c:numCache>
                  <c:formatCode>General</c:formatCode>
                  <c:ptCount val="1"/>
                  <c:pt idx="0">
                    <c:v>0.39023030362795175</c:v>
                  </c:pt>
                </c:numCache>
              </c:numRef>
            </c:plus>
            <c:minus>
              <c:numRef>
                <c:f>'Ind groups 2 x 2'!$DJ$48</c:f>
                <c:numCache>
                  <c:formatCode>General</c:formatCode>
                  <c:ptCount val="1"/>
                  <c:pt idx="0">
                    <c:v>0.39023030362795175</c:v>
                  </c:pt>
                </c:numCache>
              </c:numRef>
            </c:minus>
            <c:spPr>
              <a:ln w="25400">
                <a:solidFill>
                  <a:srgbClr val="FF0000"/>
                </a:solidFill>
                <a:prstDash val="solid"/>
              </a:ln>
            </c:spPr>
          </c:errBars>
          <c:xVal>
            <c:numRef>
              <c:f>'Ind groups 2 x 2'!$DH$48</c:f>
              <c:numCache>
                <c:formatCode>General</c:formatCode>
                <c:ptCount val="1"/>
                <c:pt idx="0">
                  <c:v>6.6</c:v>
                </c:pt>
              </c:numCache>
            </c:numRef>
          </c:xVal>
          <c:yVal>
            <c:numRef>
              <c:f>'Ind groups 2 x 2'!$DI$48</c:f>
              <c:numCache>
                <c:formatCode>General</c:formatCode>
                <c:ptCount val="1"/>
                <c:pt idx="0">
                  <c:v>1.44</c:v>
                </c:pt>
              </c:numCache>
            </c:numRef>
          </c:yVal>
        </c:ser>
        <c:ser>
          <c:idx val="1"/>
          <c:order val="26"/>
          <c:spPr>
            <a:ln w="28575">
              <a:noFill/>
            </a:ln>
          </c:spPr>
          <c:marker>
            <c:symbol val="circle"/>
            <c:size val="9"/>
            <c:spPr>
              <a:solidFill>
                <a:srgbClr val="0000FF"/>
              </a:solidFill>
              <a:ln>
                <a:solidFill>
                  <a:srgbClr val="0000FF"/>
                </a:solidFill>
                <a:prstDash val="solid"/>
              </a:ln>
            </c:spPr>
          </c:marker>
          <c:errBars>
            <c:errDir val="y"/>
            <c:errBarType val="both"/>
            <c:errValType val="cust"/>
            <c:noEndCap val="1"/>
            <c:plus>
              <c:numRef>
                <c:f>'Ind groups 2 x 2'!$DF$13:$DF$16</c:f>
                <c:numCache>
                  <c:formatCode>General</c:formatCode>
                  <c:ptCount val="4"/>
                  <c:pt idx="0">
                    <c:v>0.54643172235442405</c:v>
                  </c:pt>
                  <c:pt idx="1">
                    <c:v>0.54643172235442405</c:v>
                  </c:pt>
                  <c:pt idx="2">
                    <c:v>0.55725320302626458</c:v>
                  </c:pt>
                  <c:pt idx="3">
                    <c:v>0.54643172235442405</c:v>
                  </c:pt>
                </c:numCache>
              </c:numRef>
            </c:plus>
            <c:minus>
              <c:numRef>
                <c:f>'Ind groups 2 x 2'!$DF$13:$DF$16</c:f>
                <c:numCache>
                  <c:formatCode>General</c:formatCode>
                  <c:ptCount val="4"/>
                  <c:pt idx="0">
                    <c:v>0.54643172235442405</c:v>
                  </c:pt>
                  <c:pt idx="1">
                    <c:v>0.54643172235442405</c:v>
                  </c:pt>
                  <c:pt idx="2">
                    <c:v>0.55725320302626458</c:v>
                  </c:pt>
                  <c:pt idx="3">
                    <c:v>0.54643172235442405</c:v>
                  </c:pt>
                </c:numCache>
              </c:numRef>
            </c:minus>
            <c:spPr>
              <a:ln w="25400">
                <a:solidFill>
                  <a:srgbClr val="FF99CC"/>
                </a:solidFill>
                <a:prstDash val="solid"/>
              </a:ln>
            </c:spPr>
          </c:errBars>
          <c:xVal>
            <c:numRef>
              <c:f>'Ind groups 2 x 2'!$DD$13:$DD$16</c:f>
              <c:numCache>
                <c:formatCode>General</c:formatCode>
                <c:ptCount val="4"/>
                <c:pt idx="0">
                  <c:v>1.25</c:v>
                </c:pt>
                <c:pt idx="1">
                  <c:v>1.75</c:v>
                </c:pt>
                <c:pt idx="2">
                  <c:v>3.25</c:v>
                </c:pt>
                <c:pt idx="3">
                  <c:v>3.75</c:v>
                </c:pt>
              </c:numCache>
            </c:numRef>
          </c:xVal>
          <c:yVal>
            <c:numRef>
              <c:f>'Ind groups 2 x 2'!$DG$13:$DG$16</c:f>
              <c:numCache>
                <c:formatCode>General</c:formatCode>
                <c:ptCount val="4"/>
                <c:pt idx="0">
                  <c:v>1.5</c:v>
                </c:pt>
                <c:pt idx="1">
                  <c:v>#N/A</c:v>
                </c:pt>
                <c:pt idx="2">
                  <c:v>1.38</c:v>
                </c:pt>
                <c:pt idx="3">
                  <c:v>#N/A</c:v>
                </c:pt>
              </c:numCache>
            </c:numRef>
          </c:yVal>
        </c:ser>
        <c:ser>
          <c:idx val="2"/>
          <c:order val="27"/>
          <c:spPr>
            <a:ln w="28575">
              <a:noFill/>
            </a:ln>
          </c:spPr>
          <c:marker>
            <c:symbol val="circle"/>
            <c:size val="9"/>
            <c:spPr>
              <a:solidFill>
                <a:srgbClr val="008000"/>
              </a:solidFill>
              <a:ln>
                <a:solidFill>
                  <a:srgbClr val="008000"/>
                </a:solidFill>
                <a:prstDash val="solid"/>
              </a:ln>
            </c:spPr>
          </c:marker>
          <c:errBars>
            <c:errDir val="y"/>
            <c:errBarType val="both"/>
            <c:errValType val="cust"/>
            <c:noEndCap val="1"/>
            <c:plus>
              <c:numRef>
                <c:f>'Ind groups 2 x 2'!$DF$13:$DF$16</c:f>
                <c:numCache>
                  <c:formatCode>General</c:formatCode>
                  <c:ptCount val="4"/>
                  <c:pt idx="0">
                    <c:v>0.54643172235442405</c:v>
                  </c:pt>
                  <c:pt idx="1">
                    <c:v>0.54643172235442405</c:v>
                  </c:pt>
                  <c:pt idx="2">
                    <c:v>0.55725320302626458</c:v>
                  </c:pt>
                  <c:pt idx="3">
                    <c:v>0.54643172235442405</c:v>
                  </c:pt>
                </c:numCache>
              </c:numRef>
            </c:plus>
            <c:minus>
              <c:numRef>
                <c:f>'Ind groups 2 x 2'!$DF$13:$DF$16</c:f>
                <c:numCache>
                  <c:formatCode>General</c:formatCode>
                  <c:ptCount val="4"/>
                  <c:pt idx="0">
                    <c:v>0.54643172235442405</c:v>
                  </c:pt>
                  <c:pt idx="1">
                    <c:v>0.54643172235442405</c:v>
                  </c:pt>
                  <c:pt idx="2">
                    <c:v>0.55725320302626458</c:v>
                  </c:pt>
                  <c:pt idx="3">
                    <c:v>0.54643172235442405</c:v>
                  </c:pt>
                </c:numCache>
              </c:numRef>
            </c:minus>
            <c:spPr>
              <a:ln w="25400">
                <a:solidFill>
                  <a:srgbClr val="FF99CC"/>
                </a:solidFill>
                <a:prstDash val="solid"/>
              </a:ln>
            </c:spPr>
          </c:errBars>
          <c:xVal>
            <c:numRef>
              <c:f>'Ind groups 2 x 2'!$DD$13:$DD$16</c:f>
              <c:numCache>
                <c:formatCode>General</c:formatCode>
                <c:ptCount val="4"/>
                <c:pt idx="0">
                  <c:v>1.25</c:v>
                </c:pt>
                <c:pt idx="1">
                  <c:v>1.75</c:v>
                </c:pt>
                <c:pt idx="2">
                  <c:v>3.25</c:v>
                </c:pt>
                <c:pt idx="3">
                  <c:v>3.75</c:v>
                </c:pt>
              </c:numCache>
            </c:numRef>
          </c:xVal>
          <c:yVal>
            <c:numRef>
              <c:f>'Ind groups 2 x 2'!$DH$13:$DH$16</c:f>
              <c:numCache>
                <c:formatCode>General</c:formatCode>
                <c:ptCount val="4"/>
                <c:pt idx="0">
                  <c:v>#N/A</c:v>
                </c:pt>
                <c:pt idx="1">
                  <c:v>1.1399999999999999</c:v>
                </c:pt>
                <c:pt idx="2">
                  <c:v>#N/A</c:v>
                </c:pt>
                <c:pt idx="3">
                  <c:v>2.2200000000000002</c:v>
                </c:pt>
              </c:numCache>
            </c:numRef>
          </c:yVal>
        </c:ser>
        <c:ser>
          <c:idx val="3"/>
          <c:order val="28"/>
          <c:spPr>
            <a:ln w="28575">
              <a:noFill/>
            </a:ln>
          </c:spPr>
          <c:marker>
            <c:symbol val="circle"/>
            <c:size val="9"/>
            <c:spPr>
              <a:solidFill>
                <a:srgbClr val="C0C0C0"/>
              </a:solidFill>
              <a:ln>
                <a:solidFill>
                  <a:srgbClr val="C0C0C0"/>
                </a:solidFill>
                <a:prstDash val="solid"/>
              </a:ln>
            </c:spPr>
          </c:marker>
          <c:errBars>
            <c:errDir val="y"/>
            <c:errBarType val="both"/>
            <c:errValType val="cust"/>
            <c:noEndCap val="1"/>
            <c:plus>
              <c:numRef>
                <c:f>'Ind groups 2 x 2'!$DM$13:$DM$16</c:f>
                <c:numCache>
                  <c:formatCode>General</c:formatCode>
                  <c:ptCount val="4"/>
                  <c:pt idx="0">
                    <c:v>#N/A</c:v>
                  </c:pt>
                  <c:pt idx="1">
                    <c:v>#N/A</c:v>
                  </c:pt>
                  <c:pt idx="2">
                    <c:v>#N/A</c:v>
                  </c:pt>
                  <c:pt idx="3">
                    <c:v>#N/A</c:v>
                  </c:pt>
                </c:numCache>
              </c:numRef>
            </c:plus>
            <c:minus>
              <c:numRef>
                <c:f>'Ind groups 2 x 2'!$DM$13:$DM$16</c:f>
                <c:numCache>
                  <c:formatCode>General</c:formatCode>
                  <c:ptCount val="4"/>
                  <c:pt idx="0">
                    <c:v>#N/A</c:v>
                  </c:pt>
                  <c:pt idx="1">
                    <c:v>#N/A</c:v>
                  </c:pt>
                  <c:pt idx="2">
                    <c:v>#N/A</c:v>
                  </c:pt>
                  <c:pt idx="3">
                    <c:v>#N/A</c:v>
                  </c:pt>
                </c:numCache>
              </c:numRef>
            </c:minus>
            <c:spPr>
              <a:ln w="25400">
                <a:solidFill>
                  <a:srgbClr val="FF99CC"/>
                </a:solidFill>
                <a:prstDash val="solid"/>
              </a:ln>
            </c:spPr>
          </c:errBars>
          <c:xVal>
            <c:numRef>
              <c:f>'Ind groups 2 x 2'!$DK$13:$DK$16</c:f>
              <c:numCache>
                <c:formatCode>General</c:formatCode>
                <c:ptCount val="4"/>
                <c:pt idx="0">
                  <c:v>#N/A</c:v>
                </c:pt>
                <c:pt idx="1">
                  <c:v>#N/A</c:v>
                </c:pt>
                <c:pt idx="2">
                  <c:v>#N/A</c:v>
                </c:pt>
                <c:pt idx="3">
                  <c:v>#N/A</c:v>
                </c:pt>
              </c:numCache>
            </c:numRef>
          </c:xVal>
          <c:yVal>
            <c:numRef>
              <c:f>'Ind groups 2 x 2'!$DL$13:$DL$16</c:f>
              <c:numCache>
                <c:formatCode>General</c:formatCode>
                <c:ptCount val="4"/>
                <c:pt idx="0">
                  <c:v>#N/A</c:v>
                </c:pt>
                <c:pt idx="1">
                  <c:v>#N/A</c:v>
                </c:pt>
                <c:pt idx="2">
                  <c:v>#N/A</c:v>
                </c:pt>
                <c:pt idx="3">
                  <c:v>#N/A</c:v>
                </c:pt>
              </c:numCache>
            </c:numRef>
          </c:yVal>
        </c:ser>
        <c:ser>
          <c:idx val="29"/>
          <c:order val="29"/>
          <c:spPr>
            <a:ln w="38100">
              <a:pattFill prst="pct75">
                <a:fgClr>
                  <a:srgbClr val="800080"/>
                </a:fgClr>
                <a:bgClr>
                  <a:srgbClr val="FFFFFF"/>
                </a:bgClr>
              </a:pattFill>
              <a:prstDash val="solid"/>
            </a:ln>
          </c:spPr>
          <c:marker>
            <c:symbol val="diamond"/>
            <c:size val="10"/>
            <c:spPr>
              <a:solidFill>
                <a:srgbClr val="800080"/>
              </a:solidFill>
              <a:ln>
                <a:solidFill>
                  <a:srgbClr val="800080"/>
                </a:solidFill>
                <a:prstDash val="solid"/>
              </a:ln>
            </c:spPr>
          </c:marker>
          <c:dPt>
            <c:idx val="1"/>
            <c:marker>
              <c:symbol val="none"/>
            </c:marker>
          </c:dPt>
          <c:xVal>
            <c:numRef>
              <c:f>'Ind groups 2 x 2'!$DD$29:$DD$30</c:f>
              <c:numCache>
                <c:formatCode>General</c:formatCode>
                <c:ptCount val="2"/>
                <c:pt idx="0">
                  <c:v>1.5</c:v>
                </c:pt>
                <c:pt idx="1">
                  <c:v>1.5</c:v>
                </c:pt>
              </c:numCache>
            </c:numRef>
          </c:xVal>
          <c:yVal>
            <c:numRef>
              <c:f>'Ind groups 2 x 2'!$DE$29:$DE$30</c:f>
              <c:numCache>
                <c:formatCode>General</c:formatCode>
                <c:ptCount val="2"/>
                <c:pt idx="0">
                  <c:v>#N/A</c:v>
                </c:pt>
                <c:pt idx="1">
                  <c:v>#N/A</c:v>
                </c:pt>
              </c:numCache>
            </c:numRef>
          </c:yVal>
        </c:ser>
        <c:ser>
          <c:idx val="30"/>
          <c:order val="30"/>
          <c:spPr>
            <a:ln w="38100">
              <a:pattFill prst="pct75">
                <a:fgClr>
                  <a:srgbClr val="800080"/>
                </a:fgClr>
                <a:bgClr>
                  <a:srgbClr val="FFFFFF"/>
                </a:bgClr>
              </a:pattFill>
              <a:prstDash val="solid"/>
            </a:ln>
          </c:spPr>
          <c:marker>
            <c:symbol val="diamond"/>
            <c:size val="10"/>
            <c:spPr>
              <a:solidFill>
                <a:srgbClr val="800080"/>
              </a:solidFill>
              <a:ln>
                <a:solidFill>
                  <a:srgbClr val="800080"/>
                </a:solidFill>
                <a:prstDash val="solid"/>
              </a:ln>
            </c:spPr>
          </c:marker>
          <c:dPt>
            <c:idx val="1"/>
            <c:marker>
              <c:symbol val="none"/>
            </c:marker>
          </c:dPt>
          <c:xVal>
            <c:numRef>
              <c:f>'Ind groups 2 x 2'!$DF$29:$DF$30</c:f>
              <c:numCache>
                <c:formatCode>General</c:formatCode>
                <c:ptCount val="2"/>
                <c:pt idx="0">
                  <c:v>3.5</c:v>
                </c:pt>
                <c:pt idx="1">
                  <c:v>3.5</c:v>
                </c:pt>
              </c:numCache>
            </c:numRef>
          </c:xVal>
          <c:yVal>
            <c:numRef>
              <c:f>'Ind groups 2 x 2'!$DG$29:$DG$30</c:f>
              <c:numCache>
                <c:formatCode>General</c:formatCode>
                <c:ptCount val="2"/>
                <c:pt idx="0">
                  <c:v>#N/A</c:v>
                </c:pt>
                <c:pt idx="1">
                  <c:v>#N/A</c:v>
                </c:pt>
              </c:numCache>
            </c:numRef>
          </c:yVal>
        </c:ser>
        <c:ser>
          <c:idx val="31"/>
          <c:order val="31"/>
          <c:spPr>
            <a:ln w="12700">
              <a:solidFill>
                <a:srgbClr val="800080"/>
              </a:solidFill>
              <a:prstDash val="sysDash"/>
            </a:ln>
          </c:spPr>
          <c:marker>
            <c:symbol val="none"/>
          </c:marker>
          <c:xVal>
            <c:numRef>
              <c:f>'Ind groups 2 x 2'!$DD$32:$DD$33</c:f>
              <c:numCache>
                <c:formatCode>General</c:formatCode>
                <c:ptCount val="2"/>
                <c:pt idx="0">
                  <c:v>1.5</c:v>
                </c:pt>
                <c:pt idx="1">
                  <c:v>3.5</c:v>
                </c:pt>
              </c:numCache>
            </c:numRef>
          </c:xVal>
          <c:yVal>
            <c:numRef>
              <c:f>'Ind groups 2 x 2'!$DE$32:$DE$33</c:f>
              <c:numCache>
                <c:formatCode>General</c:formatCode>
                <c:ptCount val="2"/>
                <c:pt idx="0">
                  <c:v>#N/A</c:v>
                </c:pt>
                <c:pt idx="1">
                  <c:v>#N/A</c:v>
                </c:pt>
              </c:numCache>
            </c:numRef>
          </c:yVal>
        </c:ser>
        <c:ser>
          <c:idx val="32"/>
          <c:order val="32"/>
          <c:spPr>
            <a:ln w="12700">
              <a:solidFill>
                <a:srgbClr val="800080"/>
              </a:solidFill>
              <a:prstDash val="sysDash"/>
            </a:ln>
          </c:spPr>
          <c:marker>
            <c:symbol val="none"/>
          </c:marker>
          <c:xVal>
            <c:numRef>
              <c:f>'Ind groups 2 x 2'!$DF$32:$DF$33</c:f>
              <c:numCache>
                <c:formatCode>General</c:formatCode>
                <c:ptCount val="2"/>
                <c:pt idx="0">
                  <c:v>1.5</c:v>
                </c:pt>
                <c:pt idx="1">
                  <c:v>3.5</c:v>
                </c:pt>
              </c:numCache>
            </c:numRef>
          </c:xVal>
          <c:yVal>
            <c:numRef>
              <c:f>'Ind groups 2 x 2'!$DG$32:$DG$33</c:f>
              <c:numCache>
                <c:formatCode>General</c:formatCode>
                <c:ptCount val="2"/>
                <c:pt idx="0">
                  <c:v>#N/A</c:v>
                </c:pt>
                <c:pt idx="1">
                  <c:v>#N/A</c:v>
                </c:pt>
              </c:numCache>
            </c:numRef>
          </c:yVal>
        </c:ser>
        <c:ser>
          <c:idx val="33"/>
          <c:order val="33"/>
          <c:spPr>
            <a:ln w="12700">
              <a:solidFill>
                <a:srgbClr val="800080"/>
              </a:solidFill>
              <a:prstDash val="sysDash"/>
            </a:ln>
          </c:spPr>
          <c:marker>
            <c:symbol val="none"/>
          </c:marker>
          <c:xVal>
            <c:numRef>
              <c:f>'Ind groups 2 x 2'!$DD$35:$DD$36</c:f>
              <c:numCache>
                <c:formatCode>General</c:formatCode>
                <c:ptCount val="2"/>
                <c:pt idx="0">
                  <c:v>3.5</c:v>
                </c:pt>
                <c:pt idx="1">
                  <c:v>8.6999999999999993</c:v>
                </c:pt>
              </c:numCache>
            </c:numRef>
          </c:xVal>
          <c:yVal>
            <c:numRef>
              <c:f>'Ind groups 2 x 2'!$DE$35:$DE$36</c:f>
              <c:numCache>
                <c:formatCode>General</c:formatCode>
                <c:ptCount val="2"/>
                <c:pt idx="0">
                  <c:v>#N/A</c:v>
                </c:pt>
                <c:pt idx="1">
                  <c:v>#N/A</c:v>
                </c:pt>
              </c:numCache>
            </c:numRef>
          </c:yVal>
        </c:ser>
        <c:ser>
          <c:idx val="34"/>
          <c:order val="34"/>
          <c:spPr>
            <a:ln w="12700">
              <a:solidFill>
                <a:srgbClr val="800080"/>
              </a:solidFill>
              <a:prstDash val="sysDash"/>
            </a:ln>
          </c:spPr>
          <c:marker>
            <c:symbol val="none"/>
          </c:marker>
          <c:xVal>
            <c:numRef>
              <c:f>'Ind groups 2 x 2'!$DF$35:$DF$36</c:f>
              <c:numCache>
                <c:formatCode>General</c:formatCode>
                <c:ptCount val="2"/>
                <c:pt idx="0">
                  <c:v>3.5</c:v>
                </c:pt>
                <c:pt idx="1">
                  <c:v>8.6999999999999993</c:v>
                </c:pt>
              </c:numCache>
            </c:numRef>
          </c:xVal>
          <c:yVal>
            <c:numRef>
              <c:f>'Ind groups 2 x 2'!$DG$35:$DG$36</c:f>
              <c:numCache>
                <c:formatCode>General</c:formatCode>
                <c:ptCount val="2"/>
                <c:pt idx="0">
                  <c:v>#N/A</c:v>
                </c:pt>
                <c:pt idx="1">
                  <c:v>#N/A</c:v>
                </c:pt>
              </c:numCache>
            </c:numRef>
          </c:yVal>
        </c:ser>
        <c:ser>
          <c:idx val="35"/>
          <c:order val="35"/>
          <c:spPr>
            <a:ln w="28575">
              <a:noFill/>
            </a:ln>
          </c:spPr>
          <c:marker>
            <c:symbol val="triangle"/>
            <c:size val="10"/>
            <c:spPr>
              <a:solidFill>
                <a:srgbClr val="800080"/>
              </a:solidFill>
              <a:ln>
                <a:solidFill>
                  <a:srgbClr val="800080"/>
                </a:solidFill>
                <a:prstDash val="solid"/>
              </a:ln>
            </c:spPr>
          </c:marker>
          <c:errBars>
            <c:errDir val="y"/>
            <c:errBarType val="both"/>
            <c:errValType val="cust"/>
            <c:noEndCap val="1"/>
            <c:plus>
              <c:numRef>
                <c:f>'Ind groups 2 x 2'!$DF$38</c:f>
                <c:numCache>
                  <c:formatCode>General</c:formatCode>
                  <c:ptCount val="1"/>
                  <c:pt idx="0">
                    <c:v>#N/A</c:v>
                  </c:pt>
                </c:numCache>
              </c:numRef>
            </c:plus>
            <c:minus>
              <c:numRef>
                <c:f>'Ind groups 2 x 2'!$DF$38</c:f>
                <c:numCache>
                  <c:formatCode>General</c:formatCode>
                  <c:ptCount val="1"/>
                  <c:pt idx="0">
                    <c:v>#N/A</c:v>
                  </c:pt>
                </c:numCache>
              </c:numRef>
            </c:minus>
            <c:spPr>
              <a:ln w="25400">
                <a:solidFill>
                  <a:srgbClr val="FF0000"/>
                </a:solidFill>
                <a:prstDash val="solid"/>
              </a:ln>
            </c:spPr>
          </c:errBars>
          <c:xVal>
            <c:numRef>
              <c:f>'Ind groups 2 x 2'!$DD$38</c:f>
              <c:numCache>
                <c:formatCode>General</c:formatCode>
                <c:ptCount val="1"/>
                <c:pt idx="0">
                  <c:v>8.3000000000000007</c:v>
                </c:pt>
              </c:numCache>
            </c:numRef>
          </c:xVal>
          <c:yVal>
            <c:numRef>
              <c:f>'Ind groups 2 x 2'!$DE$38</c:f>
              <c:numCache>
                <c:formatCode>General</c:formatCode>
                <c:ptCount val="1"/>
                <c:pt idx="0">
                  <c:v>#N/A</c:v>
                </c:pt>
              </c:numCache>
            </c:numRef>
          </c:yVal>
        </c:ser>
        <c:ser>
          <c:idx val="36"/>
          <c:order val="36"/>
          <c:spPr>
            <a:ln w="12700">
              <a:solidFill>
                <a:srgbClr val="000000"/>
              </a:solidFill>
              <a:prstDash val="solid"/>
            </a:ln>
          </c:spPr>
          <c:marker>
            <c:symbol val="dot"/>
            <c:size val="5"/>
            <c:spPr>
              <a:noFill/>
              <a:ln>
                <a:solidFill>
                  <a:srgbClr val="000000"/>
                </a:solidFill>
                <a:prstDash val="solid"/>
              </a:ln>
            </c:spPr>
          </c:marker>
          <c:xVal>
            <c:numRef>
              <c:f>'Ind groups 2 x 2'!$CU$48:$CU$51</c:f>
              <c:numCache>
                <c:formatCode>General</c:formatCode>
                <c:ptCount val="4"/>
                <c:pt idx="0">
                  <c:v>8.6999999999999993</c:v>
                </c:pt>
                <c:pt idx="1">
                  <c:v>8.6999999999999993</c:v>
                </c:pt>
                <c:pt idx="2">
                  <c:v>8.6999999999999993</c:v>
                </c:pt>
                <c:pt idx="3">
                  <c:v>8.6999999999999993</c:v>
                </c:pt>
              </c:numCache>
            </c:numRef>
          </c:xVal>
          <c:yVal>
            <c:numRef>
              <c:f>'Ind groups 2 x 2'!$CV$48:$CV$51</c:f>
              <c:numCache>
                <c:formatCode>General</c:formatCode>
                <c:ptCount val="4"/>
                <c:pt idx="0">
                  <c:v>#N/A</c:v>
                </c:pt>
                <c:pt idx="1">
                  <c:v>3.24</c:v>
                </c:pt>
                <c:pt idx="2">
                  <c:v>3.04</c:v>
                </c:pt>
                <c:pt idx="3">
                  <c:v>2.84</c:v>
                </c:pt>
              </c:numCache>
            </c:numRef>
          </c:yVal>
        </c:ser>
        <c:ser>
          <c:idx val="37"/>
          <c:order val="37"/>
          <c:spPr>
            <a:ln w="12700">
              <a:solidFill>
                <a:srgbClr val="000000"/>
              </a:solidFill>
              <a:prstDash val="solid"/>
            </a:ln>
          </c:spPr>
          <c:marker>
            <c:symbol val="dot"/>
            <c:size val="5"/>
            <c:spPr>
              <a:noFill/>
              <a:ln>
                <a:solidFill>
                  <a:srgbClr val="000000"/>
                </a:solidFill>
                <a:prstDash val="solid"/>
              </a:ln>
            </c:spPr>
          </c:marker>
          <c:xVal>
            <c:numRef>
              <c:f>'Ind groups 2 x 2'!$CU$51:$CU$54</c:f>
              <c:numCache>
                <c:formatCode>General</c:formatCode>
                <c:ptCount val="4"/>
                <c:pt idx="0">
                  <c:v>8.6999999999999993</c:v>
                </c:pt>
                <c:pt idx="1">
                  <c:v>8.6999999999999993</c:v>
                </c:pt>
                <c:pt idx="2">
                  <c:v>8.6999999999999993</c:v>
                </c:pt>
                <c:pt idx="3">
                  <c:v>8.6999999999999993</c:v>
                </c:pt>
              </c:numCache>
            </c:numRef>
          </c:xVal>
          <c:yVal>
            <c:numRef>
              <c:f>'Ind groups 2 x 2'!$CV$51:$CV$54</c:f>
              <c:numCache>
                <c:formatCode>General</c:formatCode>
                <c:ptCount val="4"/>
                <c:pt idx="0">
                  <c:v>2.84</c:v>
                </c:pt>
                <c:pt idx="1">
                  <c:v>2.64</c:v>
                </c:pt>
                <c:pt idx="2">
                  <c:v>2.44</c:v>
                </c:pt>
                <c:pt idx="3">
                  <c:v>2.2400000000000002</c:v>
                </c:pt>
              </c:numCache>
            </c:numRef>
          </c:yVal>
        </c:ser>
        <c:ser>
          <c:idx val="38"/>
          <c:order val="38"/>
          <c:spPr>
            <a:ln w="12700">
              <a:solidFill>
                <a:srgbClr val="000000"/>
              </a:solidFill>
              <a:prstDash val="solid"/>
            </a:ln>
          </c:spPr>
          <c:marker>
            <c:symbol val="dot"/>
            <c:size val="5"/>
            <c:spPr>
              <a:noFill/>
              <a:ln>
                <a:solidFill>
                  <a:srgbClr val="000000"/>
                </a:solidFill>
                <a:prstDash val="solid"/>
              </a:ln>
            </c:spPr>
          </c:marker>
          <c:xVal>
            <c:numRef>
              <c:f>'Ind groups 2 x 2'!$CU$54:$CU$57</c:f>
              <c:numCache>
                <c:formatCode>General</c:formatCode>
                <c:ptCount val="4"/>
                <c:pt idx="0">
                  <c:v>8.6999999999999993</c:v>
                </c:pt>
                <c:pt idx="1">
                  <c:v>8.6999999999999993</c:v>
                </c:pt>
                <c:pt idx="2">
                  <c:v>8.6999999999999993</c:v>
                </c:pt>
                <c:pt idx="3">
                  <c:v>8.6999999999999993</c:v>
                </c:pt>
              </c:numCache>
            </c:numRef>
          </c:xVal>
          <c:yVal>
            <c:numRef>
              <c:f>'Ind groups 2 x 2'!$CV$54:$CV$57</c:f>
              <c:numCache>
                <c:formatCode>General</c:formatCode>
                <c:ptCount val="4"/>
                <c:pt idx="0">
                  <c:v>2.2400000000000002</c:v>
                </c:pt>
                <c:pt idx="1">
                  <c:v>2.04</c:v>
                </c:pt>
                <c:pt idx="2">
                  <c:v>1.8399999999999999</c:v>
                </c:pt>
                <c:pt idx="3">
                  <c:v>1.64</c:v>
                </c:pt>
              </c:numCache>
            </c:numRef>
          </c:yVal>
        </c:ser>
        <c:ser>
          <c:idx val="39"/>
          <c:order val="39"/>
          <c:spPr>
            <a:ln w="12700">
              <a:solidFill>
                <a:srgbClr val="000000"/>
              </a:solidFill>
              <a:prstDash val="solid"/>
            </a:ln>
          </c:spPr>
          <c:marker>
            <c:symbol val="dot"/>
            <c:size val="5"/>
            <c:spPr>
              <a:noFill/>
              <a:ln>
                <a:solidFill>
                  <a:srgbClr val="000000"/>
                </a:solidFill>
                <a:prstDash val="solid"/>
              </a:ln>
            </c:spPr>
          </c:marker>
          <c:xVal>
            <c:numRef>
              <c:f>'Ind groups 2 x 2'!$CU$57:$CU$60</c:f>
              <c:numCache>
                <c:formatCode>General</c:formatCode>
                <c:ptCount val="4"/>
                <c:pt idx="0">
                  <c:v>8.6999999999999993</c:v>
                </c:pt>
                <c:pt idx="1">
                  <c:v>8.6999999999999993</c:v>
                </c:pt>
                <c:pt idx="2">
                  <c:v>8.6999999999999993</c:v>
                </c:pt>
                <c:pt idx="3">
                  <c:v>8.6999999999999993</c:v>
                </c:pt>
              </c:numCache>
            </c:numRef>
          </c:xVal>
          <c:yVal>
            <c:numRef>
              <c:f>'Ind groups 2 x 2'!$CV$57:$CV$60</c:f>
              <c:numCache>
                <c:formatCode>General</c:formatCode>
                <c:ptCount val="4"/>
                <c:pt idx="0">
                  <c:v>1.64</c:v>
                </c:pt>
                <c:pt idx="1">
                  <c:v>1.44</c:v>
                </c:pt>
                <c:pt idx="2">
                  <c:v>1.24</c:v>
                </c:pt>
                <c:pt idx="3">
                  <c:v>1.04</c:v>
                </c:pt>
              </c:numCache>
            </c:numRef>
          </c:yVal>
        </c:ser>
        <c:ser>
          <c:idx val="40"/>
          <c:order val="40"/>
          <c:spPr>
            <a:ln w="12700">
              <a:solidFill>
                <a:srgbClr val="000000"/>
              </a:solidFill>
              <a:prstDash val="solid"/>
            </a:ln>
          </c:spPr>
          <c:marker>
            <c:symbol val="dot"/>
            <c:size val="5"/>
            <c:spPr>
              <a:noFill/>
              <a:ln>
                <a:solidFill>
                  <a:srgbClr val="000000"/>
                </a:solidFill>
                <a:prstDash val="solid"/>
              </a:ln>
            </c:spPr>
          </c:marker>
          <c:xVal>
            <c:numRef>
              <c:f>'Ind groups 2 x 2'!$CU$60:$CU$63</c:f>
              <c:numCache>
                <c:formatCode>General</c:formatCode>
                <c:ptCount val="4"/>
                <c:pt idx="0">
                  <c:v>8.6999999999999993</c:v>
                </c:pt>
                <c:pt idx="1">
                  <c:v>8.6999999999999993</c:v>
                </c:pt>
                <c:pt idx="2">
                  <c:v>8.6999999999999993</c:v>
                </c:pt>
                <c:pt idx="3">
                  <c:v>8.6999999999999993</c:v>
                </c:pt>
              </c:numCache>
            </c:numRef>
          </c:xVal>
          <c:yVal>
            <c:numRef>
              <c:f>'Ind groups 2 x 2'!$CV$60:$CV$63</c:f>
              <c:numCache>
                <c:formatCode>General</c:formatCode>
                <c:ptCount val="4"/>
                <c:pt idx="0">
                  <c:v>1.04</c:v>
                </c:pt>
                <c:pt idx="1">
                  <c:v>0.83999999999999986</c:v>
                </c:pt>
                <c:pt idx="2">
                  <c:v>0.6399999999999999</c:v>
                </c:pt>
                <c:pt idx="3">
                  <c:v>#N/A</c:v>
                </c:pt>
              </c:numCache>
            </c:numRef>
          </c:yVal>
        </c:ser>
        <c:ser>
          <c:idx val="41"/>
          <c:order val="41"/>
          <c:spPr>
            <a:ln w="12700">
              <a:solidFill>
                <a:srgbClr val="000000"/>
              </a:solidFill>
              <a:prstDash val="solid"/>
            </a:ln>
          </c:spPr>
          <c:marker>
            <c:symbol val="dot"/>
            <c:size val="5"/>
            <c:spPr>
              <a:noFill/>
              <a:ln>
                <a:solidFill>
                  <a:srgbClr val="000000"/>
                </a:solidFill>
                <a:prstDash val="solid"/>
              </a:ln>
            </c:spPr>
          </c:marker>
          <c:xVal>
            <c:numRef>
              <c:f>'Ind groups 2 x 2'!$CU$63:$CU$66</c:f>
              <c:numCache>
                <c:formatCode>General</c:formatCode>
                <c:ptCount val="4"/>
                <c:pt idx="0">
                  <c:v>8.6999999999999993</c:v>
                </c:pt>
                <c:pt idx="1">
                  <c:v>8.6999999999999993</c:v>
                </c:pt>
                <c:pt idx="2">
                  <c:v>8.6999999999999993</c:v>
                </c:pt>
                <c:pt idx="3">
                  <c:v>8.6999999999999993</c:v>
                </c:pt>
              </c:numCache>
            </c:numRef>
          </c:xVal>
          <c:yVal>
            <c:numRef>
              <c:f>'Ind groups 2 x 2'!$CV$63:$CV$66</c:f>
              <c:numCache>
                <c:formatCode>General</c:formatCode>
                <c:ptCount val="4"/>
                <c:pt idx="0">
                  <c:v>#N/A</c:v>
                </c:pt>
                <c:pt idx="1">
                  <c:v>#N/A</c:v>
                </c:pt>
                <c:pt idx="2">
                  <c:v>#N/A</c:v>
                </c:pt>
                <c:pt idx="3">
                  <c:v>#N/A</c:v>
                </c:pt>
              </c:numCache>
            </c:numRef>
          </c:yVal>
        </c:ser>
        <c:ser>
          <c:idx val="42"/>
          <c:order val="42"/>
          <c:spPr>
            <a:ln w="12700">
              <a:solidFill>
                <a:srgbClr val="000000"/>
              </a:solidFill>
              <a:prstDash val="solid"/>
            </a:ln>
          </c:spPr>
          <c:marker>
            <c:symbol val="dot"/>
            <c:size val="5"/>
            <c:spPr>
              <a:noFill/>
              <a:ln>
                <a:solidFill>
                  <a:srgbClr val="000000"/>
                </a:solidFill>
                <a:prstDash val="solid"/>
              </a:ln>
            </c:spPr>
          </c:marker>
          <c:xVal>
            <c:numRef>
              <c:f>'Ind groups 2 x 2'!$CU$65:$CU$68</c:f>
              <c:numCache>
                <c:formatCode>General</c:formatCode>
                <c:ptCount val="4"/>
                <c:pt idx="0">
                  <c:v>8.6999999999999993</c:v>
                </c:pt>
                <c:pt idx="1">
                  <c:v>8.6999999999999993</c:v>
                </c:pt>
                <c:pt idx="2">
                  <c:v>8.6999999999999993</c:v>
                </c:pt>
                <c:pt idx="3">
                  <c:v>8.6999999999999993</c:v>
                </c:pt>
              </c:numCache>
            </c:numRef>
          </c:xVal>
          <c:yVal>
            <c:numRef>
              <c:f>'Ind groups 2 x 2'!$CV$65:$CV$68</c:f>
              <c:numCache>
                <c:formatCode>General</c:formatCode>
                <c:ptCount val="4"/>
                <c:pt idx="0">
                  <c:v>#N/A</c:v>
                </c:pt>
                <c:pt idx="1">
                  <c:v>#N/A</c:v>
                </c:pt>
                <c:pt idx="2">
                  <c:v>#N/A</c:v>
                </c:pt>
                <c:pt idx="3">
                  <c:v>#N/A</c:v>
                </c:pt>
              </c:numCache>
            </c:numRef>
          </c:yVal>
        </c:ser>
        <c:axId val="180796416"/>
        <c:axId val="180802688"/>
      </c:scatterChart>
      <c:catAx>
        <c:axId val="180796416"/>
        <c:scaling>
          <c:orientation val="minMax"/>
        </c:scaling>
        <c:axPos val="b"/>
        <c:numFmt formatCode="General" sourceLinked="1"/>
        <c:majorTickMark val="none"/>
        <c:tickLblPos val="none"/>
        <c:spPr>
          <a:ln w="9525">
            <a:noFill/>
          </a:ln>
        </c:spPr>
        <c:crossAx val="180802688"/>
        <c:crosses val="autoZero"/>
        <c:auto val="1"/>
        <c:lblAlgn val="ctr"/>
        <c:lblOffset val="100"/>
        <c:tickMarkSkip val="1"/>
      </c:catAx>
      <c:valAx>
        <c:axId val="180802688"/>
        <c:scaling>
          <c:orientation val="minMax"/>
        </c:scaling>
        <c:axPos val="l"/>
        <c:title>
          <c:tx>
            <c:strRef>
              <c:f>'Ind groups 2 x 2'!$CZ$22</c:f>
              <c:strCache>
                <c:ptCount val="1"/>
                <c:pt idx="0">
                  <c:v>False Memory Score</c:v>
                </c:pt>
              </c:strCache>
            </c:strRef>
          </c:tx>
          <c:layout>
            <c:manualLayout>
              <c:xMode val="edge"/>
              <c:yMode val="edge"/>
              <c:x val="6.4599564709964374E-3"/>
              <c:y val="0.30952432358817589"/>
            </c:manualLayout>
          </c:layout>
          <c:spPr>
            <a:noFill/>
            <a:ln w="25400">
              <a:noFill/>
            </a:ln>
          </c:spPr>
          <c:txPr>
            <a:bodyPr/>
            <a:lstStyle/>
            <a:p>
              <a:pPr algn="ctr" rtl="0">
                <a:defRPr sz="1200" b="0" i="0" u="none" strike="noStrike" baseline="0">
                  <a:solidFill>
                    <a:srgbClr val="000000"/>
                  </a:solidFill>
                  <a:latin typeface="Arial"/>
                  <a:ea typeface="Arial"/>
                  <a:cs typeface="Arial"/>
                </a:defRPr>
              </a:pPr>
              <a:endParaRPr lang="en-US"/>
            </a:p>
          </c:txPr>
        </c:title>
        <c:numFmt formatCode="General" sourceLinked="1"/>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0796416"/>
        <c:crosses val="autoZero"/>
        <c:crossBetween val="between"/>
      </c:valAx>
      <c:spPr>
        <a:noFill/>
        <a:ln w="25400">
          <a:noFill/>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paperSize="9" orientation="landscape" horizontalDpi="-3" verticalDpi="-3"/>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c:lang val="en-AU"/>
  <c:chart>
    <c:plotArea>
      <c:layout/>
      <c:scatterChart>
        <c:scatterStyle val="lineMarker"/>
        <c:ser>
          <c:idx val="0"/>
          <c:order val="0"/>
          <c:spPr>
            <a:ln w="38100">
              <a:pattFill prst="pct75">
                <a:fgClr>
                  <a:srgbClr val="800080"/>
                </a:fgClr>
                <a:bgClr>
                  <a:srgbClr val="FFFFFF"/>
                </a:bgClr>
              </a:pattFill>
              <a:prstDash val="solid"/>
            </a:ln>
          </c:spPr>
          <c:marker>
            <c:symbol val="diamond"/>
            <c:size val="9"/>
            <c:spPr>
              <a:solidFill>
                <a:srgbClr val="000080"/>
              </a:solidFill>
              <a:ln>
                <a:solidFill>
                  <a:srgbClr val="000080"/>
                </a:solidFill>
                <a:prstDash val="solid"/>
              </a:ln>
            </c:spPr>
          </c:marker>
          <c:dPt>
            <c:idx val="0"/>
            <c:marker>
              <c:symbol val="none"/>
            </c:marker>
          </c:dPt>
          <c:xVal>
            <c:numRef>
              <c:f>'Ind groups 2 x 2'!$CZ$32:$DA$32</c:f>
              <c:numCache>
                <c:formatCode>General</c:formatCode>
                <c:ptCount val="2"/>
                <c:pt idx="0">
                  <c:v>0</c:v>
                </c:pt>
                <c:pt idx="1">
                  <c:v>0</c:v>
                </c:pt>
              </c:numCache>
            </c:numRef>
          </c:xVal>
          <c:yVal>
            <c:numRef>
              <c:f>'Ind groups 2 x 2'!$CZ$33:$DA$33</c:f>
              <c:numCache>
                <c:formatCode>General</c:formatCode>
                <c:ptCount val="2"/>
                <c:pt idx="0">
                  <c:v>0</c:v>
                </c:pt>
                <c:pt idx="1">
                  <c:v>1</c:v>
                </c:pt>
              </c:numCache>
            </c:numRef>
          </c:yVal>
        </c:ser>
        <c:axId val="180849664"/>
        <c:axId val="180970624"/>
      </c:scatterChart>
      <c:valAx>
        <c:axId val="180849664"/>
        <c:scaling>
          <c:orientation val="minMax"/>
        </c:scaling>
        <c:axPos val="b"/>
        <c:numFmt formatCode="General" sourceLinked="1"/>
        <c:majorTickMark val="none"/>
        <c:tickLblPos val="none"/>
        <c:spPr>
          <a:ln w="9525">
            <a:noFill/>
          </a:ln>
        </c:spPr>
        <c:crossAx val="180970624"/>
        <c:crosses val="autoZero"/>
        <c:crossBetween val="midCat"/>
      </c:valAx>
      <c:valAx>
        <c:axId val="180970624"/>
        <c:scaling>
          <c:orientation val="minMax"/>
          <c:max val="1"/>
          <c:min val="0"/>
        </c:scaling>
        <c:axPos val="l"/>
        <c:numFmt formatCode="General" sourceLinked="1"/>
        <c:majorTickMark val="none"/>
        <c:tickLblPos val="none"/>
        <c:spPr>
          <a:ln w="9525">
            <a:noFill/>
          </a:ln>
        </c:spPr>
        <c:crossAx val="180849664"/>
        <c:crosses val="autoZero"/>
        <c:crossBetween val="midCat"/>
      </c:valAx>
      <c:spPr>
        <a:noFill/>
        <a:ln w="25400">
          <a:noFill/>
        </a:ln>
      </c:spPr>
    </c:plotArea>
    <c:plotVisOnly val="1"/>
    <c:dispBlanksAs val="gap"/>
  </c:chart>
  <c:spPr>
    <a:no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0.14663461538461525"/>
          <c:y val="3.2490974729241909E-2"/>
          <c:w val="0.84375000000000056"/>
          <c:h val="0.89530685920577613"/>
        </c:manualLayout>
      </c:layout>
      <c:lineChart>
        <c:grouping val="standard"/>
        <c:ser>
          <c:idx val="0"/>
          <c:order val="0"/>
          <c:spPr>
            <a:ln w="28575">
              <a:noFill/>
            </a:ln>
          </c:spPr>
          <c:marker>
            <c:symbol val="circle"/>
            <c:size val="7"/>
            <c:spPr>
              <a:solidFill>
                <a:srgbClr val="000000"/>
              </a:solidFill>
              <a:ln>
                <a:solidFill>
                  <a:srgbClr val="000000"/>
                </a:solidFill>
                <a:prstDash val="solid"/>
              </a:ln>
            </c:spPr>
          </c:marker>
          <c:cat>
            <c:strRef>
              <c:f>'Robust two'!$AO$99:$AQ$99</c:f>
              <c:strCache>
                <c:ptCount val="3"/>
                <c:pt idx="0">
                  <c:v>     Males     </c:v>
                </c:pt>
                <c:pt idx="1">
                  <c:v>Females</c:v>
                </c:pt>
                <c:pt idx="2">
                  <c:v>Difference</c:v>
                </c:pt>
              </c:strCache>
            </c:strRef>
          </c:cat>
          <c:val>
            <c:numRef>
              <c:f>'Robust two'!$AO$100:$AP$100</c:f>
              <c:numCache>
                <c:formatCode>General</c:formatCode>
                <c:ptCount val="2"/>
                <c:pt idx="0">
                  <c:v>11.549019607843137</c:v>
                </c:pt>
                <c:pt idx="1">
                  <c:v>7.0909090909090908</c:v>
                </c:pt>
              </c:numCache>
            </c:numRef>
          </c:val>
        </c:ser>
        <c:ser>
          <c:idx val="2"/>
          <c:order val="2"/>
          <c:spPr>
            <a:ln w="28575">
              <a:noFill/>
            </a:ln>
          </c:spPr>
          <c:marker>
            <c:symbol val="square"/>
            <c:size val="7"/>
            <c:spPr>
              <a:noFill/>
              <a:ln w="9525">
                <a:noFill/>
              </a:ln>
            </c:spPr>
          </c:marker>
          <c:errBars>
            <c:errDir val="y"/>
            <c:errBarType val="both"/>
            <c:errValType val="cust"/>
            <c:noEndCap val="1"/>
            <c:plus>
              <c:numRef>
                <c:f>'Robust two'!$AO$103:$AP$103</c:f>
                <c:numCache>
                  <c:formatCode>General</c:formatCode>
                  <c:ptCount val="2"/>
                  <c:pt idx="0">
                    <c:v>6.8622216909807561</c:v>
                  </c:pt>
                  <c:pt idx="1">
                    <c:v>2.6937474421913334</c:v>
                  </c:pt>
                </c:numCache>
              </c:numRef>
            </c:plus>
            <c:minus>
              <c:numRef>
                <c:f>'Robust two'!$AO$103:$AP$103</c:f>
                <c:numCache>
                  <c:formatCode>General</c:formatCode>
                  <c:ptCount val="2"/>
                  <c:pt idx="0">
                    <c:v>6.8622216909807561</c:v>
                  </c:pt>
                  <c:pt idx="1">
                    <c:v>2.6937474421913334</c:v>
                  </c:pt>
                </c:numCache>
              </c:numRef>
            </c:minus>
            <c:spPr>
              <a:ln w="25400">
                <a:solidFill>
                  <a:srgbClr val="000000"/>
                </a:solidFill>
                <a:prstDash val="solid"/>
              </a:ln>
            </c:spPr>
          </c:errBars>
          <c:cat>
            <c:strRef>
              <c:f>'Robust two'!$AO$99:$AQ$99</c:f>
              <c:strCache>
                <c:ptCount val="3"/>
                <c:pt idx="0">
                  <c:v>     Males     </c:v>
                </c:pt>
                <c:pt idx="1">
                  <c:v>Females</c:v>
                </c:pt>
                <c:pt idx="2">
                  <c:v>Difference</c:v>
                </c:pt>
              </c:strCache>
            </c:strRef>
          </c:cat>
          <c:val>
            <c:numRef>
              <c:f>'Robust two'!$AO$102:$AP$102</c:f>
              <c:numCache>
                <c:formatCode>General</c:formatCode>
                <c:ptCount val="2"/>
                <c:pt idx="0">
                  <c:v>11.549019607843137</c:v>
                </c:pt>
                <c:pt idx="1">
                  <c:v>7.0909090909090908</c:v>
                </c:pt>
              </c:numCache>
            </c:numRef>
          </c:val>
        </c:ser>
        <c:ser>
          <c:idx val="3"/>
          <c:order val="3"/>
          <c:spPr>
            <a:ln w="28575">
              <a:noFill/>
            </a:ln>
          </c:spPr>
          <c:marker>
            <c:symbol val="none"/>
          </c:marker>
          <c:cat>
            <c:strRef>
              <c:f>'Robust two'!$AO$99:$AQ$99</c:f>
              <c:strCache>
                <c:ptCount val="3"/>
                <c:pt idx="0">
                  <c:v>     Males     </c:v>
                </c:pt>
                <c:pt idx="1">
                  <c:v>Females</c:v>
                </c:pt>
                <c:pt idx="2">
                  <c:v>Difference</c:v>
                </c:pt>
              </c:strCache>
            </c:strRef>
          </c:cat>
          <c:val>
            <c:numRef>
              <c:f>'Robust two'!$AO$126:$AP$126</c:f>
              <c:numCache>
                <c:formatCode>General</c:formatCode>
                <c:ptCount val="2"/>
                <c:pt idx="0">
                  <c:v>18.411241298823892</c:v>
                </c:pt>
                <c:pt idx="1">
                  <c:v>18.411241298823892</c:v>
                </c:pt>
              </c:numCache>
            </c:numRef>
          </c:val>
        </c:ser>
        <c:ser>
          <c:idx val="5"/>
          <c:order val="11"/>
          <c:spPr>
            <a:ln w="28575">
              <a:noFill/>
            </a:ln>
          </c:spPr>
          <c:marker>
            <c:symbol val="circle"/>
            <c:size val="7"/>
            <c:spPr>
              <a:solidFill>
                <a:srgbClr val="FF0000"/>
              </a:solidFill>
              <a:ln>
                <a:solidFill>
                  <a:srgbClr val="FF0000"/>
                </a:solidFill>
                <a:prstDash val="solid"/>
              </a:ln>
            </c:spPr>
          </c:marker>
          <c:errBars>
            <c:errDir val="y"/>
            <c:errBarType val="both"/>
            <c:errValType val="cust"/>
            <c:noEndCap val="1"/>
            <c:plus>
              <c:numRef>
                <c:f>'Robust two'!$AO$90:$AP$90</c:f>
                <c:numCache>
                  <c:formatCode>General</c:formatCode>
                  <c:ptCount val="2"/>
                  <c:pt idx="0">
                    <c:v>0</c:v>
                  </c:pt>
                  <c:pt idx="1">
                    <c:v>0</c:v>
                  </c:pt>
                </c:numCache>
              </c:numRef>
            </c:plus>
            <c:minus>
              <c:numRef>
                <c:f>'Robust two'!$AO$90:$AP$90</c:f>
                <c:numCache>
                  <c:formatCode>General</c:formatCode>
                  <c:ptCount val="2"/>
                  <c:pt idx="0">
                    <c:v>0</c:v>
                  </c:pt>
                  <c:pt idx="1">
                    <c:v>0</c:v>
                  </c:pt>
                </c:numCache>
              </c:numRef>
            </c:minus>
            <c:spPr>
              <a:ln w="25400">
                <a:solidFill>
                  <a:srgbClr val="FF0000"/>
                </a:solidFill>
                <a:prstDash val="solid"/>
              </a:ln>
            </c:spPr>
          </c:errBars>
          <c:cat>
            <c:strRef>
              <c:f>'Robust two'!$AO$99:$AQ$99</c:f>
              <c:strCache>
                <c:ptCount val="3"/>
                <c:pt idx="0">
                  <c:v>     Males     </c:v>
                </c:pt>
                <c:pt idx="1">
                  <c:v>Females</c:v>
                </c:pt>
                <c:pt idx="2">
                  <c:v>Difference</c:v>
                </c:pt>
              </c:strCache>
            </c:strRef>
          </c:cat>
          <c:val>
            <c:numRef>
              <c:f>'Robust two'!$AO$89:$AP$89</c:f>
              <c:numCache>
                <c:formatCode>General</c:formatCode>
                <c:ptCount val="2"/>
                <c:pt idx="0">
                  <c:v>#N/A</c:v>
                </c:pt>
                <c:pt idx="1">
                  <c:v>#N/A</c:v>
                </c:pt>
              </c:numCache>
            </c:numRef>
          </c:val>
        </c:ser>
        <c:marker val="1"/>
        <c:axId val="182460416"/>
        <c:axId val="182461952"/>
      </c:lineChart>
      <c:scatterChart>
        <c:scatterStyle val="lineMarker"/>
        <c:ser>
          <c:idx val="9"/>
          <c:order val="1"/>
          <c:spPr>
            <a:ln w="28575">
              <a:noFill/>
            </a:ln>
          </c:spPr>
          <c:marker>
            <c:symbol val="none"/>
          </c:marker>
          <c:xVal>
            <c:numRef>
              <c:f>'Robust two'!$AR$95:$AR$97</c:f>
              <c:numCache>
                <c:formatCode>General</c:formatCode>
                <c:ptCount val="3"/>
                <c:pt idx="0">
                  <c:v>1</c:v>
                </c:pt>
                <c:pt idx="1">
                  <c:v>2</c:v>
                </c:pt>
                <c:pt idx="2">
                  <c:v>3</c:v>
                </c:pt>
              </c:numCache>
            </c:numRef>
          </c:xVal>
          <c:yVal>
            <c:numRef>
              <c:f>'Robust two'!$AS$95:$AS$97</c:f>
              <c:numCache>
                <c:formatCode>General</c:formatCode>
                <c:ptCount val="3"/>
                <c:pt idx="0">
                  <c:v>0</c:v>
                </c:pt>
                <c:pt idx="1">
                  <c:v>0</c:v>
                </c:pt>
                <c:pt idx="2">
                  <c:v>0</c:v>
                </c:pt>
              </c:numCache>
            </c:numRef>
          </c:yVal>
        </c:ser>
        <c:ser>
          <c:idx val="8"/>
          <c:order val="4"/>
          <c:spPr>
            <a:ln w="28575">
              <a:noFill/>
            </a:ln>
          </c:spPr>
          <c:marker>
            <c:symbol val="none"/>
          </c:marker>
          <c:xVal>
            <c:strRef>
              <c:f>'Robust two'!$AO$99:$AP$99</c:f>
              <c:strCache>
                <c:ptCount val="2"/>
                <c:pt idx="0">
                  <c:v>     Males     </c:v>
                </c:pt>
                <c:pt idx="1">
                  <c:v>Females</c:v>
                </c:pt>
              </c:strCache>
            </c:strRef>
          </c:xVal>
          <c:yVal>
            <c:numRef>
              <c:f>'Robust two'!$AO$127:$AP$127</c:f>
              <c:numCache>
                <c:formatCode>General</c:formatCode>
                <c:ptCount val="2"/>
                <c:pt idx="0">
                  <c:v>-0.62208104252079544</c:v>
                </c:pt>
                <c:pt idx="1">
                  <c:v>-0.62208104252079544</c:v>
                </c:pt>
              </c:numCache>
            </c:numRef>
          </c:yVal>
        </c:ser>
        <c:ser>
          <c:idx val="6"/>
          <c:order val="5"/>
          <c:spPr>
            <a:ln w="12700">
              <a:solidFill>
                <a:srgbClr val="000000"/>
              </a:solidFill>
              <a:prstDash val="solid"/>
            </a:ln>
          </c:spPr>
          <c:marker>
            <c:symbol val="dot"/>
            <c:size val="5"/>
            <c:spPr>
              <a:noFill/>
              <a:ln>
                <a:solidFill>
                  <a:srgbClr val="000000"/>
                </a:solidFill>
                <a:prstDash val="solid"/>
              </a:ln>
            </c:spPr>
          </c:marker>
          <c:dLbls>
            <c:dLbl>
              <c:idx val="0"/>
              <c:tx>
                <c:strRef>
                  <c:f>'Robust two'!$AS$105</c:f>
                  <c:strCache>
                    <c:ptCount val="1"/>
                    <c:pt idx="0">
                      <c:v>20</c:v>
                    </c:pt>
                  </c:strCache>
                </c:strRef>
              </c:tx>
            </c:dLbl>
            <c:dLbl>
              <c:idx val="1"/>
              <c:delete val="1"/>
            </c:dLbl>
            <c:dLbl>
              <c:idx val="2"/>
              <c:tx>
                <c:strRef>
                  <c:f>'Robust two'!$AS$107</c:f>
                  <c:strCache>
                    <c:ptCount val="1"/>
                    <c:pt idx="0">
                      <c:v>16</c:v>
                    </c:pt>
                  </c:strCache>
                </c:strRef>
              </c:tx>
            </c:dLbl>
            <c:dLbl>
              <c:idx val="3"/>
              <c:delete val="1"/>
            </c:dLbl>
            <c:dLbl>
              <c:idx val="4"/>
              <c:tx>
                <c:strRef>
                  <c:f>'Robust two'!$AS$109</c:f>
                  <c:strCache>
                    <c:ptCount val="1"/>
                    <c:pt idx="0">
                      <c:v>12</c:v>
                    </c:pt>
                  </c:strCache>
                </c:strRef>
              </c:tx>
            </c:dLbl>
            <c:dLbl>
              <c:idx val="5"/>
              <c:delete val="1"/>
            </c:dLbl>
            <c:dLbl>
              <c:idx val="6"/>
              <c:tx>
                <c:strRef>
                  <c:f>'Robust two'!$AS$111</c:f>
                  <c:strCache>
                    <c:ptCount val="1"/>
                    <c:pt idx="0">
                      <c:v>8</c:v>
                    </c:pt>
                  </c:strCache>
                </c:strRef>
              </c:tx>
            </c:dLbl>
            <c:dLbl>
              <c:idx val="7"/>
              <c:delete val="1"/>
            </c:dLbl>
            <c:dLbl>
              <c:idx val="8"/>
              <c:tx>
                <c:strRef>
                  <c:f>'Robust two'!$AS$113</c:f>
                  <c:strCache>
                    <c:ptCount val="1"/>
                    <c:pt idx="0">
                      <c:v>4</c:v>
                    </c:pt>
                  </c:strCache>
                </c:strRef>
              </c:tx>
            </c:dLbl>
            <c:dLbl>
              <c:idx val="9"/>
              <c:delete val="1"/>
            </c:dLbl>
            <c:dLbl>
              <c:idx val="10"/>
              <c:tx>
                <c:strRef>
                  <c:f>'Robust two'!$AS$115</c:f>
                  <c:strCache>
                    <c:ptCount val="1"/>
                    <c:pt idx="0">
                      <c:v>0</c:v>
                    </c:pt>
                  </c:strCache>
                </c:strRef>
              </c:tx>
            </c:dLbl>
            <c:dLbl>
              <c:idx val="11"/>
              <c:delete val="1"/>
            </c:dLbl>
            <c:dLbl>
              <c:idx val="12"/>
              <c:tx>
                <c:strRef>
                  <c:f>'Robust two'!$AS$117</c:f>
                  <c:strCache>
                    <c:ptCount val="1"/>
                    <c:pt idx="0">
                      <c:v>-4</c:v>
                    </c:pt>
                  </c:strCache>
                </c:strRef>
              </c:tx>
            </c:dLbl>
            <c:dLbl>
              <c:idx val="13"/>
              <c:delete val="1"/>
            </c:dLbl>
            <c:dLbl>
              <c:idx val="14"/>
              <c:tx>
                <c:strRef>
                  <c:f>'Robust two'!$AS$119</c:f>
                  <c:strCache>
                    <c:ptCount val="1"/>
                    <c:pt idx="0">
                      <c:v>-8</c:v>
                    </c:pt>
                  </c:strCache>
                </c:strRef>
              </c:tx>
            </c:dLbl>
            <c:dLbl>
              <c:idx val="15"/>
              <c:delete val="1"/>
            </c:dLbl>
            <c:dLbl>
              <c:idx val="16"/>
              <c:tx>
                <c:strRef>
                  <c:f>'Robust two'!$AS$121</c:f>
                  <c:strCache>
                    <c:ptCount val="1"/>
                    <c:pt idx="0">
                      <c:v>-12</c:v>
                    </c:pt>
                  </c:strCache>
                </c:strRef>
              </c:tx>
            </c:dLbl>
            <c:dLbl>
              <c:idx val="17"/>
              <c:delete val="1"/>
            </c:dLbl>
            <c:dLbl>
              <c:idx val="18"/>
              <c:tx>
                <c:strRef>
                  <c:f>'Robust two'!$AS$123</c:f>
                  <c:strCache>
                    <c:ptCount val="1"/>
                    <c:pt idx="0">
                      <c:v>-16</c:v>
                    </c:pt>
                  </c:strCache>
                </c:strRef>
              </c:tx>
            </c:dLbl>
            <c:dLbl>
              <c:idx val="19"/>
              <c:delete val="1"/>
            </c:dLbl>
            <c:dLbl>
              <c:idx val="20"/>
              <c:tx>
                <c:strRef>
                  <c:f>'Robust two'!$AS$125</c:f>
                  <c:strCache>
                    <c:ptCount val="1"/>
                    <c:pt idx="0">
                      <c:v>-20</c:v>
                    </c:pt>
                  </c:strCache>
                </c:strRef>
              </c:tx>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Val val="1"/>
          </c:dLbls>
          <c:xVal>
            <c:numRef>
              <c:f>'Robust two'!$AU$105:$AU$125</c:f>
              <c:numCache>
                <c:formatCode>General</c:formatCode>
                <c:ptCount val="21"/>
                <c:pt idx="0">
                  <c:v>3.1</c:v>
                </c:pt>
                <c:pt idx="1">
                  <c:v>3.1</c:v>
                </c:pt>
                <c:pt idx="2">
                  <c:v>3.1</c:v>
                </c:pt>
                <c:pt idx="3">
                  <c:v>3.1</c:v>
                </c:pt>
                <c:pt idx="4">
                  <c:v>3.1</c:v>
                </c:pt>
                <c:pt idx="5">
                  <c:v>3.1</c:v>
                </c:pt>
                <c:pt idx="6">
                  <c:v>3.1</c:v>
                </c:pt>
                <c:pt idx="7">
                  <c:v>3.1</c:v>
                </c:pt>
                <c:pt idx="8">
                  <c:v>3.1</c:v>
                </c:pt>
                <c:pt idx="9">
                  <c:v>3.1</c:v>
                </c:pt>
                <c:pt idx="10">
                  <c:v>3.1</c:v>
                </c:pt>
                <c:pt idx="11">
                  <c:v>3.1</c:v>
                </c:pt>
                <c:pt idx="12">
                  <c:v>3.1</c:v>
                </c:pt>
                <c:pt idx="13">
                  <c:v>3.1</c:v>
                </c:pt>
                <c:pt idx="14">
                  <c:v>3.1</c:v>
                </c:pt>
                <c:pt idx="15">
                  <c:v>3.1</c:v>
                </c:pt>
                <c:pt idx="16">
                  <c:v>3.1</c:v>
                </c:pt>
                <c:pt idx="17">
                  <c:v>3.1</c:v>
                </c:pt>
                <c:pt idx="18">
                  <c:v>3.1</c:v>
                </c:pt>
                <c:pt idx="19">
                  <c:v>3.1</c:v>
                </c:pt>
                <c:pt idx="20">
                  <c:v>3.1</c:v>
                </c:pt>
              </c:numCache>
            </c:numRef>
          </c:xVal>
          <c:yVal>
            <c:numRef>
              <c:f>'Robust two'!$AV$105:$AV$125</c:f>
              <c:numCache>
                <c:formatCode>General</c:formatCode>
                <c:ptCount val="21"/>
                <c:pt idx="0">
                  <c:v>#N/A</c:v>
                </c:pt>
                <c:pt idx="1">
                  <c:v>#N/A</c:v>
                </c:pt>
                <c:pt idx="2">
                  <c:v>#N/A</c:v>
                </c:pt>
                <c:pt idx="3">
                  <c:v>#N/A</c:v>
                </c:pt>
                <c:pt idx="4">
                  <c:v>#N/A</c:v>
                </c:pt>
                <c:pt idx="5">
                  <c:v>#N/A</c:v>
                </c:pt>
                <c:pt idx="6">
                  <c:v>#N/A</c:v>
                </c:pt>
                <c:pt idx="7">
                  <c:v>17.549019607843135</c:v>
                </c:pt>
                <c:pt idx="8">
                  <c:v>15.549019607843137</c:v>
                </c:pt>
                <c:pt idx="9">
                  <c:v>13.549019607843137</c:v>
                </c:pt>
                <c:pt idx="10">
                  <c:v>11.549019607843137</c:v>
                </c:pt>
                <c:pt idx="11">
                  <c:v>9.5490196078431371</c:v>
                </c:pt>
                <c:pt idx="12">
                  <c:v>7.5490196078431371</c:v>
                </c:pt>
                <c:pt idx="13">
                  <c:v>5.5490196078431371</c:v>
                </c:pt>
                <c:pt idx="14">
                  <c:v>3.5490196078431371</c:v>
                </c:pt>
                <c:pt idx="15">
                  <c:v>1.5490196078431371</c:v>
                </c:pt>
                <c:pt idx="16">
                  <c:v>-0.45098039215686292</c:v>
                </c:pt>
                <c:pt idx="17">
                  <c:v>#N/A</c:v>
                </c:pt>
                <c:pt idx="18">
                  <c:v>#N/A</c:v>
                </c:pt>
                <c:pt idx="19">
                  <c:v>#N/A</c:v>
                </c:pt>
                <c:pt idx="20">
                  <c:v>#N/A</c:v>
                </c:pt>
              </c:numCache>
            </c:numRef>
          </c:yVal>
        </c:ser>
        <c:ser>
          <c:idx val="7"/>
          <c:order val="6"/>
          <c:spPr>
            <a:ln w="3175">
              <a:solidFill>
                <a:srgbClr val="000000"/>
              </a:solidFill>
              <a:prstDash val="sysDash"/>
            </a:ln>
          </c:spPr>
          <c:marker>
            <c:symbol val="none"/>
          </c:marker>
          <c:xVal>
            <c:numRef>
              <c:f>'Robust two'!$AU$97:$AU$98</c:f>
              <c:numCache>
                <c:formatCode>General</c:formatCode>
                <c:ptCount val="2"/>
                <c:pt idx="0">
                  <c:v>1</c:v>
                </c:pt>
                <c:pt idx="1">
                  <c:v>3.1</c:v>
                </c:pt>
              </c:numCache>
            </c:numRef>
          </c:xVal>
          <c:yVal>
            <c:numRef>
              <c:f>'Robust two'!$AV$97:$AV$98</c:f>
              <c:numCache>
                <c:formatCode>General</c:formatCode>
                <c:ptCount val="2"/>
                <c:pt idx="0">
                  <c:v>11.549019607843137</c:v>
                </c:pt>
                <c:pt idx="1">
                  <c:v>11.549019607843137</c:v>
                </c:pt>
              </c:numCache>
            </c:numRef>
          </c:yVal>
        </c:ser>
        <c:ser>
          <c:idx val="10"/>
          <c:order val="7"/>
          <c:spPr>
            <a:ln w="3175">
              <a:solidFill>
                <a:srgbClr val="000000"/>
              </a:solidFill>
              <a:prstDash val="sysDash"/>
            </a:ln>
          </c:spPr>
          <c:marker>
            <c:symbol val="none"/>
          </c:marker>
          <c:xVal>
            <c:numRef>
              <c:f>'Robust two'!$AU$99:$AU$100</c:f>
              <c:numCache>
                <c:formatCode>General</c:formatCode>
                <c:ptCount val="2"/>
                <c:pt idx="0">
                  <c:v>2</c:v>
                </c:pt>
                <c:pt idx="1">
                  <c:v>3.1</c:v>
                </c:pt>
              </c:numCache>
            </c:numRef>
          </c:xVal>
          <c:yVal>
            <c:numRef>
              <c:f>'Robust two'!$AV$99:$AV$100</c:f>
              <c:numCache>
                <c:formatCode>General</c:formatCode>
                <c:ptCount val="2"/>
                <c:pt idx="0">
                  <c:v>7.0909090909090908</c:v>
                </c:pt>
                <c:pt idx="1">
                  <c:v>7.0909090909090908</c:v>
                </c:pt>
              </c:numCache>
            </c:numRef>
          </c:yVal>
        </c:ser>
        <c:ser>
          <c:idx val="11"/>
          <c:order val="8"/>
          <c:spPr>
            <a:ln w="12700">
              <a:solidFill>
                <a:srgbClr val="FFFF99"/>
              </a:solidFill>
              <a:prstDash val="solid"/>
            </a:ln>
          </c:spPr>
          <c:marker>
            <c:symbol val="triangle"/>
            <c:size val="7"/>
            <c:spPr>
              <a:solidFill>
                <a:srgbClr val="000000"/>
              </a:solidFill>
              <a:ln>
                <a:solidFill>
                  <a:srgbClr val="000000"/>
                </a:solidFill>
                <a:prstDash val="solid"/>
              </a:ln>
            </c:spPr>
          </c:marker>
          <c:errBars>
            <c:errDir val="y"/>
            <c:errBarType val="both"/>
            <c:errValType val="cust"/>
            <c:noEndCap val="1"/>
            <c:plus>
              <c:numRef>
                <c:f>'Robust two'!$AW$102</c:f>
                <c:numCache>
                  <c:formatCode>General</c:formatCode>
                  <c:ptCount val="1"/>
                  <c:pt idx="0">
                    <c:v>7.7129901334298863</c:v>
                  </c:pt>
                </c:numCache>
              </c:numRef>
            </c:plus>
            <c:minus>
              <c:numRef>
                <c:f>'Robust two'!$AW$102</c:f>
                <c:numCache>
                  <c:formatCode>General</c:formatCode>
                  <c:ptCount val="1"/>
                  <c:pt idx="0">
                    <c:v>7.7129901334298863</c:v>
                  </c:pt>
                </c:numCache>
              </c:numRef>
            </c:minus>
            <c:spPr>
              <a:ln w="25400">
                <a:solidFill>
                  <a:srgbClr val="000000"/>
                </a:solidFill>
                <a:prstDash val="solid"/>
              </a:ln>
            </c:spPr>
          </c:errBars>
          <c:xVal>
            <c:numRef>
              <c:f>'Robust two'!$AU$102</c:f>
              <c:numCache>
                <c:formatCode>General</c:formatCode>
                <c:ptCount val="1"/>
                <c:pt idx="0">
                  <c:v>2.7</c:v>
                </c:pt>
              </c:numCache>
            </c:numRef>
          </c:xVal>
          <c:yVal>
            <c:numRef>
              <c:f>'Robust two'!$AV$102</c:f>
              <c:numCache>
                <c:formatCode>General</c:formatCode>
                <c:ptCount val="1"/>
                <c:pt idx="0">
                  <c:v>7.0909090909090908</c:v>
                </c:pt>
              </c:numCache>
            </c:numRef>
          </c:yVal>
        </c:ser>
        <c:ser>
          <c:idx val="1"/>
          <c:order val="9"/>
          <c:spPr>
            <a:ln w="12700">
              <a:solidFill>
                <a:srgbClr val="FF0000"/>
              </a:solidFill>
              <a:prstDash val="sysDash"/>
            </a:ln>
          </c:spPr>
          <c:marker>
            <c:symbol val="none"/>
          </c:marker>
          <c:xVal>
            <c:numRef>
              <c:f>'Robust two'!$AU$89:$AU$90</c:f>
              <c:numCache>
                <c:formatCode>General</c:formatCode>
                <c:ptCount val="2"/>
                <c:pt idx="0">
                  <c:v>#N/A</c:v>
                </c:pt>
                <c:pt idx="1">
                  <c:v>#N/A</c:v>
                </c:pt>
              </c:numCache>
            </c:numRef>
          </c:xVal>
          <c:yVal>
            <c:numRef>
              <c:f>'Robust two'!$AV$89:$AV$90</c:f>
              <c:numCache>
                <c:formatCode>General</c:formatCode>
                <c:ptCount val="2"/>
                <c:pt idx="0">
                  <c:v>0</c:v>
                </c:pt>
                <c:pt idx="1">
                  <c:v>0</c:v>
                </c:pt>
              </c:numCache>
            </c:numRef>
          </c:yVal>
        </c:ser>
        <c:ser>
          <c:idx val="4"/>
          <c:order val="10"/>
          <c:spPr>
            <a:ln w="12700">
              <a:solidFill>
                <a:srgbClr val="FF0000"/>
              </a:solidFill>
              <a:prstDash val="sysDash"/>
            </a:ln>
          </c:spPr>
          <c:marker>
            <c:symbol val="none"/>
          </c:marker>
          <c:xVal>
            <c:numRef>
              <c:f>'Robust two'!$AU$91:$AU$92</c:f>
              <c:numCache>
                <c:formatCode>General</c:formatCode>
                <c:ptCount val="2"/>
                <c:pt idx="0">
                  <c:v>#N/A</c:v>
                </c:pt>
                <c:pt idx="1">
                  <c:v>#N/A</c:v>
                </c:pt>
              </c:numCache>
            </c:numRef>
          </c:xVal>
          <c:yVal>
            <c:numRef>
              <c:f>'Robust two'!$AV$91:$AV$92</c:f>
              <c:numCache>
                <c:formatCode>General</c:formatCode>
                <c:ptCount val="2"/>
                <c:pt idx="0">
                  <c:v>0</c:v>
                </c:pt>
                <c:pt idx="1">
                  <c:v>0</c:v>
                </c:pt>
              </c:numCache>
            </c:numRef>
          </c:yVal>
        </c:ser>
        <c:ser>
          <c:idx val="12"/>
          <c:order val="12"/>
          <c:spPr>
            <a:ln w="28575">
              <a:noFill/>
            </a:ln>
          </c:spPr>
          <c:marker>
            <c:symbol val="triangle"/>
            <c:size val="7"/>
            <c:spPr>
              <a:solidFill>
                <a:srgbClr val="FF0000"/>
              </a:solidFill>
              <a:ln>
                <a:solidFill>
                  <a:srgbClr val="FF0000"/>
                </a:solidFill>
                <a:prstDash val="solid"/>
              </a:ln>
            </c:spPr>
          </c:marker>
          <c:errBars>
            <c:errDir val="y"/>
            <c:errBarType val="both"/>
            <c:errValType val="cust"/>
            <c:noEndCap val="1"/>
            <c:plus>
              <c:numRef>
                <c:f>'Robust two'!$AW$94</c:f>
                <c:numCache>
                  <c:formatCode>General</c:formatCode>
                  <c:ptCount val="1"/>
                  <c:pt idx="0">
                    <c:v>#N/A</c:v>
                  </c:pt>
                </c:numCache>
              </c:numRef>
            </c:plus>
            <c:minus>
              <c:numRef>
                <c:f>'Robust two'!$AW$94</c:f>
                <c:numCache>
                  <c:formatCode>General</c:formatCode>
                  <c:ptCount val="1"/>
                  <c:pt idx="0">
                    <c:v>#N/A</c:v>
                  </c:pt>
                </c:numCache>
              </c:numRef>
            </c:minus>
            <c:spPr>
              <a:ln w="25400">
                <a:solidFill>
                  <a:srgbClr val="FF0000"/>
                </a:solidFill>
                <a:prstDash val="solid"/>
              </a:ln>
            </c:spPr>
          </c:errBars>
          <c:xVal>
            <c:numRef>
              <c:f>'Robust two'!$AU$94</c:f>
              <c:numCache>
                <c:formatCode>General</c:formatCode>
                <c:ptCount val="1"/>
                <c:pt idx="0">
                  <c:v>#N/A</c:v>
                </c:pt>
              </c:numCache>
            </c:numRef>
          </c:xVal>
          <c:yVal>
            <c:numRef>
              <c:f>'Robust two'!$AV$94</c:f>
              <c:numCache>
                <c:formatCode>General</c:formatCode>
                <c:ptCount val="1"/>
                <c:pt idx="0">
                  <c:v>0</c:v>
                </c:pt>
              </c:numCache>
            </c:numRef>
          </c:yVal>
        </c:ser>
        <c:axId val="182460416"/>
        <c:axId val="182461952"/>
      </c:scatterChart>
      <c:catAx>
        <c:axId val="182460416"/>
        <c:scaling>
          <c:orientation val="minMax"/>
        </c:scaling>
        <c:axPos val="b"/>
        <c:numFmt formatCode="General" sourceLinked="1"/>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461952"/>
        <c:crossesAt val="0"/>
        <c:auto val="1"/>
        <c:lblAlgn val="ctr"/>
        <c:lblOffset val="100"/>
        <c:tickLblSkip val="1"/>
        <c:tickMarkSkip val="1"/>
      </c:catAx>
      <c:valAx>
        <c:axId val="182461952"/>
        <c:scaling>
          <c:orientation val="minMax"/>
        </c:scaling>
        <c:axPos val="l"/>
        <c:title>
          <c:tx>
            <c:strRef>
              <c:f>'Robust two'!$AO$110</c:f>
              <c:strCache>
                <c:ptCount val="1"/>
                <c:pt idx="0">
                  <c:v>N sex partners</c:v>
                </c:pt>
              </c:strCache>
            </c:strRef>
          </c:tx>
          <c:layout>
            <c:manualLayout>
              <c:xMode val="edge"/>
              <c:yMode val="edge"/>
              <c:x val="1.201923076923077E-2"/>
              <c:y val="0.31588447653429663"/>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460416"/>
        <c:crosses val="autoZero"/>
        <c:crossBetween val="between"/>
      </c:valAx>
      <c:spPr>
        <a:noFill/>
        <a:ln w="25400">
          <a:noFill/>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AU"/>
  <c:chart>
    <c:plotArea>
      <c:layout>
        <c:manualLayout>
          <c:layoutTarget val="inner"/>
          <c:xMode val="edge"/>
          <c:yMode val="edge"/>
          <c:x val="0.18947368421052641"/>
          <c:y val="2.4096417043717889E-2"/>
          <c:w val="0.8"/>
          <c:h val="0.9223572968400906"/>
        </c:manualLayout>
      </c:layout>
      <c:lineChart>
        <c:grouping val="standard"/>
        <c:ser>
          <c:idx val="0"/>
          <c:order val="0"/>
          <c:spPr>
            <a:ln w="28575">
              <a:noFill/>
            </a:ln>
          </c:spPr>
          <c:marker>
            <c:symbol val="circle"/>
            <c:size val="7"/>
            <c:spPr>
              <a:solidFill>
                <a:srgbClr val="000000"/>
              </a:solidFill>
              <a:ln>
                <a:solidFill>
                  <a:srgbClr val="000000"/>
                </a:solidFill>
                <a:prstDash val="solid"/>
              </a:ln>
            </c:spPr>
          </c:marker>
          <c:cat>
            <c:strRef>
              <c:f>'Robust two'!$AO$99:$AP$99</c:f>
              <c:strCache>
                <c:ptCount val="2"/>
                <c:pt idx="0">
                  <c:v>     Males     </c:v>
                </c:pt>
                <c:pt idx="1">
                  <c:v>Females</c:v>
                </c:pt>
              </c:strCache>
            </c:strRef>
          </c:cat>
          <c:val>
            <c:numRef>
              <c:f>'Robust two'!$AO$100:$AP$100</c:f>
              <c:numCache>
                <c:formatCode>General</c:formatCode>
                <c:ptCount val="2"/>
                <c:pt idx="0">
                  <c:v>11.549019607843137</c:v>
                </c:pt>
                <c:pt idx="1">
                  <c:v>7.0909090909090908</c:v>
                </c:pt>
              </c:numCache>
            </c:numRef>
          </c:val>
        </c:ser>
        <c:ser>
          <c:idx val="2"/>
          <c:order val="1"/>
          <c:spPr>
            <a:ln w="28575">
              <a:noFill/>
            </a:ln>
          </c:spPr>
          <c:marker>
            <c:symbol val="none"/>
          </c:marker>
          <c:errBars>
            <c:errDir val="y"/>
            <c:errBarType val="both"/>
            <c:errValType val="cust"/>
            <c:noEndCap val="1"/>
            <c:plus>
              <c:numRef>
                <c:f>'Robust two'!$AO$103:$AP$103</c:f>
                <c:numCache>
                  <c:formatCode>General</c:formatCode>
                  <c:ptCount val="2"/>
                  <c:pt idx="0">
                    <c:v>6.8622216909807561</c:v>
                  </c:pt>
                  <c:pt idx="1">
                    <c:v>2.6937474421913334</c:v>
                  </c:pt>
                </c:numCache>
              </c:numRef>
            </c:plus>
            <c:minus>
              <c:numRef>
                <c:f>'Robust two'!$AO$103:$AP$103</c:f>
                <c:numCache>
                  <c:formatCode>General</c:formatCode>
                  <c:ptCount val="2"/>
                  <c:pt idx="0">
                    <c:v>6.8622216909807561</c:v>
                  </c:pt>
                  <c:pt idx="1">
                    <c:v>2.6937474421913334</c:v>
                  </c:pt>
                </c:numCache>
              </c:numRef>
            </c:minus>
            <c:spPr>
              <a:ln w="25400">
                <a:solidFill>
                  <a:srgbClr val="000000"/>
                </a:solidFill>
                <a:prstDash val="solid"/>
              </a:ln>
            </c:spPr>
          </c:errBars>
          <c:cat>
            <c:strRef>
              <c:f>'Robust two'!$AO$99:$AP$99</c:f>
              <c:strCache>
                <c:ptCount val="2"/>
                <c:pt idx="0">
                  <c:v>     Males     </c:v>
                </c:pt>
                <c:pt idx="1">
                  <c:v>Females</c:v>
                </c:pt>
              </c:strCache>
            </c:strRef>
          </c:cat>
          <c:val>
            <c:numRef>
              <c:f>'Robust two'!$AO$102:$AP$102</c:f>
              <c:numCache>
                <c:formatCode>General</c:formatCode>
                <c:ptCount val="2"/>
                <c:pt idx="0">
                  <c:v>11.549019607843137</c:v>
                </c:pt>
                <c:pt idx="1">
                  <c:v>7.0909090909090908</c:v>
                </c:pt>
              </c:numCache>
            </c:numRef>
          </c:val>
        </c:ser>
        <c:ser>
          <c:idx val="3"/>
          <c:order val="2"/>
          <c:spPr>
            <a:ln w="28575">
              <a:noFill/>
            </a:ln>
          </c:spPr>
          <c:marker>
            <c:symbol val="none"/>
          </c:marker>
          <c:cat>
            <c:strRef>
              <c:f>'Robust two'!$AO$99:$AP$99</c:f>
              <c:strCache>
                <c:ptCount val="2"/>
                <c:pt idx="0">
                  <c:v>     Males     </c:v>
                </c:pt>
                <c:pt idx="1">
                  <c:v>Females</c:v>
                </c:pt>
              </c:strCache>
            </c:strRef>
          </c:cat>
          <c:val>
            <c:numRef>
              <c:f>'Robust two'!$AO$106:$AP$106</c:f>
              <c:numCache>
                <c:formatCode>0.00</c:formatCode>
                <c:ptCount val="2"/>
                <c:pt idx="0" formatCode="General">
                  <c:v>151</c:v>
                </c:pt>
                <c:pt idx="1">
                  <c:v>151</c:v>
                </c:pt>
              </c:numCache>
            </c:numRef>
          </c:val>
        </c:ser>
        <c:ser>
          <c:idx val="4"/>
          <c:order val="10"/>
          <c:spPr>
            <a:ln w="28575">
              <a:noFill/>
            </a:ln>
          </c:spPr>
          <c:marker>
            <c:symbol val="circle"/>
            <c:size val="7"/>
            <c:spPr>
              <a:solidFill>
                <a:srgbClr val="FF0000"/>
              </a:solidFill>
              <a:ln>
                <a:solidFill>
                  <a:srgbClr val="FF0000"/>
                </a:solidFill>
                <a:prstDash val="solid"/>
              </a:ln>
            </c:spPr>
          </c:marker>
          <c:errBars>
            <c:errDir val="y"/>
            <c:errBarType val="both"/>
            <c:errValType val="cust"/>
            <c:noEndCap val="1"/>
            <c:plus>
              <c:numRef>
                <c:f>'Robust two'!$AO$90:$AP$90</c:f>
                <c:numCache>
                  <c:formatCode>General</c:formatCode>
                  <c:ptCount val="2"/>
                  <c:pt idx="0">
                    <c:v>0</c:v>
                  </c:pt>
                  <c:pt idx="1">
                    <c:v>0</c:v>
                  </c:pt>
                </c:numCache>
              </c:numRef>
            </c:plus>
            <c:minus>
              <c:numRef>
                <c:f>'Robust two'!$AO$90:$AP$90</c:f>
                <c:numCache>
                  <c:formatCode>General</c:formatCode>
                  <c:ptCount val="2"/>
                  <c:pt idx="0">
                    <c:v>0</c:v>
                  </c:pt>
                  <c:pt idx="1">
                    <c:v>0</c:v>
                  </c:pt>
                </c:numCache>
              </c:numRef>
            </c:minus>
            <c:spPr>
              <a:ln w="25400">
                <a:solidFill>
                  <a:srgbClr val="FF0000"/>
                </a:solidFill>
                <a:prstDash val="solid"/>
              </a:ln>
            </c:spPr>
          </c:errBars>
          <c:cat>
            <c:strRef>
              <c:f>'Robust two'!$AO$99:$AP$99</c:f>
              <c:strCache>
                <c:ptCount val="2"/>
                <c:pt idx="0">
                  <c:v>     Males     </c:v>
                </c:pt>
                <c:pt idx="1">
                  <c:v>Females</c:v>
                </c:pt>
              </c:strCache>
            </c:strRef>
          </c:cat>
          <c:val>
            <c:numRef>
              <c:f>'Robust two'!$AO$89:$AP$89</c:f>
              <c:numCache>
                <c:formatCode>General</c:formatCode>
                <c:ptCount val="2"/>
                <c:pt idx="0">
                  <c:v>#N/A</c:v>
                </c:pt>
                <c:pt idx="1">
                  <c:v>#N/A</c:v>
                </c:pt>
              </c:numCache>
            </c:numRef>
          </c:val>
        </c:ser>
        <c:marker val="1"/>
        <c:axId val="195503232"/>
        <c:axId val="195505152"/>
      </c:lineChart>
      <c:scatterChart>
        <c:scatterStyle val="lineMarker"/>
        <c:ser>
          <c:idx val="6"/>
          <c:order val="3"/>
          <c:spPr>
            <a:ln w="28575">
              <a:noFill/>
            </a:ln>
          </c:spPr>
          <c:marker>
            <c:symbol val="circle"/>
            <c:size val="6"/>
            <c:spPr>
              <a:noFill/>
              <a:ln>
                <a:solidFill>
                  <a:srgbClr val="0000FF"/>
                </a:solidFill>
                <a:prstDash val="solid"/>
              </a:ln>
            </c:spPr>
          </c:marker>
          <c:xVal>
            <c:numRef>
              <c:f>'Robust two'!$J$84:$J$283</c:f>
              <c:numCache>
                <c:formatCode>General</c:formatCode>
                <c:ptCount val="200"/>
                <c:pt idx="0">
                  <c:v>0.93199999999999994</c:v>
                </c:pt>
                <c:pt idx="1">
                  <c:v>0.93199999999999994</c:v>
                </c:pt>
                <c:pt idx="2">
                  <c:v>0.93199999999999994</c:v>
                </c:pt>
                <c:pt idx="3">
                  <c:v>0.93199999999999994</c:v>
                </c:pt>
                <c:pt idx="4">
                  <c:v>0.93199999999999994</c:v>
                </c:pt>
                <c:pt idx="5">
                  <c:v>0.88600000000000001</c:v>
                </c:pt>
                <c:pt idx="6">
                  <c:v>0.93199999999999994</c:v>
                </c:pt>
                <c:pt idx="7">
                  <c:v>0.93199999999999994</c:v>
                </c:pt>
                <c:pt idx="8">
                  <c:v>0.93199999999999994</c:v>
                </c:pt>
                <c:pt idx="9">
                  <c:v>0.93199999999999994</c:v>
                </c:pt>
                <c:pt idx="10">
                  <c:v>0.93199999999999994</c:v>
                </c:pt>
                <c:pt idx="11">
                  <c:v>0.88600000000000001</c:v>
                </c:pt>
                <c:pt idx="12">
                  <c:v>0.93199999999999994</c:v>
                </c:pt>
                <c:pt idx="13">
                  <c:v>0.88600000000000001</c:v>
                </c:pt>
                <c:pt idx="14">
                  <c:v>0.93199999999999994</c:v>
                </c:pt>
                <c:pt idx="15">
                  <c:v>0.56400000000000006</c:v>
                </c:pt>
                <c:pt idx="16">
                  <c:v>0.61</c:v>
                </c:pt>
                <c:pt idx="17">
                  <c:v>0.65599999999999992</c:v>
                </c:pt>
                <c:pt idx="18">
                  <c:v>0.70199999999999996</c:v>
                </c:pt>
                <c:pt idx="19">
                  <c:v>0.748</c:v>
                </c:pt>
                <c:pt idx="20">
                  <c:v>0.79399999999999993</c:v>
                </c:pt>
                <c:pt idx="21">
                  <c:v>0.84</c:v>
                </c:pt>
                <c:pt idx="22">
                  <c:v>0.88600000000000001</c:v>
                </c:pt>
                <c:pt idx="23">
                  <c:v>0.93199999999999994</c:v>
                </c:pt>
                <c:pt idx="24">
                  <c:v>0.84</c:v>
                </c:pt>
                <c:pt idx="25">
                  <c:v>0.88600000000000001</c:v>
                </c:pt>
                <c:pt idx="26">
                  <c:v>0.93199999999999994</c:v>
                </c:pt>
                <c:pt idx="27">
                  <c:v>0.56400000000000006</c:v>
                </c:pt>
                <c:pt idx="28">
                  <c:v>0.61</c:v>
                </c:pt>
                <c:pt idx="29">
                  <c:v>0.65599999999999992</c:v>
                </c:pt>
                <c:pt idx="30">
                  <c:v>0.70199999999999996</c:v>
                </c:pt>
                <c:pt idx="31">
                  <c:v>0.748</c:v>
                </c:pt>
                <c:pt idx="32">
                  <c:v>0.79399999999999993</c:v>
                </c:pt>
                <c:pt idx="33">
                  <c:v>0.84</c:v>
                </c:pt>
                <c:pt idx="34">
                  <c:v>0.88600000000000001</c:v>
                </c:pt>
                <c:pt idx="35">
                  <c:v>0.93199999999999994</c:v>
                </c:pt>
                <c:pt idx="36">
                  <c:v>0.47200000000000003</c:v>
                </c:pt>
                <c:pt idx="37">
                  <c:v>0.51800000000000002</c:v>
                </c:pt>
                <c:pt idx="38">
                  <c:v>0.56400000000000006</c:v>
                </c:pt>
                <c:pt idx="39">
                  <c:v>0.61</c:v>
                </c:pt>
                <c:pt idx="40">
                  <c:v>0.65599999999999992</c:v>
                </c:pt>
                <c:pt idx="41">
                  <c:v>0.70199999999999996</c:v>
                </c:pt>
                <c:pt idx="42">
                  <c:v>0.748</c:v>
                </c:pt>
                <c:pt idx="43">
                  <c:v>0.79399999999999993</c:v>
                </c:pt>
                <c:pt idx="44">
                  <c:v>0.84</c:v>
                </c:pt>
                <c:pt idx="45">
                  <c:v>0.88600000000000001</c:v>
                </c:pt>
                <c:pt idx="46">
                  <c:v>0.93199999999999994</c:v>
                </c:pt>
                <c:pt idx="47">
                  <c:v>0.79399999999999993</c:v>
                </c:pt>
                <c:pt idx="48">
                  <c:v>0.84</c:v>
                </c:pt>
                <c:pt idx="49">
                  <c:v>0.88600000000000001</c:v>
                </c:pt>
                <c:pt idx="50">
                  <c:v>0.93199999999999994</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xVal>
          <c:yVal>
            <c:numRef>
              <c:f>'Robust two'!$K$84:$K$283</c:f>
              <c:numCache>
                <c:formatCode>General</c:formatCode>
                <c:ptCount val="200"/>
                <c:pt idx="0">
                  <c:v>151.6644</c:v>
                </c:pt>
                <c:pt idx="1">
                  <c:v>86.432400000000001</c:v>
                </c:pt>
                <c:pt idx="2">
                  <c:v>50.5548</c:v>
                </c:pt>
                <c:pt idx="3">
                  <c:v>29.354400000000002</c:v>
                </c:pt>
                <c:pt idx="4">
                  <c:v>22.831199999999999</c:v>
                </c:pt>
                <c:pt idx="5">
                  <c:v>19.569600000000001</c:v>
                </c:pt>
                <c:pt idx="6">
                  <c:v>19.569600000000001</c:v>
                </c:pt>
                <c:pt idx="7">
                  <c:v>16.308</c:v>
                </c:pt>
                <c:pt idx="8">
                  <c:v>14.677200000000001</c:v>
                </c:pt>
                <c:pt idx="9">
                  <c:v>13.0464</c:v>
                </c:pt>
                <c:pt idx="10">
                  <c:v>11.4156</c:v>
                </c:pt>
                <c:pt idx="11">
                  <c:v>9.7848000000000006</c:v>
                </c:pt>
                <c:pt idx="12">
                  <c:v>9.7848000000000006</c:v>
                </c:pt>
                <c:pt idx="13">
                  <c:v>8.1539999999999999</c:v>
                </c:pt>
                <c:pt idx="14">
                  <c:v>8.1539999999999999</c:v>
                </c:pt>
                <c:pt idx="15">
                  <c:v>6.5232000000000001</c:v>
                </c:pt>
                <c:pt idx="16">
                  <c:v>6.5232000000000001</c:v>
                </c:pt>
                <c:pt idx="17">
                  <c:v>6.5232000000000001</c:v>
                </c:pt>
                <c:pt idx="18">
                  <c:v>6.5232000000000001</c:v>
                </c:pt>
                <c:pt idx="19">
                  <c:v>6.5232000000000001</c:v>
                </c:pt>
                <c:pt idx="20">
                  <c:v>6.5232000000000001</c:v>
                </c:pt>
                <c:pt idx="21">
                  <c:v>6.5232000000000001</c:v>
                </c:pt>
                <c:pt idx="22">
                  <c:v>6.5232000000000001</c:v>
                </c:pt>
                <c:pt idx="23">
                  <c:v>6.5232000000000001</c:v>
                </c:pt>
                <c:pt idx="24">
                  <c:v>4.8924000000000003</c:v>
                </c:pt>
                <c:pt idx="25">
                  <c:v>4.8924000000000003</c:v>
                </c:pt>
                <c:pt idx="26">
                  <c:v>4.8924000000000003</c:v>
                </c:pt>
                <c:pt idx="27">
                  <c:v>3.2616000000000001</c:v>
                </c:pt>
                <c:pt idx="28">
                  <c:v>3.2616000000000001</c:v>
                </c:pt>
                <c:pt idx="29">
                  <c:v>3.2616000000000001</c:v>
                </c:pt>
                <c:pt idx="30">
                  <c:v>3.2616000000000001</c:v>
                </c:pt>
                <c:pt idx="31">
                  <c:v>3.2616000000000001</c:v>
                </c:pt>
                <c:pt idx="32">
                  <c:v>3.2616000000000001</c:v>
                </c:pt>
                <c:pt idx="33">
                  <c:v>3.2616000000000001</c:v>
                </c:pt>
                <c:pt idx="34">
                  <c:v>3.2616000000000001</c:v>
                </c:pt>
                <c:pt idx="35">
                  <c:v>3.2616000000000001</c:v>
                </c:pt>
                <c:pt idx="36">
                  <c:v>1.6308</c:v>
                </c:pt>
                <c:pt idx="37">
                  <c:v>1.6308</c:v>
                </c:pt>
                <c:pt idx="38">
                  <c:v>1.6308</c:v>
                </c:pt>
                <c:pt idx="39">
                  <c:v>1.6308</c:v>
                </c:pt>
                <c:pt idx="40">
                  <c:v>1.6308</c:v>
                </c:pt>
                <c:pt idx="41">
                  <c:v>1.6308</c:v>
                </c:pt>
                <c:pt idx="42">
                  <c:v>1.6308</c:v>
                </c:pt>
                <c:pt idx="43">
                  <c:v>1.6308</c:v>
                </c:pt>
                <c:pt idx="44">
                  <c:v>1.6308</c:v>
                </c:pt>
                <c:pt idx="45">
                  <c:v>1.6308</c:v>
                </c:pt>
                <c:pt idx="46">
                  <c:v>1.6308</c:v>
                </c:pt>
                <c:pt idx="47">
                  <c:v>0</c:v>
                </c:pt>
                <c:pt idx="48">
                  <c:v>0</c:v>
                </c:pt>
                <c:pt idx="49">
                  <c:v>0</c:v>
                </c:pt>
                <c:pt idx="50">
                  <c:v>0</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yVal>
        </c:ser>
        <c:ser>
          <c:idx val="7"/>
          <c:order val="4"/>
          <c:spPr>
            <a:ln w="28575">
              <a:noFill/>
            </a:ln>
          </c:spPr>
          <c:marker>
            <c:symbol val="circle"/>
            <c:size val="6"/>
            <c:spPr>
              <a:noFill/>
              <a:ln>
                <a:solidFill>
                  <a:srgbClr val="0000FF"/>
                </a:solidFill>
                <a:prstDash val="solid"/>
              </a:ln>
            </c:spPr>
          </c:marker>
          <c:xVal>
            <c:numRef>
              <c:f>'Robust two'!$L$84:$L$283</c:f>
              <c:numCache>
                <c:formatCode>General</c:formatCode>
                <c:ptCount val="200"/>
                <c:pt idx="0">
                  <c:v>2.0680000000000001</c:v>
                </c:pt>
                <c:pt idx="1">
                  <c:v>2.0680000000000001</c:v>
                </c:pt>
                <c:pt idx="2">
                  <c:v>2.0680000000000001</c:v>
                </c:pt>
                <c:pt idx="3">
                  <c:v>2.0680000000000001</c:v>
                </c:pt>
                <c:pt idx="4">
                  <c:v>2.0680000000000001</c:v>
                </c:pt>
                <c:pt idx="5">
                  <c:v>2.0680000000000001</c:v>
                </c:pt>
                <c:pt idx="6">
                  <c:v>2.0680000000000001</c:v>
                </c:pt>
                <c:pt idx="7">
                  <c:v>2.2519999999999998</c:v>
                </c:pt>
                <c:pt idx="8">
                  <c:v>2.206</c:v>
                </c:pt>
                <c:pt idx="9">
                  <c:v>2.1599999999999997</c:v>
                </c:pt>
                <c:pt idx="10">
                  <c:v>2.1139999999999999</c:v>
                </c:pt>
                <c:pt idx="11">
                  <c:v>2.0680000000000001</c:v>
                </c:pt>
                <c:pt idx="12">
                  <c:v>2.1139999999999999</c:v>
                </c:pt>
                <c:pt idx="13">
                  <c:v>2.0680000000000001</c:v>
                </c:pt>
                <c:pt idx="14">
                  <c:v>2.206</c:v>
                </c:pt>
                <c:pt idx="15">
                  <c:v>2.1599999999999997</c:v>
                </c:pt>
                <c:pt idx="16">
                  <c:v>2.1139999999999999</c:v>
                </c:pt>
                <c:pt idx="17">
                  <c:v>2.0680000000000001</c:v>
                </c:pt>
                <c:pt idx="18">
                  <c:v>2.206</c:v>
                </c:pt>
                <c:pt idx="19">
                  <c:v>2.1599999999999997</c:v>
                </c:pt>
                <c:pt idx="20">
                  <c:v>2.1139999999999999</c:v>
                </c:pt>
                <c:pt idx="21">
                  <c:v>2.0680000000000001</c:v>
                </c:pt>
                <c:pt idx="22">
                  <c:v>2.4359999999999999</c:v>
                </c:pt>
                <c:pt idx="23">
                  <c:v>2.3899999999999997</c:v>
                </c:pt>
                <c:pt idx="24">
                  <c:v>2.3439999999999999</c:v>
                </c:pt>
                <c:pt idx="25">
                  <c:v>2.298</c:v>
                </c:pt>
                <c:pt idx="26">
                  <c:v>2.2519999999999998</c:v>
                </c:pt>
                <c:pt idx="27">
                  <c:v>2.206</c:v>
                </c:pt>
                <c:pt idx="28">
                  <c:v>2.1599999999999997</c:v>
                </c:pt>
                <c:pt idx="29">
                  <c:v>2.1139999999999999</c:v>
                </c:pt>
                <c:pt idx="30">
                  <c:v>2.0680000000000001</c:v>
                </c:pt>
                <c:pt idx="31">
                  <c:v>2.4819999999999998</c:v>
                </c:pt>
                <c:pt idx="32">
                  <c:v>2.4359999999999999</c:v>
                </c:pt>
                <c:pt idx="33">
                  <c:v>2.3899999999999997</c:v>
                </c:pt>
                <c:pt idx="34">
                  <c:v>2.3439999999999999</c:v>
                </c:pt>
                <c:pt idx="35">
                  <c:v>2.298</c:v>
                </c:pt>
                <c:pt idx="36">
                  <c:v>2.2519999999999998</c:v>
                </c:pt>
                <c:pt idx="37">
                  <c:v>2.206</c:v>
                </c:pt>
                <c:pt idx="38">
                  <c:v>2.1599999999999997</c:v>
                </c:pt>
                <c:pt idx="39">
                  <c:v>2.1139999999999999</c:v>
                </c:pt>
                <c:pt idx="40">
                  <c:v>2.0680000000000001</c:v>
                </c:pt>
                <c:pt idx="41">
                  <c:v>2.1599999999999997</c:v>
                </c:pt>
                <c:pt idx="42">
                  <c:v>2.1139999999999999</c:v>
                </c:pt>
                <c:pt idx="43">
                  <c:v>2.0680000000000001</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xVal>
          <c:yVal>
            <c:numRef>
              <c:f>'Robust two'!$M$84:$M$283</c:f>
              <c:numCache>
                <c:formatCode>General</c:formatCode>
                <c:ptCount val="200"/>
                <c:pt idx="0">
                  <c:v>50.5548</c:v>
                </c:pt>
                <c:pt idx="1">
                  <c:v>29.354400000000002</c:v>
                </c:pt>
                <c:pt idx="2">
                  <c:v>19.569600000000001</c:v>
                </c:pt>
                <c:pt idx="3">
                  <c:v>16.308</c:v>
                </c:pt>
                <c:pt idx="4">
                  <c:v>14.677200000000001</c:v>
                </c:pt>
                <c:pt idx="5">
                  <c:v>13.0464</c:v>
                </c:pt>
                <c:pt idx="6">
                  <c:v>11.4156</c:v>
                </c:pt>
                <c:pt idx="7">
                  <c:v>9.7848000000000006</c:v>
                </c:pt>
                <c:pt idx="8">
                  <c:v>9.7848000000000006</c:v>
                </c:pt>
                <c:pt idx="9">
                  <c:v>9.7848000000000006</c:v>
                </c:pt>
                <c:pt idx="10">
                  <c:v>9.7848000000000006</c:v>
                </c:pt>
                <c:pt idx="11">
                  <c:v>9.7848000000000006</c:v>
                </c:pt>
                <c:pt idx="12">
                  <c:v>8.1539999999999999</c:v>
                </c:pt>
                <c:pt idx="13">
                  <c:v>8.1539999999999999</c:v>
                </c:pt>
                <c:pt idx="14">
                  <c:v>6.5232000000000001</c:v>
                </c:pt>
                <c:pt idx="15">
                  <c:v>6.5232000000000001</c:v>
                </c:pt>
                <c:pt idx="16">
                  <c:v>6.5232000000000001</c:v>
                </c:pt>
                <c:pt idx="17">
                  <c:v>6.5232000000000001</c:v>
                </c:pt>
                <c:pt idx="18">
                  <c:v>4.8924000000000003</c:v>
                </c:pt>
                <c:pt idx="19">
                  <c:v>4.8924000000000003</c:v>
                </c:pt>
                <c:pt idx="20">
                  <c:v>4.8924000000000003</c:v>
                </c:pt>
                <c:pt idx="21">
                  <c:v>4.8924000000000003</c:v>
                </c:pt>
                <c:pt idx="22">
                  <c:v>3.2616000000000001</c:v>
                </c:pt>
                <c:pt idx="23">
                  <c:v>3.2616000000000001</c:v>
                </c:pt>
                <c:pt idx="24">
                  <c:v>3.2616000000000001</c:v>
                </c:pt>
                <c:pt idx="25">
                  <c:v>3.2616000000000001</c:v>
                </c:pt>
                <c:pt idx="26">
                  <c:v>3.2616000000000001</c:v>
                </c:pt>
                <c:pt idx="27">
                  <c:v>3.2616000000000001</c:v>
                </c:pt>
                <c:pt idx="28">
                  <c:v>3.2616000000000001</c:v>
                </c:pt>
                <c:pt idx="29">
                  <c:v>3.2616000000000001</c:v>
                </c:pt>
                <c:pt idx="30">
                  <c:v>3.2616000000000001</c:v>
                </c:pt>
                <c:pt idx="31">
                  <c:v>1.6308</c:v>
                </c:pt>
                <c:pt idx="32">
                  <c:v>1.6308</c:v>
                </c:pt>
                <c:pt idx="33">
                  <c:v>1.6308</c:v>
                </c:pt>
                <c:pt idx="34">
                  <c:v>1.6308</c:v>
                </c:pt>
                <c:pt idx="35">
                  <c:v>1.6308</c:v>
                </c:pt>
                <c:pt idx="36">
                  <c:v>1.6308</c:v>
                </c:pt>
                <c:pt idx="37">
                  <c:v>1.6308</c:v>
                </c:pt>
                <c:pt idx="38">
                  <c:v>1.6308</c:v>
                </c:pt>
                <c:pt idx="39">
                  <c:v>1.6308</c:v>
                </c:pt>
                <c:pt idx="40">
                  <c:v>1.6308</c:v>
                </c:pt>
                <c:pt idx="41">
                  <c:v>0</c:v>
                </c:pt>
                <c:pt idx="42">
                  <c:v>0</c:v>
                </c:pt>
                <c:pt idx="43">
                  <c:v>0</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yVal>
        </c:ser>
        <c:ser>
          <c:idx val="8"/>
          <c:order val="5"/>
          <c:spPr>
            <a:ln w="28575">
              <a:noFill/>
            </a:ln>
          </c:spPr>
          <c:marker>
            <c:symbol val="none"/>
          </c:marker>
          <c:xVal>
            <c:strRef>
              <c:f>'Robust two'!$AO$99:$AP$99</c:f>
              <c:strCache>
                <c:ptCount val="2"/>
                <c:pt idx="0">
                  <c:v>     Males     </c:v>
                </c:pt>
                <c:pt idx="1">
                  <c:v>Females</c:v>
                </c:pt>
              </c:strCache>
            </c:strRef>
          </c:xVal>
          <c:yVal>
            <c:numRef>
              <c:f>'Robust two'!$AO$107:$AP$107</c:f>
              <c:numCache>
                <c:formatCode>General</c:formatCode>
                <c:ptCount val="2"/>
                <c:pt idx="0">
                  <c:v>0</c:v>
                </c:pt>
                <c:pt idx="1">
                  <c:v>0</c:v>
                </c:pt>
              </c:numCache>
            </c:numRef>
          </c:yVal>
        </c:ser>
        <c:ser>
          <c:idx val="1"/>
          <c:order val="6"/>
          <c:spPr>
            <a:ln w="28575">
              <a:noFill/>
            </a:ln>
          </c:spPr>
          <c:marker>
            <c:symbol val="circle"/>
            <c:size val="6"/>
            <c:spPr>
              <a:solidFill>
                <a:srgbClr val="FF8080"/>
              </a:solidFill>
              <a:ln>
                <a:solidFill>
                  <a:srgbClr val="FF0000"/>
                </a:solidFill>
                <a:prstDash val="solid"/>
              </a:ln>
            </c:spPr>
          </c:marker>
          <c:xVal>
            <c:numRef>
              <c:f>'Robust two'!$T$94:$T$293</c:f>
              <c:numCache>
                <c:formatCode>General</c:formatCode>
                <c:ptCount val="2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xVal>
          <c:yVal>
            <c:numRef>
              <c:f>'Robust two'!$V$94:$V$293</c:f>
              <c:numCache>
                <c:formatCode>General</c:formatCode>
                <c:ptCount val="200"/>
                <c:pt idx="0">
                  <c:v>#N/A</c:v>
                </c:pt>
                <c:pt idx="1">
                  <c:v>#N/A</c:v>
                </c:pt>
                <c:pt idx="2">
                  <c:v>#N/A</c:v>
                </c:pt>
                <c:pt idx="3">
                  <c:v>#N/A</c:v>
                </c:pt>
                <c:pt idx="4">
                  <c:v>#N/A</c:v>
                </c:pt>
                <c:pt idx="5">
                  <c:v>#N/A</c:v>
                </c:pt>
                <c:pt idx="6">
                  <c:v>#N/A</c:v>
                </c:pt>
                <c:pt idx="7">
                  <c:v>#N/A</c:v>
                </c:pt>
                <c:pt idx="8">
                  <c:v>#N/A</c:v>
                </c:pt>
                <c:pt idx="9">
                  <c:v>#N/A</c:v>
                </c:pt>
                <c:pt idx="10">
                  <c:v>11.4156</c:v>
                </c:pt>
                <c:pt idx="11">
                  <c:v>9.7848000000000006</c:v>
                </c:pt>
                <c:pt idx="12">
                  <c:v>9.7848000000000006</c:v>
                </c:pt>
                <c:pt idx="13">
                  <c:v>8.1539999999999999</c:v>
                </c:pt>
                <c:pt idx="14">
                  <c:v>8.1539999999999999</c:v>
                </c:pt>
                <c:pt idx="15">
                  <c:v>6.5232000000000001</c:v>
                </c:pt>
                <c:pt idx="16">
                  <c:v>6.5232000000000001</c:v>
                </c:pt>
                <c:pt idx="17">
                  <c:v>6.5232000000000001</c:v>
                </c:pt>
                <c:pt idx="18">
                  <c:v>6.5232000000000001</c:v>
                </c:pt>
                <c:pt idx="19">
                  <c:v>6.5232000000000001</c:v>
                </c:pt>
                <c:pt idx="20">
                  <c:v>6.5232000000000001</c:v>
                </c:pt>
                <c:pt idx="21">
                  <c:v>6.5232000000000001</c:v>
                </c:pt>
                <c:pt idx="22">
                  <c:v>6.5232000000000001</c:v>
                </c:pt>
                <c:pt idx="23">
                  <c:v>6.5232000000000001</c:v>
                </c:pt>
                <c:pt idx="24">
                  <c:v>4.8924000000000003</c:v>
                </c:pt>
                <c:pt idx="25">
                  <c:v>4.8924000000000003</c:v>
                </c:pt>
                <c:pt idx="26">
                  <c:v>4.8924000000000003</c:v>
                </c:pt>
                <c:pt idx="27">
                  <c:v>3.2616000000000001</c:v>
                </c:pt>
                <c:pt idx="28">
                  <c:v>3.2616000000000001</c:v>
                </c:pt>
                <c:pt idx="29">
                  <c:v>3.2616000000000001</c:v>
                </c:pt>
                <c:pt idx="30">
                  <c:v>3.2616000000000001</c:v>
                </c:pt>
                <c:pt idx="31">
                  <c:v>3.2616000000000001</c:v>
                </c:pt>
                <c:pt idx="32">
                  <c:v>3.2616000000000001</c:v>
                </c:pt>
                <c:pt idx="33">
                  <c:v>3.2616000000000001</c:v>
                </c:pt>
                <c:pt idx="34">
                  <c:v>3.2616000000000001</c:v>
                </c:pt>
                <c:pt idx="35">
                  <c:v>3.2616000000000001</c:v>
                </c:pt>
                <c:pt idx="36">
                  <c:v>1.6308</c:v>
                </c:pt>
                <c:pt idx="37">
                  <c:v>1.6308</c:v>
                </c:pt>
                <c:pt idx="38">
                  <c:v>1.6308</c:v>
                </c:pt>
                <c:pt idx="39">
                  <c:v>1.6308</c:v>
                </c:pt>
                <c:pt idx="40">
                  <c:v>1.6308</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yVal>
        </c:ser>
        <c:ser>
          <c:idx val="9"/>
          <c:order val="7"/>
          <c:spPr>
            <a:ln w="28575">
              <a:noFill/>
            </a:ln>
          </c:spPr>
          <c:marker>
            <c:symbol val="x"/>
            <c:size val="6"/>
            <c:spPr>
              <a:noFill/>
              <a:ln>
                <a:solidFill>
                  <a:srgbClr val="000000"/>
                </a:solidFill>
                <a:prstDash val="solid"/>
              </a:ln>
            </c:spPr>
          </c:marker>
          <c:xVal>
            <c:numRef>
              <c:f>'Robust two'!$T$94:$T$293</c:f>
              <c:numCache>
                <c:formatCode>General</c:formatCode>
                <c:ptCount val="2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xVal>
          <c:yVal>
            <c:numRef>
              <c:f>'Robust two'!$U$94:$U$293</c:f>
              <c:numCache>
                <c:formatCode>General</c:formatCode>
                <c:ptCount val="200"/>
                <c:pt idx="0">
                  <c:v>151.6644</c:v>
                </c:pt>
                <c:pt idx="1">
                  <c:v>86.432400000000001</c:v>
                </c:pt>
                <c:pt idx="2">
                  <c:v>50.5548</c:v>
                </c:pt>
                <c:pt idx="3">
                  <c:v>29.354400000000002</c:v>
                </c:pt>
                <c:pt idx="4">
                  <c:v>22.831199999999999</c:v>
                </c:pt>
                <c:pt idx="5">
                  <c:v>19.569600000000001</c:v>
                </c:pt>
                <c:pt idx="6">
                  <c:v>19.569600000000001</c:v>
                </c:pt>
                <c:pt idx="7">
                  <c:v>16.308</c:v>
                </c:pt>
                <c:pt idx="8">
                  <c:v>14.677200000000001</c:v>
                </c:pt>
                <c:pt idx="9">
                  <c:v>13.0464</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1.6308</c:v>
                </c:pt>
                <c:pt idx="42">
                  <c:v>1.6308</c:v>
                </c:pt>
                <c:pt idx="43">
                  <c:v>1.6308</c:v>
                </c:pt>
                <c:pt idx="44">
                  <c:v>1.6308</c:v>
                </c:pt>
                <c:pt idx="45">
                  <c:v>1.6308</c:v>
                </c:pt>
                <c:pt idx="46">
                  <c:v>1.6308</c:v>
                </c:pt>
                <c:pt idx="47">
                  <c:v>0</c:v>
                </c:pt>
                <c:pt idx="48">
                  <c:v>0</c:v>
                </c:pt>
                <c:pt idx="49">
                  <c:v>0</c:v>
                </c:pt>
                <c:pt idx="50">
                  <c:v>0</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yVal>
        </c:ser>
        <c:ser>
          <c:idx val="10"/>
          <c:order val="8"/>
          <c:spPr>
            <a:ln w="28575">
              <a:noFill/>
            </a:ln>
          </c:spPr>
          <c:marker>
            <c:symbol val="x"/>
            <c:size val="6"/>
            <c:spPr>
              <a:noFill/>
              <a:ln>
                <a:solidFill>
                  <a:srgbClr val="000000"/>
                </a:solidFill>
                <a:prstDash val="solid"/>
              </a:ln>
            </c:spPr>
          </c:marker>
          <c:xVal>
            <c:numRef>
              <c:f>'Robust two'!$AE$94:$AE$293</c:f>
              <c:numCache>
                <c:formatCode>General</c:formatCode>
                <c:ptCount val="2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xVal>
          <c:yVal>
            <c:numRef>
              <c:f>'Robust two'!$AF$94:$AF$293</c:f>
              <c:numCache>
                <c:formatCode>General</c:formatCode>
                <c:ptCount val="200"/>
                <c:pt idx="0">
                  <c:v>50.5548</c:v>
                </c:pt>
                <c:pt idx="1">
                  <c:v>29.354400000000002</c:v>
                </c:pt>
                <c:pt idx="2">
                  <c:v>19.569600000000001</c:v>
                </c:pt>
                <c:pt idx="3">
                  <c:v>16.308</c:v>
                </c:pt>
                <c:pt idx="4">
                  <c:v>14.677200000000001</c:v>
                </c:pt>
                <c:pt idx="5">
                  <c:v>13.0464</c:v>
                </c:pt>
                <c:pt idx="6">
                  <c:v>11.4156</c:v>
                </c:pt>
                <c:pt idx="7">
                  <c:v>9.7848000000000006</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1.6308</c:v>
                </c:pt>
                <c:pt idx="37">
                  <c:v>1.6308</c:v>
                </c:pt>
                <c:pt idx="38">
                  <c:v>1.6308</c:v>
                </c:pt>
                <c:pt idx="39">
                  <c:v>1.6308</c:v>
                </c:pt>
                <c:pt idx="40">
                  <c:v>1.6308</c:v>
                </c:pt>
                <c:pt idx="41">
                  <c:v>0</c:v>
                </c:pt>
                <c:pt idx="42">
                  <c:v>0</c:v>
                </c:pt>
                <c:pt idx="43">
                  <c:v>0</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yVal>
        </c:ser>
        <c:ser>
          <c:idx val="11"/>
          <c:order val="9"/>
          <c:spPr>
            <a:ln w="28575">
              <a:noFill/>
            </a:ln>
          </c:spPr>
          <c:marker>
            <c:symbol val="circle"/>
            <c:size val="6"/>
            <c:spPr>
              <a:solidFill>
                <a:srgbClr val="FF8080"/>
              </a:solidFill>
              <a:ln>
                <a:solidFill>
                  <a:srgbClr val="FF0000"/>
                </a:solidFill>
                <a:prstDash val="solid"/>
              </a:ln>
            </c:spPr>
          </c:marker>
          <c:xVal>
            <c:numRef>
              <c:f>'Robust two'!$AE$94:$AE$293</c:f>
              <c:numCache>
                <c:formatCode>General</c:formatCode>
                <c:ptCount val="2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xVal>
          <c:yVal>
            <c:numRef>
              <c:f>'Robust two'!$AG$94:$AG$293</c:f>
              <c:numCache>
                <c:formatCode>General</c:formatCode>
                <c:ptCount val="200"/>
                <c:pt idx="0">
                  <c:v>#N/A</c:v>
                </c:pt>
                <c:pt idx="1">
                  <c:v>#N/A</c:v>
                </c:pt>
                <c:pt idx="2">
                  <c:v>#N/A</c:v>
                </c:pt>
                <c:pt idx="3">
                  <c:v>#N/A</c:v>
                </c:pt>
                <c:pt idx="4">
                  <c:v>#N/A</c:v>
                </c:pt>
                <c:pt idx="5">
                  <c:v>#N/A</c:v>
                </c:pt>
                <c:pt idx="6">
                  <c:v>#N/A</c:v>
                </c:pt>
                <c:pt idx="7">
                  <c:v>#N/A</c:v>
                </c:pt>
                <c:pt idx="8">
                  <c:v>9.7848000000000006</c:v>
                </c:pt>
                <c:pt idx="9">
                  <c:v>9.7848000000000006</c:v>
                </c:pt>
                <c:pt idx="10">
                  <c:v>9.7848000000000006</c:v>
                </c:pt>
                <c:pt idx="11">
                  <c:v>9.7848000000000006</c:v>
                </c:pt>
                <c:pt idx="12">
                  <c:v>8.1539999999999999</c:v>
                </c:pt>
                <c:pt idx="13">
                  <c:v>8.1539999999999999</c:v>
                </c:pt>
                <c:pt idx="14">
                  <c:v>6.5232000000000001</c:v>
                </c:pt>
                <c:pt idx="15">
                  <c:v>6.5232000000000001</c:v>
                </c:pt>
                <c:pt idx="16">
                  <c:v>6.5232000000000001</c:v>
                </c:pt>
                <c:pt idx="17">
                  <c:v>6.5232000000000001</c:v>
                </c:pt>
                <c:pt idx="18">
                  <c:v>4.8924000000000003</c:v>
                </c:pt>
                <c:pt idx="19">
                  <c:v>4.8924000000000003</c:v>
                </c:pt>
                <c:pt idx="20">
                  <c:v>4.8924000000000003</c:v>
                </c:pt>
                <c:pt idx="21">
                  <c:v>4.8924000000000003</c:v>
                </c:pt>
                <c:pt idx="22">
                  <c:v>3.2616000000000001</c:v>
                </c:pt>
                <c:pt idx="23">
                  <c:v>3.2616000000000001</c:v>
                </c:pt>
                <c:pt idx="24">
                  <c:v>3.2616000000000001</c:v>
                </c:pt>
                <c:pt idx="25">
                  <c:v>3.2616000000000001</c:v>
                </c:pt>
                <c:pt idx="26">
                  <c:v>3.2616000000000001</c:v>
                </c:pt>
                <c:pt idx="27">
                  <c:v>3.2616000000000001</c:v>
                </c:pt>
                <c:pt idx="28">
                  <c:v>3.2616000000000001</c:v>
                </c:pt>
                <c:pt idx="29">
                  <c:v>3.2616000000000001</c:v>
                </c:pt>
                <c:pt idx="30">
                  <c:v>3.2616000000000001</c:v>
                </c:pt>
                <c:pt idx="31">
                  <c:v>1.6308</c:v>
                </c:pt>
                <c:pt idx="32">
                  <c:v>1.6308</c:v>
                </c:pt>
                <c:pt idx="33">
                  <c:v>1.6308</c:v>
                </c:pt>
                <c:pt idx="34">
                  <c:v>1.6308</c:v>
                </c:pt>
                <c:pt idx="35">
                  <c:v>1.6308</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yVal>
        </c:ser>
        <c:axId val="195503232"/>
        <c:axId val="195505152"/>
      </c:scatterChart>
      <c:catAx>
        <c:axId val="195503232"/>
        <c:scaling>
          <c:orientation val="minMax"/>
        </c:scaling>
        <c:axPos val="b"/>
        <c:numFmt formatCode="General" sourceLinked="1"/>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95505152"/>
        <c:crossesAt val="0"/>
        <c:auto val="1"/>
        <c:lblAlgn val="ctr"/>
        <c:lblOffset val="100"/>
        <c:tickLblSkip val="1"/>
        <c:tickMarkSkip val="1"/>
      </c:catAx>
      <c:valAx>
        <c:axId val="195505152"/>
        <c:scaling>
          <c:orientation val="minMax"/>
        </c:scaling>
        <c:axPos val="l"/>
        <c:title>
          <c:tx>
            <c:strRef>
              <c:f>'Robust two'!$AO$110</c:f>
              <c:strCache>
                <c:ptCount val="1"/>
                <c:pt idx="0">
                  <c:v>N sex partners</c:v>
                </c:pt>
              </c:strCache>
            </c:strRef>
          </c:tx>
          <c:layout>
            <c:manualLayout>
              <c:xMode val="edge"/>
              <c:yMode val="edge"/>
              <c:x val="1.488095238095238E-2"/>
              <c:y val="0.31588447653429663"/>
            </c:manualLayout>
          </c:layout>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95503232"/>
        <c:crosses val="autoZero"/>
        <c:crossBetween val="between"/>
      </c:valAx>
      <c:spPr>
        <a:noFill/>
        <a:ln w="25400">
          <a:noFill/>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2.emf"/></Relationships>
</file>

<file path=xl/drawings/_rels/drawing6.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emf"/><Relationship Id="rId1" Type="http://schemas.openxmlformats.org/officeDocument/2006/relationships/chart" Target="../charts/chart4.xml"/><Relationship Id="rId5" Type="http://schemas.openxmlformats.org/officeDocument/2006/relationships/chart" Target="../charts/chart7.xml"/><Relationship Id="rId4" Type="http://schemas.openxmlformats.org/officeDocument/2006/relationships/chart" Target="../charts/chart6.xml"/></Relationships>
</file>

<file path=xl/drawings/_rels/drawing9.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1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11.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image" Target="../media/image1.emf"/><Relationship Id="rId1" Type="http://schemas.openxmlformats.org/officeDocument/2006/relationships/chart" Target="../charts/chart12.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image" Target="../media/image1.emf"/><Relationship Id="rId1" Type="http://schemas.openxmlformats.org/officeDocument/2006/relationships/chart" Target="../charts/chart14.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image" Target="../media/image1.emf"/><Relationship Id="rId1" Type="http://schemas.openxmlformats.org/officeDocument/2006/relationships/chart" Target="../charts/chart16.xml"/><Relationship Id="rId4" Type="http://schemas.openxmlformats.org/officeDocument/2006/relationships/chart" Target="../charts/chart18.xml"/></Relationships>
</file>

<file path=xl/drawings/_rels/drawing21.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20.xml"/><Relationship Id="rId1" Type="http://schemas.openxmlformats.org/officeDocument/2006/relationships/chart" Target="../charts/chart19.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0</xdr:row>
      <xdr:rowOff>114300</xdr:rowOff>
    </xdr:from>
    <xdr:to>
      <xdr:col>4</xdr:col>
      <xdr:colOff>104775</xdr:colOff>
      <xdr:row>7</xdr:row>
      <xdr:rowOff>114300</xdr:rowOff>
    </xdr:to>
    <xdr:pic>
      <xdr:nvPicPr>
        <xdr:cNvPr id="6152"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266700" y="114300"/>
          <a:ext cx="1152525" cy="12096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57150</xdr:colOff>
      <xdr:row>0</xdr:row>
      <xdr:rowOff>47625</xdr:rowOff>
    </xdr:from>
    <xdr:to>
      <xdr:col>1</xdr:col>
      <xdr:colOff>342900</xdr:colOff>
      <xdr:row>3</xdr:row>
      <xdr:rowOff>19050</xdr:rowOff>
    </xdr:to>
    <xdr:pic>
      <xdr:nvPicPr>
        <xdr:cNvPr id="47923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57150" y="47625"/>
          <a:ext cx="428625" cy="457200"/>
        </a:xfrm>
        <a:prstGeom prst="rect">
          <a:avLst/>
        </a:prstGeom>
        <a:noFill/>
      </xdr:spPr>
    </xdr:pic>
    <xdr:clientData/>
  </xdr:twoCellAnchor>
  <xdr:twoCellAnchor editAs="oneCell">
    <xdr:from>
      <xdr:col>8</xdr:col>
      <xdr:colOff>0</xdr:colOff>
      <xdr:row>0</xdr:row>
      <xdr:rowOff>9525</xdr:rowOff>
    </xdr:from>
    <xdr:to>
      <xdr:col>24</xdr:col>
      <xdr:colOff>609600</xdr:colOff>
      <xdr:row>35</xdr:row>
      <xdr:rowOff>0</xdr:rowOff>
    </xdr:to>
    <xdr:graphicFrame macro="">
      <xdr:nvGraphicFramePr>
        <xdr:cNvPr id="479237"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wsDr>
</file>

<file path=xl/drawings/drawing3.xml><?xml version="1.0" encoding="utf-8"?>
<c:userShapes xmlns:c="http://schemas.openxmlformats.org/drawingml/2006/chart">
  <cdr:relSizeAnchor xmlns:cdr="http://schemas.openxmlformats.org/drawingml/2006/chartDrawing">
    <cdr:from>
      <cdr:x>0.71719</cdr:x>
      <cdr:y>0.22052</cdr:y>
    </cdr:from>
    <cdr:to>
      <cdr:x>0.98311</cdr:x>
      <cdr:y>0.2628</cdr:y>
    </cdr:to>
    <cdr:sp macro="" textlink="">
      <cdr:nvSpPr>
        <cdr:cNvPr id="480258" name="Text Box 2"/>
        <cdr:cNvSpPr txBox="1">
          <a:spLocks xmlns:a="http://schemas.openxmlformats.org/drawingml/2006/main" noChangeArrowheads="1"/>
        </cdr:cNvSpPr>
      </cdr:nvSpPr>
      <cdr:spPr bwMode="auto">
        <a:xfrm xmlns:a="http://schemas.openxmlformats.org/drawingml/2006/main">
          <a:off x="6492843" y="1255041"/>
          <a:ext cx="2406253" cy="240011"/>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AU" sz="1200" b="0" i="1" u="none" strike="noStrike" baseline="0">
              <a:solidFill>
                <a:srgbClr val="000000"/>
              </a:solidFill>
              <a:latin typeface="Arial"/>
              <a:cs typeface="Arial"/>
            </a:rPr>
            <a:t>N</a:t>
          </a:r>
          <a:r>
            <a:rPr lang="en-AU" sz="1200" b="0" i="0" u="none" strike="noStrike" baseline="0">
              <a:solidFill>
                <a:srgbClr val="000000"/>
              </a:solidFill>
              <a:latin typeface="Arial"/>
              <a:cs typeface="Arial"/>
            </a:rPr>
            <a:t>, for average MoE = target MoE </a:t>
          </a:r>
        </a:p>
      </cdr:txBody>
    </cdr:sp>
  </cdr:relSizeAnchor>
  <cdr:relSizeAnchor xmlns:cdr="http://schemas.openxmlformats.org/drawingml/2006/chartDrawing">
    <cdr:from>
      <cdr:x>0.71719</cdr:x>
      <cdr:y>0.1662</cdr:y>
    </cdr:from>
    <cdr:to>
      <cdr:x>0.86982</cdr:x>
      <cdr:y>0.21806</cdr:y>
    </cdr:to>
    <cdr:sp macro="" textlink="">
      <cdr:nvSpPr>
        <cdr:cNvPr id="480259" name="Text Box 3"/>
        <cdr:cNvSpPr txBox="1">
          <a:spLocks xmlns:a="http://schemas.openxmlformats.org/drawingml/2006/main" noChangeArrowheads="1"/>
        </cdr:cNvSpPr>
      </cdr:nvSpPr>
      <cdr:spPr bwMode="auto">
        <a:xfrm xmlns:a="http://schemas.openxmlformats.org/drawingml/2006/main">
          <a:off x="6492843" y="946655"/>
          <a:ext cx="1381078" cy="294432"/>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2860" rIns="0" bIns="22860" anchor="ctr" upright="1"/>
        <a:lstStyle xmlns:a="http://schemas.openxmlformats.org/drawingml/2006/main"/>
        <a:p xmlns:a="http://schemas.openxmlformats.org/drawingml/2006/main">
          <a:pPr algn="l" rtl="0">
            <a:defRPr sz="1000"/>
          </a:pPr>
          <a:r>
            <a:rPr lang="en-AU" sz="1200" b="0" i="1" u="none" strike="noStrike" baseline="0">
              <a:solidFill>
                <a:srgbClr val="000000"/>
              </a:solidFill>
              <a:latin typeface="Arial"/>
              <a:cs typeface="Arial"/>
            </a:rPr>
            <a:t>N</a:t>
          </a:r>
          <a:r>
            <a:rPr lang="en-AU" sz="1200" b="0" i="0" u="none" strike="noStrike" baseline="0">
              <a:solidFill>
                <a:srgbClr val="000000"/>
              </a:solidFill>
              <a:latin typeface="Arial"/>
              <a:cs typeface="Arial"/>
            </a:rPr>
            <a:t>, with assurance</a:t>
          </a:r>
        </a:p>
      </cdr:txBody>
    </cdr:sp>
  </cdr:relSizeAnchor>
  <cdr:relSizeAnchor xmlns:cdr="http://schemas.openxmlformats.org/drawingml/2006/chartDrawing">
    <cdr:from>
      <cdr:x>0.71719</cdr:x>
      <cdr:y>0.32253</cdr:y>
    </cdr:from>
    <cdr:to>
      <cdr:x>0.87254</cdr:x>
      <cdr:y>0.36038</cdr:y>
    </cdr:to>
    <cdr:sp macro="" textlink="">
      <cdr:nvSpPr>
        <cdr:cNvPr id="480261" name="Text Box 5"/>
        <cdr:cNvSpPr txBox="1">
          <a:spLocks xmlns:a="http://schemas.openxmlformats.org/drawingml/2006/main" noChangeArrowheads="1"/>
        </cdr:cNvSpPr>
      </cdr:nvSpPr>
      <cdr:spPr bwMode="auto">
        <a:xfrm xmlns:a="http://schemas.openxmlformats.org/drawingml/2006/main">
          <a:off x="6492843" y="1834137"/>
          <a:ext cx="1405700" cy="214894"/>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AU" sz="1200" b="0" i="0" u="none" strike="noStrike" baseline="0">
              <a:solidFill>
                <a:srgbClr val="000000"/>
              </a:solidFill>
              <a:latin typeface="Arial"/>
              <a:cs typeface="Arial"/>
            </a:rPr>
            <a:t>MoE distribution</a:t>
          </a:r>
        </a:p>
      </cdr:txBody>
    </cdr:sp>
  </cdr:relSizeAnchor>
  <cdr:relSizeAnchor xmlns:cdr="http://schemas.openxmlformats.org/drawingml/2006/chartDrawing">
    <cdr:from>
      <cdr:x>0.71719</cdr:x>
      <cdr:y>0.27165</cdr:y>
    </cdr:from>
    <cdr:to>
      <cdr:x>0.98311</cdr:x>
      <cdr:y>0.31196</cdr:y>
    </cdr:to>
    <cdr:sp macro="" textlink="">
      <cdr:nvSpPr>
        <cdr:cNvPr id="480262" name="Text Box 6"/>
        <cdr:cNvSpPr txBox="1">
          <a:spLocks xmlns:a="http://schemas.openxmlformats.org/drawingml/2006/main" noChangeArrowheads="1"/>
        </cdr:cNvSpPr>
      </cdr:nvSpPr>
      <cdr:spPr bwMode="auto">
        <a:xfrm xmlns:a="http://schemas.openxmlformats.org/drawingml/2006/main">
          <a:off x="6492843" y="1545287"/>
          <a:ext cx="2406253" cy="22884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AU" sz="1200" b="0" i="1" u="none" strike="noStrike" baseline="0">
              <a:solidFill>
                <a:srgbClr val="000000"/>
              </a:solidFill>
              <a:latin typeface="Arial"/>
              <a:cs typeface="Arial"/>
            </a:rPr>
            <a:t>N</a:t>
          </a:r>
          <a:r>
            <a:rPr lang="en-AU" sz="1200" b="0" i="0" u="none" strike="noStrike" baseline="0">
              <a:solidFill>
                <a:srgbClr val="000000"/>
              </a:solidFill>
              <a:latin typeface="Arial"/>
              <a:cs typeface="Arial"/>
            </a:rPr>
            <a:t>, for average MoE = target MoE </a:t>
          </a:r>
        </a:p>
      </cdr:txBody>
    </cdr:sp>
  </cdr:relSizeAnchor>
</c:userShapes>
</file>

<file path=xl/drawings/drawing4.xml><?xml version="1.0" encoding="utf-8"?>
<xdr:wsDr xmlns:xdr="http://schemas.openxmlformats.org/drawingml/2006/spreadsheetDrawing" xmlns:a="http://schemas.openxmlformats.org/drawingml/2006/main">
  <xdr:twoCellAnchor editAs="oneCell">
    <xdr:from>
      <xdr:col>0</xdr:col>
      <xdr:colOff>57150</xdr:colOff>
      <xdr:row>0</xdr:row>
      <xdr:rowOff>47625</xdr:rowOff>
    </xdr:from>
    <xdr:to>
      <xdr:col>1</xdr:col>
      <xdr:colOff>342900</xdr:colOff>
      <xdr:row>3</xdr:row>
      <xdr:rowOff>19050</xdr:rowOff>
    </xdr:to>
    <xdr:pic>
      <xdr:nvPicPr>
        <xdr:cNvPr id="481281"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57150" y="47625"/>
          <a:ext cx="428625" cy="457200"/>
        </a:xfrm>
        <a:prstGeom prst="rect">
          <a:avLst/>
        </a:prstGeom>
        <a:noFill/>
      </xdr:spPr>
    </xdr:pic>
    <xdr:clientData/>
  </xdr:twoCellAnchor>
  <xdr:twoCellAnchor editAs="oneCell">
    <xdr:from>
      <xdr:col>8</xdr:col>
      <xdr:colOff>0</xdr:colOff>
      <xdr:row>0</xdr:row>
      <xdr:rowOff>9525</xdr:rowOff>
    </xdr:from>
    <xdr:to>
      <xdr:col>24</xdr:col>
      <xdr:colOff>76200</xdr:colOff>
      <xdr:row>35</xdr:row>
      <xdr:rowOff>0</xdr:rowOff>
    </xdr:to>
    <xdr:graphicFrame macro="">
      <xdr:nvGraphicFramePr>
        <xdr:cNvPr id="481285"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wsDr>
</file>

<file path=xl/drawings/drawing5.xml><?xml version="1.0" encoding="utf-8"?>
<c:userShapes xmlns:c="http://schemas.openxmlformats.org/drawingml/2006/chart">
  <cdr:relSizeAnchor xmlns:cdr="http://schemas.openxmlformats.org/drawingml/2006/chartDrawing">
    <cdr:from>
      <cdr:x>0.71496</cdr:x>
      <cdr:y>0.25346</cdr:y>
    </cdr:from>
    <cdr:to>
      <cdr:x>0.97816</cdr:x>
      <cdr:y>0.29402</cdr:y>
    </cdr:to>
    <cdr:sp macro="" textlink="">
      <cdr:nvSpPr>
        <cdr:cNvPr id="482306" name="Text Box 2"/>
        <cdr:cNvSpPr txBox="1">
          <a:spLocks xmlns:a="http://schemas.openxmlformats.org/drawingml/2006/main" noChangeArrowheads="1"/>
        </cdr:cNvSpPr>
      </cdr:nvSpPr>
      <cdr:spPr bwMode="auto">
        <a:xfrm xmlns:a="http://schemas.openxmlformats.org/drawingml/2006/main">
          <a:off x="6472698" y="1442026"/>
          <a:ext cx="2381631" cy="230243"/>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AU" sz="1200" b="0" i="1" u="none" strike="noStrike" baseline="0">
              <a:solidFill>
                <a:srgbClr val="000000"/>
              </a:solidFill>
              <a:latin typeface="Arial"/>
              <a:cs typeface="Arial"/>
            </a:rPr>
            <a:t>N</a:t>
          </a:r>
          <a:r>
            <a:rPr lang="en-AU" sz="1200" b="0" i="0" u="none" strike="noStrike" baseline="0">
              <a:solidFill>
                <a:srgbClr val="000000"/>
              </a:solidFill>
              <a:latin typeface="Arial"/>
              <a:cs typeface="Arial"/>
            </a:rPr>
            <a:t>, for average MoE = target MoE </a:t>
          </a:r>
        </a:p>
      </cdr:txBody>
    </cdr:sp>
  </cdr:relSizeAnchor>
  <cdr:relSizeAnchor xmlns:cdr="http://schemas.openxmlformats.org/drawingml/2006/chartDrawing">
    <cdr:from>
      <cdr:x>0.71496</cdr:x>
      <cdr:y>0.19569</cdr:y>
    </cdr:from>
    <cdr:to>
      <cdr:x>0.86264</cdr:x>
      <cdr:y>0.24731</cdr:y>
    </cdr:to>
    <cdr:sp macro="" textlink="">
      <cdr:nvSpPr>
        <cdr:cNvPr id="482307" name="Text Box 3"/>
        <cdr:cNvSpPr txBox="1">
          <a:spLocks xmlns:a="http://schemas.openxmlformats.org/drawingml/2006/main" noChangeArrowheads="1"/>
        </cdr:cNvSpPr>
      </cdr:nvSpPr>
      <cdr:spPr bwMode="auto">
        <a:xfrm xmlns:a="http://schemas.openxmlformats.org/drawingml/2006/main">
          <a:off x="6472698" y="1114104"/>
          <a:ext cx="1336310" cy="29303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2860" rIns="0" bIns="22860" anchor="ctr" upright="1"/>
        <a:lstStyle xmlns:a="http://schemas.openxmlformats.org/drawingml/2006/main"/>
        <a:p xmlns:a="http://schemas.openxmlformats.org/drawingml/2006/main">
          <a:pPr algn="l" rtl="0">
            <a:defRPr sz="1000"/>
          </a:pPr>
          <a:r>
            <a:rPr lang="en-AU" sz="1200" b="0" i="1" u="none" strike="noStrike" baseline="0">
              <a:solidFill>
                <a:srgbClr val="000000"/>
              </a:solidFill>
              <a:latin typeface="Arial"/>
              <a:cs typeface="Arial"/>
            </a:rPr>
            <a:t>N</a:t>
          </a:r>
          <a:r>
            <a:rPr lang="en-AU" sz="1200" b="0" i="0" u="none" strike="noStrike" baseline="0">
              <a:solidFill>
                <a:srgbClr val="000000"/>
              </a:solidFill>
              <a:latin typeface="Arial"/>
              <a:cs typeface="Arial"/>
            </a:rPr>
            <a:t>, with assurance </a:t>
          </a:r>
        </a:p>
      </cdr:txBody>
    </cdr:sp>
  </cdr:relSizeAnchor>
  <cdr:relSizeAnchor xmlns:cdr="http://schemas.openxmlformats.org/drawingml/2006/chartDrawing">
    <cdr:from>
      <cdr:x>0.71496</cdr:x>
      <cdr:y>0.34834</cdr:y>
    </cdr:from>
    <cdr:to>
      <cdr:x>0.86437</cdr:x>
      <cdr:y>0.40094</cdr:y>
    </cdr:to>
    <cdr:sp macro="" textlink="">
      <cdr:nvSpPr>
        <cdr:cNvPr id="482308" name="Text Box 4"/>
        <cdr:cNvSpPr txBox="1">
          <a:spLocks xmlns:a="http://schemas.openxmlformats.org/drawingml/2006/main" noChangeArrowheads="1"/>
        </cdr:cNvSpPr>
      </cdr:nvSpPr>
      <cdr:spPr bwMode="auto">
        <a:xfrm xmlns:a="http://schemas.openxmlformats.org/drawingml/2006/main">
          <a:off x="6472698" y="1980655"/>
          <a:ext cx="1351978" cy="29861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2860" rIns="0" bIns="22860" anchor="ctr" upright="1"/>
        <a:lstStyle xmlns:a="http://schemas.openxmlformats.org/drawingml/2006/main"/>
        <a:p xmlns:a="http://schemas.openxmlformats.org/drawingml/2006/main">
          <a:pPr algn="l" rtl="0">
            <a:defRPr sz="1000"/>
          </a:pPr>
          <a:r>
            <a:rPr lang="en-AU" sz="1200" b="0" i="0" u="none" strike="noStrike" baseline="0">
              <a:solidFill>
                <a:srgbClr val="000000"/>
              </a:solidFill>
              <a:latin typeface="Arial"/>
              <a:cs typeface="Arial"/>
            </a:rPr>
            <a:t>MoE distribution</a:t>
          </a:r>
        </a:p>
      </cdr:txBody>
    </cdr:sp>
  </cdr:relSizeAnchor>
  <cdr:relSizeAnchor xmlns:cdr="http://schemas.openxmlformats.org/drawingml/2006/chartDrawing">
    <cdr:from>
      <cdr:x>0.71496</cdr:x>
      <cdr:y>0.30336</cdr:y>
    </cdr:from>
    <cdr:to>
      <cdr:x>0.97816</cdr:x>
      <cdr:y>0.34391</cdr:y>
    </cdr:to>
    <cdr:sp macro="" textlink="">
      <cdr:nvSpPr>
        <cdr:cNvPr id="482309" name="Text Box 5"/>
        <cdr:cNvSpPr txBox="1">
          <a:spLocks xmlns:a="http://schemas.openxmlformats.org/drawingml/2006/main" noChangeArrowheads="1"/>
        </cdr:cNvSpPr>
      </cdr:nvSpPr>
      <cdr:spPr bwMode="auto">
        <a:xfrm xmlns:a="http://schemas.openxmlformats.org/drawingml/2006/main">
          <a:off x="6472698" y="1725295"/>
          <a:ext cx="2381631" cy="230243"/>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AU" sz="1200" b="0" i="1" u="none" strike="noStrike" baseline="0">
              <a:solidFill>
                <a:srgbClr val="000000"/>
              </a:solidFill>
              <a:latin typeface="Arial"/>
              <a:cs typeface="Arial"/>
            </a:rPr>
            <a:t>N</a:t>
          </a:r>
          <a:r>
            <a:rPr lang="en-AU" sz="1200" b="0" i="0" u="none" strike="noStrike" baseline="0">
              <a:solidFill>
                <a:srgbClr val="000000"/>
              </a:solidFill>
              <a:latin typeface="Arial"/>
              <a:cs typeface="Arial"/>
            </a:rPr>
            <a:t>, for average MoE = target MoE </a:t>
          </a:r>
        </a:p>
      </cdr:txBody>
    </cdr:sp>
  </cdr:relSizeAnchor>
</c:userShapes>
</file>

<file path=xl/drawings/drawing6.xml><?xml version="1.0" encoding="utf-8"?>
<xdr:wsDr xmlns:xdr="http://schemas.openxmlformats.org/drawingml/2006/spreadsheetDrawing" xmlns:a="http://schemas.openxmlformats.org/drawingml/2006/main">
  <xdr:twoCellAnchor editAs="oneCell">
    <xdr:from>
      <xdr:col>3</xdr:col>
      <xdr:colOff>57150</xdr:colOff>
      <xdr:row>0</xdr:row>
      <xdr:rowOff>38100</xdr:rowOff>
    </xdr:from>
    <xdr:to>
      <xdr:col>5</xdr:col>
      <xdr:colOff>19050</xdr:colOff>
      <xdr:row>3</xdr:row>
      <xdr:rowOff>38100</xdr:rowOff>
    </xdr:to>
    <xdr:pic>
      <xdr:nvPicPr>
        <xdr:cNvPr id="785409" name="Picture 126"/>
        <xdr:cNvPicPr>
          <a:picLocks noChangeAspect="1" noChangeArrowheads="1"/>
        </xdr:cNvPicPr>
      </xdr:nvPicPr>
      <xdr:blipFill>
        <a:blip xmlns:r="http://schemas.openxmlformats.org/officeDocument/2006/relationships" r:embed="rId1" cstate="print"/>
        <a:srcRect/>
        <a:stretch>
          <a:fillRect/>
        </a:stretch>
      </xdr:blipFill>
      <xdr:spPr bwMode="auto">
        <a:xfrm>
          <a:off x="76200" y="38100"/>
          <a:ext cx="428625" cy="457200"/>
        </a:xfrm>
        <a:prstGeom prst="rect">
          <a:avLst/>
        </a:prstGeom>
        <a:noFill/>
        <a:ln w="9525">
          <a:noFill/>
          <a:miter lim="800000"/>
          <a:headEnd/>
          <a:tailEnd/>
        </a:ln>
      </xdr:spPr>
    </xdr:pic>
    <xdr:clientData/>
  </xdr:twoCellAnchor>
  <xdr:twoCellAnchor editAs="oneCell">
    <xdr:from>
      <xdr:col>13</xdr:col>
      <xdr:colOff>0</xdr:colOff>
      <xdr:row>0</xdr:row>
      <xdr:rowOff>9525</xdr:rowOff>
    </xdr:from>
    <xdr:to>
      <xdr:col>26</xdr:col>
      <xdr:colOff>19050</xdr:colOff>
      <xdr:row>37</xdr:row>
      <xdr:rowOff>38100</xdr:rowOff>
    </xdr:to>
    <xdr:graphicFrame macro="">
      <xdr:nvGraphicFramePr>
        <xdr:cNvPr id="785410"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wsDr>
</file>

<file path=xl/drawings/drawing7.xml><?xml version="1.0" encoding="utf-8"?>
<xdr:wsDr xmlns:xdr="http://schemas.openxmlformats.org/drawingml/2006/spreadsheetDrawing" xmlns:a="http://schemas.openxmlformats.org/drawingml/2006/main">
  <xdr:twoCellAnchor>
    <xdr:from>
      <xdr:col>17</xdr:col>
      <xdr:colOff>36513</xdr:colOff>
      <xdr:row>43</xdr:row>
      <xdr:rowOff>73025</xdr:rowOff>
    </xdr:from>
    <xdr:to>
      <xdr:col>18</xdr:col>
      <xdr:colOff>17463</xdr:colOff>
      <xdr:row>46</xdr:row>
      <xdr:rowOff>149225</xdr:rowOff>
    </xdr:to>
    <xdr:graphicFrame macro="">
      <xdr:nvGraphicFramePr>
        <xdr:cNvPr id="798721" name="Chart 1"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47625</xdr:colOff>
      <xdr:row>0</xdr:row>
      <xdr:rowOff>47625</xdr:rowOff>
    </xdr:from>
    <xdr:to>
      <xdr:col>1</xdr:col>
      <xdr:colOff>133350</xdr:colOff>
      <xdr:row>3</xdr:row>
      <xdr:rowOff>9525</xdr:rowOff>
    </xdr:to>
    <xdr:pic>
      <xdr:nvPicPr>
        <xdr:cNvPr id="798729" name="Picture 15"/>
        <xdr:cNvPicPr>
          <a:picLocks noChangeAspect="1" noChangeArrowheads="1"/>
        </xdr:cNvPicPr>
      </xdr:nvPicPr>
      <xdr:blipFill>
        <a:blip xmlns:r="http://schemas.openxmlformats.org/officeDocument/2006/relationships" r:embed="rId2" cstate="print"/>
        <a:srcRect/>
        <a:stretch>
          <a:fillRect/>
        </a:stretch>
      </xdr:blipFill>
      <xdr:spPr bwMode="auto">
        <a:xfrm>
          <a:off x="47625" y="47625"/>
          <a:ext cx="428625" cy="457200"/>
        </a:xfrm>
        <a:prstGeom prst="rect">
          <a:avLst/>
        </a:prstGeom>
        <a:noFill/>
        <a:ln w="9525">
          <a:noFill/>
          <a:miter lim="800000"/>
          <a:headEnd/>
          <a:tailEnd/>
        </a:ln>
      </xdr:spPr>
    </xdr:pic>
    <xdr:clientData/>
  </xdr:twoCellAnchor>
  <xdr:twoCellAnchor editAs="oneCell">
    <xdr:from>
      <xdr:col>10</xdr:col>
      <xdr:colOff>0</xdr:colOff>
      <xdr:row>4</xdr:row>
      <xdr:rowOff>0</xdr:rowOff>
    </xdr:from>
    <xdr:to>
      <xdr:col>27</xdr:col>
      <xdr:colOff>0</xdr:colOff>
      <xdr:row>37</xdr:row>
      <xdr:rowOff>0</xdr:rowOff>
    </xdr:to>
    <xdr:graphicFrame macro="">
      <xdr:nvGraphicFramePr>
        <xdr:cNvPr id="798732" name="Chart 1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editAs="oneCell">
    <xdr:from>
      <xdr:col>26</xdr:col>
      <xdr:colOff>200025</xdr:colOff>
      <xdr:row>4</xdr:row>
      <xdr:rowOff>0</xdr:rowOff>
    </xdr:from>
    <xdr:to>
      <xdr:col>40</xdr:col>
      <xdr:colOff>123825</xdr:colOff>
      <xdr:row>37</xdr:row>
      <xdr:rowOff>0</xdr:rowOff>
    </xdr:to>
    <xdr:graphicFrame macro="">
      <xdr:nvGraphicFramePr>
        <xdr:cNvPr id="798733" name="Chart 13"/>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27</xdr:col>
      <xdr:colOff>9525</xdr:colOff>
      <xdr:row>3</xdr:row>
      <xdr:rowOff>9525</xdr:rowOff>
    </xdr:from>
    <xdr:to>
      <xdr:col>41</xdr:col>
      <xdr:colOff>314325</xdr:colOff>
      <xdr:row>63</xdr:row>
      <xdr:rowOff>123825</xdr:rowOff>
    </xdr:to>
    <xdr:sp macro="" textlink="">
      <xdr:nvSpPr>
        <xdr:cNvPr id="798741" name="Rectangle 21"/>
        <xdr:cNvSpPr>
          <a:spLocks noChangeArrowheads="1"/>
        </xdr:cNvSpPr>
      </xdr:nvSpPr>
      <xdr:spPr bwMode="auto">
        <a:xfrm>
          <a:off x="8715375" y="504825"/>
          <a:ext cx="5705475" cy="9448800"/>
        </a:xfrm>
        <a:prstGeom prst="rect">
          <a:avLst/>
        </a:prstGeom>
        <a:solidFill>
          <a:srgbClr val="FFFFFF"/>
        </a:solidFill>
        <a:ln w="9525">
          <a:noFill/>
          <a:miter lim="800000"/>
          <a:headEnd/>
          <a:tailEnd/>
        </a:ln>
      </xdr:spPr>
    </xdr:sp>
    <xdr:clientData/>
  </xdr:twoCellAnchor>
  <xdr:twoCellAnchor>
    <xdr:from>
      <xdr:col>27</xdr:col>
      <xdr:colOff>47625</xdr:colOff>
      <xdr:row>37</xdr:row>
      <xdr:rowOff>47625</xdr:rowOff>
    </xdr:from>
    <xdr:to>
      <xdr:col>39</xdr:col>
      <xdr:colOff>28575</xdr:colOff>
      <xdr:row>47</xdr:row>
      <xdr:rowOff>161925</xdr:rowOff>
    </xdr:to>
    <xdr:sp macro="" textlink="">
      <xdr:nvSpPr>
        <xdr:cNvPr id="798802" name="Rectangle 82"/>
        <xdr:cNvSpPr>
          <a:spLocks noChangeArrowheads="1"/>
        </xdr:cNvSpPr>
      </xdr:nvSpPr>
      <xdr:spPr bwMode="auto">
        <a:xfrm>
          <a:off x="8753475" y="5800725"/>
          <a:ext cx="4467225" cy="1714500"/>
        </a:xfrm>
        <a:prstGeom prst="rect">
          <a:avLst/>
        </a:prstGeom>
        <a:solidFill>
          <a:srgbClr val="FFFFFF"/>
        </a:solidFill>
        <a:ln w="9525">
          <a:noFill/>
          <a:miter lim="800000"/>
          <a:headEnd/>
          <a:tailEnd/>
        </a:ln>
      </xdr:spPr>
    </xdr:sp>
    <xdr:clientData/>
  </xdr:twoCellAnchor>
  <xdr:twoCellAnchor>
    <xdr:from>
      <xdr:col>17</xdr:col>
      <xdr:colOff>23812</xdr:colOff>
      <xdr:row>47</xdr:row>
      <xdr:rowOff>142875</xdr:rowOff>
    </xdr:from>
    <xdr:to>
      <xdr:col>18</xdr:col>
      <xdr:colOff>104775</xdr:colOff>
      <xdr:row>49</xdr:row>
      <xdr:rowOff>142875</xdr:rowOff>
    </xdr:to>
    <xdr:graphicFrame macro="">
      <xdr:nvGraphicFramePr>
        <xdr:cNvPr id="798818" name="Chart 98"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9525</xdr:colOff>
      <xdr:row>37</xdr:row>
      <xdr:rowOff>9525</xdr:rowOff>
    </xdr:from>
    <xdr:to>
      <xdr:col>27</xdr:col>
      <xdr:colOff>47625</xdr:colOff>
      <xdr:row>56</xdr:row>
      <xdr:rowOff>114300</xdr:rowOff>
    </xdr:to>
    <xdr:sp macro="" textlink="">
      <xdr:nvSpPr>
        <xdr:cNvPr id="798828" name="Rectangle 108"/>
        <xdr:cNvSpPr>
          <a:spLocks noChangeArrowheads="1"/>
        </xdr:cNvSpPr>
      </xdr:nvSpPr>
      <xdr:spPr bwMode="auto">
        <a:xfrm>
          <a:off x="3648075" y="5762625"/>
          <a:ext cx="5105400" cy="3114675"/>
        </a:xfrm>
        <a:prstGeom prst="rect">
          <a:avLst/>
        </a:prstGeom>
        <a:solidFill>
          <a:srgbClr val="FFFFFF"/>
        </a:solidFill>
        <a:ln w="9525">
          <a:noFill/>
          <a:miter lim="800000"/>
          <a:headEnd/>
          <a:tailEnd/>
        </a:ln>
      </xdr:spPr>
    </xdr:sp>
    <xdr:clientData/>
  </xdr:twoCellAnchor>
</xdr:wsDr>
</file>

<file path=xl/drawings/drawing8.xml><?xml version="1.0" encoding="utf-8"?>
<c:userShapes xmlns:c="http://schemas.openxmlformats.org/drawingml/2006/chart">
  <cdr:relSizeAnchor xmlns:cdr="http://schemas.openxmlformats.org/drawingml/2006/chartDrawing">
    <cdr:from>
      <cdr:x>0.24095</cdr:x>
      <cdr:y>0.0187</cdr:y>
    </cdr:from>
    <cdr:to>
      <cdr:x>0.40629</cdr:x>
      <cdr:y>0.08567</cdr:y>
    </cdr:to>
    <cdr:sp macro="" textlink="Scatterplots!$DD$8">
      <cdr:nvSpPr>
        <cdr:cNvPr id="800769" name="Text Box 1"/>
        <cdr:cNvSpPr txBox="1">
          <a:spLocks xmlns:a="http://schemas.openxmlformats.org/drawingml/2006/main" noChangeArrowheads="1" noTextEdit="1"/>
        </cdr:cNvSpPr>
      </cdr:nvSpPr>
      <cdr:spPr bwMode="auto">
        <a:xfrm xmlns:a="http://schemas.openxmlformats.org/drawingml/2006/main">
          <a:off x="1226452" y="98125"/>
          <a:ext cx="839395" cy="339992"/>
        </a:xfrm>
        <a:prstGeom xmlns:a="http://schemas.openxmlformats.org/drawingml/2006/main" prst="rect">
          <a:avLst/>
        </a:prstGeom>
        <a:solidFill xmlns:a="http://schemas.openxmlformats.org/drawingml/2006/main">
          <a:srgbClr val="FFFFFF"/>
        </a:solidFill>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0" tIns="10800" rIns="0" bIns="10800" anchor="ctr" upright="1"/>
        <a:lstStyle xmlns:a="http://schemas.openxmlformats.org/drawingml/2006/main"/>
        <a:p xmlns:a="http://schemas.openxmlformats.org/drawingml/2006/main">
          <a:pPr algn="l" rtl="0">
            <a:defRPr sz="1000"/>
          </a:pPr>
          <a:fld id="{A4CFA663-251E-4AED-99C5-988147D093C3}" type="TxLink">
            <a:rPr lang="en-AU" sz="1800" b="0" i="0" u="none" strike="noStrike" baseline="0">
              <a:solidFill>
                <a:srgbClr val="000000"/>
              </a:solidFill>
              <a:latin typeface="Arial"/>
              <a:cs typeface="Arial"/>
            </a:rPr>
            <a:pPr algn="l" rtl="0">
              <a:defRPr sz="1000"/>
            </a:pPr>
            <a:t> = .89</a:t>
          </a:fld>
          <a:endParaRPr lang="en-AU" sz="1800" b="0" i="0" u="none" strike="noStrike" baseline="0">
            <a:solidFill>
              <a:srgbClr val="000000"/>
            </a:solidFill>
            <a:latin typeface="Arial"/>
            <a:cs typeface="Arial"/>
          </a:endParaRPr>
        </a:p>
      </cdr:txBody>
    </cdr:sp>
  </cdr:relSizeAnchor>
  <cdr:relSizeAnchor xmlns:cdr="http://schemas.openxmlformats.org/drawingml/2006/chartDrawing">
    <cdr:from>
      <cdr:x>0.20833</cdr:x>
      <cdr:y>0.02263</cdr:y>
    </cdr:from>
    <cdr:to>
      <cdr:x>0.24193</cdr:x>
      <cdr:y>0.08224</cdr:y>
    </cdr:to>
    <cdr:sp macro="" textlink="Scatterplots!$DC$8">
      <cdr:nvSpPr>
        <cdr:cNvPr id="800770" name="Text Box 2"/>
        <cdr:cNvSpPr txBox="1">
          <a:spLocks xmlns:a="http://schemas.openxmlformats.org/drawingml/2006/main" noChangeArrowheads="1" noTextEdit="1"/>
        </cdr:cNvSpPr>
      </cdr:nvSpPr>
      <cdr:spPr bwMode="auto">
        <a:xfrm xmlns:a="http://schemas.openxmlformats.org/drawingml/2006/main">
          <a:off x="1060814" y="118051"/>
          <a:ext cx="170619" cy="302631"/>
        </a:xfrm>
        <a:prstGeom xmlns:a="http://schemas.openxmlformats.org/drawingml/2006/main" prst="rect">
          <a:avLst/>
        </a:prstGeom>
        <a:solidFill xmlns:a="http://schemas.openxmlformats.org/drawingml/2006/main">
          <a:srgbClr val="FFFFFF"/>
        </a:solidFill>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0" tIns="10800" rIns="0" bIns="10800" anchor="b" upright="1"/>
        <a:lstStyle xmlns:a="http://schemas.openxmlformats.org/drawingml/2006/main"/>
        <a:p xmlns:a="http://schemas.openxmlformats.org/drawingml/2006/main">
          <a:pPr algn="r" rtl="0">
            <a:defRPr sz="1000"/>
          </a:pPr>
          <a:fld id="{A7F3676A-2FDA-498E-A91E-9D324ACC8A77}" type="TxLink">
            <a:rPr lang="en-AU" sz="1800" b="0" i="1" u="none" strike="noStrike" baseline="0">
              <a:solidFill>
                <a:srgbClr val="000000"/>
              </a:solidFill>
              <a:latin typeface="Arial"/>
              <a:cs typeface="Arial"/>
            </a:rPr>
            <a:pPr algn="r" rtl="0">
              <a:defRPr sz="1000"/>
            </a:pPr>
            <a:t>r</a:t>
          </a:fld>
          <a:endParaRPr lang="en-AU" sz="1800" b="0" i="1" u="none" strike="noStrike" baseline="0">
            <a:solidFill>
              <a:srgbClr val="000000"/>
            </a:solidFill>
            <a:latin typeface="Arial"/>
            <a:cs typeface="Aria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13</xdr:col>
      <xdr:colOff>0</xdr:colOff>
      <xdr:row>0</xdr:row>
      <xdr:rowOff>9525</xdr:rowOff>
    </xdr:from>
    <xdr:to>
      <xdr:col>20</xdr:col>
      <xdr:colOff>0</xdr:colOff>
      <xdr:row>37</xdr:row>
      <xdr:rowOff>123825</xdr:rowOff>
    </xdr:to>
    <xdr:graphicFrame macro="">
      <xdr:nvGraphicFramePr>
        <xdr:cNvPr id="790529"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257175</xdr:colOff>
      <xdr:row>18</xdr:row>
      <xdr:rowOff>76200</xdr:rowOff>
    </xdr:from>
    <xdr:to>
      <xdr:col>2</xdr:col>
      <xdr:colOff>38100</xdr:colOff>
      <xdr:row>18</xdr:row>
      <xdr:rowOff>76200</xdr:rowOff>
    </xdr:to>
    <xdr:sp macro="" textlink="">
      <xdr:nvSpPr>
        <xdr:cNvPr id="790530" name="Line 13"/>
        <xdr:cNvSpPr>
          <a:spLocks noChangeShapeType="1"/>
        </xdr:cNvSpPr>
      </xdr:nvSpPr>
      <xdr:spPr bwMode="auto">
        <a:xfrm flipH="1">
          <a:off x="409575" y="2819400"/>
          <a:ext cx="209550" cy="0"/>
        </a:xfrm>
        <a:prstGeom prst="line">
          <a:avLst/>
        </a:prstGeom>
        <a:noFill/>
        <a:ln w="12700">
          <a:noFill/>
          <a:round/>
          <a:headEnd/>
          <a:tailEnd type="arrow" w="lg" len="lg"/>
        </a:ln>
      </xdr:spPr>
    </xdr:sp>
    <xdr:clientData/>
  </xdr:twoCellAnchor>
  <xdr:twoCellAnchor editAs="oneCell">
    <xdr:from>
      <xdr:col>0</xdr:col>
      <xdr:colOff>57150</xdr:colOff>
      <xdr:row>0</xdr:row>
      <xdr:rowOff>38100</xdr:rowOff>
    </xdr:from>
    <xdr:to>
      <xdr:col>1</xdr:col>
      <xdr:colOff>333375</xdr:colOff>
      <xdr:row>3</xdr:row>
      <xdr:rowOff>38100</xdr:rowOff>
    </xdr:to>
    <xdr:pic>
      <xdr:nvPicPr>
        <xdr:cNvPr id="790531" name="Picture 19"/>
        <xdr:cNvPicPr>
          <a:picLocks noChangeAspect="1" noChangeArrowheads="1"/>
        </xdr:cNvPicPr>
      </xdr:nvPicPr>
      <xdr:blipFill>
        <a:blip xmlns:r="http://schemas.openxmlformats.org/officeDocument/2006/relationships" r:embed="rId2" cstate="print"/>
        <a:srcRect/>
        <a:stretch>
          <a:fillRect/>
        </a:stretch>
      </xdr:blipFill>
      <xdr:spPr bwMode="auto">
        <a:xfrm>
          <a:off x="57150" y="38100"/>
          <a:ext cx="428625" cy="457200"/>
        </a:xfrm>
        <a:prstGeom prst="rect">
          <a:avLst/>
        </a:prstGeom>
        <a:noFill/>
        <a:ln w="9525">
          <a:noFill/>
          <a:miter lim="800000"/>
          <a:headEnd/>
          <a:tailEnd/>
        </a:ln>
      </xdr:spPr>
    </xdr:pic>
    <xdr:clientData/>
  </xdr:twoCellAnchor>
  <xdr:twoCellAnchor>
    <xdr:from>
      <xdr:col>19</xdr:col>
      <xdr:colOff>333375</xdr:colOff>
      <xdr:row>0</xdr:row>
      <xdr:rowOff>9525</xdr:rowOff>
    </xdr:from>
    <xdr:to>
      <xdr:col>43</xdr:col>
      <xdr:colOff>390525</xdr:colOff>
      <xdr:row>37</xdr:row>
      <xdr:rowOff>19050</xdr:rowOff>
    </xdr:to>
    <xdr:sp macro="" textlink="" fLocksText="0">
      <xdr:nvSpPr>
        <xdr:cNvPr id="790532" name="Rectangle 1"/>
        <xdr:cNvSpPr>
          <a:spLocks noChangeArrowheads="1"/>
        </xdr:cNvSpPr>
      </xdr:nvSpPr>
      <xdr:spPr bwMode="auto">
        <a:xfrm>
          <a:off x="7419975" y="9525"/>
          <a:ext cx="10391775" cy="5657850"/>
        </a:xfrm>
        <a:prstGeom prst="rect">
          <a:avLst/>
        </a:prstGeom>
        <a:noFill/>
        <a:ln w="9525">
          <a:noFill/>
          <a:miter lim="800000"/>
          <a:headEnd/>
          <a:tailEnd/>
        </a:ln>
      </xdr:spPr>
    </xdr:sp>
    <xdr:clientData fLocksWithSheet="0"/>
  </xdr:twoCellAnchor>
</xdr:wsDr>
</file>

<file path=xl/drawings/drawing10.xml><?xml version="1.0" encoding="utf-8"?>
<xdr:wsDr xmlns:xdr="http://schemas.openxmlformats.org/drawingml/2006/spreadsheetDrawing" xmlns:a="http://schemas.openxmlformats.org/drawingml/2006/main">
  <xdr:twoCellAnchor editAs="oneCell">
    <xdr:from>
      <xdr:col>27</xdr:col>
      <xdr:colOff>0</xdr:colOff>
      <xdr:row>0</xdr:row>
      <xdr:rowOff>9525</xdr:rowOff>
    </xdr:from>
    <xdr:to>
      <xdr:col>36</xdr:col>
      <xdr:colOff>9525</xdr:colOff>
      <xdr:row>37</xdr:row>
      <xdr:rowOff>76200</xdr:rowOff>
    </xdr:to>
    <xdr:graphicFrame macro="">
      <xdr:nvGraphicFramePr>
        <xdr:cNvPr id="79257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257175</xdr:colOff>
      <xdr:row>18</xdr:row>
      <xdr:rowOff>76200</xdr:rowOff>
    </xdr:from>
    <xdr:to>
      <xdr:col>2</xdr:col>
      <xdr:colOff>38100</xdr:colOff>
      <xdr:row>18</xdr:row>
      <xdr:rowOff>76200</xdr:rowOff>
    </xdr:to>
    <xdr:sp macro="" textlink="">
      <xdr:nvSpPr>
        <xdr:cNvPr id="792578" name="Line 56"/>
        <xdr:cNvSpPr>
          <a:spLocks noChangeShapeType="1"/>
        </xdr:cNvSpPr>
      </xdr:nvSpPr>
      <xdr:spPr bwMode="auto">
        <a:xfrm flipH="1">
          <a:off x="447675" y="2867025"/>
          <a:ext cx="161925" cy="0"/>
        </a:xfrm>
        <a:prstGeom prst="line">
          <a:avLst/>
        </a:prstGeom>
        <a:noFill/>
        <a:ln w="12700">
          <a:noFill/>
          <a:round/>
          <a:headEnd/>
          <a:tailEnd type="arrow" w="lg" len="lg"/>
        </a:ln>
      </xdr:spPr>
    </xdr:sp>
    <xdr:clientData/>
  </xdr:twoCellAnchor>
  <xdr:twoCellAnchor editAs="oneCell">
    <xdr:from>
      <xdr:col>0</xdr:col>
      <xdr:colOff>57150</xdr:colOff>
      <xdr:row>0</xdr:row>
      <xdr:rowOff>38100</xdr:rowOff>
    </xdr:from>
    <xdr:to>
      <xdr:col>1</xdr:col>
      <xdr:colOff>295275</xdr:colOff>
      <xdr:row>3</xdr:row>
      <xdr:rowOff>19050</xdr:rowOff>
    </xdr:to>
    <xdr:pic>
      <xdr:nvPicPr>
        <xdr:cNvPr id="792579" name="Picture 93"/>
        <xdr:cNvPicPr>
          <a:picLocks noChangeAspect="1" noChangeArrowheads="1"/>
        </xdr:cNvPicPr>
      </xdr:nvPicPr>
      <xdr:blipFill>
        <a:blip xmlns:r="http://schemas.openxmlformats.org/officeDocument/2006/relationships" r:embed="rId2" cstate="print"/>
        <a:srcRect/>
        <a:stretch>
          <a:fillRect/>
        </a:stretch>
      </xdr:blipFill>
      <xdr:spPr bwMode="auto">
        <a:xfrm>
          <a:off x="57150" y="38100"/>
          <a:ext cx="428625" cy="457200"/>
        </a:xfrm>
        <a:prstGeom prst="rect">
          <a:avLst/>
        </a:prstGeom>
        <a:noFill/>
        <a:ln w="9525">
          <a:noFill/>
          <a:miter lim="800000"/>
          <a:headEnd/>
          <a:tailEnd/>
        </a:ln>
      </xdr:spPr>
    </xdr:pic>
    <xdr:clientData/>
  </xdr:twoCellAnchor>
</xdr:wsDr>
</file>

<file path=xl/drawings/drawing11.xml><?xml version="1.0" encoding="utf-8"?>
<c:userShapes xmlns:c="http://schemas.openxmlformats.org/drawingml/2006/chart">
  <cdr:relSizeAnchor xmlns:cdr="http://schemas.openxmlformats.org/drawingml/2006/chartDrawing">
    <cdr:from>
      <cdr:x>0.0867</cdr:x>
      <cdr:y>0.00997</cdr:y>
    </cdr:from>
    <cdr:to>
      <cdr:x>0.19438</cdr:x>
      <cdr:y>0.10783</cdr:y>
    </cdr:to>
    <cdr:sp macro="" textlink="">
      <cdr:nvSpPr>
        <cdr:cNvPr id="793601" name="Rectangle 1"/>
        <cdr:cNvSpPr>
          <a:spLocks xmlns:a="http://schemas.openxmlformats.org/drawingml/2006/main" noChangeArrowheads="1"/>
        </cdr:cNvSpPr>
      </cdr:nvSpPr>
      <cdr:spPr bwMode="auto">
        <a:xfrm xmlns:a="http://schemas.openxmlformats.org/drawingml/2006/main">
          <a:off x="440849" y="60735"/>
          <a:ext cx="543592" cy="564851"/>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0.00943</cdr:x>
      <cdr:y>0.01169</cdr:y>
    </cdr:from>
    <cdr:to>
      <cdr:x>0.11711</cdr:x>
      <cdr:y>0.07488</cdr:y>
    </cdr:to>
    <cdr:sp macro="" textlink="">
      <cdr:nvSpPr>
        <cdr:cNvPr id="793602" name="Rectangle 2"/>
        <cdr:cNvSpPr>
          <a:spLocks xmlns:a="http://schemas.openxmlformats.org/drawingml/2006/main" noChangeArrowheads="1"/>
        </cdr:cNvSpPr>
      </cdr:nvSpPr>
      <cdr:spPr bwMode="auto">
        <a:xfrm xmlns:a="http://schemas.openxmlformats.org/drawingml/2006/main">
          <a:off x="50800" y="70669"/>
          <a:ext cx="543592" cy="364741"/>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0.00943</cdr:x>
      <cdr:y>0.92905</cdr:y>
    </cdr:from>
    <cdr:to>
      <cdr:x>0.11711</cdr:x>
      <cdr:y>0.99175</cdr:y>
    </cdr:to>
    <cdr:sp macro="" textlink="">
      <cdr:nvSpPr>
        <cdr:cNvPr id="793603" name="Rectangle 3"/>
        <cdr:cNvSpPr>
          <a:spLocks xmlns:a="http://schemas.openxmlformats.org/drawingml/2006/main" noChangeArrowheads="1"/>
        </cdr:cNvSpPr>
      </cdr:nvSpPr>
      <cdr:spPr bwMode="auto">
        <a:xfrm xmlns:a="http://schemas.openxmlformats.org/drawingml/2006/main">
          <a:off x="50800" y="5365798"/>
          <a:ext cx="543592" cy="361902"/>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0.08302</cdr:x>
      <cdr:y>0.89414</cdr:y>
    </cdr:from>
    <cdr:to>
      <cdr:x>0.1907</cdr:x>
      <cdr:y>0.99175</cdr:y>
    </cdr:to>
    <cdr:sp macro="" textlink="">
      <cdr:nvSpPr>
        <cdr:cNvPr id="793604" name="Rectangle 4"/>
        <cdr:cNvSpPr>
          <a:spLocks xmlns:a="http://schemas.openxmlformats.org/drawingml/2006/main" noChangeArrowheads="1"/>
        </cdr:cNvSpPr>
      </cdr:nvSpPr>
      <cdr:spPr bwMode="auto">
        <a:xfrm xmlns:a="http://schemas.openxmlformats.org/drawingml/2006/main">
          <a:off x="422275" y="5164268"/>
          <a:ext cx="543592" cy="563432"/>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userShapes>
</file>

<file path=xl/drawings/drawing12.xml><?xml version="1.0" encoding="utf-8"?>
<xdr:wsDr xmlns:xdr="http://schemas.openxmlformats.org/drawingml/2006/spreadsheetDrawing" xmlns:a="http://schemas.openxmlformats.org/drawingml/2006/main">
  <xdr:twoCellAnchor editAs="oneCell">
    <xdr:from>
      <xdr:col>14</xdr:col>
      <xdr:colOff>0</xdr:colOff>
      <xdr:row>0</xdr:row>
      <xdr:rowOff>9525</xdr:rowOff>
    </xdr:from>
    <xdr:to>
      <xdr:col>21</xdr:col>
      <xdr:colOff>0</xdr:colOff>
      <xdr:row>38</xdr:row>
      <xdr:rowOff>0</xdr:rowOff>
    </xdr:to>
    <xdr:graphicFrame macro="">
      <xdr:nvGraphicFramePr>
        <xdr:cNvPr id="794625"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4</xdr:col>
      <xdr:colOff>257175</xdr:colOff>
      <xdr:row>18</xdr:row>
      <xdr:rowOff>76200</xdr:rowOff>
    </xdr:from>
    <xdr:to>
      <xdr:col>5</xdr:col>
      <xdr:colOff>38100</xdr:colOff>
      <xdr:row>18</xdr:row>
      <xdr:rowOff>76200</xdr:rowOff>
    </xdr:to>
    <xdr:sp macro="" textlink="">
      <xdr:nvSpPr>
        <xdr:cNvPr id="794626" name="Line 13"/>
        <xdr:cNvSpPr>
          <a:spLocks noChangeShapeType="1"/>
        </xdr:cNvSpPr>
      </xdr:nvSpPr>
      <xdr:spPr bwMode="auto">
        <a:xfrm flipH="1">
          <a:off x="438150" y="2857500"/>
          <a:ext cx="209550" cy="0"/>
        </a:xfrm>
        <a:prstGeom prst="line">
          <a:avLst/>
        </a:prstGeom>
        <a:noFill/>
        <a:ln w="12700">
          <a:noFill/>
          <a:round/>
          <a:headEnd/>
          <a:tailEnd type="arrow" w="lg" len="lg"/>
        </a:ln>
      </xdr:spPr>
    </xdr:sp>
    <xdr:clientData/>
  </xdr:twoCellAnchor>
  <xdr:twoCellAnchor editAs="oneCell">
    <xdr:from>
      <xdr:col>3</xdr:col>
      <xdr:colOff>57150</xdr:colOff>
      <xdr:row>0</xdr:row>
      <xdr:rowOff>38100</xdr:rowOff>
    </xdr:from>
    <xdr:to>
      <xdr:col>4</xdr:col>
      <xdr:colOff>333375</xdr:colOff>
      <xdr:row>3</xdr:row>
      <xdr:rowOff>38100</xdr:rowOff>
    </xdr:to>
    <xdr:pic>
      <xdr:nvPicPr>
        <xdr:cNvPr id="794627" name="Picture 19"/>
        <xdr:cNvPicPr>
          <a:picLocks noChangeAspect="1" noChangeArrowheads="1"/>
        </xdr:cNvPicPr>
      </xdr:nvPicPr>
      <xdr:blipFill>
        <a:blip xmlns:r="http://schemas.openxmlformats.org/officeDocument/2006/relationships" r:embed="rId2" cstate="print"/>
        <a:srcRect/>
        <a:stretch>
          <a:fillRect/>
        </a:stretch>
      </xdr:blipFill>
      <xdr:spPr bwMode="auto">
        <a:xfrm>
          <a:off x="85725" y="38100"/>
          <a:ext cx="428625" cy="457200"/>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26</xdr:col>
      <xdr:colOff>0</xdr:colOff>
      <xdr:row>0</xdr:row>
      <xdr:rowOff>9525</xdr:rowOff>
    </xdr:from>
    <xdr:to>
      <xdr:col>35</xdr:col>
      <xdr:colOff>9525</xdr:colOff>
      <xdr:row>37</xdr:row>
      <xdr:rowOff>19050</xdr:rowOff>
    </xdr:to>
    <xdr:graphicFrame macro="">
      <xdr:nvGraphicFramePr>
        <xdr:cNvPr id="79667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5</xdr:col>
      <xdr:colOff>257175</xdr:colOff>
      <xdr:row>19</xdr:row>
      <xdr:rowOff>76200</xdr:rowOff>
    </xdr:from>
    <xdr:to>
      <xdr:col>6</xdr:col>
      <xdr:colOff>38100</xdr:colOff>
      <xdr:row>19</xdr:row>
      <xdr:rowOff>76200</xdr:rowOff>
    </xdr:to>
    <xdr:sp macro="" textlink="">
      <xdr:nvSpPr>
        <xdr:cNvPr id="796674" name="Line 56"/>
        <xdr:cNvSpPr>
          <a:spLocks noChangeShapeType="1"/>
        </xdr:cNvSpPr>
      </xdr:nvSpPr>
      <xdr:spPr bwMode="auto">
        <a:xfrm flipH="1">
          <a:off x="476250" y="3076575"/>
          <a:ext cx="219075" cy="0"/>
        </a:xfrm>
        <a:prstGeom prst="line">
          <a:avLst/>
        </a:prstGeom>
        <a:noFill/>
        <a:ln w="12700">
          <a:noFill/>
          <a:round/>
          <a:headEnd/>
          <a:tailEnd type="arrow" w="lg" len="lg"/>
        </a:ln>
      </xdr:spPr>
    </xdr:sp>
    <xdr:clientData/>
  </xdr:twoCellAnchor>
  <xdr:twoCellAnchor editAs="oneCell">
    <xdr:from>
      <xdr:col>4</xdr:col>
      <xdr:colOff>57150</xdr:colOff>
      <xdr:row>0</xdr:row>
      <xdr:rowOff>38100</xdr:rowOff>
    </xdr:from>
    <xdr:to>
      <xdr:col>5</xdr:col>
      <xdr:colOff>295275</xdr:colOff>
      <xdr:row>3</xdr:row>
      <xdr:rowOff>19050</xdr:rowOff>
    </xdr:to>
    <xdr:pic>
      <xdr:nvPicPr>
        <xdr:cNvPr id="796675" name="Picture 93"/>
        <xdr:cNvPicPr>
          <a:picLocks noChangeAspect="1" noChangeArrowheads="1"/>
        </xdr:cNvPicPr>
      </xdr:nvPicPr>
      <xdr:blipFill>
        <a:blip xmlns:r="http://schemas.openxmlformats.org/officeDocument/2006/relationships" r:embed="rId2" cstate="print"/>
        <a:srcRect/>
        <a:stretch>
          <a:fillRect/>
        </a:stretch>
      </xdr:blipFill>
      <xdr:spPr bwMode="auto">
        <a:xfrm>
          <a:off x="85725" y="38100"/>
          <a:ext cx="428625" cy="457200"/>
        </a:xfrm>
        <a:prstGeom prst="rect">
          <a:avLst/>
        </a:prstGeom>
        <a:noFill/>
        <a:ln w="9525">
          <a:noFill/>
          <a:miter lim="800000"/>
          <a:headEnd/>
          <a:tailEnd/>
        </a:ln>
      </xdr:spPr>
    </xdr:pic>
    <xdr:clientData/>
  </xdr:twoCellAnchor>
  <xdr:twoCellAnchor>
    <xdr:from>
      <xdr:col>4</xdr:col>
      <xdr:colOff>9525</xdr:colOff>
      <xdr:row>26</xdr:row>
      <xdr:rowOff>0</xdr:rowOff>
    </xdr:from>
    <xdr:to>
      <xdr:col>21</xdr:col>
      <xdr:colOff>228600</xdr:colOff>
      <xdr:row>41</xdr:row>
      <xdr:rowOff>47625</xdr:rowOff>
    </xdr:to>
    <xdr:sp macro="" textlink="">
      <xdr:nvSpPr>
        <xdr:cNvPr id="796711" name="Rectangle 77"/>
        <xdr:cNvSpPr>
          <a:spLocks noChangeArrowheads="1"/>
        </xdr:cNvSpPr>
      </xdr:nvSpPr>
      <xdr:spPr bwMode="auto">
        <a:xfrm>
          <a:off x="38100" y="4076700"/>
          <a:ext cx="4314825" cy="2428875"/>
        </a:xfrm>
        <a:prstGeom prst="rect">
          <a:avLst/>
        </a:prstGeom>
        <a:solidFill>
          <a:srgbClr val="FFFFFF"/>
        </a:solidFill>
        <a:ln w="9525">
          <a:noFill/>
          <a:miter lim="800000"/>
          <a:headEnd/>
          <a:tailEnd/>
        </a:ln>
      </xdr:spPr>
    </xdr:sp>
    <xdr:clientData/>
  </xdr:twoCellAnchor>
</xdr:wsDr>
</file>

<file path=xl/drawings/drawing14.xml><?xml version="1.0" encoding="utf-8"?>
<c:userShapes xmlns:c="http://schemas.openxmlformats.org/drawingml/2006/chart">
  <cdr:relSizeAnchor xmlns:cdr="http://schemas.openxmlformats.org/drawingml/2006/chartDrawing">
    <cdr:from>
      <cdr:x>0.02857</cdr:x>
      <cdr:y>0.0128</cdr:y>
    </cdr:from>
    <cdr:to>
      <cdr:x>0.12864</cdr:x>
      <cdr:y>0.14782</cdr:y>
    </cdr:to>
    <cdr:sp macro="" textlink="">
      <cdr:nvSpPr>
        <cdr:cNvPr id="797697" name="Rectangle 1"/>
        <cdr:cNvSpPr>
          <a:spLocks xmlns:a="http://schemas.openxmlformats.org/drawingml/2006/main" noChangeArrowheads="1"/>
        </cdr:cNvSpPr>
      </cdr:nvSpPr>
      <cdr:spPr bwMode="auto">
        <a:xfrm xmlns:a="http://schemas.openxmlformats.org/drawingml/2006/main">
          <a:off x="147384" y="78172"/>
          <a:ext cx="505206" cy="790921"/>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0.09185</cdr:x>
      <cdr:y>0.02707</cdr:y>
    </cdr:from>
    <cdr:to>
      <cdr:x>0.19242</cdr:x>
      <cdr:y>0.16209</cdr:y>
    </cdr:to>
    <cdr:sp macro="" textlink="">
      <cdr:nvSpPr>
        <cdr:cNvPr id="797698" name="Rectangle 2"/>
        <cdr:cNvSpPr>
          <a:spLocks xmlns:a="http://schemas.openxmlformats.org/drawingml/2006/main" noChangeArrowheads="1"/>
        </cdr:cNvSpPr>
      </cdr:nvSpPr>
      <cdr:spPr bwMode="auto">
        <a:xfrm xmlns:a="http://schemas.openxmlformats.org/drawingml/2006/main">
          <a:off x="466852" y="161731"/>
          <a:ext cx="507683" cy="790920"/>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0.02023</cdr:x>
      <cdr:y>0.8539</cdr:y>
    </cdr:from>
    <cdr:to>
      <cdr:x>0.11981</cdr:x>
      <cdr:y>0.98867</cdr:y>
    </cdr:to>
    <cdr:sp macro="" textlink="">
      <cdr:nvSpPr>
        <cdr:cNvPr id="797699" name="Rectangle 3"/>
        <cdr:cNvSpPr>
          <a:spLocks xmlns:a="http://schemas.openxmlformats.org/drawingml/2006/main" noChangeArrowheads="1"/>
        </cdr:cNvSpPr>
      </cdr:nvSpPr>
      <cdr:spPr bwMode="auto">
        <a:xfrm xmlns:a="http://schemas.openxmlformats.org/drawingml/2006/main">
          <a:off x="105283" y="5005217"/>
          <a:ext cx="502730" cy="7894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0.08645</cdr:x>
      <cdr:y>0.8389</cdr:y>
    </cdr:from>
    <cdr:to>
      <cdr:x>0.188</cdr:x>
      <cdr:y>0.97465</cdr:y>
    </cdr:to>
    <cdr:sp macro="" textlink="">
      <cdr:nvSpPr>
        <cdr:cNvPr id="797700" name="Rectangle 4"/>
        <cdr:cNvSpPr>
          <a:spLocks xmlns:a="http://schemas.openxmlformats.org/drawingml/2006/main" noChangeArrowheads="1"/>
        </cdr:cNvSpPr>
      </cdr:nvSpPr>
      <cdr:spPr bwMode="auto">
        <a:xfrm xmlns:a="http://schemas.openxmlformats.org/drawingml/2006/main">
          <a:off x="439611" y="4917337"/>
          <a:ext cx="512635" cy="795242"/>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userShapes>
</file>

<file path=xl/drawings/drawing15.xml><?xml version="1.0" encoding="utf-8"?>
<xdr:wsDr xmlns:xdr="http://schemas.openxmlformats.org/drawingml/2006/spreadsheetDrawing" xmlns:a="http://schemas.openxmlformats.org/drawingml/2006/main">
  <xdr:twoCellAnchor editAs="oneCell">
    <xdr:from>
      <xdr:col>16</xdr:col>
      <xdr:colOff>9525</xdr:colOff>
      <xdr:row>25</xdr:row>
      <xdr:rowOff>0</xdr:rowOff>
    </xdr:from>
    <xdr:to>
      <xdr:col>34</xdr:col>
      <xdr:colOff>228600</xdr:colOff>
      <xdr:row>49</xdr:row>
      <xdr:rowOff>0</xdr:rowOff>
    </xdr:to>
    <xdr:graphicFrame macro="">
      <xdr:nvGraphicFramePr>
        <xdr:cNvPr id="532481" name="Chart 1"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1</xdr:col>
      <xdr:colOff>19050</xdr:colOff>
      <xdr:row>0</xdr:row>
      <xdr:rowOff>47625</xdr:rowOff>
    </xdr:from>
    <xdr:to>
      <xdr:col>2</xdr:col>
      <xdr:colOff>114300</xdr:colOff>
      <xdr:row>3</xdr:row>
      <xdr:rowOff>57150</xdr:rowOff>
    </xdr:to>
    <xdr:pic>
      <xdr:nvPicPr>
        <xdr:cNvPr id="532482" name="Picture 57"/>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428625" cy="457200"/>
        </a:xfrm>
        <a:prstGeom prst="rect">
          <a:avLst/>
        </a:prstGeom>
        <a:noFill/>
        <a:ln w="9525">
          <a:noFill/>
          <a:miter lim="800000"/>
          <a:headEnd/>
          <a:tailEnd/>
        </a:ln>
      </xdr:spPr>
    </xdr:pic>
    <xdr:clientData/>
  </xdr:twoCellAnchor>
  <xdr:twoCellAnchor editAs="oneCell">
    <xdr:from>
      <xdr:col>9</xdr:col>
      <xdr:colOff>9525</xdr:colOff>
      <xdr:row>11</xdr:row>
      <xdr:rowOff>9525</xdr:rowOff>
    </xdr:from>
    <xdr:to>
      <xdr:col>33</xdr:col>
      <xdr:colOff>0</xdr:colOff>
      <xdr:row>46</xdr:row>
      <xdr:rowOff>85725</xdr:rowOff>
    </xdr:to>
    <xdr:graphicFrame macro="">
      <xdr:nvGraphicFramePr>
        <xdr:cNvPr id="53248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wsDr>
</file>

<file path=xl/drawings/drawing16.xml><?xml version="1.0" encoding="utf-8"?>
<c:userShapes xmlns:c="http://schemas.openxmlformats.org/drawingml/2006/chart">
  <cdr:relSizeAnchor xmlns:cdr="http://schemas.openxmlformats.org/drawingml/2006/chartDrawing">
    <cdr:from>
      <cdr:x>0.7803</cdr:x>
      <cdr:y>0.00916</cdr:y>
    </cdr:from>
    <cdr:to>
      <cdr:x>0.94709</cdr:x>
      <cdr:y>0.06978</cdr:y>
    </cdr:to>
    <cdr:sp macro="" textlink="'Ind groups comparisons'!$CX$30">
      <cdr:nvSpPr>
        <cdr:cNvPr id="534531" name="Text Box 3"/>
        <cdr:cNvSpPr txBox="1">
          <a:spLocks xmlns:a="http://schemas.openxmlformats.org/drawingml/2006/main" noChangeArrowheads="1" noTextEdit="1"/>
        </cdr:cNvSpPr>
      </cdr:nvSpPr>
      <cdr:spPr bwMode="auto">
        <a:xfrm xmlns:a="http://schemas.openxmlformats.org/drawingml/2006/main">
          <a:off x="5703773" y="50800"/>
          <a:ext cx="1218562" cy="31525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0" anchor="t" upright="1"/>
        <a:lstStyle xmlns:a="http://schemas.openxmlformats.org/drawingml/2006/main"/>
        <a:p xmlns:a="http://schemas.openxmlformats.org/drawingml/2006/main">
          <a:pPr algn="ctr" rtl="0">
            <a:defRPr sz="1000"/>
          </a:pPr>
          <a:fld id="{D6BD8675-EC75-4E5A-BBC5-C33D0AE6BEF0}" type="TxLink">
            <a:rPr lang="en-AU" sz="1400" b="0" i="1" u="none" strike="noStrike" baseline="0">
              <a:solidFill>
                <a:srgbClr val="000000"/>
              </a:solidFill>
              <a:latin typeface="Arial"/>
              <a:cs typeface="Arial"/>
            </a:rPr>
            <a:pPr algn="ctr" rtl="0">
              <a:defRPr sz="1000"/>
            </a:pPr>
            <a:t>( M1 – M2 )</a:t>
          </a:fld>
          <a:endParaRPr lang="en-AU" sz="1400" b="0" i="1" u="none" strike="noStrike" baseline="0">
            <a:solidFill>
              <a:srgbClr val="000000"/>
            </a:solidFill>
            <a:latin typeface="Arial"/>
            <a:cs typeface="Arial"/>
          </a:endParaRPr>
        </a:p>
      </cdr:txBody>
    </cdr:sp>
  </cdr:relSizeAnchor>
  <cdr:relSizeAnchor xmlns:cdr="http://schemas.openxmlformats.org/drawingml/2006/chartDrawing">
    <cdr:from>
      <cdr:x>0.81065</cdr:x>
      <cdr:y>0.93955</cdr:y>
    </cdr:from>
    <cdr:to>
      <cdr:x>0.95548</cdr:x>
      <cdr:y>0.98103</cdr:y>
    </cdr:to>
    <cdr:sp macro="" textlink="">
      <cdr:nvSpPr>
        <cdr:cNvPr id="534534" name="Text Box 6"/>
        <cdr:cNvSpPr txBox="1">
          <a:spLocks xmlns:a="http://schemas.openxmlformats.org/drawingml/2006/main" noChangeArrowheads="1"/>
        </cdr:cNvSpPr>
      </cdr:nvSpPr>
      <cdr:spPr bwMode="auto">
        <a:xfrm xmlns:a="http://schemas.openxmlformats.org/drawingml/2006/main">
          <a:off x="5925494" y="4889443"/>
          <a:ext cx="1058130" cy="21570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AU" sz="1200" b="0" i="0" u="none" strike="noStrike" baseline="0">
              <a:solidFill>
                <a:srgbClr val="000000"/>
              </a:solidFill>
              <a:latin typeface="Arial"/>
              <a:cs typeface="Arial"/>
            </a:rPr>
            <a:t>   Difference  </a:t>
          </a:r>
        </a:p>
      </cdr:txBody>
    </cdr:sp>
  </cdr:relSizeAnchor>
  <cdr:relSizeAnchor xmlns:cdr="http://schemas.openxmlformats.org/drawingml/2006/chartDrawing">
    <cdr:from>
      <cdr:x>0.08054</cdr:x>
      <cdr:y>0.88801</cdr:y>
    </cdr:from>
    <cdr:to>
      <cdr:x>0.19404</cdr:x>
      <cdr:y>0.92973</cdr:y>
    </cdr:to>
    <cdr:sp macro="" textlink="'Ind groups comparisons'!$D$9">
      <cdr:nvSpPr>
        <cdr:cNvPr id="534537" name="Text Box 9"/>
        <cdr:cNvSpPr txBox="1">
          <a:spLocks xmlns:a="http://schemas.openxmlformats.org/drawingml/2006/main" noChangeArrowheads="1" noTextEdit="1"/>
        </cdr:cNvSpPr>
      </cdr:nvSpPr>
      <cdr:spPr bwMode="auto">
        <a:xfrm xmlns:a="http://schemas.openxmlformats.org/drawingml/2006/main">
          <a:off x="591582" y="4621409"/>
          <a:ext cx="829199" cy="21698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FB365F63-A4E9-4666-99A7-BE71B16AF1EB}" type="TxLink">
            <a:rPr lang="en-AU" sz="1200" b="0" i="0" u="none" strike="noStrike" baseline="0">
              <a:solidFill>
                <a:srgbClr val="000000"/>
              </a:solidFill>
              <a:latin typeface="Arial"/>
              <a:cs typeface="Arial"/>
            </a:rPr>
            <a:pPr algn="ctr" rtl="0">
              <a:defRPr sz="1000"/>
            </a:pPr>
            <a:t>Neutral</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0.18096</cdr:x>
      <cdr:y>0.88801</cdr:y>
    </cdr:from>
    <cdr:to>
      <cdr:x>0.29545</cdr:x>
      <cdr:y>0.92875</cdr:y>
    </cdr:to>
    <cdr:sp macro="" textlink="'Ind groups comparisons'!$E$9">
      <cdr:nvSpPr>
        <cdr:cNvPr id="534538" name="Text Box 10"/>
        <cdr:cNvSpPr txBox="1">
          <a:spLocks xmlns:a="http://schemas.openxmlformats.org/drawingml/2006/main" noChangeArrowheads="1" noTextEdit="1"/>
        </cdr:cNvSpPr>
      </cdr:nvSpPr>
      <cdr:spPr bwMode="auto">
        <a:xfrm xmlns:a="http://schemas.openxmlformats.org/drawingml/2006/main">
          <a:off x="1325243" y="4621409"/>
          <a:ext cx="836409"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6814CF27-9473-4BA6-9AF2-1DB5D63B2A27}" type="TxLink">
            <a:rPr lang="en-AU" sz="1200" b="0" i="0" u="none" strike="noStrike" baseline="0">
              <a:solidFill>
                <a:srgbClr val="000000"/>
              </a:solidFill>
              <a:latin typeface="Arial"/>
              <a:cs typeface="Arial"/>
            </a:rPr>
            <a:pPr algn="ctr" rtl="0">
              <a:defRPr sz="1000"/>
            </a:pPr>
            <a:t>Violent</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0.28163</cdr:x>
      <cdr:y>0.88801</cdr:y>
    </cdr:from>
    <cdr:to>
      <cdr:x>0.39489</cdr:x>
      <cdr:y>0.92875</cdr:y>
    </cdr:to>
    <cdr:sp macro="" textlink="'Ind groups comparisons'!$F$9">
      <cdr:nvSpPr>
        <cdr:cNvPr id="534539" name="Text Box 11"/>
        <cdr:cNvSpPr txBox="1">
          <a:spLocks xmlns:a="http://schemas.openxmlformats.org/drawingml/2006/main" noChangeArrowheads="1" noTextEdit="1"/>
        </cdr:cNvSpPr>
      </cdr:nvSpPr>
      <cdr:spPr bwMode="auto">
        <a:xfrm xmlns:a="http://schemas.openxmlformats.org/drawingml/2006/main">
          <a:off x="2060706" y="4621409"/>
          <a:ext cx="827396"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4D8F68BD-488A-458B-9C38-2C9C49E6E992}" type="TxLink">
            <a:rPr lang="en-AU" sz="1200" b="0" i="0" u="none" strike="noStrike" baseline="0">
              <a:solidFill>
                <a:srgbClr val="000000"/>
              </a:solidFill>
              <a:latin typeface="Arial"/>
              <a:cs typeface="Arial"/>
            </a:rPr>
            <a:pPr algn="ctr" rtl="0">
              <a:defRPr sz="1000"/>
            </a:pPr>
            <a:t>Sexual</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0.38206</cdr:x>
      <cdr:y>0.88801</cdr:y>
    </cdr:from>
    <cdr:to>
      <cdr:x>0.49531</cdr:x>
      <cdr:y>0.92875</cdr:y>
    </cdr:to>
    <cdr:sp macro="" textlink="'Ind groups comparisons'!$G$9">
      <cdr:nvSpPr>
        <cdr:cNvPr id="534540" name="Text Box 12"/>
        <cdr:cNvSpPr txBox="1">
          <a:spLocks xmlns:a="http://schemas.openxmlformats.org/drawingml/2006/main" noChangeArrowheads="1" noTextEdit="1"/>
        </cdr:cNvSpPr>
      </cdr:nvSpPr>
      <cdr:spPr bwMode="auto">
        <a:xfrm xmlns:a="http://schemas.openxmlformats.org/drawingml/2006/main">
          <a:off x="2794367" y="4621409"/>
          <a:ext cx="827396"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2912183B-529F-4A1B-9E4B-C8F5A1A4A045}" type="TxLink">
            <a:rPr lang="en-AU" sz="900" b="0" i="0" u="none" strike="noStrike">
              <a:solidFill>
                <a:srgbClr val="000000"/>
              </a:solidFill>
              <a:latin typeface="Arial"/>
              <a:cs typeface="Arial"/>
            </a:rPr>
            <a:pPr/>
            <a:t> </a:t>
          </a:fld>
          <a:endParaRPr lang="en-AU"/>
        </a:p>
      </cdr:txBody>
    </cdr:sp>
  </cdr:relSizeAnchor>
  <cdr:relSizeAnchor xmlns:cdr="http://schemas.openxmlformats.org/drawingml/2006/chartDrawing">
    <cdr:from>
      <cdr:x>0.48248</cdr:x>
      <cdr:y>0.88801</cdr:y>
    </cdr:from>
    <cdr:to>
      <cdr:x>0.595</cdr:x>
      <cdr:y>0.92875</cdr:y>
    </cdr:to>
    <cdr:sp macro="" textlink="'Ind groups comparisons'!$H$9">
      <cdr:nvSpPr>
        <cdr:cNvPr id="534541" name="Text Box 13"/>
        <cdr:cNvSpPr txBox="1">
          <a:spLocks xmlns:a="http://schemas.openxmlformats.org/drawingml/2006/main" noChangeArrowheads="1" noTextEdit="1"/>
        </cdr:cNvSpPr>
      </cdr:nvSpPr>
      <cdr:spPr bwMode="auto">
        <a:xfrm xmlns:a="http://schemas.openxmlformats.org/drawingml/2006/main">
          <a:off x="3528027" y="4621409"/>
          <a:ext cx="821989"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7E62023A-EAF8-4D07-9B6C-4D8764542727}" type="TxLink">
            <a:rPr lang="en-AU" sz="900" b="0" i="0" u="none" strike="noStrike">
              <a:solidFill>
                <a:srgbClr val="000000"/>
              </a:solidFill>
              <a:latin typeface="Arial"/>
              <a:cs typeface="Arial"/>
            </a:rPr>
            <a:pPr/>
            <a:t> </a:t>
          </a:fld>
          <a:endParaRPr lang="en-AU"/>
        </a:p>
      </cdr:txBody>
    </cdr:sp>
  </cdr:relSizeAnchor>
  <cdr:relSizeAnchor xmlns:cdr="http://schemas.openxmlformats.org/drawingml/2006/chartDrawing">
    <cdr:from>
      <cdr:x>0.58858</cdr:x>
      <cdr:y>0.88777</cdr:y>
    </cdr:from>
    <cdr:to>
      <cdr:x>0.70183</cdr:x>
      <cdr:y>0.92851</cdr:y>
    </cdr:to>
    <cdr:sp macro="" textlink="'Ind groups comparisons'!$I$9">
      <cdr:nvSpPr>
        <cdr:cNvPr id="534542" name="Text Box 14"/>
        <cdr:cNvSpPr txBox="1">
          <a:spLocks xmlns:a="http://schemas.openxmlformats.org/drawingml/2006/main" noChangeArrowheads="1" noTextEdit="1"/>
        </cdr:cNvSpPr>
      </cdr:nvSpPr>
      <cdr:spPr bwMode="auto">
        <a:xfrm xmlns:a="http://schemas.openxmlformats.org/drawingml/2006/main">
          <a:off x="4303148" y="4620133"/>
          <a:ext cx="827396"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3F14A861-B42A-41B3-B5EC-954549E80D93}" type="TxLink">
            <a:rPr lang="en-AU" sz="900" b="0" i="0" u="none" strike="noStrike">
              <a:solidFill>
                <a:srgbClr val="000000"/>
              </a:solidFill>
              <a:latin typeface="Arial"/>
              <a:cs typeface="Arial"/>
            </a:rPr>
            <a:pPr/>
            <a:t> </a:t>
          </a:fld>
          <a:endParaRPr lang="en-AU"/>
        </a:p>
      </cdr:txBody>
    </cdr:sp>
  </cdr:relSizeAnchor>
  <cdr:relSizeAnchor xmlns:cdr="http://schemas.openxmlformats.org/drawingml/2006/chartDrawing">
    <cdr:from>
      <cdr:x>0.11089</cdr:x>
      <cdr:y>0.01456</cdr:y>
    </cdr:from>
    <cdr:to>
      <cdr:x>0.17356</cdr:x>
      <cdr:y>0.06904</cdr:y>
    </cdr:to>
    <cdr:sp macro="" textlink="'Ind groups comparisons'!$CW$6">
      <cdr:nvSpPr>
        <cdr:cNvPr id="534544" name="Text Box 16"/>
        <cdr:cNvSpPr txBox="1">
          <a:spLocks xmlns:a="http://schemas.openxmlformats.org/drawingml/2006/main" noChangeArrowheads="1" noTextEdit="1"/>
        </cdr:cNvSpPr>
      </cdr:nvSpPr>
      <cdr:spPr bwMode="auto">
        <a:xfrm xmlns:a="http://schemas.openxmlformats.org/drawingml/2006/main">
          <a:off x="813302" y="78880"/>
          <a:ext cx="457862" cy="28334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24969715-C56A-4A00-B7CB-1957B78D76AE}" type="TxLink">
            <a:rPr lang="en-AU" sz="1200" b="0" i="1" u="none" strike="noStrike" baseline="0">
              <a:solidFill>
                <a:srgbClr val="000000"/>
              </a:solidFill>
              <a:latin typeface="Arial"/>
              <a:cs typeface="Arial"/>
            </a:rPr>
            <a:pPr algn="l" rtl="0">
              <a:defRPr sz="1000"/>
            </a:pPr>
            <a:t>M1</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0.31371</cdr:x>
      <cdr:y>0.01456</cdr:y>
    </cdr:from>
    <cdr:to>
      <cdr:x>0.37367</cdr:x>
      <cdr:y>0.06904</cdr:y>
    </cdr:to>
    <cdr:sp macro="" textlink="'Ind groups comparisons'!$CW$8">
      <cdr:nvSpPr>
        <cdr:cNvPr id="534545" name="Text Box 17"/>
        <cdr:cNvSpPr txBox="1">
          <a:spLocks xmlns:a="http://schemas.openxmlformats.org/drawingml/2006/main" noChangeArrowheads="1" noTextEdit="1"/>
        </cdr:cNvSpPr>
      </cdr:nvSpPr>
      <cdr:spPr bwMode="auto">
        <a:xfrm xmlns:a="http://schemas.openxmlformats.org/drawingml/2006/main">
          <a:off x="2295045" y="78880"/>
          <a:ext cx="438033" cy="28334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33647245-F74D-4DAC-8225-9DCF44F9A7C3}" type="TxLink">
            <a:rPr lang="en-AU" sz="1200" b="0" i="1" u="none" strike="noStrike" baseline="0">
              <a:solidFill>
                <a:srgbClr val="000000"/>
              </a:solidFill>
              <a:latin typeface="Arial"/>
              <a:cs typeface="Arial"/>
            </a:rPr>
            <a:pPr algn="l" rtl="0">
              <a:defRPr sz="1000"/>
            </a:pPr>
            <a:t>M3</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0.51752</cdr:x>
      <cdr:y>0.01627</cdr:y>
    </cdr:from>
    <cdr:to>
      <cdr:x>0.58118</cdr:x>
      <cdr:y>0.07051</cdr:y>
    </cdr:to>
    <cdr:sp macro="" textlink="'Ind groups comparisons'!$CW$10">
      <cdr:nvSpPr>
        <cdr:cNvPr id="534546" name="Text Box 18"/>
        <cdr:cNvSpPr txBox="1">
          <a:spLocks xmlns:a="http://schemas.openxmlformats.org/drawingml/2006/main" noChangeArrowheads="1" noTextEdit="1"/>
        </cdr:cNvSpPr>
      </cdr:nvSpPr>
      <cdr:spPr bwMode="auto">
        <a:xfrm xmlns:a="http://schemas.openxmlformats.org/drawingml/2006/main">
          <a:off x="3783998" y="87814"/>
          <a:ext cx="465072" cy="2820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A4A403F6-DCC2-4273-81EF-41E934530F96}" type="TxLink">
            <a:rPr lang="en-AU" sz="900" b="0" i="0" u="none" strike="noStrike">
              <a:solidFill>
                <a:srgbClr val="000000"/>
              </a:solidFill>
              <a:latin typeface="Arial"/>
              <a:cs typeface="Arial"/>
            </a:rPr>
            <a:pPr/>
            <a:t> </a:t>
          </a:fld>
          <a:endParaRPr lang="en-AU"/>
        </a:p>
      </cdr:txBody>
    </cdr:sp>
  </cdr:relSizeAnchor>
  <cdr:relSizeAnchor xmlns:cdr="http://schemas.openxmlformats.org/drawingml/2006/chartDrawing">
    <cdr:from>
      <cdr:x>0.21427</cdr:x>
      <cdr:y>0.01284</cdr:y>
    </cdr:from>
    <cdr:to>
      <cdr:x>0.27596</cdr:x>
      <cdr:y>0.06732</cdr:y>
    </cdr:to>
    <cdr:sp macro="" textlink="'Ind groups comparisons'!$CW$7">
      <cdr:nvSpPr>
        <cdr:cNvPr id="534547" name="Text Box 19"/>
        <cdr:cNvSpPr txBox="1">
          <a:spLocks xmlns:a="http://schemas.openxmlformats.org/drawingml/2006/main" noChangeArrowheads="1" noTextEdit="1"/>
        </cdr:cNvSpPr>
      </cdr:nvSpPr>
      <cdr:spPr bwMode="auto">
        <a:xfrm xmlns:a="http://schemas.openxmlformats.org/drawingml/2006/main">
          <a:off x="1568594" y="69945"/>
          <a:ext cx="450652" cy="28335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905C3BC0-4596-490C-A99C-8C5F9F9BC883}" type="TxLink">
            <a:rPr lang="en-AU" sz="1200" b="0" i="1" u="none" strike="noStrike" baseline="0">
              <a:solidFill>
                <a:srgbClr val="000000"/>
              </a:solidFill>
              <a:latin typeface="Arial"/>
              <a:cs typeface="Arial"/>
            </a:rPr>
            <a:pPr algn="l" rtl="0">
              <a:defRPr sz="1000"/>
            </a:pPr>
            <a:t>M2</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0.4171</cdr:x>
      <cdr:y>0.01456</cdr:y>
    </cdr:from>
    <cdr:to>
      <cdr:x>0.47705</cdr:x>
      <cdr:y>0.06904</cdr:y>
    </cdr:to>
    <cdr:sp macro="" textlink="'Ind groups comparisons'!$CW$9">
      <cdr:nvSpPr>
        <cdr:cNvPr id="534548" name="Text Box 20"/>
        <cdr:cNvSpPr txBox="1">
          <a:spLocks xmlns:a="http://schemas.openxmlformats.org/drawingml/2006/main" noChangeArrowheads="1" noTextEdit="1"/>
        </cdr:cNvSpPr>
      </cdr:nvSpPr>
      <cdr:spPr bwMode="auto">
        <a:xfrm xmlns:a="http://schemas.openxmlformats.org/drawingml/2006/main">
          <a:off x="3050337" y="78880"/>
          <a:ext cx="438033" cy="28334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1D488152-D1EF-4483-83E9-81516F74F21A}" type="TxLink">
            <a:rPr lang="en-AU" sz="900" b="0" i="0" u="none" strike="noStrike">
              <a:solidFill>
                <a:srgbClr val="000000"/>
              </a:solidFill>
              <a:latin typeface="Arial"/>
              <a:cs typeface="Arial"/>
            </a:rPr>
            <a:pPr/>
            <a:t> </a:t>
          </a:fld>
          <a:endParaRPr lang="en-AU"/>
        </a:p>
      </cdr:txBody>
    </cdr:sp>
  </cdr:relSizeAnchor>
  <cdr:relSizeAnchor xmlns:cdr="http://schemas.openxmlformats.org/drawingml/2006/chartDrawing">
    <cdr:from>
      <cdr:x>0.62263</cdr:x>
      <cdr:y>0.01456</cdr:y>
    </cdr:from>
    <cdr:to>
      <cdr:x>0.68061</cdr:x>
      <cdr:y>0.06904</cdr:y>
    </cdr:to>
    <cdr:sp macro="" textlink="'Ind groups comparisons'!$CW$11">
      <cdr:nvSpPr>
        <cdr:cNvPr id="534549" name="Text Box 21"/>
        <cdr:cNvSpPr txBox="1">
          <a:spLocks xmlns:a="http://schemas.openxmlformats.org/drawingml/2006/main" noChangeArrowheads="1" noTextEdit="1"/>
        </cdr:cNvSpPr>
      </cdr:nvSpPr>
      <cdr:spPr bwMode="auto">
        <a:xfrm xmlns:a="http://schemas.openxmlformats.org/drawingml/2006/main">
          <a:off x="4551908" y="78880"/>
          <a:ext cx="423612" cy="28334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85202C9F-87BC-4058-83FA-C159BD7DCFE2}" type="TxLink">
            <a:rPr lang="en-AU" sz="900" b="0" i="0" u="none" strike="noStrike">
              <a:solidFill>
                <a:srgbClr val="000000"/>
              </a:solidFill>
              <a:latin typeface="Arial"/>
              <a:cs typeface="Arial"/>
            </a:rPr>
            <a:pPr/>
            <a:t> </a:t>
          </a:fld>
          <a:endParaRPr lang="en-AU"/>
        </a:p>
      </cdr:txBody>
    </cdr:sp>
  </cdr:relSizeAnchor>
  <cdr:relSizeAnchor xmlns:cdr="http://schemas.openxmlformats.org/drawingml/2006/chartDrawing">
    <cdr:from>
      <cdr:x>0.12027</cdr:x>
      <cdr:y>0.92924</cdr:y>
    </cdr:from>
    <cdr:to>
      <cdr:x>0.17652</cdr:x>
      <cdr:y>0.98201</cdr:y>
    </cdr:to>
    <cdr:sp macro="" textlink="'Ind groups comparisons'!$CV$21">
      <cdr:nvSpPr>
        <cdr:cNvPr id="534551" name="Text Box 23"/>
        <cdr:cNvSpPr txBox="1">
          <a:spLocks xmlns:a="http://schemas.openxmlformats.org/drawingml/2006/main" noChangeArrowheads="1" noTextEdit="1"/>
        </cdr:cNvSpPr>
      </cdr:nvSpPr>
      <cdr:spPr bwMode="auto">
        <a:xfrm xmlns:a="http://schemas.openxmlformats.org/drawingml/2006/main">
          <a:off x="881801" y="4835836"/>
          <a:ext cx="410995" cy="27441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0" bIns="22860" anchor="b" upright="1"/>
        <a:lstStyle xmlns:a="http://schemas.openxmlformats.org/drawingml/2006/main"/>
        <a:p xmlns:a="http://schemas.openxmlformats.org/drawingml/2006/main">
          <a:pPr algn="l" rtl="0">
            <a:defRPr sz="1000"/>
          </a:pPr>
          <a:fld id="{EF67875C-A119-49FC-95D7-87633356FF66}" type="TxLink">
            <a:rPr lang="en-AU" sz="1200" b="0" i="0" u="none" strike="noStrike" baseline="0">
              <a:solidFill>
                <a:srgbClr val="000000"/>
              </a:solidFill>
              <a:latin typeface="Arial"/>
              <a:cs typeface="Arial"/>
            </a:rPr>
            <a:pPr algn="l" rtl="0">
              <a:defRPr sz="1000"/>
            </a:pPr>
            <a:t>A1</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0.2197</cdr:x>
      <cdr:y>0.92924</cdr:y>
    </cdr:from>
    <cdr:to>
      <cdr:x>0.27596</cdr:x>
      <cdr:y>0.98225</cdr:y>
    </cdr:to>
    <cdr:sp macro="" textlink="'Ind groups comparisons'!$CV$22">
      <cdr:nvSpPr>
        <cdr:cNvPr id="534552" name="Text Box 24"/>
        <cdr:cNvSpPr txBox="1">
          <a:spLocks xmlns:a="http://schemas.openxmlformats.org/drawingml/2006/main" noChangeArrowheads="1" noTextEdit="1"/>
        </cdr:cNvSpPr>
      </cdr:nvSpPr>
      <cdr:spPr bwMode="auto">
        <a:xfrm xmlns:a="http://schemas.openxmlformats.org/drawingml/2006/main">
          <a:off x="1608252" y="4835836"/>
          <a:ext cx="410994" cy="275692"/>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0" bIns="22860" anchor="b" upright="1"/>
        <a:lstStyle xmlns:a="http://schemas.openxmlformats.org/drawingml/2006/main"/>
        <a:p xmlns:a="http://schemas.openxmlformats.org/drawingml/2006/main">
          <a:pPr algn="l" rtl="0">
            <a:defRPr sz="1000"/>
          </a:pPr>
          <a:fld id="{6C5C78B4-3CE4-4D51-99FA-276465824985}" type="TxLink">
            <a:rPr lang="en-AU" sz="1200" b="0" i="0" u="none" strike="noStrike" baseline="0">
              <a:solidFill>
                <a:srgbClr val="000000"/>
              </a:solidFill>
              <a:latin typeface="Arial"/>
              <a:cs typeface="Arial"/>
            </a:rPr>
            <a:pPr algn="l" rtl="0">
              <a:defRPr sz="1000"/>
            </a:pPr>
            <a:t>A2</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0.32013</cdr:x>
      <cdr:y>0.92703</cdr:y>
    </cdr:from>
    <cdr:to>
      <cdr:x>0.37638</cdr:x>
      <cdr:y>0.98053</cdr:y>
    </cdr:to>
    <cdr:sp macro="" textlink="'Ind groups comparisons'!$CV$23">
      <cdr:nvSpPr>
        <cdr:cNvPr id="534553" name="Text Box 25"/>
        <cdr:cNvSpPr txBox="1">
          <a:spLocks xmlns:a="http://schemas.openxmlformats.org/drawingml/2006/main" noChangeArrowheads="1" noTextEdit="1"/>
        </cdr:cNvSpPr>
      </cdr:nvSpPr>
      <cdr:spPr bwMode="auto">
        <a:xfrm xmlns:a="http://schemas.openxmlformats.org/drawingml/2006/main">
          <a:off x="2341913" y="4824349"/>
          <a:ext cx="410994" cy="27824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0" bIns="22860" anchor="b" upright="1"/>
        <a:lstStyle xmlns:a="http://schemas.openxmlformats.org/drawingml/2006/main"/>
        <a:p xmlns:a="http://schemas.openxmlformats.org/drawingml/2006/main">
          <a:pPr algn="l" rtl="0">
            <a:defRPr sz="1000"/>
          </a:pPr>
          <a:fld id="{4D90D1DE-5C73-4830-8DF3-BAE242D39AAA}" type="TxLink">
            <a:rPr lang="en-AU" sz="1200" b="0" i="0" u="none" strike="noStrike" baseline="0">
              <a:solidFill>
                <a:srgbClr val="000000"/>
              </a:solidFill>
              <a:latin typeface="Arial"/>
              <a:cs typeface="Arial"/>
            </a:rPr>
            <a:pPr algn="l" rtl="0">
              <a:defRPr sz="1000"/>
            </a:pPr>
            <a:t>A3</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0.41981</cdr:x>
      <cdr:y>0.92703</cdr:y>
    </cdr:from>
    <cdr:to>
      <cdr:x>0.47409</cdr:x>
      <cdr:y>0.98053</cdr:y>
    </cdr:to>
    <cdr:sp macro="" textlink="'Ind groups comparisons'!$CV$24">
      <cdr:nvSpPr>
        <cdr:cNvPr id="534554" name="Text Box 26"/>
        <cdr:cNvSpPr txBox="1">
          <a:spLocks xmlns:a="http://schemas.openxmlformats.org/drawingml/2006/main" noChangeArrowheads="1" noTextEdit="1"/>
        </cdr:cNvSpPr>
      </cdr:nvSpPr>
      <cdr:spPr bwMode="auto">
        <a:xfrm xmlns:a="http://schemas.openxmlformats.org/drawingml/2006/main">
          <a:off x="3070165" y="4824349"/>
          <a:ext cx="396574" cy="27824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404DEF83-34A4-4945-B1A5-CB637E11A5A8}" type="TxLink">
            <a:rPr lang="en-AU" sz="900" b="0" i="0" u="none" strike="noStrike">
              <a:solidFill>
                <a:srgbClr val="000000"/>
              </a:solidFill>
              <a:latin typeface="Arial"/>
              <a:cs typeface="Arial"/>
            </a:rPr>
            <a:pPr/>
            <a:t> </a:t>
          </a:fld>
          <a:endParaRPr lang="en-AU"/>
        </a:p>
      </cdr:txBody>
    </cdr:sp>
  </cdr:relSizeAnchor>
  <cdr:relSizeAnchor xmlns:cdr="http://schemas.openxmlformats.org/drawingml/2006/chartDrawing">
    <cdr:from>
      <cdr:x>0.52023</cdr:x>
      <cdr:y>0.92924</cdr:y>
    </cdr:from>
    <cdr:to>
      <cdr:x>0.5755</cdr:x>
      <cdr:y>0.98225</cdr:y>
    </cdr:to>
    <cdr:sp macro="" textlink="'Ind groups comparisons'!$CV$25">
      <cdr:nvSpPr>
        <cdr:cNvPr id="534555" name="Text Box 27"/>
        <cdr:cNvSpPr txBox="1">
          <a:spLocks xmlns:a="http://schemas.openxmlformats.org/drawingml/2006/main" noChangeArrowheads="1" noTextEdit="1"/>
        </cdr:cNvSpPr>
      </cdr:nvSpPr>
      <cdr:spPr bwMode="auto">
        <a:xfrm xmlns:a="http://schemas.openxmlformats.org/drawingml/2006/main">
          <a:off x="3803826" y="4835836"/>
          <a:ext cx="403784" cy="275692"/>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73D7DE1F-6CA0-4517-8A64-D0CA689D9168}" type="TxLink">
            <a:rPr lang="en-AU" sz="900" b="0" i="0" u="none" strike="noStrike">
              <a:solidFill>
                <a:srgbClr val="000000"/>
              </a:solidFill>
              <a:latin typeface="Arial"/>
              <a:cs typeface="Arial"/>
            </a:rPr>
            <a:pPr/>
            <a:t> </a:t>
          </a:fld>
          <a:endParaRPr lang="en-AU"/>
        </a:p>
      </cdr:txBody>
    </cdr:sp>
  </cdr:relSizeAnchor>
  <cdr:relSizeAnchor xmlns:cdr="http://schemas.openxmlformats.org/drawingml/2006/chartDrawing">
    <cdr:from>
      <cdr:x>0.62436</cdr:x>
      <cdr:y>0.92924</cdr:y>
    </cdr:from>
    <cdr:to>
      <cdr:x>0.68061</cdr:x>
      <cdr:y>0.98225</cdr:y>
    </cdr:to>
    <cdr:sp macro="" textlink="'Ind groups comparisons'!$CV$26">
      <cdr:nvSpPr>
        <cdr:cNvPr id="534556" name="Text Box 28"/>
        <cdr:cNvSpPr txBox="1">
          <a:spLocks xmlns:a="http://schemas.openxmlformats.org/drawingml/2006/main" noChangeArrowheads="1" noTextEdit="1"/>
        </cdr:cNvSpPr>
      </cdr:nvSpPr>
      <cdr:spPr bwMode="auto">
        <a:xfrm xmlns:a="http://schemas.openxmlformats.org/drawingml/2006/main">
          <a:off x="4564526" y="4835836"/>
          <a:ext cx="410994" cy="275692"/>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A0E084E8-6C8F-42C7-A233-20F0A6BE549D}" type="TxLink">
            <a:rPr lang="en-AU" sz="900" b="0" i="0" u="none" strike="noStrike">
              <a:solidFill>
                <a:srgbClr val="000000"/>
              </a:solidFill>
              <a:latin typeface="Arial"/>
              <a:cs typeface="Arial"/>
            </a:rPr>
            <a:pPr/>
            <a:t> </a:t>
          </a:fld>
          <a:endParaRPr lang="en-AU"/>
        </a:p>
      </cdr:txBody>
    </cdr:sp>
  </cdr:relSizeAnchor>
</c:userShapes>
</file>

<file path=xl/drawings/drawing17.xml><?xml version="1.0" encoding="utf-8"?>
<xdr:wsDr xmlns:xdr="http://schemas.openxmlformats.org/drawingml/2006/spreadsheetDrawing" xmlns:a="http://schemas.openxmlformats.org/drawingml/2006/main">
  <xdr:twoCellAnchor editAs="oneCell">
    <xdr:from>
      <xdr:col>16</xdr:col>
      <xdr:colOff>9525</xdr:colOff>
      <xdr:row>25</xdr:row>
      <xdr:rowOff>0</xdr:rowOff>
    </xdr:from>
    <xdr:to>
      <xdr:col>35</xdr:col>
      <xdr:colOff>409575</xdr:colOff>
      <xdr:row>49</xdr:row>
      <xdr:rowOff>0</xdr:rowOff>
    </xdr:to>
    <xdr:graphicFrame macro="">
      <xdr:nvGraphicFramePr>
        <xdr:cNvPr id="535553" name="Chart 1"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1</xdr:col>
      <xdr:colOff>19050</xdr:colOff>
      <xdr:row>0</xdr:row>
      <xdr:rowOff>47625</xdr:rowOff>
    </xdr:from>
    <xdr:to>
      <xdr:col>2</xdr:col>
      <xdr:colOff>114300</xdr:colOff>
      <xdr:row>3</xdr:row>
      <xdr:rowOff>57150</xdr:rowOff>
    </xdr:to>
    <xdr:pic>
      <xdr:nvPicPr>
        <xdr:cNvPr id="535554" name="Picture 57"/>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428625" cy="457200"/>
        </a:xfrm>
        <a:prstGeom prst="rect">
          <a:avLst/>
        </a:prstGeom>
        <a:noFill/>
        <a:ln w="9525">
          <a:noFill/>
          <a:miter lim="800000"/>
          <a:headEnd/>
          <a:tailEnd/>
        </a:ln>
      </xdr:spPr>
    </xdr:pic>
    <xdr:clientData/>
  </xdr:twoCellAnchor>
  <xdr:twoCellAnchor editAs="oneCell">
    <xdr:from>
      <xdr:col>9</xdr:col>
      <xdr:colOff>9525</xdr:colOff>
      <xdr:row>11</xdr:row>
      <xdr:rowOff>9525</xdr:rowOff>
    </xdr:from>
    <xdr:to>
      <xdr:col>32</xdr:col>
      <xdr:colOff>85725</xdr:colOff>
      <xdr:row>46</xdr:row>
      <xdr:rowOff>85725</xdr:rowOff>
    </xdr:to>
    <xdr:graphicFrame macro="">
      <xdr:nvGraphicFramePr>
        <xdr:cNvPr id="535561"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wsDr>
</file>

<file path=xl/drawings/drawing18.xml><?xml version="1.0" encoding="utf-8"?>
<c:userShapes xmlns:c="http://schemas.openxmlformats.org/drawingml/2006/chart">
  <cdr:relSizeAnchor xmlns:cdr="http://schemas.openxmlformats.org/drawingml/2006/chartDrawing">
    <cdr:from>
      <cdr:x>0.80917</cdr:x>
      <cdr:y>0.93955</cdr:y>
    </cdr:from>
    <cdr:to>
      <cdr:x>0.95548</cdr:x>
      <cdr:y>0.98103</cdr:y>
    </cdr:to>
    <cdr:sp macro="" textlink="">
      <cdr:nvSpPr>
        <cdr:cNvPr id="537606" name="Text Box 6"/>
        <cdr:cNvSpPr txBox="1">
          <a:spLocks xmlns:a="http://schemas.openxmlformats.org/drawingml/2006/main" noChangeArrowheads="1"/>
        </cdr:cNvSpPr>
      </cdr:nvSpPr>
      <cdr:spPr bwMode="auto">
        <a:xfrm xmlns:a="http://schemas.openxmlformats.org/drawingml/2006/main">
          <a:off x="5914678" y="4889443"/>
          <a:ext cx="1068946" cy="21570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AU" sz="1200" b="0" i="0" u="none" strike="noStrike" baseline="0">
              <a:solidFill>
                <a:srgbClr val="000000"/>
              </a:solidFill>
              <a:latin typeface="Arial"/>
              <a:cs typeface="Arial"/>
            </a:rPr>
            <a:t>   Difference  </a:t>
          </a:r>
        </a:p>
      </cdr:txBody>
    </cdr:sp>
  </cdr:relSizeAnchor>
  <cdr:relSizeAnchor xmlns:cdr="http://schemas.openxmlformats.org/drawingml/2006/chartDrawing">
    <cdr:from>
      <cdr:x>0.08054</cdr:x>
      <cdr:y>0.88801</cdr:y>
    </cdr:from>
    <cdr:to>
      <cdr:x>0.19404</cdr:x>
      <cdr:y>0.92973</cdr:y>
    </cdr:to>
    <cdr:sp macro="" textlink="'Ind groups contrasts'!$D$9">
      <cdr:nvSpPr>
        <cdr:cNvPr id="537609" name="Text Box 9"/>
        <cdr:cNvSpPr txBox="1">
          <a:spLocks xmlns:a="http://schemas.openxmlformats.org/drawingml/2006/main" noChangeArrowheads="1" noTextEdit="1"/>
        </cdr:cNvSpPr>
      </cdr:nvSpPr>
      <cdr:spPr bwMode="auto">
        <a:xfrm xmlns:a="http://schemas.openxmlformats.org/drawingml/2006/main">
          <a:off x="591582" y="4621409"/>
          <a:ext cx="829199" cy="21698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F02D67CB-DD18-465B-BBD9-EA9914AB0027}" type="TxLink">
            <a:rPr lang="en-AU" sz="1200" b="0" i="0" u="none" strike="noStrike" baseline="0">
              <a:solidFill>
                <a:srgbClr val="000000"/>
              </a:solidFill>
              <a:latin typeface="Arial"/>
              <a:cs typeface="Arial"/>
            </a:rPr>
            <a:pPr algn="ctr" rtl="0">
              <a:defRPr sz="1000"/>
            </a:pPr>
            <a:t>Control10</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0.1822</cdr:x>
      <cdr:y>0.88801</cdr:y>
    </cdr:from>
    <cdr:to>
      <cdr:x>0.29595</cdr:x>
      <cdr:y>0.92875</cdr:y>
    </cdr:to>
    <cdr:sp macro="" textlink="'Ind groups contrasts'!$E$9">
      <cdr:nvSpPr>
        <cdr:cNvPr id="537610" name="Text Box 10"/>
        <cdr:cNvSpPr txBox="1">
          <a:spLocks xmlns:a="http://schemas.openxmlformats.org/drawingml/2006/main" noChangeArrowheads="1" noTextEdit="1"/>
        </cdr:cNvSpPr>
      </cdr:nvSpPr>
      <cdr:spPr bwMode="auto">
        <a:xfrm xmlns:a="http://schemas.openxmlformats.org/drawingml/2006/main">
          <a:off x="1334256" y="4621409"/>
          <a:ext cx="831001"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3A9C1F3F-F236-4328-84C8-D98D81244F3B}" type="TxLink">
            <a:rPr lang="en-AU" sz="1200" b="0" i="0" u="none" strike="noStrike" baseline="0">
              <a:solidFill>
                <a:srgbClr val="000000"/>
              </a:solidFill>
              <a:latin typeface="Arial"/>
              <a:cs typeface="Arial"/>
            </a:rPr>
            <a:pPr algn="ctr" rtl="0">
              <a:defRPr sz="1000"/>
            </a:pPr>
            <a:t>Free10</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0.28312</cdr:x>
      <cdr:y>0.88801</cdr:y>
    </cdr:from>
    <cdr:to>
      <cdr:x>0.39514</cdr:x>
      <cdr:y>0.92875</cdr:y>
    </cdr:to>
    <cdr:sp macro="" textlink="'Ind groups contrasts'!$F$9">
      <cdr:nvSpPr>
        <cdr:cNvPr id="537611" name="Text Box 11"/>
        <cdr:cNvSpPr txBox="1">
          <a:spLocks xmlns:a="http://schemas.openxmlformats.org/drawingml/2006/main" noChangeArrowheads="1" noTextEdit="1"/>
        </cdr:cNvSpPr>
      </cdr:nvSpPr>
      <cdr:spPr bwMode="auto">
        <a:xfrm xmlns:a="http://schemas.openxmlformats.org/drawingml/2006/main">
          <a:off x="2071522" y="4621409"/>
          <a:ext cx="818383"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3C6465E6-81FA-4C09-802D-6121D828EA1C}" type="TxLink">
            <a:rPr lang="en-AU" sz="1200" b="0" i="0" u="none" strike="noStrike" baseline="0">
              <a:solidFill>
                <a:srgbClr val="000000"/>
              </a:solidFill>
              <a:latin typeface="Arial"/>
              <a:cs typeface="Arial"/>
            </a:rPr>
            <a:pPr algn="ctr" rtl="0">
              <a:defRPr sz="1000"/>
            </a:pPr>
            <a:t>Diet10</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0.3823</cdr:x>
      <cdr:y>0.88801</cdr:y>
    </cdr:from>
    <cdr:to>
      <cdr:x>0.49605</cdr:x>
      <cdr:y>0.92875</cdr:y>
    </cdr:to>
    <cdr:sp macro="" textlink="'Ind groups contrasts'!$G$9">
      <cdr:nvSpPr>
        <cdr:cNvPr id="537612" name="Text Box 12"/>
        <cdr:cNvSpPr txBox="1">
          <a:spLocks xmlns:a="http://schemas.openxmlformats.org/drawingml/2006/main" noChangeArrowheads="1" noTextEdit="1"/>
        </cdr:cNvSpPr>
      </cdr:nvSpPr>
      <cdr:spPr bwMode="auto">
        <a:xfrm xmlns:a="http://schemas.openxmlformats.org/drawingml/2006/main">
          <a:off x="2796169" y="4621409"/>
          <a:ext cx="831002"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0703D353-85C8-465F-95F5-5306D53C29B4}" type="TxLink">
            <a:rPr lang="en-AU" sz="1200" b="0" i="0" u="none" strike="noStrike" baseline="0">
              <a:solidFill>
                <a:srgbClr val="000000"/>
              </a:solidFill>
              <a:latin typeface="Arial"/>
              <a:cs typeface="Arial"/>
            </a:rPr>
            <a:pPr algn="ctr" rtl="0">
              <a:defRPr sz="1000"/>
            </a:pPr>
            <a:t>Control17</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0.48248</cdr:x>
      <cdr:y>0.88801</cdr:y>
    </cdr:from>
    <cdr:to>
      <cdr:x>0.59524</cdr:x>
      <cdr:y>0.92875</cdr:y>
    </cdr:to>
    <cdr:sp macro="" textlink="'Ind groups contrasts'!$H$9">
      <cdr:nvSpPr>
        <cdr:cNvPr id="537613" name="Text Box 13"/>
        <cdr:cNvSpPr txBox="1">
          <a:spLocks xmlns:a="http://schemas.openxmlformats.org/drawingml/2006/main" noChangeArrowheads="1" noTextEdit="1"/>
        </cdr:cNvSpPr>
      </cdr:nvSpPr>
      <cdr:spPr bwMode="auto">
        <a:xfrm xmlns:a="http://schemas.openxmlformats.org/drawingml/2006/main">
          <a:off x="3528027" y="4621409"/>
          <a:ext cx="823792"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45B978F4-A881-422E-B913-F852035743BA}" type="TxLink">
            <a:rPr lang="en-AU" sz="1200" b="0" i="0" u="none" strike="noStrike" baseline="0">
              <a:solidFill>
                <a:srgbClr val="000000"/>
              </a:solidFill>
              <a:latin typeface="Arial"/>
              <a:cs typeface="Arial"/>
            </a:rPr>
            <a:pPr algn="ctr" rtl="0">
              <a:defRPr sz="1000"/>
            </a:pPr>
            <a:t>Free17</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0.58883</cdr:x>
      <cdr:y>0.88777</cdr:y>
    </cdr:from>
    <cdr:to>
      <cdr:x>0.70183</cdr:x>
      <cdr:y>0.92851</cdr:y>
    </cdr:to>
    <cdr:sp macro="" textlink="'Ind groups contrasts'!$I$9">
      <cdr:nvSpPr>
        <cdr:cNvPr id="537614" name="Text Box 14"/>
        <cdr:cNvSpPr txBox="1">
          <a:spLocks xmlns:a="http://schemas.openxmlformats.org/drawingml/2006/main" noChangeArrowheads="1" noTextEdit="1"/>
        </cdr:cNvSpPr>
      </cdr:nvSpPr>
      <cdr:spPr bwMode="auto">
        <a:xfrm xmlns:a="http://schemas.openxmlformats.org/drawingml/2006/main">
          <a:off x="4304951" y="4620133"/>
          <a:ext cx="825593"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749FB029-4DA6-4E97-A292-D0661156D169}" type="TxLink">
            <a:rPr lang="en-AU" sz="1200" b="0" i="0" u="none" strike="noStrike" baseline="0">
              <a:solidFill>
                <a:srgbClr val="000000"/>
              </a:solidFill>
              <a:latin typeface="Arial"/>
              <a:cs typeface="Arial"/>
            </a:rPr>
            <a:pPr algn="ctr" rtl="0">
              <a:defRPr sz="1000"/>
            </a:pPr>
            <a:t>Diet17</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0.78992</cdr:x>
      <cdr:y>0.01456</cdr:y>
    </cdr:from>
    <cdr:to>
      <cdr:x>0.99348</cdr:x>
      <cdr:y>0.09505</cdr:y>
    </cdr:to>
    <cdr:sp macro="" textlink="">
      <cdr:nvSpPr>
        <cdr:cNvPr id="537615" name="Text Box 15"/>
        <cdr:cNvSpPr txBox="1">
          <a:spLocks xmlns:a="http://schemas.openxmlformats.org/drawingml/2006/main" noChangeArrowheads="1"/>
        </cdr:cNvSpPr>
      </cdr:nvSpPr>
      <cdr:spPr bwMode="auto">
        <a:xfrm xmlns:a="http://schemas.openxmlformats.org/drawingml/2006/main">
          <a:off x="5774075" y="78880"/>
          <a:ext cx="1487150" cy="41864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32004" rIns="36576" bIns="0" anchor="t" upright="1"/>
        <a:lstStyle xmlns:a="http://schemas.openxmlformats.org/drawingml/2006/main"/>
        <a:p xmlns:a="http://schemas.openxmlformats.org/drawingml/2006/main">
          <a:pPr algn="r" rtl="0">
            <a:defRPr sz="1000"/>
          </a:pPr>
          <a:r>
            <a:rPr lang="en-AU" sz="1400" b="0" i="1" u="none" strike="noStrike" baseline="0">
              <a:solidFill>
                <a:srgbClr val="000000"/>
              </a:solidFill>
              <a:latin typeface="Arial"/>
              <a:cs typeface="Arial"/>
            </a:rPr>
            <a:t>(</a:t>
          </a:r>
          <a:r>
            <a:rPr lang="en-AU" sz="1400" b="0" i="1" u="none" strike="noStrike" baseline="0">
              <a:solidFill>
                <a:srgbClr val="008000"/>
              </a:solidFill>
              <a:latin typeface="Arial"/>
              <a:cs typeface="Arial"/>
            </a:rPr>
            <a:t>green</a:t>
          </a:r>
          <a:r>
            <a:rPr lang="en-AU" sz="1400" b="0" i="1" u="none" strike="noStrike" baseline="0">
              <a:solidFill>
                <a:srgbClr val="000000"/>
              </a:solidFill>
              <a:latin typeface="Arial"/>
              <a:cs typeface="Arial"/>
            </a:rPr>
            <a:t>–</a:t>
          </a:r>
          <a:r>
            <a:rPr lang="en-AU" sz="1400" b="0" i="1" u="none" strike="noStrike" baseline="0">
              <a:solidFill>
                <a:srgbClr val="0000FF"/>
              </a:solidFill>
              <a:latin typeface="Arial"/>
              <a:cs typeface="Arial"/>
            </a:rPr>
            <a:t>blue</a:t>
          </a:r>
          <a:r>
            <a:rPr lang="en-AU" sz="1400" b="0" i="1" u="none" strike="noStrike" baseline="0">
              <a:solidFill>
                <a:srgbClr val="000000"/>
              </a:solidFill>
              <a:latin typeface="Arial"/>
              <a:cs typeface="Arial"/>
            </a:rPr>
            <a:t>)</a:t>
          </a:r>
        </a:p>
      </cdr:txBody>
    </cdr:sp>
  </cdr:relSizeAnchor>
  <cdr:relSizeAnchor xmlns:cdr="http://schemas.openxmlformats.org/drawingml/2006/chartDrawing">
    <cdr:from>
      <cdr:x>0.21674</cdr:x>
      <cdr:y>0.00916</cdr:y>
    </cdr:from>
    <cdr:to>
      <cdr:x>0.27226</cdr:x>
      <cdr:y>0.05849</cdr:y>
    </cdr:to>
    <cdr:sp macro="" textlink="'Ind groups contrasts'!$CY$11">
      <cdr:nvSpPr>
        <cdr:cNvPr id="537617" name="Text Box 17"/>
        <cdr:cNvSpPr txBox="1">
          <a:spLocks xmlns:a="http://schemas.openxmlformats.org/drawingml/2006/main" noChangeArrowheads="1" noTextEdit="1"/>
        </cdr:cNvSpPr>
      </cdr:nvSpPr>
      <cdr:spPr bwMode="auto">
        <a:xfrm xmlns:a="http://schemas.openxmlformats.org/drawingml/2006/main">
          <a:off x="1586621" y="50800"/>
          <a:ext cx="405586" cy="25654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2E8C31FF-DD9F-47DF-876E-62DA16A26BDE}" type="TxLink">
            <a:rPr lang="en-AU" sz="1200" b="0" i="1" u="none" strike="noStrike" baseline="0">
              <a:solidFill>
                <a:srgbClr val="000000"/>
              </a:solidFill>
              <a:latin typeface="Arial"/>
              <a:cs typeface="Arial"/>
            </a:rPr>
            <a:pPr algn="l" rtl="0">
              <a:defRPr sz="1000"/>
            </a:pPr>
            <a:t>M2</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0.11484</cdr:x>
      <cdr:y>0.00916</cdr:y>
    </cdr:from>
    <cdr:to>
      <cdr:x>0.17109</cdr:x>
      <cdr:y>0.05849</cdr:y>
    </cdr:to>
    <cdr:sp macro="" textlink="'Ind groups contrasts'!$CY$10">
      <cdr:nvSpPr>
        <cdr:cNvPr id="537618" name="Text Box 18"/>
        <cdr:cNvSpPr txBox="1">
          <a:spLocks xmlns:a="http://schemas.openxmlformats.org/drawingml/2006/main" noChangeArrowheads="1" noTextEdit="1"/>
        </cdr:cNvSpPr>
      </cdr:nvSpPr>
      <cdr:spPr bwMode="auto">
        <a:xfrm xmlns:a="http://schemas.openxmlformats.org/drawingml/2006/main">
          <a:off x="842144" y="50800"/>
          <a:ext cx="410994" cy="25654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4F35CBF7-E109-4FCB-90D3-EA6A04B3F886}" type="TxLink">
            <a:rPr lang="en-AU" sz="1200" b="0" i="1" u="none" strike="noStrike" baseline="0">
              <a:solidFill>
                <a:srgbClr val="000000"/>
              </a:solidFill>
              <a:latin typeface="Arial"/>
              <a:cs typeface="Arial"/>
            </a:rPr>
            <a:pPr algn="l" rtl="0">
              <a:defRPr sz="1000"/>
            </a:pPr>
            <a:t>M1</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0.31593</cdr:x>
      <cdr:y>0.00916</cdr:y>
    </cdr:from>
    <cdr:to>
      <cdr:x>0.36503</cdr:x>
      <cdr:y>0.0656</cdr:y>
    </cdr:to>
    <cdr:sp macro="" textlink="'Ind groups contrasts'!$CY$12">
      <cdr:nvSpPr>
        <cdr:cNvPr id="537619" name="Text Box 19"/>
        <cdr:cNvSpPr txBox="1">
          <a:spLocks xmlns:a="http://schemas.openxmlformats.org/drawingml/2006/main" noChangeArrowheads="1" noTextEdit="1"/>
        </cdr:cNvSpPr>
      </cdr:nvSpPr>
      <cdr:spPr bwMode="auto">
        <a:xfrm xmlns:a="http://schemas.openxmlformats.org/drawingml/2006/main">
          <a:off x="2311268" y="50800"/>
          <a:ext cx="358719" cy="29356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871FC08D-BC8A-43B8-B194-51436768E3D7}" type="TxLink">
            <a:rPr lang="en-AU" sz="1200" b="0" i="1" u="none" strike="noStrike" baseline="0">
              <a:solidFill>
                <a:srgbClr val="000000"/>
              </a:solidFill>
              <a:latin typeface="Arial"/>
              <a:cs typeface="Arial"/>
            </a:rPr>
            <a:pPr algn="l" rtl="0">
              <a:defRPr sz="1000"/>
            </a:pPr>
            <a:t>M3</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0.41413</cdr:x>
      <cdr:y>0.00916</cdr:y>
    </cdr:from>
    <cdr:to>
      <cdr:x>0.4625</cdr:x>
      <cdr:y>0.0656</cdr:y>
    </cdr:to>
    <cdr:sp macro="" textlink="'Ind groups contrasts'!$CY$13">
      <cdr:nvSpPr>
        <cdr:cNvPr id="537620" name="Text Box 20"/>
        <cdr:cNvSpPr txBox="1">
          <a:spLocks xmlns:a="http://schemas.openxmlformats.org/drawingml/2006/main" noChangeArrowheads="1" noTextEdit="1"/>
        </cdr:cNvSpPr>
      </cdr:nvSpPr>
      <cdr:spPr bwMode="auto">
        <a:xfrm xmlns:a="http://schemas.openxmlformats.org/drawingml/2006/main">
          <a:off x="3028706" y="50800"/>
          <a:ext cx="353310" cy="29356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21EF0A71-01C8-4019-A855-472C869F5B2B}" type="TxLink">
            <a:rPr lang="en-AU" sz="1200" b="0" i="1" u="none" strike="noStrike" baseline="0">
              <a:solidFill>
                <a:srgbClr val="000000"/>
              </a:solidFill>
              <a:latin typeface="Arial"/>
              <a:cs typeface="Arial"/>
            </a:rPr>
            <a:pPr algn="l" rtl="0">
              <a:defRPr sz="1000"/>
            </a:pPr>
            <a:t>M4</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0.51875</cdr:x>
      <cdr:y>0.00916</cdr:y>
    </cdr:from>
    <cdr:to>
      <cdr:x>0.56613</cdr:x>
      <cdr:y>0.05849</cdr:y>
    </cdr:to>
    <cdr:sp macro="" textlink="'Ind groups contrasts'!$CY$14">
      <cdr:nvSpPr>
        <cdr:cNvPr id="537621" name="Text Box 21"/>
        <cdr:cNvSpPr txBox="1">
          <a:spLocks xmlns:a="http://schemas.openxmlformats.org/drawingml/2006/main" noChangeArrowheads="1" noTextEdit="1"/>
        </cdr:cNvSpPr>
      </cdr:nvSpPr>
      <cdr:spPr bwMode="auto">
        <a:xfrm xmlns:a="http://schemas.openxmlformats.org/drawingml/2006/main">
          <a:off x="3793011" y="50800"/>
          <a:ext cx="346100" cy="25654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C5120D93-066E-4AB4-A6BC-4D35CA759CDE}" type="TxLink">
            <a:rPr lang="en-AU" sz="1200" b="0" i="1" u="none" strike="noStrike" baseline="0">
              <a:solidFill>
                <a:srgbClr val="000000"/>
              </a:solidFill>
              <a:latin typeface="Arial"/>
              <a:cs typeface="Arial"/>
            </a:rPr>
            <a:pPr algn="l" rtl="0">
              <a:defRPr sz="1000"/>
            </a:pPr>
            <a:t>M5</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0.61893</cdr:x>
      <cdr:y>0.00916</cdr:y>
    </cdr:from>
    <cdr:to>
      <cdr:x>0.67815</cdr:x>
      <cdr:y>0.07297</cdr:y>
    </cdr:to>
    <cdr:sp macro="" textlink="'Ind groups contrasts'!$CY$15">
      <cdr:nvSpPr>
        <cdr:cNvPr id="537622" name="Text Box 22"/>
        <cdr:cNvSpPr txBox="1">
          <a:spLocks xmlns:a="http://schemas.openxmlformats.org/drawingml/2006/main" noChangeArrowheads="1" noTextEdit="1"/>
        </cdr:cNvSpPr>
      </cdr:nvSpPr>
      <cdr:spPr bwMode="auto">
        <a:xfrm xmlns:a="http://schemas.openxmlformats.org/drawingml/2006/main">
          <a:off x="4524869" y="50800"/>
          <a:ext cx="432625" cy="33185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42609638-C885-45A2-8236-75778BD460F6}" type="TxLink">
            <a:rPr lang="en-AU" sz="1200" b="0" i="1" u="none" strike="noStrike" baseline="0">
              <a:solidFill>
                <a:srgbClr val="000000"/>
              </a:solidFill>
              <a:latin typeface="Arial"/>
              <a:cs typeface="Arial"/>
            </a:rPr>
            <a:pPr algn="l" rtl="0">
              <a:defRPr sz="1000"/>
            </a:pPr>
            <a:t>M6</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0.11385</cdr:x>
      <cdr:y>0.93022</cdr:y>
    </cdr:from>
    <cdr:to>
      <cdr:x>0.15654</cdr:x>
      <cdr:y>0.98569</cdr:y>
    </cdr:to>
    <cdr:sp macro="" textlink="'Ind groups contrasts'!$CX$2">
      <cdr:nvSpPr>
        <cdr:cNvPr id="537625" name="Text Box 25"/>
        <cdr:cNvSpPr txBox="1">
          <a:spLocks xmlns:a="http://schemas.openxmlformats.org/drawingml/2006/main" noChangeArrowheads="1" noTextEdit="1"/>
        </cdr:cNvSpPr>
      </cdr:nvSpPr>
      <cdr:spPr bwMode="auto">
        <a:xfrm xmlns:a="http://schemas.openxmlformats.org/drawingml/2006/main">
          <a:off x="834934" y="4840942"/>
          <a:ext cx="311851" cy="28845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fld id="{7F1B0F33-4F5C-46BC-B57B-1C268F4BB35F}" type="TxLink">
            <a:rPr lang="en-AU" sz="1200" b="0" i="0" u="none" strike="noStrike" baseline="0">
              <a:solidFill>
                <a:srgbClr val="000000"/>
              </a:solidFill>
              <a:latin typeface="Arial"/>
              <a:cs typeface="Arial"/>
            </a:rPr>
            <a:pPr algn="ctr" rtl="0">
              <a:defRPr sz="1000"/>
            </a:pPr>
            <a:t>A1</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0.21477</cdr:x>
      <cdr:y>0.93022</cdr:y>
    </cdr:from>
    <cdr:to>
      <cdr:x>0.26041</cdr:x>
      <cdr:y>0.98569</cdr:y>
    </cdr:to>
    <cdr:sp macro="" textlink="'Ind groups contrasts'!$CX$3">
      <cdr:nvSpPr>
        <cdr:cNvPr id="537627" name="Text Box 27"/>
        <cdr:cNvSpPr txBox="1">
          <a:spLocks xmlns:a="http://schemas.openxmlformats.org/drawingml/2006/main" noChangeArrowheads="1" noTextEdit="1"/>
        </cdr:cNvSpPr>
      </cdr:nvSpPr>
      <cdr:spPr bwMode="auto">
        <a:xfrm xmlns:a="http://schemas.openxmlformats.org/drawingml/2006/main">
          <a:off x="1572200" y="4840942"/>
          <a:ext cx="333482" cy="28845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fld id="{A173B591-4B5A-4104-AF4A-5F049FE02A83}" type="TxLink">
            <a:rPr lang="en-AU" sz="1200" b="0" i="0" u="none" strike="noStrike" baseline="0">
              <a:solidFill>
                <a:srgbClr val="000000"/>
              </a:solidFill>
              <a:latin typeface="Arial"/>
              <a:cs typeface="Arial"/>
            </a:rPr>
            <a:pPr algn="ctr" rtl="0">
              <a:defRPr sz="1000"/>
            </a:pPr>
            <a:t>A2</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0.31322</cdr:x>
      <cdr:y>0.93955</cdr:y>
    </cdr:from>
    <cdr:to>
      <cdr:x>0.36503</cdr:x>
      <cdr:y>0.98888</cdr:y>
    </cdr:to>
    <cdr:sp macro="" textlink="'Ind groups contrasts'!$CX$4">
      <cdr:nvSpPr>
        <cdr:cNvPr id="537628" name="Text Box 28"/>
        <cdr:cNvSpPr txBox="1">
          <a:spLocks xmlns:a="http://schemas.openxmlformats.org/drawingml/2006/main" noChangeArrowheads="1" noTextEdit="1"/>
        </cdr:cNvSpPr>
      </cdr:nvSpPr>
      <cdr:spPr bwMode="auto">
        <a:xfrm xmlns:a="http://schemas.openxmlformats.org/drawingml/2006/main">
          <a:off x="2291440" y="4889443"/>
          <a:ext cx="378547" cy="25654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fld id="{51699AD0-41B8-4D4E-8B20-D3E8D1B530CD}" type="TxLink">
            <a:rPr lang="en-AU" sz="1200" b="0" i="0" u="none" strike="noStrike" baseline="0">
              <a:solidFill>
                <a:srgbClr val="000000"/>
              </a:solidFill>
              <a:latin typeface="Arial"/>
              <a:cs typeface="Arial"/>
            </a:rPr>
            <a:pPr algn="ctr" rtl="0">
              <a:defRPr sz="1000"/>
            </a:pPr>
            <a:t>A3</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0.51875</cdr:x>
      <cdr:y>0.93587</cdr:y>
    </cdr:from>
    <cdr:to>
      <cdr:x>0.56341</cdr:x>
      <cdr:y>0.98544</cdr:y>
    </cdr:to>
    <cdr:sp macro="" textlink="'Ind groups contrasts'!$CX$6">
      <cdr:nvSpPr>
        <cdr:cNvPr id="537630" name="Text Box 30"/>
        <cdr:cNvSpPr txBox="1">
          <a:spLocks xmlns:a="http://schemas.openxmlformats.org/drawingml/2006/main" noChangeArrowheads="1" noTextEdit="1"/>
        </cdr:cNvSpPr>
      </cdr:nvSpPr>
      <cdr:spPr bwMode="auto">
        <a:xfrm xmlns:a="http://schemas.openxmlformats.org/drawingml/2006/main">
          <a:off x="3793011" y="4870298"/>
          <a:ext cx="326271" cy="257822"/>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fld id="{CB147740-8130-4C3C-BE02-CE6935FF7AF4}" type="TxLink">
            <a:rPr lang="en-AU" sz="1200" b="0" i="0" u="none" strike="noStrike" baseline="0">
              <a:solidFill>
                <a:srgbClr val="000000"/>
              </a:solidFill>
              <a:latin typeface="Arial"/>
              <a:cs typeface="Arial"/>
            </a:rPr>
            <a:pPr algn="ctr" rtl="0">
              <a:defRPr sz="1000"/>
            </a:pPr>
            <a:t>A5</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0.61893</cdr:x>
      <cdr:y>0.93955</cdr:y>
    </cdr:from>
    <cdr:to>
      <cdr:x>0.67272</cdr:x>
      <cdr:y>0.98912</cdr:y>
    </cdr:to>
    <cdr:sp macro="" textlink="'Ind groups contrasts'!$CX$7">
      <cdr:nvSpPr>
        <cdr:cNvPr id="537631" name="Text Box 31"/>
        <cdr:cNvSpPr txBox="1">
          <a:spLocks xmlns:a="http://schemas.openxmlformats.org/drawingml/2006/main" noChangeArrowheads="1" noTextEdit="1"/>
        </cdr:cNvSpPr>
      </cdr:nvSpPr>
      <cdr:spPr bwMode="auto">
        <a:xfrm xmlns:a="http://schemas.openxmlformats.org/drawingml/2006/main">
          <a:off x="4524869" y="4889443"/>
          <a:ext cx="392968" cy="25782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fld id="{64F8EB5D-5954-485D-8D8F-7AE202D893E6}" type="TxLink">
            <a:rPr lang="en-AU" sz="1200" b="0" i="0" u="none" strike="noStrike" baseline="0">
              <a:solidFill>
                <a:srgbClr val="000000"/>
              </a:solidFill>
              <a:latin typeface="Arial"/>
              <a:cs typeface="Arial"/>
            </a:rPr>
            <a:pPr algn="ctr" rtl="0">
              <a:defRPr sz="1000"/>
            </a:pPr>
            <a:t>A6</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0.41512</cdr:x>
      <cdr:y>0.94323</cdr:y>
    </cdr:from>
    <cdr:to>
      <cdr:x>0.45781</cdr:x>
      <cdr:y>0.98912</cdr:y>
    </cdr:to>
    <cdr:sp macro="" textlink="'Ind groups contrasts'!$CX$5">
      <cdr:nvSpPr>
        <cdr:cNvPr id="537632" name="Text Box 32"/>
        <cdr:cNvSpPr txBox="1">
          <a:spLocks xmlns:a="http://schemas.openxmlformats.org/drawingml/2006/main" noChangeArrowheads="1" noTextEdit="1"/>
        </cdr:cNvSpPr>
      </cdr:nvSpPr>
      <cdr:spPr bwMode="auto">
        <a:xfrm xmlns:a="http://schemas.openxmlformats.org/drawingml/2006/main">
          <a:off x="3035916" y="4908588"/>
          <a:ext cx="311851" cy="23867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fld id="{CA2F84B7-E33A-444F-9B0A-9EC3F533C2C1}" type="TxLink">
            <a:rPr lang="en-AU" sz="1200" b="0" i="0" u="none" strike="noStrike" baseline="0">
              <a:solidFill>
                <a:srgbClr val="000000"/>
              </a:solidFill>
              <a:latin typeface="Arial"/>
              <a:cs typeface="Arial"/>
            </a:rPr>
            <a:pPr algn="ctr" rtl="0">
              <a:defRPr sz="1000"/>
            </a:pPr>
            <a:t>A4</a:t>
          </a:fld>
          <a:endParaRPr lang="en-AU" sz="1200" b="0" i="0" u="none" strike="noStrike" baseline="0">
            <a:solidFill>
              <a:srgbClr val="000000"/>
            </a:solidFill>
            <a:latin typeface="Arial"/>
            <a:cs typeface="Arial"/>
          </a:endParaRPr>
        </a:p>
      </cdr:txBody>
    </cdr:sp>
  </cdr:relSizeAnchor>
</c:userShapes>
</file>

<file path=xl/drawings/drawing19.xml><?xml version="1.0" encoding="utf-8"?>
<xdr:wsDr xmlns:xdr="http://schemas.openxmlformats.org/drawingml/2006/spreadsheetDrawing" xmlns:a="http://schemas.openxmlformats.org/drawingml/2006/main">
  <xdr:twoCellAnchor editAs="oneCell">
    <xdr:from>
      <xdr:col>16</xdr:col>
      <xdr:colOff>9525</xdr:colOff>
      <xdr:row>25</xdr:row>
      <xdr:rowOff>0</xdr:rowOff>
    </xdr:from>
    <xdr:to>
      <xdr:col>36</xdr:col>
      <xdr:colOff>390525</xdr:colOff>
      <xdr:row>49</xdr:row>
      <xdr:rowOff>0</xdr:rowOff>
    </xdr:to>
    <xdr:graphicFrame macro="">
      <xdr:nvGraphicFramePr>
        <xdr:cNvPr id="632833" name="Chart 1"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1</xdr:col>
      <xdr:colOff>19050</xdr:colOff>
      <xdr:row>0</xdr:row>
      <xdr:rowOff>47625</xdr:rowOff>
    </xdr:from>
    <xdr:to>
      <xdr:col>3</xdr:col>
      <xdr:colOff>57150</xdr:colOff>
      <xdr:row>3</xdr:row>
      <xdr:rowOff>57150</xdr:rowOff>
    </xdr:to>
    <xdr:pic>
      <xdr:nvPicPr>
        <xdr:cNvPr id="632834" name="Picture 57"/>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428625" cy="457200"/>
        </a:xfrm>
        <a:prstGeom prst="rect">
          <a:avLst/>
        </a:prstGeom>
        <a:noFill/>
        <a:ln w="9525">
          <a:noFill/>
          <a:miter lim="800000"/>
          <a:headEnd/>
          <a:tailEnd/>
        </a:ln>
      </xdr:spPr>
    </xdr:pic>
    <xdr:clientData/>
  </xdr:twoCellAnchor>
  <xdr:twoCellAnchor editAs="oneCell">
    <xdr:from>
      <xdr:col>9</xdr:col>
      <xdr:colOff>19050</xdr:colOff>
      <xdr:row>11</xdr:row>
      <xdr:rowOff>9525</xdr:rowOff>
    </xdr:from>
    <xdr:to>
      <xdr:col>34</xdr:col>
      <xdr:colOff>0</xdr:colOff>
      <xdr:row>49</xdr:row>
      <xdr:rowOff>66675</xdr:rowOff>
    </xdr:to>
    <xdr:graphicFrame macro="">
      <xdr:nvGraphicFramePr>
        <xdr:cNvPr id="632839"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22</xdr:col>
      <xdr:colOff>295275</xdr:colOff>
      <xdr:row>8</xdr:row>
      <xdr:rowOff>19050</xdr:rowOff>
    </xdr:from>
    <xdr:to>
      <xdr:col>24</xdr:col>
      <xdr:colOff>0</xdr:colOff>
      <xdr:row>10</xdr:row>
      <xdr:rowOff>142875</xdr:rowOff>
    </xdr:to>
    <xdr:graphicFrame macro="">
      <xdr:nvGraphicFramePr>
        <xdr:cNvPr id="633185" name="Chart 3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c:userShapes xmlns:c="http://schemas.openxmlformats.org/drawingml/2006/chart">
  <cdr:relSizeAnchor xmlns:cdr="http://schemas.openxmlformats.org/drawingml/2006/chartDrawing">
    <cdr:from>
      <cdr:x>0.07826</cdr:x>
      <cdr:y>0.00849</cdr:y>
    </cdr:from>
    <cdr:to>
      <cdr:x>0.28383</cdr:x>
      <cdr:y>0.11343</cdr:y>
    </cdr:to>
    <cdr:sp macro="" textlink="">
      <cdr:nvSpPr>
        <cdr:cNvPr id="634903" name="Text Box 23"/>
        <cdr:cNvSpPr txBox="1">
          <a:spLocks xmlns:a="http://schemas.openxmlformats.org/drawingml/2006/main" noChangeArrowheads="1"/>
        </cdr:cNvSpPr>
      </cdr:nvSpPr>
      <cdr:spPr bwMode="auto">
        <a:xfrm xmlns:a="http://schemas.openxmlformats.org/drawingml/2006/main">
          <a:off x="580902" y="50800"/>
          <a:ext cx="1517440" cy="5887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2860" rIns="36576" bIns="0" anchor="t" upright="1"/>
        <a:lstStyle xmlns:a="http://schemas.openxmlformats.org/drawingml/2006/main"/>
        <a:p xmlns:a="http://schemas.openxmlformats.org/drawingml/2006/main">
          <a:pPr algn="ctr" rtl="0">
            <a:defRPr sz="1000"/>
          </a:pPr>
          <a:r>
            <a:rPr lang="en-AU" sz="1200" b="0" i="0" u="none" strike="noStrike" baseline="0">
              <a:solidFill>
                <a:srgbClr val="000000"/>
              </a:solidFill>
              <a:latin typeface="Arial"/>
              <a:cs typeface="Arial"/>
            </a:rPr>
            <a:t>A1</a:t>
          </a:r>
        </a:p>
        <a:p xmlns:a="http://schemas.openxmlformats.org/drawingml/2006/main">
          <a:pPr algn="ctr" rtl="0">
            <a:defRPr sz="1000"/>
          </a:pPr>
          <a:r>
            <a:rPr lang="en-AU" sz="1200" b="0" i="0" u="none" strike="noStrike" baseline="0">
              <a:solidFill>
                <a:srgbClr val="000000"/>
              </a:solidFill>
              <a:latin typeface="Arial"/>
              <a:cs typeface="Arial"/>
            </a:rPr>
            <a:t>A1B1     A1B2</a:t>
          </a:r>
        </a:p>
      </cdr:txBody>
    </cdr:sp>
  </cdr:relSizeAnchor>
  <cdr:relSizeAnchor xmlns:cdr="http://schemas.openxmlformats.org/drawingml/2006/chartDrawing">
    <cdr:from>
      <cdr:x>0.28555</cdr:x>
      <cdr:y>0.00849</cdr:y>
    </cdr:from>
    <cdr:to>
      <cdr:x>0.46891</cdr:x>
      <cdr:y>0.08836</cdr:y>
    </cdr:to>
    <cdr:sp macro="" textlink="">
      <cdr:nvSpPr>
        <cdr:cNvPr id="634904" name="Text Box 24"/>
        <cdr:cNvSpPr txBox="1">
          <a:spLocks xmlns:a="http://schemas.openxmlformats.org/drawingml/2006/main" noChangeArrowheads="1"/>
        </cdr:cNvSpPr>
      </cdr:nvSpPr>
      <cdr:spPr bwMode="auto">
        <a:xfrm xmlns:a="http://schemas.openxmlformats.org/drawingml/2006/main">
          <a:off x="2111093" y="50800"/>
          <a:ext cx="1353491" cy="44809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2860" rIns="36576" bIns="0" anchor="t" upright="1"/>
        <a:lstStyle xmlns:a="http://schemas.openxmlformats.org/drawingml/2006/main"/>
        <a:p xmlns:a="http://schemas.openxmlformats.org/drawingml/2006/main">
          <a:pPr algn="ctr" rtl="0">
            <a:defRPr sz="1000"/>
          </a:pPr>
          <a:r>
            <a:rPr lang="en-AU" sz="1200" b="0" i="0" u="none" strike="noStrike" baseline="0">
              <a:solidFill>
                <a:srgbClr val="000000"/>
              </a:solidFill>
              <a:latin typeface="Arial"/>
              <a:cs typeface="Arial"/>
            </a:rPr>
            <a:t>A2</a:t>
          </a:r>
        </a:p>
        <a:p xmlns:a="http://schemas.openxmlformats.org/drawingml/2006/main">
          <a:pPr algn="ctr" rtl="0">
            <a:defRPr sz="1000"/>
          </a:pPr>
          <a:r>
            <a:rPr lang="en-AU" sz="1200" b="0" i="0" u="none" strike="noStrike" baseline="0">
              <a:solidFill>
                <a:srgbClr val="000000"/>
              </a:solidFill>
              <a:latin typeface="Arial"/>
              <a:cs typeface="Arial"/>
            </a:rPr>
            <a:t>A2B1     A2B2</a:t>
          </a:r>
        </a:p>
      </cdr:txBody>
    </cdr:sp>
  </cdr:relSizeAnchor>
  <cdr:relSizeAnchor xmlns:cdr="http://schemas.openxmlformats.org/drawingml/2006/chartDrawing">
    <cdr:from>
      <cdr:x>0.10886</cdr:x>
      <cdr:y>0.94187</cdr:y>
    </cdr:from>
    <cdr:to>
      <cdr:x>0.2594</cdr:x>
      <cdr:y>0.98979</cdr:y>
    </cdr:to>
    <cdr:sp macro="" textlink="">
      <cdr:nvSpPr>
        <cdr:cNvPr id="634905" name="Text Box 25"/>
        <cdr:cNvSpPr txBox="1">
          <a:spLocks xmlns:a="http://schemas.openxmlformats.org/drawingml/2006/main" noChangeArrowheads="1"/>
        </cdr:cNvSpPr>
      </cdr:nvSpPr>
      <cdr:spPr bwMode="auto">
        <a:xfrm xmlns:a="http://schemas.openxmlformats.org/drawingml/2006/main">
          <a:off x="806787" y="5287269"/>
          <a:ext cx="1111211" cy="2688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r>
            <a:rPr lang="en-AU" sz="1200" b="0" i="0" u="none" strike="noStrike" baseline="0">
              <a:solidFill>
                <a:srgbClr val="000000"/>
              </a:solidFill>
              <a:latin typeface="Arial"/>
              <a:cs typeface="Arial"/>
            </a:rPr>
            <a:t>A1B1    A1B2</a:t>
          </a:r>
        </a:p>
      </cdr:txBody>
    </cdr:sp>
  </cdr:relSizeAnchor>
  <cdr:relSizeAnchor xmlns:cdr="http://schemas.openxmlformats.org/drawingml/2006/chartDrawing">
    <cdr:from>
      <cdr:x>0.30826</cdr:x>
      <cdr:y>0.94187</cdr:y>
    </cdr:from>
    <cdr:to>
      <cdr:x>0.45978</cdr:x>
      <cdr:y>0.98979</cdr:y>
    </cdr:to>
    <cdr:sp macro="" textlink="">
      <cdr:nvSpPr>
        <cdr:cNvPr id="634906" name="Text Box 26"/>
        <cdr:cNvSpPr txBox="1">
          <a:spLocks xmlns:a="http://schemas.openxmlformats.org/drawingml/2006/main" noChangeArrowheads="1"/>
        </cdr:cNvSpPr>
      </cdr:nvSpPr>
      <cdr:spPr bwMode="auto">
        <a:xfrm xmlns:a="http://schemas.openxmlformats.org/drawingml/2006/main">
          <a:off x="2278686" y="5287269"/>
          <a:ext cx="1118497" cy="2688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r>
            <a:rPr lang="en-AU" sz="1200" b="0" i="0" u="none" strike="noStrike" baseline="0">
              <a:solidFill>
                <a:srgbClr val="000000"/>
              </a:solidFill>
              <a:latin typeface="Arial"/>
              <a:cs typeface="Arial"/>
            </a:rPr>
            <a:t>A2B1    A2B2</a:t>
          </a:r>
        </a:p>
      </cdr:txBody>
    </cdr:sp>
  </cdr:relSizeAnchor>
  <cdr:relSizeAnchor xmlns:cdr="http://schemas.openxmlformats.org/drawingml/2006/chartDrawing">
    <cdr:from>
      <cdr:x>0.81735</cdr:x>
      <cdr:y>0.00849</cdr:y>
    </cdr:from>
    <cdr:to>
      <cdr:x>0.99355</cdr:x>
      <cdr:y>0.13161</cdr:y>
    </cdr:to>
    <cdr:sp macro="" textlink="'Ind groups 2 x 2'!$CY$23">
      <cdr:nvSpPr>
        <cdr:cNvPr id="634911" name="Text Box 31"/>
        <cdr:cNvSpPr txBox="1">
          <a:spLocks xmlns:a="http://schemas.openxmlformats.org/drawingml/2006/main" noChangeArrowheads="1" noTextEdit="1"/>
        </cdr:cNvSpPr>
      </cdr:nvSpPr>
      <cdr:spPr bwMode="auto">
        <a:xfrm xmlns:a="http://schemas.openxmlformats.org/drawingml/2006/main">
          <a:off x="6036762" y="50800"/>
          <a:ext cx="1300663" cy="69075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0" anchor="t" upright="1"/>
        <a:lstStyle xmlns:a="http://schemas.openxmlformats.org/drawingml/2006/main"/>
        <a:p xmlns:a="http://schemas.openxmlformats.org/drawingml/2006/main">
          <a:pPr algn="ctr" rtl="0">
            <a:defRPr sz="1000"/>
          </a:pPr>
          <a:fld id="{48B017F9-7BD9-457C-A212-8DA9DF003E23}" type="TxLink">
            <a:rPr lang="en-AU" sz="1200" b="0" i="0" u="none" strike="noStrike" baseline="0">
              <a:solidFill>
                <a:srgbClr val="000000"/>
              </a:solidFill>
              <a:latin typeface="Arial"/>
              <a:cs typeface="Arial"/>
            </a:rPr>
            <a:pPr algn="ctr" rtl="0">
              <a:defRPr sz="1000"/>
            </a:pPr>
            <a:t>B Main effect    (Nosleep - Sleep)</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0.07111</cdr:x>
      <cdr:y>0.8878</cdr:y>
    </cdr:from>
    <cdr:to>
      <cdr:x>0.18043</cdr:x>
      <cdr:y>0.9345</cdr:y>
    </cdr:to>
    <cdr:sp macro="" textlink="'Ind groups 2 x 2'!$E$14">
      <cdr:nvSpPr>
        <cdr:cNvPr id="634913" name="Text Box 33"/>
        <cdr:cNvSpPr txBox="1">
          <a:spLocks xmlns:a="http://schemas.openxmlformats.org/drawingml/2006/main" noChangeArrowheads="1" noTextEdit="1"/>
        </cdr:cNvSpPr>
      </cdr:nvSpPr>
      <cdr:spPr bwMode="auto">
        <a:xfrm xmlns:a="http://schemas.openxmlformats.org/drawingml/2006/main">
          <a:off x="528074" y="4983945"/>
          <a:ext cx="806994" cy="26196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0" tIns="22860" rIns="36576" bIns="22860" anchor="ctr" upright="1"/>
        <a:lstStyle xmlns:a="http://schemas.openxmlformats.org/drawingml/2006/main"/>
        <a:p xmlns:a="http://schemas.openxmlformats.org/drawingml/2006/main">
          <a:pPr algn="r" rtl="0">
            <a:defRPr sz="1000"/>
          </a:pPr>
          <a:fld id="{EF387D67-6FE2-4812-838C-CF9BC6826B4A}" type="TxLink">
            <a:rPr lang="en-AU" sz="1200" b="0" i="0" u="none" strike="noStrike" baseline="0">
              <a:solidFill>
                <a:srgbClr val="000000"/>
              </a:solidFill>
              <a:latin typeface="Arial"/>
              <a:cs typeface="Arial"/>
            </a:rPr>
            <a:pPr algn="r" rtl="0">
              <a:defRPr sz="1000"/>
            </a:pPr>
            <a:t>Sleep</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0.28012</cdr:x>
      <cdr:y>0.88903</cdr:y>
    </cdr:from>
    <cdr:to>
      <cdr:x>0.37908</cdr:x>
      <cdr:y>0.93572</cdr:y>
    </cdr:to>
    <cdr:sp macro="" textlink="'Ind groups 2 x 2'!$E$14">
      <cdr:nvSpPr>
        <cdr:cNvPr id="634914" name="Text Box 34"/>
        <cdr:cNvSpPr txBox="1">
          <a:spLocks xmlns:a="http://schemas.openxmlformats.org/drawingml/2006/main" noChangeArrowheads="1" noTextEdit="1"/>
        </cdr:cNvSpPr>
      </cdr:nvSpPr>
      <cdr:spPr bwMode="auto">
        <a:xfrm xmlns:a="http://schemas.openxmlformats.org/drawingml/2006/main">
          <a:off x="2071017" y="4990839"/>
          <a:ext cx="730484" cy="26196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0" tIns="22860" rIns="36576" bIns="22860" anchor="ctr" upright="1"/>
        <a:lstStyle xmlns:a="http://schemas.openxmlformats.org/drawingml/2006/main"/>
        <a:p xmlns:a="http://schemas.openxmlformats.org/drawingml/2006/main">
          <a:pPr algn="r" rtl="0">
            <a:defRPr sz="1000"/>
          </a:pPr>
          <a:fld id="{96EFAEC7-FBAC-41F0-B1AD-32F47141CE23}" type="TxLink">
            <a:rPr lang="en-AU" sz="1200" b="0" i="0" u="none" strike="noStrike" baseline="0">
              <a:solidFill>
                <a:srgbClr val="000000"/>
              </a:solidFill>
              <a:latin typeface="Arial"/>
              <a:cs typeface="Arial"/>
            </a:rPr>
            <a:pPr algn="r" rtl="0">
              <a:defRPr sz="1000"/>
            </a:pPr>
            <a:t>Sleep</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0.63128</cdr:x>
      <cdr:y>0.03503</cdr:y>
    </cdr:from>
    <cdr:to>
      <cdr:x>0.81636</cdr:x>
      <cdr:y>0.09155</cdr:y>
    </cdr:to>
    <cdr:sp macro="" textlink="'Ind groups 2 x 2'!$DD$23">
      <cdr:nvSpPr>
        <cdr:cNvPr id="634915" name="Text Box 35"/>
        <cdr:cNvSpPr txBox="1">
          <a:spLocks xmlns:a="http://schemas.openxmlformats.org/drawingml/2006/main" noChangeArrowheads="1" noTextEdit="1"/>
        </cdr:cNvSpPr>
      </cdr:nvSpPr>
      <cdr:spPr bwMode="auto">
        <a:xfrm xmlns:a="http://schemas.openxmlformats.org/drawingml/2006/main">
          <a:off x="4663234" y="199704"/>
          <a:ext cx="1366242" cy="31711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EADCCDF4-0CC9-4933-82B4-228182F24DCC}" type="TxLink">
            <a:rPr lang="en-AU" sz="1200" b="0" i="0" u="none" strike="noStrike" baseline="0">
              <a:solidFill>
                <a:srgbClr val="000000"/>
              </a:solidFill>
              <a:latin typeface="Arial"/>
              <a:cs typeface="Arial"/>
            </a:rPr>
            <a:pPr algn="ctr" rtl="0">
              <a:defRPr sz="1000"/>
            </a:pPr>
            <a:t>Sleep   Nosleep</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0.18857</cdr:x>
      <cdr:y>0.88928</cdr:y>
    </cdr:from>
    <cdr:to>
      <cdr:x>0.28925</cdr:x>
      <cdr:y>0.93597</cdr:y>
    </cdr:to>
    <cdr:sp macro="" textlink="'Ind groups 2 x 2'!$E$22">
      <cdr:nvSpPr>
        <cdr:cNvPr id="634917" name="Text Box 37"/>
        <cdr:cNvSpPr txBox="1">
          <a:spLocks xmlns:a="http://schemas.openxmlformats.org/drawingml/2006/main" noChangeArrowheads="1" noTextEdit="1"/>
        </cdr:cNvSpPr>
      </cdr:nvSpPr>
      <cdr:spPr bwMode="auto">
        <a:xfrm xmlns:a="http://schemas.openxmlformats.org/drawingml/2006/main">
          <a:off x="1395182" y="4992218"/>
          <a:ext cx="743236" cy="26196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22860" anchor="ctr" upright="1"/>
        <a:lstStyle xmlns:a="http://schemas.openxmlformats.org/drawingml/2006/main"/>
        <a:p xmlns:a="http://schemas.openxmlformats.org/drawingml/2006/main">
          <a:pPr algn="l" rtl="0">
            <a:defRPr sz="1000"/>
          </a:pPr>
          <a:fld id="{643F3D62-3214-47D8-87CC-7875861B9613}" type="TxLink">
            <a:rPr lang="en-AU" sz="1200" b="0" i="0" u="none" strike="noStrike" baseline="0">
              <a:solidFill>
                <a:srgbClr val="000000"/>
              </a:solidFill>
              <a:latin typeface="Arial"/>
              <a:cs typeface="Arial"/>
            </a:rPr>
            <a:pPr algn="l" rtl="0">
              <a:defRPr sz="1000"/>
            </a:pPr>
            <a:t>Nosleep</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0.39093</cdr:x>
      <cdr:y>0.88706</cdr:y>
    </cdr:from>
    <cdr:to>
      <cdr:x>0.50962</cdr:x>
      <cdr:y>0.93917</cdr:y>
    </cdr:to>
    <cdr:sp macro="" textlink="'Ind groups 2 x 2'!$E$22">
      <cdr:nvSpPr>
        <cdr:cNvPr id="634919" name="Text Box 39"/>
        <cdr:cNvSpPr txBox="1">
          <a:spLocks xmlns:a="http://schemas.openxmlformats.org/drawingml/2006/main" noChangeArrowheads="1" noTextEdit="1"/>
        </cdr:cNvSpPr>
      </cdr:nvSpPr>
      <cdr:spPr bwMode="auto">
        <a:xfrm xmlns:a="http://schemas.openxmlformats.org/drawingml/2006/main">
          <a:off x="2888940" y="4979809"/>
          <a:ext cx="876217" cy="29229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22860" anchor="ctr" upright="1"/>
        <a:lstStyle xmlns:a="http://schemas.openxmlformats.org/drawingml/2006/main"/>
        <a:p xmlns:a="http://schemas.openxmlformats.org/drawingml/2006/main">
          <a:pPr algn="l" rtl="0">
            <a:defRPr sz="1000"/>
          </a:pPr>
          <a:fld id="{E7845C94-1600-4565-A2B6-7D95B4A8CFE5}" type="TxLink">
            <a:rPr lang="en-AU" sz="1200" b="0" i="0" u="none" strike="noStrike" baseline="0">
              <a:solidFill>
                <a:srgbClr val="000000"/>
              </a:solidFill>
              <a:latin typeface="Arial"/>
              <a:cs typeface="Arial"/>
            </a:rPr>
            <a:pPr algn="l" rtl="0">
              <a:defRPr sz="1000"/>
            </a:pPr>
            <a:t>Nosleep</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0.12318</cdr:x>
      <cdr:y>0.83054</cdr:y>
    </cdr:from>
    <cdr:to>
      <cdr:x>0.24582</cdr:x>
      <cdr:y>0.88534</cdr:y>
    </cdr:to>
    <cdr:sp macro="" textlink="'Ind groups 2 x 2'!$G$10">
      <cdr:nvSpPr>
        <cdr:cNvPr id="634920" name="Text Box 40"/>
        <cdr:cNvSpPr txBox="1">
          <a:spLocks xmlns:a="http://schemas.openxmlformats.org/drawingml/2006/main" noChangeArrowheads="1" noTextEdit="1"/>
        </cdr:cNvSpPr>
      </cdr:nvSpPr>
      <cdr:spPr bwMode="auto">
        <a:xfrm xmlns:a="http://schemas.openxmlformats.org/drawingml/2006/main">
          <a:off x="912443" y="4662698"/>
          <a:ext cx="905364" cy="30746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23B6ADA5-DB2C-47E0-A45C-2A5DAE4585FE}" type="TxLink">
            <a:rPr lang="en-AU" sz="1200" b="0" i="0" u="none" strike="noStrike" baseline="0">
              <a:solidFill>
                <a:srgbClr val="000000"/>
              </a:solidFill>
              <a:latin typeface="Arial"/>
              <a:cs typeface="Arial"/>
            </a:rPr>
            <a:pPr algn="ctr" rtl="0">
              <a:defRPr sz="1000"/>
            </a:pPr>
            <a:t>Evening</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0.32183</cdr:x>
      <cdr:y>0.83054</cdr:y>
    </cdr:from>
    <cdr:to>
      <cdr:x>0.4425</cdr:x>
      <cdr:y>0.88534</cdr:y>
    </cdr:to>
    <cdr:sp macro="" textlink="'Ind groups 2 x 2'!$H$10">
      <cdr:nvSpPr>
        <cdr:cNvPr id="634921" name="Text Box 41"/>
        <cdr:cNvSpPr txBox="1">
          <a:spLocks xmlns:a="http://schemas.openxmlformats.org/drawingml/2006/main" noChangeArrowheads="1" noTextEdit="1"/>
        </cdr:cNvSpPr>
      </cdr:nvSpPr>
      <cdr:spPr bwMode="auto">
        <a:xfrm xmlns:a="http://schemas.openxmlformats.org/drawingml/2006/main">
          <a:off x="2378877" y="4662698"/>
          <a:ext cx="890790" cy="30746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7B0DA638-5371-46D5-8865-1D05F0D3CE5D}" type="TxLink">
            <a:rPr lang="en-AU" sz="1200" b="0" i="0" u="none" strike="noStrike" baseline="0">
              <a:solidFill>
                <a:srgbClr val="000000"/>
              </a:solidFill>
              <a:latin typeface="Arial"/>
              <a:cs typeface="Arial"/>
            </a:rPr>
            <a:pPr algn="ctr" rtl="0">
              <a:defRPr sz="1000"/>
            </a:pPr>
            <a:t>Morning</a:t>
          </a:fld>
          <a:endParaRPr lang="en-AU" sz="1200" b="0" i="0" u="none" strike="noStrike" baseline="0">
            <a:solidFill>
              <a:srgbClr val="000000"/>
            </a:solidFill>
            <a:latin typeface="Arial"/>
            <a:cs typeface="Arial"/>
          </a:endParaRPr>
        </a:p>
      </cdr:txBody>
    </cdr:sp>
  </cdr:relSizeAnchor>
</c:userShapes>
</file>

<file path=xl/drawings/drawing21.xml><?xml version="1.0" encoding="utf-8"?>
<xdr:wsDr xmlns:xdr="http://schemas.openxmlformats.org/drawingml/2006/spreadsheetDrawing" xmlns:a="http://schemas.openxmlformats.org/drawingml/2006/main">
  <xdr:twoCellAnchor editAs="oneCell">
    <xdr:from>
      <xdr:col>22</xdr:col>
      <xdr:colOff>9525</xdr:colOff>
      <xdr:row>0</xdr:row>
      <xdr:rowOff>9525</xdr:rowOff>
    </xdr:from>
    <xdr:to>
      <xdr:col>30</xdr:col>
      <xdr:colOff>409575</xdr:colOff>
      <xdr:row>44</xdr:row>
      <xdr:rowOff>0</xdr:rowOff>
    </xdr:to>
    <xdr:graphicFrame macro="">
      <xdr:nvGraphicFramePr>
        <xdr:cNvPr id="754690"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15</xdr:col>
      <xdr:colOff>0</xdr:colOff>
      <xdr:row>0</xdr:row>
      <xdr:rowOff>9525</xdr:rowOff>
    </xdr:from>
    <xdr:to>
      <xdr:col>22</xdr:col>
      <xdr:colOff>9525</xdr:colOff>
      <xdr:row>44</xdr:row>
      <xdr:rowOff>0</xdr:rowOff>
    </xdr:to>
    <xdr:graphicFrame macro="">
      <xdr:nvGraphicFramePr>
        <xdr:cNvPr id="754691"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editAs="oneCell">
    <xdr:from>
      <xdr:col>0</xdr:col>
      <xdr:colOff>47625</xdr:colOff>
      <xdr:row>0</xdr:row>
      <xdr:rowOff>47625</xdr:rowOff>
    </xdr:from>
    <xdr:to>
      <xdr:col>1</xdr:col>
      <xdr:colOff>219075</xdr:colOff>
      <xdr:row>3</xdr:row>
      <xdr:rowOff>19050</xdr:rowOff>
    </xdr:to>
    <xdr:pic>
      <xdr:nvPicPr>
        <xdr:cNvPr id="754692" name="Picture 14"/>
        <xdr:cNvPicPr>
          <a:picLocks noChangeAspect="1" noChangeArrowheads="1"/>
        </xdr:cNvPicPr>
      </xdr:nvPicPr>
      <xdr:blipFill>
        <a:blip xmlns:r="http://schemas.openxmlformats.org/officeDocument/2006/relationships" r:embed="rId3" cstate="print"/>
        <a:srcRect/>
        <a:stretch>
          <a:fillRect/>
        </a:stretch>
      </xdr:blipFill>
      <xdr:spPr bwMode="auto">
        <a:xfrm>
          <a:off x="47625" y="47625"/>
          <a:ext cx="428625" cy="457200"/>
        </a:xfrm>
        <a:prstGeom prst="rect">
          <a:avLst/>
        </a:prstGeom>
        <a:noFill/>
        <a:ln w="9525">
          <a:noFill/>
          <a:miter lim="800000"/>
          <a:headEnd/>
          <a:tailEnd/>
        </a:ln>
      </xdr:spPr>
    </xdr:pic>
    <xdr:clientData/>
  </xdr:twoCellAnchor>
  <xdr:twoCellAnchor>
    <xdr:from>
      <xdr:col>22</xdr:col>
      <xdr:colOff>19050</xdr:colOff>
      <xdr:row>0</xdr:row>
      <xdr:rowOff>0</xdr:rowOff>
    </xdr:from>
    <xdr:to>
      <xdr:col>31</xdr:col>
      <xdr:colOff>266700</xdr:colOff>
      <xdr:row>52</xdr:row>
      <xdr:rowOff>0</xdr:rowOff>
    </xdr:to>
    <xdr:sp macro="" textlink="">
      <xdr:nvSpPr>
        <xdr:cNvPr id="754693" name="Rectangle 54"/>
        <xdr:cNvSpPr>
          <a:spLocks noChangeArrowheads="1"/>
        </xdr:cNvSpPr>
      </xdr:nvSpPr>
      <xdr:spPr bwMode="auto">
        <a:xfrm>
          <a:off x="9020175" y="0"/>
          <a:ext cx="4419600" cy="8420100"/>
        </a:xfrm>
        <a:prstGeom prst="rect">
          <a:avLst/>
        </a:prstGeom>
        <a:solidFill>
          <a:srgbClr val="FFFFFF"/>
        </a:solidFill>
        <a:ln w="9525">
          <a:noFill/>
          <a:miter lim="800000"/>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cel%20Simulations/ITRIP/ESCI-ITRIP%20extra-11.5.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off's%20documents/ITNS%20book/ESCI%20for%20Excel%202003/Excel%20Simulations/ITRIP/ESCI-ITRIP%20extra-11.5.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Excel%20Simulations\ITRIP\ESCI-ITRIP%20extra-11.5.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ESCI%20development/Overlap/Overlap%205-8-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development/Overlap/Overlap%205-8-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ESCI%20intro%20chapters%202-4%20Jan%2029%202014e.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chapters%2010-13%20Jul%204%20201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ESCI%20intro%20chapters%2010-13%20Oct%2023%202014b.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Geoff's%20documents/Unistuff/Papers/Old%20papers/Teaching%20Statistics/IBI%20levels%20of%20confidence%20Figs%2017%20Nov%2005a.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Geoff's%20documents/ITNS%20book/ESCI%20for%20Excel%202003/Geoff's%20documents/Unistuff/Papers/Old%20papers/Teaching%20Statistics/IBI%20levels%20of%20confidence%20Figs%2017%20Nov%2005a.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ESCI%20intro%20chapters%206,%208,%209%20expanded%20Aug%206%202014a.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E:\ESCI%20development\CInext\CInext%2016-12-3.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development/CInext/CInext%2016-12-3.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ESCI%20development/CInext/CInext%2016-12-3.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Geoff's%20Documents/Travel%2006/ESCI/Correlation%201024x768%2023%20Apr%2006c.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Geoff's%20documents/ITNS%20book/ESCI%20for%20Excel%202003/Geoff's%20Documents/Travel%2006/ESCI/Correlation%201024x768%2023%20Apr%2006c.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ESCI%20chapters%2014-15%20Jul%204%202011.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ESCI%20development/IBI/ESCI%20Inference%20by%20eye.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development/IBI/ESCI%20Inference%20by%20eye.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chapters%201-4%20Jul%204%202011.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Geoff's%20documents/TNS%20book/TNS%20figures%202%20Dec%2009h.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Geoff's%20documents/ITNS%20book/ESCI%20for%20Excel%202003/Geoff's%20documents/TNS%20book/TNS%20figures%202%20Dec%2009h.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ESCI%20intro%20chapters%206,%208,%209%20Oct%2023%202014a.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ESCI%20intro%20chapters%206,%208-11%20Apr%2024%202015a.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ESCI%20development/Describe/Describe%2013-4-4e.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ESCI%20development/Describe/Describe%2014-4-4.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E:\ESCI%20development\Describe\Describe%2013-4-4e.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development/Describe/Describe%2013-4-4e.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ESCI%20development/ESCI%20live-23.7.1/Individual/CIdeltaIND.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ESCI%20development/Sampling/ESCI%20CIjumping.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Geoff's%20documents/Unistuff/Papers/Old%20papers/Killeen/APR%20Simulations%2015%20Apr%2006.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Geoff's%20documents/ITNS%20book/ESCI%20for%20Excel%202003/Geoff's%20documents/Unistuff/Papers/Old%20papers/Killeen/APR%20Simulations%2015%20Apr%2006.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E:\ESCI%20development\ESs\ESCI-ESs%2028-8-2.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development/ESs/ESCI-ESs%2028-8-2.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ESCI%20development/ESs/ESCI-ESs%2028-8-2.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Excel%20Simulations/ITRIP/ESCI-ITRIP.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Geoff's%20documents/ITNS%20book/ESCI%20for%20Excel%202003/Excel%20Simulations/ITRIP/ESCI-ITRIP.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E:\Excel%20Simulations\ITRIP\ESCI-ITRIP.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E:\Excel%20Simulations\IBITwo-18.4.1b.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ESCI%20intro%20chapters%206,%208-10%20Nov%206%202014b.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tro"/>
      <sheetName val="Helen Lab Data"/>
      <sheetName val="MA Original units"/>
      <sheetName val="MA  Standardised units"/>
      <sheetName val="ESCI-ITRIP extra-11.5.2"/>
    </sheetNames>
    <sheetDataSet>
      <sheetData sheetId="0"/>
      <sheetData sheetId="1"/>
      <sheetData sheetId="2"/>
      <sheetData sheetId="3">
        <row r="2">
          <cell r="K2">
            <v>95</v>
          </cell>
          <cell r="AC2">
            <v>113</v>
          </cell>
          <cell r="AE2">
            <v>1.9599610823206604</v>
          </cell>
        </row>
        <row r="3">
          <cell r="Z3">
            <v>4.6779348061853909E-6</v>
          </cell>
          <cell r="AA3">
            <v>-9.5532981197465894E-4</v>
          </cell>
          <cell r="AC3">
            <v>2.4054232604568586</v>
          </cell>
          <cell r="AE3">
            <v>-1.9599610823206604</v>
          </cell>
        </row>
        <row r="4">
          <cell r="Z4">
            <v>0.41513013764663981</v>
          </cell>
          <cell r="AA4">
            <v>4.3850819595639061</v>
          </cell>
        </row>
        <row r="6">
          <cell r="F6">
            <v>0.73</v>
          </cell>
          <cell r="G6">
            <v>10</v>
          </cell>
          <cell r="J6">
            <v>1.1351177968749451E-2</v>
          </cell>
          <cell r="X6">
            <v>2.3084626919229172</v>
          </cell>
          <cell r="Y6">
            <v>2.3084626919229172</v>
          </cell>
          <cell r="Z6">
            <v>3.5895576507171872E-2</v>
          </cell>
          <cell r="AD6">
            <v>95</v>
          </cell>
          <cell r="AG6">
            <v>7.7156056463527634E-2</v>
          </cell>
          <cell r="AH6">
            <v>4.5397693273823068</v>
          </cell>
        </row>
        <row r="7">
          <cell r="F7">
            <v>0.3</v>
          </cell>
          <cell r="G7">
            <v>25</v>
          </cell>
          <cell r="J7">
            <v>-0.10394770742568882</v>
          </cell>
          <cell r="X7">
            <v>1.5</v>
          </cell>
          <cell r="Y7">
            <v>1.5</v>
          </cell>
          <cell r="Z7">
            <v>-0.51973853712844409</v>
          </cell>
          <cell r="AD7">
            <v>95</v>
          </cell>
          <cell r="AG7">
            <v>-0.50537160974194295</v>
          </cell>
          <cell r="AH7">
            <v>3.505371609741943</v>
          </cell>
        </row>
        <row r="8">
          <cell r="F8">
            <v>-0.27</v>
          </cell>
          <cell r="G8">
            <v>18</v>
          </cell>
          <cell r="J8">
            <v>-0.7368428415108017</v>
          </cell>
          <cell r="X8">
            <v>-1.145512985522207</v>
          </cell>
          <cell r="Y8">
            <v>-1.145512985522207</v>
          </cell>
          <cell r="Z8">
            <v>-3.126159419406314</v>
          </cell>
          <cell r="AD8">
            <v>95</v>
          </cell>
          <cell r="AG8">
            <v>-3.1429375069518581</v>
          </cell>
          <cell r="AH8">
            <v>0.85191153590744384</v>
          </cell>
        </row>
        <row r="9">
          <cell r="F9">
            <v>0.61</v>
          </cell>
          <cell r="G9">
            <v>9</v>
          </cell>
          <cell r="J9">
            <v>-0.12187168281461391</v>
          </cell>
          <cell r="X9">
            <v>1.83</v>
          </cell>
          <cell r="Y9">
            <v>1.83</v>
          </cell>
          <cell r="Z9">
            <v>-0.36561504844384174</v>
          </cell>
          <cell r="AD9">
            <v>95</v>
          </cell>
          <cell r="AG9">
            <v>-0.32533904602769681</v>
          </cell>
          <cell r="AH9">
            <v>3.985339046027697</v>
          </cell>
        </row>
        <row r="10">
          <cell r="F10">
            <v>0.14000000000000001</v>
          </cell>
          <cell r="G10">
            <v>31</v>
          </cell>
          <cell r="J10">
            <v>-0.21493173914990332</v>
          </cell>
          <cell r="X10">
            <v>0.77948701079620308</v>
          </cell>
          <cell r="Y10">
            <v>0.77948701079620308</v>
          </cell>
          <cell r="Z10">
            <v>-1.1966892776799098</v>
          </cell>
          <cell r="AD10">
            <v>95</v>
          </cell>
          <cell r="AG10">
            <v>-1.1903730101181318</v>
          </cell>
          <cell r="AH10">
            <v>2.749347031710538</v>
          </cell>
        </row>
        <row r="11">
          <cell r="J11" t="str">
            <v/>
          </cell>
          <cell r="X11" t="str">
            <v/>
          </cell>
          <cell r="Y11">
            <v>-7.468467044849298</v>
          </cell>
          <cell r="Z11">
            <v>-11.508140984818908</v>
          </cell>
          <cell r="AD11">
            <v>99</v>
          </cell>
          <cell r="AG11">
            <v>-1.9599610823206604</v>
          </cell>
          <cell r="AH11">
            <v>1.9599610823206604</v>
          </cell>
        </row>
        <row r="12">
          <cell r="J12" t="str">
            <v/>
          </cell>
          <cell r="X12" t="str">
            <v/>
          </cell>
          <cell r="Y12">
            <v>0.86023252670426276</v>
          </cell>
          <cell r="Z12">
            <v>-1.7249976466819334</v>
          </cell>
          <cell r="AD12">
            <v>99</v>
          </cell>
          <cell r="AG12">
            <v>-1.9599610823206604</v>
          </cell>
          <cell r="AH12">
            <v>1.9599610823206604</v>
          </cell>
        </row>
        <row r="13">
          <cell r="J13" t="str">
            <v/>
          </cell>
          <cell r="X13" t="str">
            <v/>
          </cell>
          <cell r="Y13">
            <v>-5.5</v>
          </cell>
          <cell r="Z13">
            <v>-8.7663529218515048</v>
          </cell>
          <cell r="AD13">
            <v>99</v>
          </cell>
          <cell r="AG13">
            <v>-1.9599610823206604</v>
          </cell>
          <cell r="AH13">
            <v>1.9599610823206604</v>
          </cell>
        </row>
        <row r="14">
          <cell r="J14" t="str">
            <v/>
          </cell>
          <cell r="X14" t="str">
            <v/>
          </cell>
          <cell r="Y14">
            <v>0.56124860801609122</v>
          </cell>
          <cell r="Z14">
            <v>-2.0400148510238649</v>
          </cell>
          <cell r="AD14">
            <v>99</v>
          </cell>
          <cell r="AG14">
            <v>-1.9599610823206604</v>
          </cell>
          <cell r="AH14">
            <v>1.9599610823206604</v>
          </cell>
        </row>
        <row r="15">
          <cell r="J15" t="str">
            <v/>
          </cell>
          <cell r="X15" t="str">
            <v/>
          </cell>
          <cell r="Y15">
            <v>-8.7988181024498964</v>
          </cell>
          <cell r="Z15">
            <v>-14.305166454732417</v>
          </cell>
          <cell r="AD15">
            <v>99</v>
          </cell>
          <cell r="AG15">
            <v>-1.9599610823206604</v>
          </cell>
          <cell r="AH15">
            <v>1.9599610823206604</v>
          </cell>
        </row>
        <row r="18">
          <cell r="F18">
            <v>0.21258064516129035</v>
          </cell>
          <cell r="G18">
            <v>93</v>
          </cell>
          <cell r="J18">
            <v>6.4758069505082153E-3</v>
          </cell>
          <cell r="X18">
            <v>2.050053500482051</v>
          </cell>
          <cell r="Y18">
            <v>2.050053500482051</v>
          </cell>
          <cell r="Z18">
            <v>6.2450420626312016E-2</v>
          </cell>
          <cell r="AD18">
            <v>95</v>
          </cell>
          <cell r="AG18">
            <v>6.7835189912517135E-2</v>
          </cell>
          <cell r="AH18">
            <v>4.0322718110515847</v>
          </cell>
        </row>
        <row r="21">
          <cell r="F21">
            <v>0.28999999999999998</v>
          </cell>
          <cell r="G21">
            <v>20</v>
          </cell>
          <cell r="J21">
            <v>-0.16134486253742089</v>
          </cell>
          <cell r="X21">
            <v>1.2969194269498781</v>
          </cell>
          <cell r="Y21">
            <v>1.2969194269498781</v>
          </cell>
          <cell r="Z21">
            <v>-0.72155616090806463</v>
          </cell>
          <cell r="AD21">
            <v>95</v>
          </cell>
          <cell r="AG21">
            <v>-0.70594902578960328</v>
          </cell>
          <cell r="AH21">
            <v>3.2997878796893594</v>
          </cell>
        </row>
        <row r="24">
          <cell r="F24">
            <v>0.226283185840708</v>
          </cell>
          <cell r="G24">
            <v>113</v>
          </cell>
          <cell r="J24">
            <v>3.9052158357914923E-2</v>
          </cell>
          <cell r="X24">
            <v>2.4054232604568586</v>
          </cell>
          <cell r="Y24">
            <v>2.4054232604568586</v>
          </cell>
          <cell r="Z24">
            <v>0.41513013764663981</v>
          </cell>
          <cell r="AD24">
            <v>95</v>
          </cell>
          <cell r="AG24">
            <v>0.42031005189371018</v>
          </cell>
          <cell r="AH24">
            <v>4.3905364690200068</v>
          </cell>
        </row>
      </sheetData>
      <sheetData sheetId="4"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tro"/>
      <sheetName val="Helen Lab Data"/>
      <sheetName val="MA Original units"/>
      <sheetName val="MA  Standardised units"/>
      <sheetName val="ESCI-ITRIP extra-11.5.2"/>
    </sheetNames>
    <sheetDataSet>
      <sheetData sheetId="0"/>
      <sheetData sheetId="1"/>
      <sheetData sheetId="2"/>
      <sheetData sheetId="3">
        <row r="2">
          <cell r="K2">
            <v>95</v>
          </cell>
          <cell r="AC2">
            <v>113</v>
          </cell>
          <cell r="AE2">
            <v>1.9599610823206604</v>
          </cell>
        </row>
        <row r="3">
          <cell r="Z3">
            <v>4.6779348061853909E-6</v>
          </cell>
          <cell r="AA3">
            <v>-9.5532981197465894E-4</v>
          </cell>
          <cell r="AC3">
            <v>2.4054232604568586</v>
          </cell>
          <cell r="AE3">
            <v>-1.9599610823206604</v>
          </cell>
        </row>
        <row r="4">
          <cell r="Z4">
            <v>0.41513013764663981</v>
          </cell>
          <cell r="AA4">
            <v>4.3850819595639061</v>
          </cell>
        </row>
        <row r="6">
          <cell r="F6">
            <v>0.73</v>
          </cell>
          <cell r="G6">
            <v>10</v>
          </cell>
          <cell r="J6">
            <v>1.1351177968749451E-2</v>
          </cell>
          <cell r="X6">
            <v>2.3084626919229172</v>
          </cell>
          <cell r="Y6">
            <v>2.3084626919229172</v>
          </cell>
          <cell r="Z6">
            <v>3.5895576507171872E-2</v>
          </cell>
          <cell r="AD6">
            <v>95</v>
          </cell>
          <cell r="AG6">
            <v>7.7156056463527634E-2</v>
          </cell>
          <cell r="AH6">
            <v>4.5397693273823068</v>
          </cell>
        </row>
        <row r="7">
          <cell r="F7">
            <v>0.3</v>
          </cell>
          <cell r="G7">
            <v>25</v>
          </cell>
          <cell r="J7">
            <v>-0.10394770742568882</v>
          </cell>
          <cell r="X7">
            <v>1.5</v>
          </cell>
          <cell r="Y7">
            <v>1.5</v>
          </cell>
          <cell r="Z7">
            <v>-0.51973853712844409</v>
          </cell>
          <cell r="AD7">
            <v>95</v>
          </cell>
          <cell r="AG7">
            <v>-0.50537160974194295</v>
          </cell>
          <cell r="AH7">
            <v>3.505371609741943</v>
          </cell>
        </row>
        <row r="8">
          <cell r="F8">
            <v>-0.27</v>
          </cell>
          <cell r="G8">
            <v>18</v>
          </cell>
          <cell r="J8">
            <v>-0.7368428415108017</v>
          </cell>
          <cell r="X8">
            <v>-1.145512985522207</v>
          </cell>
          <cell r="Y8">
            <v>-1.145512985522207</v>
          </cell>
          <cell r="Z8">
            <v>-3.126159419406314</v>
          </cell>
          <cell r="AD8">
            <v>95</v>
          </cell>
          <cell r="AG8">
            <v>-3.1429375069518581</v>
          </cell>
          <cell r="AH8">
            <v>0.85191153590744384</v>
          </cell>
        </row>
        <row r="9">
          <cell r="F9">
            <v>0.61</v>
          </cell>
          <cell r="G9">
            <v>9</v>
          </cell>
          <cell r="J9">
            <v>-0.12187168281461391</v>
          </cell>
          <cell r="X9">
            <v>1.83</v>
          </cell>
          <cell r="Y9">
            <v>1.83</v>
          </cell>
          <cell r="Z9">
            <v>-0.36561504844384174</v>
          </cell>
          <cell r="AD9">
            <v>95</v>
          </cell>
          <cell r="AG9">
            <v>-0.32533904602769681</v>
          </cell>
          <cell r="AH9">
            <v>3.985339046027697</v>
          </cell>
        </row>
        <row r="10">
          <cell r="F10">
            <v>0.14000000000000001</v>
          </cell>
          <cell r="G10">
            <v>31</v>
          </cell>
          <cell r="J10">
            <v>-0.21493173914990332</v>
          </cell>
          <cell r="X10">
            <v>0.77948701079620308</v>
          </cell>
          <cell r="Y10">
            <v>0.77948701079620308</v>
          </cell>
          <cell r="Z10">
            <v>-1.1966892776799098</v>
          </cell>
          <cell r="AD10">
            <v>95</v>
          </cell>
          <cell r="AG10">
            <v>-1.1903730101181318</v>
          </cell>
          <cell r="AH10">
            <v>2.749347031710538</v>
          </cell>
        </row>
        <row r="11">
          <cell r="J11" t="str">
            <v/>
          </cell>
          <cell r="X11" t="str">
            <v/>
          </cell>
          <cell r="Y11">
            <v>-7.468467044849298</v>
          </cell>
          <cell r="Z11">
            <v>-11.508140984818908</v>
          </cell>
          <cell r="AD11">
            <v>99</v>
          </cell>
          <cell r="AG11">
            <v>-1.9599610823206604</v>
          </cell>
          <cell r="AH11">
            <v>1.9599610823206604</v>
          </cell>
        </row>
        <row r="12">
          <cell r="J12" t="str">
            <v/>
          </cell>
          <cell r="X12" t="str">
            <v/>
          </cell>
          <cell r="Y12">
            <v>0.86023252670426276</v>
          </cell>
          <cell r="Z12">
            <v>-1.7249976466819334</v>
          </cell>
          <cell r="AD12">
            <v>99</v>
          </cell>
          <cell r="AG12">
            <v>-1.9599610823206604</v>
          </cell>
          <cell r="AH12">
            <v>1.9599610823206604</v>
          </cell>
        </row>
        <row r="13">
          <cell r="J13" t="str">
            <v/>
          </cell>
          <cell r="X13" t="str">
            <v/>
          </cell>
          <cell r="Y13">
            <v>-5.5</v>
          </cell>
          <cell r="Z13">
            <v>-8.7663529218515048</v>
          </cell>
          <cell r="AD13">
            <v>99</v>
          </cell>
          <cell r="AG13">
            <v>-1.9599610823206604</v>
          </cell>
          <cell r="AH13">
            <v>1.9599610823206604</v>
          </cell>
        </row>
        <row r="14">
          <cell r="J14" t="str">
            <v/>
          </cell>
          <cell r="X14" t="str">
            <v/>
          </cell>
          <cell r="Y14">
            <v>0.56124860801609122</v>
          </cell>
          <cell r="Z14">
            <v>-2.0400148510238649</v>
          </cell>
          <cell r="AD14">
            <v>99</v>
          </cell>
          <cell r="AG14">
            <v>-1.9599610823206604</v>
          </cell>
          <cell r="AH14">
            <v>1.9599610823206604</v>
          </cell>
        </row>
        <row r="15">
          <cell r="J15" t="str">
            <v/>
          </cell>
          <cell r="X15" t="str">
            <v/>
          </cell>
          <cell r="Y15">
            <v>-8.7988181024498964</v>
          </cell>
          <cell r="Z15">
            <v>-14.305166454732417</v>
          </cell>
          <cell r="AD15">
            <v>99</v>
          </cell>
          <cell r="AG15">
            <v>-1.9599610823206604</v>
          </cell>
          <cell r="AH15">
            <v>1.9599610823206604</v>
          </cell>
        </row>
        <row r="18">
          <cell r="F18">
            <v>0.21258064516129035</v>
          </cell>
          <cell r="G18">
            <v>93</v>
          </cell>
          <cell r="J18">
            <v>6.4758069505082153E-3</v>
          </cell>
          <cell r="X18">
            <v>2.050053500482051</v>
          </cell>
          <cell r="Y18">
            <v>2.050053500482051</v>
          </cell>
          <cell r="Z18">
            <v>6.2450420626312016E-2</v>
          </cell>
          <cell r="AD18">
            <v>95</v>
          </cell>
          <cell r="AG18">
            <v>6.7835189912517135E-2</v>
          </cell>
          <cell r="AH18">
            <v>4.0322718110515847</v>
          </cell>
        </row>
        <row r="21">
          <cell r="F21">
            <v>0.28999999999999998</v>
          </cell>
          <cell r="G21">
            <v>20</v>
          </cell>
          <cell r="J21">
            <v>-0.16134486253742089</v>
          </cell>
          <cell r="X21">
            <v>1.2969194269498781</v>
          </cell>
          <cell r="Y21">
            <v>1.2969194269498781</v>
          </cell>
          <cell r="Z21">
            <v>-0.72155616090806463</v>
          </cell>
          <cell r="AD21">
            <v>95</v>
          </cell>
          <cell r="AG21">
            <v>-0.70594902578960328</v>
          </cell>
          <cell r="AH21">
            <v>3.2997878796893594</v>
          </cell>
        </row>
        <row r="24">
          <cell r="F24">
            <v>0.226283185840708</v>
          </cell>
          <cell r="G24">
            <v>113</v>
          </cell>
          <cell r="J24">
            <v>3.9052158357914923E-2</v>
          </cell>
          <cell r="X24">
            <v>2.4054232604568586</v>
          </cell>
          <cell r="Y24">
            <v>2.4054232604568586</v>
          </cell>
          <cell r="Z24">
            <v>0.41513013764663981</v>
          </cell>
          <cell r="AD24">
            <v>95</v>
          </cell>
          <cell r="AG24">
            <v>0.42031005189371018</v>
          </cell>
          <cell r="AH24">
            <v>4.3905364690200068</v>
          </cell>
        </row>
      </sheetData>
      <sheetData sheetId="4"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Intro"/>
      <sheetName val="Helen Lab Data"/>
      <sheetName val="MA Original units"/>
      <sheetName val="MA  Standardised units"/>
      <sheetName val="ESCI-ITRIP extra-11.5.2"/>
    </sheetNames>
    <sheetDataSet>
      <sheetData sheetId="0"/>
      <sheetData sheetId="1"/>
      <sheetData sheetId="2"/>
      <sheetData sheetId="3">
        <row r="2">
          <cell r="K2">
            <v>95</v>
          </cell>
          <cell r="AC2">
            <v>113</v>
          </cell>
          <cell r="AE2">
            <v>1.9599610823206604</v>
          </cell>
        </row>
        <row r="3">
          <cell r="Z3">
            <v>4.6779348061853909E-6</v>
          </cell>
          <cell r="AA3">
            <v>-9.5532981197465894E-4</v>
          </cell>
          <cell r="AC3">
            <v>2.4054232604568586</v>
          </cell>
          <cell r="AE3">
            <v>-1.9599610823206604</v>
          </cell>
        </row>
        <row r="4">
          <cell r="Z4">
            <v>0.41513013764663981</v>
          </cell>
          <cell r="AA4">
            <v>4.3850819595639061</v>
          </cell>
        </row>
        <row r="6">
          <cell r="F6">
            <v>0.73</v>
          </cell>
          <cell r="G6">
            <v>10</v>
          </cell>
          <cell r="J6">
            <v>1.1351177968749451E-2</v>
          </cell>
          <cell r="X6">
            <v>2.3084626919229172</v>
          </cell>
          <cell r="Y6">
            <v>2.3084626919229172</v>
          </cell>
          <cell r="Z6">
            <v>3.5895576507171872E-2</v>
          </cell>
          <cell r="AD6">
            <v>95</v>
          </cell>
          <cell r="AG6">
            <v>7.7156056463527634E-2</v>
          </cell>
          <cell r="AH6">
            <v>4.5397693273823068</v>
          </cell>
        </row>
        <row r="7">
          <cell r="F7">
            <v>0.3</v>
          </cell>
          <cell r="G7">
            <v>25</v>
          </cell>
          <cell r="J7">
            <v>-0.10394770742568882</v>
          </cell>
          <cell r="X7">
            <v>1.5</v>
          </cell>
          <cell r="Y7">
            <v>1.5</v>
          </cell>
          <cell r="Z7">
            <v>-0.51973853712844409</v>
          </cell>
          <cell r="AD7">
            <v>95</v>
          </cell>
          <cell r="AG7">
            <v>-0.50537160974194295</v>
          </cell>
          <cell r="AH7">
            <v>3.505371609741943</v>
          </cell>
        </row>
        <row r="8">
          <cell r="F8">
            <v>-0.27</v>
          </cell>
          <cell r="G8">
            <v>18</v>
          </cell>
          <cell r="J8">
            <v>-0.7368428415108017</v>
          </cell>
          <cell r="X8">
            <v>-1.145512985522207</v>
          </cell>
          <cell r="Y8">
            <v>-1.145512985522207</v>
          </cell>
          <cell r="Z8">
            <v>-3.126159419406314</v>
          </cell>
          <cell r="AD8">
            <v>95</v>
          </cell>
          <cell r="AG8">
            <v>-3.1429375069518581</v>
          </cell>
          <cell r="AH8">
            <v>0.85191153590744384</v>
          </cell>
        </row>
        <row r="9">
          <cell r="F9">
            <v>0.61</v>
          </cell>
          <cell r="G9">
            <v>9</v>
          </cell>
          <cell r="J9">
            <v>-0.12187168281461391</v>
          </cell>
          <cell r="X9">
            <v>1.83</v>
          </cell>
          <cell r="Y9">
            <v>1.83</v>
          </cell>
          <cell r="Z9">
            <v>-0.36561504844384174</v>
          </cell>
          <cell r="AD9">
            <v>95</v>
          </cell>
          <cell r="AG9">
            <v>-0.32533904602769681</v>
          </cell>
          <cell r="AH9">
            <v>3.985339046027697</v>
          </cell>
        </row>
        <row r="10">
          <cell r="F10">
            <v>0.14000000000000001</v>
          </cell>
          <cell r="G10">
            <v>31</v>
          </cell>
          <cell r="J10">
            <v>-0.21493173914990332</v>
          </cell>
          <cell r="X10">
            <v>0.77948701079620308</v>
          </cell>
          <cell r="Y10">
            <v>0.77948701079620308</v>
          </cell>
          <cell r="Z10">
            <v>-1.1966892776799098</v>
          </cell>
          <cell r="AD10">
            <v>95</v>
          </cell>
          <cell r="AG10">
            <v>-1.1903730101181318</v>
          </cell>
          <cell r="AH10">
            <v>2.749347031710538</v>
          </cell>
        </row>
        <row r="11">
          <cell r="J11" t="str">
            <v/>
          </cell>
          <cell r="X11" t="str">
            <v/>
          </cell>
          <cell r="Y11">
            <v>-7.468467044849298</v>
          </cell>
          <cell r="Z11">
            <v>-11.508140984818908</v>
          </cell>
          <cell r="AD11">
            <v>99</v>
          </cell>
          <cell r="AG11">
            <v>-1.9599610823206604</v>
          </cell>
          <cell r="AH11">
            <v>1.9599610823206604</v>
          </cell>
        </row>
        <row r="12">
          <cell r="J12" t="str">
            <v/>
          </cell>
          <cell r="X12" t="str">
            <v/>
          </cell>
          <cell r="Y12">
            <v>0.86023252670426276</v>
          </cell>
          <cell r="Z12">
            <v>-1.7249976466819334</v>
          </cell>
          <cell r="AD12">
            <v>99</v>
          </cell>
          <cell r="AG12">
            <v>-1.9599610823206604</v>
          </cell>
          <cell r="AH12">
            <v>1.9599610823206604</v>
          </cell>
        </row>
        <row r="13">
          <cell r="J13" t="str">
            <v/>
          </cell>
          <cell r="X13" t="str">
            <v/>
          </cell>
          <cell r="Y13">
            <v>-5.5</v>
          </cell>
          <cell r="Z13">
            <v>-8.7663529218515048</v>
          </cell>
          <cell r="AD13">
            <v>99</v>
          </cell>
          <cell r="AG13">
            <v>-1.9599610823206604</v>
          </cell>
          <cell r="AH13">
            <v>1.9599610823206604</v>
          </cell>
        </row>
        <row r="14">
          <cell r="J14" t="str">
            <v/>
          </cell>
          <cell r="X14" t="str">
            <v/>
          </cell>
          <cell r="Y14">
            <v>0.56124860801609122</v>
          </cell>
          <cell r="Z14">
            <v>-2.0400148510238649</v>
          </cell>
          <cell r="AD14">
            <v>99</v>
          </cell>
          <cell r="AG14">
            <v>-1.9599610823206604</v>
          </cell>
          <cell r="AH14">
            <v>1.9599610823206604</v>
          </cell>
        </row>
        <row r="15">
          <cell r="J15" t="str">
            <v/>
          </cell>
          <cell r="X15" t="str">
            <v/>
          </cell>
          <cell r="Y15">
            <v>-8.7988181024498964</v>
          </cell>
          <cell r="Z15">
            <v>-14.305166454732417</v>
          </cell>
          <cell r="AD15">
            <v>99</v>
          </cell>
          <cell r="AG15">
            <v>-1.9599610823206604</v>
          </cell>
          <cell r="AH15">
            <v>1.9599610823206604</v>
          </cell>
        </row>
        <row r="18">
          <cell r="F18">
            <v>0.21258064516129035</v>
          </cell>
          <cell r="G18">
            <v>93</v>
          </cell>
          <cell r="J18">
            <v>6.4758069505082153E-3</v>
          </cell>
          <cell r="X18">
            <v>2.050053500482051</v>
          </cell>
          <cell r="Y18">
            <v>2.050053500482051</v>
          </cell>
          <cell r="Z18">
            <v>6.2450420626312016E-2</v>
          </cell>
          <cell r="AD18">
            <v>95</v>
          </cell>
          <cell r="AG18">
            <v>6.7835189912517135E-2</v>
          </cell>
          <cell r="AH18">
            <v>4.0322718110515847</v>
          </cell>
        </row>
        <row r="21">
          <cell r="F21">
            <v>0.28999999999999998</v>
          </cell>
          <cell r="G21">
            <v>20</v>
          </cell>
          <cell r="J21">
            <v>-0.16134486253742089</v>
          </cell>
          <cell r="X21">
            <v>1.2969194269498781</v>
          </cell>
          <cell r="Y21">
            <v>1.2969194269498781</v>
          </cell>
          <cell r="Z21">
            <v>-0.72155616090806463</v>
          </cell>
          <cell r="AD21">
            <v>95</v>
          </cell>
          <cell r="AG21">
            <v>-0.70594902578960328</v>
          </cell>
          <cell r="AH21">
            <v>3.2997878796893594</v>
          </cell>
        </row>
        <row r="24">
          <cell r="F24">
            <v>0.226283185840708</v>
          </cell>
          <cell r="G24">
            <v>113</v>
          </cell>
          <cell r="J24">
            <v>3.9052158357914923E-2</v>
          </cell>
          <cell r="X24">
            <v>2.4054232604568586</v>
          </cell>
          <cell r="Y24">
            <v>2.4054232604568586</v>
          </cell>
          <cell r="Z24">
            <v>0.41513013764663981</v>
          </cell>
          <cell r="AD24">
            <v>95</v>
          </cell>
          <cell r="AG24">
            <v>0.42031005189371018</v>
          </cell>
          <cell r="AH24">
            <v>4.3905364690200068</v>
          </cell>
        </row>
      </sheetData>
      <sheetData sheetId="4"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Intro"/>
      <sheetName val="Two proportions"/>
      <sheetName val="Overlap two proportions"/>
      <sheetName val="Two correlations"/>
      <sheetName val="Overlap two correlations (n1)"/>
      <sheetName val="Overlap two correlations (r1)"/>
    </sheetNames>
    <sheetDataSet>
      <sheetData sheetId="0" refreshError="1"/>
      <sheetData sheetId="1">
        <row r="1">
          <cell r="AN1" t="b">
            <v>1</v>
          </cell>
        </row>
        <row r="2">
          <cell r="AN2" t="b">
            <v>0</v>
          </cell>
        </row>
        <row r="3">
          <cell r="AC3">
            <v>-7.9755464954534006E-4</v>
          </cell>
        </row>
        <row r="4">
          <cell r="G4" t="str">
            <v>Publication date</v>
          </cell>
          <cell r="O4" t="b">
            <v>0</v>
          </cell>
        </row>
        <row r="5">
          <cell r="AD5">
            <v>10</v>
          </cell>
          <cell r="AE5">
            <v>17</v>
          </cell>
          <cell r="AL5">
            <v>142.41180597655304</v>
          </cell>
        </row>
        <row r="6">
          <cell r="G6" t="str">
            <v>Group 1</v>
          </cell>
          <cell r="I6" t="str">
            <v>Group 2</v>
          </cell>
          <cell r="AD6">
            <v>28</v>
          </cell>
          <cell r="AE6">
            <v>21</v>
          </cell>
          <cell r="AL6" t="b">
            <v>1</v>
          </cell>
          <cell r="AO6" t="b">
            <v>0</v>
          </cell>
          <cell r="AT6" t="b">
            <v>0</v>
          </cell>
        </row>
        <row r="7">
          <cell r="AD7">
            <v>38</v>
          </cell>
          <cell r="AE7">
            <v>38</v>
          </cell>
        </row>
        <row r="8">
          <cell r="E8" t="str">
            <v>Absent</v>
          </cell>
          <cell r="G8">
            <v>7</v>
          </cell>
          <cell r="I8">
            <v>13</v>
          </cell>
        </row>
        <row r="9">
          <cell r="B9" t="str">
            <v>Statistical practice</v>
          </cell>
        </row>
        <row r="11">
          <cell r="E11" t="str">
            <v>Present</v>
          </cell>
          <cell r="G11">
            <v>1</v>
          </cell>
          <cell r="I11">
            <v>14</v>
          </cell>
        </row>
        <row r="13">
          <cell r="G13">
            <v>8</v>
          </cell>
          <cell r="I13">
            <v>27</v>
          </cell>
        </row>
        <row r="14">
          <cell r="R14" t="b">
            <v>0</v>
          </cell>
        </row>
        <row r="15">
          <cell r="R15">
            <v>1</v>
          </cell>
        </row>
        <row r="16">
          <cell r="R16" t="b">
            <v>0</v>
          </cell>
        </row>
        <row r="21">
          <cell r="P21" t="b">
            <v>1</v>
          </cell>
          <cell r="R21" t="b">
            <v>0</v>
          </cell>
        </row>
        <row r="22">
          <cell r="P22" t="b">
            <v>0</v>
          </cell>
          <cell r="R22" t="b">
            <v>0</v>
          </cell>
        </row>
        <row r="23">
          <cell r="R23" t="b">
            <v>1</v>
          </cell>
        </row>
      </sheetData>
      <sheetData sheetId="2">
        <row r="8">
          <cell r="N8">
            <v>0.21336654191202861</v>
          </cell>
          <cell r="V8">
            <v>0.5</v>
          </cell>
          <cell r="AI8">
            <v>9.6728998366657493E-5</v>
          </cell>
          <cell r="AL8">
            <v>95.838471303131683</v>
          </cell>
          <cell r="BB8">
            <v>-4.8278048225824932E-7</v>
          </cell>
          <cell r="BN8">
            <v>97.237717628478421</v>
          </cell>
          <cell r="CD8">
            <v>-8.6485427930327319E-5</v>
          </cell>
        </row>
        <row r="9">
          <cell r="N9">
            <v>0.3461826368421167</v>
          </cell>
          <cell r="V9">
            <v>0.5</v>
          </cell>
          <cell r="AI9">
            <v>6.1404425988342837E-7</v>
          </cell>
          <cell r="AL9">
            <v>95.493044483024946</v>
          </cell>
          <cell r="BB9">
            <v>-1.2056868392562592E-5</v>
          </cell>
          <cell r="BN9">
            <v>95.932524480790619</v>
          </cell>
          <cell r="CD9">
            <v>4.1422390406609111E-5</v>
          </cell>
        </row>
        <row r="10">
          <cell r="N10">
            <v>0.43767259385143015</v>
          </cell>
          <cell r="V10">
            <v>0.5</v>
          </cell>
          <cell r="AI10">
            <v>1.8311889671274173E-5</v>
          </cell>
          <cell r="AL10">
            <v>95.323143508031094</v>
          </cell>
          <cell r="BB10">
            <v>-1.5394654107048211E-5</v>
          </cell>
          <cell r="BN10">
            <v>96.054752391235837</v>
          </cell>
          <cell r="CD10">
            <v>1.4478324095179573E-6</v>
          </cell>
        </row>
        <row r="11">
          <cell r="N11">
            <v>0.5056919109821546</v>
          </cell>
          <cell r="V11">
            <v>0.55278640450004213</v>
          </cell>
          <cell r="AI11">
            <v>1.6678223269117609E-4</v>
          </cell>
          <cell r="AL11">
            <v>95.226667299117025</v>
          </cell>
          <cell r="BB11">
            <v>-1.3229565942740606E-5</v>
          </cell>
          <cell r="BN11">
            <v>96.573523159062248</v>
          </cell>
          <cell r="CD11">
            <v>-7.6629180778553518E-7</v>
          </cell>
        </row>
        <row r="12">
          <cell r="N12">
            <v>0.36545593191490638</v>
          </cell>
          <cell r="V12">
            <v>0.4250850428694703</v>
          </cell>
          <cell r="AI12">
            <v>5.8495369859024038E-4</v>
          </cell>
          <cell r="AL12">
            <v>95.565232242191385</v>
          </cell>
          <cell r="BB12">
            <v>-1.4448112206633112E-5</v>
          </cell>
          <cell r="BN12">
            <v>96.932028433774462</v>
          </cell>
          <cell r="CD12">
            <v>-2.7576589567424037E-5</v>
          </cell>
        </row>
        <row r="13">
          <cell r="N13">
            <v>0.42465824327395685</v>
          </cell>
          <cell r="V13">
            <v>0.4791783841336299</v>
          </cell>
          <cell r="AI13">
            <v>3.3077516281565522E-6</v>
          </cell>
          <cell r="AL13">
            <v>95.466232248111936</v>
          </cell>
          <cell r="BB13">
            <v>-1.9995326838717631E-5</v>
          </cell>
          <cell r="BN13">
            <v>97.275004122345237</v>
          </cell>
          <cell r="CD13">
            <v>-5.2024321089971792E-4</v>
          </cell>
        </row>
        <row r="14">
          <cell r="N14">
            <v>0.47373758294801233</v>
          </cell>
          <cell r="V14">
            <v>0.52144660940672627</v>
          </cell>
          <cell r="AI14">
            <v>-6.0260245682286495E-5</v>
          </cell>
          <cell r="AL14">
            <v>95.395278776063606</v>
          </cell>
          <cell r="BB14">
            <v>-2.2277946931659187E-5</v>
          </cell>
          <cell r="BN14">
            <v>96.132793160586615</v>
          </cell>
          <cell r="CD14">
            <v>1.2759243495086281E-5</v>
          </cell>
        </row>
        <row r="15">
          <cell r="N15">
            <v>0.51508846707363654</v>
          </cell>
          <cell r="V15">
            <v>0.55555555555555558</v>
          </cell>
          <cell r="AI15">
            <v>3.2287493179072868E-4</v>
          </cell>
          <cell r="AL15">
            <v>95.342452581777636</v>
          </cell>
          <cell r="BB15">
            <v>-2.2516352116142002E-5</v>
          </cell>
          <cell r="BN15">
            <v>96.871778790726808</v>
          </cell>
          <cell r="CD15">
            <v>-2.6591320645419358E-5</v>
          </cell>
        </row>
        <row r="16">
          <cell r="N16">
            <v>0.55040523426545984</v>
          </cell>
          <cell r="V16">
            <v>0.58377223398316214</v>
          </cell>
          <cell r="AI16">
            <v>6.2961783842130359E-4</v>
          </cell>
          <cell r="AL16">
            <v>95.301851588570216</v>
          </cell>
          <cell r="BB16">
            <v>-2.165868639991686E-5</v>
          </cell>
          <cell r="BN16">
            <v>96.165895262851123</v>
          </cell>
          <cell r="CD16">
            <v>2.6078248893668388E-5</v>
          </cell>
        </row>
        <row r="17">
          <cell r="N17">
            <v>0.58092036715804529</v>
          </cell>
          <cell r="V17">
            <v>0.60757956451314543</v>
          </cell>
          <cell r="AI17">
            <v>5.9686151510085494E-4</v>
          </cell>
          <cell r="AL17">
            <v>95.26981129395017</v>
          </cell>
          <cell r="BB17">
            <v>-2.0284741164555697E-5</v>
          </cell>
          <cell r="BN17">
            <v>95.556098455522076</v>
          </cell>
          <cell r="CD17">
            <v>-2.1279273343388638E-5</v>
          </cell>
        </row>
        <row r="18">
          <cell r="N18">
            <v>0.60755187811297529</v>
          </cell>
          <cell r="V18">
            <v>0.62799153207185365</v>
          </cell>
          <cell r="AI18">
            <v>3.6821080906523918E-4</v>
          </cell>
          <cell r="AL18">
            <v>95.243959570791475</v>
          </cell>
          <cell r="BB18">
            <v>-1.8720174577158133E-5</v>
          </cell>
          <cell r="BN18">
            <v>96.506393658871247</v>
          </cell>
          <cell r="CD18">
            <v>-7.4487743750850655E-7</v>
          </cell>
        </row>
        <row r="19">
          <cell r="N19">
            <v>0.63099759037829095</v>
          </cell>
          <cell r="V19">
            <v>0.64572682496430855</v>
          </cell>
          <cell r="AI19">
            <v>1.3690337308247535E-4</v>
          </cell>
          <cell r="AL19">
            <v>95.222706247308395</v>
          </cell>
          <cell r="BB19">
            <v>-1.7138748864553577E-5</v>
          </cell>
          <cell r="BN19">
            <v>96.10185615397252</v>
          </cell>
          <cell r="CD19">
            <v>8.4051239856997029E-6</v>
          </cell>
        </row>
        <row r="20">
          <cell r="N20">
            <v>0.65179743833502279</v>
          </cell>
          <cell r="V20">
            <v>0.66131018665900421</v>
          </cell>
          <cell r="AI20">
            <v>1.5273337372612161E-5</v>
          </cell>
          <cell r="AL20">
            <v>95.204952253641636</v>
          </cell>
          <cell r="BB20">
            <v>-1.5628026261982342E-5</v>
          </cell>
          <cell r="BN20">
            <v>95.744897615074407</v>
          </cell>
          <cell r="CD20">
            <v>-6.851721578993164E-6</v>
          </cell>
        </row>
        <row r="21">
          <cell r="N21">
            <v>0.67037575190999166</v>
          </cell>
          <cell r="V21">
            <v>0.67513444358617225</v>
          </cell>
          <cell r="AI21">
            <v>4.8274705344297786E-6</v>
          </cell>
          <cell r="AL21">
            <v>95.189917440914869</v>
          </cell>
          <cell r="BB21">
            <v>-1.4227890032803003E-5</v>
          </cell>
          <cell r="BN21">
            <v>95.428813295943925</v>
          </cell>
          <cell r="CD21">
            <v>-2.8518632122498389E-5</v>
          </cell>
        </row>
        <row r="22">
          <cell r="N22">
            <v>0.60438058636222736</v>
          </cell>
          <cell r="V22">
            <v>0.625</v>
          </cell>
          <cell r="AI22">
            <v>4.7133197667026394E-4</v>
          </cell>
          <cell r="AL22">
            <v>95.301222836665232</v>
          </cell>
          <cell r="BB22">
            <v>-2.1186658094585198E-5</v>
          </cell>
          <cell r="BN22">
            <v>95.316090134146435</v>
          </cell>
          <cell r="CD22">
            <v>-2.2033440794100301E-5</v>
          </cell>
        </row>
        <row r="23">
          <cell r="N23">
            <v>0.62312423374568993</v>
          </cell>
          <cell r="V23">
            <v>0.63981731614013759</v>
          </cell>
          <cell r="AI23">
            <v>2.7498559695970926E-4</v>
          </cell>
          <cell r="AL23">
            <v>95.284821768375735</v>
          </cell>
          <cell r="BB23">
            <v>-2.0320641891391489E-5</v>
          </cell>
          <cell r="BN23">
            <v>96.277449885776491</v>
          </cell>
          <cell r="CD23">
            <v>1.2338868971006889E-4</v>
          </cell>
        </row>
        <row r="24">
          <cell r="N24">
            <v>0.640179038332647</v>
          </cell>
          <cell r="V24">
            <v>0.65318662849337294</v>
          </cell>
          <cell r="AI24">
            <v>1.1305524316718163E-4</v>
          </cell>
          <cell r="AL24">
            <v>95.270527643298863</v>
          </cell>
          <cell r="BB24">
            <v>-1.9419202135217972E-5</v>
          </cell>
          <cell r="BN24">
            <v>95.996170020338255</v>
          </cell>
          <cell r="CD24">
            <v>3.2754676893009815E-4</v>
          </cell>
        </row>
        <row r="25">
          <cell r="N25">
            <v>0.65576234505675857</v>
          </cell>
          <cell r="V25">
            <v>0.66532110823470147</v>
          </cell>
          <cell r="AI25">
            <v>2.1492314261628565E-5</v>
          </cell>
          <cell r="AL25">
            <v>95.257966192977804</v>
          </cell>
          <cell r="BB25">
            <v>-1.8516186778283483E-5</v>
          </cell>
          <cell r="BN25">
            <v>95.739750817402012</v>
          </cell>
          <cell r="CD25">
            <v>-6.509950800648312E-6</v>
          </cell>
        </row>
        <row r="26">
          <cell r="N26">
            <v>0.67005594629896259</v>
          </cell>
          <cell r="V26">
            <v>0.67639320225002109</v>
          </cell>
          <cell r="AI26">
            <v>3.8397707236015322E-7</v>
          </cell>
          <cell r="AL26">
            <v>95.246845752880361</v>
          </cell>
          <cell r="BB26">
            <v>-1.7632768578579316E-5</v>
          </cell>
          <cell r="BN26">
            <v>95.505433864300429</v>
          </cell>
          <cell r="CD26">
            <v>-2.3293185075212719E-5</v>
          </cell>
        </row>
        <row r="27">
          <cell r="N27">
            <v>0.68321301439733206</v>
          </cell>
          <cell r="V27">
            <v>0.6865440145259124</v>
          </cell>
          <cell r="AI27">
            <v>1.6932824475901498E-5</v>
          </cell>
          <cell r="AL27">
            <v>95.236936122526657</v>
          </cell>
          <cell r="BB27">
            <v>-1.6781708855884148E-5</v>
          </cell>
          <cell r="BN27">
            <v>95.290798352695859</v>
          </cell>
          <cell r="CD27">
            <v>-2.0889489527053939E-5</v>
          </cell>
        </row>
        <row r="28">
          <cell r="N28">
            <v>0.69536348715856944</v>
          </cell>
          <cell r="V28">
            <v>0.69589019273529862</v>
          </cell>
          <cell r="AI28">
            <v>1.0653349313827221E-5</v>
          </cell>
          <cell r="AL28">
            <v>95.22805350613217</v>
          </cell>
          <cell r="BB28">
            <v>-1.5970221006744723E-5</v>
          </cell>
          <cell r="BN28">
            <v>96.238270799548545</v>
          </cell>
          <cell r="CD28">
            <v>7.6982681895820804E-5</v>
          </cell>
        </row>
        <row r="29">
          <cell r="N29">
            <v>0.70661830094833034</v>
          </cell>
          <cell r="V29">
            <v>0.70452906420379469</v>
          </cell>
          <cell r="AI29">
            <v>-3.2206077305030334E-5</v>
          </cell>
          <cell r="AL29">
            <v>95.22004870509933</v>
          </cell>
          <cell r="BB29">
            <v>-1.52017983756636E-5</v>
          </cell>
          <cell r="BN29">
            <v>96.074630532166708</v>
          </cell>
          <cell r="CD29">
            <v>3.9435438525803335E-6</v>
          </cell>
        </row>
        <row r="30">
          <cell r="N30">
            <v>0.7170727362520104</v>
          </cell>
          <cell r="V30">
            <v>0.71254252143473507</v>
          </cell>
          <cell r="AI30">
            <v>-2.2372308394746909E-5</v>
          </cell>
          <cell r="AL30">
            <v>95.212798465055627</v>
          </cell>
          <cell r="BB30">
            <v>-1.4477431198312019E-5</v>
          </cell>
          <cell r="BN30">
            <v>95.922921155706575</v>
          </cell>
          <cell r="CD30">
            <v>9.2194476414286797E-5</v>
          </cell>
        </row>
        <row r="31">
          <cell r="N31">
            <v>0.72680904366290455</v>
          </cell>
          <cell r="V31">
            <v>0.72</v>
          </cell>
          <cell r="AI31">
            <v>-8.826867015088169E-7</v>
          </cell>
          <cell r="AL31">
            <v>95.206202650377804</v>
          </cell>
          <cell r="BB31">
            <v>-1.3796737086124722E-5</v>
          </cell>
          <cell r="BN31">
            <v>95.782008268335417</v>
          </cell>
          <cell r="CD31">
            <v>-3.8033589611075058E-6</v>
          </cell>
        </row>
        <row r="32">
          <cell r="N32">
            <v>0.68454424196854025</v>
          </cell>
          <cell r="V32">
            <v>0.68849924947720054</v>
          </cell>
          <cell r="AI32">
            <v>1.679908379070838E-5</v>
          </cell>
          <cell r="AL32">
            <v>95.271626556121404</v>
          </cell>
          <cell r="BB32">
            <v>-1.7561224752160598E-5</v>
          </cell>
          <cell r="BN32">
            <v>95.712846524790294</v>
          </cell>
          <cell r="CD32">
            <v>-7.6275687432847405E-6</v>
          </cell>
        </row>
        <row r="33">
          <cell r="N33">
            <v>0.69459693030832115</v>
          </cell>
          <cell r="V33">
            <v>0.69643879915901352</v>
          </cell>
          <cell r="AI33">
            <v>2.7838708671623635E-5</v>
          </cell>
          <cell r="AL33">
            <v>95.264590209265066</v>
          </cell>
          <cell r="BB33">
            <v>-1.6990578916020738E-5</v>
          </cell>
          <cell r="BN33">
            <v>95.558060565221467</v>
          </cell>
          <cell r="CD33">
            <v>-1.8229552339876776E-5</v>
          </cell>
        </row>
        <row r="34">
          <cell r="N34">
            <v>0.70403097213211008</v>
          </cell>
          <cell r="V34">
            <v>0.70387490635252936</v>
          </cell>
          <cell r="AI34">
            <v>-5.3229715080149731E-6</v>
          </cell>
          <cell r="AL34">
            <v>95.258124650283193</v>
          </cell>
          <cell r="BB34">
            <v>-1.6437564198668042E-5</v>
          </cell>
          <cell r="BN34">
            <v>95.413142984155215</v>
          </cell>
          <cell r="CD34">
            <v>-2.245733315975329E-5</v>
          </cell>
        </row>
        <row r="35">
          <cell r="N35">
            <v>0.71290153939905387</v>
          </cell>
          <cell r="V35">
            <v>0.71085638596087919</v>
          </cell>
          <cell r="AI35">
            <v>-4.3082776512992638E-5</v>
          </cell>
          <cell r="AL35">
            <v>95.252163526131483</v>
          </cell>
          <cell r="BB35">
            <v>-1.5904023237256482E-5</v>
          </cell>
          <cell r="BN35">
            <v>95.277246975875158</v>
          </cell>
          <cell r="CD35">
            <v>-1.7593507595226043E-5</v>
          </cell>
        </row>
        <row r="36">
          <cell r="N36">
            <v>0.72125746608357033</v>
          </cell>
          <cell r="V36">
            <v>0.71742581416494466</v>
          </cell>
          <cell r="AI36">
            <v>-3.9848968069744473E-5</v>
          </cell>
          <cell r="AL36">
            <v>95.24665007226362</v>
          </cell>
          <cell r="BB36">
            <v>-1.5390942048609801E-5</v>
          </cell>
          <cell r="BN36">
            <v>96.167017019687023</v>
          </cell>
          <cell r="CD36">
            <v>2.3936434861981937E-5</v>
          </cell>
        </row>
        <row r="37">
          <cell r="N37">
            <v>0.7291421184118545</v>
          </cell>
          <cell r="V37">
            <v>0.72362050442483794</v>
          </cell>
          <cell r="AI37">
            <v>-1.7005971297834321E-5</v>
          </cell>
          <cell r="AL37">
            <v>95.241536379907728</v>
          </cell>
          <cell r="BB37">
            <v>-1.4898764832960154E-5</v>
          </cell>
          <cell r="BN37">
            <v>96.058316797618545</v>
          </cell>
          <cell r="CD37">
            <v>2.172082874674075E-6</v>
          </cell>
        </row>
        <row r="38">
          <cell r="N38">
            <v>0.73659414202062556</v>
          </cell>
          <cell r="V38">
            <v>0.72947330470336313</v>
          </cell>
          <cell r="AI38">
            <v>-2.5244900614396215E-7</v>
          </cell>
          <cell r="AL38">
            <v>95.236781204532036</v>
          </cell>
          <cell r="BB38">
            <v>-1.4427507993852728E-5</v>
          </cell>
          <cell r="BN38">
            <v>95.955659967245978</v>
          </cell>
          <cell r="CD38">
            <v>3.6487436683163565E-6</v>
          </cell>
        </row>
        <row r="39">
          <cell r="N39">
            <v>0.74364808432950247</v>
          </cell>
          <cell r="V39">
            <v>0.73501325313521115</v>
          </cell>
          <cell r="AI39">
            <v>-1.8600488482789501E-5</v>
          </cell>
          <cell r="AL39">
            <v>95.232348864603694</v>
          </cell>
          <cell r="BB39">
            <v>-1.3976887647260128E-5</v>
          </cell>
          <cell r="BN39">
            <v>95.858509831949831</v>
          </cell>
          <cell r="CD39">
            <v>7.9693246696210807E-4</v>
          </cell>
        </row>
        <row r="40">
          <cell r="N40">
            <v>0.75033492151200032</v>
          </cell>
          <cell r="V40">
            <v>0.7402661207398441</v>
          </cell>
          <cell r="AI40">
            <v>-1.0351209212000612E-4</v>
          </cell>
          <cell r="AL40">
            <v>95.228208348972657</v>
          </cell>
          <cell r="BB40">
            <v>-1.3546413768494858E-5</v>
          </cell>
          <cell r="BN40">
            <v>95.766686930518077</v>
          </cell>
          <cell r="CD40">
            <v>-4.0483894570009227E-6</v>
          </cell>
        </row>
        <row r="41">
          <cell r="N41">
            <v>0.7566825065911833</v>
          </cell>
          <cell r="V41">
            <v>0.7452548633400109</v>
          </cell>
          <cell r="AI41">
            <v>-2.8816508679252451E-4</v>
          </cell>
          <cell r="AL41">
            <v>95.224332588605151</v>
          </cell>
          <cell r="BB41">
            <v>-1.313545924808146E-5</v>
          </cell>
          <cell r="BN41">
            <v>95.679570217441466</v>
          </cell>
          <cell r="CD41">
            <v>-9.3255590194463167E-6</v>
          </cell>
        </row>
        <row r="42">
          <cell r="N42">
            <v>0.72590733555911169</v>
          </cell>
          <cell r="V42">
            <v>0.72222222222222221</v>
          </cell>
          <cell r="AI42">
            <v>-5.2438687947464757E-5</v>
          </cell>
          <cell r="AL42">
            <v>95.269931959536422</v>
          </cell>
          <cell r="BB42">
            <v>-1.5340326064983145E-5</v>
          </cell>
          <cell r="BN42">
            <v>95.663660099114296</v>
          </cell>
          <cell r="CD42">
            <v>-9.8051818053779272E-6</v>
          </cell>
        </row>
        <row r="43">
          <cell r="N43">
            <v>0.7324924616724543</v>
          </cell>
          <cell r="V43">
            <v>0.72749290458653459</v>
          </cell>
          <cell r="AI43">
            <v>-3.2512486980440514E-5</v>
          </cell>
          <cell r="AL43">
            <v>95.265859195615164</v>
          </cell>
          <cell r="BB43">
            <v>-1.496957793833964E-5</v>
          </cell>
          <cell r="BN43">
            <v>95.569328531545281</v>
          </cell>
          <cell r="CD43">
            <v>-1.5424434451905E-5</v>
          </cell>
        </row>
        <row r="44">
          <cell r="N44">
            <v>0.73876957378649477</v>
          </cell>
          <cell r="V44">
            <v>0.73251542097450062</v>
          </cell>
          <cell r="AI44">
            <v>-9.9106838846729772E-6</v>
          </cell>
          <cell r="AL44">
            <v>95.262026192217775</v>
          </cell>
          <cell r="BB44">
            <v>-1.4610660376002116E-5</v>
          </cell>
          <cell r="BN44">
            <v>95.479515800442712</v>
          </cell>
          <cell r="CD44">
            <v>-1.8896438025439721E-5</v>
          </cell>
        </row>
        <row r="45">
          <cell r="N45">
            <v>0.74475971067018765</v>
          </cell>
          <cell r="V45">
            <v>0.73730774363081031</v>
          </cell>
          <cell r="AI45">
            <v>-7.0209671410026431E-8</v>
          </cell>
          <cell r="AL45">
            <v>95.258412739954466</v>
          </cell>
          <cell r="BB45">
            <v>-1.426358858802601E-5</v>
          </cell>
          <cell r="BN45">
            <v>95.393921319974723</v>
          </cell>
          <cell r="CD45">
            <v>-1.9356925534674829E-5</v>
          </cell>
        </row>
        <row r="46">
          <cell r="N46">
            <v>0.75048204513129047</v>
          </cell>
          <cell r="V46">
            <v>0.74188611699158102</v>
          </cell>
          <cell r="AI46">
            <v>-1.968928997619912E-5</v>
          </cell>
          <cell r="AL46">
            <v>95.255000882461687</v>
          </cell>
          <cell r="BB46">
            <v>-1.3928267039720055E-5</v>
          </cell>
          <cell r="BN46">
            <v>95.312268552678546</v>
          </cell>
          <cell r="CD46">
            <v>-1.6943823372139732E-5</v>
          </cell>
        </row>
        <row r="47">
          <cell r="N47">
            <v>0.75595408545164455</v>
          </cell>
          <cell r="V47">
            <v>0.74626526250163783</v>
          </cell>
          <cell r="AI47">
            <v>-8.642004900583089E-5</v>
          </cell>
          <cell r="AL47">
            <v>95.251774615560208</v>
          </cell>
          <cell r="BB47">
            <v>-1.3604513321441303E-5</v>
          </cell>
          <cell r="BN47">
            <v>96.137642459921651</v>
          </cell>
          <cell r="CD47">
            <v>1.2385305697693028E-5</v>
          </cell>
        </row>
        <row r="48">
          <cell r="N48">
            <v>0.76119185142035506</v>
          </cell>
          <cell r="V48">
            <v>0.75045855479981283</v>
          </cell>
          <cell r="AI48">
            <v>-2.1860209098445438E-4</v>
          </cell>
          <cell r="AL48">
            <v>95.248719632776314</v>
          </cell>
          <cell r="BB48">
            <v>-1.3292084627414269E-5</v>
          </cell>
          <cell r="BN48">
            <v>96.069806477047905</v>
          </cell>
          <cell r="CD48">
            <v>2.6337062253301013E-6</v>
          </cell>
        </row>
        <row r="49">
          <cell r="N49">
            <v>0.76621002860132903</v>
          </cell>
          <cell r="V49">
            <v>0.75447817385344185</v>
          </cell>
          <cell r="AI49">
            <v>-4.3503343166717556E-4</v>
          </cell>
          <cell r="AL49">
            <v>95.245823109171411</v>
          </cell>
          <cell r="BB49">
            <v>-1.299069610216641E-5</v>
          </cell>
          <cell r="BN49">
            <v>96.004793895678276</v>
          </cell>
          <cell r="CD49">
            <v>3.1391342403264133E-4</v>
          </cell>
        </row>
        <row r="50">
          <cell r="N50">
            <v>0.77102210389310466</v>
          </cell>
          <cell r="V50">
            <v>0.7583352368020273</v>
          </cell>
          <cell r="AI50">
            <v>-7.5477504762888614E-4</v>
          </cell>
          <cell r="AL50">
            <v>95.243073516974292</v>
          </cell>
          <cell r="BB50">
            <v>-1.2700027918199908E-5</v>
          </cell>
          <cell r="BN50">
            <v>95.942543502805279</v>
          </cell>
          <cell r="CD50">
            <v>5.1817218849059543E-6</v>
          </cell>
        </row>
        <row r="51">
          <cell r="N51">
            <v>0.77564060513051258</v>
          </cell>
          <cell r="V51">
            <v>0.76203991261112514</v>
          </cell>
          <cell r="AI51">
            <v>-2.4415358623741668E-8</v>
          </cell>
          <cell r="AL51">
            <v>95.240444834145151</v>
          </cell>
          <cell r="BB51">
            <v>-1.2418785361179019E-5</v>
          </cell>
          <cell r="BN51">
            <v>95.882746836800635</v>
          </cell>
          <cell r="CD51">
            <v>3.7605120001282799E-4</v>
          </cell>
        </row>
        <row r="52">
          <cell r="N52">
            <v>0.75157574796483695</v>
          </cell>
          <cell r="V52">
            <v>0.74386239167118973</v>
          </cell>
          <cell r="AI52">
            <v>-1.0867295952010636E-6</v>
          </cell>
          <cell r="AL52">
            <v>95.27499725654539</v>
          </cell>
          <cell r="BB52">
            <v>-1.3822988198519681E-5</v>
          </cell>
          <cell r="BN52">
            <v>95.907291502672237</v>
          </cell>
          <cell r="CD52">
            <v>1.5502662115141064E-4</v>
          </cell>
        </row>
        <row r="53">
          <cell r="N53">
            <v>0.75636724270243139</v>
          </cell>
          <cell r="V53">
            <v>0.74775202977870114</v>
          </cell>
          <cell r="AI53">
            <v>-2.2427580237405209E-5</v>
          </cell>
          <cell r="AL53">
            <v>95.272275644250584</v>
          </cell>
          <cell r="BB53">
            <v>-1.3562267253686144E-5</v>
          </cell>
          <cell r="BN53">
            <v>95.843361477024558</v>
          </cell>
          <cell r="CD53">
            <v>8.5490551260392067E-4</v>
          </cell>
        </row>
        <row r="54">
          <cell r="N54">
            <v>0.76097790401279564</v>
          </cell>
          <cell r="V54">
            <v>0.75149576603592694</v>
          </cell>
          <cell r="AI54">
            <v>-7.9341022030110508E-5</v>
          </cell>
          <cell r="AL54">
            <v>95.269680129694777</v>
          </cell>
          <cell r="BB54">
            <v>-1.3308894680763572E-5</v>
          </cell>
          <cell r="BN54">
            <v>95.782051944385927</v>
          </cell>
          <cell r="CD54">
            <v>-2.6730491708981674E-6</v>
          </cell>
        </row>
        <row r="55">
          <cell r="N55">
            <v>0.76541774657170802</v>
          </cell>
          <cell r="V55">
            <v>0.75510204081632648</v>
          </cell>
          <cell r="AI55">
            <v>-1.8290331760262291E-4</v>
          </cell>
          <cell r="AL55">
            <v>95.267202402076563</v>
          </cell>
          <cell r="BB55">
            <v>-1.3062753462245169E-5</v>
          </cell>
          <cell r="BN55">
            <v>95.722932626142807</v>
          </cell>
          <cell r="CD55">
            <v>-5.2899848945742178E-6</v>
          </cell>
        </row>
        <row r="56">
          <cell r="N56">
            <v>0.7696960614439744</v>
          </cell>
          <cell r="V56">
            <v>0.75857864376269046</v>
          </cell>
          <cell r="AI56">
            <v>-3.4439893698001711E-4</v>
          </cell>
          <cell r="AL56">
            <v>95.264834891209404</v>
          </cell>
          <cell r="BB56">
            <v>-1.2823705097808613E-5</v>
          </cell>
          <cell r="BN56">
            <v>95.665988821298356</v>
          </cell>
          <cell r="CD56">
            <v>-8.2546882662626331E-6</v>
          </cell>
        </row>
        <row r="57">
          <cell r="N57">
            <v>0.78344498426074005</v>
          </cell>
          <cell r="V57">
            <v>0.77090055512641942</v>
          </cell>
          <cell r="AI57">
            <v>-9.9484738264044026E-4</v>
          </cell>
          <cell r="AL57">
            <v>95.274460928409127</v>
          </cell>
          <cell r="BB57">
            <v>-1.1930092344569765E-5</v>
          </cell>
          <cell r="BN57">
            <v>95.291735004976346</v>
          </cell>
          <cell r="CD57">
            <v>-1.2657133716120761E-5</v>
          </cell>
        </row>
        <row r="58">
          <cell r="N58">
            <v>0.80206133771475663</v>
          </cell>
          <cell r="V58">
            <v>0.78819660112501055</v>
          </cell>
          <cell r="AI58">
            <v>-8.547068608422137E-8</v>
          </cell>
          <cell r="AL58">
            <v>95.291634257052749</v>
          </cell>
          <cell r="BB58">
            <v>-1.0537094155549376E-5</v>
          </cell>
          <cell r="BN58">
            <v>95.662193813615644</v>
          </cell>
          <cell r="CD58">
            <v>-6.3264301713994442E-6</v>
          </cell>
        </row>
        <row r="59">
          <cell r="N59">
            <v>0.81427580606728323</v>
          </cell>
          <cell r="V59">
            <v>0.8</v>
          </cell>
          <cell r="AI59">
            <v>-1.7642659555505702E-7</v>
          </cell>
          <cell r="AL59">
            <v>95.306034545509945</v>
          </cell>
          <cell r="BB59">
            <v>-9.4856881377447522E-6</v>
          </cell>
          <cell r="BN59">
            <v>95.504933365607371</v>
          </cell>
          <cell r="CD59">
            <v>-1.016051842661625E-5</v>
          </cell>
        </row>
        <row r="60">
          <cell r="N60">
            <v>0.84274249594503481</v>
          </cell>
          <cell r="V60">
            <v>0.8292893218813453</v>
          </cell>
          <cell r="AI60">
            <v>-3.5162966982582589E-7</v>
          </cell>
          <cell r="AL60">
            <v>95.352194870679782</v>
          </cell>
          <cell r="BB60">
            <v>-6.550271984540057E-6</v>
          </cell>
          <cell r="BN60">
            <v>95.697798191375654</v>
          </cell>
          <cell r="CD60">
            <v>-2.6414479145642211E-6</v>
          </cell>
        </row>
        <row r="61">
          <cell r="N61">
            <v>0.86568979149854175</v>
          </cell>
          <cell r="V61">
            <v>0.85527864045000423</v>
          </cell>
          <cell r="AI61">
            <v>-4.1301850828290299E-8</v>
          </cell>
          <cell r="AL61">
            <v>95.4070785096973</v>
          </cell>
          <cell r="BB61">
            <v>-3.7672357316997918E-6</v>
          </cell>
          <cell r="BN61">
            <v>95.608165358377519</v>
          </cell>
          <cell r="CD61">
            <v>-2.5152851468313031E-6</v>
          </cell>
        </row>
        <row r="62">
          <cell r="N62">
            <v>0.8764126942769026</v>
          </cell>
          <cell r="V62">
            <v>0.86837722339831624</v>
          </cell>
          <cell r="AI62">
            <v>-3.1431188513009189E-4</v>
          </cell>
          <cell r="AL62">
            <v>95.44018616695098</v>
          </cell>
          <cell r="BB62">
            <v>-2.4430618361659384E-6</v>
          </cell>
          <cell r="BN62">
            <v>95.507569810664222</v>
          </cell>
          <cell r="CD62">
            <v>-2.254442261345746E-6</v>
          </cell>
        </row>
        <row r="63">
          <cell r="N63">
            <v>0.88365512437912996</v>
          </cell>
          <cell r="V63">
            <v>0.87763932022500213</v>
          </cell>
          <cell r="AI63">
            <v>2.1965107510624193E-7</v>
          </cell>
          <cell r="AL63">
            <v>95.464884371095607</v>
          </cell>
          <cell r="BB63">
            <v>7.8731407391133268E-4</v>
          </cell>
          <cell r="BN63">
            <v>95.656129564336027</v>
          </cell>
          <cell r="CD63">
            <v>4.5057802987996665E-4</v>
          </cell>
        </row>
        <row r="64">
          <cell r="N64">
            <v>0.8898481992551821</v>
          </cell>
          <cell r="V64">
            <v>0.88585786437626912</v>
          </cell>
          <cell r="AI64">
            <v>1.1774778929662943E-6</v>
          </cell>
          <cell r="AL64">
            <v>95.489365764452998</v>
          </cell>
          <cell r="BB64">
            <v>4.5764384150326354E-4</v>
          </cell>
          <cell r="BN64">
            <v>95.587331318523255</v>
          </cell>
          <cell r="CD64">
            <v>3.5814341251515225E-4</v>
          </cell>
        </row>
        <row r="65">
          <cell r="N65">
            <v>0.89288721965212603</v>
          </cell>
          <cell r="V65">
            <v>0.89</v>
          </cell>
          <cell r="AI65">
            <v>1.9561378072907587E-6</v>
          </cell>
          <cell r="AL65">
            <v>95.502283423525896</v>
          </cell>
          <cell r="BB65">
            <v>3.0872219333125811E-4</v>
          </cell>
          <cell r="BN65">
            <v>95.562576271671702</v>
          </cell>
          <cell r="CD65">
            <v>2.6707916777734403E-4</v>
          </cell>
        </row>
        <row r="66">
          <cell r="N66">
            <v>0.89685796469616708</v>
          </cell>
          <cell r="V66">
            <v>0.8955278640450004</v>
          </cell>
          <cell r="AI66">
            <v>1.1779688335877836E-8</v>
          </cell>
          <cell r="AL66">
            <v>95.520123649589195</v>
          </cell>
          <cell r="BB66">
            <v>1.2898232259464168E-4</v>
          </cell>
          <cell r="BN66">
            <v>95.551285532801472</v>
          </cell>
          <cell r="CD66">
            <v>1.1950670335313454E-4</v>
          </cell>
        </row>
        <row r="67">
          <cell r="N67">
            <v>0.89778472858831571</v>
          </cell>
          <cell r="V67">
            <v>0.89683772233983161</v>
          </cell>
          <cell r="AI67">
            <v>-7.2278300677908192E-5</v>
          </cell>
          <cell r="AL67">
            <v>95.524452019591735</v>
          </cell>
          <cell r="BB67">
            <v>8.9661811452854123E-5</v>
          </cell>
          <cell r="BN67">
            <v>95.537822464132205</v>
          </cell>
          <cell r="CD67">
            <v>8.6854117676161274E-5</v>
          </cell>
        </row>
      </sheetData>
      <sheetData sheetId="3" refreshError="1"/>
      <sheetData sheetId="4">
        <row r="5">
          <cell r="O5">
            <v>2.2464975198956886E-3</v>
          </cell>
          <cell r="P5">
            <v>0.1</v>
          </cell>
          <cell r="T5">
            <v>2.1333351492652072E-6</v>
          </cell>
        </row>
        <row r="6">
          <cell r="O6">
            <v>0.15614771340562014</v>
          </cell>
          <cell r="P6">
            <v>0.1</v>
          </cell>
          <cell r="T6">
            <v>-3.0626747912028031E-9</v>
          </cell>
        </row>
        <row r="7">
          <cell r="O7">
            <v>0.26547702079491642</v>
          </cell>
          <cell r="P7">
            <v>0.1</v>
          </cell>
          <cell r="T7">
            <v>-2.7288276168925297E-8</v>
          </cell>
        </row>
        <row r="8">
          <cell r="O8">
            <v>0.34611598930645104</v>
          </cell>
          <cell r="P8">
            <v>0.1</v>
          </cell>
          <cell r="T8">
            <v>-1.9613527804090779E-4</v>
          </cell>
        </row>
        <row r="9">
          <cell r="O9">
            <v>0.40765166463428731</v>
          </cell>
          <cell r="P9">
            <v>0.1</v>
          </cell>
          <cell r="T9">
            <v>1.8086086925862547E-7</v>
          </cell>
        </row>
        <row r="10">
          <cell r="O10">
            <v>0.45599050022073773</v>
          </cell>
          <cell r="P10">
            <v>0.1</v>
          </cell>
          <cell r="T10">
            <v>2.8170056274984185E-8</v>
          </cell>
        </row>
        <row r="11">
          <cell r="O11">
            <v>0.49489838337610453</v>
          </cell>
          <cell r="P11">
            <v>0.1</v>
          </cell>
          <cell r="T11">
            <v>2.6409663953375197E-6</v>
          </cell>
        </row>
        <row r="12">
          <cell r="O12">
            <v>0.52686273184147492</v>
          </cell>
          <cell r="P12">
            <v>0.1</v>
          </cell>
          <cell r="T12">
            <v>4.0109800469349366E-5</v>
          </cell>
        </row>
        <row r="13">
          <cell r="O13">
            <v>0.55358117444763277</v>
          </cell>
          <cell r="P13">
            <v>0.1</v>
          </cell>
          <cell r="T13">
            <v>2.7746322682274167E-4</v>
          </cell>
        </row>
        <row r="14">
          <cell r="O14">
            <v>0.57624670718419402</v>
          </cell>
          <cell r="P14">
            <v>0.1</v>
          </cell>
          <cell r="T14">
            <v>-1.9580877202761085E-8</v>
          </cell>
        </row>
        <row r="15">
          <cell r="O15">
            <v>0.5957197214723936</v>
          </cell>
          <cell r="P15">
            <v>0.1</v>
          </cell>
          <cell r="T15">
            <v>-1.3600110142006783E-7</v>
          </cell>
        </row>
        <row r="16">
          <cell r="O16">
            <v>0.61263501241997753</v>
          </cell>
          <cell r="P16">
            <v>0.1</v>
          </cell>
          <cell r="T16">
            <v>-6.7737264761200952E-7</v>
          </cell>
        </row>
        <row r="17">
          <cell r="O17">
            <v>0.62747049149721046</v>
          </cell>
          <cell r="P17">
            <v>0.1</v>
          </cell>
          <cell r="T17">
            <v>-2.6403988931948297E-6</v>
          </cell>
        </row>
        <row r="18">
          <cell r="O18">
            <v>0.64059244537263926</v>
          </cell>
          <cell r="P18">
            <v>0.1</v>
          </cell>
          <cell r="T18">
            <v>-8.5321535792569818E-6</v>
          </cell>
        </row>
        <row r="19">
          <cell r="O19">
            <v>0.65228611306817785</v>
          </cell>
          <cell r="P19">
            <v>0.1</v>
          </cell>
          <cell r="T19">
            <v>-2.3787818987975515E-5</v>
          </cell>
        </row>
        <row r="20">
          <cell r="O20">
            <v>0.66277680528503335</v>
          </cell>
          <cell r="P20">
            <v>0.1</v>
          </cell>
          <cell r="T20">
            <v>-5.8893473000918008E-5</v>
          </cell>
        </row>
        <row r="21">
          <cell r="O21">
            <v>0.67224478755895822</v>
          </cell>
          <cell r="P21">
            <v>0.1</v>
          </cell>
          <cell r="T21">
            <v>-1.3228119478413204E-4</v>
          </cell>
        </row>
        <row r="22">
          <cell r="O22">
            <v>0.68083596151008352</v>
          </cell>
          <cell r="P22">
            <v>0.1</v>
          </cell>
          <cell r="T22">
            <v>-2.739911382532705E-4</v>
          </cell>
        </row>
        <row r="23">
          <cell r="O23">
            <v>0.68866966324050227</v>
          </cell>
          <cell r="P23">
            <v>0.1</v>
          </cell>
          <cell r="T23">
            <v>-1.9538729061631077E-4</v>
          </cell>
        </row>
        <row r="24">
          <cell r="O24">
            <v>0.69584442424734838</v>
          </cell>
          <cell r="P24">
            <v>0.1</v>
          </cell>
          <cell r="T24">
            <v>-1.0114103010044206E-4</v>
          </cell>
        </row>
        <row r="25">
          <cell r="O25">
            <v>0.70244231704815341</v>
          </cell>
          <cell r="P25">
            <v>0.1</v>
          </cell>
          <cell r="T25">
            <v>-4.5932133260865803E-5</v>
          </cell>
        </row>
        <row r="26">
          <cell r="O26">
            <v>0.70853225123940455</v>
          </cell>
          <cell r="P26">
            <v>0.1</v>
          </cell>
          <cell r="T26">
            <v>-1.746407673205417E-5</v>
          </cell>
        </row>
        <row r="27">
          <cell r="O27">
            <v>0.71417250981536873</v>
          </cell>
          <cell r="P27">
            <v>0.1</v>
          </cell>
          <cell r="T27">
            <v>-5.1107751718880667E-6</v>
          </cell>
        </row>
        <row r="28">
          <cell r="O28">
            <v>0.71941272255881028</v>
          </cell>
          <cell r="P28">
            <v>0.1</v>
          </cell>
          <cell r="T28">
            <v>-9.6892534214367794E-7</v>
          </cell>
        </row>
        <row r="29">
          <cell r="O29">
            <v>0.72429541611632897</v>
          </cell>
          <cell r="P29">
            <v>0.1</v>
          </cell>
          <cell r="T29">
            <v>-7.6001218892975885E-8</v>
          </cell>
        </row>
        <row r="30">
          <cell r="O30">
            <v>0.7288572443010054</v>
          </cell>
          <cell r="P30">
            <v>0.1</v>
          </cell>
          <cell r="T30">
            <v>1.3316297630082744E-4</v>
          </cell>
        </row>
        <row r="31">
          <cell r="O31">
            <v>0.73312996140313547</v>
          </cell>
          <cell r="P31">
            <v>0.1</v>
          </cell>
          <cell r="T31">
            <v>-1.4619907448708137E-4</v>
          </cell>
        </row>
        <row r="32">
          <cell r="O32">
            <v>0.7371412370581728</v>
          </cell>
          <cell r="P32">
            <v>0.1</v>
          </cell>
          <cell r="T32">
            <v>8.138243364070884E-8</v>
          </cell>
        </row>
        <row r="33">
          <cell r="O33">
            <v>0.74091526793824825</v>
          </cell>
          <cell r="P33">
            <v>0.1</v>
          </cell>
          <cell r="T33">
            <v>1.0388385887394152E-6</v>
          </cell>
        </row>
        <row r="34">
          <cell r="O34">
            <v>0.7444733269145406</v>
          </cell>
          <cell r="P34">
            <v>0.1</v>
          </cell>
          <cell r="T34">
            <v>5.5562450753906147E-6</v>
          </cell>
        </row>
        <row r="35">
          <cell r="O35">
            <v>0.74783418598797446</v>
          </cell>
          <cell r="P35">
            <v>0.1</v>
          </cell>
          <cell r="T35">
            <v>1.9396232657885381E-5</v>
          </cell>
        </row>
        <row r="36">
          <cell r="O36">
            <v>0.75101447595725568</v>
          </cell>
          <cell r="P36">
            <v>0.1</v>
          </cell>
          <cell r="T36">
            <v>5.2484611116384535E-5</v>
          </cell>
        </row>
        <row r="37">
          <cell r="O37">
            <v>0.75402898457838041</v>
          </cell>
          <cell r="P37">
            <v>0.1</v>
          </cell>
          <cell r="T37">
            <v>1.1985649153122992E-4</v>
          </cell>
        </row>
        <row r="38">
          <cell r="O38">
            <v>0.75689090619244825</v>
          </cell>
          <cell r="P38">
            <v>0.1</v>
          </cell>
          <cell r="T38">
            <v>2.4244747633743813E-4</v>
          </cell>
        </row>
        <row r="39">
          <cell r="O39">
            <v>0.75961205179259528</v>
          </cell>
          <cell r="P39">
            <v>0.1</v>
          </cell>
          <cell r="T39">
            <v>4.4772519752546251E-4</v>
          </cell>
        </row>
        <row r="40">
          <cell r="O40">
            <v>0.76220302665615114</v>
          </cell>
          <cell r="P40">
            <v>0.1</v>
          </cell>
          <cell r="T40">
            <v>7.7016401574741427E-4</v>
          </cell>
        </row>
        <row r="41">
          <cell r="O41">
            <v>0.7646733704063835</v>
          </cell>
          <cell r="P41">
            <v>0.1</v>
          </cell>
          <cell r="T41">
            <v>-2.1773481806254664E-8</v>
          </cell>
        </row>
        <row r="42">
          <cell r="O42">
            <v>0.76703172344557957</v>
          </cell>
          <cell r="P42">
            <v>0.1</v>
          </cell>
          <cell r="T42">
            <v>-4.3835048707345803E-8</v>
          </cell>
        </row>
        <row r="43">
          <cell r="O43">
            <v>0.76928588716582003</v>
          </cell>
          <cell r="P43">
            <v>0.1</v>
          </cell>
          <cell r="T43">
            <v>-8.2879775101869042E-8</v>
          </cell>
        </row>
        <row r="44">
          <cell r="O44">
            <v>0.77144294879077879</v>
          </cell>
          <cell r="P44">
            <v>0.1</v>
          </cell>
          <cell r="T44">
            <v>-1.4872977211587723E-7</v>
          </cell>
        </row>
        <row r="45">
          <cell r="O45">
            <v>0.7735093564589518</v>
          </cell>
          <cell r="P45">
            <v>0.1</v>
          </cell>
          <cell r="T45">
            <v>-2.550454306092611E-7</v>
          </cell>
        </row>
        <row r="46">
          <cell r="O46">
            <v>0.77549099016684331</v>
          </cell>
          <cell r="P46">
            <v>0.1</v>
          </cell>
          <cell r="T46">
            <v>-4.2051669925400289E-7</v>
          </cell>
        </row>
        <row r="47">
          <cell r="O47">
            <v>0.77739322343851591</v>
          </cell>
          <cell r="P47">
            <v>0.1</v>
          </cell>
          <cell r="T47">
            <v>-6.6997260226905236E-7</v>
          </cell>
        </row>
        <row r="48">
          <cell r="O48">
            <v>0.77922097710735605</v>
          </cell>
          <cell r="P48">
            <v>0.1</v>
          </cell>
          <cell r="T48">
            <v>-1.0354995489710686E-6</v>
          </cell>
        </row>
        <row r="49">
          <cell r="O49">
            <v>0.78097876636410191</v>
          </cell>
          <cell r="P49">
            <v>0.1</v>
          </cell>
          <cell r="T49">
            <v>-1.5579153654420933E-6</v>
          </cell>
        </row>
        <row r="50">
          <cell r="O50">
            <v>0.78267074203608822</v>
          </cell>
          <cell r="P50">
            <v>0.1</v>
          </cell>
          <cell r="T50">
            <v>-2.2881355828905635E-6</v>
          </cell>
        </row>
        <row r="51">
          <cell r="O51">
            <v>0.78430072690772279</v>
          </cell>
          <cell r="P51">
            <v>0.1</v>
          </cell>
          <cell r="T51">
            <v>-3.2884302514679822E-6</v>
          </cell>
        </row>
        <row r="52">
          <cell r="O52">
            <v>0.79163536754344477</v>
          </cell>
          <cell r="P52">
            <v>0.1</v>
          </cell>
          <cell r="T52">
            <v>-1.5526106484149172E-5</v>
          </cell>
        </row>
        <row r="53">
          <cell r="O53">
            <v>0.79785207171072992</v>
          </cell>
          <cell r="P53">
            <v>0.1</v>
          </cell>
          <cell r="T53">
            <v>-5.3194575798683153E-5</v>
          </cell>
        </row>
        <row r="54">
          <cell r="O54">
            <v>0.81559717333831783</v>
          </cell>
          <cell r="P54">
            <v>0.1</v>
          </cell>
          <cell r="T54">
            <v>-1.6758018532284119E-8</v>
          </cell>
        </row>
        <row r="55">
          <cell r="O55">
            <v>0.82689105435422161</v>
          </cell>
          <cell r="P55">
            <v>0.1</v>
          </cell>
          <cell r="T55">
            <v>-3.4617711753656717E-7</v>
          </cell>
        </row>
        <row r="56">
          <cell r="O56">
            <v>0.85225452825384918</v>
          </cell>
          <cell r="P56">
            <v>0.1</v>
          </cell>
          <cell r="T56">
            <v>2.1738251978977202E-5</v>
          </cell>
        </row>
        <row r="57">
          <cell r="O57">
            <v>0.97149580275269876</v>
          </cell>
          <cell r="P57">
            <v>0.1</v>
          </cell>
          <cell r="T57">
            <v>-59570.943078685741</v>
          </cell>
        </row>
        <row r="58">
          <cell r="O58">
            <v>0.88078326602797985</v>
          </cell>
          <cell r="P58">
            <v>0.1</v>
          </cell>
          <cell r="T58">
            <v>-1.1970723591149677E-7</v>
          </cell>
        </row>
        <row r="59">
          <cell r="O59">
            <v>0.88674437075187518</v>
          </cell>
          <cell r="P59">
            <v>0.1</v>
          </cell>
          <cell r="T59">
            <v>-1.6935227395022663E-7</v>
          </cell>
        </row>
        <row r="60">
          <cell r="O60">
            <v>0.89179816603788431</v>
          </cell>
          <cell r="P60">
            <v>0.1</v>
          </cell>
          <cell r="T60">
            <v>1.5461677762578351E-4</v>
          </cell>
        </row>
        <row r="61">
          <cell r="O61">
            <v>0.89426398292303033</v>
          </cell>
          <cell r="P61">
            <v>0.1</v>
          </cell>
          <cell r="T61">
            <v>-1.1828020761543812E-5</v>
          </cell>
        </row>
        <row r="62">
          <cell r="O62">
            <v>0.89597545581485749</v>
          </cell>
          <cell r="P62">
            <v>0.1</v>
          </cell>
          <cell r="T62">
            <v>-1.3383219906380339E-5</v>
          </cell>
        </row>
        <row r="63">
          <cell r="O63">
            <v>0.90360910432122932</v>
          </cell>
          <cell r="P63">
            <v>0.1</v>
          </cell>
          <cell r="T63">
            <v>-9346.1746031440998</v>
          </cell>
        </row>
        <row r="64">
          <cell r="O64">
            <v>0.90427230149469373</v>
          </cell>
          <cell r="P64">
            <v>0.1</v>
          </cell>
          <cell r="T64">
            <v>-29175.701597439664</v>
          </cell>
        </row>
      </sheetData>
      <sheetData sheetId="5"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Intro"/>
      <sheetName val="Two proportions"/>
      <sheetName val="Overlap two proportions"/>
      <sheetName val="Two correlations"/>
      <sheetName val="Overlap two correlations (n1)"/>
      <sheetName val="Overlap two correlations (r1)"/>
    </sheetNames>
    <sheetDataSet>
      <sheetData sheetId="0" refreshError="1"/>
      <sheetData sheetId="1">
        <row r="1">
          <cell r="AN1" t="b">
            <v>1</v>
          </cell>
        </row>
        <row r="2">
          <cell r="AN2" t="b">
            <v>0</v>
          </cell>
        </row>
        <row r="3">
          <cell r="AC3">
            <v>-7.9755464954534006E-4</v>
          </cell>
        </row>
        <row r="4">
          <cell r="O4" t="b">
            <v>0</v>
          </cell>
        </row>
        <row r="5">
          <cell r="AD5">
            <v>10</v>
          </cell>
          <cell r="AE5">
            <v>17</v>
          </cell>
          <cell r="AL5">
            <v>142.41180597655304</v>
          </cell>
        </row>
        <row r="6">
          <cell r="AD6">
            <v>28</v>
          </cell>
          <cell r="AE6">
            <v>21</v>
          </cell>
          <cell r="AL6" t="b">
            <v>1</v>
          </cell>
          <cell r="AO6" t="b">
            <v>0</v>
          </cell>
          <cell r="AT6" t="b">
            <v>0</v>
          </cell>
        </row>
        <row r="7">
          <cell r="AD7">
            <v>38</v>
          </cell>
          <cell r="AE7">
            <v>38</v>
          </cell>
        </row>
        <row r="8">
          <cell r="G8">
            <v>7</v>
          </cell>
          <cell r="I8">
            <v>13</v>
          </cell>
        </row>
        <row r="11">
          <cell r="G11">
            <v>1</v>
          </cell>
          <cell r="I11">
            <v>14</v>
          </cell>
        </row>
        <row r="13">
          <cell r="G13">
            <v>8</v>
          </cell>
          <cell r="I13">
            <v>27</v>
          </cell>
        </row>
        <row r="14">
          <cell r="R14" t="b">
            <v>0</v>
          </cell>
        </row>
        <row r="15">
          <cell r="R15">
            <v>1</v>
          </cell>
        </row>
        <row r="16">
          <cell r="R16" t="b">
            <v>0</v>
          </cell>
        </row>
        <row r="21">
          <cell r="P21" t="b">
            <v>1</v>
          </cell>
          <cell r="R21" t="b">
            <v>0</v>
          </cell>
        </row>
        <row r="22">
          <cell r="P22" t="b">
            <v>0</v>
          </cell>
          <cell r="R22" t="b">
            <v>0</v>
          </cell>
        </row>
        <row r="23">
          <cell r="R23" t="b">
            <v>1</v>
          </cell>
        </row>
      </sheetData>
      <sheetData sheetId="2">
        <row r="8">
          <cell r="N8">
            <v>0.21336654191202861</v>
          </cell>
          <cell r="V8">
            <v>0.5</v>
          </cell>
          <cell r="AI8">
            <v>9.6728998366657493E-5</v>
          </cell>
          <cell r="AL8">
            <v>95.838471303131683</v>
          </cell>
          <cell r="BB8">
            <v>-4.8278048225824932E-7</v>
          </cell>
          <cell r="BN8">
            <v>97.237717628478421</v>
          </cell>
          <cell r="CD8">
            <v>-8.6485427930327319E-5</v>
          </cell>
        </row>
        <row r="9">
          <cell r="N9">
            <v>0.3461826368421167</v>
          </cell>
          <cell r="V9">
            <v>0.5</v>
          </cell>
          <cell r="AI9">
            <v>6.1404425988342837E-7</v>
          </cell>
          <cell r="AL9">
            <v>95.493044483024946</v>
          </cell>
          <cell r="BB9">
            <v>-1.2056868392562592E-5</v>
          </cell>
          <cell r="BN9">
            <v>95.932524480790619</v>
          </cell>
          <cell r="CD9">
            <v>4.1422390406609111E-5</v>
          </cell>
        </row>
        <row r="10">
          <cell r="N10">
            <v>0.43767259385143015</v>
          </cell>
          <cell r="V10">
            <v>0.5</v>
          </cell>
          <cell r="AI10">
            <v>1.8311889671274173E-5</v>
          </cell>
          <cell r="AL10">
            <v>95.323143508031094</v>
          </cell>
          <cell r="BB10">
            <v>-1.5394654107048211E-5</v>
          </cell>
          <cell r="BN10">
            <v>96.054752391235837</v>
          </cell>
          <cell r="CD10">
            <v>1.4478324095179573E-6</v>
          </cell>
        </row>
        <row r="11">
          <cell r="N11">
            <v>0.5056919109821546</v>
          </cell>
          <cell r="V11">
            <v>0.55278640450004213</v>
          </cell>
          <cell r="AI11">
            <v>1.6678223269117609E-4</v>
          </cell>
          <cell r="AL11">
            <v>95.226667299117025</v>
          </cell>
          <cell r="BB11">
            <v>-1.3229565942740606E-5</v>
          </cell>
          <cell r="BN11">
            <v>96.573523159062248</v>
          </cell>
          <cell r="CD11">
            <v>-7.6629180778553518E-7</v>
          </cell>
        </row>
        <row r="12">
          <cell r="N12">
            <v>0.36545593191490638</v>
          </cell>
          <cell r="V12">
            <v>0.4250850428694703</v>
          </cell>
          <cell r="AI12">
            <v>5.8495369859024038E-4</v>
          </cell>
          <cell r="AL12">
            <v>95.565232242191385</v>
          </cell>
          <cell r="BB12">
            <v>-1.4448112206633112E-5</v>
          </cell>
          <cell r="BN12">
            <v>96.932028433774462</v>
          </cell>
          <cell r="CD12">
            <v>-2.7576589567424037E-5</v>
          </cell>
        </row>
        <row r="13">
          <cell r="N13">
            <v>0.42465824327395685</v>
          </cell>
          <cell r="V13">
            <v>0.4791783841336299</v>
          </cell>
          <cell r="AI13">
            <v>3.3077516281565522E-6</v>
          </cell>
          <cell r="AL13">
            <v>95.466232248111936</v>
          </cell>
          <cell r="BB13">
            <v>-1.9995326838717631E-5</v>
          </cell>
          <cell r="BN13">
            <v>97.275004122345237</v>
          </cell>
          <cell r="CD13">
            <v>-5.2024321089971792E-4</v>
          </cell>
        </row>
        <row r="14">
          <cell r="N14">
            <v>0.47373758294801233</v>
          </cell>
          <cell r="V14">
            <v>0.52144660940672627</v>
          </cell>
          <cell r="AI14">
            <v>-6.0260245682286495E-5</v>
          </cell>
          <cell r="AL14">
            <v>95.395278776063606</v>
          </cell>
          <cell r="BB14">
            <v>-2.2277946931659187E-5</v>
          </cell>
          <cell r="BN14">
            <v>96.132793160586615</v>
          </cell>
          <cell r="CD14">
            <v>1.2759243495086281E-5</v>
          </cell>
        </row>
        <row r="15">
          <cell r="N15">
            <v>0.51508846707363654</v>
          </cell>
          <cell r="V15">
            <v>0.55555555555555558</v>
          </cell>
          <cell r="AI15">
            <v>3.2287493179072868E-4</v>
          </cell>
          <cell r="AL15">
            <v>95.342452581777636</v>
          </cell>
          <cell r="BB15">
            <v>-2.2516352116142002E-5</v>
          </cell>
          <cell r="BN15">
            <v>96.871778790726808</v>
          </cell>
          <cell r="CD15">
            <v>-2.6591320645419358E-5</v>
          </cell>
        </row>
        <row r="16">
          <cell r="N16">
            <v>0.55040523426545984</v>
          </cell>
          <cell r="V16">
            <v>0.58377223398316214</v>
          </cell>
          <cell r="AI16">
            <v>6.2961783842130359E-4</v>
          </cell>
          <cell r="AL16">
            <v>95.301851588570216</v>
          </cell>
          <cell r="BB16">
            <v>-2.165868639991686E-5</v>
          </cell>
          <cell r="BN16">
            <v>96.165895262851123</v>
          </cell>
          <cell r="CD16">
            <v>2.6078248893668388E-5</v>
          </cell>
        </row>
        <row r="17">
          <cell r="N17">
            <v>0.58092036715804529</v>
          </cell>
          <cell r="V17">
            <v>0.60757956451314543</v>
          </cell>
          <cell r="AI17">
            <v>5.9686151510085494E-4</v>
          </cell>
          <cell r="AL17">
            <v>95.26981129395017</v>
          </cell>
          <cell r="BB17">
            <v>-2.0284741164555697E-5</v>
          </cell>
          <cell r="BN17">
            <v>95.556098455522076</v>
          </cell>
          <cell r="CD17">
            <v>-2.1279273343388638E-5</v>
          </cell>
        </row>
        <row r="18">
          <cell r="N18">
            <v>0.60755187811297529</v>
          </cell>
          <cell r="V18">
            <v>0.62799153207185365</v>
          </cell>
          <cell r="AI18">
            <v>3.6821080906523918E-4</v>
          </cell>
          <cell r="AL18">
            <v>95.243959570791475</v>
          </cell>
          <cell r="BB18">
            <v>-1.8720174577158133E-5</v>
          </cell>
          <cell r="BN18">
            <v>96.506393658871247</v>
          </cell>
          <cell r="CD18">
            <v>-7.4487743750850655E-7</v>
          </cell>
        </row>
        <row r="19">
          <cell r="N19">
            <v>0.63099759037829095</v>
          </cell>
          <cell r="V19">
            <v>0.64572682496430855</v>
          </cell>
          <cell r="AI19">
            <v>1.3690337308247535E-4</v>
          </cell>
          <cell r="AL19">
            <v>95.222706247308395</v>
          </cell>
          <cell r="BB19">
            <v>-1.7138748864553577E-5</v>
          </cell>
          <cell r="BN19">
            <v>96.10185615397252</v>
          </cell>
          <cell r="CD19">
            <v>8.4051239856997029E-6</v>
          </cell>
        </row>
        <row r="20">
          <cell r="N20">
            <v>0.65179743833502279</v>
          </cell>
          <cell r="V20">
            <v>0.66131018665900421</v>
          </cell>
          <cell r="AI20">
            <v>1.5273337372612161E-5</v>
          </cell>
          <cell r="AL20">
            <v>95.204952253641636</v>
          </cell>
          <cell r="BB20">
            <v>-1.5628026261982342E-5</v>
          </cell>
          <cell r="BN20">
            <v>95.744897615074407</v>
          </cell>
          <cell r="CD20">
            <v>-6.851721578993164E-6</v>
          </cell>
        </row>
        <row r="21">
          <cell r="N21">
            <v>0.67037575190999166</v>
          </cell>
          <cell r="V21">
            <v>0.67513444358617225</v>
          </cell>
          <cell r="AI21">
            <v>4.8274705344297786E-6</v>
          </cell>
          <cell r="AL21">
            <v>95.189917440914869</v>
          </cell>
          <cell r="BB21">
            <v>-1.4227890032803003E-5</v>
          </cell>
          <cell r="BN21">
            <v>95.428813295943925</v>
          </cell>
          <cell r="CD21">
            <v>-2.8518632122498389E-5</v>
          </cell>
        </row>
        <row r="22">
          <cell r="N22">
            <v>0.60438058636222736</v>
          </cell>
          <cell r="V22">
            <v>0.625</v>
          </cell>
          <cell r="AI22">
            <v>4.7133197667026394E-4</v>
          </cell>
          <cell r="AL22">
            <v>95.301222836665232</v>
          </cell>
          <cell r="BB22">
            <v>-2.1186658094585198E-5</v>
          </cell>
          <cell r="BN22">
            <v>95.316090134146435</v>
          </cell>
          <cell r="CD22">
            <v>-2.2033440794100301E-5</v>
          </cell>
        </row>
        <row r="23">
          <cell r="N23">
            <v>0.62312423374568993</v>
          </cell>
          <cell r="V23">
            <v>0.63981731614013759</v>
          </cell>
          <cell r="AI23">
            <v>2.7498559695970926E-4</v>
          </cell>
          <cell r="AL23">
            <v>95.284821768375735</v>
          </cell>
          <cell r="BB23">
            <v>-2.0320641891391489E-5</v>
          </cell>
          <cell r="BN23">
            <v>96.277449885776491</v>
          </cell>
          <cell r="CD23">
            <v>1.2338868971006889E-4</v>
          </cell>
        </row>
        <row r="24">
          <cell r="N24">
            <v>0.640179038332647</v>
          </cell>
          <cell r="V24">
            <v>0.65318662849337294</v>
          </cell>
          <cell r="AI24">
            <v>1.1305524316718163E-4</v>
          </cell>
          <cell r="AL24">
            <v>95.270527643298863</v>
          </cell>
          <cell r="BB24">
            <v>-1.9419202135217972E-5</v>
          </cell>
          <cell r="BN24">
            <v>95.996170020338255</v>
          </cell>
          <cell r="CD24">
            <v>3.2754676893009815E-4</v>
          </cell>
        </row>
        <row r="25">
          <cell r="N25">
            <v>0.65576234505675857</v>
          </cell>
          <cell r="V25">
            <v>0.66532110823470147</v>
          </cell>
          <cell r="AI25">
            <v>2.1492314261628565E-5</v>
          </cell>
          <cell r="AL25">
            <v>95.257966192977804</v>
          </cell>
          <cell r="BB25">
            <v>-1.8516186778283483E-5</v>
          </cell>
          <cell r="BN25">
            <v>95.739750817402012</v>
          </cell>
          <cell r="CD25">
            <v>-6.509950800648312E-6</v>
          </cell>
        </row>
        <row r="26">
          <cell r="N26">
            <v>0.67005594629896259</v>
          </cell>
          <cell r="V26">
            <v>0.67639320225002109</v>
          </cell>
          <cell r="AI26">
            <v>3.8397707236015322E-7</v>
          </cell>
          <cell r="AL26">
            <v>95.246845752880361</v>
          </cell>
          <cell r="BB26">
            <v>-1.7632768578579316E-5</v>
          </cell>
          <cell r="BN26">
            <v>95.505433864300429</v>
          </cell>
          <cell r="CD26">
            <v>-2.3293185075212719E-5</v>
          </cell>
        </row>
        <row r="27">
          <cell r="N27">
            <v>0.68321301439733206</v>
          </cell>
          <cell r="V27">
            <v>0.6865440145259124</v>
          </cell>
          <cell r="AI27">
            <v>1.6932824475901498E-5</v>
          </cell>
          <cell r="AL27">
            <v>95.236936122526657</v>
          </cell>
          <cell r="BB27">
            <v>-1.6781708855884148E-5</v>
          </cell>
          <cell r="BN27">
            <v>95.290798352695859</v>
          </cell>
          <cell r="CD27">
            <v>-2.0889489527053939E-5</v>
          </cell>
        </row>
        <row r="28">
          <cell r="N28">
            <v>0.69536348715856944</v>
          </cell>
          <cell r="V28">
            <v>0.69589019273529862</v>
          </cell>
          <cell r="AI28">
            <v>1.0653349313827221E-5</v>
          </cell>
          <cell r="AL28">
            <v>95.22805350613217</v>
          </cell>
          <cell r="BB28">
            <v>-1.5970221006744723E-5</v>
          </cell>
          <cell r="BN28">
            <v>96.238270799548545</v>
          </cell>
          <cell r="CD28">
            <v>7.6982681895820804E-5</v>
          </cell>
        </row>
        <row r="29">
          <cell r="N29">
            <v>0.70661830094833034</v>
          </cell>
          <cell r="V29">
            <v>0.70452906420379469</v>
          </cell>
          <cell r="AI29">
            <v>-3.2206077305030334E-5</v>
          </cell>
          <cell r="AL29">
            <v>95.22004870509933</v>
          </cell>
          <cell r="BB29">
            <v>-1.52017983756636E-5</v>
          </cell>
          <cell r="BN29">
            <v>96.074630532166708</v>
          </cell>
          <cell r="CD29">
            <v>3.9435438525803335E-6</v>
          </cell>
        </row>
        <row r="30">
          <cell r="N30">
            <v>0.7170727362520104</v>
          </cell>
          <cell r="V30">
            <v>0.71254252143473507</v>
          </cell>
          <cell r="AI30">
            <v>-2.2372308394746909E-5</v>
          </cell>
          <cell r="AL30">
            <v>95.212798465055627</v>
          </cell>
          <cell r="BB30">
            <v>-1.4477431198312019E-5</v>
          </cell>
          <cell r="BN30">
            <v>95.922921155706575</v>
          </cell>
          <cell r="CD30">
            <v>9.2194476414286797E-5</v>
          </cell>
        </row>
        <row r="31">
          <cell r="N31">
            <v>0.72680904366290455</v>
          </cell>
          <cell r="V31">
            <v>0.72</v>
          </cell>
          <cell r="AI31">
            <v>-8.826867015088169E-7</v>
          </cell>
          <cell r="AL31">
            <v>95.206202650377804</v>
          </cell>
          <cell r="BB31">
            <v>-1.3796737086124722E-5</v>
          </cell>
          <cell r="BN31">
            <v>95.782008268335417</v>
          </cell>
          <cell r="CD31">
            <v>-3.8033589611075058E-6</v>
          </cell>
        </row>
        <row r="32">
          <cell r="N32">
            <v>0.68454424196854025</v>
          </cell>
          <cell r="V32">
            <v>0.68849924947720054</v>
          </cell>
          <cell r="AI32">
            <v>1.679908379070838E-5</v>
          </cell>
          <cell r="AL32">
            <v>95.271626556121404</v>
          </cell>
          <cell r="BB32">
            <v>-1.7561224752160598E-5</v>
          </cell>
          <cell r="BN32">
            <v>95.712846524790294</v>
          </cell>
          <cell r="CD32">
            <v>-7.6275687432847405E-6</v>
          </cell>
        </row>
        <row r="33">
          <cell r="N33">
            <v>0.69459693030832115</v>
          </cell>
          <cell r="V33">
            <v>0.69643879915901352</v>
          </cell>
          <cell r="AI33">
            <v>2.7838708671623635E-5</v>
          </cell>
          <cell r="AL33">
            <v>95.264590209265066</v>
          </cell>
          <cell r="BB33">
            <v>-1.6990578916020738E-5</v>
          </cell>
          <cell r="BN33">
            <v>95.558060565221467</v>
          </cell>
          <cell r="CD33">
            <v>-1.8229552339876776E-5</v>
          </cell>
        </row>
        <row r="34">
          <cell r="N34">
            <v>0.70403097213211008</v>
          </cell>
          <cell r="V34">
            <v>0.70387490635252936</v>
          </cell>
          <cell r="AI34">
            <v>-5.3229715080149731E-6</v>
          </cell>
          <cell r="AL34">
            <v>95.258124650283193</v>
          </cell>
          <cell r="BB34">
            <v>-1.6437564198668042E-5</v>
          </cell>
          <cell r="BN34">
            <v>95.413142984155215</v>
          </cell>
          <cell r="CD34">
            <v>-2.245733315975329E-5</v>
          </cell>
        </row>
        <row r="35">
          <cell r="N35">
            <v>0.71290153939905387</v>
          </cell>
          <cell r="V35">
            <v>0.71085638596087919</v>
          </cell>
          <cell r="AI35">
            <v>-4.3082776512992638E-5</v>
          </cell>
          <cell r="AL35">
            <v>95.252163526131483</v>
          </cell>
          <cell r="BB35">
            <v>-1.5904023237256482E-5</v>
          </cell>
          <cell r="BN35">
            <v>95.277246975875158</v>
          </cell>
          <cell r="CD35">
            <v>-1.7593507595226043E-5</v>
          </cell>
        </row>
        <row r="36">
          <cell r="N36">
            <v>0.72125746608357033</v>
          </cell>
          <cell r="V36">
            <v>0.71742581416494466</v>
          </cell>
          <cell r="AI36">
            <v>-3.9848968069744473E-5</v>
          </cell>
          <cell r="AL36">
            <v>95.24665007226362</v>
          </cell>
          <cell r="BB36">
            <v>-1.5390942048609801E-5</v>
          </cell>
          <cell r="BN36">
            <v>96.167017019687023</v>
          </cell>
          <cell r="CD36">
            <v>2.3936434861981937E-5</v>
          </cell>
        </row>
        <row r="37">
          <cell r="N37">
            <v>0.7291421184118545</v>
          </cell>
          <cell r="V37">
            <v>0.72362050442483794</v>
          </cell>
          <cell r="AI37">
            <v>-1.7005971297834321E-5</v>
          </cell>
          <cell r="AL37">
            <v>95.241536379907728</v>
          </cell>
          <cell r="BB37">
            <v>-1.4898764832960154E-5</v>
          </cell>
          <cell r="BN37">
            <v>96.058316797618545</v>
          </cell>
          <cell r="CD37">
            <v>2.172082874674075E-6</v>
          </cell>
        </row>
        <row r="38">
          <cell r="N38">
            <v>0.73659414202062556</v>
          </cell>
          <cell r="V38">
            <v>0.72947330470336313</v>
          </cell>
          <cell r="AI38">
            <v>-2.5244900614396215E-7</v>
          </cell>
          <cell r="AL38">
            <v>95.236781204532036</v>
          </cell>
          <cell r="BB38">
            <v>-1.4427507993852728E-5</v>
          </cell>
          <cell r="BN38">
            <v>95.955659967245978</v>
          </cell>
          <cell r="CD38">
            <v>3.6487436683163565E-6</v>
          </cell>
        </row>
        <row r="39">
          <cell r="N39">
            <v>0.74364808432950247</v>
          </cell>
          <cell r="V39">
            <v>0.73501325313521115</v>
          </cell>
          <cell r="AI39">
            <v>-1.8600488482789501E-5</v>
          </cell>
          <cell r="AL39">
            <v>95.232348864603694</v>
          </cell>
          <cell r="BB39">
            <v>-1.3976887647260128E-5</v>
          </cell>
          <cell r="BN39">
            <v>95.858509831949831</v>
          </cell>
          <cell r="CD39">
            <v>7.9693246696210807E-4</v>
          </cell>
        </row>
        <row r="40">
          <cell r="N40">
            <v>0.75033492151200032</v>
          </cell>
          <cell r="V40">
            <v>0.7402661207398441</v>
          </cell>
          <cell r="AI40">
            <v>-1.0351209212000612E-4</v>
          </cell>
          <cell r="AL40">
            <v>95.228208348972657</v>
          </cell>
          <cell r="BB40">
            <v>-1.3546413768494858E-5</v>
          </cell>
          <cell r="BN40">
            <v>95.766686930518077</v>
          </cell>
          <cell r="CD40">
            <v>-4.0483894570009227E-6</v>
          </cell>
        </row>
        <row r="41">
          <cell r="N41">
            <v>0.7566825065911833</v>
          </cell>
          <cell r="V41">
            <v>0.7452548633400109</v>
          </cell>
          <cell r="AI41">
            <v>-2.8816508679252451E-4</v>
          </cell>
          <cell r="AL41">
            <v>95.224332588605151</v>
          </cell>
          <cell r="BB41">
            <v>-1.313545924808146E-5</v>
          </cell>
          <cell r="BN41">
            <v>95.679570217441466</v>
          </cell>
          <cell r="CD41">
            <v>-9.3255590194463167E-6</v>
          </cell>
        </row>
        <row r="42">
          <cell r="N42">
            <v>0.72590733555911169</v>
          </cell>
          <cell r="V42">
            <v>0.72222222222222221</v>
          </cell>
          <cell r="AI42">
            <v>-5.2438687947464757E-5</v>
          </cell>
          <cell r="AL42">
            <v>95.269931959536422</v>
          </cell>
          <cell r="BB42">
            <v>-1.5340326064983145E-5</v>
          </cell>
          <cell r="BN42">
            <v>95.663660099114296</v>
          </cell>
          <cell r="CD42">
            <v>-9.8051818053779272E-6</v>
          </cell>
        </row>
        <row r="43">
          <cell r="N43">
            <v>0.7324924616724543</v>
          </cell>
          <cell r="V43">
            <v>0.72749290458653459</v>
          </cell>
          <cell r="AI43">
            <v>-3.2512486980440514E-5</v>
          </cell>
          <cell r="AL43">
            <v>95.265859195615164</v>
          </cell>
          <cell r="BB43">
            <v>-1.496957793833964E-5</v>
          </cell>
          <cell r="BN43">
            <v>95.569328531545281</v>
          </cell>
          <cell r="CD43">
            <v>-1.5424434451905E-5</v>
          </cell>
        </row>
        <row r="44">
          <cell r="N44">
            <v>0.73876957378649477</v>
          </cell>
          <cell r="V44">
            <v>0.73251542097450062</v>
          </cell>
          <cell r="AI44">
            <v>-9.9106838846729772E-6</v>
          </cell>
          <cell r="AL44">
            <v>95.262026192217775</v>
          </cell>
          <cell r="BB44">
            <v>-1.4610660376002116E-5</v>
          </cell>
          <cell r="BN44">
            <v>95.479515800442712</v>
          </cell>
          <cell r="CD44">
            <v>-1.8896438025439721E-5</v>
          </cell>
        </row>
        <row r="45">
          <cell r="N45">
            <v>0.74475971067018765</v>
          </cell>
          <cell r="V45">
            <v>0.73730774363081031</v>
          </cell>
          <cell r="AI45">
            <v>-7.0209671410026431E-8</v>
          </cell>
          <cell r="AL45">
            <v>95.258412739954466</v>
          </cell>
          <cell r="BB45">
            <v>-1.426358858802601E-5</v>
          </cell>
          <cell r="BN45">
            <v>95.393921319974723</v>
          </cell>
          <cell r="CD45">
            <v>-1.9356925534674829E-5</v>
          </cell>
        </row>
        <row r="46">
          <cell r="N46">
            <v>0.75048204513129047</v>
          </cell>
          <cell r="V46">
            <v>0.74188611699158102</v>
          </cell>
          <cell r="AI46">
            <v>-1.968928997619912E-5</v>
          </cell>
          <cell r="AL46">
            <v>95.255000882461687</v>
          </cell>
          <cell r="BB46">
            <v>-1.3928267039720055E-5</v>
          </cell>
          <cell r="BN46">
            <v>95.312268552678546</v>
          </cell>
          <cell r="CD46">
            <v>-1.6943823372139732E-5</v>
          </cell>
        </row>
        <row r="47">
          <cell r="N47">
            <v>0.75595408545164455</v>
          </cell>
          <cell r="V47">
            <v>0.74626526250163783</v>
          </cell>
          <cell r="AI47">
            <v>-8.642004900583089E-5</v>
          </cell>
          <cell r="AL47">
            <v>95.251774615560208</v>
          </cell>
          <cell r="BB47">
            <v>-1.3604513321441303E-5</v>
          </cell>
          <cell r="BN47">
            <v>96.137642459921651</v>
          </cell>
          <cell r="CD47">
            <v>1.2385305697693028E-5</v>
          </cell>
        </row>
        <row r="48">
          <cell r="N48">
            <v>0.76119185142035506</v>
          </cell>
          <cell r="V48">
            <v>0.75045855479981283</v>
          </cell>
          <cell r="AI48">
            <v>-2.1860209098445438E-4</v>
          </cell>
          <cell r="AL48">
            <v>95.248719632776314</v>
          </cell>
          <cell r="BB48">
            <v>-1.3292084627414269E-5</v>
          </cell>
          <cell r="BN48">
            <v>96.069806477047905</v>
          </cell>
          <cell r="CD48">
            <v>2.6337062253301013E-6</v>
          </cell>
        </row>
        <row r="49">
          <cell r="N49">
            <v>0.76621002860132903</v>
          </cell>
          <cell r="V49">
            <v>0.75447817385344185</v>
          </cell>
          <cell r="AI49">
            <v>-4.3503343166717556E-4</v>
          </cell>
          <cell r="AL49">
            <v>95.245823109171411</v>
          </cell>
          <cell r="BB49">
            <v>-1.299069610216641E-5</v>
          </cell>
          <cell r="BN49">
            <v>96.004793895678276</v>
          </cell>
          <cell r="CD49">
            <v>3.1391342403264133E-4</v>
          </cell>
        </row>
        <row r="50">
          <cell r="N50">
            <v>0.77102210389310466</v>
          </cell>
          <cell r="V50">
            <v>0.7583352368020273</v>
          </cell>
          <cell r="AI50">
            <v>-7.5477504762888614E-4</v>
          </cell>
          <cell r="AL50">
            <v>95.243073516974292</v>
          </cell>
          <cell r="BB50">
            <v>-1.2700027918199908E-5</v>
          </cell>
          <cell r="BN50">
            <v>95.942543502805279</v>
          </cell>
          <cell r="CD50">
            <v>5.1817218849059543E-6</v>
          </cell>
        </row>
        <row r="51">
          <cell r="N51">
            <v>0.77564060513051258</v>
          </cell>
          <cell r="V51">
            <v>0.76203991261112514</v>
          </cell>
          <cell r="AI51">
            <v>-2.4415358623741668E-8</v>
          </cell>
          <cell r="AL51">
            <v>95.240444834145151</v>
          </cell>
          <cell r="BB51">
            <v>-1.2418785361179019E-5</v>
          </cell>
          <cell r="BN51">
            <v>95.882746836800635</v>
          </cell>
          <cell r="CD51">
            <v>3.7605120001282799E-4</v>
          </cell>
        </row>
        <row r="52">
          <cell r="N52">
            <v>0.75157574796483695</v>
          </cell>
          <cell r="V52">
            <v>0.74386239167118973</v>
          </cell>
          <cell r="AI52">
            <v>-1.0867295952010636E-6</v>
          </cell>
          <cell r="AL52">
            <v>95.27499725654539</v>
          </cell>
          <cell r="BB52">
            <v>-1.3822988198519681E-5</v>
          </cell>
          <cell r="BN52">
            <v>95.907291502672237</v>
          </cell>
          <cell r="CD52">
            <v>1.5502662115141064E-4</v>
          </cell>
        </row>
        <row r="53">
          <cell r="N53">
            <v>0.75636724270243139</v>
          </cell>
          <cell r="V53">
            <v>0.74775202977870114</v>
          </cell>
          <cell r="AI53">
            <v>-2.2427580237405209E-5</v>
          </cell>
          <cell r="AL53">
            <v>95.272275644250584</v>
          </cell>
          <cell r="BB53">
            <v>-1.3562267253686144E-5</v>
          </cell>
          <cell r="BN53">
            <v>95.843361477024558</v>
          </cell>
          <cell r="CD53">
            <v>8.5490551260392067E-4</v>
          </cell>
        </row>
        <row r="54">
          <cell r="N54">
            <v>0.76097790401279564</v>
          </cell>
          <cell r="V54">
            <v>0.75149576603592694</v>
          </cell>
          <cell r="AI54">
            <v>-7.9341022030110508E-5</v>
          </cell>
          <cell r="AL54">
            <v>95.269680129694777</v>
          </cell>
          <cell r="BB54">
            <v>-1.3308894680763572E-5</v>
          </cell>
          <cell r="BN54">
            <v>95.782051944385927</v>
          </cell>
          <cell r="CD54">
            <v>-2.6730491708981674E-6</v>
          </cell>
        </row>
        <row r="55">
          <cell r="N55">
            <v>0.76541774657170802</v>
          </cell>
          <cell r="V55">
            <v>0.75510204081632648</v>
          </cell>
          <cell r="AI55">
            <v>-1.8290331760262291E-4</v>
          </cell>
          <cell r="AL55">
            <v>95.267202402076563</v>
          </cell>
          <cell r="BB55">
            <v>-1.3062753462245169E-5</v>
          </cell>
          <cell r="BN55">
            <v>95.722932626142807</v>
          </cell>
          <cell r="CD55">
            <v>-5.2899848945742178E-6</v>
          </cell>
        </row>
        <row r="56">
          <cell r="N56">
            <v>0.7696960614439744</v>
          </cell>
          <cell r="V56">
            <v>0.75857864376269046</v>
          </cell>
          <cell r="AI56">
            <v>-3.4439893698001711E-4</v>
          </cell>
          <cell r="AL56">
            <v>95.264834891209404</v>
          </cell>
          <cell r="BB56">
            <v>-1.2823705097808613E-5</v>
          </cell>
          <cell r="BN56">
            <v>95.665988821298356</v>
          </cell>
          <cell r="CD56">
            <v>-8.2546882662626331E-6</v>
          </cell>
        </row>
        <row r="57">
          <cell r="N57">
            <v>0.78344498426074005</v>
          </cell>
          <cell r="V57">
            <v>0.77090055512641942</v>
          </cell>
          <cell r="AI57">
            <v>-9.9484738264044026E-4</v>
          </cell>
          <cell r="AL57">
            <v>95.274460928409127</v>
          </cell>
          <cell r="BB57">
            <v>-1.1930092344569765E-5</v>
          </cell>
          <cell r="BN57">
            <v>95.291735004976346</v>
          </cell>
          <cell r="CD57">
            <v>-1.2657133716120761E-5</v>
          </cell>
        </row>
        <row r="58">
          <cell r="N58">
            <v>0.80206133771475663</v>
          </cell>
          <cell r="V58">
            <v>0.78819660112501055</v>
          </cell>
          <cell r="AI58">
            <v>-8.547068608422137E-8</v>
          </cell>
          <cell r="AL58">
            <v>95.291634257052749</v>
          </cell>
          <cell r="BB58">
            <v>-1.0537094155549376E-5</v>
          </cell>
          <cell r="BN58">
            <v>95.662193813615644</v>
          </cell>
          <cell r="CD58">
            <v>-6.3264301713994442E-6</v>
          </cell>
        </row>
        <row r="59">
          <cell r="N59">
            <v>0.81427580606728323</v>
          </cell>
          <cell r="V59">
            <v>0.8</v>
          </cell>
          <cell r="AI59">
            <v>-1.7642659555505702E-7</v>
          </cell>
          <cell r="AL59">
            <v>95.306034545509945</v>
          </cell>
          <cell r="BB59">
            <v>-9.4856881377447522E-6</v>
          </cell>
          <cell r="BN59">
            <v>95.504933365607371</v>
          </cell>
          <cell r="CD59">
            <v>-1.016051842661625E-5</v>
          </cell>
        </row>
        <row r="60">
          <cell r="N60">
            <v>0.84274249594503481</v>
          </cell>
          <cell r="V60">
            <v>0.8292893218813453</v>
          </cell>
          <cell r="AI60">
            <v>-3.5162966982582589E-7</v>
          </cell>
          <cell r="AL60">
            <v>95.352194870679782</v>
          </cell>
          <cell r="BB60">
            <v>-6.550271984540057E-6</v>
          </cell>
          <cell r="BN60">
            <v>95.697798191375654</v>
          </cell>
          <cell r="CD60">
            <v>-2.6414479145642211E-6</v>
          </cell>
        </row>
        <row r="61">
          <cell r="N61">
            <v>0.86568979149854175</v>
          </cell>
          <cell r="V61">
            <v>0.85527864045000423</v>
          </cell>
          <cell r="AI61">
            <v>-4.1301850828290299E-8</v>
          </cell>
          <cell r="AL61">
            <v>95.4070785096973</v>
          </cell>
          <cell r="BB61">
            <v>-3.7672357316997918E-6</v>
          </cell>
          <cell r="BN61">
            <v>95.608165358377519</v>
          </cell>
          <cell r="CD61">
            <v>-2.5152851468313031E-6</v>
          </cell>
        </row>
        <row r="62">
          <cell r="N62">
            <v>0.8764126942769026</v>
          </cell>
          <cell r="V62">
            <v>0.86837722339831624</v>
          </cell>
          <cell r="AI62">
            <v>-3.1431188513009189E-4</v>
          </cell>
          <cell r="AL62">
            <v>95.44018616695098</v>
          </cell>
          <cell r="BB62">
            <v>-2.4430618361659384E-6</v>
          </cell>
          <cell r="BN62">
            <v>95.507569810664222</v>
          </cell>
          <cell r="CD62">
            <v>-2.254442261345746E-6</v>
          </cell>
        </row>
        <row r="63">
          <cell r="N63">
            <v>0.88365512437912996</v>
          </cell>
          <cell r="V63">
            <v>0.87763932022500213</v>
          </cell>
          <cell r="AI63">
            <v>2.1965107510624193E-7</v>
          </cell>
          <cell r="AL63">
            <v>95.464884371095607</v>
          </cell>
          <cell r="BB63">
            <v>7.8731407391133268E-4</v>
          </cell>
          <cell r="BN63">
            <v>95.656129564336027</v>
          </cell>
          <cell r="CD63">
            <v>4.5057802987996665E-4</v>
          </cell>
        </row>
        <row r="64">
          <cell r="N64">
            <v>0.8898481992551821</v>
          </cell>
          <cell r="V64">
            <v>0.88585786437626912</v>
          </cell>
          <cell r="AI64">
            <v>1.1774778929662943E-6</v>
          </cell>
          <cell r="AL64">
            <v>95.489365764452998</v>
          </cell>
          <cell r="BB64">
            <v>4.5764384150326354E-4</v>
          </cell>
          <cell r="BN64">
            <v>95.587331318523255</v>
          </cell>
          <cell r="CD64">
            <v>3.5814341251515225E-4</v>
          </cell>
        </row>
        <row r="65">
          <cell r="N65">
            <v>0.89288721965212603</v>
          </cell>
          <cell r="V65">
            <v>0.89</v>
          </cell>
          <cell r="AI65">
            <v>1.9561378072907587E-6</v>
          </cell>
          <cell r="AL65">
            <v>95.502283423525896</v>
          </cell>
          <cell r="BB65">
            <v>3.0872219333125811E-4</v>
          </cell>
          <cell r="BN65">
            <v>95.562576271671702</v>
          </cell>
          <cell r="CD65">
            <v>2.6707916777734403E-4</v>
          </cell>
        </row>
        <row r="66">
          <cell r="N66">
            <v>0.89685796469616708</v>
          </cell>
          <cell r="V66">
            <v>0.8955278640450004</v>
          </cell>
          <cell r="AI66">
            <v>1.1779688335877836E-8</v>
          </cell>
          <cell r="AL66">
            <v>95.520123649589195</v>
          </cell>
          <cell r="BB66">
            <v>1.2898232259464168E-4</v>
          </cell>
          <cell r="BN66">
            <v>95.551285532801472</v>
          </cell>
          <cell r="CD66">
            <v>1.1950670335313454E-4</v>
          </cell>
        </row>
        <row r="67">
          <cell r="N67">
            <v>0.89778472858831571</v>
          </cell>
          <cell r="V67">
            <v>0.89683772233983161</v>
          </cell>
          <cell r="AI67">
            <v>-7.2278300677908192E-5</v>
          </cell>
          <cell r="AL67">
            <v>95.524452019591735</v>
          </cell>
          <cell r="BB67">
            <v>8.9661811452854123E-5</v>
          </cell>
          <cell r="BN67">
            <v>95.537822464132205</v>
          </cell>
          <cell r="CD67">
            <v>8.6854117676161274E-5</v>
          </cell>
        </row>
      </sheetData>
      <sheetData sheetId="3" refreshError="1"/>
      <sheetData sheetId="4">
        <row r="5">
          <cell r="O5">
            <v>2.2464975198956886E-3</v>
          </cell>
          <cell r="P5">
            <v>0.1</v>
          </cell>
          <cell r="T5">
            <v>2.1333351492652072E-6</v>
          </cell>
        </row>
        <row r="6">
          <cell r="O6">
            <v>0.15614771340562014</v>
          </cell>
          <cell r="P6">
            <v>0.1</v>
          </cell>
          <cell r="T6">
            <v>-3.0626747912028031E-9</v>
          </cell>
        </row>
        <row r="7">
          <cell r="O7">
            <v>0.26547702079491642</v>
          </cell>
          <cell r="P7">
            <v>0.1</v>
          </cell>
          <cell r="T7">
            <v>-2.7288276168925297E-8</v>
          </cell>
        </row>
        <row r="8">
          <cell r="O8">
            <v>0.34611598930645104</v>
          </cell>
          <cell r="P8">
            <v>0.1</v>
          </cell>
          <cell r="T8">
            <v>-1.9613527804090779E-4</v>
          </cell>
        </row>
        <row r="9">
          <cell r="O9">
            <v>0.40765166463428731</v>
          </cell>
          <cell r="P9">
            <v>0.1</v>
          </cell>
          <cell r="T9">
            <v>1.8086086925862547E-7</v>
          </cell>
        </row>
        <row r="10">
          <cell r="O10">
            <v>0.45599050022073773</v>
          </cell>
          <cell r="P10">
            <v>0.1</v>
          </cell>
          <cell r="T10">
            <v>2.8170056274984185E-8</v>
          </cell>
        </row>
        <row r="11">
          <cell r="O11">
            <v>0.49489838337610453</v>
          </cell>
          <cell r="P11">
            <v>0.1</v>
          </cell>
          <cell r="T11">
            <v>2.6409663953375197E-6</v>
          </cell>
        </row>
        <row r="12">
          <cell r="O12">
            <v>0.52686273184147492</v>
          </cell>
          <cell r="P12">
            <v>0.1</v>
          </cell>
          <cell r="T12">
            <v>4.0109800469349366E-5</v>
          </cell>
        </row>
        <row r="13">
          <cell r="O13">
            <v>0.55358117444763277</v>
          </cell>
          <cell r="P13">
            <v>0.1</v>
          </cell>
          <cell r="T13">
            <v>2.7746322682274167E-4</v>
          </cell>
        </row>
        <row r="14">
          <cell r="O14">
            <v>0.57624670718419402</v>
          </cell>
          <cell r="P14">
            <v>0.1</v>
          </cell>
          <cell r="T14">
            <v>-1.9580877202761085E-8</v>
          </cell>
        </row>
        <row r="15">
          <cell r="O15">
            <v>0.5957197214723936</v>
          </cell>
          <cell r="P15">
            <v>0.1</v>
          </cell>
          <cell r="T15">
            <v>-1.3600110142006783E-7</v>
          </cell>
        </row>
        <row r="16">
          <cell r="O16">
            <v>0.61263501241997753</v>
          </cell>
          <cell r="P16">
            <v>0.1</v>
          </cell>
          <cell r="T16">
            <v>-6.7737264761200952E-7</v>
          </cell>
        </row>
        <row r="17">
          <cell r="O17">
            <v>0.62747049149721046</v>
          </cell>
          <cell r="P17">
            <v>0.1</v>
          </cell>
          <cell r="T17">
            <v>-2.6403988931948297E-6</v>
          </cell>
        </row>
        <row r="18">
          <cell r="O18">
            <v>0.64059244537263926</v>
          </cell>
          <cell r="P18">
            <v>0.1</v>
          </cell>
          <cell r="T18">
            <v>-8.5321535792569818E-6</v>
          </cell>
        </row>
        <row r="19">
          <cell r="O19">
            <v>0.65228611306817785</v>
          </cell>
          <cell r="P19">
            <v>0.1</v>
          </cell>
          <cell r="T19">
            <v>-2.3787818987975515E-5</v>
          </cell>
        </row>
        <row r="20">
          <cell r="O20">
            <v>0.66277680528503335</v>
          </cell>
          <cell r="P20">
            <v>0.1</v>
          </cell>
          <cell r="T20">
            <v>-5.8893473000918008E-5</v>
          </cell>
        </row>
        <row r="21">
          <cell r="O21">
            <v>0.67224478755895822</v>
          </cell>
          <cell r="P21">
            <v>0.1</v>
          </cell>
          <cell r="T21">
            <v>-1.3228119478413204E-4</v>
          </cell>
        </row>
        <row r="22">
          <cell r="O22">
            <v>0.68083596151008352</v>
          </cell>
          <cell r="P22">
            <v>0.1</v>
          </cell>
          <cell r="T22">
            <v>-2.739911382532705E-4</v>
          </cell>
        </row>
        <row r="23">
          <cell r="O23">
            <v>0.68866966324050227</v>
          </cell>
          <cell r="P23">
            <v>0.1</v>
          </cell>
          <cell r="T23">
            <v>-1.9538729061631077E-4</v>
          </cell>
        </row>
        <row r="24">
          <cell r="O24">
            <v>0.69584442424734838</v>
          </cell>
          <cell r="P24">
            <v>0.1</v>
          </cell>
          <cell r="T24">
            <v>-1.0114103010044206E-4</v>
          </cell>
        </row>
        <row r="25">
          <cell r="O25">
            <v>0.70244231704815341</v>
          </cell>
          <cell r="P25">
            <v>0.1</v>
          </cell>
          <cell r="T25">
            <v>-4.5932133260865803E-5</v>
          </cell>
        </row>
        <row r="26">
          <cell r="O26">
            <v>0.70853225123940455</v>
          </cell>
          <cell r="P26">
            <v>0.1</v>
          </cell>
          <cell r="T26">
            <v>-1.746407673205417E-5</v>
          </cell>
        </row>
        <row r="27">
          <cell r="O27">
            <v>0.71417250981536873</v>
          </cell>
          <cell r="P27">
            <v>0.1</v>
          </cell>
          <cell r="T27">
            <v>-5.1107751718880667E-6</v>
          </cell>
        </row>
        <row r="28">
          <cell r="O28">
            <v>0.71941272255881028</v>
          </cell>
          <cell r="P28">
            <v>0.1</v>
          </cell>
          <cell r="T28">
            <v>-9.6892534214367794E-7</v>
          </cell>
        </row>
        <row r="29">
          <cell r="O29">
            <v>0.72429541611632897</v>
          </cell>
          <cell r="P29">
            <v>0.1</v>
          </cell>
          <cell r="T29">
            <v>-7.6001218892975885E-8</v>
          </cell>
        </row>
        <row r="30">
          <cell r="O30">
            <v>0.7288572443010054</v>
          </cell>
          <cell r="P30">
            <v>0.1</v>
          </cell>
          <cell r="T30">
            <v>1.3316297630082744E-4</v>
          </cell>
        </row>
        <row r="31">
          <cell r="O31">
            <v>0.73312996140313547</v>
          </cell>
          <cell r="P31">
            <v>0.1</v>
          </cell>
          <cell r="T31">
            <v>-1.4619907448708137E-4</v>
          </cell>
        </row>
        <row r="32">
          <cell r="O32">
            <v>0.7371412370581728</v>
          </cell>
          <cell r="P32">
            <v>0.1</v>
          </cell>
          <cell r="T32">
            <v>8.138243364070884E-8</v>
          </cell>
        </row>
        <row r="33">
          <cell r="O33">
            <v>0.74091526793824825</v>
          </cell>
          <cell r="P33">
            <v>0.1</v>
          </cell>
          <cell r="T33">
            <v>1.0388385887394152E-6</v>
          </cell>
        </row>
        <row r="34">
          <cell r="O34">
            <v>0.7444733269145406</v>
          </cell>
          <cell r="P34">
            <v>0.1</v>
          </cell>
          <cell r="T34">
            <v>5.5562450753906147E-6</v>
          </cell>
        </row>
        <row r="35">
          <cell r="O35">
            <v>0.74783418598797446</v>
          </cell>
          <cell r="P35">
            <v>0.1</v>
          </cell>
          <cell r="T35">
            <v>1.9396232657885381E-5</v>
          </cell>
        </row>
        <row r="36">
          <cell r="O36">
            <v>0.75101447595725568</v>
          </cell>
          <cell r="P36">
            <v>0.1</v>
          </cell>
          <cell r="T36">
            <v>5.2484611116384535E-5</v>
          </cell>
        </row>
        <row r="37">
          <cell r="O37">
            <v>0.75402898457838041</v>
          </cell>
          <cell r="P37">
            <v>0.1</v>
          </cell>
          <cell r="T37">
            <v>1.1985649153122992E-4</v>
          </cell>
        </row>
        <row r="38">
          <cell r="O38">
            <v>0.75689090619244825</v>
          </cell>
          <cell r="P38">
            <v>0.1</v>
          </cell>
          <cell r="T38">
            <v>2.4244747633743813E-4</v>
          </cell>
        </row>
        <row r="39">
          <cell r="O39">
            <v>0.75961205179259528</v>
          </cell>
          <cell r="P39">
            <v>0.1</v>
          </cell>
          <cell r="T39">
            <v>4.4772519752546251E-4</v>
          </cell>
        </row>
        <row r="40">
          <cell r="O40">
            <v>0.76220302665615114</v>
          </cell>
          <cell r="P40">
            <v>0.1</v>
          </cell>
          <cell r="T40">
            <v>7.7016401574741427E-4</v>
          </cell>
        </row>
        <row r="41">
          <cell r="O41">
            <v>0.7646733704063835</v>
          </cell>
          <cell r="P41">
            <v>0.1</v>
          </cell>
          <cell r="T41">
            <v>-2.1773481806254664E-8</v>
          </cell>
        </row>
        <row r="42">
          <cell r="O42">
            <v>0.76703172344557957</v>
          </cell>
          <cell r="P42">
            <v>0.1</v>
          </cell>
          <cell r="T42">
            <v>-4.3835048707345803E-8</v>
          </cell>
        </row>
        <row r="43">
          <cell r="O43">
            <v>0.76928588716582003</v>
          </cell>
          <cell r="P43">
            <v>0.1</v>
          </cell>
          <cell r="T43">
            <v>-8.2879775101869042E-8</v>
          </cell>
        </row>
        <row r="44">
          <cell r="O44">
            <v>0.77144294879077879</v>
          </cell>
          <cell r="P44">
            <v>0.1</v>
          </cell>
          <cell r="T44">
            <v>-1.4872977211587723E-7</v>
          </cell>
        </row>
        <row r="45">
          <cell r="O45">
            <v>0.7735093564589518</v>
          </cell>
          <cell r="P45">
            <v>0.1</v>
          </cell>
          <cell r="T45">
            <v>-2.550454306092611E-7</v>
          </cell>
        </row>
        <row r="46">
          <cell r="O46">
            <v>0.77549099016684331</v>
          </cell>
          <cell r="P46">
            <v>0.1</v>
          </cell>
          <cell r="T46">
            <v>-4.2051669925400289E-7</v>
          </cell>
        </row>
        <row r="47">
          <cell r="O47">
            <v>0.77739322343851591</v>
          </cell>
          <cell r="P47">
            <v>0.1</v>
          </cell>
          <cell r="T47">
            <v>-6.6997260226905236E-7</v>
          </cell>
        </row>
        <row r="48">
          <cell r="O48">
            <v>0.77922097710735605</v>
          </cell>
          <cell r="P48">
            <v>0.1</v>
          </cell>
          <cell r="T48">
            <v>-1.0354995489710686E-6</v>
          </cell>
        </row>
        <row r="49">
          <cell r="O49">
            <v>0.78097876636410191</v>
          </cell>
          <cell r="P49">
            <v>0.1</v>
          </cell>
          <cell r="T49">
            <v>-1.5579153654420933E-6</v>
          </cell>
        </row>
        <row r="50">
          <cell r="O50">
            <v>0.78267074203608822</v>
          </cell>
          <cell r="P50">
            <v>0.1</v>
          </cell>
          <cell r="T50">
            <v>-2.2881355828905635E-6</v>
          </cell>
        </row>
        <row r="51">
          <cell r="O51">
            <v>0.78430072690772279</v>
          </cell>
          <cell r="P51">
            <v>0.1</v>
          </cell>
          <cell r="T51">
            <v>-3.2884302514679822E-6</v>
          </cell>
        </row>
        <row r="52">
          <cell r="O52">
            <v>0.79163536754344477</v>
          </cell>
          <cell r="P52">
            <v>0.1</v>
          </cell>
          <cell r="T52">
            <v>-1.5526106484149172E-5</v>
          </cell>
        </row>
        <row r="53">
          <cell r="O53">
            <v>0.79785207171072992</v>
          </cell>
          <cell r="P53">
            <v>0.1</v>
          </cell>
          <cell r="T53">
            <v>-5.3194575798683153E-5</v>
          </cell>
        </row>
        <row r="54">
          <cell r="O54">
            <v>0.81559717333831783</v>
          </cell>
          <cell r="P54">
            <v>0.1</v>
          </cell>
          <cell r="T54">
            <v>-1.6758018532284119E-8</v>
          </cell>
        </row>
        <row r="55">
          <cell r="O55">
            <v>0.82689105435422161</v>
          </cell>
          <cell r="P55">
            <v>0.1</v>
          </cell>
          <cell r="T55">
            <v>-3.4617711753656717E-7</v>
          </cell>
        </row>
        <row r="56">
          <cell r="O56">
            <v>0.85225452825384918</v>
          </cell>
          <cell r="P56">
            <v>0.1</v>
          </cell>
          <cell r="T56">
            <v>2.1738251978977202E-5</v>
          </cell>
        </row>
        <row r="57">
          <cell r="O57">
            <v>0.97149580275269876</v>
          </cell>
          <cell r="P57">
            <v>0.1</v>
          </cell>
          <cell r="T57">
            <v>-59570.943078685741</v>
          </cell>
        </row>
        <row r="58">
          <cell r="O58">
            <v>0.88078326602797985</v>
          </cell>
          <cell r="P58">
            <v>0.1</v>
          </cell>
          <cell r="T58">
            <v>-1.1970723591149677E-7</v>
          </cell>
        </row>
        <row r="59">
          <cell r="O59">
            <v>0.88674437075187518</v>
          </cell>
          <cell r="P59">
            <v>0.1</v>
          </cell>
          <cell r="T59">
            <v>-1.6935227395022663E-7</v>
          </cell>
        </row>
        <row r="60">
          <cell r="O60">
            <v>0.89179816603788431</v>
          </cell>
          <cell r="P60">
            <v>0.1</v>
          </cell>
          <cell r="T60">
            <v>1.5461677762578351E-4</v>
          </cell>
        </row>
        <row r="61">
          <cell r="O61">
            <v>0.89426398292303033</v>
          </cell>
          <cell r="P61">
            <v>0.1</v>
          </cell>
          <cell r="T61">
            <v>-1.1828020761543812E-5</v>
          </cell>
        </row>
        <row r="62">
          <cell r="O62">
            <v>0.89597545581485749</v>
          </cell>
          <cell r="P62">
            <v>0.1</v>
          </cell>
          <cell r="T62">
            <v>-1.3383219906380339E-5</v>
          </cell>
        </row>
        <row r="63">
          <cell r="O63">
            <v>0.90360910432122932</v>
          </cell>
          <cell r="P63">
            <v>0.1</v>
          </cell>
          <cell r="T63">
            <v>-9346.1746031440998</v>
          </cell>
        </row>
        <row r="64">
          <cell r="O64">
            <v>0.90427230149469373</v>
          </cell>
          <cell r="P64">
            <v>0.1</v>
          </cell>
          <cell r="T64">
            <v>-29175.701597439664</v>
          </cell>
        </row>
      </sheetData>
      <sheetData sheetId="5" refreshError="1"/>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Intro"/>
      <sheetName val="Describe"/>
      <sheetName val="Normal"/>
      <sheetName val="Normal and t"/>
      <sheetName val="CIjumping"/>
    </sheetNames>
    <sheetDataSet>
      <sheetData sheetId="0" refreshError="1"/>
      <sheetData sheetId="1">
        <row r="2">
          <cell r="F2">
            <v>46</v>
          </cell>
          <cell r="I2">
            <v>11.2</v>
          </cell>
          <cell r="AC2">
            <v>1</v>
          </cell>
          <cell r="AD2">
            <v>0</v>
          </cell>
        </row>
        <row r="3">
          <cell r="F3">
            <v>39.700000000000003</v>
          </cell>
          <cell r="I3">
            <v>21.2</v>
          </cell>
          <cell r="AC3" t="str">
            <v>X</v>
          </cell>
          <cell r="CG3">
            <v>52</v>
          </cell>
          <cell r="CI3">
            <v>51.3</v>
          </cell>
          <cell r="CJ3">
            <v>48.7</v>
          </cell>
          <cell r="CK3">
            <v>52.7</v>
          </cell>
        </row>
        <row r="4">
          <cell r="F4">
            <v>22.9</v>
          </cell>
          <cell r="I4">
            <v>22.9</v>
          </cell>
          <cell r="AC4">
            <v>46</v>
          </cell>
          <cell r="AD4">
            <v>46</v>
          </cell>
          <cell r="BH4">
            <v>4.4771999999999999E-2</v>
          </cell>
          <cell r="BM4">
            <v>11.2</v>
          </cell>
          <cell r="CG4">
            <v>57.7</v>
          </cell>
          <cell r="CI4">
            <v>45.7</v>
          </cell>
          <cell r="CJ4">
            <v>54.3</v>
          </cell>
          <cell r="CK4">
            <v>59.7</v>
          </cell>
        </row>
        <row r="5">
          <cell r="F5">
            <v>29.7</v>
          </cell>
          <cell r="I5">
            <v>29.7</v>
          </cell>
          <cell r="V5">
            <v>0.99399999999999999</v>
          </cell>
          <cell r="AC5">
            <v>39.700000000000003</v>
          </cell>
          <cell r="AD5">
            <v>39.700000000000003</v>
          </cell>
          <cell r="BM5">
            <v>21.2</v>
          </cell>
          <cell r="CG5">
            <v>58.4</v>
          </cell>
          <cell r="CI5">
            <v>44.8</v>
          </cell>
          <cell r="CJ5">
            <v>55.2</v>
          </cell>
          <cell r="CK5">
            <v>60.4</v>
          </cell>
        </row>
        <row r="6">
          <cell r="F6">
            <v>38.200000000000003</v>
          </cell>
          <cell r="I6">
            <v>30.2</v>
          </cell>
          <cell r="R6">
            <v>5</v>
          </cell>
          <cell r="S6">
            <v>75</v>
          </cell>
          <cell r="V6">
            <v>1.1180000000000001</v>
          </cell>
          <cell r="AC6">
            <v>22.9</v>
          </cell>
          <cell r="AD6">
            <v>22.9</v>
          </cell>
          <cell r="BM6">
            <v>22.9</v>
          </cell>
          <cell r="CG6">
            <v>58.4</v>
          </cell>
          <cell r="CI6">
            <v>44.9</v>
          </cell>
          <cell r="CJ6">
            <v>55.1</v>
          </cell>
          <cell r="CK6">
            <v>60.4</v>
          </cell>
        </row>
        <row r="7">
          <cell r="F7">
            <v>51.3</v>
          </cell>
          <cell r="I7">
            <v>31.5</v>
          </cell>
          <cell r="AC7">
            <v>29.7</v>
          </cell>
          <cell r="AD7">
            <v>29.7</v>
          </cell>
          <cell r="BM7">
            <v>29.7</v>
          </cell>
          <cell r="CG7">
            <v>52.4</v>
          </cell>
          <cell r="CI7">
            <v>50.9</v>
          </cell>
          <cell r="CJ7">
            <v>49.1</v>
          </cell>
          <cell r="CK7">
            <v>53.3</v>
          </cell>
        </row>
        <row r="8">
          <cell r="F8">
            <v>30.2</v>
          </cell>
          <cell r="I8">
            <v>34.9</v>
          </cell>
          <cell r="V8" t="b">
            <v>0</v>
          </cell>
          <cell r="AC8">
            <v>38.200000000000003</v>
          </cell>
          <cell r="AD8">
            <v>38.200000000000003</v>
          </cell>
          <cell r="BM8">
            <v>30.2</v>
          </cell>
          <cell r="CG8">
            <v>57.5</v>
          </cell>
          <cell r="CI8">
            <v>46</v>
          </cell>
          <cell r="CJ8">
            <v>54</v>
          </cell>
          <cell r="CK8">
            <v>59.5</v>
          </cell>
        </row>
        <row r="9">
          <cell r="F9">
            <v>42</v>
          </cell>
          <cell r="I9">
            <v>34.9</v>
          </cell>
          <cell r="V9" t="b">
            <v>0</v>
          </cell>
          <cell r="AC9">
            <v>51.3</v>
          </cell>
          <cell r="AD9">
            <v>51.3</v>
          </cell>
          <cell r="BH9">
            <v>3.4076000000000002E-2</v>
          </cell>
          <cell r="BM9">
            <v>31.5</v>
          </cell>
          <cell r="CG9">
            <v>26.5</v>
          </cell>
          <cell r="CI9">
            <v>60.7</v>
          </cell>
          <cell r="CJ9">
            <v>39.299999999999997</v>
          </cell>
          <cell r="CK9">
            <v>33</v>
          </cell>
        </row>
        <row r="10">
          <cell r="F10">
            <v>34.9</v>
          </cell>
          <cell r="I10">
            <v>36.700000000000003</v>
          </cell>
          <cell r="V10" t="b">
            <v>0</v>
          </cell>
          <cell r="AC10">
            <v>30.2</v>
          </cell>
          <cell r="AD10">
            <v>30.2</v>
          </cell>
          <cell r="BM10">
            <v>34.9</v>
          </cell>
          <cell r="CG10">
            <v>52</v>
          </cell>
          <cell r="CI10">
            <v>51.3</v>
          </cell>
          <cell r="CJ10">
            <v>48.7</v>
          </cell>
          <cell r="CK10">
            <v>52.7</v>
          </cell>
        </row>
        <row r="11">
          <cell r="F11">
            <v>51.3</v>
          </cell>
          <cell r="I11">
            <v>37.299999999999997</v>
          </cell>
          <cell r="T11" t="str">
            <v>10</v>
          </cell>
          <cell r="V11" t="b">
            <v>0</v>
          </cell>
          <cell r="AC11">
            <v>42</v>
          </cell>
          <cell r="AD11">
            <v>42</v>
          </cell>
          <cell r="BM11">
            <v>34.9</v>
          </cell>
          <cell r="CG11">
            <v>57.6</v>
          </cell>
          <cell r="CI11">
            <v>45.8</v>
          </cell>
          <cell r="CJ11">
            <v>54.2</v>
          </cell>
          <cell r="CK11">
            <v>59.6</v>
          </cell>
        </row>
        <row r="12">
          <cell r="F12">
            <v>34.9</v>
          </cell>
          <cell r="I12">
            <v>37.9</v>
          </cell>
          <cell r="V12" t="b">
            <v>1</v>
          </cell>
          <cell r="AC12">
            <v>34.9</v>
          </cell>
          <cell r="AD12">
            <v>34.9</v>
          </cell>
          <cell r="BM12">
            <v>36.700000000000003</v>
          </cell>
          <cell r="CG12">
            <v>52.1</v>
          </cell>
          <cell r="CI12">
            <v>51.2</v>
          </cell>
          <cell r="CJ12">
            <v>48.8</v>
          </cell>
          <cell r="CK12">
            <v>52.9</v>
          </cell>
        </row>
        <row r="13">
          <cell r="F13">
            <v>38.799999999999997</v>
          </cell>
          <cell r="I13">
            <v>38.200000000000003</v>
          </cell>
          <cell r="R13">
            <v>5</v>
          </cell>
          <cell r="AC13">
            <v>51.3</v>
          </cell>
          <cell r="AD13">
            <v>51.3</v>
          </cell>
          <cell r="BH13">
            <v>0.24878</v>
          </cell>
          <cell r="BM13">
            <v>37.299999999999997</v>
          </cell>
          <cell r="CG13">
            <v>41.4</v>
          </cell>
          <cell r="CI13">
            <v>57.2</v>
          </cell>
          <cell r="CJ13">
            <v>42.8</v>
          </cell>
          <cell r="CK13">
            <v>39.5</v>
          </cell>
        </row>
        <row r="14">
          <cell r="F14">
            <v>36.700000000000003</v>
          </cell>
          <cell r="I14">
            <v>38.6</v>
          </cell>
          <cell r="U14" t="b">
            <v>1</v>
          </cell>
          <cell r="V14" t="b">
            <v>0</v>
          </cell>
          <cell r="AC14">
            <v>34.9</v>
          </cell>
          <cell r="AD14">
            <v>34.9</v>
          </cell>
          <cell r="BM14">
            <v>37.9</v>
          </cell>
          <cell r="CG14">
            <v>59.7</v>
          </cell>
          <cell r="CI14">
            <v>43.2</v>
          </cell>
          <cell r="CJ14">
            <v>56.8</v>
          </cell>
          <cell r="CK14">
            <v>61.6</v>
          </cell>
        </row>
        <row r="15">
          <cell r="F15">
            <v>48.2</v>
          </cell>
          <cell r="I15">
            <v>38.700000000000003</v>
          </cell>
          <cell r="AC15">
            <v>38.799999999999997</v>
          </cell>
          <cell r="AD15">
            <v>38.799999999999997</v>
          </cell>
          <cell r="BM15">
            <v>38.200000000000003</v>
          </cell>
          <cell r="CG15">
            <v>42.1</v>
          </cell>
          <cell r="CI15">
            <v>56.9</v>
          </cell>
          <cell r="CJ15">
            <v>43.1</v>
          </cell>
          <cell r="CK15">
            <v>40.1</v>
          </cell>
        </row>
        <row r="16">
          <cell r="F16">
            <v>38.6</v>
          </cell>
          <cell r="I16">
            <v>38.799999999999997</v>
          </cell>
          <cell r="AC16">
            <v>36.700000000000003</v>
          </cell>
          <cell r="AD16">
            <v>36.700000000000003</v>
          </cell>
          <cell r="BM16">
            <v>38.6</v>
          </cell>
          <cell r="CG16">
            <v>45</v>
          </cell>
          <cell r="CI16">
            <v>55.6</v>
          </cell>
          <cell r="CJ16">
            <v>44.4</v>
          </cell>
          <cell r="CK16">
            <v>43.4</v>
          </cell>
        </row>
        <row r="17">
          <cell r="F17">
            <v>37.299999999999997</v>
          </cell>
          <cell r="I17">
            <v>39.6</v>
          </cell>
          <cell r="U17">
            <v>1</v>
          </cell>
          <cell r="AC17">
            <v>48.2</v>
          </cell>
          <cell r="AD17">
            <v>48.2</v>
          </cell>
          <cell r="BH17">
            <v>0.37296000000000001</v>
          </cell>
          <cell r="BM17">
            <v>38.700000000000003</v>
          </cell>
          <cell r="CG17">
            <v>55.9</v>
          </cell>
          <cell r="CI17">
            <v>47.7</v>
          </cell>
          <cell r="CJ17">
            <v>52.3</v>
          </cell>
          <cell r="CK17">
            <v>57.7</v>
          </cell>
        </row>
        <row r="18">
          <cell r="F18">
            <v>47.8</v>
          </cell>
          <cell r="I18">
            <v>39.700000000000003</v>
          </cell>
          <cell r="U18">
            <v>1</v>
          </cell>
          <cell r="AC18">
            <v>38.6</v>
          </cell>
          <cell r="AD18">
            <v>38.6</v>
          </cell>
          <cell r="BM18">
            <v>38.799999999999997</v>
          </cell>
          <cell r="CG18">
            <v>45.4</v>
          </cell>
          <cell r="CI18">
            <v>55.4</v>
          </cell>
          <cell r="CJ18">
            <v>44.6</v>
          </cell>
          <cell r="CK18">
            <v>43.9</v>
          </cell>
        </row>
        <row r="19">
          <cell r="F19">
            <v>41.6</v>
          </cell>
          <cell r="I19">
            <v>41.5</v>
          </cell>
          <cell r="U19">
            <v>7</v>
          </cell>
          <cell r="AC19">
            <v>37.299999999999997</v>
          </cell>
          <cell r="AD19">
            <v>37.299999999999997</v>
          </cell>
          <cell r="BM19">
            <v>39.6</v>
          </cell>
          <cell r="CG19">
            <v>37.5</v>
          </cell>
          <cell r="CI19">
            <v>58.5</v>
          </cell>
          <cell r="CJ19">
            <v>41.5</v>
          </cell>
          <cell r="CK19">
            <v>36.4</v>
          </cell>
        </row>
        <row r="20">
          <cell r="F20">
            <v>47.9</v>
          </cell>
          <cell r="I20">
            <v>41.6</v>
          </cell>
          <cell r="U20" t="b">
            <v>0</v>
          </cell>
          <cell r="AC20">
            <v>47.8</v>
          </cell>
          <cell r="AD20">
            <v>47.8</v>
          </cell>
          <cell r="BH20">
            <v>37.15</v>
          </cell>
          <cell r="BM20">
            <v>39.700000000000003</v>
          </cell>
          <cell r="CG20">
            <v>52.4</v>
          </cell>
          <cell r="CI20">
            <v>50.9</v>
          </cell>
          <cell r="CJ20">
            <v>49.1</v>
          </cell>
          <cell r="CK20">
            <v>53.3</v>
          </cell>
        </row>
        <row r="21">
          <cell r="F21">
            <v>42.4</v>
          </cell>
          <cell r="I21">
            <v>41.8</v>
          </cell>
          <cell r="U21" t="b">
            <v>0</v>
          </cell>
          <cell r="AC21">
            <v>41.6</v>
          </cell>
          <cell r="AD21">
            <v>41.6</v>
          </cell>
          <cell r="BH21">
            <v>47.65</v>
          </cell>
          <cell r="BM21">
            <v>41.5</v>
          </cell>
          <cell r="CG21">
            <v>64.5</v>
          </cell>
          <cell r="CI21">
            <v>35.4</v>
          </cell>
          <cell r="CJ21">
            <v>64.599999999999994</v>
          </cell>
          <cell r="CK21">
            <v>64.8</v>
          </cell>
        </row>
        <row r="22">
          <cell r="F22">
            <v>57.4</v>
          </cell>
          <cell r="I22">
            <v>42</v>
          </cell>
          <cell r="U22" t="b">
            <v>0</v>
          </cell>
          <cell r="AC22">
            <v>47.9</v>
          </cell>
          <cell r="AD22">
            <v>47.9</v>
          </cell>
          <cell r="BH22">
            <v>10.5</v>
          </cell>
          <cell r="BM22">
            <v>41.6</v>
          </cell>
          <cell r="CG22">
            <v>48.8</v>
          </cell>
          <cell r="CI22">
            <v>53.5</v>
          </cell>
          <cell r="CJ22">
            <v>46.5</v>
          </cell>
          <cell r="CK22">
            <v>48.4</v>
          </cell>
        </row>
        <row r="23">
          <cell r="F23">
            <v>41.8</v>
          </cell>
          <cell r="I23">
            <v>42.4</v>
          </cell>
          <cell r="U23" t="b">
            <v>1</v>
          </cell>
          <cell r="AC23">
            <v>42.4</v>
          </cell>
          <cell r="AD23">
            <v>42.4</v>
          </cell>
          <cell r="BH23" t="str">
            <v>Display quartiles</v>
          </cell>
          <cell r="BM23">
            <v>41.8</v>
          </cell>
          <cell r="CG23">
            <v>54.3</v>
          </cell>
          <cell r="CI23">
            <v>49.3</v>
          </cell>
          <cell r="CJ23">
            <v>50.7</v>
          </cell>
          <cell r="CK23">
            <v>55.8</v>
          </cell>
        </row>
        <row r="24">
          <cell r="F24">
            <v>42.4</v>
          </cell>
          <cell r="I24">
            <v>42.4</v>
          </cell>
          <cell r="U24" t="b">
            <v>1</v>
          </cell>
          <cell r="AC24">
            <v>57.4</v>
          </cell>
          <cell r="AD24">
            <v>57.4</v>
          </cell>
          <cell r="BH24" t="b">
            <v>0</v>
          </cell>
          <cell r="BM24">
            <v>42</v>
          </cell>
          <cell r="CG24">
            <v>35.299999999999997</v>
          </cell>
          <cell r="CI24">
            <v>59.1</v>
          </cell>
          <cell r="CJ24">
            <v>40.9</v>
          </cell>
          <cell r="CK24">
            <v>35.1</v>
          </cell>
        </row>
        <row r="25">
          <cell r="F25">
            <v>11.2</v>
          </cell>
          <cell r="I25">
            <v>44.9</v>
          </cell>
          <cell r="U25" t="b">
            <v>1</v>
          </cell>
          <cell r="AC25">
            <v>41.8</v>
          </cell>
          <cell r="AD25">
            <v>41.8</v>
          </cell>
          <cell r="BM25">
            <v>42.4</v>
          </cell>
          <cell r="CG25">
            <v>43.5</v>
          </cell>
          <cell r="CI25">
            <v>56.3</v>
          </cell>
          <cell r="CJ25">
            <v>43.7</v>
          </cell>
          <cell r="CK25">
            <v>41.7</v>
          </cell>
        </row>
        <row r="26">
          <cell r="F26">
            <v>50.6</v>
          </cell>
          <cell r="I26">
            <v>45.9</v>
          </cell>
          <cell r="U26" t="b">
            <v>1</v>
          </cell>
          <cell r="AC26">
            <v>42.4</v>
          </cell>
          <cell r="AD26">
            <v>42.4</v>
          </cell>
          <cell r="BM26">
            <v>42.4</v>
          </cell>
          <cell r="CG26">
            <v>51.5</v>
          </cell>
          <cell r="CI26">
            <v>51.7</v>
          </cell>
          <cell r="CJ26">
            <v>48.3</v>
          </cell>
          <cell r="CK26">
            <v>52</v>
          </cell>
        </row>
        <row r="27">
          <cell r="F27">
            <v>67</v>
          </cell>
          <cell r="I27">
            <v>46</v>
          </cell>
          <cell r="AC27">
            <v>11.2</v>
          </cell>
          <cell r="AD27">
            <v>11.2</v>
          </cell>
          <cell r="BH27">
            <v>20</v>
          </cell>
          <cell r="BM27">
            <v>44.9</v>
          </cell>
          <cell r="CG27">
            <v>42.9</v>
          </cell>
          <cell r="CI27">
            <v>56.6</v>
          </cell>
          <cell r="CJ27">
            <v>43.4</v>
          </cell>
          <cell r="CK27">
            <v>41</v>
          </cell>
        </row>
        <row r="28">
          <cell r="F28">
            <v>45.9</v>
          </cell>
          <cell r="I28">
            <v>47.6</v>
          </cell>
          <cell r="AC28">
            <v>50.6</v>
          </cell>
          <cell r="AD28">
            <v>50.6</v>
          </cell>
          <cell r="BH28">
            <v>20</v>
          </cell>
          <cell r="BM28">
            <v>45.9</v>
          </cell>
          <cell r="CG28">
            <v>42.1</v>
          </cell>
          <cell r="CI28">
            <v>56.9</v>
          </cell>
          <cell r="CJ28">
            <v>43.1</v>
          </cell>
          <cell r="CK28">
            <v>40.1</v>
          </cell>
        </row>
        <row r="29">
          <cell r="F29">
            <v>39.6</v>
          </cell>
          <cell r="I29">
            <v>47.8</v>
          </cell>
          <cell r="AC29">
            <v>67</v>
          </cell>
          <cell r="AD29">
            <v>67</v>
          </cell>
          <cell r="BH29">
            <v>7</v>
          </cell>
          <cell r="BM29">
            <v>46</v>
          </cell>
          <cell r="CG29">
            <v>37.5</v>
          </cell>
          <cell r="CI29">
            <v>58.5</v>
          </cell>
          <cell r="CJ29">
            <v>41.5</v>
          </cell>
          <cell r="CK29">
            <v>36.299999999999997</v>
          </cell>
        </row>
        <row r="30">
          <cell r="F30">
            <v>38.700000000000003</v>
          </cell>
          <cell r="I30">
            <v>47.9</v>
          </cell>
          <cell r="W30" t="b">
            <v>0</v>
          </cell>
          <cell r="AC30">
            <v>45.9</v>
          </cell>
          <cell r="AD30">
            <v>45.9</v>
          </cell>
          <cell r="BH30">
            <v>7</v>
          </cell>
          <cell r="BM30">
            <v>47.6</v>
          </cell>
          <cell r="CG30">
            <v>37.6</v>
          </cell>
          <cell r="CI30">
            <v>58.4</v>
          </cell>
          <cell r="CJ30">
            <v>41.6</v>
          </cell>
          <cell r="CK30">
            <v>36.4</v>
          </cell>
        </row>
        <row r="31">
          <cell r="F31">
            <v>41.5</v>
          </cell>
          <cell r="I31">
            <v>48.2</v>
          </cell>
          <cell r="AC31">
            <v>39.6</v>
          </cell>
          <cell r="AD31">
            <v>39.6</v>
          </cell>
          <cell r="BM31">
            <v>47.8</v>
          </cell>
          <cell r="CG31">
            <v>52.2</v>
          </cell>
          <cell r="CI31">
            <v>51.1</v>
          </cell>
          <cell r="CJ31">
            <v>48.9</v>
          </cell>
          <cell r="CK31">
            <v>53</v>
          </cell>
        </row>
        <row r="32">
          <cell r="F32">
            <v>47.6</v>
          </cell>
          <cell r="I32">
            <v>50.6</v>
          </cell>
          <cell r="AC32">
            <v>38.700000000000003</v>
          </cell>
          <cell r="AD32">
            <v>38.700000000000003</v>
          </cell>
          <cell r="BM32">
            <v>47.9</v>
          </cell>
          <cell r="CG32">
            <v>54.4</v>
          </cell>
          <cell r="CI32">
            <v>49.2</v>
          </cell>
          <cell r="CJ32">
            <v>50.8</v>
          </cell>
          <cell r="CK32">
            <v>55.9</v>
          </cell>
        </row>
        <row r="33">
          <cell r="F33">
            <v>53.5</v>
          </cell>
          <cell r="I33">
            <v>51.3</v>
          </cell>
          <cell r="T33">
            <v>572</v>
          </cell>
          <cell r="AC33">
            <v>41.5</v>
          </cell>
          <cell r="AD33">
            <v>41.5</v>
          </cell>
          <cell r="BH33" t="str">
            <v>Jiggle</v>
          </cell>
          <cell r="BM33">
            <v>48.2</v>
          </cell>
          <cell r="CG33">
            <v>44.7</v>
          </cell>
          <cell r="CI33">
            <v>55.8</v>
          </cell>
          <cell r="CJ33">
            <v>44.2</v>
          </cell>
          <cell r="CK33">
            <v>43.1</v>
          </cell>
        </row>
        <row r="34">
          <cell r="F34">
            <v>37.9</v>
          </cell>
          <cell r="I34">
            <v>51.3</v>
          </cell>
          <cell r="T34" t="b">
            <v>0</v>
          </cell>
          <cell r="AC34">
            <v>47.6</v>
          </cell>
          <cell r="AD34">
            <v>47.6</v>
          </cell>
          <cell r="BH34" t="b">
            <v>1</v>
          </cell>
          <cell r="BM34">
            <v>50.6</v>
          </cell>
          <cell r="CG34">
            <v>61.3</v>
          </cell>
          <cell r="CI34">
            <v>40.9</v>
          </cell>
          <cell r="CJ34">
            <v>59.1</v>
          </cell>
          <cell r="CK34">
            <v>62.8</v>
          </cell>
        </row>
        <row r="35">
          <cell r="F35">
            <v>44.9</v>
          </cell>
          <cell r="I35">
            <v>53.5</v>
          </cell>
          <cell r="R35" t="b">
            <v>0</v>
          </cell>
          <cell r="T35" t="b">
            <v>0</v>
          </cell>
          <cell r="AC35">
            <v>53.5</v>
          </cell>
          <cell r="AD35">
            <v>53.5</v>
          </cell>
          <cell r="BM35">
            <v>51.3</v>
          </cell>
          <cell r="CG35">
            <v>46.6</v>
          </cell>
          <cell r="CI35">
            <v>54.8</v>
          </cell>
          <cell r="CJ35">
            <v>45.2</v>
          </cell>
          <cell r="CK35">
            <v>45.4</v>
          </cell>
        </row>
        <row r="36">
          <cell r="F36">
            <v>21.2</v>
          </cell>
          <cell r="I36">
            <v>57.4</v>
          </cell>
          <cell r="T36" t="b">
            <v>0</v>
          </cell>
          <cell r="AC36">
            <v>37.9</v>
          </cell>
          <cell r="AD36">
            <v>37.9</v>
          </cell>
          <cell r="BH36" t="str">
            <v>upper</v>
          </cell>
          <cell r="BM36">
            <v>51.3</v>
          </cell>
          <cell r="CG36">
            <v>73.7</v>
          </cell>
          <cell r="CI36">
            <v>10.7</v>
          </cell>
          <cell r="CJ36">
            <v>89.3</v>
          </cell>
          <cell r="CK36">
            <v>67</v>
          </cell>
        </row>
        <row r="37">
          <cell r="F37">
            <v>31.5</v>
          </cell>
          <cell r="I37">
            <v>67</v>
          </cell>
          <cell r="R37">
            <v>0.23051694728781502</v>
          </cell>
          <cell r="T37">
            <v>30</v>
          </cell>
          <cell r="AC37">
            <v>44.9</v>
          </cell>
          <cell r="AD37">
            <v>44.9</v>
          </cell>
          <cell r="BG37">
            <v>5</v>
          </cell>
          <cell r="BH37">
            <v>75</v>
          </cell>
          <cell r="BM37">
            <v>53.5</v>
          </cell>
          <cell r="CG37">
            <v>45.4</v>
          </cell>
          <cell r="CI37">
            <v>55.4</v>
          </cell>
          <cell r="CJ37">
            <v>44.6</v>
          </cell>
          <cell r="CK37">
            <v>43.9</v>
          </cell>
        </row>
        <row r="38">
          <cell r="AC38">
            <v>21.2</v>
          </cell>
          <cell r="AD38">
            <v>21.2</v>
          </cell>
          <cell r="BG38">
            <v>0</v>
          </cell>
          <cell r="BH38">
            <v>20</v>
          </cell>
          <cell r="BM38">
            <v>57.4</v>
          </cell>
          <cell r="CG38">
            <v>73.8</v>
          </cell>
          <cell r="CI38">
            <v>10.3</v>
          </cell>
          <cell r="CJ38">
            <v>89.7</v>
          </cell>
          <cell r="CK38">
            <v>67</v>
          </cell>
        </row>
        <row r="39">
          <cell r="AC39">
            <v>31.5</v>
          </cell>
          <cell r="AD39">
            <v>31.5</v>
          </cell>
          <cell r="BM39">
            <v>67</v>
          </cell>
          <cell r="CG39">
            <v>58.7</v>
          </cell>
          <cell r="CI39">
            <v>44.5</v>
          </cell>
          <cell r="CJ39">
            <v>55.5</v>
          </cell>
          <cell r="CK39">
            <v>60.7</v>
          </cell>
        </row>
        <row r="40">
          <cell r="BM40" t="str">
            <v/>
          </cell>
          <cell r="CG40">
            <v>59.1</v>
          </cell>
          <cell r="CI40">
            <v>44</v>
          </cell>
          <cell r="CJ40">
            <v>56</v>
          </cell>
          <cell r="CK40">
            <v>61</v>
          </cell>
        </row>
        <row r="41">
          <cell r="BM41" t="str">
            <v/>
          </cell>
          <cell r="CG41">
            <v>41.3</v>
          </cell>
          <cell r="CI41">
            <v>57.2</v>
          </cell>
          <cell r="CJ41">
            <v>42.8</v>
          </cell>
          <cell r="CK41">
            <v>39.4</v>
          </cell>
        </row>
        <row r="42">
          <cell r="BM42" t="str">
            <v/>
          </cell>
          <cell r="CG42">
            <v>31.3</v>
          </cell>
          <cell r="CI42">
            <v>59.9</v>
          </cell>
          <cell r="CJ42">
            <v>40.1</v>
          </cell>
          <cell r="CK42">
            <v>33.700000000000003</v>
          </cell>
        </row>
        <row r="43">
          <cell r="BM43" t="str">
            <v/>
          </cell>
          <cell r="CG43">
            <v>51.5</v>
          </cell>
          <cell r="CI43">
            <v>51.6</v>
          </cell>
          <cell r="CJ43">
            <v>48.4</v>
          </cell>
          <cell r="CK43">
            <v>52.1</v>
          </cell>
        </row>
        <row r="44">
          <cell r="BM44" t="str">
            <v/>
          </cell>
          <cell r="CG44">
            <v>50.1</v>
          </cell>
          <cell r="CI44">
            <v>52.6</v>
          </cell>
          <cell r="CJ44">
            <v>47.4</v>
          </cell>
          <cell r="CK44">
            <v>50.2</v>
          </cell>
        </row>
        <row r="45">
          <cell r="BM45" t="str">
            <v/>
          </cell>
          <cell r="CG45">
            <v>31.4</v>
          </cell>
          <cell r="CI45">
            <v>59.9</v>
          </cell>
          <cell r="CJ45">
            <v>40.1</v>
          </cell>
          <cell r="CK45">
            <v>33.799999999999997</v>
          </cell>
        </row>
        <row r="46">
          <cell r="BM46" t="str">
            <v/>
          </cell>
          <cell r="CG46">
            <v>64.099999999999994</v>
          </cell>
          <cell r="CI46">
            <v>36.200000000000003</v>
          </cell>
          <cell r="CJ46">
            <v>63.8</v>
          </cell>
          <cell r="CK46">
            <v>64.599999999999994</v>
          </cell>
        </row>
        <row r="47">
          <cell r="BM47" t="str">
            <v/>
          </cell>
          <cell r="CG47">
            <v>56.4</v>
          </cell>
          <cell r="CI47">
            <v>47.2</v>
          </cell>
          <cell r="CJ47">
            <v>52.8</v>
          </cell>
          <cell r="CK47">
            <v>58.3</v>
          </cell>
        </row>
        <row r="48">
          <cell r="BM48" t="str">
            <v/>
          </cell>
          <cell r="CG48">
            <v>40.9</v>
          </cell>
          <cell r="CI48">
            <v>57.4</v>
          </cell>
          <cell r="CJ48">
            <v>42.6</v>
          </cell>
          <cell r="CK48">
            <v>39</v>
          </cell>
        </row>
        <row r="49">
          <cell r="BM49" t="str">
            <v/>
          </cell>
          <cell r="CG49">
            <v>45.7</v>
          </cell>
          <cell r="CI49">
            <v>55.3</v>
          </cell>
          <cell r="CJ49">
            <v>44.7</v>
          </cell>
          <cell r="CK49">
            <v>44.2</v>
          </cell>
        </row>
        <row r="50">
          <cell r="BM50" t="str">
            <v/>
          </cell>
          <cell r="CG50">
            <v>61.3</v>
          </cell>
          <cell r="CI50">
            <v>40.9</v>
          </cell>
          <cell r="CJ50">
            <v>59.1</v>
          </cell>
          <cell r="CK50">
            <v>62.8</v>
          </cell>
        </row>
        <row r="51">
          <cell r="BM51" t="str">
            <v/>
          </cell>
          <cell r="CG51">
            <v>39.9</v>
          </cell>
          <cell r="CI51">
            <v>57.7</v>
          </cell>
          <cell r="CJ51">
            <v>42.3</v>
          </cell>
          <cell r="CK51">
            <v>38.1</v>
          </cell>
        </row>
        <row r="52">
          <cell r="BM52" t="str">
            <v/>
          </cell>
          <cell r="CG52">
            <v>42.9</v>
          </cell>
          <cell r="CI52">
            <v>56.6</v>
          </cell>
          <cell r="CJ52">
            <v>43.4</v>
          </cell>
          <cell r="CK52">
            <v>40.9</v>
          </cell>
        </row>
        <row r="53">
          <cell r="BM53" t="str">
            <v/>
          </cell>
          <cell r="CG53">
            <v>63.3</v>
          </cell>
          <cell r="CI53">
            <v>37.700000000000003</v>
          </cell>
          <cell r="CJ53">
            <v>62.3</v>
          </cell>
          <cell r="CK53">
            <v>64.099999999999994</v>
          </cell>
        </row>
        <row r="54">
          <cell r="BM54" t="str">
            <v/>
          </cell>
          <cell r="CG54">
            <v>41.8</v>
          </cell>
          <cell r="CI54">
            <v>57</v>
          </cell>
          <cell r="CJ54">
            <v>43</v>
          </cell>
          <cell r="CK54">
            <v>39.799999999999997</v>
          </cell>
        </row>
        <row r="55">
          <cell r="BM55" t="str">
            <v/>
          </cell>
          <cell r="CG55">
            <v>56.4</v>
          </cell>
          <cell r="CI55">
            <v>47.2</v>
          </cell>
          <cell r="CJ55">
            <v>52.8</v>
          </cell>
          <cell r="CK55">
            <v>58.3</v>
          </cell>
        </row>
        <row r="56">
          <cell r="BM56" t="str">
            <v/>
          </cell>
          <cell r="CG56">
            <v>43.9</v>
          </cell>
          <cell r="CI56">
            <v>56.1</v>
          </cell>
          <cell r="CJ56">
            <v>43.9</v>
          </cell>
          <cell r="CK56">
            <v>42.1</v>
          </cell>
        </row>
        <row r="57">
          <cell r="BM57" t="str">
            <v/>
          </cell>
          <cell r="CG57">
            <v>50.7</v>
          </cell>
          <cell r="CI57">
            <v>52.3</v>
          </cell>
          <cell r="CJ57">
            <v>47.7</v>
          </cell>
          <cell r="CK57">
            <v>50.9</v>
          </cell>
        </row>
        <row r="58">
          <cell r="BM58" t="str">
            <v/>
          </cell>
          <cell r="CG58">
            <v>39.700000000000003</v>
          </cell>
          <cell r="CI58">
            <v>57.8</v>
          </cell>
          <cell r="CJ58">
            <v>42.2</v>
          </cell>
          <cell r="CK58">
            <v>37.9</v>
          </cell>
        </row>
        <row r="59">
          <cell r="BM59" t="str">
            <v/>
          </cell>
          <cell r="CG59">
            <v>38.799999999999997</v>
          </cell>
          <cell r="CI59">
            <v>58.1</v>
          </cell>
          <cell r="CJ59">
            <v>41.9</v>
          </cell>
          <cell r="CK59">
            <v>37.200000000000003</v>
          </cell>
        </row>
        <row r="60">
          <cell r="BM60" t="str">
            <v/>
          </cell>
          <cell r="CG60">
            <v>48.7</v>
          </cell>
          <cell r="CI60">
            <v>53.6</v>
          </cell>
          <cell r="CJ60">
            <v>46.4</v>
          </cell>
          <cell r="CK60">
            <v>48.2</v>
          </cell>
        </row>
        <row r="61">
          <cell r="BM61" t="str">
            <v/>
          </cell>
          <cell r="CG61">
            <v>42.8</v>
          </cell>
          <cell r="CI61">
            <v>56.6</v>
          </cell>
          <cell r="CJ61">
            <v>43.4</v>
          </cell>
          <cell r="CK61">
            <v>40.9</v>
          </cell>
        </row>
        <row r="62">
          <cell r="BM62" t="str">
            <v/>
          </cell>
          <cell r="CG62">
            <v>50.9</v>
          </cell>
          <cell r="CI62">
            <v>52.1</v>
          </cell>
          <cell r="CJ62">
            <v>47.9</v>
          </cell>
          <cell r="CK62">
            <v>51.2</v>
          </cell>
        </row>
        <row r="63">
          <cell r="BM63" t="str">
            <v/>
          </cell>
          <cell r="CG63">
            <v>49.7</v>
          </cell>
          <cell r="CI63">
            <v>52.9</v>
          </cell>
          <cell r="CJ63">
            <v>47.1</v>
          </cell>
          <cell r="CK63">
            <v>49.6</v>
          </cell>
        </row>
        <row r="64">
          <cell r="BM64" t="str">
            <v/>
          </cell>
          <cell r="CG64">
            <v>45.2</v>
          </cell>
          <cell r="CI64">
            <v>55.5</v>
          </cell>
          <cell r="CJ64">
            <v>44.5</v>
          </cell>
          <cell r="CK64">
            <v>43.6</v>
          </cell>
        </row>
        <row r="65">
          <cell r="BM65" t="str">
            <v/>
          </cell>
          <cell r="CG65">
            <v>46.9</v>
          </cell>
          <cell r="CI65">
            <v>54.6</v>
          </cell>
          <cell r="CJ65">
            <v>45.4</v>
          </cell>
          <cell r="CK65">
            <v>45.8</v>
          </cell>
        </row>
        <row r="66">
          <cell r="BM66" t="str">
            <v/>
          </cell>
          <cell r="CG66">
            <v>48.7</v>
          </cell>
          <cell r="CI66">
            <v>53.6</v>
          </cell>
          <cell r="CJ66">
            <v>46.4</v>
          </cell>
          <cell r="CK66">
            <v>48.2</v>
          </cell>
        </row>
        <row r="67">
          <cell r="BM67" t="str">
            <v/>
          </cell>
          <cell r="CG67">
            <v>49.1</v>
          </cell>
          <cell r="CI67">
            <v>53.3</v>
          </cell>
          <cell r="CJ67">
            <v>46.7</v>
          </cell>
          <cell r="CK67">
            <v>48.8</v>
          </cell>
        </row>
        <row r="68">
          <cell r="BM68" t="str">
            <v/>
          </cell>
          <cell r="CG68">
            <v>33.299999999999997</v>
          </cell>
          <cell r="CI68">
            <v>59.5</v>
          </cell>
          <cell r="CJ68">
            <v>40.5</v>
          </cell>
          <cell r="CK68">
            <v>34.299999999999997</v>
          </cell>
        </row>
        <row r="69">
          <cell r="BM69" t="str">
            <v/>
          </cell>
          <cell r="CG69">
            <v>44.3</v>
          </cell>
          <cell r="CI69">
            <v>56</v>
          </cell>
          <cell r="CJ69">
            <v>44</v>
          </cell>
          <cell r="CK69">
            <v>42.5</v>
          </cell>
        </row>
        <row r="70">
          <cell r="BM70" t="str">
            <v/>
          </cell>
          <cell r="CG70">
            <v>59.7</v>
          </cell>
          <cell r="CI70">
            <v>43.2</v>
          </cell>
          <cell r="CJ70">
            <v>56.8</v>
          </cell>
          <cell r="CK70">
            <v>61.6</v>
          </cell>
        </row>
        <row r="71">
          <cell r="BM71" t="str">
            <v/>
          </cell>
          <cell r="CG71">
            <v>46.7</v>
          </cell>
          <cell r="CI71">
            <v>54.8</v>
          </cell>
          <cell r="CJ71">
            <v>45.2</v>
          </cell>
          <cell r="CK71">
            <v>45.6</v>
          </cell>
        </row>
        <row r="72">
          <cell r="BM72" t="str">
            <v/>
          </cell>
          <cell r="CG72">
            <v>38.6</v>
          </cell>
          <cell r="CI72">
            <v>58.1</v>
          </cell>
          <cell r="CJ72">
            <v>41.9</v>
          </cell>
          <cell r="CK72">
            <v>37.1</v>
          </cell>
        </row>
        <row r="73">
          <cell r="BM73" t="str">
            <v/>
          </cell>
          <cell r="CG73">
            <v>54.1</v>
          </cell>
          <cell r="CI73">
            <v>49.5</v>
          </cell>
          <cell r="CJ73">
            <v>50.5</v>
          </cell>
          <cell r="CK73">
            <v>55.5</v>
          </cell>
        </row>
        <row r="74">
          <cell r="BM74" t="str">
            <v/>
          </cell>
          <cell r="CG74">
            <v>28.2</v>
          </cell>
          <cell r="CI74">
            <v>60.4</v>
          </cell>
          <cell r="CJ74">
            <v>39.6</v>
          </cell>
          <cell r="CK74">
            <v>33.200000000000003</v>
          </cell>
        </row>
        <row r="75">
          <cell r="BM75" t="str">
            <v/>
          </cell>
          <cell r="CG75">
            <v>50.9</v>
          </cell>
          <cell r="CI75">
            <v>52.1</v>
          </cell>
          <cell r="CJ75">
            <v>47.9</v>
          </cell>
          <cell r="CK75">
            <v>51.2</v>
          </cell>
        </row>
        <row r="76">
          <cell r="BM76" t="str">
            <v/>
          </cell>
          <cell r="CG76">
            <v>49.3</v>
          </cell>
          <cell r="CI76">
            <v>53.2</v>
          </cell>
          <cell r="CJ76">
            <v>46.8</v>
          </cell>
          <cell r="CK76">
            <v>49</v>
          </cell>
        </row>
        <row r="77">
          <cell r="BM77" t="str">
            <v/>
          </cell>
          <cell r="CG77">
            <v>54.3</v>
          </cell>
          <cell r="CI77">
            <v>49.2</v>
          </cell>
          <cell r="CJ77">
            <v>50.8</v>
          </cell>
          <cell r="CK77">
            <v>55.8</v>
          </cell>
        </row>
        <row r="78">
          <cell r="BM78" t="str">
            <v/>
          </cell>
          <cell r="CG78">
            <v>39.799999999999997</v>
          </cell>
          <cell r="CI78">
            <v>57.7</v>
          </cell>
          <cell r="CJ78">
            <v>42.3</v>
          </cell>
          <cell r="CK78">
            <v>38</v>
          </cell>
        </row>
        <row r="79">
          <cell r="BM79" t="str">
            <v/>
          </cell>
          <cell r="CG79">
            <v>60</v>
          </cell>
          <cell r="CI79">
            <v>42.8</v>
          </cell>
          <cell r="CJ79">
            <v>57.2</v>
          </cell>
          <cell r="CK79">
            <v>61.8</v>
          </cell>
        </row>
        <row r="80">
          <cell r="BM80" t="str">
            <v/>
          </cell>
          <cell r="CG80">
            <v>72.5</v>
          </cell>
          <cell r="CI80">
            <v>15.1</v>
          </cell>
          <cell r="CJ80">
            <v>84.9</v>
          </cell>
          <cell r="CK80">
            <v>66.900000000000006</v>
          </cell>
        </row>
        <row r="81">
          <cell r="BM81" t="str">
            <v/>
          </cell>
          <cell r="CG81">
            <v>54.8</v>
          </cell>
          <cell r="CI81">
            <v>48.8</v>
          </cell>
          <cell r="CJ81">
            <v>51.2</v>
          </cell>
          <cell r="CK81">
            <v>56.3</v>
          </cell>
        </row>
        <row r="82">
          <cell r="BM82" t="str">
            <v/>
          </cell>
          <cell r="CG82">
            <v>54.3</v>
          </cell>
          <cell r="CI82">
            <v>49.3</v>
          </cell>
          <cell r="CJ82">
            <v>50.7</v>
          </cell>
          <cell r="CK82">
            <v>55.7</v>
          </cell>
        </row>
        <row r="83">
          <cell r="BM83" t="str">
            <v/>
          </cell>
          <cell r="CG83">
            <v>49.2</v>
          </cell>
          <cell r="CI83">
            <v>53.3</v>
          </cell>
          <cell r="CJ83">
            <v>46.7</v>
          </cell>
          <cell r="CK83">
            <v>48.9</v>
          </cell>
        </row>
        <row r="84">
          <cell r="BM84" t="str">
            <v/>
          </cell>
          <cell r="CG84">
            <v>51.6</v>
          </cell>
          <cell r="CI84">
            <v>51.5</v>
          </cell>
          <cell r="CJ84">
            <v>48.5</v>
          </cell>
          <cell r="CK84">
            <v>52.3</v>
          </cell>
        </row>
        <row r="85">
          <cell r="BM85" t="str">
            <v/>
          </cell>
          <cell r="CG85">
            <v>56.5</v>
          </cell>
          <cell r="CI85">
            <v>47.1</v>
          </cell>
          <cell r="CJ85">
            <v>52.9</v>
          </cell>
          <cell r="CK85">
            <v>58.4</v>
          </cell>
        </row>
        <row r="86">
          <cell r="BM86" t="str">
            <v/>
          </cell>
          <cell r="CG86">
            <v>51.1</v>
          </cell>
          <cell r="CI86">
            <v>51.9</v>
          </cell>
          <cell r="CJ86">
            <v>48.1</v>
          </cell>
          <cell r="CK86">
            <v>51.5</v>
          </cell>
        </row>
        <row r="87">
          <cell r="BM87" t="str">
            <v/>
          </cell>
          <cell r="CG87">
            <v>58.5</v>
          </cell>
          <cell r="CI87">
            <v>44.8</v>
          </cell>
          <cell r="CJ87">
            <v>55.2</v>
          </cell>
          <cell r="CK87">
            <v>60.4</v>
          </cell>
        </row>
        <row r="88">
          <cell r="BM88" t="str">
            <v/>
          </cell>
          <cell r="CG88">
            <v>50.4</v>
          </cell>
          <cell r="CI88">
            <v>52.4</v>
          </cell>
          <cell r="CJ88">
            <v>47.6</v>
          </cell>
          <cell r="CK88">
            <v>50.6</v>
          </cell>
        </row>
        <row r="89">
          <cell r="BM89" t="str">
            <v/>
          </cell>
          <cell r="CG89">
            <v>54.7</v>
          </cell>
          <cell r="CI89">
            <v>48.9</v>
          </cell>
          <cell r="CJ89">
            <v>51.1</v>
          </cell>
          <cell r="CK89">
            <v>56.3</v>
          </cell>
        </row>
        <row r="90">
          <cell r="BM90" t="str">
            <v/>
          </cell>
          <cell r="CG90">
            <v>53.8</v>
          </cell>
          <cell r="CI90">
            <v>49.7</v>
          </cell>
          <cell r="CJ90">
            <v>50.3</v>
          </cell>
          <cell r="CK90">
            <v>55.2</v>
          </cell>
        </row>
        <row r="91">
          <cell r="BM91" t="str">
            <v/>
          </cell>
          <cell r="CG91">
            <v>50.9</v>
          </cell>
          <cell r="CI91">
            <v>52.1</v>
          </cell>
          <cell r="CJ91">
            <v>47.9</v>
          </cell>
          <cell r="CK91">
            <v>51.3</v>
          </cell>
        </row>
        <row r="92">
          <cell r="BM92" t="str">
            <v/>
          </cell>
          <cell r="CG92">
            <v>48.6</v>
          </cell>
          <cell r="CI92">
            <v>53.7</v>
          </cell>
          <cell r="CJ92">
            <v>46.3</v>
          </cell>
          <cell r="CK92">
            <v>48</v>
          </cell>
        </row>
        <row r="93">
          <cell r="BM93" t="str">
            <v/>
          </cell>
          <cell r="CG93">
            <v>67.7</v>
          </cell>
          <cell r="CI93">
            <v>28.6</v>
          </cell>
          <cell r="CJ93">
            <v>71.400000000000006</v>
          </cell>
          <cell r="CK93">
            <v>66</v>
          </cell>
        </row>
        <row r="94">
          <cell r="BM94" t="str">
            <v/>
          </cell>
          <cell r="CG94">
            <v>64</v>
          </cell>
          <cell r="CI94">
            <v>36.4</v>
          </cell>
          <cell r="CJ94">
            <v>63.6</v>
          </cell>
          <cell r="CK94">
            <v>64.5</v>
          </cell>
        </row>
        <row r="95">
          <cell r="BM95" t="str">
            <v/>
          </cell>
          <cell r="CG95">
            <v>71</v>
          </cell>
          <cell r="CI95">
            <v>19.899999999999999</v>
          </cell>
          <cell r="CJ95">
            <v>80.099999999999994</v>
          </cell>
          <cell r="CK95">
            <v>66.7</v>
          </cell>
        </row>
        <row r="96">
          <cell r="BM96" t="str">
            <v/>
          </cell>
          <cell r="CG96">
            <v>51.2</v>
          </cell>
          <cell r="CI96">
            <v>51.9</v>
          </cell>
          <cell r="CJ96">
            <v>48.1</v>
          </cell>
          <cell r="CK96">
            <v>51.7</v>
          </cell>
        </row>
        <row r="97">
          <cell r="BM97" t="str">
            <v/>
          </cell>
          <cell r="CG97">
            <v>40.799999999999997</v>
          </cell>
          <cell r="CI97">
            <v>57.4</v>
          </cell>
          <cell r="CJ97">
            <v>42.6</v>
          </cell>
          <cell r="CK97">
            <v>38.9</v>
          </cell>
        </row>
        <row r="98">
          <cell r="BM98" t="str">
            <v/>
          </cell>
          <cell r="CG98">
            <v>50.5</v>
          </cell>
          <cell r="CI98">
            <v>52.4</v>
          </cell>
          <cell r="CJ98">
            <v>47.6</v>
          </cell>
          <cell r="CK98">
            <v>50.7</v>
          </cell>
        </row>
        <row r="99">
          <cell r="BM99" t="str">
            <v/>
          </cell>
          <cell r="CG99">
            <v>50.6</v>
          </cell>
          <cell r="CI99">
            <v>52.3</v>
          </cell>
          <cell r="CJ99">
            <v>47.7</v>
          </cell>
          <cell r="CK99">
            <v>50.9</v>
          </cell>
        </row>
        <row r="100">
          <cell r="BM100" t="str">
            <v/>
          </cell>
          <cell r="CG100">
            <v>46.9</v>
          </cell>
          <cell r="CI100">
            <v>54.7</v>
          </cell>
          <cell r="CJ100">
            <v>45.3</v>
          </cell>
          <cell r="CK100">
            <v>45.7</v>
          </cell>
        </row>
        <row r="101">
          <cell r="BM101" t="str">
            <v/>
          </cell>
          <cell r="CG101">
            <v>43.7</v>
          </cell>
          <cell r="CI101">
            <v>56.3</v>
          </cell>
          <cell r="CJ101">
            <v>43.7</v>
          </cell>
          <cell r="CK101">
            <v>41.8</v>
          </cell>
        </row>
        <row r="102">
          <cell r="BM102" t="str">
            <v/>
          </cell>
          <cell r="CG102">
            <v>65.900000000000006</v>
          </cell>
          <cell r="CI102">
            <v>32.6</v>
          </cell>
          <cell r="CJ102">
            <v>67.400000000000006</v>
          </cell>
          <cell r="CK102">
            <v>65.400000000000006</v>
          </cell>
        </row>
        <row r="103">
          <cell r="BM103" t="str">
            <v/>
          </cell>
          <cell r="CG103" t="str">
            <v/>
          </cell>
          <cell r="CI103" t="str">
            <v/>
          </cell>
          <cell r="CJ103" t="str">
            <v/>
          </cell>
          <cell r="CK103" t="str">
            <v/>
          </cell>
        </row>
        <row r="104">
          <cell r="BM104" t="str">
            <v/>
          </cell>
          <cell r="CG104" t="str">
            <v/>
          </cell>
          <cell r="CI104" t="str">
            <v/>
          </cell>
          <cell r="CJ104" t="str">
            <v/>
          </cell>
          <cell r="CK104" t="str">
            <v/>
          </cell>
        </row>
        <row r="105">
          <cell r="BM105" t="str">
            <v/>
          </cell>
          <cell r="CG105" t="str">
            <v/>
          </cell>
          <cell r="CI105" t="str">
            <v/>
          </cell>
          <cell r="CJ105" t="str">
            <v/>
          </cell>
          <cell r="CK105" t="str">
            <v/>
          </cell>
        </row>
        <row r="106">
          <cell r="BM106" t="str">
            <v/>
          </cell>
          <cell r="CG106" t="str">
            <v/>
          </cell>
          <cell r="CI106" t="str">
            <v/>
          </cell>
          <cell r="CJ106" t="str">
            <v/>
          </cell>
          <cell r="CK106" t="str">
            <v/>
          </cell>
        </row>
        <row r="107">
          <cell r="BM107" t="str">
            <v/>
          </cell>
          <cell r="CG107" t="str">
            <v/>
          </cell>
          <cell r="CI107" t="str">
            <v/>
          </cell>
          <cell r="CJ107" t="str">
            <v/>
          </cell>
          <cell r="CK107" t="str">
            <v/>
          </cell>
        </row>
        <row r="108">
          <cell r="BM108" t="str">
            <v/>
          </cell>
          <cell r="CG108" t="str">
            <v/>
          </cell>
          <cell r="CI108" t="str">
            <v/>
          </cell>
          <cell r="CJ108" t="str">
            <v/>
          </cell>
          <cell r="CK108" t="str">
            <v/>
          </cell>
        </row>
        <row r="109">
          <cell r="BM109" t="str">
            <v/>
          </cell>
          <cell r="CG109" t="str">
            <v/>
          </cell>
          <cell r="CI109" t="str">
            <v/>
          </cell>
          <cell r="CJ109" t="str">
            <v/>
          </cell>
          <cell r="CK109" t="str">
            <v/>
          </cell>
        </row>
        <row r="110">
          <cell r="BM110" t="str">
            <v/>
          </cell>
          <cell r="CG110" t="str">
            <v/>
          </cell>
          <cell r="CI110" t="str">
            <v/>
          </cell>
          <cell r="CJ110" t="str">
            <v/>
          </cell>
          <cell r="CK110" t="str">
            <v/>
          </cell>
        </row>
        <row r="111">
          <cell r="BM111" t="str">
            <v/>
          </cell>
          <cell r="CG111" t="str">
            <v/>
          </cell>
          <cell r="CI111" t="str">
            <v/>
          </cell>
          <cell r="CJ111" t="str">
            <v/>
          </cell>
          <cell r="CK111" t="str">
            <v/>
          </cell>
        </row>
        <row r="112">
          <cell r="BM112" t="str">
            <v/>
          </cell>
          <cell r="CG112" t="str">
            <v/>
          </cell>
          <cell r="CI112" t="str">
            <v/>
          </cell>
          <cell r="CJ112" t="str">
            <v/>
          </cell>
          <cell r="CK112" t="str">
            <v/>
          </cell>
        </row>
        <row r="113">
          <cell r="BM113" t="str">
            <v/>
          </cell>
          <cell r="CG113" t="str">
            <v/>
          </cell>
          <cell r="CI113" t="str">
            <v/>
          </cell>
          <cell r="CJ113" t="str">
            <v/>
          </cell>
          <cell r="CK113" t="str">
            <v/>
          </cell>
        </row>
        <row r="114">
          <cell r="BM114" t="str">
            <v/>
          </cell>
          <cell r="CG114" t="str">
            <v/>
          </cell>
          <cell r="CI114" t="str">
            <v/>
          </cell>
          <cell r="CJ114" t="str">
            <v/>
          </cell>
          <cell r="CK114" t="str">
            <v/>
          </cell>
        </row>
        <row r="115">
          <cell r="BM115" t="str">
            <v/>
          </cell>
          <cell r="CG115" t="str">
            <v/>
          </cell>
          <cell r="CI115" t="str">
            <v/>
          </cell>
          <cell r="CJ115" t="str">
            <v/>
          </cell>
          <cell r="CK115" t="str">
            <v/>
          </cell>
        </row>
        <row r="116">
          <cell r="BM116" t="str">
            <v/>
          </cell>
          <cell r="CG116" t="str">
            <v/>
          </cell>
          <cell r="CI116" t="str">
            <v/>
          </cell>
          <cell r="CJ116" t="str">
            <v/>
          </cell>
          <cell r="CK116" t="str">
            <v/>
          </cell>
        </row>
        <row r="117">
          <cell r="BM117" t="str">
            <v/>
          </cell>
          <cell r="CG117" t="str">
            <v/>
          </cell>
          <cell r="CI117" t="str">
            <v/>
          </cell>
          <cell r="CJ117" t="str">
            <v/>
          </cell>
          <cell r="CK117" t="str">
            <v/>
          </cell>
        </row>
        <row r="118">
          <cell r="BM118" t="str">
            <v/>
          </cell>
          <cell r="CG118" t="str">
            <v/>
          </cell>
          <cell r="CI118" t="str">
            <v/>
          </cell>
          <cell r="CJ118" t="str">
            <v/>
          </cell>
          <cell r="CK118" t="str">
            <v/>
          </cell>
        </row>
        <row r="119">
          <cell r="BM119" t="str">
            <v/>
          </cell>
          <cell r="CG119" t="str">
            <v/>
          </cell>
          <cell r="CI119" t="str">
            <v/>
          </cell>
          <cell r="CJ119" t="str">
            <v/>
          </cell>
          <cell r="CK119" t="str">
            <v/>
          </cell>
        </row>
        <row r="120">
          <cell r="BM120" t="str">
            <v/>
          </cell>
          <cell r="CG120" t="str">
            <v/>
          </cell>
          <cell r="CI120" t="str">
            <v/>
          </cell>
          <cell r="CJ120" t="str">
            <v/>
          </cell>
          <cell r="CK120" t="str">
            <v/>
          </cell>
        </row>
        <row r="121">
          <cell r="BM121" t="str">
            <v/>
          </cell>
          <cell r="CG121" t="str">
            <v/>
          </cell>
          <cell r="CI121" t="str">
            <v/>
          </cell>
          <cell r="CJ121" t="str">
            <v/>
          </cell>
          <cell r="CK121" t="str">
            <v/>
          </cell>
        </row>
        <row r="122">
          <cell r="BM122" t="str">
            <v/>
          </cell>
          <cell r="CG122" t="str">
            <v/>
          </cell>
          <cell r="CI122" t="str">
            <v/>
          </cell>
          <cell r="CJ122" t="str">
            <v/>
          </cell>
          <cell r="CK122" t="str">
            <v/>
          </cell>
        </row>
        <row r="123">
          <cell r="BM123" t="str">
            <v/>
          </cell>
          <cell r="CG123" t="str">
            <v/>
          </cell>
          <cell r="CI123" t="str">
            <v/>
          </cell>
          <cell r="CJ123" t="str">
            <v/>
          </cell>
          <cell r="CK123" t="str">
            <v/>
          </cell>
        </row>
        <row r="124">
          <cell r="BM124" t="str">
            <v/>
          </cell>
          <cell r="CG124" t="str">
            <v/>
          </cell>
          <cell r="CI124" t="str">
            <v/>
          </cell>
          <cell r="CJ124" t="str">
            <v/>
          </cell>
          <cell r="CK124" t="str">
            <v/>
          </cell>
        </row>
        <row r="125">
          <cell r="BM125" t="str">
            <v/>
          </cell>
          <cell r="CG125" t="str">
            <v/>
          </cell>
          <cell r="CI125" t="str">
            <v/>
          </cell>
          <cell r="CJ125" t="str">
            <v/>
          </cell>
          <cell r="CK125" t="str">
            <v/>
          </cell>
        </row>
        <row r="126">
          <cell r="BM126" t="str">
            <v/>
          </cell>
          <cell r="CG126" t="str">
            <v/>
          </cell>
          <cell r="CI126" t="str">
            <v/>
          </cell>
          <cell r="CJ126" t="str">
            <v/>
          </cell>
          <cell r="CK126" t="str">
            <v/>
          </cell>
        </row>
        <row r="127">
          <cell r="BM127" t="str">
            <v/>
          </cell>
          <cell r="CG127" t="str">
            <v/>
          </cell>
          <cell r="CI127" t="str">
            <v/>
          </cell>
          <cell r="CJ127" t="str">
            <v/>
          </cell>
          <cell r="CK127" t="str">
            <v/>
          </cell>
        </row>
        <row r="128">
          <cell r="BM128" t="str">
            <v/>
          </cell>
          <cell r="CG128" t="str">
            <v/>
          </cell>
          <cell r="CI128" t="str">
            <v/>
          </cell>
          <cell r="CJ128" t="str">
            <v/>
          </cell>
          <cell r="CK128" t="str">
            <v/>
          </cell>
        </row>
        <row r="129">
          <cell r="BM129" t="str">
            <v/>
          </cell>
          <cell r="CG129" t="str">
            <v/>
          </cell>
          <cell r="CI129" t="str">
            <v/>
          </cell>
          <cell r="CJ129" t="str">
            <v/>
          </cell>
          <cell r="CK129" t="str">
            <v/>
          </cell>
        </row>
        <row r="130">
          <cell r="BM130" t="str">
            <v/>
          </cell>
          <cell r="CG130" t="str">
            <v/>
          </cell>
          <cell r="CI130" t="str">
            <v/>
          </cell>
          <cell r="CJ130" t="str">
            <v/>
          </cell>
          <cell r="CK130" t="str">
            <v/>
          </cell>
        </row>
        <row r="131">
          <cell r="BM131" t="str">
            <v/>
          </cell>
          <cell r="CG131" t="str">
            <v/>
          </cell>
          <cell r="CI131" t="str">
            <v/>
          </cell>
          <cell r="CJ131" t="str">
            <v/>
          </cell>
          <cell r="CK131" t="str">
            <v/>
          </cell>
        </row>
        <row r="132">
          <cell r="BM132" t="str">
            <v/>
          </cell>
          <cell r="CG132" t="str">
            <v/>
          </cell>
          <cell r="CI132" t="str">
            <v/>
          </cell>
          <cell r="CJ132" t="str">
            <v/>
          </cell>
          <cell r="CK132" t="str">
            <v/>
          </cell>
        </row>
        <row r="133">
          <cell r="BM133" t="str">
            <v/>
          </cell>
          <cell r="CG133" t="str">
            <v/>
          </cell>
          <cell r="CI133" t="str">
            <v/>
          </cell>
          <cell r="CJ133" t="str">
            <v/>
          </cell>
          <cell r="CK133" t="str">
            <v/>
          </cell>
        </row>
        <row r="134">
          <cell r="BM134" t="str">
            <v/>
          </cell>
          <cell r="CG134" t="str">
            <v/>
          </cell>
          <cell r="CI134" t="str">
            <v/>
          </cell>
          <cell r="CJ134" t="str">
            <v/>
          </cell>
          <cell r="CK134" t="str">
            <v/>
          </cell>
        </row>
        <row r="135">
          <cell r="BM135" t="str">
            <v/>
          </cell>
          <cell r="CG135" t="str">
            <v/>
          </cell>
          <cell r="CI135" t="str">
            <v/>
          </cell>
          <cell r="CJ135" t="str">
            <v/>
          </cell>
          <cell r="CK135" t="str">
            <v/>
          </cell>
        </row>
        <row r="136">
          <cell r="BM136" t="str">
            <v/>
          </cell>
          <cell r="CG136" t="str">
            <v/>
          </cell>
          <cell r="CI136" t="str">
            <v/>
          </cell>
          <cell r="CJ136" t="str">
            <v/>
          </cell>
          <cell r="CK136" t="str">
            <v/>
          </cell>
        </row>
        <row r="137">
          <cell r="BM137" t="str">
            <v/>
          </cell>
          <cell r="CG137" t="str">
            <v/>
          </cell>
          <cell r="CI137" t="str">
            <v/>
          </cell>
          <cell r="CJ137" t="str">
            <v/>
          </cell>
          <cell r="CK137" t="str">
            <v/>
          </cell>
        </row>
        <row r="138">
          <cell r="BM138" t="str">
            <v/>
          </cell>
          <cell r="CG138" t="str">
            <v/>
          </cell>
          <cell r="CI138" t="str">
            <v/>
          </cell>
          <cell r="CJ138" t="str">
            <v/>
          </cell>
          <cell r="CK138" t="str">
            <v/>
          </cell>
        </row>
        <row r="139">
          <cell r="BM139" t="str">
            <v/>
          </cell>
          <cell r="CG139" t="str">
            <v/>
          </cell>
          <cell r="CI139" t="str">
            <v/>
          </cell>
          <cell r="CJ139" t="str">
            <v/>
          </cell>
          <cell r="CK139" t="str">
            <v/>
          </cell>
        </row>
        <row r="140">
          <cell r="BM140" t="str">
            <v/>
          </cell>
          <cell r="CG140" t="str">
            <v/>
          </cell>
          <cell r="CI140" t="str">
            <v/>
          </cell>
          <cell r="CJ140" t="str">
            <v/>
          </cell>
          <cell r="CK140" t="str">
            <v/>
          </cell>
        </row>
        <row r="141">
          <cell r="BM141" t="str">
            <v/>
          </cell>
          <cell r="CG141" t="str">
            <v/>
          </cell>
          <cell r="CI141" t="str">
            <v/>
          </cell>
          <cell r="CJ141" t="str">
            <v/>
          </cell>
          <cell r="CK141" t="str">
            <v/>
          </cell>
        </row>
        <row r="142">
          <cell r="BM142" t="str">
            <v/>
          </cell>
          <cell r="CG142" t="str">
            <v/>
          </cell>
          <cell r="CI142" t="str">
            <v/>
          </cell>
          <cell r="CJ142" t="str">
            <v/>
          </cell>
          <cell r="CK142" t="str">
            <v/>
          </cell>
        </row>
        <row r="143">
          <cell r="BM143" t="str">
            <v/>
          </cell>
          <cell r="CG143" t="str">
            <v/>
          </cell>
          <cell r="CI143" t="str">
            <v/>
          </cell>
          <cell r="CJ143" t="str">
            <v/>
          </cell>
          <cell r="CK143" t="str">
            <v/>
          </cell>
        </row>
        <row r="144">
          <cell r="BM144" t="str">
            <v/>
          </cell>
          <cell r="CG144" t="str">
            <v/>
          </cell>
          <cell r="CI144" t="str">
            <v/>
          </cell>
          <cell r="CJ144" t="str">
            <v/>
          </cell>
          <cell r="CK144" t="str">
            <v/>
          </cell>
        </row>
        <row r="145">
          <cell r="BM145" t="str">
            <v/>
          </cell>
          <cell r="CG145" t="str">
            <v/>
          </cell>
          <cell r="CI145" t="str">
            <v/>
          </cell>
          <cell r="CJ145" t="str">
            <v/>
          </cell>
          <cell r="CK145" t="str">
            <v/>
          </cell>
        </row>
        <row r="146">
          <cell r="BM146" t="str">
            <v/>
          </cell>
          <cell r="CG146" t="str">
            <v/>
          </cell>
          <cell r="CI146" t="str">
            <v/>
          </cell>
          <cell r="CJ146" t="str">
            <v/>
          </cell>
          <cell r="CK146" t="str">
            <v/>
          </cell>
        </row>
        <row r="147">
          <cell r="BM147" t="str">
            <v/>
          </cell>
          <cell r="CG147" t="str">
            <v/>
          </cell>
          <cell r="CI147" t="str">
            <v/>
          </cell>
          <cell r="CJ147" t="str">
            <v/>
          </cell>
          <cell r="CK147" t="str">
            <v/>
          </cell>
        </row>
        <row r="148">
          <cell r="BM148" t="str">
            <v/>
          </cell>
          <cell r="CG148" t="str">
            <v/>
          </cell>
          <cell r="CI148" t="str">
            <v/>
          </cell>
          <cell r="CJ148" t="str">
            <v/>
          </cell>
          <cell r="CK148" t="str">
            <v/>
          </cell>
        </row>
        <row r="149">
          <cell r="BM149" t="str">
            <v/>
          </cell>
          <cell r="CG149" t="str">
            <v/>
          </cell>
          <cell r="CI149" t="str">
            <v/>
          </cell>
          <cell r="CJ149" t="str">
            <v/>
          </cell>
          <cell r="CK149" t="str">
            <v/>
          </cell>
        </row>
        <row r="150">
          <cell r="BM150" t="str">
            <v/>
          </cell>
          <cell r="CG150" t="str">
            <v/>
          </cell>
          <cell r="CI150" t="str">
            <v/>
          </cell>
          <cell r="CJ150" t="str">
            <v/>
          </cell>
          <cell r="CK150" t="str">
            <v/>
          </cell>
        </row>
        <row r="151">
          <cell r="BM151" t="str">
            <v/>
          </cell>
          <cell r="CG151" t="str">
            <v/>
          </cell>
          <cell r="CI151" t="str">
            <v/>
          </cell>
          <cell r="CJ151" t="str">
            <v/>
          </cell>
          <cell r="CK151" t="str">
            <v/>
          </cell>
        </row>
        <row r="152">
          <cell r="BM152" t="str">
            <v/>
          </cell>
          <cell r="CG152" t="str">
            <v/>
          </cell>
          <cell r="CI152" t="str">
            <v/>
          </cell>
          <cell r="CJ152" t="str">
            <v/>
          </cell>
          <cell r="CK152" t="str">
            <v/>
          </cell>
        </row>
        <row r="153">
          <cell r="BM153" t="str">
            <v/>
          </cell>
          <cell r="CG153" t="str">
            <v/>
          </cell>
          <cell r="CI153" t="str">
            <v/>
          </cell>
          <cell r="CJ153" t="str">
            <v/>
          </cell>
          <cell r="CK153" t="str">
            <v/>
          </cell>
        </row>
        <row r="154">
          <cell r="BM154" t="str">
            <v/>
          </cell>
          <cell r="CG154" t="str">
            <v/>
          </cell>
          <cell r="CI154" t="str">
            <v/>
          </cell>
          <cell r="CJ154" t="str">
            <v/>
          </cell>
          <cell r="CK154" t="str">
            <v/>
          </cell>
        </row>
        <row r="155">
          <cell r="BM155" t="str">
            <v/>
          </cell>
          <cell r="CG155" t="str">
            <v/>
          </cell>
          <cell r="CI155" t="str">
            <v/>
          </cell>
          <cell r="CJ155" t="str">
            <v/>
          </cell>
          <cell r="CK155" t="str">
            <v/>
          </cell>
        </row>
        <row r="156">
          <cell r="BM156" t="str">
            <v/>
          </cell>
          <cell r="CG156" t="str">
            <v/>
          </cell>
          <cell r="CI156" t="str">
            <v/>
          </cell>
          <cell r="CJ156" t="str">
            <v/>
          </cell>
          <cell r="CK156" t="str">
            <v/>
          </cell>
        </row>
        <row r="157">
          <cell r="BM157" t="str">
            <v/>
          </cell>
          <cell r="CG157" t="str">
            <v/>
          </cell>
          <cell r="CI157" t="str">
            <v/>
          </cell>
          <cell r="CJ157" t="str">
            <v/>
          </cell>
          <cell r="CK157" t="str">
            <v/>
          </cell>
        </row>
        <row r="158">
          <cell r="BM158" t="str">
            <v/>
          </cell>
          <cell r="CG158" t="str">
            <v/>
          </cell>
          <cell r="CI158" t="str">
            <v/>
          </cell>
          <cell r="CJ158" t="str">
            <v/>
          </cell>
          <cell r="CK158" t="str">
            <v/>
          </cell>
        </row>
        <row r="159">
          <cell r="BM159" t="str">
            <v/>
          </cell>
          <cell r="CG159" t="str">
            <v/>
          </cell>
          <cell r="CI159" t="str">
            <v/>
          </cell>
          <cell r="CJ159" t="str">
            <v/>
          </cell>
          <cell r="CK159" t="str">
            <v/>
          </cell>
        </row>
        <row r="160">
          <cell r="BM160" t="str">
            <v/>
          </cell>
          <cell r="CG160" t="str">
            <v/>
          </cell>
          <cell r="CI160" t="str">
            <v/>
          </cell>
          <cell r="CJ160" t="str">
            <v/>
          </cell>
          <cell r="CK160" t="str">
            <v/>
          </cell>
        </row>
        <row r="161">
          <cell r="BM161" t="str">
            <v/>
          </cell>
          <cell r="CG161" t="str">
            <v/>
          </cell>
          <cell r="CI161" t="str">
            <v/>
          </cell>
          <cell r="CJ161" t="str">
            <v/>
          </cell>
          <cell r="CK161" t="str">
            <v/>
          </cell>
        </row>
        <row r="162">
          <cell r="BM162" t="str">
            <v/>
          </cell>
          <cell r="CG162" t="str">
            <v/>
          </cell>
          <cell r="CI162" t="str">
            <v/>
          </cell>
          <cell r="CJ162" t="str">
            <v/>
          </cell>
          <cell r="CK162" t="str">
            <v/>
          </cell>
        </row>
        <row r="163">
          <cell r="BM163" t="str">
            <v/>
          </cell>
          <cell r="CG163" t="str">
            <v/>
          </cell>
          <cell r="CI163" t="str">
            <v/>
          </cell>
          <cell r="CJ163" t="str">
            <v/>
          </cell>
          <cell r="CK163" t="str">
            <v/>
          </cell>
        </row>
        <row r="164">
          <cell r="BM164" t="str">
            <v/>
          </cell>
          <cell r="CG164" t="str">
            <v/>
          </cell>
          <cell r="CI164" t="str">
            <v/>
          </cell>
          <cell r="CJ164" t="str">
            <v/>
          </cell>
          <cell r="CK164" t="str">
            <v/>
          </cell>
        </row>
        <row r="165">
          <cell r="BM165" t="str">
            <v/>
          </cell>
          <cell r="CG165" t="str">
            <v/>
          </cell>
          <cell r="CI165" t="str">
            <v/>
          </cell>
          <cell r="CJ165" t="str">
            <v/>
          </cell>
          <cell r="CK165" t="str">
            <v/>
          </cell>
        </row>
        <row r="166">
          <cell r="BM166" t="str">
            <v/>
          </cell>
          <cell r="CG166" t="str">
            <v/>
          </cell>
          <cell r="CI166" t="str">
            <v/>
          </cell>
          <cell r="CJ166" t="str">
            <v/>
          </cell>
          <cell r="CK166" t="str">
            <v/>
          </cell>
        </row>
        <row r="167">
          <cell r="BM167" t="str">
            <v/>
          </cell>
          <cell r="CG167" t="str">
            <v/>
          </cell>
          <cell r="CI167" t="str">
            <v/>
          </cell>
          <cell r="CJ167" t="str">
            <v/>
          </cell>
          <cell r="CK167" t="str">
            <v/>
          </cell>
        </row>
        <row r="168">
          <cell r="BM168" t="str">
            <v/>
          </cell>
          <cell r="CG168" t="str">
            <v/>
          </cell>
          <cell r="CI168" t="str">
            <v/>
          </cell>
          <cell r="CJ168" t="str">
            <v/>
          </cell>
          <cell r="CK168" t="str">
            <v/>
          </cell>
        </row>
        <row r="169">
          <cell r="BM169" t="str">
            <v/>
          </cell>
          <cell r="CG169" t="str">
            <v/>
          </cell>
          <cell r="CI169" t="str">
            <v/>
          </cell>
          <cell r="CJ169" t="str">
            <v/>
          </cell>
          <cell r="CK169" t="str">
            <v/>
          </cell>
        </row>
        <row r="170">
          <cell r="BM170" t="str">
            <v/>
          </cell>
          <cell r="CG170" t="str">
            <v/>
          </cell>
          <cell r="CI170" t="str">
            <v/>
          </cell>
          <cell r="CJ170" t="str">
            <v/>
          </cell>
          <cell r="CK170" t="str">
            <v/>
          </cell>
        </row>
        <row r="171">
          <cell r="BM171" t="str">
            <v/>
          </cell>
          <cell r="CG171" t="str">
            <v/>
          </cell>
          <cell r="CI171" t="str">
            <v/>
          </cell>
          <cell r="CJ171" t="str">
            <v/>
          </cell>
          <cell r="CK171" t="str">
            <v/>
          </cell>
        </row>
        <row r="172">
          <cell r="BM172" t="str">
            <v/>
          </cell>
          <cell r="CG172" t="str">
            <v/>
          </cell>
          <cell r="CI172" t="str">
            <v/>
          </cell>
          <cell r="CJ172" t="str">
            <v/>
          </cell>
          <cell r="CK172" t="str">
            <v/>
          </cell>
        </row>
        <row r="173">
          <cell r="BM173" t="str">
            <v/>
          </cell>
          <cell r="CG173" t="str">
            <v/>
          </cell>
          <cell r="CI173" t="str">
            <v/>
          </cell>
          <cell r="CJ173" t="str">
            <v/>
          </cell>
          <cell r="CK173" t="str">
            <v/>
          </cell>
        </row>
        <row r="174">
          <cell r="BM174" t="str">
            <v/>
          </cell>
          <cell r="CG174" t="str">
            <v/>
          </cell>
          <cell r="CI174" t="str">
            <v/>
          </cell>
          <cell r="CJ174" t="str">
            <v/>
          </cell>
          <cell r="CK174" t="str">
            <v/>
          </cell>
        </row>
        <row r="175">
          <cell r="BM175" t="str">
            <v/>
          </cell>
          <cell r="CG175" t="str">
            <v/>
          </cell>
          <cell r="CI175" t="str">
            <v/>
          </cell>
          <cell r="CJ175" t="str">
            <v/>
          </cell>
          <cell r="CK175" t="str">
            <v/>
          </cell>
        </row>
        <row r="176">
          <cell r="BM176" t="str">
            <v/>
          </cell>
          <cell r="CG176" t="str">
            <v/>
          </cell>
          <cell r="CI176" t="str">
            <v/>
          </cell>
          <cell r="CJ176" t="str">
            <v/>
          </cell>
          <cell r="CK176" t="str">
            <v/>
          </cell>
        </row>
        <row r="177">
          <cell r="BM177" t="str">
            <v/>
          </cell>
          <cell r="CG177" t="str">
            <v/>
          </cell>
          <cell r="CI177" t="str">
            <v/>
          </cell>
          <cell r="CJ177" t="str">
            <v/>
          </cell>
          <cell r="CK177" t="str">
            <v/>
          </cell>
        </row>
        <row r="178">
          <cell r="BM178" t="str">
            <v/>
          </cell>
          <cell r="CG178" t="str">
            <v/>
          </cell>
          <cell r="CI178" t="str">
            <v/>
          </cell>
          <cell r="CJ178" t="str">
            <v/>
          </cell>
          <cell r="CK178" t="str">
            <v/>
          </cell>
        </row>
        <row r="179">
          <cell r="BM179" t="str">
            <v/>
          </cell>
          <cell r="CG179" t="str">
            <v/>
          </cell>
          <cell r="CI179" t="str">
            <v/>
          </cell>
          <cell r="CJ179" t="str">
            <v/>
          </cell>
          <cell r="CK179" t="str">
            <v/>
          </cell>
        </row>
        <row r="180">
          <cell r="BM180" t="str">
            <v/>
          </cell>
          <cell r="CG180" t="str">
            <v/>
          </cell>
          <cell r="CI180" t="str">
            <v/>
          </cell>
          <cell r="CJ180" t="str">
            <v/>
          </cell>
          <cell r="CK180" t="str">
            <v/>
          </cell>
        </row>
        <row r="181">
          <cell r="BM181" t="str">
            <v/>
          </cell>
          <cell r="CG181" t="str">
            <v/>
          </cell>
          <cell r="CI181" t="str">
            <v/>
          </cell>
          <cell r="CJ181" t="str">
            <v/>
          </cell>
          <cell r="CK181" t="str">
            <v/>
          </cell>
        </row>
        <row r="182">
          <cell r="BM182" t="str">
            <v/>
          </cell>
          <cell r="CG182" t="str">
            <v/>
          </cell>
          <cell r="CI182" t="str">
            <v/>
          </cell>
          <cell r="CJ182" t="str">
            <v/>
          </cell>
          <cell r="CK182" t="str">
            <v/>
          </cell>
        </row>
        <row r="183">
          <cell r="BM183" t="str">
            <v/>
          </cell>
          <cell r="CG183" t="str">
            <v/>
          </cell>
          <cell r="CI183" t="str">
            <v/>
          </cell>
          <cell r="CJ183" t="str">
            <v/>
          </cell>
          <cell r="CK183" t="str">
            <v/>
          </cell>
        </row>
        <row r="184">
          <cell r="BM184" t="str">
            <v/>
          </cell>
          <cell r="CG184" t="str">
            <v/>
          </cell>
          <cell r="CI184" t="str">
            <v/>
          </cell>
          <cell r="CJ184" t="str">
            <v/>
          </cell>
          <cell r="CK184" t="str">
            <v/>
          </cell>
        </row>
        <row r="185">
          <cell r="BM185" t="str">
            <v/>
          </cell>
          <cell r="CG185" t="str">
            <v/>
          </cell>
          <cell r="CI185" t="str">
            <v/>
          </cell>
          <cell r="CJ185" t="str">
            <v/>
          </cell>
          <cell r="CK185" t="str">
            <v/>
          </cell>
        </row>
        <row r="186">
          <cell r="BM186" t="str">
            <v/>
          </cell>
          <cell r="CG186" t="str">
            <v/>
          </cell>
          <cell r="CI186" t="str">
            <v/>
          </cell>
          <cell r="CJ186" t="str">
            <v/>
          </cell>
          <cell r="CK186" t="str">
            <v/>
          </cell>
        </row>
        <row r="187">
          <cell r="BM187" t="str">
            <v/>
          </cell>
          <cell r="CG187" t="str">
            <v/>
          </cell>
          <cell r="CI187" t="str">
            <v/>
          </cell>
          <cell r="CJ187" t="str">
            <v/>
          </cell>
          <cell r="CK187" t="str">
            <v/>
          </cell>
        </row>
        <row r="188">
          <cell r="BM188" t="str">
            <v/>
          </cell>
          <cell r="CG188" t="str">
            <v/>
          </cell>
          <cell r="CI188" t="str">
            <v/>
          </cell>
          <cell r="CJ188" t="str">
            <v/>
          </cell>
          <cell r="CK188" t="str">
            <v/>
          </cell>
        </row>
        <row r="189">
          <cell r="BM189" t="str">
            <v/>
          </cell>
          <cell r="CG189" t="str">
            <v/>
          </cell>
          <cell r="CI189" t="str">
            <v/>
          </cell>
          <cell r="CJ189" t="str">
            <v/>
          </cell>
          <cell r="CK189" t="str">
            <v/>
          </cell>
        </row>
        <row r="190">
          <cell r="BM190" t="str">
            <v/>
          </cell>
          <cell r="CG190" t="str">
            <v/>
          </cell>
          <cell r="CI190" t="str">
            <v/>
          </cell>
          <cell r="CJ190" t="str">
            <v/>
          </cell>
          <cell r="CK190" t="str">
            <v/>
          </cell>
        </row>
        <row r="191">
          <cell r="BM191" t="str">
            <v/>
          </cell>
          <cell r="CG191" t="str">
            <v/>
          </cell>
          <cell r="CI191" t="str">
            <v/>
          </cell>
          <cell r="CJ191" t="str">
            <v/>
          </cell>
          <cell r="CK191" t="str">
            <v/>
          </cell>
        </row>
        <row r="192">
          <cell r="BM192" t="str">
            <v/>
          </cell>
          <cell r="CG192" t="str">
            <v/>
          </cell>
          <cell r="CI192" t="str">
            <v/>
          </cell>
          <cell r="CJ192" t="str">
            <v/>
          </cell>
          <cell r="CK192" t="str">
            <v/>
          </cell>
        </row>
        <row r="193">
          <cell r="BM193" t="str">
            <v/>
          </cell>
          <cell r="CG193" t="str">
            <v/>
          </cell>
          <cell r="CI193" t="str">
            <v/>
          </cell>
          <cell r="CJ193" t="str">
            <v/>
          </cell>
          <cell r="CK193" t="str">
            <v/>
          </cell>
        </row>
        <row r="194">
          <cell r="BM194" t="str">
            <v/>
          </cell>
          <cell r="CG194" t="str">
            <v/>
          </cell>
          <cell r="CI194" t="str">
            <v/>
          </cell>
          <cell r="CJ194" t="str">
            <v/>
          </cell>
          <cell r="CK194" t="str">
            <v/>
          </cell>
        </row>
        <row r="195">
          <cell r="BM195" t="str">
            <v/>
          </cell>
          <cell r="CG195" t="str">
            <v/>
          </cell>
          <cell r="CI195" t="str">
            <v/>
          </cell>
          <cell r="CJ195" t="str">
            <v/>
          </cell>
          <cell r="CK195" t="str">
            <v/>
          </cell>
        </row>
        <row r="196">
          <cell r="BM196" t="str">
            <v/>
          </cell>
          <cell r="CG196" t="str">
            <v/>
          </cell>
          <cell r="CI196" t="str">
            <v/>
          </cell>
          <cell r="CJ196" t="str">
            <v/>
          </cell>
          <cell r="CK196" t="str">
            <v/>
          </cell>
        </row>
        <row r="197">
          <cell r="BM197" t="str">
            <v/>
          </cell>
          <cell r="CG197" t="str">
            <v/>
          </cell>
          <cell r="CI197" t="str">
            <v/>
          </cell>
          <cell r="CJ197" t="str">
            <v/>
          </cell>
          <cell r="CK197" t="str">
            <v/>
          </cell>
        </row>
        <row r="198">
          <cell r="BM198" t="str">
            <v/>
          </cell>
          <cell r="CG198" t="str">
            <v/>
          </cell>
          <cell r="CI198" t="str">
            <v/>
          </cell>
          <cell r="CJ198" t="str">
            <v/>
          </cell>
          <cell r="CK198" t="str">
            <v/>
          </cell>
        </row>
        <row r="199">
          <cell r="BM199" t="str">
            <v/>
          </cell>
          <cell r="CG199" t="str">
            <v/>
          </cell>
          <cell r="CI199" t="str">
            <v/>
          </cell>
          <cell r="CJ199" t="str">
            <v/>
          </cell>
          <cell r="CK199" t="str">
            <v/>
          </cell>
        </row>
        <row r="200">
          <cell r="BM200" t="str">
            <v/>
          </cell>
          <cell r="CG200" t="str">
            <v/>
          </cell>
          <cell r="CI200" t="str">
            <v/>
          </cell>
          <cell r="CJ200" t="str">
            <v/>
          </cell>
          <cell r="CK200" t="str">
            <v/>
          </cell>
        </row>
        <row r="201">
          <cell r="BM201" t="str">
            <v/>
          </cell>
          <cell r="CG201" t="str">
            <v/>
          </cell>
          <cell r="CI201" t="str">
            <v/>
          </cell>
          <cell r="CJ201" t="str">
            <v/>
          </cell>
          <cell r="CK201" t="str">
            <v/>
          </cell>
        </row>
        <row r="202">
          <cell r="BM202" t="str">
            <v/>
          </cell>
          <cell r="CG202" t="str">
            <v/>
          </cell>
          <cell r="CI202" t="str">
            <v/>
          </cell>
          <cell r="CJ202" t="str">
            <v/>
          </cell>
          <cell r="CK202" t="str">
            <v/>
          </cell>
        </row>
        <row r="203">
          <cell r="BM203" t="str">
            <v/>
          </cell>
          <cell r="CG203" t="str">
            <v/>
          </cell>
          <cell r="CI203" t="str">
            <v/>
          </cell>
          <cell r="CJ203" t="str">
            <v/>
          </cell>
          <cell r="CK203" t="str">
            <v/>
          </cell>
        </row>
        <row r="204">
          <cell r="BM204" t="str">
            <v/>
          </cell>
          <cell r="CG204" t="str">
            <v/>
          </cell>
          <cell r="CI204" t="str">
            <v/>
          </cell>
          <cell r="CJ204" t="str">
            <v/>
          </cell>
          <cell r="CK204" t="str">
            <v/>
          </cell>
        </row>
        <row r="205">
          <cell r="BM205" t="str">
            <v/>
          </cell>
          <cell r="CG205" t="str">
            <v/>
          </cell>
          <cell r="CI205" t="str">
            <v/>
          </cell>
          <cell r="CJ205" t="str">
            <v/>
          </cell>
          <cell r="CK205" t="str">
            <v/>
          </cell>
        </row>
        <row r="206">
          <cell r="BM206" t="str">
            <v/>
          </cell>
          <cell r="CG206" t="str">
            <v/>
          </cell>
          <cell r="CI206" t="str">
            <v/>
          </cell>
          <cell r="CJ206" t="str">
            <v/>
          </cell>
          <cell r="CK206" t="str">
            <v/>
          </cell>
        </row>
        <row r="207">
          <cell r="BM207" t="str">
            <v/>
          </cell>
          <cell r="CG207" t="str">
            <v/>
          </cell>
          <cell r="CI207" t="str">
            <v/>
          </cell>
          <cell r="CJ207" t="str">
            <v/>
          </cell>
          <cell r="CK207" t="str">
            <v/>
          </cell>
        </row>
        <row r="208">
          <cell r="BM208" t="str">
            <v/>
          </cell>
          <cell r="CG208" t="str">
            <v/>
          </cell>
          <cell r="CI208" t="str">
            <v/>
          </cell>
          <cell r="CJ208" t="str">
            <v/>
          </cell>
          <cell r="CK208" t="str">
            <v/>
          </cell>
        </row>
        <row r="209">
          <cell r="BM209" t="str">
            <v/>
          </cell>
          <cell r="CG209" t="str">
            <v/>
          </cell>
          <cell r="CI209" t="str">
            <v/>
          </cell>
          <cell r="CJ209" t="str">
            <v/>
          </cell>
          <cell r="CK209" t="str">
            <v/>
          </cell>
        </row>
        <row r="210">
          <cell r="BM210" t="str">
            <v/>
          </cell>
          <cell r="CG210" t="str">
            <v/>
          </cell>
          <cell r="CI210" t="str">
            <v/>
          </cell>
          <cell r="CJ210" t="str">
            <v/>
          </cell>
          <cell r="CK210" t="str">
            <v/>
          </cell>
        </row>
        <row r="211">
          <cell r="BM211" t="str">
            <v/>
          </cell>
          <cell r="CG211" t="str">
            <v/>
          </cell>
          <cell r="CI211" t="str">
            <v/>
          </cell>
          <cell r="CJ211" t="str">
            <v/>
          </cell>
          <cell r="CK211" t="str">
            <v/>
          </cell>
        </row>
        <row r="212">
          <cell r="BM212" t="str">
            <v/>
          </cell>
          <cell r="CG212" t="str">
            <v/>
          </cell>
          <cell r="CI212" t="str">
            <v/>
          </cell>
          <cell r="CJ212" t="str">
            <v/>
          </cell>
          <cell r="CK212" t="str">
            <v/>
          </cell>
        </row>
        <row r="213">
          <cell r="BM213" t="str">
            <v/>
          </cell>
          <cell r="CG213" t="str">
            <v/>
          </cell>
          <cell r="CI213" t="str">
            <v/>
          </cell>
          <cell r="CJ213" t="str">
            <v/>
          </cell>
          <cell r="CK213" t="str">
            <v/>
          </cell>
        </row>
        <row r="214">
          <cell r="BM214" t="str">
            <v/>
          </cell>
          <cell r="CG214" t="str">
            <v/>
          </cell>
          <cell r="CI214" t="str">
            <v/>
          </cell>
          <cell r="CJ214" t="str">
            <v/>
          </cell>
          <cell r="CK214" t="str">
            <v/>
          </cell>
        </row>
        <row r="215">
          <cell r="BM215" t="str">
            <v/>
          </cell>
          <cell r="CG215" t="str">
            <v/>
          </cell>
          <cell r="CI215" t="str">
            <v/>
          </cell>
          <cell r="CJ215" t="str">
            <v/>
          </cell>
          <cell r="CK215" t="str">
            <v/>
          </cell>
        </row>
        <row r="216">
          <cell r="BM216" t="str">
            <v/>
          </cell>
          <cell r="CG216" t="str">
            <v/>
          </cell>
          <cell r="CI216" t="str">
            <v/>
          </cell>
          <cell r="CJ216" t="str">
            <v/>
          </cell>
          <cell r="CK216" t="str">
            <v/>
          </cell>
        </row>
        <row r="217">
          <cell r="BM217" t="str">
            <v/>
          </cell>
          <cell r="CG217" t="str">
            <v/>
          </cell>
          <cell r="CI217" t="str">
            <v/>
          </cell>
          <cell r="CJ217" t="str">
            <v/>
          </cell>
          <cell r="CK217" t="str">
            <v/>
          </cell>
        </row>
        <row r="218">
          <cell r="BM218" t="str">
            <v/>
          </cell>
          <cell r="CG218" t="str">
            <v/>
          </cell>
          <cell r="CI218" t="str">
            <v/>
          </cell>
          <cell r="CJ218" t="str">
            <v/>
          </cell>
          <cell r="CK218" t="str">
            <v/>
          </cell>
        </row>
        <row r="219">
          <cell r="BM219" t="str">
            <v/>
          </cell>
          <cell r="CG219" t="str">
            <v/>
          </cell>
          <cell r="CI219" t="str">
            <v/>
          </cell>
          <cell r="CJ219" t="str">
            <v/>
          </cell>
          <cell r="CK219" t="str">
            <v/>
          </cell>
        </row>
        <row r="220">
          <cell r="BM220" t="str">
            <v/>
          </cell>
          <cell r="CG220" t="str">
            <v/>
          </cell>
          <cell r="CI220" t="str">
            <v/>
          </cell>
          <cell r="CJ220" t="str">
            <v/>
          </cell>
          <cell r="CK220" t="str">
            <v/>
          </cell>
        </row>
        <row r="221">
          <cell r="BM221" t="str">
            <v/>
          </cell>
          <cell r="CG221" t="str">
            <v/>
          </cell>
          <cell r="CI221" t="str">
            <v/>
          </cell>
          <cell r="CJ221" t="str">
            <v/>
          </cell>
          <cell r="CK221" t="str">
            <v/>
          </cell>
        </row>
        <row r="222">
          <cell r="BM222" t="str">
            <v/>
          </cell>
          <cell r="CG222" t="str">
            <v/>
          </cell>
          <cell r="CI222" t="str">
            <v/>
          </cell>
          <cell r="CJ222" t="str">
            <v/>
          </cell>
          <cell r="CK222" t="str">
            <v/>
          </cell>
        </row>
        <row r="223">
          <cell r="BM223" t="str">
            <v/>
          </cell>
          <cell r="CG223" t="str">
            <v/>
          </cell>
          <cell r="CI223" t="str">
            <v/>
          </cell>
          <cell r="CJ223" t="str">
            <v/>
          </cell>
          <cell r="CK223" t="str">
            <v/>
          </cell>
        </row>
        <row r="224">
          <cell r="BM224" t="str">
            <v/>
          </cell>
          <cell r="CG224" t="str">
            <v/>
          </cell>
          <cell r="CI224" t="str">
            <v/>
          </cell>
          <cell r="CJ224" t="str">
            <v/>
          </cell>
          <cell r="CK224" t="str">
            <v/>
          </cell>
        </row>
        <row r="225">
          <cell r="BM225" t="str">
            <v/>
          </cell>
          <cell r="CG225" t="str">
            <v/>
          </cell>
          <cell r="CI225" t="str">
            <v/>
          </cell>
          <cell r="CJ225" t="str">
            <v/>
          </cell>
          <cell r="CK225" t="str">
            <v/>
          </cell>
        </row>
        <row r="226">
          <cell r="BM226" t="str">
            <v/>
          </cell>
          <cell r="CG226" t="str">
            <v/>
          </cell>
          <cell r="CI226" t="str">
            <v/>
          </cell>
          <cell r="CJ226" t="str">
            <v/>
          </cell>
          <cell r="CK226" t="str">
            <v/>
          </cell>
        </row>
        <row r="227">
          <cell r="BM227" t="str">
            <v/>
          </cell>
          <cell r="CG227" t="str">
            <v/>
          </cell>
          <cell r="CI227" t="str">
            <v/>
          </cell>
          <cell r="CJ227" t="str">
            <v/>
          </cell>
          <cell r="CK227" t="str">
            <v/>
          </cell>
        </row>
        <row r="228">
          <cell r="BM228" t="str">
            <v/>
          </cell>
          <cell r="CG228" t="str">
            <v/>
          </cell>
          <cell r="CI228" t="str">
            <v/>
          </cell>
          <cell r="CJ228" t="str">
            <v/>
          </cell>
          <cell r="CK228" t="str">
            <v/>
          </cell>
        </row>
        <row r="229">
          <cell r="BM229" t="str">
            <v/>
          </cell>
          <cell r="CG229" t="str">
            <v/>
          </cell>
          <cell r="CI229" t="str">
            <v/>
          </cell>
          <cell r="CJ229" t="str">
            <v/>
          </cell>
          <cell r="CK229" t="str">
            <v/>
          </cell>
        </row>
        <row r="230">
          <cell r="BM230" t="str">
            <v/>
          </cell>
          <cell r="CG230" t="str">
            <v/>
          </cell>
          <cell r="CI230" t="str">
            <v/>
          </cell>
          <cell r="CJ230" t="str">
            <v/>
          </cell>
          <cell r="CK230" t="str">
            <v/>
          </cell>
        </row>
        <row r="231">
          <cell r="BM231" t="str">
            <v/>
          </cell>
          <cell r="CG231" t="str">
            <v/>
          </cell>
          <cell r="CI231" t="str">
            <v/>
          </cell>
          <cell r="CJ231" t="str">
            <v/>
          </cell>
          <cell r="CK231" t="str">
            <v/>
          </cell>
        </row>
        <row r="232">
          <cell r="BM232" t="str">
            <v/>
          </cell>
          <cell r="CG232" t="str">
            <v/>
          </cell>
          <cell r="CI232" t="str">
            <v/>
          </cell>
          <cell r="CJ232" t="str">
            <v/>
          </cell>
          <cell r="CK232" t="str">
            <v/>
          </cell>
        </row>
        <row r="233">
          <cell r="BM233" t="str">
            <v/>
          </cell>
          <cell r="CG233" t="str">
            <v/>
          </cell>
          <cell r="CI233" t="str">
            <v/>
          </cell>
          <cell r="CJ233" t="str">
            <v/>
          </cell>
          <cell r="CK233" t="str">
            <v/>
          </cell>
        </row>
        <row r="234">
          <cell r="BM234" t="str">
            <v/>
          </cell>
          <cell r="CG234" t="str">
            <v/>
          </cell>
          <cell r="CI234" t="str">
            <v/>
          </cell>
          <cell r="CJ234" t="str">
            <v/>
          </cell>
          <cell r="CK234" t="str">
            <v/>
          </cell>
        </row>
        <row r="235">
          <cell r="BM235" t="str">
            <v/>
          </cell>
          <cell r="CG235" t="str">
            <v/>
          </cell>
          <cell r="CI235" t="str">
            <v/>
          </cell>
          <cell r="CJ235" t="str">
            <v/>
          </cell>
          <cell r="CK235" t="str">
            <v/>
          </cell>
        </row>
        <row r="236">
          <cell r="BM236" t="str">
            <v/>
          </cell>
          <cell r="CG236" t="str">
            <v/>
          </cell>
          <cell r="CI236" t="str">
            <v/>
          </cell>
          <cell r="CJ236" t="str">
            <v/>
          </cell>
          <cell r="CK236" t="str">
            <v/>
          </cell>
        </row>
        <row r="237">
          <cell r="BM237" t="str">
            <v/>
          </cell>
          <cell r="CG237" t="str">
            <v/>
          </cell>
          <cell r="CI237" t="str">
            <v/>
          </cell>
          <cell r="CJ237" t="str">
            <v/>
          </cell>
          <cell r="CK237" t="str">
            <v/>
          </cell>
        </row>
        <row r="238">
          <cell r="BM238" t="str">
            <v/>
          </cell>
          <cell r="CG238" t="str">
            <v/>
          </cell>
          <cell r="CI238" t="str">
            <v/>
          </cell>
          <cell r="CJ238" t="str">
            <v/>
          </cell>
          <cell r="CK238" t="str">
            <v/>
          </cell>
        </row>
        <row r="239">
          <cell r="BM239" t="str">
            <v/>
          </cell>
          <cell r="CG239" t="str">
            <v/>
          </cell>
          <cell r="CI239" t="str">
            <v/>
          </cell>
          <cell r="CJ239" t="str">
            <v/>
          </cell>
          <cell r="CK239" t="str">
            <v/>
          </cell>
        </row>
        <row r="240">
          <cell r="BM240" t="str">
            <v/>
          </cell>
          <cell r="CG240" t="str">
            <v/>
          </cell>
          <cell r="CI240" t="str">
            <v/>
          </cell>
          <cell r="CJ240" t="str">
            <v/>
          </cell>
          <cell r="CK240" t="str">
            <v/>
          </cell>
        </row>
        <row r="241">
          <cell r="BM241" t="str">
            <v/>
          </cell>
          <cell r="CG241" t="str">
            <v/>
          </cell>
          <cell r="CI241" t="str">
            <v/>
          </cell>
          <cell r="CJ241" t="str">
            <v/>
          </cell>
          <cell r="CK241" t="str">
            <v/>
          </cell>
        </row>
        <row r="242">
          <cell r="BM242" t="str">
            <v/>
          </cell>
          <cell r="CG242" t="str">
            <v/>
          </cell>
          <cell r="CI242" t="str">
            <v/>
          </cell>
          <cell r="CJ242" t="str">
            <v/>
          </cell>
          <cell r="CK242" t="str">
            <v/>
          </cell>
        </row>
        <row r="243">
          <cell r="BM243" t="str">
            <v/>
          </cell>
          <cell r="CG243" t="str">
            <v/>
          </cell>
          <cell r="CI243" t="str">
            <v/>
          </cell>
          <cell r="CJ243" t="str">
            <v/>
          </cell>
          <cell r="CK243" t="str">
            <v/>
          </cell>
        </row>
        <row r="244">
          <cell r="BM244" t="str">
            <v/>
          </cell>
          <cell r="CG244" t="str">
            <v/>
          </cell>
          <cell r="CI244" t="str">
            <v/>
          </cell>
          <cell r="CJ244" t="str">
            <v/>
          </cell>
          <cell r="CK244" t="str">
            <v/>
          </cell>
        </row>
        <row r="245">
          <cell r="BM245" t="str">
            <v/>
          </cell>
          <cell r="CG245" t="str">
            <v/>
          </cell>
          <cell r="CI245" t="str">
            <v/>
          </cell>
          <cell r="CJ245" t="str">
            <v/>
          </cell>
          <cell r="CK245" t="str">
            <v/>
          </cell>
        </row>
        <row r="246">
          <cell r="BM246" t="str">
            <v/>
          </cell>
          <cell r="CG246" t="str">
            <v/>
          </cell>
          <cell r="CI246" t="str">
            <v/>
          </cell>
          <cell r="CJ246" t="str">
            <v/>
          </cell>
          <cell r="CK246" t="str">
            <v/>
          </cell>
        </row>
        <row r="247">
          <cell r="BM247" t="str">
            <v/>
          </cell>
          <cell r="CG247" t="str">
            <v/>
          </cell>
          <cell r="CI247" t="str">
            <v/>
          </cell>
          <cell r="CJ247" t="str">
            <v/>
          </cell>
          <cell r="CK247" t="str">
            <v/>
          </cell>
        </row>
        <row r="248">
          <cell r="BM248" t="str">
            <v/>
          </cell>
          <cell r="CG248" t="str">
            <v/>
          </cell>
          <cell r="CI248" t="str">
            <v/>
          </cell>
          <cell r="CJ248" t="str">
            <v/>
          </cell>
          <cell r="CK248" t="str">
            <v/>
          </cell>
        </row>
        <row r="249">
          <cell r="BM249" t="str">
            <v/>
          </cell>
          <cell r="CG249" t="str">
            <v/>
          </cell>
          <cell r="CI249" t="str">
            <v/>
          </cell>
          <cell r="CJ249" t="str">
            <v/>
          </cell>
          <cell r="CK249" t="str">
            <v/>
          </cell>
        </row>
        <row r="250">
          <cell r="BM250" t="str">
            <v/>
          </cell>
          <cell r="CG250" t="str">
            <v/>
          </cell>
          <cell r="CI250" t="str">
            <v/>
          </cell>
          <cell r="CJ250" t="str">
            <v/>
          </cell>
          <cell r="CK250" t="str">
            <v/>
          </cell>
        </row>
        <row r="251">
          <cell r="BM251" t="str">
            <v/>
          </cell>
          <cell r="CG251" t="str">
            <v/>
          </cell>
          <cell r="CI251" t="str">
            <v/>
          </cell>
          <cell r="CJ251" t="str">
            <v/>
          </cell>
          <cell r="CK251" t="str">
            <v/>
          </cell>
        </row>
        <row r="252">
          <cell r="BM252" t="str">
            <v/>
          </cell>
          <cell r="CG252" t="str">
            <v/>
          </cell>
          <cell r="CI252" t="str">
            <v/>
          </cell>
          <cell r="CJ252" t="str">
            <v/>
          </cell>
          <cell r="CK252" t="str">
            <v/>
          </cell>
        </row>
        <row r="253">
          <cell r="BM253" t="str">
            <v/>
          </cell>
          <cell r="CG253" t="str">
            <v/>
          </cell>
          <cell r="CI253" t="str">
            <v/>
          </cell>
          <cell r="CJ253" t="str">
            <v/>
          </cell>
          <cell r="CK253" t="str">
            <v/>
          </cell>
        </row>
        <row r="254">
          <cell r="BM254" t="str">
            <v/>
          </cell>
          <cell r="CG254" t="str">
            <v/>
          </cell>
          <cell r="CI254" t="str">
            <v/>
          </cell>
          <cell r="CJ254" t="str">
            <v/>
          </cell>
          <cell r="CK254" t="str">
            <v/>
          </cell>
        </row>
        <row r="255">
          <cell r="BM255" t="str">
            <v/>
          </cell>
          <cell r="CG255" t="str">
            <v/>
          </cell>
          <cell r="CI255" t="str">
            <v/>
          </cell>
          <cell r="CJ255" t="str">
            <v/>
          </cell>
          <cell r="CK255" t="str">
            <v/>
          </cell>
        </row>
        <row r="256">
          <cell r="BM256" t="str">
            <v/>
          </cell>
          <cell r="CG256" t="str">
            <v/>
          </cell>
          <cell r="CI256" t="str">
            <v/>
          </cell>
          <cell r="CJ256" t="str">
            <v/>
          </cell>
          <cell r="CK256" t="str">
            <v/>
          </cell>
        </row>
        <row r="257">
          <cell r="BM257" t="str">
            <v/>
          </cell>
          <cell r="CG257" t="str">
            <v/>
          </cell>
          <cell r="CI257" t="str">
            <v/>
          </cell>
          <cell r="CJ257" t="str">
            <v/>
          </cell>
          <cell r="CK257" t="str">
            <v/>
          </cell>
        </row>
        <row r="258">
          <cell r="BM258" t="str">
            <v/>
          </cell>
          <cell r="CG258" t="str">
            <v/>
          </cell>
          <cell r="CI258" t="str">
            <v/>
          </cell>
          <cell r="CJ258" t="str">
            <v/>
          </cell>
          <cell r="CK258" t="str">
            <v/>
          </cell>
        </row>
        <row r="259">
          <cell r="BM259" t="str">
            <v/>
          </cell>
          <cell r="CG259" t="str">
            <v/>
          </cell>
          <cell r="CI259" t="str">
            <v/>
          </cell>
          <cell r="CJ259" t="str">
            <v/>
          </cell>
          <cell r="CK259" t="str">
            <v/>
          </cell>
        </row>
        <row r="260">
          <cell r="BM260" t="str">
            <v/>
          </cell>
          <cell r="CG260" t="str">
            <v/>
          </cell>
          <cell r="CI260" t="str">
            <v/>
          </cell>
          <cell r="CJ260" t="str">
            <v/>
          </cell>
          <cell r="CK260" t="str">
            <v/>
          </cell>
        </row>
        <row r="261">
          <cell r="BM261" t="str">
            <v/>
          </cell>
          <cell r="CG261" t="str">
            <v/>
          </cell>
          <cell r="CI261" t="str">
            <v/>
          </cell>
          <cell r="CJ261" t="str">
            <v/>
          </cell>
          <cell r="CK261" t="str">
            <v/>
          </cell>
        </row>
        <row r="262">
          <cell r="BM262" t="str">
            <v/>
          </cell>
          <cell r="CG262" t="str">
            <v/>
          </cell>
          <cell r="CI262" t="str">
            <v/>
          </cell>
          <cell r="CJ262" t="str">
            <v/>
          </cell>
          <cell r="CK262" t="str">
            <v/>
          </cell>
        </row>
        <row r="263">
          <cell r="BM263" t="str">
            <v/>
          </cell>
          <cell r="CG263" t="str">
            <v/>
          </cell>
          <cell r="CI263" t="str">
            <v/>
          </cell>
          <cell r="CJ263" t="str">
            <v/>
          </cell>
          <cell r="CK263" t="str">
            <v/>
          </cell>
        </row>
        <row r="264">
          <cell r="BM264" t="str">
            <v/>
          </cell>
          <cell r="CG264" t="str">
            <v/>
          </cell>
          <cell r="CI264" t="str">
            <v/>
          </cell>
          <cell r="CJ264" t="str">
            <v/>
          </cell>
          <cell r="CK264" t="str">
            <v/>
          </cell>
        </row>
        <row r="265">
          <cell r="BM265" t="str">
            <v/>
          </cell>
          <cell r="CG265" t="str">
            <v/>
          </cell>
          <cell r="CI265" t="str">
            <v/>
          </cell>
          <cell r="CJ265" t="str">
            <v/>
          </cell>
          <cell r="CK265" t="str">
            <v/>
          </cell>
        </row>
        <row r="266">
          <cell r="BM266" t="str">
            <v/>
          </cell>
          <cell r="CG266" t="str">
            <v/>
          </cell>
          <cell r="CI266" t="str">
            <v/>
          </cell>
          <cell r="CJ266" t="str">
            <v/>
          </cell>
          <cell r="CK266" t="str">
            <v/>
          </cell>
        </row>
        <row r="267">
          <cell r="BM267" t="str">
            <v/>
          </cell>
          <cell r="CG267" t="str">
            <v/>
          </cell>
          <cell r="CI267" t="str">
            <v/>
          </cell>
          <cell r="CJ267" t="str">
            <v/>
          </cell>
          <cell r="CK267" t="str">
            <v/>
          </cell>
        </row>
        <row r="268">
          <cell r="BM268" t="str">
            <v/>
          </cell>
          <cell r="CG268" t="str">
            <v/>
          </cell>
          <cell r="CI268" t="str">
            <v/>
          </cell>
          <cell r="CJ268" t="str">
            <v/>
          </cell>
          <cell r="CK268" t="str">
            <v/>
          </cell>
        </row>
        <row r="269">
          <cell r="BM269" t="str">
            <v/>
          </cell>
          <cell r="CG269" t="str">
            <v/>
          </cell>
          <cell r="CI269" t="str">
            <v/>
          </cell>
          <cell r="CJ269" t="str">
            <v/>
          </cell>
          <cell r="CK269" t="str">
            <v/>
          </cell>
        </row>
        <row r="270">
          <cell r="BM270" t="str">
            <v/>
          </cell>
          <cell r="CG270" t="str">
            <v/>
          </cell>
          <cell r="CI270" t="str">
            <v/>
          </cell>
          <cell r="CJ270" t="str">
            <v/>
          </cell>
          <cell r="CK270" t="str">
            <v/>
          </cell>
        </row>
        <row r="271">
          <cell r="BM271" t="str">
            <v/>
          </cell>
          <cell r="CG271" t="str">
            <v/>
          </cell>
          <cell r="CI271" t="str">
            <v/>
          </cell>
          <cell r="CJ271" t="str">
            <v/>
          </cell>
          <cell r="CK271" t="str">
            <v/>
          </cell>
        </row>
        <row r="272">
          <cell r="BM272" t="str">
            <v/>
          </cell>
          <cell r="CG272" t="str">
            <v/>
          </cell>
          <cell r="CI272" t="str">
            <v/>
          </cell>
          <cell r="CJ272" t="str">
            <v/>
          </cell>
          <cell r="CK272" t="str">
            <v/>
          </cell>
        </row>
        <row r="273">
          <cell r="BM273" t="str">
            <v/>
          </cell>
          <cell r="CG273" t="str">
            <v/>
          </cell>
          <cell r="CI273" t="str">
            <v/>
          </cell>
          <cell r="CJ273" t="str">
            <v/>
          </cell>
          <cell r="CK273" t="str">
            <v/>
          </cell>
        </row>
        <row r="274">
          <cell r="BM274" t="str">
            <v/>
          </cell>
          <cell r="CG274" t="str">
            <v/>
          </cell>
          <cell r="CI274" t="str">
            <v/>
          </cell>
          <cell r="CJ274" t="str">
            <v/>
          </cell>
          <cell r="CK274" t="str">
            <v/>
          </cell>
        </row>
        <row r="275">
          <cell r="BM275" t="str">
            <v/>
          </cell>
          <cell r="CG275" t="str">
            <v/>
          </cell>
          <cell r="CI275" t="str">
            <v/>
          </cell>
          <cell r="CJ275" t="str">
            <v/>
          </cell>
          <cell r="CK275" t="str">
            <v/>
          </cell>
        </row>
        <row r="276">
          <cell r="BM276" t="str">
            <v/>
          </cell>
          <cell r="CG276" t="str">
            <v/>
          </cell>
          <cell r="CI276" t="str">
            <v/>
          </cell>
          <cell r="CJ276" t="str">
            <v/>
          </cell>
          <cell r="CK276" t="str">
            <v/>
          </cell>
        </row>
        <row r="277">
          <cell r="BM277" t="str">
            <v/>
          </cell>
          <cell r="CG277" t="str">
            <v/>
          </cell>
          <cell r="CI277" t="str">
            <v/>
          </cell>
          <cell r="CJ277" t="str">
            <v/>
          </cell>
          <cell r="CK277" t="str">
            <v/>
          </cell>
        </row>
        <row r="278">
          <cell r="BM278" t="str">
            <v/>
          </cell>
          <cell r="CG278" t="str">
            <v/>
          </cell>
          <cell r="CI278" t="str">
            <v/>
          </cell>
          <cell r="CJ278" t="str">
            <v/>
          </cell>
          <cell r="CK278" t="str">
            <v/>
          </cell>
        </row>
        <row r="279">
          <cell r="BM279" t="str">
            <v/>
          </cell>
          <cell r="CG279" t="str">
            <v/>
          </cell>
          <cell r="CI279" t="str">
            <v/>
          </cell>
          <cell r="CJ279" t="str">
            <v/>
          </cell>
          <cell r="CK279" t="str">
            <v/>
          </cell>
        </row>
        <row r="280">
          <cell r="BM280" t="str">
            <v/>
          </cell>
          <cell r="CG280" t="str">
            <v/>
          </cell>
          <cell r="CI280" t="str">
            <v/>
          </cell>
          <cell r="CJ280" t="str">
            <v/>
          </cell>
          <cell r="CK280" t="str">
            <v/>
          </cell>
        </row>
        <row r="281">
          <cell r="BM281" t="str">
            <v/>
          </cell>
          <cell r="CG281" t="str">
            <v/>
          </cell>
          <cell r="CI281" t="str">
            <v/>
          </cell>
          <cell r="CJ281" t="str">
            <v/>
          </cell>
          <cell r="CK281" t="str">
            <v/>
          </cell>
        </row>
        <row r="282">
          <cell r="BM282" t="str">
            <v/>
          </cell>
          <cell r="CG282" t="str">
            <v/>
          </cell>
          <cell r="CI282" t="str">
            <v/>
          </cell>
          <cell r="CJ282" t="str">
            <v/>
          </cell>
          <cell r="CK282" t="str">
            <v/>
          </cell>
        </row>
        <row r="283">
          <cell r="BM283" t="str">
            <v/>
          </cell>
          <cell r="CG283" t="str">
            <v/>
          </cell>
          <cell r="CI283" t="str">
            <v/>
          </cell>
          <cell r="CJ283" t="str">
            <v/>
          </cell>
          <cell r="CK283" t="str">
            <v/>
          </cell>
        </row>
        <row r="284">
          <cell r="BM284" t="str">
            <v/>
          </cell>
          <cell r="CG284" t="str">
            <v/>
          </cell>
          <cell r="CI284" t="str">
            <v/>
          </cell>
          <cell r="CJ284" t="str">
            <v/>
          </cell>
          <cell r="CK284" t="str">
            <v/>
          </cell>
        </row>
        <row r="285">
          <cell r="BM285" t="str">
            <v/>
          </cell>
          <cell r="CG285" t="str">
            <v/>
          </cell>
          <cell r="CI285" t="str">
            <v/>
          </cell>
          <cell r="CJ285" t="str">
            <v/>
          </cell>
          <cell r="CK285" t="str">
            <v/>
          </cell>
        </row>
        <row r="286">
          <cell r="BM286" t="str">
            <v/>
          </cell>
          <cell r="CG286" t="str">
            <v/>
          </cell>
          <cell r="CI286" t="str">
            <v/>
          </cell>
          <cell r="CJ286" t="str">
            <v/>
          </cell>
          <cell r="CK286" t="str">
            <v/>
          </cell>
        </row>
        <row r="287">
          <cell r="BM287" t="str">
            <v/>
          </cell>
          <cell r="CG287" t="str">
            <v/>
          </cell>
          <cell r="CI287" t="str">
            <v/>
          </cell>
          <cell r="CJ287" t="str">
            <v/>
          </cell>
          <cell r="CK287" t="str">
            <v/>
          </cell>
        </row>
        <row r="288">
          <cell r="BM288" t="str">
            <v/>
          </cell>
          <cell r="CG288" t="str">
            <v/>
          </cell>
          <cell r="CI288" t="str">
            <v/>
          </cell>
          <cell r="CJ288" t="str">
            <v/>
          </cell>
          <cell r="CK288" t="str">
            <v/>
          </cell>
        </row>
        <row r="289">
          <cell r="BM289" t="str">
            <v/>
          </cell>
          <cell r="CG289" t="str">
            <v/>
          </cell>
          <cell r="CI289" t="str">
            <v/>
          </cell>
          <cell r="CJ289" t="str">
            <v/>
          </cell>
          <cell r="CK289" t="str">
            <v/>
          </cell>
        </row>
        <row r="290">
          <cell r="BM290" t="str">
            <v/>
          </cell>
          <cell r="CG290" t="str">
            <v/>
          </cell>
          <cell r="CI290" t="str">
            <v/>
          </cell>
          <cell r="CJ290" t="str">
            <v/>
          </cell>
          <cell r="CK290" t="str">
            <v/>
          </cell>
        </row>
        <row r="291">
          <cell r="BM291" t="str">
            <v/>
          </cell>
          <cell r="CG291" t="str">
            <v/>
          </cell>
          <cell r="CI291" t="str">
            <v/>
          </cell>
          <cell r="CJ291" t="str">
            <v/>
          </cell>
          <cell r="CK291" t="str">
            <v/>
          </cell>
        </row>
        <row r="292">
          <cell r="BM292" t="str">
            <v/>
          </cell>
          <cell r="CG292" t="str">
            <v/>
          </cell>
          <cell r="CI292" t="str">
            <v/>
          </cell>
          <cell r="CJ292" t="str">
            <v/>
          </cell>
          <cell r="CK292" t="str">
            <v/>
          </cell>
        </row>
        <row r="293">
          <cell r="BM293" t="str">
            <v/>
          </cell>
          <cell r="CG293" t="str">
            <v/>
          </cell>
          <cell r="CI293" t="str">
            <v/>
          </cell>
          <cell r="CJ293" t="str">
            <v/>
          </cell>
          <cell r="CK293" t="str">
            <v/>
          </cell>
        </row>
        <row r="294">
          <cell r="BM294" t="str">
            <v/>
          </cell>
          <cell r="CG294" t="str">
            <v/>
          </cell>
          <cell r="CI294" t="str">
            <v/>
          </cell>
          <cell r="CJ294" t="str">
            <v/>
          </cell>
          <cell r="CK294" t="str">
            <v/>
          </cell>
        </row>
        <row r="295">
          <cell r="BM295" t="str">
            <v/>
          </cell>
          <cell r="CG295" t="str">
            <v/>
          </cell>
          <cell r="CI295" t="str">
            <v/>
          </cell>
          <cell r="CJ295" t="str">
            <v/>
          </cell>
          <cell r="CK295" t="str">
            <v/>
          </cell>
        </row>
        <row r="296">
          <cell r="BM296" t="str">
            <v/>
          </cell>
          <cell r="CG296" t="str">
            <v/>
          </cell>
          <cell r="CI296" t="str">
            <v/>
          </cell>
          <cell r="CJ296" t="str">
            <v/>
          </cell>
          <cell r="CK296" t="str">
            <v/>
          </cell>
        </row>
        <row r="297">
          <cell r="BM297" t="str">
            <v/>
          </cell>
          <cell r="CG297" t="str">
            <v/>
          </cell>
          <cell r="CI297" t="str">
            <v/>
          </cell>
          <cell r="CJ297" t="str">
            <v/>
          </cell>
          <cell r="CK297" t="str">
            <v/>
          </cell>
        </row>
        <row r="298">
          <cell r="BM298" t="str">
            <v/>
          </cell>
          <cell r="CG298" t="str">
            <v/>
          </cell>
          <cell r="CI298" t="str">
            <v/>
          </cell>
          <cell r="CJ298" t="str">
            <v/>
          </cell>
          <cell r="CK298" t="str">
            <v/>
          </cell>
        </row>
        <row r="299">
          <cell r="BM299" t="str">
            <v/>
          </cell>
          <cell r="CG299" t="str">
            <v/>
          </cell>
          <cell r="CI299" t="str">
            <v/>
          </cell>
          <cell r="CJ299" t="str">
            <v/>
          </cell>
          <cell r="CK299" t="str">
            <v/>
          </cell>
        </row>
        <row r="300">
          <cell r="BM300" t="str">
            <v/>
          </cell>
          <cell r="CG300" t="str">
            <v/>
          </cell>
          <cell r="CI300" t="str">
            <v/>
          </cell>
          <cell r="CJ300" t="str">
            <v/>
          </cell>
          <cell r="CK300" t="str">
            <v/>
          </cell>
        </row>
        <row r="301">
          <cell r="BM301" t="str">
            <v/>
          </cell>
          <cell r="CG301" t="str">
            <v/>
          </cell>
          <cell r="CI301" t="str">
            <v/>
          </cell>
          <cell r="CJ301" t="str">
            <v/>
          </cell>
          <cell r="CK301" t="str">
            <v/>
          </cell>
        </row>
        <row r="302">
          <cell r="BM302" t="str">
            <v/>
          </cell>
          <cell r="CG302" t="str">
            <v/>
          </cell>
          <cell r="CI302" t="str">
            <v/>
          </cell>
          <cell r="CJ302" t="str">
            <v/>
          </cell>
          <cell r="CK302" t="str">
            <v/>
          </cell>
        </row>
        <row r="303">
          <cell r="BM303" t="str">
            <v/>
          </cell>
        </row>
      </sheetData>
      <sheetData sheetId="2" refreshError="1"/>
      <sheetData sheetId="3" refreshError="1"/>
      <sheetData sheetId="4">
        <row r="11">
          <cell r="BM11">
            <v>-999</v>
          </cell>
        </row>
        <row r="26">
          <cell r="D26">
            <v>0</v>
          </cell>
        </row>
        <row r="27">
          <cell r="D27">
            <v>1</v>
          </cell>
        </row>
      </sheetData>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Intro"/>
      <sheetName val="Sampling"/>
      <sheetName val="Noncentral t"/>
      <sheetName val="d picture"/>
      <sheetName val="d heap"/>
      <sheetName val="CI for d"/>
      <sheetName val="Power picture"/>
      <sheetName val="Power two"/>
      <sheetName val="Power paired"/>
      <sheetName val="Precision one"/>
      <sheetName val="Precision two"/>
      <sheetName val="Precision paired"/>
    </sheetNames>
    <sheetDataSet>
      <sheetData sheetId="0"/>
      <sheetData sheetId="1">
        <row r="3">
          <cell r="D3">
            <v>0.18207042371964122</v>
          </cell>
          <cell r="E3">
            <v>1.1842495882606923</v>
          </cell>
        </row>
        <row r="4">
          <cell r="D4">
            <v>0.18207042371964122</v>
          </cell>
          <cell r="E4">
            <v>1.1842495882606923</v>
          </cell>
          <cell r="BD4" t="b">
            <v>1</v>
          </cell>
        </row>
        <row r="5">
          <cell r="D5">
            <v>0.36691075258405342</v>
          </cell>
          <cell r="E5">
            <v>0.86569399800064639</v>
          </cell>
        </row>
        <row r="6">
          <cell r="D6">
            <v>0.27740365683729951</v>
          </cell>
          <cell r="E6">
            <v>1.2759383866208682</v>
          </cell>
        </row>
        <row r="7">
          <cell r="D7">
            <v>0.2156857726390311</v>
          </cell>
          <cell r="E7">
            <v>0.87129598883557291</v>
          </cell>
        </row>
        <row r="8">
          <cell r="D8">
            <v>-0.11286583847542975</v>
          </cell>
          <cell r="E8">
            <v>0.41781020657489654</v>
          </cell>
        </row>
        <row r="9">
          <cell r="D9">
            <v>-0.73806511970298283</v>
          </cell>
          <cell r="E9">
            <v>0.8659356140527088</v>
          </cell>
        </row>
        <row r="10">
          <cell r="D10">
            <v>-0.42808079872658594</v>
          </cell>
          <cell r="E10">
            <v>0.34956043454023877</v>
          </cell>
          <cell r="G10">
            <v>15</v>
          </cell>
          <cell r="H10">
            <v>15</v>
          </cell>
        </row>
        <row r="11">
          <cell r="D11">
            <v>-1.217840733648686E-2</v>
          </cell>
          <cell r="E11">
            <v>0.44339872344834647</v>
          </cell>
          <cell r="H11">
            <v>6</v>
          </cell>
        </row>
        <row r="12">
          <cell r="D12">
            <v>0.92605715266764432</v>
          </cell>
          <cell r="E12">
            <v>0.93207847199046512</v>
          </cell>
          <cell r="H12">
            <v>0.13460200879076822</v>
          </cell>
        </row>
        <row r="13">
          <cell r="D13">
            <v>-6.9923141592838897E-2</v>
          </cell>
          <cell r="E13">
            <v>1.4572980639191329</v>
          </cell>
          <cell r="H13">
            <v>65</v>
          </cell>
        </row>
        <row r="14">
          <cell r="D14">
            <v>-0.86506421767719377</v>
          </cell>
          <cell r="E14">
            <v>0.77067032962606397</v>
          </cell>
        </row>
        <row r="15">
          <cell r="D15">
            <v>0.32076939844516095</v>
          </cell>
          <cell r="E15">
            <v>0.83328333326873816</v>
          </cell>
        </row>
        <row r="16">
          <cell r="D16">
            <v>-0.38217223829402225</v>
          </cell>
          <cell r="E16">
            <v>0.86129789846414773</v>
          </cell>
        </row>
        <row r="17">
          <cell r="D17">
            <v>0.22031388668462012</v>
          </cell>
          <cell r="E17">
            <v>0.9854893167286114</v>
          </cell>
          <cell r="T17">
            <v>22</v>
          </cell>
        </row>
        <row r="18">
          <cell r="D18">
            <v>0.34813578880811097</v>
          </cell>
          <cell r="E18">
            <v>0.4392255384130927</v>
          </cell>
        </row>
        <row r="19">
          <cell r="D19">
            <v>-0.74210831929784205</v>
          </cell>
          <cell r="E19">
            <v>1.160173911399913</v>
          </cell>
        </row>
        <row r="20">
          <cell r="D20">
            <v>0.14649406031913559</v>
          </cell>
          <cell r="E20">
            <v>1.0484320705255816</v>
          </cell>
        </row>
        <row r="21">
          <cell r="D21">
            <v>0.62819252743450138</v>
          </cell>
          <cell r="E21">
            <v>1.2577999122789945</v>
          </cell>
        </row>
        <row r="22">
          <cell r="D22">
            <v>-0.21177999055068142</v>
          </cell>
          <cell r="E22">
            <v>0.77693460798460878</v>
          </cell>
        </row>
        <row r="23">
          <cell r="D23">
            <v>0.12228503167440256</v>
          </cell>
          <cell r="E23">
            <v>0.69141044643098226</v>
          </cell>
        </row>
        <row r="24">
          <cell r="D24">
            <v>-0.23343048977745981</v>
          </cell>
          <cell r="E24">
            <v>1.1303356988228144</v>
          </cell>
        </row>
        <row r="25">
          <cell r="D25">
            <v>0.25928298108114251</v>
          </cell>
          <cell r="E25">
            <v>1.5791898303178715</v>
          </cell>
        </row>
      </sheetData>
      <sheetData sheetId="2"/>
      <sheetData sheetId="3"/>
      <sheetData sheetId="4">
        <row r="3">
          <cell r="A3">
            <v>-0.3169006291995648</v>
          </cell>
          <cell r="B3">
            <v>0.94732396651817885</v>
          </cell>
        </row>
        <row r="4">
          <cell r="A4">
            <v>-0.3169006291995648</v>
          </cell>
          <cell r="B4">
            <v>0.94732396651817885</v>
          </cell>
          <cell r="BD4" t="b">
            <v>1</v>
          </cell>
        </row>
        <row r="5">
          <cell r="A5">
            <v>-8.7956469973054785E-2</v>
          </cell>
          <cell r="B5">
            <v>1.1362676683487154</v>
          </cell>
        </row>
        <row r="6">
          <cell r="A6">
            <v>0.1563010368887191</v>
          </cell>
          <cell r="B6">
            <v>1.1966053438191797</v>
          </cell>
        </row>
        <row r="7">
          <cell r="A7">
            <v>1.5892994826436468E-2</v>
          </cell>
          <cell r="B7">
            <v>1.0129372152547882</v>
          </cell>
        </row>
        <row r="8">
          <cell r="A8">
            <v>-0.16552481284308329</v>
          </cell>
          <cell r="B8">
            <v>0.81566336747215429</v>
          </cell>
        </row>
        <row r="9">
          <cell r="A9">
            <v>-0.26629267476213209</v>
          </cell>
          <cell r="B9">
            <v>0.97098989093420418</v>
          </cell>
        </row>
        <row r="10">
          <cell r="A10">
            <v>7.619177521996863E-2</v>
          </cell>
          <cell r="B10">
            <v>0.84054120496348217</v>
          </cell>
          <cell r="D10">
            <v>15</v>
          </cell>
          <cell r="E10">
            <v>15</v>
          </cell>
        </row>
        <row r="11">
          <cell r="A11">
            <v>-0.72079796405842866</v>
          </cell>
          <cell r="B11">
            <v>1.5179460320147899</v>
          </cell>
          <cell r="E11">
            <v>6</v>
          </cell>
        </row>
        <row r="12">
          <cell r="A12">
            <v>0.213917678645831</v>
          </cell>
          <cell r="B12">
            <v>0.90345680487931801</v>
          </cell>
          <cell r="E12">
            <v>1.1080015429488999E-2</v>
          </cell>
        </row>
        <row r="13">
          <cell r="A13">
            <v>-0.80170134537631432</v>
          </cell>
          <cell r="B13">
            <v>0.79644513962423757</v>
          </cell>
          <cell r="E13">
            <v>130</v>
          </cell>
        </row>
        <row r="14">
          <cell r="A14">
            <v>0.37817997018059307</v>
          </cell>
          <cell r="B14">
            <v>0.36148100556345403</v>
          </cell>
        </row>
        <row r="15">
          <cell r="A15">
            <v>-0.16107922762829463</v>
          </cell>
          <cell r="B15">
            <v>1.5911262238682802</v>
          </cell>
        </row>
        <row r="16">
          <cell r="A16">
            <v>0.44422870541852416</v>
          </cell>
          <cell r="B16">
            <v>1.0925954643949072</v>
          </cell>
        </row>
        <row r="17">
          <cell r="A17">
            <v>9.4017598078569353E-2</v>
          </cell>
          <cell r="B17">
            <v>1.1076932892482383</v>
          </cell>
        </row>
        <row r="18">
          <cell r="A18">
            <v>-0.18334818258322572</v>
          </cell>
          <cell r="B18">
            <v>0.75459014833700788</v>
          </cell>
          <cell r="N18">
            <v>137</v>
          </cell>
        </row>
        <row r="19">
          <cell r="A19">
            <v>-4.7110100729597724E-2</v>
          </cell>
          <cell r="B19">
            <v>0.7888494633977593</v>
          </cell>
        </row>
        <row r="20">
          <cell r="A20">
            <v>-0.31260424136696718</v>
          </cell>
          <cell r="B20">
            <v>0.2642112171134362</v>
          </cell>
        </row>
        <row r="21">
          <cell r="A21">
            <v>0.27728842829624706</v>
          </cell>
          <cell r="B21">
            <v>1.168918216952185</v>
          </cell>
        </row>
        <row r="22">
          <cell r="A22">
            <v>-0.20281097678782048</v>
          </cell>
          <cell r="B22">
            <v>0.42044998004928946</v>
          </cell>
        </row>
        <row r="23">
          <cell r="A23">
            <v>-0.24960976257929768</v>
          </cell>
          <cell r="B23">
            <v>1.2285237128948256</v>
          </cell>
        </row>
        <row r="24">
          <cell r="A24">
            <v>-0.17779053504443154</v>
          </cell>
          <cell r="B24">
            <v>0.80420753040075477</v>
          </cell>
        </row>
        <row r="25">
          <cell r="A25">
            <v>0.44157684422546195</v>
          </cell>
          <cell r="B25">
            <v>1.6691119350576493</v>
          </cell>
        </row>
        <row r="26">
          <cell r="A26">
            <v>-0.2050707497683896</v>
          </cell>
          <cell r="B26">
            <v>0.13458877071237646</v>
          </cell>
        </row>
        <row r="27">
          <cell r="A27">
            <v>-0.66837767777151968</v>
          </cell>
          <cell r="B27">
            <v>0.7997726371171513</v>
          </cell>
        </row>
        <row r="28">
          <cell r="A28">
            <v>-0.61172452619449524</v>
          </cell>
          <cell r="B28">
            <v>0.66199551802011025</v>
          </cell>
        </row>
        <row r="29">
          <cell r="A29">
            <v>0.18478756338599656</v>
          </cell>
          <cell r="B29">
            <v>1.0408971080775686</v>
          </cell>
        </row>
        <row r="30">
          <cell r="A30">
            <v>0.46440572269108787</v>
          </cell>
          <cell r="B30">
            <v>0.83613138766717543</v>
          </cell>
        </row>
        <row r="31">
          <cell r="A31">
            <v>0.21929014518009296</v>
          </cell>
          <cell r="B31">
            <v>0.797312576243566</v>
          </cell>
        </row>
        <row r="32">
          <cell r="A32">
            <v>0.29491099762554912</v>
          </cell>
          <cell r="B32">
            <v>0.66599754613261486</v>
          </cell>
        </row>
        <row r="33">
          <cell r="A33">
            <v>-0.19179599513681755</v>
          </cell>
          <cell r="B33">
            <v>0.96851195211078123</v>
          </cell>
        </row>
        <row r="34">
          <cell r="A34">
            <v>0.36078517950272948</v>
          </cell>
          <cell r="B34">
            <v>0.60475617567857931</v>
          </cell>
        </row>
        <row r="35">
          <cell r="A35">
            <v>0.14002666514737103</v>
          </cell>
          <cell r="B35">
            <v>1.1059129109165884</v>
          </cell>
        </row>
        <row r="36">
          <cell r="A36">
            <v>1.273864773482189E-2</v>
          </cell>
          <cell r="B36">
            <v>0.4307273348261606</v>
          </cell>
        </row>
        <row r="37">
          <cell r="A37">
            <v>0.20439523092252454</v>
          </cell>
          <cell r="B37">
            <v>1.2512471051427285</v>
          </cell>
        </row>
        <row r="38">
          <cell r="A38">
            <v>2.4441910755492197E-2</v>
          </cell>
          <cell r="B38">
            <v>1.2919218490128055</v>
          </cell>
        </row>
        <row r="39">
          <cell r="A39">
            <v>-0.49795082599836987</v>
          </cell>
          <cell r="B39">
            <v>0.67419282458118901</v>
          </cell>
        </row>
        <row r="40">
          <cell r="A40">
            <v>0.67988802012665817</v>
          </cell>
          <cell r="B40">
            <v>0.4884308081687681</v>
          </cell>
        </row>
        <row r="41">
          <cell r="A41">
            <v>-0.84657323490621794</v>
          </cell>
          <cell r="B41">
            <v>1.3054493438294792</v>
          </cell>
        </row>
        <row r="42">
          <cell r="A42">
            <v>0.49353944788582554</v>
          </cell>
          <cell r="B42">
            <v>1.6282022193636116</v>
          </cell>
        </row>
        <row r="43">
          <cell r="A43">
            <v>0.15857844676026395</v>
          </cell>
          <cell r="B43">
            <v>0.88697288324896983</v>
          </cell>
        </row>
        <row r="44">
          <cell r="A44">
            <v>-0.28236799902795434</v>
          </cell>
          <cell r="B44">
            <v>0.86451693432613941</v>
          </cell>
        </row>
        <row r="45">
          <cell r="A45">
            <v>-0.44659087736918396</v>
          </cell>
          <cell r="B45">
            <v>0.90577058759824813</v>
          </cell>
        </row>
        <row r="46">
          <cell r="A46">
            <v>9.8670741730626996E-2</v>
          </cell>
          <cell r="B46">
            <v>1.1408241279475466</v>
          </cell>
        </row>
        <row r="47">
          <cell r="A47">
            <v>-0.49946738312472744</v>
          </cell>
          <cell r="B47">
            <v>1.4164261547183412</v>
          </cell>
        </row>
        <row r="48">
          <cell r="A48">
            <v>9.700898818629422E-2</v>
          </cell>
          <cell r="B48">
            <v>0.61615441959859929</v>
          </cell>
        </row>
        <row r="49">
          <cell r="A49">
            <v>9.6151700925271991E-2</v>
          </cell>
          <cell r="B49">
            <v>1.0187627517312328</v>
          </cell>
        </row>
        <row r="50">
          <cell r="A50">
            <v>-0.47788336944764914</v>
          </cell>
          <cell r="B50">
            <v>1.3324787793993116</v>
          </cell>
        </row>
        <row r="51">
          <cell r="A51">
            <v>0.27916756667360493</v>
          </cell>
          <cell r="B51">
            <v>0.96132507882867668</v>
          </cell>
        </row>
        <row r="52">
          <cell r="A52">
            <v>-0.3954381950570276</v>
          </cell>
          <cell r="B52">
            <v>0.73609051432772854</v>
          </cell>
        </row>
        <row r="53">
          <cell r="A53">
            <v>-0.35491763120425962</v>
          </cell>
          <cell r="B53">
            <v>0.75365938048234804</v>
          </cell>
        </row>
        <row r="54">
          <cell r="A54">
            <v>-0.21115562567084281</v>
          </cell>
          <cell r="B54">
            <v>0.53873282095058239</v>
          </cell>
        </row>
        <row r="55">
          <cell r="A55">
            <v>-0.25307760955634373</v>
          </cell>
          <cell r="B55">
            <v>0.98401910667305903</v>
          </cell>
        </row>
        <row r="56">
          <cell r="A56">
            <v>0.25815583097323191</v>
          </cell>
          <cell r="B56">
            <v>0.90979293785908322</v>
          </cell>
        </row>
        <row r="57">
          <cell r="A57">
            <v>-6.4416622820249361E-2</v>
          </cell>
          <cell r="B57">
            <v>0.81923316884387543</v>
          </cell>
        </row>
        <row r="58">
          <cell r="A58">
            <v>7.0603243745282263E-2</v>
          </cell>
          <cell r="B58">
            <v>1.2898287879043699</v>
          </cell>
        </row>
        <row r="59">
          <cell r="A59">
            <v>-0.23112843146955364</v>
          </cell>
          <cell r="B59">
            <v>1.2300051822322018</v>
          </cell>
        </row>
        <row r="60">
          <cell r="A60">
            <v>0.50056421801451145</v>
          </cell>
          <cell r="B60">
            <v>0.72489347115703906</v>
          </cell>
        </row>
        <row r="61">
          <cell r="A61">
            <v>-0.46245152594315925</v>
          </cell>
          <cell r="B61">
            <v>1.0279008830162024</v>
          </cell>
        </row>
        <row r="62">
          <cell r="A62">
            <v>0.50412423929820405</v>
          </cell>
          <cell r="B62">
            <v>0.99710029024462343</v>
          </cell>
        </row>
        <row r="63">
          <cell r="A63">
            <v>-0.16198216355744904</v>
          </cell>
          <cell r="B63">
            <v>0.84280653045720211</v>
          </cell>
        </row>
        <row r="64">
          <cell r="A64">
            <v>0.47611885302000934</v>
          </cell>
          <cell r="B64">
            <v>1.1305753873246671</v>
          </cell>
        </row>
        <row r="65">
          <cell r="A65">
            <v>4.0591789352682449E-2</v>
          </cell>
          <cell r="B65">
            <v>0.52908877538574328</v>
          </cell>
        </row>
        <row r="66">
          <cell r="A66">
            <v>0.35599508058903545</v>
          </cell>
          <cell r="B66">
            <v>1.2284864059966629</v>
          </cell>
        </row>
        <row r="67">
          <cell r="A67">
            <v>-0.62622693162597587</v>
          </cell>
          <cell r="B67">
            <v>0.8691192581479672</v>
          </cell>
        </row>
        <row r="68">
          <cell r="A68">
            <v>6.8908085029389984E-2</v>
          </cell>
          <cell r="B68">
            <v>1.2821251184003304</v>
          </cell>
        </row>
        <row r="69">
          <cell r="A69">
            <v>-0.38517761107472875</v>
          </cell>
          <cell r="B69">
            <v>0.75868940935735552</v>
          </cell>
        </row>
        <row r="70">
          <cell r="A70">
            <v>-0.84950406315782867</v>
          </cell>
          <cell r="B70">
            <v>0.68447555740508859</v>
          </cell>
        </row>
        <row r="71">
          <cell r="A71">
            <v>0.60010219883849902</v>
          </cell>
          <cell r="B71">
            <v>1.3746725792322299</v>
          </cell>
        </row>
        <row r="72">
          <cell r="A72">
            <v>-0.26486287168897721</v>
          </cell>
          <cell r="B72">
            <v>1.039938262021447</v>
          </cell>
        </row>
        <row r="73">
          <cell r="A73">
            <v>0.73040006463101859</v>
          </cell>
          <cell r="B73">
            <v>1.5612448946740207</v>
          </cell>
        </row>
        <row r="74">
          <cell r="A74">
            <v>2.4990341317216835E-2</v>
          </cell>
          <cell r="B74">
            <v>0.51486828070051849</v>
          </cell>
        </row>
        <row r="75">
          <cell r="A75">
            <v>-0.83820083007318313</v>
          </cell>
          <cell r="B75">
            <v>1.006575357745954</v>
          </cell>
        </row>
        <row r="76">
          <cell r="A76">
            <v>-0.20967487948619581</v>
          </cell>
          <cell r="B76">
            <v>1.0948637547049824</v>
          </cell>
        </row>
        <row r="77">
          <cell r="A77">
            <v>4.0405480254379622E-2</v>
          </cell>
          <cell r="B77">
            <v>0.91904059692043083</v>
          </cell>
        </row>
        <row r="78">
          <cell r="A78">
            <v>0.50604546807954864</v>
          </cell>
          <cell r="B78">
            <v>1.2538871545952626</v>
          </cell>
        </row>
        <row r="79">
          <cell r="A79">
            <v>-0.17803492856737901</v>
          </cell>
          <cell r="B79">
            <v>1.0188524238326908</v>
          </cell>
        </row>
        <row r="80">
          <cell r="A80">
            <v>0.55951343115065111</v>
          </cell>
          <cell r="B80">
            <v>1.0203161722890903</v>
          </cell>
        </row>
        <row r="81">
          <cell r="A81">
            <v>-0.29518493629192544</v>
          </cell>
          <cell r="B81">
            <v>1.380205136014093</v>
          </cell>
        </row>
        <row r="82">
          <cell r="A82">
            <v>-0.19865378590798377</v>
          </cell>
          <cell r="B82">
            <v>0.91767317250130009</v>
          </cell>
        </row>
        <row r="83">
          <cell r="A83">
            <v>-0.1521751600886814</v>
          </cell>
          <cell r="B83">
            <v>0.83950026916635223</v>
          </cell>
        </row>
        <row r="84">
          <cell r="A84">
            <v>3.2040959407536297E-2</v>
          </cell>
          <cell r="B84">
            <v>0.94086629208965755</v>
          </cell>
        </row>
        <row r="85">
          <cell r="A85">
            <v>0.56971732619777471</v>
          </cell>
          <cell r="B85">
            <v>0.7382156822370225</v>
          </cell>
        </row>
        <row r="86">
          <cell r="A86">
            <v>0.27188369071406987</v>
          </cell>
          <cell r="B86">
            <v>0.89599240353547682</v>
          </cell>
        </row>
        <row r="87">
          <cell r="A87">
            <v>-7.932414199312908E-2</v>
          </cell>
          <cell r="B87">
            <v>0.46834852016353645</v>
          </cell>
        </row>
        <row r="88">
          <cell r="A88">
            <v>-0.4402936769759655</v>
          </cell>
          <cell r="B88">
            <v>1.1725732590728295</v>
          </cell>
        </row>
        <row r="89">
          <cell r="A89">
            <v>-0.26991975985582289</v>
          </cell>
          <cell r="B89">
            <v>1.0323067955433471</v>
          </cell>
        </row>
        <row r="90">
          <cell r="A90">
            <v>-0.28771871097891105</v>
          </cell>
          <cell r="B90">
            <v>0.7572316388360959</v>
          </cell>
        </row>
        <row r="91">
          <cell r="A91">
            <v>-2.7078160558331333E-2</v>
          </cell>
          <cell r="B91">
            <v>1.0241270500146005</v>
          </cell>
        </row>
        <row r="92">
          <cell r="A92">
            <v>0.3956284157207392</v>
          </cell>
          <cell r="B92">
            <v>1.4176955425376712</v>
          </cell>
        </row>
        <row r="93">
          <cell r="A93">
            <v>3.6764884797701458E-2</v>
          </cell>
          <cell r="B93">
            <v>1.0230255146226765</v>
          </cell>
        </row>
        <row r="94">
          <cell r="A94">
            <v>0.68782881781038363</v>
          </cell>
          <cell r="B94">
            <v>0.9725013019620663</v>
          </cell>
        </row>
        <row r="95">
          <cell r="A95">
            <v>5.7587345273257817E-2</v>
          </cell>
          <cell r="B95">
            <v>1.0875562543727499</v>
          </cell>
        </row>
        <row r="96">
          <cell r="A96">
            <v>-0.17636929723357286</v>
          </cell>
          <cell r="B96">
            <v>1.1114333454816894</v>
          </cell>
        </row>
        <row r="97">
          <cell r="A97">
            <v>-0.22714874768406432</v>
          </cell>
          <cell r="B97">
            <v>1.0624707751723965</v>
          </cell>
        </row>
        <row r="98">
          <cell r="A98">
            <v>0.1523916963004758</v>
          </cell>
          <cell r="B98">
            <v>1.2891885109698051</v>
          </cell>
        </row>
        <row r="99">
          <cell r="A99">
            <v>8.1827199622509436E-2</v>
          </cell>
          <cell r="B99">
            <v>0.82297481913824777</v>
          </cell>
        </row>
        <row r="100">
          <cell r="A100">
            <v>0.54193240168064172</v>
          </cell>
          <cell r="B100">
            <v>1.3977987653848039</v>
          </cell>
        </row>
        <row r="101">
          <cell r="A101">
            <v>-0.26901716243792712</v>
          </cell>
          <cell r="B101">
            <v>1.0125792425547699</v>
          </cell>
        </row>
        <row r="102">
          <cell r="A102">
            <v>0.33227313708113249</v>
          </cell>
          <cell r="B102">
            <v>1.0907250014071901</v>
          </cell>
        </row>
        <row r="103">
          <cell r="A103">
            <v>-0.20719938544712557</v>
          </cell>
          <cell r="B103">
            <v>0.87270305335157594</v>
          </cell>
        </row>
        <row r="104">
          <cell r="A104">
            <v>-0.49387865531028985</v>
          </cell>
          <cell r="B104">
            <v>1.8678180980780201</v>
          </cell>
        </row>
        <row r="105">
          <cell r="A105">
            <v>-0.15742310991421657</v>
          </cell>
          <cell r="B105">
            <v>1.1348082717053753</v>
          </cell>
        </row>
        <row r="106">
          <cell r="A106">
            <v>0.32422526777427729</v>
          </cell>
          <cell r="B106">
            <v>0.76708854082970568</v>
          </cell>
        </row>
        <row r="107">
          <cell r="A107">
            <v>0.17722493661197536</v>
          </cell>
          <cell r="B107">
            <v>1.0759768073137019</v>
          </cell>
        </row>
        <row r="108">
          <cell r="A108">
            <v>-0.59838091188320763</v>
          </cell>
          <cell r="B108">
            <v>0.90153785569996381</v>
          </cell>
        </row>
        <row r="109">
          <cell r="A109">
            <v>0.51858939305723883</v>
          </cell>
          <cell r="B109">
            <v>0.51027538702928432</v>
          </cell>
        </row>
        <row r="110">
          <cell r="A110">
            <v>1.0423982767205517</v>
          </cell>
          <cell r="B110">
            <v>1.2771790212156098</v>
          </cell>
        </row>
        <row r="111">
          <cell r="A111">
            <v>-1.8771922137430213E-2</v>
          </cell>
          <cell r="B111">
            <v>1.310483721902951</v>
          </cell>
        </row>
        <row r="112">
          <cell r="A112">
            <v>4.3574629263574881E-2</v>
          </cell>
          <cell r="B112">
            <v>0.64885995821375453</v>
          </cell>
        </row>
        <row r="113">
          <cell r="A113">
            <v>-0.10565845606025374</v>
          </cell>
          <cell r="B113">
            <v>0.95624180932862224</v>
          </cell>
        </row>
        <row r="114">
          <cell r="A114">
            <v>-3.169035489883467E-2</v>
          </cell>
          <cell r="B114">
            <v>0.55037063899246375</v>
          </cell>
        </row>
        <row r="115">
          <cell r="A115">
            <v>-1.1845950580656301</v>
          </cell>
          <cell r="B115">
            <v>0.71856903046134257</v>
          </cell>
        </row>
        <row r="116">
          <cell r="A116">
            <v>0.28006427151053509</v>
          </cell>
          <cell r="B116">
            <v>1.3511037438748903</v>
          </cell>
        </row>
        <row r="117">
          <cell r="A117">
            <v>-0.70645104429418792</v>
          </cell>
          <cell r="B117">
            <v>0.75315239619274732</v>
          </cell>
        </row>
        <row r="118">
          <cell r="A118">
            <v>0.28656568729027304</v>
          </cell>
          <cell r="B118">
            <v>1.0561573401533255</v>
          </cell>
        </row>
        <row r="119">
          <cell r="A119">
            <v>0.17469301302143311</v>
          </cell>
          <cell r="B119">
            <v>1.0845352971477571</v>
          </cell>
        </row>
        <row r="120">
          <cell r="A120">
            <v>0.14798701197995529</v>
          </cell>
          <cell r="B120">
            <v>1.1403571460613167</v>
          </cell>
        </row>
        <row r="121">
          <cell r="A121">
            <v>0.31020495801478926</v>
          </cell>
          <cell r="B121">
            <v>1.2325867979737701</v>
          </cell>
        </row>
        <row r="122">
          <cell r="A122">
            <v>0.1570607239267601</v>
          </cell>
          <cell r="B122">
            <v>1.0103075722486541</v>
          </cell>
        </row>
        <row r="123">
          <cell r="A123">
            <v>0.27224288435576982</v>
          </cell>
          <cell r="B123">
            <v>1.2688957325490451</v>
          </cell>
        </row>
        <row r="124">
          <cell r="A124">
            <v>-4.8039187361667159E-2</v>
          </cell>
          <cell r="B124">
            <v>1.198868670409118</v>
          </cell>
        </row>
        <row r="125">
          <cell r="A125">
            <v>0.27427819390728447</v>
          </cell>
          <cell r="B125">
            <v>1.1043877348953099</v>
          </cell>
        </row>
        <row r="126">
          <cell r="A126">
            <v>-0.59688420452381097</v>
          </cell>
          <cell r="B126">
            <v>1.6484686575029761</v>
          </cell>
        </row>
        <row r="127">
          <cell r="A127">
            <v>-0.27661681039936309</v>
          </cell>
          <cell r="B127">
            <v>1.1929561015176708</v>
          </cell>
        </row>
        <row r="128">
          <cell r="A128">
            <v>-0.47129061211108092</v>
          </cell>
          <cell r="B128">
            <v>0.92198146517717083</v>
          </cell>
        </row>
        <row r="129">
          <cell r="A129">
            <v>-6.4777681911414087E-2</v>
          </cell>
          <cell r="B129">
            <v>1.134598946593333</v>
          </cell>
        </row>
        <row r="130">
          <cell r="A130">
            <v>0.44981473576359465</v>
          </cell>
          <cell r="B130">
            <v>0.64757136949647653</v>
          </cell>
        </row>
        <row r="131">
          <cell r="A131">
            <v>-1.3614895047964426E-2</v>
          </cell>
          <cell r="B131">
            <v>1.3372018675141353</v>
          </cell>
        </row>
        <row r="132">
          <cell r="A132">
            <v>-0.81203448736100958</v>
          </cell>
          <cell r="B132">
            <v>1.3535785234061621</v>
          </cell>
        </row>
        <row r="133">
          <cell r="A133">
            <v>-0.25011208056829548</v>
          </cell>
          <cell r="B133">
            <v>0.75491620329569908</v>
          </cell>
        </row>
        <row r="134">
          <cell r="A134">
            <v>-2.975018293251926E-2</v>
          </cell>
          <cell r="B134">
            <v>0.7365189575343174</v>
          </cell>
        </row>
        <row r="135">
          <cell r="A135">
            <v>-7.3012893263014647E-2</v>
          </cell>
          <cell r="B135">
            <v>0.53162515023608725</v>
          </cell>
        </row>
        <row r="136">
          <cell r="A136">
            <v>6.7262537456437718E-2</v>
          </cell>
          <cell r="B136">
            <v>0.57821441984028676</v>
          </cell>
        </row>
        <row r="137">
          <cell r="A137">
            <v>-0.70480674645720143</v>
          </cell>
          <cell r="B137">
            <v>0.98918914610394926</v>
          </cell>
        </row>
        <row r="138">
          <cell r="A138">
            <v>0.36002701199169646</v>
          </cell>
          <cell r="B138">
            <v>1.057659479661228</v>
          </cell>
        </row>
        <row r="139">
          <cell r="A139">
            <v>-0.58129519896127213</v>
          </cell>
          <cell r="B139">
            <v>1.1126814965488945</v>
          </cell>
        </row>
        <row r="140">
          <cell r="A140">
            <v>0.3233666039396958</v>
          </cell>
          <cell r="B140">
            <v>0.73590579987230087</v>
          </cell>
        </row>
      </sheetData>
      <sheetData sheetId="5">
        <row r="5">
          <cell r="AS5">
            <v>-2.805108159642522E-4</v>
          </cell>
        </row>
        <row r="6">
          <cell r="AS6">
            <v>-1.6331539245961757E-4</v>
          </cell>
        </row>
        <row r="8">
          <cell r="AS8">
            <v>10137.606659358957</v>
          </cell>
        </row>
        <row r="9">
          <cell r="AS9">
            <v>12282.393340641043</v>
          </cell>
        </row>
        <row r="32">
          <cell r="Q32">
            <v>10116.344021470748</v>
          </cell>
          <cell r="U32">
            <v>12268.087385820705</v>
          </cell>
        </row>
      </sheetData>
      <sheetData sheetId="6"/>
      <sheetData sheetId="7"/>
      <sheetData sheetId="8"/>
      <sheetData sheetId="9">
        <row r="1">
          <cell r="Z1">
            <v>95</v>
          </cell>
          <cell r="AA1">
            <v>95</v>
          </cell>
          <cell r="AD1">
            <v>95</v>
          </cell>
          <cell r="AE1">
            <v>95</v>
          </cell>
          <cell r="AH1">
            <v>99</v>
          </cell>
          <cell r="AI1">
            <v>99</v>
          </cell>
        </row>
        <row r="2">
          <cell r="Z2">
            <v>0.5</v>
          </cell>
          <cell r="AA2">
            <v>0.5</v>
          </cell>
          <cell r="AD2">
            <v>0.5</v>
          </cell>
          <cell r="AE2">
            <v>0.5</v>
          </cell>
        </row>
        <row r="3">
          <cell r="Z3">
            <v>0.3</v>
          </cell>
          <cell r="AA3">
            <v>0.3</v>
          </cell>
          <cell r="AD3">
            <v>0.3</v>
          </cell>
          <cell r="AE3">
            <v>0.3</v>
          </cell>
        </row>
        <row r="4">
          <cell r="Z4">
            <v>1</v>
          </cell>
          <cell r="AA4">
            <v>1</v>
          </cell>
          <cell r="AD4">
            <v>1</v>
          </cell>
          <cell r="AE4">
            <v>1</v>
          </cell>
        </row>
        <row r="7">
          <cell r="U7" t="str">
            <v>topleftg</v>
          </cell>
        </row>
        <row r="135">
          <cell r="AP135">
            <v>1.0000000000000009E-2</v>
          </cell>
        </row>
        <row r="140">
          <cell r="AP140">
            <v>5.0000000000000044E-2</v>
          </cell>
        </row>
      </sheetData>
      <sheetData sheetId="10"/>
      <sheetData sheetId="11">
        <row r="140">
          <cell r="V140">
            <v>95</v>
          </cell>
        </row>
      </sheetData>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Intro"/>
      <sheetName val="Binomial"/>
      <sheetName val="One proportion"/>
      <sheetName val="Two proportions"/>
      <sheetName val="Power picture"/>
      <sheetName val="Power two"/>
      <sheetName val="Power paired"/>
      <sheetName val="Precision one"/>
      <sheetName val="Precision two"/>
      <sheetName val="Precision paired"/>
      <sheetName val="ESCI intro chapters 10-13 Oct 2"/>
    </sheetNames>
    <sheetDataSet>
      <sheetData sheetId="0" refreshError="1"/>
      <sheetData sheetId="1" refreshError="1"/>
      <sheetData sheetId="2"/>
      <sheetData sheetId="3">
        <row r="3">
          <cell r="B3">
            <v>50</v>
          </cell>
          <cell r="C3">
            <v>20</v>
          </cell>
        </row>
        <row r="4">
          <cell r="B4">
            <v>50</v>
          </cell>
          <cell r="C4">
            <v>20</v>
          </cell>
        </row>
        <row r="7">
          <cell r="C7" t="b">
            <v>1</v>
          </cell>
        </row>
        <row r="9">
          <cell r="C9" t="b">
            <v>1</v>
          </cell>
        </row>
        <row r="12">
          <cell r="C12">
            <v>1.8035389042604244</v>
          </cell>
        </row>
        <row r="14">
          <cell r="C14">
            <v>1.7917491094601725</v>
          </cell>
        </row>
        <row r="15">
          <cell r="C15">
            <v>7.3164529990066285E-7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9.xml><?xml version="1.0" encoding="utf-8"?>
<externalLink xmlns="http://schemas.openxmlformats.org/spreadsheetml/2006/main">
  <externalBook xmlns:r="http://schemas.openxmlformats.org/officeDocument/2006/relationships" r:id="rId1">
    <sheetNames>
      <sheetName val="Intro"/>
      <sheetName val="Fig 1"/>
      <sheetName val="p value function"/>
      <sheetName val="Fig 5"/>
      <sheetName val="Fig 10"/>
    </sheetNames>
    <sheetDataSet>
      <sheetData sheetId="0"/>
      <sheetData sheetId="1">
        <row r="8">
          <cell r="M8">
            <v>0.4401272387403472</v>
          </cell>
          <cell r="N8">
            <v>30</v>
          </cell>
          <cell r="O8">
            <v>60</v>
          </cell>
          <cell r="P8">
            <v>95</v>
          </cell>
          <cell r="Q8">
            <v>2</v>
          </cell>
          <cell r="R8" t="b">
            <v>0</v>
          </cell>
        </row>
        <row r="9">
          <cell r="M9">
            <v>0.85041200471476586</v>
          </cell>
        </row>
        <row r="11">
          <cell r="M11" t="b">
            <v>1</v>
          </cell>
        </row>
        <row r="12">
          <cell r="M12" t="b">
            <v>0</v>
          </cell>
        </row>
        <row r="19">
          <cell r="N19">
            <v>124</v>
          </cell>
          <cell r="O19">
            <v>115</v>
          </cell>
        </row>
        <row r="20">
          <cell r="N20">
            <v>144</v>
          </cell>
          <cell r="O20">
            <v>134</v>
          </cell>
        </row>
        <row r="21">
          <cell r="N21">
            <v>12</v>
          </cell>
          <cell r="O21">
            <v>11</v>
          </cell>
        </row>
        <row r="22">
          <cell r="N22">
            <v>280</v>
          </cell>
          <cell r="O22">
            <v>260</v>
          </cell>
        </row>
      </sheetData>
      <sheetData sheetId="2">
        <row r="3">
          <cell r="M3" t="b">
            <v>1</v>
          </cell>
        </row>
        <row r="4">
          <cell r="M4" t="b">
            <v>0</v>
          </cell>
          <cell r="O4" t="b">
            <v>0</v>
          </cell>
        </row>
        <row r="5">
          <cell r="M5" t="b">
            <v>0</v>
          </cell>
          <cell r="O5" t="b">
            <v>0</v>
          </cell>
        </row>
      </sheetData>
      <sheetData sheetId="3">
        <row r="2">
          <cell r="O2" t="b">
            <v>0</v>
          </cell>
        </row>
      </sheetData>
      <sheetData sheetId="4"/>
    </sheetDataSet>
  </externalBook>
</externalLink>
</file>

<file path=xl/externalLinks/externalLink10.xml><?xml version="1.0" encoding="utf-8"?>
<externalLink xmlns="http://schemas.openxmlformats.org/spreadsheetml/2006/main">
  <externalBook xmlns:r="http://schemas.openxmlformats.org/officeDocument/2006/relationships" r:id="rId1">
    <sheetNames>
      <sheetName val="Intro"/>
      <sheetName val="Fig 1"/>
      <sheetName val="p value function"/>
      <sheetName val="Fig 5"/>
      <sheetName val="Fig 10"/>
    </sheetNames>
    <sheetDataSet>
      <sheetData sheetId="0" refreshError="1"/>
      <sheetData sheetId="1">
        <row r="8">
          <cell r="M8">
            <v>0.27893615066330035</v>
          </cell>
          <cell r="N8">
            <v>30</v>
          </cell>
          <cell r="O8">
            <v>60</v>
          </cell>
          <cell r="P8">
            <v>95</v>
          </cell>
          <cell r="Q8">
            <v>2</v>
          </cell>
          <cell r="R8" t="b">
            <v>0</v>
          </cell>
        </row>
        <row r="9">
          <cell r="M9">
            <v>0.85041200471476586</v>
          </cell>
        </row>
        <row r="11">
          <cell r="M11" t="b">
            <v>1</v>
          </cell>
        </row>
        <row r="12">
          <cell r="M12" t="b">
            <v>0</v>
          </cell>
        </row>
        <row r="19">
          <cell r="N19">
            <v>124</v>
          </cell>
          <cell r="O19">
            <v>115</v>
          </cell>
        </row>
        <row r="20">
          <cell r="N20">
            <v>144</v>
          </cell>
          <cell r="O20">
            <v>134</v>
          </cell>
        </row>
        <row r="21">
          <cell r="N21">
            <v>12</v>
          </cell>
          <cell r="O21">
            <v>11</v>
          </cell>
        </row>
        <row r="22">
          <cell r="N22">
            <v>280</v>
          </cell>
          <cell r="O22">
            <v>260</v>
          </cell>
        </row>
      </sheetData>
      <sheetData sheetId="2">
        <row r="3">
          <cell r="M3" t="b">
            <v>1</v>
          </cell>
        </row>
        <row r="4">
          <cell r="M4" t="b">
            <v>0</v>
          </cell>
          <cell r="O4" t="b">
            <v>0</v>
          </cell>
        </row>
        <row r="5">
          <cell r="M5" t="b">
            <v>0</v>
          </cell>
          <cell r="O5" t="b">
            <v>0</v>
          </cell>
        </row>
      </sheetData>
      <sheetData sheetId="3">
        <row r="2">
          <cell r="O2" t="b">
            <v>0</v>
          </cell>
        </row>
      </sheetData>
      <sheetData sheetId="4" refreshError="1"/>
    </sheetDataSet>
  </externalBook>
</externalLink>
</file>

<file path=xl/externalLinks/externalLink11.xml><?xml version="1.0" encoding="utf-8"?>
<externalLink xmlns="http://schemas.openxmlformats.org/spreadsheetml/2006/main">
  <externalBook xmlns:r="http://schemas.openxmlformats.org/officeDocument/2006/relationships" r:id="rId1">
    <sheetNames>
      <sheetName val="Intro"/>
      <sheetName val="Data two"/>
      <sheetName val="Data paired"/>
      <sheetName val="d picture"/>
      <sheetName val="Summary two"/>
      <sheetName val="Summary paired"/>
      <sheetName val="See r"/>
      <sheetName val="r to z"/>
      <sheetName val="Two correlations"/>
      <sheetName val="Dance p"/>
      <sheetName val="Binomial"/>
    </sheetNames>
    <sheetDataSet>
      <sheetData sheetId="0" refreshError="1"/>
      <sheetData sheetId="1">
        <row r="4">
          <cell r="B4">
            <v>299.60000000000002</v>
          </cell>
          <cell r="C4">
            <v>299.59999999999997</v>
          </cell>
        </row>
        <row r="5">
          <cell r="B5">
            <v>450.1</v>
          </cell>
          <cell r="C5">
            <v>450.09999999999997</v>
          </cell>
        </row>
        <row r="6">
          <cell r="B6">
            <v>3384.36</v>
          </cell>
          <cell r="C6">
            <v>3384.36</v>
          </cell>
        </row>
        <row r="7">
          <cell r="B7">
            <v>8127.55</v>
          </cell>
          <cell r="C7">
            <v>8127.55</v>
          </cell>
        </row>
        <row r="8">
          <cell r="B8">
            <v>95</v>
          </cell>
          <cell r="C8">
            <v>95</v>
          </cell>
          <cell r="F8">
            <v>12.1</v>
          </cell>
        </row>
        <row r="9">
          <cell r="B9">
            <v>34</v>
          </cell>
          <cell r="C9">
            <v>34</v>
          </cell>
        </row>
        <row r="10">
          <cell r="B10">
            <v>31</v>
          </cell>
          <cell r="C10">
            <v>31</v>
          </cell>
        </row>
        <row r="11">
          <cell r="C11" t="b">
            <v>0</v>
          </cell>
        </row>
        <row r="14">
          <cell r="B14">
            <v>1.6290413462627384E-6</v>
          </cell>
          <cell r="C14">
            <v>1.3067012749612417E-7</v>
          </cell>
        </row>
        <row r="16">
          <cell r="B16">
            <v>1.6929763058009537</v>
          </cell>
          <cell r="C16">
            <v>5.827666433513417</v>
          </cell>
        </row>
        <row r="20">
          <cell r="B20">
            <v>1.7754791305641089</v>
          </cell>
          <cell r="C20">
            <v>5.7721601754631271</v>
          </cell>
        </row>
        <row r="21">
          <cell r="C21" t="b">
            <v>1</v>
          </cell>
        </row>
        <row r="77">
          <cell r="X77" t="b">
            <v>0</v>
          </cell>
        </row>
      </sheetData>
      <sheetData sheetId="2">
        <row r="3">
          <cell r="C3" t="b">
            <v>0</v>
          </cell>
        </row>
        <row r="5">
          <cell r="B5">
            <v>2629</v>
          </cell>
          <cell r="C5">
            <v>2629</v>
          </cell>
        </row>
        <row r="6">
          <cell r="B6">
            <v>2799</v>
          </cell>
          <cell r="C6">
            <v>2799</v>
          </cell>
        </row>
        <row r="7">
          <cell r="B7">
            <v>179313</v>
          </cell>
          <cell r="C7">
            <v>179313</v>
          </cell>
        </row>
        <row r="8">
          <cell r="B8">
            <v>202183</v>
          </cell>
          <cell r="C8">
            <v>202183</v>
          </cell>
          <cell r="F8">
            <v>71</v>
          </cell>
        </row>
        <row r="9">
          <cell r="B9">
            <v>95</v>
          </cell>
          <cell r="C9">
            <v>95</v>
          </cell>
        </row>
        <row r="10">
          <cell r="B10">
            <v>39</v>
          </cell>
          <cell r="C10">
            <v>39</v>
          </cell>
        </row>
        <row r="11">
          <cell r="C11" t="b">
            <v>1</v>
          </cell>
        </row>
        <row r="15">
          <cell r="B15">
            <v>1.0533796057643485E-7</v>
          </cell>
          <cell r="C15">
            <v>-2.47623414828535E-5</v>
          </cell>
        </row>
        <row r="17">
          <cell r="B17">
            <v>2.2459503995977337</v>
          </cell>
          <cell r="C17">
            <v>6.6481413751210718</v>
          </cell>
        </row>
        <row r="21">
          <cell r="B21">
            <v>2.4461138009657768</v>
          </cell>
          <cell r="C21">
            <v>6.494902094396914</v>
          </cell>
        </row>
      </sheetData>
      <sheetData sheetId="3" refreshError="1"/>
      <sheetData sheetId="4" refreshError="1"/>
      <sheetData sheetId="5" refreshError="1"/>
      <sheetData sheetId="6" refreshError="1"/>
      <sheetData sheetId="7" refreshError="1"/>
      <sheetData sheetId="8" refreshError="1"/>
      <sheetData sheetId="9">
        <row r="102">
          <cell r="AD102" t="b">
            <v>0</v>
          </cell>
        </row>
        <row r="103">
          <cell r="AD103" t="b">
            <v>0</v>
          </cell>
        </row>
        <row r="104">
          <cell r="AD104" t="b">
            <v>0</v>
          </cell>
        </row>
        <row r="105">
          <cell r="AD105" t="b">
            <v>0</v>
          </cell>
        </row>
        <row r="106">
          <cell r="AD106" t="b">
            <v>0</v>
          </cell>
        </row>
      </sheetData>
      <sheetData sheetId="10" refreshError="1"/>
    </sheetDataSet>
  </externalBook>
</externalLink>
</file>

<file path=xl/externalLinks/externalLink12.xml><?xml version="1.0" encoding="utf-8"?>
<externalLink xmlns="http://schemas.openxmlformats.org/spreadsheetml/2006/main">
  <externalBook xmlns:r="http://schemas.openxmlformats.org/officeDocument/2006/relationships" r:id="rId1">
    <sheetNames>
      <sheetName val="Intro"/>
      <sheetName val="Replication capture"/>
      <sheetName val="Capture probabilities"/>
    </sheetNames>
    <sheetDataSet>
      <sheetData sheetId="0" refreshError="1"/>
      <sheetData sheetId="1" refreshError="1"/>
      <sheetData sheetId="2" refreshError="1">
        <row r="21">
          <cell r="R21">
            <v>70.703807039155691</v>
          </cell>
          <cell r="S21">
            <v>18.427521168791106</v>
          </cell>
        </row>
      </sheetData>
    </sheetDataSet>
  </externalBook>
</externalLink>
</file>

<file path=xl/externalLinks/externalLink13.xml><?xml version="1.0" encoding="utf-8"?>
<externalLink xmlns="http://schemas.openxmlformats.org/spreadsheetml/2006/main">
  <externalBook xmlns:r="http://schemas.openxmlformats.org/officeDocument/2006/relationships" r:id="rId1">
    <sheetNames>
      <sheetName val="Intro"/>
      <sheetName val="Replication capture"/>
      <sheetName val="Capture probabilities"/>
    </sheetNames>
    <sheetDataSet>
      <sheetData sheetId="0" refreshError="1"/>
      <sheetData sheetId="1" refreshError="1"/>
      <sheetData sheetId="2" refreshError="1">
        <row r="21">
          <cell r="R21">
            <v>70.703807039155691</v>
          </cell>
          <cell r="S21">
            <v>18.427521168791106</v>
          </cell>
        </row>
      </sheetData>
    </sheetDataSet>
  </externalBook>
</externalLink>
</file>

<file path=xl/externalLinks/externalLink14.xml><?xml version="1.0" encoding="utf-8"?>
<externalLink xmlns="http://schemas.openxmlformats.org/spreadsheetml/2006/main">
  <externalBook xmlns:r="http://schemas.openxmlformats.org/officeDocument/2006/relationships" r:id="rId1">
    <sheetNames>
      <sheetName val="Intro"/>
      <sheetName val="Replication capture"/>
      <sheetName val="Capture probabilities"/>
    </sheetNames>
    <sheetDataSet>
      <sheetData sheetId="0"/>
      <sheetData sheetId="1"/>
      <sheetData sheetId="2">
        <row r="21">
          <cell r="R21">
            <v>70.703829012539131</v>
          </cell>
          <cell r="S21">
            <v>18.427521168791106</v>
          </cell>
        </row>
      </sheetData>
    </sheetDataSet>
  </externalBook>
</externalLink>
</file>

<file path=xl/externalLinks/externalLink15.xml><?xml version="1.0" encoding="utf-8"?>
<externalLink xmlns="http://schemas.openxmlformats.org/spreadsheetml/2006/main">
  <externalBook xmlns:r="http://schemas.openxmlformats.org/officeDocument/2006/relationships" r:id="rId1">
    <sheetNames>
      <sheetName val="Intro"/>
      <sheetName val="Calculate r"/>
      <sheetName val="See r"/>
      <sheetName val="Two correlations"/>
      <sheetName val="Sample r"/>
    </sheetNames>
    <sheetDataSet>
      <sheetData sheetId="0" refreshError="1"/>
      <sheetData sheetId="1">
        <row r="1">
          <cell r="AG1" t="str">
            <v>.50</v>
          </cell>
        </row>
        <row r="2">
          <cell r="AB2">
            <v>0</v>
          </cell>
          <cell r="AD2">
            <v>0.76424047127797401</v>
          </cell>
          <cell r="AE2">
            <v>0.53390434154352051</v>
          </cell>
          <cell r="AG2" t="str">
            <v>40</v>
          </cell>
        </row>
        <row r="3">
          <cell r="AD3" t="str">
            <v>100</v>
          </cell>
          <cell r="AG3" t="str">
            <v>100</v>
          </cell>
          <cell r="AX3" t="b">
            <v>0</v>
          </cell>
        </row>
        <row r="4">
          <cell r="AD4" t="str">
            <v>30</v>
          </cell>
          <cell r="AG4" t="str">
            <v>30</v>
          </cell>
          <cell r="AX4" t="b">
            <v>0</v>
          </cell>
        </row>
        <row r="5">
          <cell r="AD5" t="str">
            <v>2</v>
          </cell>
          <cell r="AX5" t="b">
            <v>0</v>
          </cell>
        </row>
        <row r="6">
          <cell r="B6" t="str">
            <v>Student ability</v>
          </cell>
        </row>
        <row r="8">
          <cell r="B8">
            <v>60.7</v>
          </cell>
          <cell r="C8">
            <v>90.55</v>
          </cell>
          <cell r="AH8">
            <v>60.7</v>
          </cell>
          <cell r="AI8">
            <v>90.55</v>
          </cell>
        </row>
        <row r="9">
          <cell r="B9">
            <v>168.47</v>
          </cell>
          <cell r="C9">
            <v>125.15</v>
          </cell>
          <cell r="AH9">
            <v>168.47</v>
          </cell>
          <cell r="AI9">
            <v>125.15</v>
          </cell>
        </row>
        <row r="10">
          <cell r="B10">
            <v>101.75</v>
          </cell>
          <cell r="C10">
            <v>85.86</v>
          </cell>
          <cell r="AH10">
            <v>101.75</v>
          </cell>
          <cell r="AI10">
            <v>85.86</v>
          </cell>
        </row>
        <row r="11">
          <cell r="B11">
            <v>107.02</v>
          </cell>
          <cell r="C11">
            <v>116.47</v>
          </cell>
          <cell r="AB11">
            <v>0</v>
          </cell>
          <cell r="AH11">
            <v>107.02</v>
          </cell>
          <cell r="AI11">
            <v>116.47</v>
          </cell>
        </row>
        <row r="12">
          <cell r="B12">
            <v>167.69</v>
          </cell>
          <cell r="C12">
            <v>153.51</v>
          </cell>
          <cell r="AB12">
            <v>100</v>
          </cell>
          <cell r="AH12">
            <v>167.69</v>
          </cell>
          <cell r="AI12">
            <v>153.51</v>
          </cell>
        </row>
        <row r="13">
          <cell r="B13">
            <v>80.25</v>
          </cell>
          <cell r="C13">
            <v>61.42</v>
          </cell>
          <cell r="AB13">
            <v>0</v>
          </cell>
          <cell r="AH13">
            <v>80.25</v>
          </cell>
          <cell r="AI13">
            <v>61.42</v>
          </cell>
        </row>
        <row r="14">
          <cell r="B14">
            <v>81.25</v>
          </cell>
          <cell r="C14">
            <v>96.66</v>
          </cell>
          <cell r="AB14">
            <v>100</v>
          </cell>
          <cell r="AH14">
            <v>81.25</v>
          </cell>
          <cell r="AI14">
            <v>96.66</v>
          </cell>
        </row>
        <row r="15">
          <cell r="B15">
            <v>107.5</v>
          </cell>
          <cell r="C15">
            <v>104.69</v>
          </cell>
          <cell r="AH15">
            <v>107.5</v>
          </cell>
          <cell r="AI15">
            <v>104.69</v>
          </cell>
        </row>
        <row r="16">
          <cell r="B16">
            <v>105.35</v>
          </cell>
          <cell r="C16">
            <v>110.16</v>
          </cell>
          <cell r="AH16">
            <v>105.35</v>
          </cell>
          <cell r="AI16">
            <v>110.16</v>
          </cell>
        </row>
        <row r="17">
          <cell r="B17">
            <v>101.32</v>
          </cell>
          <cell r="C17">
            <v>141.75</v>
          </cell>
          <cell r="AH17">
            <v>101.32</v>
          </cell>
          <cell r="AI17">
            <v>141.75</v>
          </cell>
        </row>
        <row r="18">
          <cell r="B18">
            <v>112.49</v>
          </cell>
          <cell r="C18">
            <v>110.77</v>
          </cell>
          <cell r="AH18">
            <v>112.49</v>
          </cell>
          <cell r="AI18">
            <v>110.77</v>
          </cell>
        </row>
        <row r="19">
          <cell r="B19">
            <v>112.63</v>
          </cell>
          <cell r="C19">
            <v>76.040000000000006</v>
          </cell>
          <cell r="AH19">
            <v>112.63</v>
          </cell>
          <cell r="AI19">
            <v>76.040000000000006</v>
          </cell>
        </row>
        <row r="20">
          <cell r="B20">
            <v>115.94</v>
          </cell>
          <cell r="C20">
            <v>86.74</v>
          </cell>
          <cell r="AH20">
            <v>115.94</v>
          </cell>
          <cell r="AI20">
            <v>86.74</v>
          </cell>
        </row>
        <row r="21">
          <cell r="B21">
            <v>113.85</v>
          </cell>
          <cell r="C21">
            <v>99.54</v>
          </cell>
          <cell r="AH21">
            <v>113.85</v>
          </cell>
          <cell r="AI21">
            <v>99.54</v>
          </cell>
        </row>
        <row r="22">
          <cell r="B22">
            <v>134.19999999999999</v>
          </cell>
          <cell r="C22">
            <v>96.59</v>
          </cell>
          <cell r="AH22">
            <v>134.19999999999999</v>
          </cell>
          <cell r="AI22">
            <v>96.59</v>
          </cell>
        </row>
        <row r="23">
          <cell r="B23">
            <v>72.510000000000005</v>
          </cell>
          <cell r="C23">
            <v>86.98</v>
          </cell>
          <cell r="AB23">
            <v>0</v>
          </cell>
          <cell r="AH23">
            <v>72.510000000000005</v>
          </cell>
          <cell r="AI23">
            <v>86.98</v>
          </cell>
        </row>
        <row r="24">
          <cell r="B24">
            <v>118.03</v>
          </cell>
          <cell r="C24">
            <v>141.38</v>
          </cell>
          <cell r="AB24">
            <v>180</v>
          </cell>
          <cell r="AH24">
            <v>118.03</v>
          </cell>
          <cell r="AI24">
            <v>141.38</v>
          </cell>
        </row>
        <row r="25">
          <cell r="B25">
            <v>99.78</v>
          </cell>
          <cell r="C25">
            <v>81.569999999999993</v>
          </cell>
          <cell r="AB25">
            <v>20</v>
          </cell>
          <cell r="AH25">
            <v>99.78</v>
          </cell>
          <cell r="AI25">
            <v>81.569999999999993</v>
          </cell>
        </row>
        <row r="26">
          <cell r="B26">
            <v>84.14</v>
          </cell>
          <cell r="C26">
            <v>97.15</v>
          </cell>
          <cell r="AB26">
            <v>0</v>
          </cell>
          <cell r="AH26">
            <v>84.14</v>
          </cell>
          <cell r="AI26">
            <v>97.15</v>
          </cell>
        </row>
        <row r="27">
          <cell r="B27">
            <v>69.180000000000007</v>
          </cell>
          <cell r="C27">
            <v>91.27</v>
          </cell>
          <cell r="AB27">
            <v>200</v>
          </cell>
          <cell r="AH27">
            <v>69.180000000000007</v>
          </cell>
          <cell r="AI27">
            <v>91.27</v>
          </cell>
        </row>
        <row r="28">
          <cell r="B28">
            <v>156.18</v>
          </cell>
          <cell r="C28">
            <v>150.66999999999999</v>
          </cell>
          <cell r="AB28">
            <v>20</v>
          </cell>
          <cell r="AH28">
            <v>156.18</v>
          </cell>
          <cell r="AI28">
            <v>150.66999999999999</v>
          </cell>
        </row>
        <row r="29">
          <cell r="B29">
            <v>60.86</v>
          </cell>
          <cell r="C29">
            <v>121.5</v>
          </cell>
          <cell r="AH29">
            <v>60.86</v>
          </cell>
          <cell r="AI29">
            <v>121.5</v>
          </cell>
        </row>
        <row r="30">
          <cell r="B30">
            <v>55.83</v>
          </cell>
          <cell r="C30">
            <v>60.58</v>
          </cell>
          <cell r="AH30">
            <v>55.83</v>
          </cell>
          <cell r="AI30">
            <v>60.58</v>
          </cell>
        </row>
        <row r="31">
          <cell r="B31">
            <v>115.12</v>
          </cell>
          <cell r="C31">
            <v>123.81</v>
          </cell>
          <cell r="AH31">
            <v>115.12</v>
          </cell>
          <cell r="AI31">
            <v>123.81</v>
          </cell>
        </row>
        <row r="32">
          <cell r="B32">
            <v>79.25</v>
          </cell>
          <cell r="C32">
            <v>81.69</v>
          </cell>
          <cell r="AH32">
            <v>79.25</v>
          </cell>
          <cell r="AI32">
            <v>81.69</v>
          </cell>
        </row>
        <row r="33">
          <cell r="B33">
            <v>96.57</v>
          </cell>
          <cell r="C33">
            <v>66.510000000000005</v>
          </cell>
          <cell r="AH33">
            <v>96.57</v>
          </cell>
          <cell r="AI33">
            <v>66.510000000000005</v>
          </cell>
        </row>
        <row r="34">
          <cell r="B34">
            <v>104.2</v>
          </cell>
          <cell r="C34">
            <v>132.76</v>
          </cell>
          <cell r="AH34">
            <v>104.2</v>
          </cell>
          <cell r="AI34">
            <v>132.76</v>
          </cell>
        </row>
        <row r="35">
          <cell r="B35">
            <v>101.83</v>
          </cell>
          <cell r="C35">
            <v>76.37</v>
          </cell>
          <cell r="AH35">
            <v>101.83</v>
          </cell>
          <cell r="AI35">
            <v>76.37</v>
          </cell>
        </row>
        <row r="36">
          <cell r="B36">
            <v>88.26</v>
          </cell>
          <cell r="C36">
            <v>119.86</v>
          </cell>
          <cell r="AH36">
            <v>88.26</v>
          </cell>
          <cell r="AI36">
            <v>119.86</v>
          </cell>
        </row>
        <row r="37">
          <cell r="B37">
            <v>140.6</v>
          </cell>
          <cell r="C37">
            <v>71.400000000000006</v>
          </cell>
          <cell r="AH37">
            <v>140.6</v>
          </cell>
          <cell r="AI37">
            <v>71.400000000000006</v>
          </cell>
        </row>
        <row r="38">
          <cell r="B38">
            <v>131.72999999999999</v>
          </cell>
          <cell r="C38">
            <v>126.09</v>
          </cell>
          <cell r="AH38">
            <v>131.72999999999999</v>
          </cell>
          <cell r="AI38">
            <v>126.09</v>
          </cell>
        </row>
        <row r="39">
          <cell r="B39">
            <v>98.34</v>
          </cell>
          <cell r="C39">
            <v>105.84</v>
          </cell>
          <cell r="AH39">
            <v>98.34</v>
          </cell>
          <cell r="AI39">
            <v>105.84</v>
          </cell>
        </row>
        <row r="40">
          <cell r="B40">
            <v>104.52</v>
          </cell>
          <cell r="C40">
            <v>116.6</v>
          </cell>
          <cell r="AH40">
            <v>104.52</v>
          </cell>
          <cell r="AI40">
            <v>116.6</v>
          </cell>
        </row>
        <row r="41">
          <cell r="B41">
            <v>112.97</v>
          </cell>
          <cell r="C41">
            <v>80.569999999999993</v>
          </cell>
          <cell r="AH41">
            <v>112.97</v>
          </cell>
          <cell r="AI41">
            <v>80.569999999999993</v>
          </cell>
        </row>
        <row r="42">
          <cell r="B42">
            <v>84.6</v>
          </cell>
          <cell r="C42">
            <v>114.53</v>
          </cell>
          <cell r="AH42">
            <v>84.6</v>
          </cell>
          <cell r="AI42">
            <v>114.53</v>
          </cell>
        </row>
        <row r="43">
          <cell r="B43">
            <v>176.51</v>
          </cell>
          <cell r="C43">
            <v>146.72999999999999</v>
          </cell>
          <cell r="AH43">
            <v>176.51</v>
          </cell>
          <cell r="AI43">
            <v>146.72999999999999</v>
          </cell>
        </row>
        <row r="44">
          <cell r="B44">
            <v>68.39</v>
          </cell>
          <cell r="C44">
            <v>71.540000000000006</v>
          </cell>
          <cell r="AH44">
            <v>68.39</v>
          </cell>
          <cell r="AI44">
            <v>71.540000000000006</v>
          </cell>
        </row>
        <row r="45">
          <cell r="B45">
            <v>82.36</v>
          </cell>
          <cell r="C45">
            <v>99.75</v>
          </cell>
          <cell r="AH45">
            <v>82.36</v>
          </cell>
          <cell r="AI45">
            <v>99.75</v>
          </cell>
        </row>
        <row r="46">
          <cell r="B46">
            <v>157.49</v>
          </cell>
          <cell r="C46">
            <v>97.75</v>
          </cell>
          <cell r="AH46">
            <v>157.49</v>
          </cell>
          <cell r="AI46">
            <v>97.75</v>
          </cell>
        </row>
        <row r="47">
          <cell r="B47">
            <v>109.54</v>
          </cell>
          <cell r="C47">
            <v>89.68</v>
          </cell>
          <cell r="AH47">
            <v>109.54</v>
          </cell>
          <cell r="AI47">
            <v>89.68</v>
          </cell>
        </row>
        <row r="48">
          <cell r="B48" t="str">
            <v/>
          </cell>
          <cell r="C48" t="str">
            <v/>
          </cell>
          <cell r="AH48" t="str">
            <v/>
          </cell>
          <cell r="AI48" t="str">
            <v/>
          </cell>
        </row>
        <row r="49">
          <cell r="B49" t="str">
            <v/>
          </cell>
          <cell r="C49" t="str">
            <v/>
          </cell>
          <cell r="AH49" t="str">
            <v/>
          </cell>
          <cell r="AI49" t="str">
            <v/>
          </cell>
        </row>
        <row r="50">
          <cell r="B50" t="str">
            <v/>
          </cell>
          <cell r="C50" t="str">
            <v/>
          </cell>
          <cell r="AH50" t="str">
            <v/>
          </cell>
          <cell r="AI50" t="str">
            <v/>
          </cell>
        </row>
        <row r="51">
          <cell r="B51" t="str">
            <v/>
          </cell>
          <cell r="C51" t="str">
            <v/>
          </cell>
          <cell r="AH51" t="str">
            <v/>
          </cell>
          <cell r="AI51" t="str">
            <v/>
          </cell>
        </row>
        <row r="52">
          <cell r="B52" t="str">
            <v/>
          </cell>
          <cell r="C52" t="str">
            <v/>
          </cell>
          <cell r="AH52" t="str">
            <v/>
          </cell>
          <cell r="AI52" t="str">
            <v/>
          </cell>
        </row>
        <row r="53">
          <cell r="B53" t="str">
            <v/>
          </cell>
          <cell r="C53" t="str">
            <v/>
          </cell>
          <cell r="AH53" t="str">
            <v/>
          </cell>
          <cell r="AI53" t="str">
            <v/>
          </cell>
        </row>
        <row r="54">
          <cell r="B54" t="str">
            <v/>
          </cell>
          <cell r="C54" t="str">
            <v/>
          </cell>
          <cell r="AH54" t="str">
            <v/>
          </cell>
          <cell r="AI54" t="str">
            <v/>
          </cell>
        </row>
        <row r="55">
          <cell r="B55" t="str">
            <v/>
          </cell>
          <cell r="C55" t="str">
            <v/>
          </cell>
          <cell r="AH55" t="str">
            <v/>
          </cell>
          <cell r="AI55" t="str">
            <v/>
          </cell>
        </row>
        <row r="56">
          <cell r="B56" t="str">
            <v/>
          </cell>
          <cell r="C56" t="str">
            <v/>
          </cell>
          <cell r="AH56" t="str">
            <v/>
          </cell>
          <cell r="AI56" t="str">
            <v/>
          </cell>
        </row>
        <row r="57">
          <cell r="B57" t="str">
            <v/>
          </cell>
          <cell r="C57" t="str">
            <v/>
          </cell>
          <cell r="AH57" t="str">
            <v/>
          </cell>
          <cell r="AI57" t="str">
            <v/>
          </cell>
        </row>
        <row r="58">
          <cell r="B58" t="str">
            <v/>
          </cell>
          <cell r="C58" t="str">
            <v/>
          </cell>
          <cell r="AH58" t="str">
            <v/>
          </cell>
          <cell r="AI58" t="str">
            <v/>
          </cell>
        </row>
        <row r="59">
          <cell r="B59" t="str">
            <v/>
          </cell>
          <cell r="C59" t="str">
            <v/>
          </cell>
          <cell r="AH59" t="str">
            <v/>
          </cell>
          <cell r="AI59" t="str">
            <v/>
          </cell>
        </row>
        <row r="60">
          <cell r="B60" t="str">
            <v/>
          </cell>
          <cell r="C60" t="str">
            <v/>
          </cell>
          <cell r="AH60" t="str">
            <v/>
          </cell>
          <cell r="AI60" t="str">
            <v/>
          </cell>
        </row>
        <row r="61">
          <cell r="B61" t="str">
            <v/>
          </cell>
          <cell r="C61" t="str">
            <v/>
          </cell>
          <cell r="AH61" t="str">
            <v/>
          </cell>
          <cell r="AI61" t="str">
            <v/>
          </cell>
        </row>
        <row r="62">
          <cell r="B62" t="str">
            <v/>
          </cell>
          <cell r="C62" t="str">
            <v/>
          </cell>
          <cell r="AH62" t="str">
            <v/>
          </cell>
          <cell r="AI62" t="str">
            <v/>
          </cell>
        </row>
        <row r="63">
          <cell r="B63" t="str">
            <v/>
          </cell>
          <cell r="C63" t="str">
            <v/>
          </cell>
          <cell r="AH63" t="str">
            <v/>
          </cell>
          <cell r="AI63" t="str">
            <v/>
          </cell>
        </row>
        <row r="64">
          <cell r="B64" t="str">
            <v/>
          </cell>
          <cell r="C64" t="str">
            <v/>
          </cell>
          <cell r="AH64" t="str">
            <v/>
          </cell>
          <cell r="AI64" t="str">
            <v/>
          </cell>
        </row>
        <row r="65">
          <cell r="B65" t="str">
            <v/>
          </cell>
          <cell r="C65" t="str">
            <v/>
          </cell>
          <cell r="AH65" t="str">
            <v/>
          </cell>
          <cell r="AI65" t="str">
            <v/>
          </cell>
        </row>
        <row r="66">
          <cell r="B66" t="str">
            <v/>
          </cell>
          <cell r="C66" t="str">
            <v/>
          </cell>
          <cell r="AH66" t="str">
            <v/>
          </cell>
          <cell r="AI66" t="str">
            <v/>
          </cell>
        </row>
        <row r="67">
          <cell r="B67" t="str">
            <v/>
          </cell>
          <cell r="C67" t="str">
            <v/>
          </cell>
          <cell r="AH67" t="str">
            <v/>
          </cell>
          <cell r="AI67" t="str">
            <v/>
          </cell>
        </row>
        <row r="68">
          <cell r="B68" t="str">
            <v/>
          </cell>
          <cell r="C68" t="str">
            <v/>
          </cell>
          <cell r="AH68" t="str">
            <v/>
          </cell>
          <cell r="AI68" t="str">
            <v/>
          </cell>
        </row>
        <row r="69">
          <cell r="B69" t="str">
            <v/>
          </cell>
          <cell r="C69" t="str">
            <v/>
          </cell>
          <cell r="AH69" t="str">
            <v/>
          </cell>
          <cell r="AI69" t="str">
            <v/>
          </cell>
        </row>
        <row r="70">
          <cell r="B70" t="str">
            <v/>
          </cell>
          <cell r="C70" t="str">
            <v/>
          </cell>
          <cell r="AH70" t="str">
            <v/>
          </cell>
          <cell r="AI70" t="str">
            <v/>
          </cell>
        </row>
        <row r="71">
          <cell r="B71" t="str">
            <v/>
          </cell>
          <cell r="C71" t="str">
            <v/>
          </cell>
          <cell r="AH71" t="str">
            <v/>
          </cell>
          <cell r="AI71" t="str">
            <v/>
          </cell>
        </row>
        <row r="72">
          <cell r="B72" t="str">
            <v/>
          </cell>
          <cell r="C72" t="str">
            <v/>
          </cell>
          <cell r="AH72" t="str">
            <v/>
          </cell>
          <cell r="AI72" t="str">
            <v/>
          </cell>
        </row>
        <row r="73">
          <cell r="B73" t="str">
            <v/>
          </cell>
          <cell r="C73" t="str">
            <v/>
          </cell>
          <cell r="AH73" t="str">
            <v/>
          </cell>
          <cell r="AI73" t="str">
            <v/>
          </cell>
        </row>
        <row r="74">
          <cell r="B74" t="str">
            <v/>
          </cell>
          <cell r="C74" t="str">
            <v/>
          </cell>
          <cell r="AH74" t="str">
            <v/>
          </cell>
          <cell r="AI74" t="str">
            <v/>
          </cell>
        </row>
        <row r="75">
          <cell r="B75" t="str">
            <v/>
          </cell>
          <cell r="C75" t="str">
            <v/>
          </cell>
          <cell r="AH75" t="str">
            <v/>
          </cell>
          <cell r="AI75" t="str">
            <v/>
          </cell>
        </row>
        <row r="76">
          <cell r="B76" t="str">
            <v/>
          </cell>
          <cell r="C76" t="str">
            <v/>
          </cell>
          <cell r="AH76" t="str">
            <v/>
          </cell>
          <cell r="AI76" t="str">
            <v/>
          </cell>
        </row>
        <row r="77">
          <cell r="B77" t="str">
            <v/>
          </cell>
          <cell r="C77" t="str">
            <v/>
          </cell>
          <cell r="AH77" t="str">
            <v/>
          </cell>
          <cell r="AI77" t="str">
            <v/>
          </cell>
        </row>
        <row r="78">
          <cell r="B78" t="str">
            <v/>
          </cell>
          <cell r="C78" t="str">
            <v/>
          </cell>
          <cell r="AH78" t="str">
            <v/>
          </cell>
          <cell r="AI78" t="str">
            <v/>
          </cell>
        </row>
        <row r="79">
          <cell r="B79" t="str">
            <v/>
          </cell>
          <cell r="C79" t="str">
            <v/>
          </cell>
          <cell r="AH79" t="str">
            <v/>
          </cell>
          <cell r="AI79" t="str">
            <v/>
          </cell>
        </row>
        <row r="80">
          <cell r="B80" t="str">
            <v/>
          </cell>
          <cell r="C80" t="str">
            <v/>
          </cell>
          <cell r="AH80" t="str">
            <v/>
          </cell>
          <cell r="AI80" t="str">
            <v/>
          </cell>
        </row>
        <row r="81">
          <cell r="B81" t="str">
            <v/>
          </cell>
          <cell r="C81" t="str">
            <v/>
          </cell>
          <cell r="AH81" t="str">
            <v/>
          </cell>
          <cell r="AI81" t="str">
            <v/>
          </cell>
        </row>
        <row r="82">
          <cell r="B82" t="str">
            <v/>
          </cell>
          <cell r="C82" t="str">
            <v/>
          </cell>
          <cell r="AH82" t="str">
            <v/>
          </cell>
          <cell r="AI82" t="str">
            <v/>
          </cell>
        </row>
        <row r="83">
          <cell r="B83" t="str">
            <v/>
          </cell>
          <cell r="C83" t="str">
            <v/>
          </cell>
          <cell r="AH83" t="str">
            <v/>
          </cell>
          <cell r="AI83" t="str">
            <v/>
          </cell>
        </row>
        <row r="84">
          <cell r="B84" t="str">
            <v/>
          </cell>
          <cell r="C84" t="str">
            <v/>
          </cell>
          <cell r="AH84" t="str">
            <v/>
          </cell>
          <cell r="AI84" t="str">
            <v/>
          </cell>
        </row>
        <row r="85">
          <cell r="B85" t="str">
            <v/>
          </cell>
          <cell r="C85" t="str">
            <v/>
          </cell>
          <cell r="AH85" t="str">
            <v/>
          </cell>
          <cell r="AI85" t="str">
            <v/>
          </cell>
        </row>
        <row r="86">
          <cell r="B86" t="str">
            <v/>
          </cell>
          <cell r="C86" t="str">
            <v/>
          </cell>
          <cell r="AH86" t="str">
            <v/>
          </cell>
          <cell r="AI86" t="str">
            <v/>
          </cell>
        </row>
        <row r="87">
          <cell r="B87" t="str">
            <v/>
          </cell>
          <cell r="C87" t="str">
            <v/>
          </cell>
          <cell r="AH87" t="str">
            <v/>
          </cell>
          <cell r="AI87" t="str">
            <v/>
          </cell>
        </row>
        <row r="88">
          <cell r="B88" t="str">
            <v/>
          </cell>
          <cell r="C88" t="str">
            <v/>
          </cell>
          <cell r="AH88" t="str">
            <v/>
          </cell>
          <cell r="AI88" t="str">
            <v/>
          </cell>
        </row>
        <row r="89">
          <cell r="B89" t="str">
            <v/>
          </cell>
          <cell r="C89" t="str">
            <v/>
          </cell>
          <cell r="AH89" t="str">
            <v/>
          </cell>
          <cell r="AI89" t="str">
            <v/>
          </cell>
        </row>
        <row r="90">
          <cell r="B90" t="str">
            <v/>
          </cell>
          <cell r="C90" t="str">
            <v/>
          </cell>
          <cell r="AH90" t="str">
            <v/>
          </cell>
          <cell r="AI90" t="str">
            <v/>
          </cell>
        </row>
        <row r="91">
          <cell r="B91" t="str">
            <v/>
          </cell>
          <cell r="C91" t="str">
            <v/>
          </cell>
          <cell r="AH91" t="str">
            <v/>
          </cell>
          <cell r="AI91" t="str">
            <v/>
          </cell>
        </row>
        <row r="92">
          <cell r="B92" t="str">
            <v/>
          </cell>
          <cell r="C92" t="str">
            <v/>
          </cell>
          <cell r="AH92" t="str">
            <v/>
          </cell>
          <cell r="AI92" t="str">
            <v/>
          </cell>
        </row>
        <row r="93">
          <cell r="B93" t="str">
            <v/>
          </cell>
          <cell r="C93" t="str">
            <v/>
          </cell>
          <cell r="AH93" t="str">
            <v/>
          </cell>
          <cell r="AI93" t="str">
            <v/>
          </cell>
        </row>
        <row r="94">
          <cell r="B94" t="str">
            <v/>
          </cell>
          <cell r="C94" t="str">
            <v/>
          </cell>
          <cell r="AH94" t="str">
            <v/>
          </cell>
          <cell r="AI94" t="str">
            <v/>
          </cell>
        </row>
        <row r="95">
          <cell r="B95" t="str">
            <v/>
          </cell>
          <cell r="C95" t="str">
            <v/>
          </cell>
          <cell r="AH95" t="str">
            <v/>
          </cell>
          <cell r="AI95" t="str">
            <v/>
          </cell>
        </row>
        <row r="96">
          <cell r="B96" t="str">
            <v/>
          </cell>
          <cell r="C96" t="str">
            <v/>
          </cell>
          <cell r="AH96" t="str">
            <v/>
          </cell>
          <cell r="AI96" t="str">
            <v/>
          </cell>
        </row>
        <row r="97">
          <cell r="B97" t="str">
            <v/>
          </cell>
          <cell r="C97" t="str">
            <v/>
          </cell>
          <cell r="AH97" t="str">
            <v/>
          </cell>
          <cell r="AI97" t="str">
            <v/>
          </cell>
        </row>
        <row r="98">
          <cell r="B98" t="str">
            <v/>
          </cell>
          <cell r="C98" t="str">
            <v/>
          </cell>
          <cell r="AH98" t="str">
            <v/>
          </cell>
          <cell r="AI98" t="str">
            <v/>
          </cell>
        </row>
        <row r="99">
          <cell r="B99" t="str">
            <v/>
          </cell>
          <cell r="C99" t="str">
            <v/>
          </cell>
          <cell r="AH99" t="str">
            <v/>
          </cell>
          <cell r="AI99" t="str">
            <v/>
          </cell>
        </row>
        <row r="100">
          <cell r="B100" t="str">
            <v/>
          </cell>
          <cell r="C100" t="str">
            <v/>
          </cell>
          <cell r="AH100" t="str">
            <v/>
          </cell>
          <cell r="AI100" t="str">
            <v/>
          </cell>
        </row>
        <row r="101">
          <cell r="B101" t="str">
            <v/>
          </cell>
          <cell r="C101" t="str">
            <v/>
          </cell>
          <cell r="AH101" t="str">
            <v/>
          </cell>
          <cell r="AI101" t="str">
            <v/>
          </cell>
        </row>
        <row r="102">
          <cell r="B102" t="str">
            <v/>
          </cell>
          <cell r="C102" t="str">
            <v/>
          </cell>
          <cell r="AH102" t="str">
            <v/>
          </cell>
          <cell r="AI102" t="str">
            <v/>
          </cell>
        </row>
        <row r="103">
          <cell r="B103" t="str">
            <v/>
          </cell>
          <cell r="C103" t="str">
            <v/>
          </cell>
          <cell r="AH103" t="str">
            <v/>
          </cell>
          <cell r="AI103" t="str">
            <v/>
          </cell>
        </row>
        <row r="104">
          <cell r="B104" t="str">
            <v/>
          </cell>
          <cell r="C104" t="str">
            <v/>
          </cell>
          <cell r="AH104" t="str">
            <v/>
          </cell>
          <cell r="AI104" t="str">
            <v/>
          </cell>
        </row>
        <row r="105">
          <cell r="B105" t="str">
            <v/>
          </cell>
          <cell r="C105" t="str">
            <v/>
          </cell>
          <cell r="AH105" t="str">
            <v/>
          </cell>
          <cell r="AI105" t="str">
            <v/>
          </cell>
        </row>
        <row r="106">
          <cell r="B106" t="str">
            <v/>
          </cell>
          <cell r="C106" t="str">
            <v/>
          </cell>
          <cell r="AH106" t="str">
            <v/>
          </cell>
          <cell r="AI106" t="str">
            <v/>
          </cell>
        </row>
        <row r="107">
          <cell r="B107" t="str">
            <v/>
          </cell>
          <cell r="C107" t="str">
            <v/>
          </cell>
          <cell r="AH107" t="str">
            <v/>
          </cell>
          <cell r="AI107" t="str">
            <v/>
          </cell>
        </row>
        <row r="108">
          <cell r="B108" t="str">
            <v/>
          </cell>
          <cell r="C108" t="str">
            <v/>
          </cell>
          <cell r="AH108" t="str">
            <v/>
          </cell>
          <cell r="AI108" t="str">
            <v/>
          </cell>
        </row>
        <row r="109">
          <cell r="B109" t="str">
            <v/>
          </cell>
          <cell r="C109" t="str">
            <v/>
          </cell>
          <cell r="AH109" t="str">
            <v/>
          </cell>
          <cell r="AI109" t="str">
            <v/>
          </cell>
        </row>
        <row r="110">
          <cell r="B110" t="str">
            <v/>
          </cell>
          <cell r="C110" t="str">
            <v/>
          </cell>
          <cell r="AH110" t="str">
            <v/>
          </cell>
          <cell r="AI110" t="str">
            <v/>
          </cell>
        </row>
        <row r="111">
          <cell r="B111" t="str">
            <v/>
          </cell>
          <cell r="C111" t="str">
            <v/>
          </cell>
          <cell r="AH111" t="str">
            <v/>
          </cell>
          <cell r="AI111" t="str">
            <v/>
          </cell>
        </row>
        <row r="112">
          <cell r="B112" t="str">
            <v/>
          </cell>
          <cell r="C112" t="str">
            <v/>
          </cell>
          <cell r="AH112" t="str">
            <v/>
          </cell>
          <cell r="AI112" t="str">
            <v/>
          </cell>
        </row>
        <row r="113">
          <cell r="B113" t="str">
            <v/>
          </cell>
          <cell r="C113" t="str">
            <v/>
          </cell>
          <cell r="AH113" t="str">
            <v/>
          </cell>
          <cell r="AI113" t="str">
            <v/>
          </cell>
        </row>
        <row r="114">
          <cell r="B114" t="str">
            <v/>
          </cell>
          <cell r="C114" t="str">
            <v/>
          </cell>
          <cell r="AH114" t="str">
            <v/>
          </cell>
          <cell r="AI114" t="str">
            <v/>
          </cell>
        </row>
        <row r="115">
          <cell r="B115" t="str">
            <v/>
          </cell>
          <cell r="C115" t="str">
            <v/>
          </cell>
          <cell r="AH115" t="str">
            <v/>
          </cell>
          <cell r="AI115" t="str">
            <v/>
          </cell>
        </row>
        <row r="116">
          <cell r="B116" t="str">
            <v/>
          </cell>
          <cell r="C116" t="str">
            <v/>
          </cell>
          <cell r="AH116" t="str">
            <v/>
          </cell>
          <cell r="AI116" t="str">
            <v/>
          </cell>
        </row>
        <row r="117">
          <cell r="B117" t="str">
            <v/>
          </cell>
          <cell r="C117" t="str">
            <v/>
          </cell>
          <cell r="AH117" t="str">
            <v/>
          </cell>
          <cell r="AI117" t="str">
            <v/>
          </cell>
        </row>
        <row r="118">
          <cell r="B118" t="str">
            <v/>
          </cell>
          <cell r="C118" t="str">
            <v/>
          </cell>
          <cell r="AH118" t="str">
            <v/>
          </cell>
          <cell r="AI118" t="str">
            <v/>
          </cell>
        </row>
        <row r="119">
          <cell r="B119" t="str">
            <v/>
          </cell>
          <cell r="C119" t="str">
            <v/>
          </cell>
          <cell r="AH119" t="str">
            <v/>
          </cell>
          <cell r="AI119" t="str">
            <v/>
          </cell>
        </row>
        <row r="120">
          <cell r="B120" t="str">
            <v/>
          </cell>
          <cell r="C120" t="str">
            <v/>
          </cell>
          <cell r="AH120" t="str">
            <v/>
          </cell>
          <cell r="AI120" t="str">
            <v/>
          </cell>
        </row>
        <row r="121">
          <cell r="B121" t="str">
            <v/>
          </cell>
          <cell r="C121" t="str">
            <v/>
          </cell>
          <cell r="AH121" t="str">
            <v/>
          </cell>
          <cell r="AI121" t="str">
            <v/>
          </cell>
        </row>
        <row r="122">
          <cell r="B122" t="str">
            <v/>
          </cell>
          <cell r="C122" t="str">
            <v/>
          </cell>
          <cell r="AH122" t="str">
            <v/>
          </cell>
          <cell r="AI122" t="str">
            <v/>
          </cell>
        </row>
        <row r="123">
          <cell r="B123" t="str">
            <v/>
          </cell>
          <cell r="C123" t="str">
            <v/>
          </cell>
          <cell r="AH123" t="str">
            <v/>
          </cell>
          <cell r="AI123" t="str">
            <v/>
          </cell>
        </row>
        <row r="124">
          <cell r="B124" t="str">
            <v/>
          </cell>
          <cell r="C124" t="str">
            <v/>
          </cell>
          <cell r="AH124" t="str">
            <v/>
          </cell>
          <cell r="AI124" t="str">
            <v/>
          </cell>
        </row>
        <row r="125">
          <cell r="B125" t="str">
            <v/>
          </cell>
          <cell r="C125" t="str">
            <v/>
          </cell>
          <cell r="AH125" t="str">
            <v/>
          </cell>
          <cell r="AI125" t="str">
            <v/>
          </cell>
        </row>
        <row r="126">
          <cell r="B126" t="str">
            <v/>
          </cell>
          <cell r="C126" t="str">
            <v/>
          </cell>
          <cell r="AH126" t="str">
            <v/>
          </cell>
          <cell r="AI126" t="str">
            <v/>
          </cell>
        </row>
        <row r="127">
          <cell r="B127" t="str">
            <v/>
          </cell>
          <cell r="C127" t="str">
            <v/>
          </cell>
          <cell r="AH127" t="str">
            <v/>
          </cell>
          <cell r="AI127" t="str">
            <v/>
          </cell>
        </row>
        <row r="128">
          <cell r="B128" t="str">
            <v/>
          </cell>
          <cell r="C128" t="str">
            <v/>
          </cell>
          <cell r="AH128" t="str">
            <v/>
          </cell>
          <cell r="AI128" t="str">
            <v/>
          </cell>
        </row>
        <row r="129">
          <cell r="B129" t="str">
            <v/>
          </cell>
          <cell r="C129" t="str">
            <v/>
          </cell>
          <cell r="AH129" t="str">
            <v/>
          </cell>
          <cell r="AI129" t="str">
            <v/>
          </cell>
        </row>
        <row r="130">
          <cell r="B130" t="str">
            <v/>
          </cell>
          <cell r="C130" t="str">
            <v/>
          </cell>
          <cell r="AH130" t="str">
            <v/>
          </cell>
          <cell r="AI130" t="str">
            <v/>
          </cell>
        </row>
        <row r="131">
          <cell r="B131" t="str">
            <v/>
          </cell>
          <cell r="C131" t="str">
            <v/>
          </cell>
          <cell r="AH131" t="str">
            <v/>
          </cell>
          <cell r="AI131" t="str">
            <v/>
          </cell>
        </row>
        <row r="132">
          <cell r="B132" t="str">
            <v/>
          </cell>
          <cell r="C132" t="str">
            <v/>
          </cell>
          <cell r="AH132" t="str">
            <v/>
          </cell>
          <cell r="AI132" t="str">
            <v/>
          </cell>
        </row>
        <row r="133">
          <cell r="B133" t="str">
            <v/>
          </cell>
          <cell r="C133" t="str">
            <v/>
          </cell>
          <cell r="AH133" t="str">
            <v/>
          </cell>
          <cell r="AI133" t="str">
            <v/>
          </cell>
        </row>
        <row r="134">
          <cell r="B134" t="str">
            <v/>
          </cell>
          <cell r="C134" t="str">
            <v/>
          </cell>
          <cell r="AH134" t="str">
            <v/>
          </cell>
          <cell r="AI134" t="str">
            <v/>
          </cell>
        </row>
        <row r="135">
          <cell r="B135" t="str">
            <v/>
          </cell>
          <cell r="C135" t="str">
            <v/>
          </cell>
          <cell r="AH135" t="str">
            <v/>
          </cell>
          <cell r="AI135" t="str">
            <v/>
          </cell>
        </row>
        <row r="136">
          <cell r="B136" t="str">
            <v/>
          </cell>
          <cell r="C136" t="str">
            <v/>
          </cell>
          <cell r="AH136" t="str">
            <v/>
          </cell>
          <cell r="AI136" t="str">
            <v/>
          </cell>
        </row>
        <row r="137">
          <cell r="B137" t="str">
            <v/>
          </cell>
          <cell r="C137" t="str">
            <v/>
          </cell>
          <cell r="AH137" t="str">
            <v/>
          </cell>
          <cell r="AI137" t="str">
            <v/>
          </cell>
        </row>
        <row r="138">
          <cell r="B138" t="str">
            <v/>
          </cell>
          <cell r="C138" t="str">
            <v/>
          </cell>
          <cell r="AH138" t="str">
            <v/>
          </cell>
          <cell r="AI138" t="str">
            <v/>
          </cell>
        </row>
        <row r="139">
          <cell r="B139" t="str">
            <v/>
          </cell>
          <cell r="C139" t="str">
            <v/>
          </cell>
          <cell r="AH139" t="str">
            <v/>
          </cell>
          <cell r="AI139" t="str">
            <v/>
          </cell>
        </row>
        <row r="140">
          <cell r="B140" t="str">
            <v/>
          </cell>
          <cell r="C140" t="str">
            <v/>
          </cell>
          <cell r="AH140" t="str">
            <v/>
          </cell>
          <cell r="AI140" t="str">
            <v/>
          </cell>
        </row>
        <row r="141">
          <cell r="B141" t="str">
            <v/>
          </cell>
          <cell r="C141" t="str">
            <v/>
          </cell>
          <cell r="AH141" t="str">
            <v/>
          </cell>
          <cell r="AI141" t="str">
            <v/>
          </cell>
        </row>
        <row r="142">
          <cell r="B142" t="str">
            <v/>
          </cell>
          <cell r="C142" t="str">
            <v/>
          </cell>
          <cell r="AH142" t="str">
            <v/>
          </cell>
          <cell r="AI142" t="str">
            <v/>
          </cell>
        </row>
        <row r="143">
          <cell r="B143" t="str">
            <v/>
          </cell>
          <cell r="C143" t="str">
            <v/>
          </cell>
          <cell r="AH143" t="str">
            <v/>
          </cell>
          <cell r="AI143" t="str">
            <v/>
          </cell>
        </row>
        <row r="144">
          <cell r="B144" t="str">
            <v/>
          </cell>
          <cell r="C144" t="str">
            <v/>
          </cell>
          <cell r="AH144" t="str">
            <v/>
          </cell>
          <cell r="AI144" t="str">
            <v/>
          </cell>
        </row>
        <row r="145">
          <cell r="B145" t="str">
            <v/>
          </cell>
          <cell r="C145" t="str">
            <v/>
          </cell>
          <cell r="AH145" t="str">
            <v/>
          </cell>
          <cell r="AI145" t="str">
            <v/>
          </cell>
        </row>
        <row r="146">
          <cell r="B146" t="str">
            <v/>
          </cell>
          <cell r="C146" t="str">
            <v/>
          </cell>
          <cell r="AH146" t="str">
            <v/>
          </cell>
          <cell r="AI146" t="str">
            <v/>
          </cell>
        </row>
        <row r="147">
          <cell r="B147" t="str">
            <v/>
          </cell>
          <cell r="C147" t="str">
            <v/>
          </cell>
          <cell r="AH147" t="str">
            <v/>
          </cell>
          <cell r="AI147" t="str">
            <v/>
          </cell>
        </row>
        <row r="148">
          <cell r="B148" t="str">
            <v/>
          </cell>
          <cell r="C148" t="str">
            <v/>
          </cell>
          <cell r="AH148" t="str">
            <v/>
          </cell>
          <cell r="AI148" t="str">
            <v/>
          </cell>
        </row>
        <row r="149">
          <cell r="B149" t="str">
            <v/>
          </cell>
          <cell r="C149" t="str">
            <v/>
          </cell>
          <cell r="AH149" t="str">
            <v/>
          </cell>
          <cell r="AI149" t="str">
            <v/>
          </cell>
        </row>
        <row r="150">
          <cell r="B150" t="str">
            <v/>
          </cell>
          <cell r="C150" t="str">
            <v/>
          </cell>
          <cell r="AH150" t="str">
            <v/>
          </cell>
          <cell r="AI150" t="str">
            <v/>
          </cell>
        </row>
        <row r="151">
          <cell r="B151" t="str">
            <v/>
          </cell>
          <cell r="C151" t="str">
            <v/>
          </cell>
          <cell r="AH151" t="str">
            <v/>
          </cell>
          <cell r="AI151" t="str">
            <v/>
          </cell>
        </row>
        <row r="152">
          <cell r="B152" t="str">
            <v/>
          </cell>
          <cell r="C152" t="str">
            <v/>
          </cell>
          <cell r="AH152" t="str">
            <v/>
          </cell>
          <cell r="AI152" t="str">
            <v/>
          </cell>
        </row>
        <row r="153">
          <cell r="B153" t="str">
            <v/>
          </cell>
          <cell r="C153" t="str">
            <v/>
          </cell>
          <cell r="AH153" t="str">
            <v/>
          </cell>
          <cell r="AI153" t="str">
            <v/>
          </cell>
        </row>
        <row r="154">
          <cell r="B154" t="str">
            <v/>
          </cell>
          <cell r="C154" t="str">
            <v/>
          </cell>
          <cell r="AH154" t="str">
            <v/>
          </cell>
          <cell r="AI154" t="str">
            <v/>
          </cell>
        </row>
        <row r="155">
          <cell r="B155" t="str">
            <v/>
          </cell>
          <cell r="C155" t="str">
            <v/>
          </cell>
          <cell r="AH155" t="str">
            <v/>
          </cell>
          <cell r="AI155" t="str">
            <v/>
          </cell>
        </row>
        <row r="156">
          <cell r="B156" t="str">
            <v/>
          </cell>
          <cell r="C156" t="str">
            <v/>
          </cell>
          <cell r="AH156" t="str">
            <v/>
          </cell>
          <cell r="AI156" t="str">
            <v/>
          </cell>
        </row>
        <row r="157">
          <cell r="B157" t="str">
            <v/>
          </cell>
          <cell r="C157" t="str">
            <v/>
          </cell>
          <cell r="AH157" t="str">
            <v/>
          </cell>
          <cell r="AI157" t="str">
            <v/>
          </cell>
        </row>
        <row r="158">
          <cell r="B158" t="str">
            <v/>
          </cell>
          <cell r="C158" t="str">
            <v/>
          </cell>
          <cell r="AH158" t="str">
            <v/>
          </cell>
          <cell r="AI158" t="str">
            <v/>
          </cell>
        </row>
        <row r="159">
          <cell r="B159" t="str">
            <v/>
          </cell>
          <cell r="C159" t="str">
            <v/>
          </cell>
          <cell r="AH159" t="str">
            <v/>
          </cell>
          <cell r="AI159" t="str">
            <v/>
          </cell>
        </row>
        <row r="160">
          <cell r="B160" t="str">
            <v/>
          </cell>
          <cell r="C160" t="str">
            <v/>
          </cell>
          <cell r="AH160" t="str">
            <v/>
          </cell>
          <cell r="AI160" t="str">
            <v/>
          </cell>
        </row>
        <row r="161">
          <cell r="B161" t="str">
            <v/>
          </cell>
          <cell r="C161" t="str">
            <v/>
          </cell>
          <cell r="AH161" t="str">
            <v/>
          </cell>
          <cell r="AI161" t="str">
            <v/>
          </cell>
        </row>
        <row r="162">
          <cell r="B162" t="str">
            <v/>
          </cell>
          <cell r="C162" t="str">
            <v/>
          </cell>
          <cell r="AH162" t="str">
            <v/>
          </cell>
          <cell r="AI162" t="str">
            <v/>
          </cell>
        </row>
        <row r="163">
          <cell r="B163" t="str">
            <v/>
          </cell>
          <cell r="C163" t="str">
            <v/>
          </cell>
          <cell r="AH163" t="str">
            <v/>
          </cell>
          <cell r="AI163" t="str">
            <v/>
          </cell>
        </row>
        <row r="164">
          <cell r="B164" t="str">
            <v/>
          </cell>
          <cell r="C164" t="str">
            <v/>
          </cell>
          <cell r="AH164" t="str">
            <v/>
          </cell>
          <cell r="AI164" t="str">
            <v/>
          </cell>
        </row>
        <row r="165">
          <cell r="B165" t="str">
            <v/>
          </cell>
          <cell r="C165" t="str">
            <v/>
          </cell>
          <cell r="AH165" t="str">
            <v/>
          </cell>
          <cell r="AI165" t="str">
            <v/>
          </cell>
        </row>
        <row r="166">
          <cell r="B166" t="str">
            <v/>
          </cell>
          <cell r="C166" t="str">
            <v/>
          </cell>
          <cell r="AH166" t="str">
            <v/>
          </cell>
          <cell r="AI166" t="str">
            <v/>
          </cell>
        </row>
        <row r="167">
          <cell r="B167" t="str">
            <v/>
          </cell>
          <cell r="C167" t="str">
            <v/>
          </cell>
          <cell r="AH167" t="str">
            <v/>
          </cell>
          <cell r="AI167" t="str">
            <v/>
          </cell>
        </row>
        <row r="168">
          <cell r="B168" t="str">
            <v/>
          </cell>
          <cell r="C168" t="str">
            <v/>
          </cell>
          <cell r="AH168" t="str">
            <v/>
          </cell>
          <cell r="AI168" t="str">
            <v/>
          </cell>
        </row>
        <row r="169">
          <cell r="B169" t="str">
            <v/>
          </cell>
          <cell r="C169" t="str">
            <v/>
          </cell>
          <cell r="AH169" t="str">
            <v/>
          </cell>
          <cell r="AI169" t="str">
            <v/>
          </cell>
        </row>
        <row r="170">
          <cell r="B170" t="str">
            <v/>
          </cell>
          <cell r="C170" t="str">
            <v/>
          </cell>
          <cell r="AH170" t="str">
            <v/>
          </cell>
          <cell r="AI170" t="str">
            <v/>
          </cell>
        </row>
        <row r="171">
          <cell r="B171" t="str">
            <v/>
          </cell>
          <cell r="C171" t="str">
            <v/>
          </cell>
          <cell r="AH171" t="str">
            <v/>
          </cell>
          <cell r="AI171" t="str">
            <v/>
          </cell>
        </row>
        <row r="172">
          <cell r="B172" t="str">
            <v/>
          </cell>
          <cell r="C172" t="str">
            <v/>
          </cell>
          <cell r="AH172" t="str">
            <v/>
          </cell>
          <cell r="AI172" t="str">
            <v/>
          </cell>
        </row>
        <row r="173">
          <cell r="B173" t="str">
            <v/>
          </cell>
          <cell r="C173" t="str">
            <v/>
          </cell>
          <cell r="AH173" t="str">
            <v/>
          </cell>
          <cell r="AI173" t="str">
            <v/>
          </cell>
        </row>
        <row r="174">
          <cell r="B174" t="str">
            <v/>
          </cell>
          <cell r="C174" t="str">
            <v/>
          </cell>
          <cell r="AH174" t="str">
            <v/>
          </cell>
          <cell r="AI174" t="str">
            <v/>
          </cell>
        </row>
        <row r="175">
          <cell r="B175" t="str">
            <v/>
          </cell>
          <cell r="C175" t="str">
            <v/>
          </cell>
          <cell r="AH175" t="str">
            <v/>
          </cell>
          <cell r="AI175" t="str">
            <v/>
          </cell>
        </row>
        <row r="176">
          <cell r="B176" t="str">
            <v/>
          </cell>
          <cell r="C176" t="str">
            <v/>
          </cell>
          <cell r="AH176" t="str">
            <v/>
          </cell>
          <cell r="AI176" t="str">
            <v/>
          </cell>
        </row>
        <row r="177">
          <cell r="B177" t="str">
            <v/>
          </cell>
          <cell r="C177" t="str">
            <v/>
          </cell>
          <cell r="AH177" t="str">
            <v/>
          </cell>
          <cell r="AI177" t="str">
            <v/>
          </cell>
        </row>
        <row r="178">
          <cell r="B178" t="str">
            <v/>
          </cell>
          <cell r="C178" t="str">
            <v/>
          </cell>
          <cell r="AH178" t="str">
            <v/>
          </cell>
          <cell r="AI178" t="str">
            <v/>
          </cell>
        </row>
        <row r="179">
          <cell r="B179" t="str">
            <v/>
          </cell>
          <cell r="C179" t="str">
            <v/>
          </cell>
          <cell r="AH179" t="str">
            <v/>
          </cell>
          <cell r="AI179" t="str">
            <v/>
          </cell>
        </row>
        <row r="180">
          <cell r="B180" t="str">
            <v/>
          </cell>
          <cell r="C180" t="str">
            <v/>
          </cell>
          <cell r="AH180" t="str">
            <v/>
          </cell>
          <cell r="AI180" t="str">
            <v/>
          </cell>
        </row>
        <row r="181">
          <cell r="B181" t="str">
            <v/>
          </cell>
          <cell r="C181" t="str">
            <v/>
          </cell>
          <cell r="AH181" t="str">
            <v/>
          </cell>
          <cell r="AI181" t="str">
            <v/>
          </cell>
        </row>
        <row r="182">
          <cell r="B182" t="str">
            <v/>
          </cell>
          <cell r="C182" t="str">
            <v/>
          </cell>
          <cell r="AH182" t="str">
            <v/>
          </cell>
          <cell r="AI182" t="str">
            <v/>
          </cell>
        </row>
        <row r="183">
          <cell r="B183" t="str">
            <v/>
          </cell>
          <cell r="C183" t="str">
            <v/>
          </cell>
          <cell r="AH183" t="str">
            <v/>
          </cell>
          <cell r="AI183" t="str">
            <v/>
          </cell>
        </row>
        <row r="184">
          <cell r="B184" t="str">
            <v/>
          </cell>
          <cell r="C184" t="str">
            <v/>
          </cell>
          <cell r="AH184" t="str">
            <v/>
          </cell>
          <cell r="AI184" t="str">
            <v/>
          </cell>
        </row>
        <row r="185">
          <cell r="B185" t="str">
            <v/>
          </cell>
          <cell r="C185" t="str">
            <v/>
          </cell>
          <cell r="AH185" t="str">
            <v/>
          </cell>
          <cell r="AI185" t="str">
            <v/>
          </cell>
        </row>
        <row r="186">
          <cell r="B186" t="str">
            <v/>
          </cell>
          <cell r="C186" t="str">
            <v/>
          </cell>
          <cell r="AH186" t="str">
            <v/>
          </cell>
          <cell r="AI186" t="str">
            <v/>
          </cell>
        </row>
        <row r="187">
          <cell r="B187" t="str">
            <v/>
          </cell>
          <cell r="C187" t="str">
            <v/>
          </cell>
          <cell r="AH187" t="str">
            <v/>
          </cell>
          <cell r="AI187" t="str">
            <v/>
          </cell>
        </row>
        <row r="188">
          <cell r="B188" t="str">
            <v/>
          </cell>
          <cell r="C188" t="str">
            <v/>
          </cell>
          <cell r="AH188" t="str">
            <v/>
          </cell>
          <cell r="AI188" t="str">
            <v/>
          </cell>
        </row>
        <row r="189">
          <cell r="B189" t="str">
            <v/>
          </cell>
          <cell r="C189" t="str">
            <v/>
          </cell>
          <cell r="AH189" t="str">
            <v/>
          </cell>
          <cell r="AI189" t="str">
            <v/>
          </cell>
        </row>
        <row r="190">
          <cell r="B190" t="str">
            <v/>
          </cell>
          <cell r="C190" t="str">
            <v/>
          </cell>
          <cell r="AH190" t="str">
            <v/>
          </cell>
          <cell r="AI190" t="str">
            <v/>
          </cell>
        </row>
        <row r="191">
          <cell r="B191" t="str">
            <v/>
          </cell>
          <cell r="C191" t="str">
            <v/>
          </cell>
          <cell r="AH191" t="str">
            <v/>
          </cell>
          <cell r="AI191" t="str">
            <v/>
          </cell>
        </row>
        <row r="192">
          <cell r="B192" t="str">
            <v/>
          </cell>
          <cell r="C192" t="str">
            <v/>
          </cell>
          <cell r="AH192" t="str">
            <v/>
          </cell>
          <cell r="AI192" t="str">
            <v/>
          </cell>
        </row>
        <row r="193">
          <cell r="B193" t="str">
            <v/>
          </cell>
          <cell r="C193" t="str">
            <v/>
          </cell>
          <cell r="AH193" t="str">
            <v/>
          </cell>
          <cell r="AI193" t="str">
            <v/>
          </cell>
        </row>
        <row r="194">
          <cell r="B194" t="str">
            <v/>
          </cell>
          <cell r="C194" t="str">
            <v/>
          </cell>
          <cell r="AH194" t="str">
            <v/>
          </cell>
          <cell r="AI194" t="str">
            <v/>
          </cell>
        </row>
        <row r="195">
          <cell r="B195" t="str">
            <v/>
          </cell>
          <cell r="C195" t="str">
            <v/>
          </cell>
          <cell r="AH195" t="str">
            <v/>
          </cell>
          <cell r="AI195" t="str">
            <v/>
          </cell>
        </row>
        <row r="196">
          <cell r="B196" t="str">
            <v/>
          </cell>
          <cell r="C196" t="str">
            <v/>
          </cell>
          <cell r="AH196" t="str">
            <v/>
          </cell>
          <cell r="AI196" t="str">
            <v/>
          </cell>
        </row>
        <row r="197">
          <cell r="B197" t="str">
            <v/>
          </cell>
          <cell r="C197" t="str">
            <v/>
          </cell>
          <cell r="AH197" t="str">
            <v/>
          </cell>
          <cell r="AI197" t="str">
            <v/>
          </cell>
        </row>
        <row r="198">
          <cell r="B198" t="str">
            <v/>
          </cell>
          <cell r="C198" t="str">
            <v/>
          </cell>
          <cell r="AH198" t="str">
            <v/>
          </cell>
          <cell r="AI198" t="str">
            <v/>
          </cell>
        </row>
        <row r="199">
          <cell r="B199" t="str">
            <v/>
          </cell>
          <cell r="C199" t="str">
            <v/>
          </cell>
          <cell r="AH199" t="str">
            <v/>
          </cell>
          <cell r="AI199" t="str">
            <v/>
          </cell>
        </row>
        <row r="200">
          <cell r="B200" t="str">
            <v/>
          </cell>
          <cell r="C200" t="str">
            <v/>
          </cell>
          <cell r="AH200" t="str">
            <v/>
          </cell>
          <cell r="AI200" t="str">
            <v/>
          </cell>
        </row>
        <row r="201">
          <cell r="B201" t="str">
            <v/>
          </cell>
          <cell r="C201" t="str">
            <v/>
          </cell>
          <cell r="AH201" t="str">
            <v/>
          </cell>
          <cell r="AI201" t="str">
            <v/>
          </cell>
        </row>
        <row r="202">
          <cell r="B202" t="str">
            <v/>
          </cell>
          <cell r="C202" t="str">
            <v/>
          </cell>
          <cell r="AH202" t="str">
            <v/>
          </cell>
          <cell r="AI202" t="str">
            <v/>
          </cell>
        </row>
        <row r="203">
          <cell r="B203" t="str">
            <v/>
          </cell>
          <cell r="C203" t="str">
            <v/>
          </cell>
          <cell r="AH203" t="str">
            <v/>
          </cell>
          <cell r="AI203" t="str">
            <v/>
          </cell>
        </row>
        <row r="204">
          <cell r="B204" t="str">
            <v/>
          </cell>
          <cell r="C204" t="str">
            <v/>
          </cell>
          <cell r="AH204" t="str">
            <v/>
          </cell>
          <cell r="AI204" t="str">
            <v/>
          </cell>
        </row>
        <row r="205">
          <cell r="B205" t="str">
            <v/>
          </cell>
          <cell r="C205" t="str">
            <v/>
          </cell>
          <cell r="AH205" t="str">
            <v/>
          </cell>
          <cell r="AI205" t="str">
            <v/>
          </cell>
        </row>
        <row r="206">
          <cell r="B206" t="str">
            <v/>
          </cell>
          <cell r="C206" t="str">
            <v/>
          </cell>
          <cell r="AH206" t="str">
            <v/>
          </cell>
          <cell r="AI206" t="str">
            <v/>
          </cell>
        </row>
        <row r="207">
          <cell r="B207" t="str">
            <v/>
          </cell>
          <cell r="C207" t="str">
            <v/>
          </cell>
          <cell r="AH207" t="str">
            <v/>
          </cell>
          <cell r="AI207" t="str">
            <v/>
          </cell>
        </row>
        <row r="208">
          <cell r="B208" t="str">
            <v/>
          </cell>
          <cell r="C208" t="str">
            <v/>
          </cell>
          <cell r="AH208" t="str">
            <v/>
          </cell>
          <cell r="AI208" t="str">
            <v/>
          </cell>
        </row>
        <row r="209">
          <cell r="B209" t="str">
            <v/>
          </cell>
          <cell r="C209" t="str">
            <v/>
          </cell>
          <cell r="AH209" t="str">
            <v/>
          </cell>
          <cell r="AI209" t="str">
            <v/>
          </cell>
        </row>
        <row r="210">
          <cell r="B210" t="str">
            <v/>
          </cell>
          <cell r="C210" t="str">
            <v/>
          </cell>
          <cell r="AH210" t="str">
            <v/>
          </cell>
          <cell r="AI210" t="str">
            <v/>
          </cell>
        </row>
        <row r="211">
          <cell r="B211" t="str">
            <v/>
          </cell>
          <cell r="C211" t="str">
            <v/>
          </cell>
          <cell r="AH211" t="str">
            <v/>
          </cell>
          <cell r="AI211" t="str">
            <v/>
          </cell>
        </row>
        <row r="212">
          <cell r="B212" t="str">
            <v/>
          </cell>
          <cell r="C212" t="str">
            <v/>
          </cell>
          <cell r="AH212" t="str">
            <v/>
          </cell>
          <cell r="AI212" t="str">
            <v/>
          </cell>
        </row>
        <row r="213">
          <cell r="B213" t="str">
            <v/>
          </cell>
          <cell r="C213" t="str">
            <v/>
          </cell>
          <cell r="AH213" t="str">
            <v/>
          </cell>
          <cell r="AI213" t="str">
            <v/>
          </cell>
        </row>
        <row r="214">
          <cell r="B214" t="str">
            <v/>
          </cell>
          <cell r="C214" t="str">
            <v/>
          </cell>
          <cell r="AH214" t="str">
            <v/>
          </cell>
          <cell r="AI214" t="str">
            <v/>
          </cell>
        </row>
        <row r="215">
          <cell r="B215" t="str">
            <v/>
          </cell>
          <cell r="C215" t="str">
            <v/>
          </cell>
          <cell r="AH215" t="str">
            <v/>
          </cell>
          <cell r="AI215" t="str">
            <v/>
          </cell>
        </row>
        <row r="216">
          <cell r="B216" t="str">
            <v/>
          </cell>
          <cell r="C216" t="str">
            <v/>
          </cell>
          <cell r="AH216" t="str">
            <v/>
          </cell>
          <cell r="AI216" t="str">
            <v/>
          </cell>
        </row>
        <row r="217">
          <cell r="B217" t="str">
            <v/>
          </cell>
          <cell r="C217" t="str">
            <v/>
          </cell>
          <cell r="AH217" t="str">
            <v/>
          </cell>
          <cell r="AI217" t="str">
            <v/>
          </cell>
        </row>
        <row r="218">
          <cell r="B218" t="str">
            <v/>
          </cell>
          <cell r="C218" t="str">
            <v/>
          </cell>
          <cell r="AH218" t="str">
            <v/>
          </cell>
          <cell r="AI218" t="str">
            <v/>
          </cell>
        </row>
        <row r="219">
          <cell r="B219" t="str">
            <v/>
          </cell>
          <cell r="C219" t="str">
            <v/>
          </cell>
          <cell r="AH219" t="str">
            <v/>
          </cell>
          <cell r="AI219" t="str">
            <v/>
          </cell>
        </row>
        <row r="220">
          <cell r="B220" t="str">
            <v/>
          </cell>
          <cell r="C220" t="str">
            <v/>
          </cell>
          <cell r="AH220" t="str">
            <v/>
          </cell>
          <cell r="AI220" t="str">
            <v/>
          </cell>
        </row>
        <row r="221">
          <cell r="B221" t="str">
            <v/>
          </cell>
          <cell r="C221" t="str">
            <v/>
          </cell>
          <cell r="AH221" t="str">
            <v/>
          </cell>
          <cell r="AI221" t="str">
            <v/>
          </cell>
        </row>
        <row r="222">
          <cell r="B222" t="str">
            <v/>
          </cell>
          <cell r="C222" t="str">
            <v/>
          </cell>
          <cell r="AH222" t="str">
            <v/>
          </cell>
          <cell r="AI222" t="str">
            <v/>
          </cell>
        </row>
        <row r="223">
          <cell r="B223" t="str">
            <v/>
          </cell>
          <cell r="C223" t="str">
            <v/>
          </cell>
          <cell r="AH223" t="str">
            <v/>
          </cell>
          <cell r="AI223" t="str">
            <v/>
          </cell>
        </row>
        <row r="224">
          <cell r="B224" t="str">
            <v/>
          </cell>
          <cell r="C224" t="str">
            <v/>
          </cell>
          <cell r="AH224" t="str">
            <v/>
          </cell>
          <cell r="AI224" t="str">
            <v/>
          </cell>
        </row>
        <row r="225">
          <cell r="B225" t="str">
            <v/>
          </cell>
          <cell r="C225" t="str">
            <v/>
          </cell>
          <cell r="AH225" t="str">
            <v/>
          </cell>
          <cell r="AI225" t="str">
            <v/>
          </cell>
        </row>
        <row r="226">
          <cell r="B226" t="str">
            <v/>
          </cell>
          <cell r="C226" t="str">
            <v/>
          </cell>
          <cell r="AH226" t="str">
            <v/>
          </cell>
          <cell r="AI226" t="str">
            <v/>
          </cell>
        </row>
        <row r="227">
          <cell r="B227" t="str">
            <v/>
          </cell>
          <cell r="C227" t="str">
            <v/>
          </cell>
          <cell r="AH227" t="str">
            <v/>
          </cell>
          <cell r="AI227" t="str">
            <v/>
          </cell>
        </row>
        <row r="228">
          <cell r="B228" t="str">
            <v/>
          </cell>
          <cell r="C228" t="str">
            <v/>
          </cell>
          <cell r="AH228" t="str">
            <v/>
          </cell>
          <cell r="AI228" t="str">
            <v/>
          </cell>
        </row>
        <row r="229">
          <cell r="B229" t="str">
            <v/>
          </cell>
          <cell r="C229" t="str">
            <v/>
          </cell>
          <cell r="AH229" t="str">
            <v/>
          </cell>
          <cell r="AI229" t="str">
            <v/>
          </cell>
        </row>
        <row r="230">
          <cell r="B230" t="str">
            <v/>
          </cell>
          <cell r="C230" t="str">
            <v/>
          </cell>
          <cell r="AH230" t="str">
            <v/>
          </cell>
          <cell r="AI230" t="str">
            <v/>
          </cell>
        </row>
        <row r="231">
          <cell r="B231" t="str">
            <v/>
          </cell>
          <cell r="C231" t="str">
            <v/>
          </cell>
          <cell r="AH231" t="str">
            <v/>
          </cell>
          <cell r="AI231" t="str">
            <v/>
          </cell>
        </row>
        <row r="232">
          <cell r="B232" t="str">
            <v/>
          </cell>
          <cell r="C232" t="str">
            <v/>
          </cell>
          <cell r="AH232" t="str">
            <v/>
          </cell>
          <cell r="AI232" t="str">
            <v/>
          </cell>
        </row>
        <row r="233">
          <cell r="B233" t="str">
            <v/>
          </cell>
          <cell r="C233" t="str">
            <v/>
          </cell>
          <cell r="AH233" t="str">
            <v/>
          </cell>
          <cell r="AI233" t="str">
            <v/>
          </cell>
        </row>
        <row r="234">
          <cell r="B234" t="str">
            <v/>
          </cell>
          <cell r="C234" t="str">
            <v/>
          </cell>
          <cell r="AH234" t="str">
            <v/>
          </cell>
          <cell r="AI234" t="str">
            <v/>
          </cell>
        </row>
        <row r="235">
          <cell r="B235" t="str">
            <v/>
          </cell>
          <cell r="C235" t="str">
            <v/>
          </cell>
          <cell r="AH235" t="str">
            <v/>
          </cell>
          <cell r="AI235" t="str">
            <v/>
          </cell>
        </row>
        <row r="236">
          <cell r="B236" t="str">
            <v/>
          </cell>
          <cell r="C236" t="str">
            <v/>
          </cell>
          <cell r="AH236" t="str">
            <v/>
          </cell>
          <cell r="AI236" t="str">
            <v/>
          </cell>
        </row>
        <row r="237">
          <cell r="B237" t="str">
            <v/>
          </cell>
          <cell r="C237" t="str">
            <v/>
          </cell>
          <cell r="AH237" t="str">
            <v/>
          </cell>
          <cell r="AI237" t="str">
            <v/>
          </cell>
        </row>
        <row r="238">
          <cell r="B238" t="str">
            <v/>
          </cell>
          <cell r="C238" t="str">
            <v/>
          </cell>
          <cell r="AH238" t="str">
            <v/>
          </cell>
          <cell r="AI238" t="str">
            <v/>
          </cell>
        </row>
        <row r="239">
          <cell r="B239" t="str">
            <v/>
          </cell>
          <cell r="C239" t="str">
            <v/>
          </cell>
          <cell r="AH239" t="str">
            <v/>
          </cell>
          <cell r="AI239" t="str">
            <v/>
          </cell>
        </row>
        <row r="240">
          <cell r="B240" t="str">
            <v/>
          </cell>
          <cell r="C240" t="str">
            <v/>
          </cell>
          <cell r="AH240" t="str">
            <v/>
          </cell>
          <cell r="AI240" t="str">
            <v/>
          </cell>
        </row>
        <row r="241">
          <cell r="B241" t="str">
            <v/>
          </cell>
          <cell r="C241" t="str">
            <v/>
          </cell>
          <cell r="AH241" t="str">
            <v/>
          </cell>
          <cell r="AI241" t="str">
            <v/>
          </cell>
        </row>
        <row r="242">
          <cell r="B242" t="str">
            <v/>
          </cell>
          <cell r="C242" t="str">
            <v/>
          </cell>
          <cell r="AH242" t="str">
            <v/>
          </cell>
          <cell r="AI242" t="str">
            <v/>
          </cell>
        </row>
        <row r="243">
          <cell r="B243" t="str">
            <v/>
          </cell>
          <cell r="C243" t="str">
            <v/>
          </cell>
          <cell r="AH243" t="str">
            <v/>
          </cell>
          <cell r="AI243" t="str">
            <v/>
          </cell>
        </row>
        <row r="244">
          <cell r="B244" t="str">
            <v/>
          </cell>
          <cell r="C244" t="str">
            <v/>
          </cell>
          <cell r="AH244" t="str">
            <v/>
          </cell>
          <cell r="AI244" t="str">
            <v/>
          </cell>
        </row>
        <row r="245">
          <cell r="B245" t="str">
            <v/>
          </cell>
          <cell r="C245" t="str">
            <v/>
          </cell>
          <cell r="AH245" t="str">
            <v/>
          </cell>
          <cell r="AI245" t="str">
            <v/>
          </cell>
        </row>
        <row r="246">
          <cell r="B246" t="str">
            <v/>
          </cell>
          <cell r="C246" t="str">
            <v/>
          </cell>
          <cell r="AH246" t="str">
            <v/>
          </cell>
          <cell r="AI246" t="str">
            <v/>
          </cell>
        </row>
        <row r="247">
          <cell r="B247" t="str">
            <v/>
          </cell>
          <cell r="C247" t="str">
            <v/>
          </cell>
          <cell r="AH247" t="str">
            <v/>
          </cell>
          <cell r="AI247" t="str">
            <v/>
          </cell>
        </row>
        <row r="248">
          <cell r="B248" t="str">
            <v/>
          </cell>
          <cell r="C248" t="str">
            <v/>
          </cell>
          <cell r="AH248" t="str">
            <v/>
          </cell>
          <cell r="AI248" t="str">
            <v/>
          </cell>
        </row>
        <row r="249">
          <cell r="B249" t="str">
            <v/>
          </cell>
          <cell r="C249" t="str">
            <v/>
          </cell>
          <cell r="AH249" t="str">
            <v/>
          </cell>
          <cell r="AI249" t="str">
            <v/>
          </cell>
        </row>
        <row r="250">
          <cell r="B250" t="str">
            <v/>
          </cell>
          <cell r="C250" t="str">
            <v/>
          </cell>
          <cell r="AH250" t="str">
            <v/>
          </cell>
          <cell r="AI250" t="str">
            <v/>
          </cell>
        </row>
        <row r="251">
          <cell r="B251" t="str">
            <v/>
          </cell>
          <cell r="C251" t="str">
            <v/>
          </cell>
          <cell r="AH251" t="str">
            <v/>
          </cell>
          <cell r="AI251" t="str">
            <v/>
          </cell>
        </row>
        <row r="252">
          <cell r="B252" t="str">
            <v/>
          </cell>
          <cell r="C252" t="str">
            <v/>
          </cell>
          <cell r="AH252" t="str">
            <v/>
          </cell>
          <cell r="AI252" t="str">
            <v/>
          </cell>
        </row>
        <row r="253">
          <cell r="B253" t="str">
            <v/>
          </cell>
          <cell r="C253" t="str">
            <v/>
          </cell>
          <cell r="AH253" t="str">
            <v/>
          </cell>
          <cell r="AI253" t="str">
            <v/>
          </cell>
        </row>
        <row r="254">
          <cell r="B254" t="str">
            <v/>
          </cell>
          <cell r="C254" t="str">
            <v/>
          </cell>
          <cell r="AH254" t="str">
            <v/>
          </cell>
          <cell r="AI254" t="str">
            <v/>
          </cell>
        </row>
        <row r="255">
          <cell r="B255" t="str">
            <v/>
          </cell>
          <cell r="C255" t="str">
            <v/>
          </cell>
          <cell r="AH255" t="str">
            <v/>
          </cell>
          <cell r="AI255" t="str">
            <v/>
          </cell>
        </row>
        <row r="256">
          <cell r="B256" t="str">
            <v/>
          </cell>
          <cell r="C256" t="str">
            <v/>
          </cell>
          <cell r="AH256" t="str">
            <v/>
          </cell>
          <cell r="AI256" t="str">
            <v/>
          </cell>
        </row>
        <row r="257">
          <cell r="B257" t="str">
            <v/>
          </cell>
          <cell r="C257" t="str">
            <v/>
          </cell>
          <cell r="AH257" t="str">
            <v/>
          </cell>
          <cell r="AI257" t="str">
            <v/>
          </cell>
        </row>
        <row r="258">
          <cell r="B258" t="str">
            <v/>
          </cell>
          <cell r="C258" t="str">
            <v/>
          </cell>
          <cell r="AH258" t="str">
            <v/>
          </cell>
          <cell r="AI258" t="str">
            <v/>
          </cell>
        </row>
        <row r="259">
          <cell r="B259" t="str">
            <v/>
          </cell>
          <cell r="C259" t="str">
            <v/>
          </cell>
          <cell r="AH259" t="str">
            <v/>
          </cell>
          <cell r="AI259" t="str">
            <v/>
          </cell>
        </row>
        <row r="260">
          <cell r="B260" t="str">
            <v/>
          </cell>
          <cell r="C260" t="str">
            <v/>
          </cell>
          <cell r="AH260" t="str">
            <v/>
          </cell>
          <cell r="AI260" t="str">
            <v/>
          </cell>
        </row>
        <row r="261">
          <cell r="B261" t="str">
            <v/>
          </cell>
          <cell r="C261" t="str">
            <v/>
          </cell>
          <cell r="AH261" t="str">
            <v/>
          </cell>
          <cell r="AI261" t="str">
            <v/>
          </cell>
        </row>
        <row r="262">
          <cell r="B262" t="str">
            <v/>
          </cell>
          <cell r="C262" t="str">
            <v/>
          </cell>
          <cell r="AH262" t="str">
            <v/>
          </cell>
          <cell r="AI262" t="str">
            <v/>
          </cell>
        </row>
        <row r="263">
          <cell r="B263" t="str">
            <v/>
          </cell>
          <cell r="C263" t="str">
            <v/>
          </cell>
          <cell r="AH263" t="str">
            <v/>
          </cell>
          <cell r="AI263" t="str">
            <v/>
          </cell>
        </row>
        <row r="264">
          <cell r="B264" t="str">
            <v/>
          </cell>
          <cell r="C264" t="str">
            <v/>
          </cell>
          <cell r="AH264" t="str">
            <v/>
          </cell>
          <cell r="AI264" t="str">
            <v/>
          </cell>
        </row>
        <row r="265">
          <cell r="B265" t="str">
            <v/>
          </cell>
          <cell r="C265" t="str">
            <v/>
          </cell>
          <cell r="AH265" t="str">
            <v/>
          </cell>
          <cell r="AI265" t="str">
            <v/>
          </cell>
        </row>
        <row r="266">
          <cell r="B266" t="str">
            <v/>
          </cell>
          <cell r="C266" t="str">
            <v/>
          </cell>
          <cell r="AH266" t="str">
            <v/>
          </cell>
          <cell r="AI266" t="str">
            <v/>
          </cell>
        </row>
        <row r="267">
          <cell r="B267" t="str">
            <v/>
          </cell>
          <cell r="C267" t="str">
            <v/>
          </cell>
          <cell r="AH267" t="str">
            <v/>
          </cell>
          <cell r="AI267" t="str">
            <v/>
          </cell>
        </row>
        <row r="268">
          <cell r="B268" t="str">
            <v/>
          </cell>
          <cell r="C268" t="str">
            <v/>
          </cell>
          <cell r="AH268" t="str">
            <v/>
          </cell>
          <cell r="AI268" t="str">
            <v/>
          </cell>
        </row>
        <row r="269">
          <cell r="B269" t="str">
            <v/>
          </cell>
          <cell r="C269" t="str">
            <v/>
          </cell>
          <cell r="AH269" t="str">
            <v/>
          </cell>
          <cell r="AI269" t="str">
            <v/>
          </cell>
        </row>
        <row r="270">
          <cell r="B270" t="str">
            <v/>
          </cell>
          <cell r="C270" t="str">
            <v/>
          </cell>
          <cell r="AH270" t="str">
            <v/>
          </cell>
          <cell r="AI270" t="str">
            <v/>
          </cell>
        </row>
        <row r="271">
          <cell r="B271" t="str">
            <v/>
          </cell>
          <cell r="C271" t="str">
            <v/>
          </cell>
          <cell r="AH271" t="str">
            <v/>
          </cell>
          <cell r="AI271" t="str">
            <v/>
          </cell>
        </row>
        <row r="272">
          <cell r="B272" t="str">
            <v/>
          </cell>
          <cell r="C272" t="str">
            <v/>
          </cell>
          <cell r="AH272" t="str">
            <v/>
          </cell>
          <cell r="AI272" t="str">
            <v/>
          </cell>
        </row>
        <row r="273">
          <cell r="B273" t="str">
            <v/>
          </cell>
          <cell r="C273" t="str">
            <v/>
          </cell>
          <cell r="AH273" t="str">
            <v/>
          </cell>
          <cell r="AI273" t="str">
            <v/>
          </cell>
        </row>
        <row r="274">
          <cell r="B274" t="str">
            <v/>
          </cell>
          <cell r="C274" t="str">
            <v/>
          </cell>
          <cell r="AH274" t="str">
            <v/>
          </cell>
          <cell r="AI274" t="str">
            <v/>
          </cell>
        </row>
        <row r="275">
          <cell r="B275" t="str">
            <v/>
          </cell>
          <cell r="C275" t="str">
            <v/>
          </cell>
          <cell r="AH275" t="str">
            <v/>
          </cell>
          <cell r="AI275" t="str">
            <v/>
          </cell>
        </row>
        <row r="276">
          <cell r="B276" t="str">
            <v/>
          </cell>
          <cell r="C276" t="str">
            <v/>
          </cell>
          <cell r="AH276" t="str">
            <v/>
          </cell>
          <cell r="AI276" t="str">
            <v/>
          </cell>
        </row>
        <row r="277">
          <cell r="B277" t="str">
            <v/>
          </cell>
          <cell r="C277" t="str">
            <v/>
          </cell>
          <cell r="AH277" t="str">
            <v/>
          </cell>
          <cell r="AI277" t="str">
            <v/>
          </cell>
        </row>
        <row r="278">
          <cell r="B278" t="str">
            <v/>
          </cell>
          <cell r="C278" t="str">
            <v/>
          </cell>
          <cell r="AH278" t="str">
            <v/>
          </cell>
          <cell r="AI278" t="str">
            <v/>
          </cell>
        </row>
        <row r="279">
          <cell r="B279" t="str">
            <v/>
          </cell>
          <cell r="C279" t="str">
            <v/>
          </cell>
          <cell r="AH279" t="str">
            <v/>
          </cell>
          <cell r="AI279" t="str">
            <v/>
          </cell>
        </row>
        <row r="280">
          <cell r="B280" t="str">
            <v/>
          </cell>
          <cell r="C280" t="str">
            <v/>
          </cell>
          <cell r="AH280" t="str">
            <v/>
          </cell>
          <cell r="AI280" t="str">
            <v/>
          </cell>
        </row>
        <row r="281">
          <cell r="B281" t="str">
            <v/>
          </cell>
          <cell r="C281" t="str">
            <v/>
          </cell>
          <cell r="AH281" t="str">
            <v/>
          </cell>
          <cell r="AI281" t="str">
            <v/>
          </cell>
        </row>
        <row r="282">
          <cell r="B282" t="str">
            <v/>
          </cell>
          <cell r="C282" t="str">
            <v/>
          </cell>
          <cell r="AH282" t="str">
            <v/>
          </cell>
          <cell r="AI282" t="str">
            <v/>
          </cell>
        </row>
        <row r="283">
          <cell r="B283" t="str">
            <v/>
          </cell>
          <cell r="C283" t="str">
            <v/>
          </cell>
          <cell r="AH283" t="str">
            <v/>
          </cell>
          <cell r="AI283" t="str">
            <v/>
          </cell>
        </row>
        <row r="284">
          <cell r="B284" t="str">
            <v/>
          </cell>
          <cell r="C284" t="str">
            <v/>
          </cell>
          <cell r="AH284" t="str">
            <v/>
          </cell>
          <cell r="AI284" t="str">
            <v/>
          </cell>
        </row>
        <row r="285">
          <cell r="B285" t="str">
            <v/>
          </cell>
          <cell r="C285" t="str">
            <v/>
          </cell>
          <cell r="AH285" t="str">
            <v/>
          </cell>
          <cell r="AI285" t="str">
            <v/>
          </cell>
        </row>
        <row r="286">
          <cell r="B286" t="str">
            <v/>
          </cell>
          <cell r="C286" t="str">
            <v/>
          </cell>
          <cell r="AH286" t="str">
            <v/>
          </cell>
          <cell r="AI286" t="str">
            <v/>
          </cell>
        </row>
        <row r="287">
          <cell r="B287" t="str">
            <v/>
          </cell>
          <cell r="C287" t="str">
            <v/>
          </cell>
          <cell r="AH287" t="str">
            <v/>
          </cell>
          <cell r="AI287" t="str">
            <v/>
          </cell>
        </row>
        <row r="288">
          <cell r="B288" t="str">
            <v/>
          </cell>
          <cell r="C288" t="str">
            <v/>
          </cell>
          <cell r="AH288" t="str">
            <v/>
          </cell>
          <cell r="AI288" t="str">
            <v/>
          </cell>
        </row>
        <row r="289">
          <cell r="B289" t="str">
            <v/>
          </cell>
          <cell r="C289" t="str">
            <v/>
          </cell>
          <cell r="AH289" t="str">
            <v/>
          </cell>
          <cell r="AI289" t="str">
            <v/>
          </cell>
        </row>
        <row r="290">
          <cell r="B290" t="str">
            <v/>
          </cell>
          <cell r="C290" t="str">
            <v/>
          </cell>
          <cell r="AH290" t="str">
            <v/>
          </cell>
          <cell r="AI290" t="str">
            <v/>
          </cell>
        </row>
        <row r="291">
          <cell r="B291" t="str">
            <v/>
          </cell>
          <cell r="C291" t="str">
            <v/>
          </cell>
          <cell r="AH291" t="str">
            <v/>
          </cell>
          <cell r="AI291" t="str">
            <v/>
          </cell>
        </row>
        <row r="292">
          <cell r="B292" t="str">
            <v/>
          </cell>
          <cell r="C292" t="str">
            <v/>
          </cell>
          <cell r="AH292" t="str">
            <v/>
          </cell>
          <cell r="AI292" t="str">
            <v/>
          </cell>
        </row>
        <row r="293">
          <cell r="B293" t="str">
            <v/>
          </cell>
          <cell r="C293" t="str">
            <v/>
          </cell>
          <cell r="AH293" t="str">
            <v/>
          </cell>
          <cell r="AI293" t="str">
            <v/>
          </cell>
        </row>
        <row r="294">
          <cell r="B294" t="str">
            <v/>
          </cell>
          <cell r="C294" t="str">
            <v/>
          </cell>
          <cell r="AH294" t="str">
            <v/>
          </cell>
          <cell r="AI294" t="str">
            <v/>
          </cell>
        </row>
        <row r="295">
          <cell r="B295" t="str">
            <v/>
          </cell>
          <cell r="C295" t="str">
            <v/>
          </cell>
          <cell r="AH295" t="str">
            <v/>
          </cell>
          <cell r="AI295" t="str">
            <v/>
          </cell>
        </row>
        <row r="296">
          <cell r="B296" t="str">
            <v/>
          </cell>
          <cell r="C296" t="str">
            <v/>
          </cell>
          <cell r="AH296" t="str">
            <v/>
          </cell>
          <cell r="AI296" t="str">
            <v/>
          </cell>
        </row>
        <row r="297">
          <cell r="B297" t="str">
            <v/>
          </cell>
          <cell r="C297" t="str">
            <v/>
          </cell>
          <cell r="AH297" t="str">
            <v/>
          </cell>
          <cell r="AI297" t="str">
            <v/>
          </cell>
        </row>
        <row r="298">
          <cell r="B298" t="str">
            <v/>
          </cell>
          <cell r="C298" t="str">
            <v/>
          </cell>
          <cell r="AH298" t="str">
            <v/>
          </cell>
          <cell r="AI298" t="str">
            <v/>
          </cell>
        </row>
        <row r="299">
          <cell r="B299" t="str">
            <v/>
          </cell>
          <cell r="C299" t="str">
            <v/>
          </cell>
          <cell r="AH299" t="str">
            <v/>
          </cell>
          <cell r="AI299" t="str">
            <v/>
          </cell>
        </row>
        <row r="300">
          <cell r="B300" t="str">
            <v/>
          </cell>
          <cell r="C300" t="str">
            <v/>
          </cell>
          <cell r="AH300" t="str">
            <v/>
          </cell>
          <cell r="AI300" t="str">
            <v/>
          </cell>
        </row>
        <row r="301">
          <cell r="B301" t="str">
            <v/>
          </cell>
          <cell r="C301" t="str">
            <v/>
          </cell>
          <cell r="AH301" t="str">
            <v/>
          </cell>
          <cell r="AI301" t="str">
            <v/>
          </cell>
        </row>
        <row r="302">
          <cell r="B302" t="str">
            <v/>
          </cell>
          <cell r="C302" t="str">
            <v/>
          </cell>
          <cell r="AH302" t="str">
            <v/>
          </cell>
          <cell r="AI302" t="str">
            <v/>
          </cell>
        </row>
        <row r="303">
          <cell r="B303" t="str">
            <v/>
          </cell>
          <cell r="C303" t="str">
            <v/>
          </cell>
          <cell r="AH303" t="str">
            <v/>
          </cell>
          <cell r="AI303" t="str">
            <v/>
          </cell>
        </row>
        <row r="304">
          <cell r="B304" t="str">
            <v/>
          </cell>
          <cell r="C304" t="str">
            <v/>
          </cell>
          <cell r="AH304" t="str">
            <v/>
          </cell>
          <cell r="AI304" t="str">
            <v/>
          </cell>
        </row>
        <row r="305">
          <cell r="B305" t="str">
            <v/>
          </cell>
          <cell r="C305" t="str">
            <v/>
          </cell>
          <cell r="AH305" t="str">
            <v/>
          </cell>
          <cell r="AI305" t="str">
            <v/>
          </cell>
        </row>
        <row r="306">
          <cell r="B306" t="str">
            <v/>
          </cell>
          <cell r="C306" t="str">
            <v/>
          </cell>
          <cell r="AH306" t="str">
            <v/>
          </cell>
          <cell r="AI306" t="str">
            <v/>
          </cell>
        </row>
        <row r="307">
          <cell r="B307" t="str">
            <v/>
          </cell>
          <cell r="C307" t="str">
            <v/>
          </cell>
          <cell r="AH307" t="str">
            <v/>
          </cell>
          <cell r="AI307" t="str">
            <v/>
          </cell>
        </row>
      </sheetData>
      <sheetData sheetId="2">
        <row r="1">
          <cell r="Z1">
            <v>3</v>
          </cell>
        </row>
        <row r="4">
          <cell r="K4">
            <v>0.6694515850532623</v>
          </cell>
          <cell r="AB4">
            <v>0.97488857078879099</v>
          </cell>
        </row>
        <row r="5">
          <cell r="K5">
            <v>0.76308455867826197</v>
          </cell>
          <cell r="AB5">
            <v>-2.9962804370953222E-4</v>
          </cell>
        </row>
      </sheetData>
      <sheetData sheetId="3" refreshError="1"/>
      <sheetData sheetId="4">
        <row r="1">
          <cell r="AB1">
            <v>627</v>
          </cell>
        </row>
        <row r="8">
          <cell r="AD8">
            <v>0</v>
          </cell>
        </row>
        <row r="15">
          <cell r="I15">
            <v>1</v>
          </cell>
          <cell r="J15">
            <v>0.42568416086718064</v>
          </cell>
          <cell r="K15" t="b">
            <v>1</v>
          </cell>
          <cell r="O15">
            <v>0.6166929158092751</v>
          </cell>
          <cell r="P15">
            <v>0.62897092540398347</v>
          </cell>
        </row>
        <row r="16">
          <cell r="P16">
            <v>50</v>
          </cell>
        </row>
        <row r="17">
          <cell r="N17" t="b">
            <v>0</v>
          </cell>
          <cell r="P17">
            <v>0.5</v>
          </cell>
        </row>
        <row r="18">
          <cell r="P18">
            <v>95</v>
          </cell>
        </row>
        <row r="19">
          <cell r="N19" t="b">
            <v>1</v>
          </cell>
          <cell r="P19" t="b">
            <v>0</v>
          </cell>
        </row>
        <row r="20">
          <cell r="N20" t="b">
            <v>0</v>
          </cell>
          <cell r="P20">
            <v>0</v>
          </cell>
        </row>
        <row r="21">
          <cell r="N21" t="b">
            <v>0</v>
          </cell>
          <cell r="P21">
            <v>0</v>
          </cell>
        </row>
        <row r="22">
          <cell r="P22">
            <v>0</v>
          </cell>
        </row>
        <row r="36">
          <cell r="V36">
            <v>627</v>
          </cell>
        </row>
      </sheetData>
    </sheetDataSet>
  </externalBook>
</externalLink>
</file>

<file path=xl/externalLinks/externalLink16.xml><?xml version="1.0" encoding="utf-8"?>
<externalLink xmlns="http://schemas.openxmlformats.org/spreadsheetml/2006/main">
  <externalBook xmlns:r="http://schemas.openxmlformats.org/officeDocument/2006/relationships" r:id="rId1">
    <sheetNames>
      <sheetName val="Intro"/>
      <sheetName val="Calculate r"/>
      <sheetName val="See r"/>
      <sheetName val="Two correlations"/>
      <sheetName val="Sample r"/>
    </sheetNames>
    <sheetDataSet>
      <sheetData sheetId="0" refreshError="1"/>
      <sheetData sheetId="1">
        <row r="1">
          <cell r="AG1" t="str">
            <v>.50</v>
          </cell>
        </row>
        <row r="2">
          <cell r="AB2">
            <v>0</v>
          </cell>
          <cell r="AD2">
            <v>0.76424047127797401</v>
          </cell>
          <cell r="AE2">
            <v>0.53390434154352051</v>
          </cell>
          <cell r="AG2" t="str">
            <v>40</v>
          </cell>
        </row>
        <row r="3">
          <cell r="AD3" t="str">
            <v>100</v>
          </cell>
          <cell r="AG3" t="str">
            <v>100</v>
          </cell>
          <cell r="AX3" t="b">
            <v>0</v>
          </cell>
        </row>
        <row r="4">
          <cell r="AD4" t="str">
            <v>30</v>
          </cell>
          <cell r="AG4" t="str">
            <v>30</v>
          </cell>
          <cell r="AX4" t="b">
            <v>0</v>
          </cell>
        </row>
        <row r="5">
          <cell r="AD5" t="str">
            <v>2</v>
          </cell>
          <cell r="AX5" t="b">
            <v>0</v>
          </cell>
        </row>
        <row r="6">
          <cell r="B6" t="str">
            <v>Student ability</v>
          </cell>
        </row>
        <row r="8">
          <cell r="B8">
            <v>60.7</v>
          </cell>
          <cell r="C8">
            <v>90.55</v>
          </cell>
          <cell r="AH8">
            <v>60.7</v>
          </cell>
          <cell r="AI8">
            <v>90.55</v>
          </cell>
        </row>
        <row r="9">
          <cell r="B9">
            <v>168.47</v>
          </cell>
          <cell r="C9">
            <v>125.15</v>
          </cell>
          <cell r="AH9">
            <v>168.47</v>
          </cell>
          <cell r="AI9">
            <v>125.15</v>
          </cell>
        </row>
        <row r="10">
          <cell r="B10">
            <v>101.75</v>
          </cell>
          <cell r="C10">
            <v>85.86</v>
          </cell>
          <cell r="AH10">
            <v>101.75</v>
          </cell>
          <cell r="AI10">
            <v>85.86</v>
          </cell>
        </row>
        <row r="11">
          <cell r="B11">
            <v>107.02</v>
          </cell>
          <cell r="C11">
            <v>116.47</v>
          </cell>
          <cell r="AB11">
            <v>0</v>
          </cell>
          <cell r="AH11">
            <v>107.02</v>
          </cell>
          <cell r="AI11">
            <v>116.47</v>
          </cell>
        </row>
        <row r="12">
          <cell r="B12">
            <v>167.69</v>
          </cell>
          <cell r="C12">
            <v>153.51</v>
          </cell>
          <cell r="AB12">
            <v>100</v>
          </cell>
          <cell r="AH12">
            <v>167.69</v>
          </cell>
          <cell r="AI12">
            <v>153.51</v>
          </cell>
        </row>
        <row r="13">
          <cell r="B13">
            <v>80.25</v>
          </cell>
          <cell r="C13">
            <v>61.42</v>
          </cell>
          <cell r="AB13">
            <v>0</v>
          </cell>
          <cell r="AH13">
            <v>80.25</v>
          </cell>
          <cell r="AI13">
            <v>61.42</v>
          </cell>
        </row>
        <row r="14">
          <cell r="B14">
            <v>81.25</v>
          </cell>
          <cell r="C14">
            <v>96.66</v>
          </cell>
          <cell r="AB14">
            <v>100</v>
          </cell>
          <cell r="AH14">
            <v>81.25</v>
          </cell>
          <cell r="AI14">
            <v>96.66</v>
          </cell>
        </row>
        <row r="15">
          <cell r="B15">
            <v>107.5</v>
          </cell>
          <cell r="C15">
            <v>104.69</v>
          </cell>
          <cell r="AH15">
            <v>107.5</v>
          </cell>
          <cell r="AI15">
            <v>104.69</v>
          </cell>
        </row>
        <row r="16">
          <cell r="B16">
            <v>105.35</v>
          </cell>
          <cell r="C16">
            <v>110.16</v>
          </cell>
          <cell r="AH16">
            <v>105.35</v>
          </cell>
          <cell r="AI16">
            <v>110.16</v>
          </cell>
        </row>
        <row r="17">
          <cell r="B17">
            <v>101.32</v>
          </cell>
          <cell r="C17">
            <v>141.75</v>
          </cell>
          <cell r="AH17">
            <v>101.32</v>
          </cell>
          <cell r="AI17">
            <v>141.75</v>
          </cell>
        </row>
        <row r="18">
          <cell r="B18">
            <v>112.49</v>
          </cell>
          <cell r="C18">
            <v>110.77</v>
          </cell>
          <cell r="AH18">
            <v>112.49</v>
          </cell>
          <cell r="AI18">
            <v>110.77</v>
          </cell>
        </row>
        <row r="19">
          <cell r="B19">
            <v>112.63</v>
          </cell>
          <cell r="C19">
            <v>76.040000000000006</v>
          </cell>
          <cell r="AH19">
            <v>112.63</v>
          </cell>
          <cell r="AI19">
            <v>76.040000000000006</v>
          </cell>
        </row>
        <row r="20">
          <cell r="B20">
            <v>115.94</v>
          </cell>
          <cell r="C20">
            <v>86.74</v>
          </cell>
          <cell r="AH20">
            <v>115.94</v>
          </cell>
          <cell r="AI20">
            <v>86.74</v>
          </cell>
        </row>
        <row r="21">
          <cell r="B21">
            <v>113.85</v>
          </cell>
          <cell r="C21">
            <v>99.54</v>
          </cell>
          <cell r="AH21">
            <v>113.85</v>
          </cell>
          <cell r="AI21">
            <v>99.54</v>
          </cell>
        </row>
        <row r="22">
          <cell r="B22">
            <v>134.19999999999999</v>
          </cell>
          <cell r="C22">
            <v>96.59</v>
          </cell>
          <cell r="AH22">
            <v>134.19999999999999</v>
          </cell>
          <cell r="AI22">
            <v>96.59</v>
          </cell>
        </row>
        <row r="23">
          <cell r="B23">
            <v>72.510000000000005</v>
          </cell>
          <cell r="C23">
            <v>86.98</v>
          </cell>
          <cell r="AB23">
            <v>0</v>
          </cell>
          <cell r="AH23">
            <v>72.510000000000005</v>
          </cell>
          <cell r="AI23">
            <v>86.98</v>
          </cell>
        </row>
        <row r="24">
          <cell r="B24">
            <v>118.03</v>
          </cell>
          <cell r="C24">
            <v>141.38</v>
          </cell>
          <cell r="AB24">
            <v>180</v>
          </cell>
          <cell r="AH24">
            <v>118.03</v>
          </cell>
          <cell r="AI24">
            <v>141.38</v>
          </cell>
        </row>
        <row r="25">
          <cell r="B25">
            <v>99.78</v>
          </cell>
          <cell r="C25">
            <v>81.569999999999993</v>
          </cell>
          <cell r="AB25">
            <v>20</v>
          </cell>
          <cell r="AH25">
            <v>99.78</v>
          </cell>
          <cell r="AI25">
            <v>81.569999999999993</v>
          </cell>
        </row>
        <row r="26">
          <cell r="B26">
            <v>84.14</v>
          </cell>
          <cell r="C26">
            <v>97.15</v>
          </cell>
          <cell r="AB26">
            <v>0</v>
          </cell>
          <cell r="AH26">
            <v>84.14</v>
          </cell>
          <cell r="AI26">
            <v>97.15</v>
          </cell>
        </row>
        <row r="27">
          <cell r="B27">
            <v>69.180000000000007</v>
          </cell>
          <cell r="C27">
            <v>91.27</v>
          </cell>
          <cell r="AB27">
            <v>200</v>
          </cell>
          <cell r="AH27">
            <v>69.180000000000007</v>
          </cell>
          <cell r="AI27">
            <v>91.27</v>
          </cell>
        </row>
        <row r="28">
          <cell r="B28">
            <v>156.18</v>
          </cell>
          <cell r="C28">
            <v>150.66999999999999</v>
          </cell>
          <cell r="AB28">
            <v>20</v>
          </cell>
          <cell r="AH28">
            <v>156.18</v>
          </cell>
          <cell r="AI28">
            <v>150.66999999999999</v>
          </cell>
        </row>
        <row r="29">
          <cell r="B29">
            <v>60.86</v>
          </cell>
          <cell r="C29">
            <v>121.5</v>
          </cell>
          <cell r="AH29">
            <v>60.86</v>
          </cell>
          <cell r="AI29">
            <v>121.5</v>
          </cell>
        </row>
        <row r="30">
          <cell r="B30">
            <v>55.83</v>
          </cell>
          <cell r="C30">
            <v>60.58</v>
          </cell>
          <cell r="AH30">
            <v>55.83</v>
          </cell>
          <cell r="AI30">
            <v>60.58</v>
          </cell>
        </row>
        <row r="31">
          <cell r="B31">
            <v>115.12</v>
          </cell>
          <cell r="C31">
            <v>123.81</v>
          </cell>
          <cell r="AH31">
            <v>115.12</v>
          </cell>
          <cell r="AI31">
            <v>123.81</v>
          </cell>
        </row>
        <row r="32">
          <cell r="B32">
            <v>79.25</v>
          </cell>
          <cell r="C32">
            <v>81.69</v>
          </cell>
          <cell r="AH32">
            <v>79.25</v>
          </cell>
          <cell r="AI32">
            <v>81.69</v>
          </cell>
        </row>
        <row r="33">
          <cell r="B33">
            <v>96.57</v>
          </cell>
          <cell r="C33">
            <v>66.510000000000005</v>
          </cell>
          <cell r="AH33">
            <v>96.57</v>
          </cell>
          <cell r="AI33">
            <v>66.510000000000005</v>
          </cell>
        </row>
        <row r="34">
          <cell r="B34">
            <v>104.2</v>
          </cell>
          <cell r="C34">
            <v>132.76</v>
          </cell>
          <cell r="AH34">
            <v>104.2</v>
          </cell>
          <cell r="AI34">
            <v>132.76</v>
          </cell>
        </row>
        <row r="35">
          <cell r="B35">
            <v>101.83</v>
          </cell>
          <cell r="C35">
            <v>76.37</v>
          </cell>
          <cell r="AH35">
            <v>101.83</v>
          </cell>
          <cell r="AI35">
            <v>76.37</v>
          </cell>
        </row>
        <row r="36">
          <cell r="B36">
            <v>88.26</v>
          </cell>
          <cell r="C36">
            <v>119.86</v>
          </cell>
          <cell r="AH36">
            <v>88.26</v>
          </cell>
          <cell r="AI36">
            <v>119.86</v>
          </cell>
        </row>
        <row r="37">
          <cell r="B37">
            <v>140.6</v>
          </cell>
          <cell r="C37">
            <v>71.400000000000006</v>
          </cell>
          <cell r="AH37">
            <v>140.6</v>
          </cell>
          <cell r="AI37">
            <v>71.400000000000006</v>
          </cell>
        </row>
        <row r="38">
          <cell r="B38">
            <v>131.72999999999999</v>
          </cell>
          <cell r="C38">
            <v>126.09</v>
          </cell>
          <cell r="AH38">
            <v>131.72999999999999</v>
          </cell>
          <cell r="AI38">
            <v>126.09</v>
          </cell>
        </row>
        <row r="39">
          <cell r="B39">
            <v>98.34</v>
          </cell>
          <cell r="C39">
            <v>105.84</v>
          </cell>
          <cell r="AH39">
            <v>98.34</v>
          </cell>
          <cell r="AI39">
            <v>105.84</v>
          </cell>
        </row>
        <row r="40">
          <cell r="B40">
            <v>104.52</v>
          </cell>
          <cell r="C40">
            <v>116.6</v>
          </cell>
          <cell r="AH40">
            <v>104.52</v>
          </cell>
          <cell r="AI40">
            <v>116.6</v>
          </cell>
        </row>
        <row r="41">
          <cell r="B41">
            <v>112.97</v>
          </cell>
          <cell r="C41">
            <v>80.569999999999993</v>
          </cell>
          <cell r="AH41">
            <v>112.97</v>
          </cell>
          <cell r="AI41">
            <v>80.569999999999993</v>
          </cell>
        </row>
        <row r="42">
          <cell r="B42">
            <v>84.6</v>
          </cell>
          <cell r="C42">
            <v>114.53</v>
          </cell>
          <cell r="AH42">
            <v>84.6</v>
          </cell>
          <cell r="AI42">
            <v>114.53</v>
          </cell>
        </row>
        <row r="43">
          <cell r="B43">
            <v>176.51</v>
          </cell>
          <cell r="C43">
            <v>146.72999999999999</v>
          </cell>
          <cell r="AH43">
            <v>176.51</v>
          </cell>
          <cell r="AI43">
            <v>146.72999999999999</v>
          </cell>
        </row>
        <row r="44">
          <cell r="B44">
            <v>68.39</v>
          </cell>
          <cell r="C44">
            <v>71.540000000000006</v>
          </cell>
          <cell r="AH44">
            <v>68.39</v>
          </cell>
          <cell r="AI44">
            <v>71.540000000000006</v>
          </cell>
        </row>
        <row r="45">
          <cell r="B45">
            <v>82.36</v>
          </cell>
          <cell r="C45">
            <v>99.75</v>
          </cell>
          <cell r="AH45">
            <v>82.36</v>
          </cell>
          <cell r="AI45">
            <v>99.75</v>
          </cell>
        </row>
        <row r="46">
          <cell r="B46">
            <v>157.49</v>
          </cell>
          <cell r="C46">
            <v>97.75</v>
          </cell>
          <cell r="AH46">
            <v>157.49</v>
          </cell>
          <cell r="AI46">
            <v>97.75</v>
          </cell>
        </row>
        <row r="47">
          <cell r="B47">
            <v>109.54</v>
          </cell>
          <cell r="C47">
            <v>89.68</v>
          </cell>
          <cell r="AH47">
            <v>109.54</v>
          </cell>
          <cell r="AI47">
            <v>89.68</v>
          </cell>
        </row>
        <row r="48">
          <cell r="B48" t="str">
            <v/>
          </cell>
          <cell r="C48" t="str">
            <v/>
          </cell>
          <cell r="AH48" t="str">
            <v/>
          </cell>
          <cell r="AI48" t="str">
            <v/>
          </cell>
        </row>
        <row r="49">
          <cell r="B49" t="str">
            <v/>
          </cell>
          <cell r="C49" t="str">
            <v/>
          </cell>
          <cell r="AH49" t="str">
            <v/>
          </cell>
          <cell r="AI49" t="str">
            <v/>
          </cell>
        </row>
        <row r="50">
          <cell r="B50" t="str">
            <v/>
          </cell>
          <cell r="C50" t="str">
            <v/>
          </cell>
          <cell r="AH50" t="str">
            <v/>
          </cell>
          <cell r="AI50" t="str">
            <v/>
          </cell>
        </row>
        <row r="51">
          <cell r="B51" t="str">
            <v/>
          </cell>
          <cell r="C51" t="str">
            <v/>
          </cell>
          <cell r="AH51" t="str">
            <v/>
          </cell>
          <cell r="AI51" t="str">
            <v/>
          </cell>
        </row>
        <row r="52">
          <cell r="B52" t="str">
            <v/>
          </cell>
          <cell r="C52" t="str">
            <v/>
          </cell>
          <cell r="AH52" t="str">
            <v/>
          </cell>
          <cell r="AI52" t="str">
            <v/>
          </cell>
        </row>
        <row r="53">
          <cell r="B53" t="str">
            <v/>
          </cell>
          <cell r="C53" t="str">
            <v/>
          </cell>
          <cell r="AH53" t="str">
            <v/>
          </cell>
          <cell r="AI53" t="str">
            <v/>
          </cell>
        </row>
        <row r="54">
          <cell r="B54" t="str">
            <v/>
          </cell>
          <cell r="C54" t="str">
            <v/>
          </cell>
          <cell r="AH54" t="str">
            <v/>
          </cell>
          <cell r="AI54" t="str">
            <v/>
          </cell>
        </row>
        <row r="55">
          <cell r="B55" t="str">
            <v/>
          </cell>
          <cell r="C55" t="str">
            <v/>
          </cell>
          <cell r="AH55" t="str">
            <v/>
          </cell>
          <cell r="AI55" t="str">
            <v/>
          </cell>
        </row>
        <row r="56">
          <cell r="B56" t="str">
            <v/>
          </cell>
          <cell r="C56" t="str">
            <v/>
          </cell>
          <cell r="AH56" t="str">
            <v/>
          </cell>
          <cell r="AI56" t="str">
            <v/>
          </cell>
        </row>
        <row r="57">
          <cell r="B57" t="str">
            <v/>
          </cell>
          <cell r="C57" t="str">
            <v/>
          </cell>
          <cell r="AH57" t="str">
            <v/>
          </cell>
          <cell r="AI57" t="str">
            <v/>
          </cell>
        </row>
        <row r="58">
          <cell r="B58" t="str">
            <v/>
          </cell>
          <cell r="C58" t="str">
            <v/>
          </cell>
          <cell r="AH58" t="str">
            <v/>
          </cell>
          <cell r="AI58" t="str">
            <v/>
          </cell>
        </row>
        <row r="59">
          <cell r="B59" t="str">
            <v/>
          </cell>
          <cell r="C59" t="str">
            <v/>
          </cell>
          <cell r="AH59" t="str">
            <v/>
          </cell>
          <cell r="AI59" t="str">
            <v/>
          </cell>
        </row>
        <row r="60">
          <cell r="B60" t="str">
            <v/>
          </cell>
          <cell r="C60" t="str">
            <v/>
          </cell>
          <cell r="AH60" t="str">
            <v/>
          </cell>
          <cell r="AI60" t="str">
            <v/>
          </cell>
        </row>
        <row r="61">
          <cell r="B61" t="str">
            <v/>
          </cell>
          <cell r="C61" t="str">
            <v/>
          </cell>
          <cell r="AH61" t="str">
            <v/>
          </cell>
          <cell r="AI61" t="str">
            <v/>
          </cell>
        </row>
        <row r="62">
          <cell r="B62" t="str">
            <v/>
          </cell>
          <cell r="C62" t="str">
            <v/>
          </cell>
          <cell r="AH62" t="str">
            <v/>
          </cell>
          <cell r="AI62" t="str">
            <v/>
          </cell>
        </row>
        <row r="63">
          <cell r="B63" t="str">
            <v/>
          </cell>
          <cell r="C63" t="str">
            <v/>
          </cell>
          <cell r="AH63" t="str">
            <v/>
          </cell>
          <cell r="AI63" t="str">
            <v/>
          </cell>
        </row>
        <row r="64">
          <cell r="B64" t="str">
            <v/>
          </cell>
          <cell r="C64" t="str">
            <v/>
          </cell>
          <cell r="AH64" t="str">
            <v/>
          </cell>
          <cell r="AI64" t="str">
            <v/>
          </cell>
        </row>
        <row r="65">
          <cell r="B65" t="str">
            <v/>
          </cell>
          <cell r="C65" t="str">
            <v/>
          </cell>
          <cell r="AH65" t="str">
            <v/>
          </cell>
          <cell r="AI65" t="str">
            <v/>
          </cell>
        </row>
        <row r="66">
          <cell r="B66" t="str">
            <v/>
          </cell>
          <cell r="C66" t="str">
            <v/>
          </cell>
          <cell r="AH66" t="str">
            <v/>
          </cell>
          <cell r="AI66" t="str">
            <v/>
          </cell>
        </row>
        <row r="67">
          <cell r="B67" t="str">
            <v/>
          </cell>
          <cell r="C67" t="str">
            <v/>
          </cell>
          <cell r="AH67" t="str">
            <v/>
          </cell>
          <cell r="AI67" t="str">
            <v/>
          </cell>
        </row>
        <row r="68">
          <cell r="B68" t="str">
            <v/>
          </cell>
          <cell r="C68" t="str">
            <v/>
          </cell>
          <cell r="AH68" t="str">
            <v/>
          </cell>
          <cell r="AI68" t="str">
            <v/>
          </cell>
        </row>
        <row r="69">
          <cell r="B69" t="str">
            <v/>
          </cell>
          <cell r="C69" t="str">
            <v/>
          </cell>
          <cell r="AH69" t="str">
            <v/>
          </cell>
          <cell r="AI69" t="str">
            <v/>
          </cell>
        </row>
        <row r="70">
          <cell r="B70" t="str">
            <v/>
          </cell>
          <cell r="C70" t="str">
            <v/>
          </cell>
          <cell r="AH70" t="str">
            <v/>
          </cell>
          <cell r="AI70" t="str">
            <v/>
          </cell>
        </row>
        <row r="71">
          <cell r="B71" t="str">
            <v/>
          </cell>
          <cell r="C71" t="str">
            <v/>
          </cell>
          <cell r="AH71" t="str">
            <v/>
          </cell>
          <cell r="AI71" t="str">
            <v/>
          </cell>
        </row>
        <row r="72">
          <cell r="B72" t="str">
            <v/>
          </cell>
          <cell r="C72" t="str">
            <v/>
          </cell>
          <cell r="AH72" t="str">
            <v/>
          </cell>
          <cell r="AI72" t="str">
            <v/>
          </cell>
        </row>
        <row r="73">
          <cell r="B73" t="str">
            <v/>
          </cell>
          <cell r="C73" t="str">
            <v/>
          </cell>
          <cell r="AH73" t="str">
            <v/>
          </cell>
          <cell r="AI73" t="str">
            <v/>
          </cell>
        </row>
        <row r="74">
          <cell r="B74" t="str">
            <v/>
          </cell>
          <cell r="C74" t="str">
            <v/>
          </cell>
          <cell r="AH74" t="str">
            <v/>
          </cell>
          <cell r="AI74" t="str">
            <v/>
          </cell>
        </row>
        <row r="75">
          <cell r="B75" t="str">
            <v/>
          </cell>
          <cell r="C75" t="str">
            <v/>
          </cell>
          <cell r="AH75" t="str">
            <v/>
          </cell>
          <cell r="AI75" t="str">
            <v/>
          </cell>
        </row>
        <row r="76">
          <cell r="B76" t="str">
            <v/>
          </cell>
          <cell r="C76" t="str">
            <v/>
          </cell>
          <cell r="AH76" t="str">
            <v/>
          </cell>
          <cell r="AI76" t="str">
            <v/>
          </cell>
        </row>
        <row r="77">
          <cell r="B77" t="str">
            <v/>
          </cell>
          <cell r="C77" t="str">
            <v/>
          </cell>
          <cell r="AH77" t="str">
            <v/>
          </cell>
          <cell r="AI77" t="str">
            <v/>
          </cell>
        </row>
        <row r="78">
          <cell r="B78" t="str">
            <v/>
          </cell>
          <cell r="C78" t="str">
            <v/>
          </cell>
          <cell r="AH78" t="str">
            <v/>
          </cell>
          <cell r="AI78" t="str">
            <v/>
          </cell>
        </row>
        <row r="79">
          <cell r="B79" t="str">
            <v/>
          </cell>
          <cell r="C79" t="str">
            <v/>
          </cell>
          <cell r="AH79" t="str">
            <v/>
          </cell>
          <cell r="AI79" t="str">
            <v/>
          </cell>
        </row>
        <row r="80">
          <cell r="B80" t="str">
            <v/>
          </cell>
          <cell r="C80" t="str">
            <v/>
          </cell>
          <cell r="AH80" t="str">
            <v/>
          </cell>
          <cell r="AI80" t="str">
            <v/>
          </cell>
        </row>
        <row r="81">
          <cell r="B81" t="str">
            <v/>
          </cell>
          <cell r="C81" t="str">
            <v/>
          </cell>
          <cell r="AH81" t="str">
            <v/>
          </cell>
          <cell r="AI81" t="str">
            <v/>
          </cell>
        </row>
        <row r="82">
          <cell r="B82" t="str">
            <v/>
          </cell>
          <cell r="C82" t="str">
            <v/>
          </cell>
          <cell r="AH82" t="str">
            <v/>
          </cell>
          <cell r="AI82" t="str">
            <v/>
          </cell>
        </row>
        <row r="83">
          <cell r="B83" t="str">
            <v/>
          </cell>
          <cell r="C83" t="str">
            <v/>
          </cell>
          <cell r="AH83" t="str">
            <v/>
          </cell>
          <cell r="AI83" t="str">
            <v/>
          </cell>
        </row>
        <row r="84">
          <cell r="B84" t="str">
            <v/>
          </cell>
          <cell r="C84" t="str">
            <v/>
          </cell>
          <cell r="AH84" t="str">
            <v/>
          </cell>
          <cell r="AI84" t="str">
            <v/>
          </cell>
        </row>
        <row r="85">
          <cell r="B85" t="str">
            <v/>
          </cell>
          <cell r="C85" t="str">
            <v/>
          </cell>
          <cell r="AH85" t="str">
            <v/>
          </cell>
          <cell r="AI85" t="str">
            <v/>
          </cell>
        </row>
        <row r="86">
          <cell r="B86" t="str">
            <v/>
          </cell>
          <cell r="C86" t="str">
            <v/>
          </cell>
          <cell r="AH86" t="str">
            <v/>
          </cell>
          <cell r="AI86" t="str">
            <v/>
          </cell>
        </row>
        <row r="87">
          <cell r="B87" t="str">
            <v/>
          </cell>
          <cell r="C87" t="str">
            <v/>
          </cell>
          <cell r="AH87" t="str">
            <v/>
          </cell>
          <cell r="AI87" t="str">
            <v/>
          </cell>
        </row>
        <row r="88">
          <cell r="B88" t="str">
            <v/>
          </cell>
          <cell r="C88" t="str">
            <v/>
          </cell>
          <cell r="AH88" t="str">
            <v/>
          </cell>
          <cell r="AI88" t="str">
            <v/>
          </cell>
        </row>
        <row r="89">
          <cell r="B89" t="str">
            <v/>
          </cell>
          <cell r="C89" t="str">
            <v/>
          </cell>
          <cell r="AH89" t="str">
            <v/>
          </cell>
          <cell r="AI89" t="str">
            <v/>
          </cell>
        </row>
        <row r="90">
          <cell r="B90" t="str">
            <v/>
          </cell>
          <cell r="C90" t="str">
            <v/>
          </cell>
          <cell r="AH90" t="str">
            <v/>
          </cell>
          <cell r="AI90" t="str">
            <v/>
          </cell>
        </row>
        <row r="91">
          <cell r="B91" t="str">
            <v/>
          </cell>
          <cell r="C91" t="str">
            <v/>
          </cell>
          <cell r="AH91" t="str">
            <v/>
          </cell>
          <cell r="AI91" t="str">
            <v/>
          </cell>
        </row>
        <row r="92">
          <cell r="B92" t="str">
            <v/>
          </cell>
          <cell r="C92" t="str">
            <v/>
          </cell>
          <cell r="AH92" t="str">
            <v/>
          </cell>
          <cell r="AI92" t="str">
            <v/>
          </cell>
        </row>
        <row r="93">
          <cell r="B93" t="str">
            <v/>
          </cell>
          <cell r="C93" t="str">
            <v/>
          </cell>
          <cell r="AH93" t="str">
            <v/>
          </cell>
          <cell r="AI93" t="str">
            <v/>
          </cell>
        </row>
        <row r="94">
          <cell r="B94" t="str">
            <v/>
          </cell>
          <cell r="C94" t="str">
            <v/>
          </cell>
          <cell r="AH94" t="str">
            <v/>
          </cell>
          <cell r="AI94" t="str">
            <v/>
          </cell>
        </row>
        <row r="95">
          <cell r="B95" t="str">
            <v/>
          </cell>
          <cell r="C95" t="str">
            <v/>
          </cell>
          <cell r="AH95" t="str">
            <v/>
          </cell>
          <cell r="AI95" t="str">
            <v/>
          </cell>
        </row>
        <row r="96">
          <cell r="B96" t="str">
            <v/>
          </cell>
          <cell r="C96" t="str">
            <v/>
          </cell>
          <cell r="AH96" t="str">
            <v/>
          </cell>
          <cell r="AI96" t="str">
            <v/>
          </cell>
        </row>
        <row r="97">
          <cell r="B97" t="str">
            <v/>
          </cell>
          <cell r="C97" t="str">
            <v/>
          </cell>
          <cell r="AH97" t="str">
            <v/>
          </cell>
          <cell r="AI97" t="str">
            <v/>
          </cell>
        </row>
        <row r="98">
          <cell r="B98" t="str">
            <v/>
          </cell>
          <cell r="C98" t="str">
            <v/>
          </cell>
          <cell r="AH98" t="str">
            <v/>
          </cell>
          <cell r="AI98" t="str">
            <v/>
          </cell>
        </row>
        <row r="99">
          <cell r="B99" t="str">
            <v/>
          </cell>
          <cell r="C99" t="str">
            <v/>
          </cell>
          <cell r="AH99" t="str">
            <v/>
          </cell>
          <cell r="AI99" t="str">
            <v/>
          </cell>
        </row>
        <row r="100">
          <cell r="B100" t="str">
            <v/>
          </cell>
          <cell r="C100" t="str">
            <v/>
          </cell>
          <cell r="AH100" t="str">
            <v/>
          </cell>
          <cell r="AI100" t="str">
            <v/>
          </cell>
        </row>
        <row r="101">
          <cell r="B101" t="str">
            <v/>
          </cell>
          <cell r="C101" t="str">
            <v/>
          </cell>
          <cell r="AH101" t="str">
            <v/>
          </cell>
          <cell r="AI101" t="str">
            <v/>
          </cell>
        </row>
        <row r="102">
          <cell r="B102" t="str">
            <v/>
          </cell>
          <cell r="C102" t="str">
            <v/>
          </cell>
          <cell r="AH102" t="str">
            <v/>
          </cell>
          <cell r="AI102" t="str">
            <v/>
          </cell>
        </row>
        <row r="103">
          <cell r="B103" t="str">
            <v/>
          </cell>
          <cell r="C103" t="str">
            <v/>
          </cell>
          <cell r="AH103" t="str">
            <v/>
          </cell>
          <cell r="AI103" t="str">
            <v/>
          </cell>
        </row>
        <row r="104">
          <cell r="B104" t="str">
            <v/>
          </cell>
          <cell r="C104" t="str">
            <v/>
          </cell>
          <cell r="AH104" t="str">
            <v/>
          </cell>
          <cell r="AI104" t="str">
            <v/>
          </cell>
        </row>
        <row r="105">
          <cell r="B105" t="str">
            <v/>
          </cell>
          <cell r="C105" t="str">
            <v/>
          </cell>
          <cell r="AH105" t="str">
            <v/>
          </cell>
          <cell r="AI105" t="str">
            <v/>
          </cell>
        </row>
        <row r="106">
          <cell r="B106" t="str">
            <v/>
          </cell>
          <cell r="C106" t="str">
            <v/>
          </cell>
          <cell r="AH106" t="str">
            <v/>
          </cell>
          <cell r="AI106" t="str">
            <v/>
          </cell>
        </row>
        <row r="107">
          <cell r="B107" t="str">
            <v/>
          </cell>
          <cell r="C107" t="str">
            <v/>
          </cell>
          <cell r="AH107" t="str">
            <v/>
          </cell>
          <cell r="AI107" t="str">
            <v/>
          </cell>
        </row>
        <row r="108">
          <cell r="B108" t="str">
            <v/>
          </cell>
          <cell r="C108" t="str">
            <v/>
          </cell>
          <cell r="AH108" t="str">
            <v/>
          </cell>
          <cell r="AI108" t="str">
            <v/>
          </cell>
        </row>
        <row r="109">
          <cell r="B109" t="str">
            <v/>
          </cell>
          <cell r="C109" t="str">
            <v/>
          </cell>
          <cell r="AH109" t="str">
            <v/>
          </cell>
          <cell r="AI109" t="str">
            <v/>
          </cell>
        </row>
        <row r="110">
          <cell r="B110" t="str">
            <v/>
          </cell>
          <cell r="C110" t="str">
            <v/>
          </cell>
          <cell r="AH110" t="str">
            <v/>
          </cell>
          <cell r="AI110" t="str">
            <v/>
          </cell>
        </row>
        <row r="111">
          <cell r="B111" t="str">
            <v/>
          </cell>
          <cell r="C111" t="str">
            <v/>
          </cell>
          <cell r="AH111" t="str">
            <v/>
          </cell>
          <cell r="AI111" t="str">
            <v/>
          </cell>
        </row>
        <row r="112">
          <cell r="B112" t="str">
            <v/>
          </cell>
          <cell r="C112" t="str">
            <v/>
          </cell>
          <cell r="AH112" t="str">
            <v/>
          </cell>
          <cell r="AI112" t="str">
            <v/>
          </cell>
        </row>
        <row r="113">
          <cell r="B113" t="str">
            <v/>
          </cell>
          <cell r="C113" t="str">
            <v/>
          </cell>
          <cell r="AH113" t="str">
            <v/>
          </cell>
          <cell r="AI113" t="str">
            <v/>
          </cell>
        </row>
        <row r="114">
          <cell r="B114" t="str">
            <v/>
          </cell>
          <cell r="C114" t="str">
            <v/>
          </cell>
          <cell r="AH114" t="str">
            <v/>
          </cell>
          <cell r="AI114" t="str">
            <v/>
          </cell>
        </row>
        <row r="115">
          <cell r="B115" t="str">
            <v/>
          </cell>
          <cell r="C115" t="str">
            <v/>
          </cell>
          <cell r="AH115" t="str">
            <v/>
          </cell>
          <cell r="AI115" t="str">
            <v/>
          </cell>
        </row>
        <row r="116">
          <cell r="B116" t="str">
            <v/>
          </cell>
          <cell r="C116" t="str">
            <v/>
          </cell>
          <cell r="AH116" t="str">
            <v/>
          </cell>
          <cell r="AI116" t="str">
            <v/>
          </cell>
        </row>
        <row r="117">
          <cell r="B117" t="str">
            <v/>
          </cell>
          <cell r="C117" t="str">
            <v/>
          </cell>
          <cell r="AH117" t="str">
            <v/>
          </cell>
          <cell r="AI117" t="str">
            <v/>
          </cell>
        </row>
        <row r="118">
          <cell r="B118" t="str">
            <v/>
          </cell>
          <cell r="C118" t="str">
            <v/>
          </cell>
          <cell r="AH118" t="str">
            <v/>
          </cell>
          <cell r="AI118" t="str">
            <v/>
          </cell>
        </row>
        <row r="119">
          <cell r="B119" t="str">
            <v/>
          </cell>
          <cell r="C119" t="str">
            <v/>
          </cell>
          <cell r="AH119" t="str">
            <v/>
          </cell>
          <cell r="AI119" t="str">
            <v/>
          </cell>
        </row>
        <row r="120">
          <cell r="B120" t="str">
            <v/>
          </cell>
          <cell r="C120" t="str">
            <v/>
          </cell>
          <cell r="AH120" t="str">
            <v/>
          </cell>
          <cell r="AI120" t="str">
            <v/>
          </cell>
        </row>
        <row r="121">
          <cell r="B121" t="str">
            <v/>
          </cell>
          <cell r="C121" t="str">
            <v/>
          </cell>
          <cell r="AH121" t="str">
            <v/>
          </cell>
          <cell r="AI121" t="str">
            <v/>
          </cell>
        </row>
        <row r="122">
          <cell r="B122" t="str">
            <v/>
          </cell>
          <cell r="C122" t="str">
            <v/>
          </cell>
          <cell r="AH122" t="str">
            <v/>
          </cell>
          <cell r="AI122" t="str">
            <v/>
          </cell>
        </row>
        <row r="123">
          <cell r="B123" t="str">
            <v/>
          </cell>
          <cell r="C123" t="str">
            <v/>
          </cell>
          <cell r="AH123" t="str">
            <v/>
          </cell>
          <cell r="AI123" t="str">
            <v/>
          </cell>
        </row>
        <row r="124">
          <cell r="B124" t="str">
            <v/>
          </cell>
          <cell r="C124" t="str">
            <v/>
          </cell>
          <cell r="AH124" t="str">
            <v/>
          </cell>
          <cell r="AI124" t="str">
            <v/>
          </cell>
        </row>
        <row r="125">
          <cell r="B125" t="str">
            <v/>
          </cell>
          <cell r="C125" t="str">
            <v/>
          </cell>
          <cell r="AH125" t="str">
            <v/>
          </cell>
          <cell r="AI125" t="str">
            <v/>
          </cell>
        </row>
        <row r="126">
          <cell r="B126" t="str">
            <v/>
          </cell>
          <cell r="C126" t="str">
            <v/>
          </cell>
          <cell r="AH126" t="str">
            <v/>
          </cell>
          <cell r="AI126" t="str">
            <v/>
          </cell>
        </row>
        <row r="127">
          <cell r="B127" t="str">
            <v/>
          </cell>
          <cell r="C127" t="str">
            <v/>
          </cell>
          <cell r="AH127" t="str">
            <v/>
          </cell>
          <cell r="AI127" t="str">
            <v/>
          </cell>
        </row>
        <row r="128">
          <cell r="B128" t="str">
            <v/>
          </cell>
          <cell r="C128" t="str">
            <v/>
          </cell>
          <cell r="AH128" t="str">
            <v/>
          </cell>
          <cell r="AI128" t="str">
            <v/>
          </cell>
        </row>
        <row r="129">
          <cell r="B129" t="str">
            <v/>
          </cell>
          <cell r="C129" t="str">
            <v/>
          </cell>
          <cell r="AH129" t="str">
            <v/>
          </cell>
          <cell r="AI129" t="str">
            <v/>
          </cell>
        </row>
        <row r="130">
          <cell r="B130" t="str">
            <v/>
          </cell>
          <cell r="C130" t="str">
            <v/>
          </cell>
          <cell r="AH130" t="str">
            <v/>
          </cell>
          <cell r="AI130" t="str">
            <v/>
          </cell>
        </row>
        <row r="131">
          <cell r="B131" t="str">
            <v/>
          </cell>
          <cell r="C131" t="str">
            <v/>
          </cell>
          <cell r="AH131" t="str">
            <v/>
          </cell>
          <cell r="AI131" t="str">
            <v/>
          </cell>
        </row>
        <row r="132">
          <cell r="B132" t="str">
            <v/>
          </cell>
          <cell r="C132" t="str">
            <v/>
          </cell>
          <cell r="AH132" t="str">
            <v/>
          </cell>
          <cell r="AI132" t="str">
            <v/>
          </cell>
        </row>
        <row r="133">
          <cell r="B133" t="str">
            <v/>
          </cell>
          <cell r="C133" t="str">
            <v/>
          </cell>
          <cell r="AH133" t="str">
            <v/>
          </cell>
          <cell r="AI133" t="str">
            <v/>
          </cell>
        </row>
        <row r="134">
          <cell r="B134" t="str">
            <v/>
          </cell>
          <cell r="C134" t="str">
            <v/>
          </cell>
          <cell r="AH134" t="str">
            <v/>
          </cell>
          <cell r="AI134" t="str">
            <v/>
          </cell>
        </row>
        <row r="135">
          <cell r="B135" t="str">
            <v/>
          </cell>
          <cell r="C135" t="str">
            <v/>
          </cell>
          <cell r="AH135" t="str">
            <v/>
          </cell>
          <cell r="AI135" t="str">
            <v/>
          </cell>
        </row>
        <row r="136">
          <cell r="B136" t="str">
            <v/>
          </cell>
          <cell r="C136" t="str">
            <v/>
          </cell>
          <cell r="AH136" t="str">
            <v/>
          </cell>
          <cell r="AI136" t="str">
            <v/>
          </cell>
        </row>
        <row r="137">
          <cell r="B137" t="str">
            <v/>
          </cell>
          <cell r="C137" t="str">
            <v/>
          </cell>
          <cell r="AH137" t="str">
            <v/>
          </cell>
          <cell r="AI137" t="str">
            <v/>
          </cell>
        </row>
        <row r="138">
          <cell r="B138" t="str">
            <v/>
          </cell>
          <cell r="C138" t="str">
            <v/>
          </cell>
          <cell r="AH138" t="str">
            <v/>
          </cell>
          <cell r="AI138" t="str">
            <v/>
          </cell>
        </row>
        <row r="139">
          <cell r="B139" t="str">
            <v/>
          </cell>
          <cell r="C139" t="str">
            <v/>
          </cell>
          <cell r="AH139" t="str">
            <v/>
          </cell>
          <cell r="AI139" t="str">
            <v/>
          </cell>
        </row>
        <row r="140">
          <cell r="B140" t="str">
            <v/>
          </cell>
          <cell r="C140" t="str">
            <v/>
          </cell>
          <cell r="AH140" t="str">
            <v/>
          </cell>
          <cell r="AI140" t="str">
            <v/>
          </cell>
        </row>
        <row r="141">
          <cell r="B141" t="str">
            <v/>
          </cell>
          <cell r="C141" t="str">
            <v/>
          </cell>
          <cell r="AH141" t="str">
            <v/>
          </cell>
          <cell r="AI141" t="str">
            <v/>
          </cell>
        </row>
        <row r="142">
          <cell r="B142" t="str">
            <v/>
          </cell>
          <cell r="C142" t="str">
            <v/>
          </cell>
          <cell r="AH142" t="str">
            <v/>
          </cell>
          <cell r="AI142" t="str">
            <v/>
          </cell>
        </row>
        <row r="143">
          <cell r="B143" t="str">
            <v/>
          </cell>
          <cell r="C143" t="str">
            <v/>
          </cell>
          <cell r="AH143" t="str">
            <v/>
          </cell>
          <cell r="AI143" t="str">
            <v/>
          </cell>
        </row>
        <row r="144">
          <cell r="B144" t="str">
            <v/>
          </cell>
          <cell r="C144" t="str">
            <v/>
          </cell>
          <cell r="AH144" t="str">
            <v/>
          </cell>
          <cell r="AI144" t="str">
            <v/>
          </cell>
        </row>
        <row r="145">
          <cell r="B145" t="str">
            <v/>
          </cell>
          <cell r="C145" t="str">
            <v/>
          </cell>
          <cell r="AH145" t="str">
            <v/>
          </cell>
          <cell r="AI145" t="str">
            <v/>
          </cell>
        </row>
        <row r="146">
          <cell r="B146" t="str">
            <v/>
          </cell>
          <cell r="C146" t="str">
            <v/>
          </cell>
          <cell r="AH146" t="str">
            <v/>
          </cell>
          <cell r="AI146" t="str">
            <v/>
          </cell>
        </row>
        <row r="147">
          <cell r="B147" t="str">
            <v/>
          </cell>
          <cell r="C147" t="str">
            <v/>
          </cell>
          <cell r="AH147" t="str">
            <v/>
          </cell>
          <cell r="AI147" t="str">
            <v/>
          </cell>
        </row>
        <row r="148">
          <cell r="B148" t="str">
            <v/>
          </cell>
          <cell r="C148" t="str">
            <v/>
          </cell>
          <cell r="AH148" t="str">
            <v/>
          </cell>
          <cell r="AI148" t="str">
            <v/>
          </cell>
        </row>
        <row r="149">
          <cell r="B149" t="str">
            <v/>
          </cell>
          <cell r="C149" t="str">
            <v/>
          </cell>
          <cell r="AH149" t="str">
            <v/>
          </cell>
          <cell r="AI149" t="str">
            <v/>
          </cell>
        </row>
        <row r="150">
          <cell r="B150" t="str">
            <v/>
          </cell>
          <cell r="C150" t="str">
            <v/>
          </cell>
          <cell r="AH150" t="str">
            <v/>
          </cell>
          <cell r="AI150" t="str">
            <v/>
          </cell>
        </row>
        <row r="151">
          <cell r="B151" t="str">
            <v/>
          </cell>
          <cell r="C151" t="str">
            <v/>
          </cell>
          <cell r="AH151" t="str">
            <v/>
          </cell>
          <cell r="AI151" t="str">
            <v/>
          </cell>
        </row>
        <row r="152">
          <cell r="B152" t="str">
            <v/>
          </cell>
          <cell r="C152" t="str">
            <v/>
          </cell>
          <cell r="AH152" t="str">
            <v/>
          </cell>
          <cell r="AI152" t="str">
            <v/>
          </cell>
        </row>
        <row r="153">
          <cell r="B153" t="str">
            <v/>
          </cell>
          <cell r="C153" t="str">
            <v/>
          </cell>
          <cell r="AH153" t="str">
            <v/>
          </cell>
          <cell r="AI153" t="str">
            <v/>
          </cell>
        </row>
        <row r="154">
          <cell r="B154" t="str">
            <v/>
          </cell>
          <cell r="C154" t="str">
            <v/>
          </cell>
          <cell r="AH154" t="str">
            <v/>
          </cell>
          <cell r="AI154" t="str">
            <v/>
          </cell>
        </row>
        <row r="155">
          <cell r="B155" t="str">
            <v/>
          </cell>
          <cell r="C155" t="str">
            <v/>
          </cell>
          <cell r="AH155" t="str">
            <v/>
          </cell>
          <cell r="AI155" t="str">
            <v/>
          </cell>
        </row>
        <row r="156">
          <cell r="B156" t="str">
            <v/>
          </cell>
          <cell r="C156" t="str">
            <v/>
          </cell>
          <cell r="AH156" t="str">
            <v/>
          </cell>
          <cell r="AI156" t="str">
            <v/>
          </cell>
        </row>
        <row r="157">
          <cell r="B157" t="str">
            <v/>
          </cell>
          <cell r="C157" t="str">
            <v/>
          </cell>
          <cell r="AH157" t="str">
            <v/>
          </cell>
          <cell r="AI157" t="str">
            <v/>
          </cell>
        </row>
        <row r="158">
          <cell r="B158" t="str">
            <v/>
          </cell>
          <cell r="C158" t="str">
            <v/>
          </cell>
          <cell r="AH158" t="str">
            <v/>
          </cell>
          <cell r="AI158" t="str">
            <v/>
          </cell>
        </row>
        <row r="159">
          <cell r="B159" t="str">
            <v/>
          </cell>
          <cell r="C159" t="str">
            <v/>
          </cell>
          <cell r="AH159" t="str">
            <v/>
          </cell>
          <cell r="AI159" t="str">
            <v/>
          </cell>
        </row>
        <row r="160">
          <cell r="B160" t="str">
            <v/>
          </cell>
          <cell r="C160" t="str">
            <v/>
          </cell>
          <cell r="AH160" t="str">
            <v/>
          </cell>
          <cell r="AI160" t="str">
            <v/>
          </cell>
        </row>
        <row r="161">
          <cell r="B161" t="str">
            <v/>
          </cell>
          <cell r="C161" t="str">
            <v/>
          </cell>
          <cell r="AH161" t="str">
            <v/>
          </cell>
          <cell r="AI161" t="str">
            <v/>
          </cell>
        </row>
        <row r="162">
          <cell r="B162" t="str">
            <v/>
          </cell>
          <cell r="C162" t="str">
            <v/>
          </cell>
          <cell r="AH162" t="str">
            <v/>
          </cell>
          <cell r="AI162" t="str">
            <v/>
          </cell>
        </row>
        <row r="163">
          <cell r="B163" t="str">
            <v/>
          </cell>
          <cell r="C163" t="str">
            <v/>
          </cell>
          <cell r="AH163" t="str">
            <v/>
          </cell>
          <cell r="AI163" t="str">
            <v/>
          </cell>
        </row>
        <row r="164">
          <cell r="B164" t="str">
            <v/>
          </cell>
          <cell r="C164" t="str">
            <v/>
          </cell>
          <cell r="AH164" t="str">
            <v/>
          </cell>
          <cell r="AI164" t="str">
            <v/>
          </cell>
        </row>
        <row r="165">
          <cell r="B165" t="str">
            <v/>
          </cell>
          <cell r="C165" t="str">
            <v/>
          </cell>
          <cell r="AH165" t="str">
            <v/>
          </cell>
          <cell r="AI165" t="str">
            <v/>
          </cell>
        </row>
        <row r="166">
          <cell r="B166" t="str">
            <v/>
          </cell>
          <cell r="C166" t="str">
            <v/>
          </cell>
          <cell r="AH166" t="str">
            <v/>
          </cell>
          <cell r="AI166" t="str">
            <v/>
          </cell>
        </row>
        <row r="167">
          <cell r="B167" t="str">
            <v/>
          </cell>
          <cell r="C167" t="str">
            <v/>
          </cell>
          <cell r="AH167" t="str">
            <v/>
          </cell>
          <cell r="AI167" t="str">
            <v/>
          </cell>
        </row>
        <row r="168">
          <cell r="B168" t="str">
            <v/>
          </cell>
          <cell r="C168" t="str">
            <v/>
          </cell>
          <cell r="AH168" t="str">
            <v/>
          </cell>
          <cell r="AI168" t="str">
            <v/>
          </cell>
        </row>
        <row r="169">
          <cell r="B169" t="str">
            <v/>
          </cell>
          <cell r="C169" t="str">
            <v/>
          </cell>
          <cell r="AH169" t="str">
            <v/>
          </cell>
          <cell r="AI169" t="str">
            <v/>
          </cell>
        </row>
        <row r="170">
          <cell r="B170" t="str">
            <v/>
          </cell>
          <cell r="C170" t="str">
            <v/>
          </cell>
          <cell r="AH170" t="str">
            <v/>
          </cell>
          <cell r="AI170" t="str">
            <v/>
          </cell>
        </row>
        <row r="171">
          <cell r="B171" t="str">
            <v/>
          </cell>
          <cell r="C171" t="str">
            <v/>
          </cell>
          <cell r="AH171" t="str">
            <v/>
          </cell>
          <cell r="AI171" t="str">
            <v/>
          </cell>
        </row>
        <row r="172">
          <cell r="B172" t="str">
            <v/>
          </cell>
          <cell r="C172" t="str">
            <v/>
          </cell>
          <cell r="AH172" t="str">
            <v/>
          </cell>
          <cell r="AI172" t="str">
            <v/>
          </cell>
        </row>
        <row r="173">
          <cell r="B173" t="str">
            <v/>
          </cell>
          <cell r="C173" t="str">
            <v/>
          </cell>
          <cell r="AH173" t="str">
            <v/>
          </cell>
          <cell r="AI173" t="str">
            <v/>
          </cell>
        </row>
        <row r="174">
          <cell r="B174" t="str">
            <v/>
          </cell>
          <cell r="C174" t="str">
            <v/>
          </cell>
          <cell r="AH174" t="str">
            <v/>
          </cell>
          <cell r="AI174" t="str">
            <v/>
          </cell>
        </row>
        <row r="175">
          <cell r="B175" t="str">
            <v/>
          </cell>
          <cell r="C175" t="str">
            <v/>
          </cell>
          <cell r="AH175" t="str">
            <v/>
          </cell>
          <cell r="AI175" t="str">
            <v/>
          </cell>
        </row>
        <row r="176">
          <cell r="B176" t="str">
            <v/>
          </cell>
          <cell r="C176" t="str">
            <v/>
          </cell>
          <cell r="AH176" t="str">
            <v/>
          </cell>
          <cell r="AI176" t="str">
            <v/>
          </cell>
        </row>
        <row r="177">
          <cell r="B177" t="str">
            <v/>
          </cell>
          <cell r="C177" t="str">
            <v/>
          </cell>
          <cell r="AH177" t="str">
            <v/>
          </cell>
          <cell r="AI177" t="str">
            <v/>
          </cell>
        </row>
        <row r="178">
          <cell r="B178" t="str">
            <v/>
          </cell>
          <cell r="C178" t="str">
            <v/>
          </cell>
          <cell r="AH178" t="str">
            <v/>
          </cell>
          <cell r="AI178" t="str">
            <v/>
          </cell>
        </row>
        <row r="179">
          <cell r="B179" t="str">
            <v/>
          </cell>
          <cell r="C179" t="str">
            <v/>
          </cell>
          <cell r="AH179" t="str">
            <v/>
          </cell>
          <cell r="AI179" t="str">
            <v/>
          </cell>
        </row>
        <row r="180">
          <cell r="B180" t="str">
            <v/>
          </cell>
          <cell r="C180" t="str">
            <v/>
          </cell>
          <cell r="AH180" t="str">
            <v/>
          </cell>
          <cell r="AI180" t="str">
            <v/>
          </cell>
        </row>
        <row r="181">
          <cell r="B181" t="str">
            <v/>
          </cell>
          <cell r="C181" t="str">
            <v/>
          </cell>
          <cell r="AH181" t="str">
            <v/>
          </cell>
          <cell r="AI181" t="str">
            <v/>
          </cell>
        </row>
        <row r="182">
          <cell r="B182" t="str">
            <v/>
          </cell>
          <cell r="C182" t="str">
            <v/>
          </cell>
          <cell r="AH182" t="str">
            <v/>
          </cell>
          <cell r="AI182" t="str">
            <v/>
          </cell>
        </row>
        <row r="183">
          <cell r="B183" t="str">
            <v/>
          </cell>
          <cell r="C183" t="str">
            <v/>
          </cell>
          <cell r="AH183" t="str">
            <v/>
          </cell>
          <cell r="AI183" t="str">
            <v/>
          </cell>
        </row>
        <row r="184">
          <cell r="B184" t="str">
            <v/>
          </cell>
          <cell r="C184" t="str">
            <v/>
          </cell>
          <cell r="AH184" t="str">
            <v/>
          </cell>
          <cell r="AI184" t="str">
            <v/>
          </cell>
        </row>
        <row r="185">
          <cell r="B185" t="str">
            <v/>
          </cell>
          <cell r="C185" t="str">
            <v/>
          </cell>
          <cell r="AH185" t="str">
            <v/>
          </cell>
          <cell r="AI185" t="str">
            <v/>
          </cell>
        </row>
        <row r="186">
          <cell r="B186" t="str">
            <v/>
          </cell>
          <cell r="C186" t="str">
            <v/>
          </cell>
          <cell r="AH186" t="str">
            <v/>
          </cell>
          <cell r="AI186" t="str">
            <v/>
          </cell>
        </row>
        <row r="187">
          <cell r="B187" t="str">
            <v/>
          </cell>
          <cell r="C187" t="str">
            <v/>
          </cell>
          <cell r="AH187" t="str">
            <v/>
          </cell>
          <cell r="AI187" t="str">
            <v/>
          </cell>
        </row>
        <row r="188">
          <cell r="B188" t="str">
            <v/>
          </cell>
          <cell r="C188" t="str">
            <v/>
          </cell>
          <cell r="AH188" t="str">
            <v/>
          </cell>
          <cell r="AI188" t="str">
            <v/>
          </cell>
        </row>
        <row r="189">
          <cell r="B189" t="str">
            <v/>
          </cell>
          <cell r="C189" t="str">
            <v/>
          </cell>
          <cell r="AH189" t="str">
            <v/>
          </cell>
          <cell r="AI189" t="str">
            <v/>
          </cell>
        </row>
        <row r="190">
          <cell r="B190" t="str">
            <v/>
          </cell>
          <cell r="C190" t="str">
            <v/>
          </cell>
          <cell r="AH190" t="str">
            <v/>
          </cell>
          <cell r="AI190" t="str">
            <v/>
          </cell>
        </row>
        <row r="191">
          <cell r="B191" t="str">
            <v/>
          </cell>
          <cell r="C191" t="str">
            <v/>
          </cell>
          <cell r="AH191" t="str">
            <v/>
          </cell>
          <cell r="AI191" t="str">
            <v/>
          </cell>
        </row>
        <row r="192">
          <cell r="B192" t="str">
            <v/>
          </cell>
          <cell r="C192" t="str">
            <v/>
          </cell>
          <cell r="AH192" t="str">
            <v/>
          </cell>
          <cell r="AI192" t="str">
            <v/>
          </cell>
        </row>
        <row r="193">
          <cell r="B193" t="str">
            <v/>
          </cell>
          <cell r="C193" t="str">
            <v/>
          </cell>
          <cell r="AH193" t="str">
            <v/>
          </cell>
          <cell r="AI193" t="str">
            <v/>
          </cell>
        </row>
        <row r="194">
          <cell r="B194" t="str">
            <v/>
          </cell>
          <cell r="C194" t="str">
            <v/>
          </cell>
          <cell r="AH194" t="str">
            <v/>
          </cell>
          <cell r="AI194" t="str">
            <v/>
          </cell>
        </row>
        <row r="195">
          <cell r="B195" t="str">
            <v/>
          </cell>
          <cell r="C195" t="str">
            <v/>
          </cell>
          <cell r="AH195" t="str">
            <v/>
          </cell>
          <cell r="AI195" t="str">
            <v/>
          </cell>
        </row>
        <row r="196">
          <cell r="B196" t="str">
            <v/>
          </cell>
          <cell r="C196" t="str">
            <v/>
          </cell>
          <cell r="AH196" t="str">
            <v/>
          </cell>
          <cell r="AI196" t="str">
            <v/>
          </cell>
        </row>
        <row r="197">
          <cell r="B197" t="str">
            <v/>
          </cell>
          <cell r="C197" t="str">
            <v/>
          </cell>
          <cell r="AH197" t="str">
            <v/>
          </cell>
          <cell r="AI197" t="str">
            <v/>
          </cell>
        </row>
        <row r="198">
          <cell r="B198" t="str">
            <v/>
          </cell>
          <cell r="C198" t="str">
            <v/>
          </cell>
          <cell r="AH198" t="str">
            <v/>
          </cell>
          <cell r="AI198" t="str">
            <v/>
          </cell>
        </row>
        <row r="199">
          <cell r="B199" t="str">
            <v/>
          </cell>
          <cell r="C199" t="str">
            <v/>
          </cell>
          <cell r="AH199" t="str">
            <v/>
          </cell>
          <cell r="AI199" t="str">
            <v/>
          </cell>
        </row>
        <row r="200">
          <cell r="B200" t="str">
            <v/>
          </cell>
          <cell r="C200" t="str">
            <v/>
          </cell>
          <cell r="AH200" t="str">
            <v/>
          </cell>
          <cell r="AI200" t="str">
            <v/>
          </cell>
        </row>
        <row r="201">
          <cell r="B201" t="str">
            <v/>
          </cell>
          <cell r="C201" t="str">
            <v/>
          </cell>
          <cell r="AH201" t="str">
            <v/>
          </cell>
          <cell r="AI201" t="str">
            <v/>
          </cell>
        </row>
        <row r="202">
          <cell r="B202" t="str">
            <v/>
          </cell>
          <cell r="C202" t="str">
            <v/>
          </cell>
          <cell r="AH202" t="str">
            <v/>
          </cell>
          <cell r="AI202" t="str">
            <v/>
          </cell>
        </row>
        <row r="203">
          <cell r="B203" t="str">
            <v/>
          </cell>
          <cell r="C203" t="str">
            <v/>
          </cell>
          <cell r="AH203" t="str">
            <v/>
          </cell>
          <cell r="AI203" t="str">
            <v/>
          </cell>
        </row>
        <row r="204">
          <cell r="B204" t="str">
            <v/>
          </cell>
          <cell r="C204" t="str">
            <v/>
          </cell>
          <cell r="AH204" t="str">
            <v/>
          </cell>
          <cell r="AI204" t="str">
            <v/>
          </cell>
        </row>
        <row r="205">
          <cell r="B205" t="str">
            <v/>
          </cell>
          <cell r="C205" t="str">
            <v/>
          </cell>
          <cell r="AH205" t="str">
            <v/>
          </cell>
          <cell r="AI205" t="str">
            <v/>
          </cell>
        </row>
        <row r="206">
          <cell r="B206" t="str">
            <v/>
          </cell>
          <cell r="C206" t="str">
            <v/>
          </cell>
          <cell r="AH206" t="str">
            <v/>
          </cell>
          <cell r="AI206" t="str">
            <v/>
          </cell>
        </row>
        <row r="207">
          <cell r="B207" t="str">
            <v/>
          </cell>
          <cell r="C207" t="str">
            <v/>
          </cell>
          <cell r="AH207" t="str">
            <v/>
          </cell>
          <cell r="AI207" t="str">
            <v/>
          </cell>
        </row>
        <row r="208">
          <cell r="B208" t="str">
            <v/>
          </cell>
          <cell r="C208" t="str">
            <v/>
          </cell>
          <cell r="AH208" t="str">
            <v/>
          </cell>
          <cell r="AI208" t="str">
            <v/>
          </cell>
        </row>
        <row r="209">
          <cell r="B209" t="str">
            <v/>
          </cell>
          <cell r="C209" t="str">
            <v/>
          </cell>
          <cell r="AH209" t="str">
            <v/>
          </cell>
          <cell r="AI209" t="str">
            <v/>
          </cell>
        </row>
        <row r="210">
          <cell r="B210" t="str">
            <v/>
          </cell>
          <cell r="C210" t="str">
            <v/>
          </cell>
          <cell r="AH210" t="str">
            <v/>
          </cell>
          <cell r="AI210" t="str">
            <v/>
          </cell>
        </row>
        <row r="211">
          <cell r="B211" t="str">
            <v/>
          </cell>
          <cell r="C211" t="str">
            <v/>
          </cell>
          <cell r="AH211" t="str">
            <v/>
          </cell>
          <cell r="AI211" t="str">
            <v/>
          </cell>
        </row>
        <row r="212">
          <cell r="B212" t="str">
            <v/>
          </cell>
          <cell r="C212" t="str">
            <v/>
          </cell>
          <cell r="AH212" t="str">
            <v/>
          </cell>
          <cell r="AI212" t="str">
            <v/>
          </cell>
        </row>
        <row r="213">
          <cell r="B213" t="str">
            <v/>
          </cell>
          <cell r="C213" t="str">
            <v/>
          </cell>
          <cell r="AH213" t="str">
            <v/>
          </cell>
          <cell r="AI213" t="str">
            <v/>
          </cell>
        </row>
        <row r="214">
          <cell r="B214" t="str">
            <v/>
          </cell>
          <cell r="C214" t="str">
            <v/>
          </cell>
          <cell r="AH214" t="str">
            <v/>
          </cell>
          <cell r="AI214" t="str">
            <v/>
          </cell>
        </row>
        <row r="215">
          <cell r="B215" t="str">
            <v/>
          </cell>
          <cell r="C215" t="str">
            <v/>
          </cell>
          <cell r="AH215" t="str">
            <v/>
          </cell>
          <cell r="AI215" t="str">
            <v/>
          </cell>
        </row>
        <row r="216">
          <cell r="B216" t="str">
            <v/>
          </cell>
          <cell r="C216" t="str">
            <v/>
          </cell>
          <cell r="AH216" t="str">
            <v/>
          </cell>
          <cell r="AI216" t="str">
            <v/>
          </cell>
        </row>
        <row r="217">
          <cell r="B217" t="str">
            <v/>
          </cell>
          <cell r="C217" t="str">
            <v/>
          </cell>
          <cell r="AH217" t="str">
            <v/>
          </cell>
          <cell r="AI217" t="str">
            <v/>
          </cell>
        </row>
        <row r="218">
          <cell r="B218" t="str">
            <v/>
          </cell>
          <cell r="C218" t="str">
            <v/>
          </cell>
          <cell r="AH218" t="str">
            <v/>
          </cell>
          <cell r="AI218" t="str">
            <v/>
          </cell>
        </row>
        <row r="219">
          <cell r="B219" t="str">
            <v/>
          </cell>
          <cell r="C219" t="str">
            <v/>
          </cell>
          <cell r="AH219" t="str">
            <v/>
          </cell>
          <cell r="AI219" t="str">
            <v/>
          </cell>
        </row>
        <row r="220">
          <cell r="B220" t="str">
            <v/>
          </cell>
          <cell r="C220" t="str">
            <v/>
          </cell>
          <cell r="AH220" t="str">
            <v/>
          </cell>
          <cell r="AI220" t="str">
            <v/>
          </cell>
        </row>
        <row r="221">
          <cell r="B221" t="str">
            <v/>
          </cell>
          <cell r="C221" t="str">
            <v/>
          </cell>
          <cell r="AH221" t="str">
            <v/>
          </cell>
          <cell r="AI221" t="str">
            <v/>
          </cell>
        </row>
        <row r="222">
          <cell r="B222" t="str">
            <v/>
          </cell>
          <cell r="C222" t="str">
            <v/>
          </cell>
          <cell r="AH222" t="str">
            <v/>
          </cell>
          <cell r="AI222" t="str">
            <v/>
          </cell>
        </row>
        <row r="223">
          <cell r="B223" t="str">
            <v/>
          </cell>
          <cell r="C223" t="str">
            <v/>
          </cell>
          <cell r="AH223" t="str">
            <v/>
          </cell>
          <cell r="AI223" t="str">
            <v/>
          </cell>
        </row>
        <row r="224">
          <cell r="B224" t="str">
            <v/>
          </cell>
          <cell r="C224" t="str">
            <v/>
          </cell>
          <cell r="AH224" t="str">
            <v/>
          </cell>
          <cell r="AI224" t="str">
            <v/>
          </cell>
        </row>
        <row r="225">
          <cell r="B225" t="str">
            <v/>
          </cell>
          <cell r="C225" t="str">
            <v/>
          </cell>
          <cell r="AH225" t="str">
            <v/>
          </cell>
          <cell r="AI225" t="str">
            <v/>
          </cell>
        </row>
        <row r="226">
          <cell r="B226" t="str">
            <v/>
          </cell>
          <cell r="C226" t="str">
            <v/>
          </cell>
          <cell r="AH226" t="str">
            <v/>
          </cell>
          <cell r="AI226" t="str">
            <v/>
          </cell>
        </row>
        <row r="227">
          <cell r="B227" t="str">
            <v/>
          </cell>
          <cell r="C227" t="str">
            <v/>
          </cell>
          <cell r="AH227" t="str">
            <v/>
          </cell>
          <cell r="AI227" t="str">
            <v/>
          </cell>
        </row>
        <row r="228">
          <cell r="B228" t="str">
            <v/>
          </cell>
          <cell r="C228" t="str">
            <v/>
          </cell>
          <cell r="AH228" t="str">
            <v/>
          </cell>
          <cell r="AI228" t="str">
            <v/>
          </cell>
        </row>
        <row r="229">
          <cell r="B229" t="str">
            <v/>
          </cell>
          <cell r="C229" t="str">
            <v/>
          </cell>
          <cell r="AH229" t="str">
            <v/>
          </cell>
          <cell r="AI229" t="str">
            <v/>
          </cell>
        </row>
        <row r="230">
          <cell r="B230" t="str">
            <v/>
          </cell>
          <cell r="C230" t="str">
            <v/>
          </cell>
          <cell r="AH230" t="str">
            <v/>
          </cell>
          <cell r="AI230" t="str">
            <v/>
          </cell>
        </row>
        <row r="231">
          <cell r="B231" t="str">
            <v/>
          </cell>
          <cell r="C231" t="str">
            <v/>
          </cell>
          <cell r="AH231" t="str">
            <v/>
          </cell>
          <cell r="AI231" t="str">
            <v/>
          </cell>
        </row>
        <row r="232">
          <cell r="B232" t="str">
            <v/>
          </cell>
          <cell r="C232" t="str">
            <v/>
          </cell>
          <cell r="AH232" t="str">
            <v/>
          </cell>
          <cell r="AI232" t="str">
            <v/>
          </cell>
        </row>
        <row r="233">
          <cell r="B233" t="str">
            <v/>
          </cell>
          <cell r="C233" t="str">
            <v/>
          </cell>
          <cell r="AH233" t="str">
            <v/>
          </cell>
          <cell r="AI233" t="str">
            <v/>
          </cell>
        </row>
        <row r="234">
          <cell r="B234" t="str">
            <v/>
          </cell>
          <cell r="C234" t="str">
            <v/>
          </cell>
          <cell r="AH234" t="str">
            <v/>
          </cell>
          <cell r="AI234" t="str">
            <v/>
          </cell>
        </row>
        <row r="235">
          <cell r="B235" t="str">
            <v/>
          </cell>
          <cell r="C235" t="str">
            <v/>
          </cell>
          <cell r="AH235" t="str">
            <v/>
          </cell>
          <cell r="AI235" t="str">
            <v/>
          </cell>
        </row>
        <row r="236">
          <cell r="B236" t="str">
            <v/>
          </cell>
          <cell r="C236" t="str">
            <v/>
          </cell>
          <cell r="AH236" t="str">
            <v/>
          </cell>
          <cell r="AI236" t="str">
            <v/>
          </cell>
        </row>
        <row r="237">
          <cell r="B237" t="str">
            <v/>
          </cell>
          <cell r="C237" t="str">
            <v/>
          </cell>
          <cell r="AH237" t="str">
            <v/>
          </cell>
          <cell r="AI237" t="str">
            <v/>
          </cell>
        </row>
        <row r="238">
          <cell r="B238" t="str">
            <v/>
          </cell>
          <cell r="C238" t="str">
            <v/>
          </cell>
          <cell r="AH238" t="str">
            <v/>
          </cell>
          <cell r="AI238" t="str">
            <v/>
          </cell>
        </row>
        <row r="239">
          <cell r="B239" t="str">
            <v/>
          </cell>
          <cell r="C239" t="str">
            <v/>
          </cell>
          <cell r="AH239" t="str">
            <v/>
          </cell>
          <cell r="AI239" t="str">
            <v/>
          </cell>
        </row>
        <row r="240">
          <cell r="B240" t="str">
            <v/>
          </cell>
          <cell r="C240" t="str">
            <v/>
          </cell>
          <cell r="AH240" t="str">
            <v/>
          </cell>
          <cell r="AI240" t="str">
            <v/>
          </cell>
        </row>
        <row r="241">
          <cell r="B241" t="str">
            <v/>
          </cell>
          <cell r="C241" t="str">
            <v/>
          </cell>
          <cell r="AH241" t="str">
            <v/>
          </cell>
          <cell r="AI241" t="str">
            <v/>
          </cell>
        </row>
        <row r="242">
          <cell r="B242" t="str">
            <v/>
          </cell>
          <cell r="C242" t="str">
            <v/>
          </cell>
          <cell r="AH242" t="str">
            <v/>
          </cell>
          <cell r="AI242" t="str">
            <v/>
          </cell>
        </row>
        <row r="243">
          <cell r="B243" t="str">
            <v/>
          </cell>
          <cell r="C243" t="str">
            <v/>
          </cell>
          <cell r="AH243" t="str">
            <v/>
          </cell>
          <cell r="AI243" t="str">
            <v/>
          </cell>
        </row>
        <row r="244">
          <cell r="B244" t="str">
            <v/>
          </cell>
          <cell r="C244" t="str">
            <v/>
          </cell>
          <cell r="AH244" t="str">
            <v/>
          </cell>
          <cell r="AI244" t="str">
            <v/>
          </cell>
        </row>
        <row r="245">
          <cell r="B245" t="str">
            <v/>
          </cell>
          <cell r="C245" t="str">
            <v/>
          </cell>
          <cell r="AH245" t="str">
            <v/>
          </cell>
          <cell r="AI245" t="str">
            <v/>
          </cell>
        </row>
        <row r="246">
          <cell r="B246" t="str">
            <v/>
          </cell>
          <cell r="C246" t="str">
            <v/>
          </cell>
          <cell r="AH246" t="str">
            <v/>
          </cell>
          <cell r="AI246" t="str">
            <v/>
          </cell>
        </row>
        <row r="247">
          <cell r="B247" t="str">
            <v/>
          </cell>
          <cell r="C247" t="str">
            <v/>
          </cell>
          <cell r="AH247" t="str">
            <v/>
          </cell>
          <cell r="AI247" t="str">
            <v/>
          </cell>
        </row>
        <row r="248">
          <cell r="B248" t="str">
            <v/>
          </cell>
          <cell r="C248" t="str">
            <v/>
          </cell>
          <cell r="AH248" t="str">
            <v/>
          </cell>
          <cell r="AI248" t="str">
            <v/>
          </cell>
        </row>
        <row r="249">
          <cell r="B249" t="str">
            <v/>
          </cell>
          <cell r="C249" t="str">
            <v/>
          </cell>
          <cell r="AH249" t="str">
            <v/>
          </cell>
          <cell r="AI249" t="str">
            <v/>
          </cell>
        </row>
        <row r="250">
          <cell r="B250" t="str">
            <v/>
          </cell>
          <cell r="C250" t="str">
            <v/>
          </cell>
          <cell r="AH250" t="str">
            <v/>
          </cell>
          <cell r="AI250" t="str">
            <v/>
          </cell>
        </row>
        <row r="251">
          <cell r="B251" t="str">
            <v/>
          </cell>
          <cell r="C251" t="str">
            <v/>
          </cell>
          <cell r="AH251" t="str">
            <v/>
          </cell>
          <cell r="AI251" t="str">
            <v/>
          </cell>
        </row>
        <row r="252">
          <cell r="B252" t="str">
            <v/>
          </cell>
          <cell r="C252" t="str">
            <v/>
          </cell>
          <cell r="AH252" t="str">
            <v/>
          </cell>
          <cell r="AI252" t="str">
            <v/>
          </cell>
        </row>
        <row r="253">
          <cell r="B253" t="str">
            <v/>
          </cell>
          <cell r="C253" t="str">
            <v/>
          </cell>
          <cell r="AH253" t="str">
            <v/>
          </cell>
          <cell r="AI253" t="str">
            <v/>
          </cell>
        </row>
        <row r="254">
          <cell r="B254" t="str">
            <v/>
          </cell>
          <cell r="C254" t="str">
            <v/>
          </cell>
          <cell r="AH254" t="str">
            <v/>
          </cell>
          <cell r="AI254" t="str">
            <v/>
          </cell>
        </row>
        <row r="255">
          <cell r="B255" t="str">
            <v/>
          </cell>
          <cell r="C255" t="str">
            <v/>
          </cell>
          <cell r="AH255" t="str">
            <v/>
          </cell>
          <cell r="AI255" t="str">
            <v/>
          </cell>
        </row>
        <row r="256">
          <cell r="B256" t="str">
            <v/>
          </cell>
          <cell r="C256" t="str">
            <v/>
          </cell>
          <cell r="AH256" t="str">
            <v/>
          </cell>
          <cell r="AI256" t="str">
            <v/>
          </cell>
        </row>
        <row r="257">
          <cell r="B257" t="str">
            <v/>
          </cell>
          <cell r="C257" t="str">
            <v/>
          </cell>
          <cell r="AH257" t="str">
            <v/>
          </cell>
          <cell r="AI257" t="str">
            <v/>
          </cell>
        </row>
        <row r="258">
          <cell r="B258" t="str">
            <v/>
          </cell>
          <cell r="C258" t="str">
            <v/>
          </cell>
          <cell r="AH258" t="str">
            <v/>
          </cell>
          <cell r="AI258" t="str">
            <v/>
          </cell>
        </row>
        <row r="259">
          <cell r="B259" t="str">
            <v/>
          </cell>
          <cell r="C259" t="str">
            <v/>
          </cell>
          <cell r="AH259" t="str">
            <v/>
          </cell>
          <cell r="AI259" t="str">
            <v/>
          </cell>
        </row>
        <row r="260">
          <cell r="B260" t="str">
            <v/>
          </cell>
          <cell r="C260" t="str">
            <v/>
          </cell>
          <cell r="AH260" t="str">
            <v/>
          </cell>
          <cell r="AI260" t="str">
            <v/>
          </cell>
        </row>
        <row r="261">
          <cell r="B261" t="str">
            <v/>
          </cell>
          <cell r="C261" t="str">
            <v/>
          </cell>
          <cell r="AH261" t="str">
            <v/>
          </cell>
          <cell r="AI261" t="str">
            <v/>
          </cell>
        </row>
        <row r="262">
          <cell r="B262" t="str">
            <v/>
          </cell>
          <cell r="C262" t="str">
            <v/>
          </cell>
          <cell r="AH262" t="str">
            <v/>
          </cell>
          <cell r="AI262" t="str">
            <v/>
          </cell>
        </row>
        <row r="263">
          <cell r="B263" t="str">
            <v/>
          </cell>
          <cell r="C263" t="str">
            <v/>
          </cell>
          <cell r="AH263" t="str">
            <v/>
          </cell>
          <cell r="AI263" t="str">
            <v/>
          </cell>
        </row>
        <row r="264">
          <cell r="B264" t="str">
            <v/>
          </cell>
          <cell r="C264" t="str">
            <v/>
          </cell>
          <cell r="AH264" t="str">
            <v/>
          </cell>
          <cell r="AI264" t="str">
            <v/>
          </cell>
        </row>
        <row r="265">
          <cell r="B265" t="str">
            <v/>
          </cell>
          <cell r="C265" t="str">
            <v/>
          </cell>
          <cell r="AH265" t="str">
            <v/>
          </cell>
          <cell r="AI265" t="str">
            <v/>
          </cell>
        </row>
        <row r="266">
          <cell r="B266" t="str">
            <v/>
          </cell>
          <cell r="C266" t="str">
            <v/>
          </cell>
          <cell r="AH266" t="str">
            <v/>
          </cell>
          <cell r="AI266" t="str">
            <v/>
          </cell>
        </row>
        <row r="267">
          <cell r="B267" t="str">
            <v/>
          </cell>
          <cell r="C267" t="str">
            <v/>
          </cell>
          <cell r="AH267" t="str">
            <v/>
          </cell>
          <cell r="AI267" t="str">
            <v/>
          </cell>
        </row>
        <row r="268">
          <cell r="B268" t="str">
            <v/>
          </cell>
          <cell r="C268" t="str">
            <v/>
          </cell>
          <cell r="AH268" t="str">
            <v/>
          </cell>
          <cell r="AI268" t="str">
            <v/>
          </cell>
        </row>
        <row r="269">
          <cell r="B269" t="str">
            <v/>
          </cell>
          <cell r="C269" t="str">
            <v/>
          </cell>
          <cell r="AH269" t="str">
            <v/>
          </cell>
          <cell r="AI269" t="str">
            <v/>
          </cell>
        </row>
        <row r="270">
          <cell r="B270" t="str">
            <v/>
          </cell>
          <cell r="C270" t="str">
            <v/>
          </cell>
          <cell r="AH270" t="str">
            <v/>
          </cell>
          <cell r="AI270" t="str">
            <v/>
          </cell>
        </row>
        <row r="271">
          <cell r="B271" t="str">
            <v/>
          </cell>
          <cell r="C271" t="str">
            <v/>
          </cell>
          <cell r="AH271" t="str">
            <v/>
          </cell>
          <cell r="AI271" t="str">
            <v/>
          </cell>
        </row>
        <row r="272">
          <cell r="B272" t="str">
            <v/>
          </cell>
          <cell r="C272" t="str">
            <v/>
          </cell>
          <cell r="AH272" t="str">
            <v/>
          </cell>
          <cell r="AI272" t="str">
            <v/>
          </cell>
        </row>
        <row r="273">
          <cell r="B273" t="str">
            <v/>
          </cell>
          <cell r="C273" t="str">
            <v/>
          </cell>
          <cell r="AH273" t="str">
            <v/>
          </cell>
          <cell r="AI273" t="str">
            <v/>
          </cell>
        </row>
        <row r="274">
          <cell r="B274" t="str">
            <v/>
          </cell>
          <cell r="C274" t="str">
            <v/>
          </cell>
          <cell r="AH274" t="str">
            <v/>
          </cell>
          <cell r="AI274" t="str">
            <v/>
          </cell>
        </row>
        <row r="275">
          <cell r="B275" t="str">
            <v/>
          </cell>
          <cell r="C275" t="str">
            <v/>
          </cell>
          <cell r="AH275" t="str">
            <v/>
          </cell>
          <cell r="AI275" t="str">
            <v/>
          </cell>
        </row>
        <row r="276">
          <cell r="B276" t="str">
            <v/>
          </cell>
          <cell r="C276" t="str">
            <v/>
          </cell>
          <cell r="AH276" t="str">
            <v/>
          </cell>
          <cell r="AI276" t="str">
            <v/>
          </cell>
        </row>
        <row r="277">
          <cell r="B277" t="str">
            <v/>
          </cell>
          <cell r="C277" t="str">
            <v/>
          </cell>
          <cell r="AH277" t="str">
            <v/>
          </cell>
          <cell r="AI277" t="str">
            <v/>
          </cell>
        </row>
        <row r="278">
          <cell r="B278" t="str">
            <v/>
          </cell>
          <cell r="C278" t="str">
            <v/>
          </cell>
          <cell r="AH278" t="str">
            <v/>
          </cell>
          <cell r="AI278" t="str">
            <v/>
          </cell>
        </row>
        <row r="279">
          <cell r="B279" t="str">
            <v/>
          </cell>
          <cell r="C279" t="str">
            <v/>
          </cell>
          <cell r="AH279" t="str">
            <v/>
          </cell>
          <cell r="AI279" t="str">
            <v/>
          </cell>
        </row>
        <row r="280">
          <cell r="B280" t="str">
            <v/>
          </cell>
          <cell r="C280" t="str">
            <v/>
          </cell>
          <cell r="AH280" t="str">
            <v/>
          </cell>
          <cell r="AI280" t="str">
            <v/>
          </cell>
        </row>
        <row r="281">
          <cell r="B281" t="str">
            <v/>
          </cell>
          <cell r="C281" t="str">
            <v/>
          </cell>
          <cell r="AH281" t="str">
            <v/>
          </cell>
          <cell r="AI281" t="str">
            <v/>
          </cell>
        </row>
        <row r="282">
          <cell r="B282" t="str">
            <v/>
          </cell>
          <cell r="C282" t="str">
            <v/>
          </cell>
          <cell r="AH282" t="str">
            <v/>
          </cell>
          <cell r="AI282" t="str">
            <v/>
          </cell>
        </row>
        <row r="283">
          <cell r="B283" t="str">
            <v/>
          </cell>
          <cell r="C283" t="str">
            <v/>
          </cell>
          <cell r="AH283" t="str">
            <v/>
          </cell>
          <cell r="AI283" t="str">
            <v/>
          </cell>
        </row>
        <row r="284">
          <cell r="B284" t="str">
            <v/>
          </cell>
          <cell r="C284" t="str">
            <v/>
          </cell>
          <cell r="AH284" t="str">
            <v/>
          </cell>
          <cell r="AI284" t="str">
            <v/>
          </cell>
        </row>
        <row r="285">
          <cell r="B285" t="str">
            <v/>
          </cell>
          <cell r="C285" t="str">
            <v/>
          </cell>
          <cell r="AH285" t="str">
            <v/>
          </cell>
          <cell r="AI285" t="str">
            <v/>
          </cell>
        </row>
        <row r="286">
          <cell r="B286" t="str">
            <v/>
          </cell>
          <cell r="C286" t="str">
            <v/>
          </cell>
          <cell r="AH286" t="str">
            <v/>
          </cell>
          <cell r="AI286" t="str">
            <v/>
          </cell>
        </row>
        <row r="287">
          <cell r="B287" t="str">
            <v/>
          </cell>
          <cell r="C287" t="str">
            <v/>
          </cell>
          <cell r="AH287" t="str">
            <v/>
          </cell>
          <cell r="AI287" t="str">
            <v/>
          </cell>
        </row>
        <row r="288">
          <cell r="B288" t="str">
            <v/>
          </cell>
          <cell r="C288" t="str">
            <v/>
          </cell>
          <cell r="AH288" t="str">
            <v/>
          </cell>
          <cell r="AI288" t="str">
            <v/>
          </cell>
        </row>
        <row r="289">
          <cell r="B289" t="str">
            <v/>
          </cell>
          <cell r="C289" t="str">
            <v/>
          </cell>
          <cell r="AH289" t="str">
            <v/>
          </cell>
          <cell r="AI289" t="str">
            <v/>
          </cell>
        </row>
        <row r="290">
          <cell r="B290" t="str">
            <v/>
          </cell>
          <cell r="C290" t="str">
            <v/>
          </cell>
          <cell r="AH290" t="str">
            <v/>
          </cell>
          <cell r="AI290" t="str">
            <v/>
          </cell>
        </row>
        <row r="291">
          <cell r="B291" t="str">
            <v/>
          </cell>
          <cell r="C291" t="str">
            <v/>
          </cell>
          <cell r="AH291" t="str">
            <v/>
          </cell>
          <cell r="AI291" t="str">
            <v/>
          </cell>
        </row>
        <row r="292">
          <cell r="B292" t="str">
            <v/>
          </cell>
          <cell r="C292" t="str">
            <v/>
          </cell>
          <cell r="AH292" t="str">
            <v/>
          </cell>
          <cell r="AI292" t="str">
            <v/>
          </cell>
        </row>
        <row r="293">
          <cell r="B293" t="str">
            <v/>
          </cell>
          <cell r="C293" t="str">
            <v/>
          </cell>
          <cell r="AH293" t="str">
            <v/>
          </cell>
          <cell r="AI293" t="str">
            <v/>
          </cell>
        </row>
        <row r="294">
          <cell r="B294" t="str">
            <v/>
          </cell>
          <cell r="C294" t="str">
            <v/>
          </cell>
          <cell r="AH294" t="str">
            <v/>
          </cell>
          <cell r="AI294" t="str">
            <v/>
          </cell>
        </row>
        <row r="295">
          <cell r="B295" t="str">
            <v/>
          </cell>
          <cell r="C295" t="str">
            <v/>
          </cell>
          <cell r="AH295" t="str">
            <v/>
          </cell>
          <cell r="AI295" t="str">
            <v/>
          </cell>
        </row>
        <row r="296">
          <cell r="B296" t="str">
            <v/>
          </cell>
          <cell r="C296" t="str">
            <v/>
          </cell>
          <cell r="AH296" t="str">
            <v/>
          </cell>
          <cell r="AI296" t="str">
            <v/>
          </cell>
        </row>
        <row r="297">
          <cell r="B297" t="str">
            <v/>
          </cell>
          <cell r="C297" t="str">
            <v/>
          </cell>
          <cell r="AH297" t="str">
            <v/>
          </cell>
          <cell r="AI297" t="str">
            <v/>
          </cell>
        </row>
        <row r="298">
          <cell r="B298" t="str">
            <v/>
          </cell>
          <cell r="C298" t="str">
            <v/>
          </cell>
          <cell r="AH298" t="str">
            <v/>
          </cell>
          <cell r="AI298" t="str">
            <v/>
          </cell>
        </row>
        <row r="299">
          <cell r="B299" t="str">
            <v/>
          </cell>
          <cell r="C299" t="str">
            <v/>
          </cell>
          <cell r="AH299" t="str">
            <v/>
          </cell>
          <cell r="AI299" t="str">
            <v/>
          </cell>
        </row>
        <row r="300">
          <cell r="B300" t="str">
            <v/>
          </cell>
          <cell r="C300" t="str">
            <v/>
          </cell>
          <cell r="AH300" t="str">
            <v/>
          </cell>
          <cell r="AI300" t="str">
            <v/>
          </cell>
        </row>
        <row r="301">
          <cell r="B301" t="str">
            <v/>
          </cell>
          <cell r="C301" t="str">
            <v/>
          </cell>
          <cell r="AH301" t="str">
            <v/>
          </cell>
          <cell r="AI301" t="str">
            <v/>
          </cell>
        </row>
        <row r="302">
          <cell r="B302" t="str">
            <v/>
          </cell>
          <cell r="C302" t="str">
            <v/>
          </cell>
          <cell r="AH302" t="str">
            <v/>
          </cell>
          <cell r="AI302" t="str">
            <v/>
          </cell>
        </row>
        <row r="303">
          <cell r="B303" t="str">
            <v/>
          </cell>
          <cell r="C303" t="str">
            <v/>
          </cell>
          <cell r="AH303" t="str">
            <v/>
          </cell>
          <cell r="AI303" t="str">
            <v/>
          </cell>
        </row>
        <row r="304">
          <cell r="B304" t="str">
            <v/>
          </cell>
          <cell r="C304" t="str">
            <v/>
          </cell>
          <cell r="AH304" t="str">
            <v/>
          </cell>
          <cell r="AI304" t="str">
            <v/>
          </cell>
        </row>
        <row r="305">
          <cell r="B305" t="str">
            <v/>
          </cell>
          <cell r="C305" t="str">
            <v/>
          </cell>
          <cell r="AH305" t="str">
            <v/>
          </cell>
          <cell r="AI305" t="str">
            <v/>
          </cell>
        </row>
        <row r="306">
          <cell r="B306" t="str">
            <v/>
          </cell>
          <cell r="C306" t="str">
            <v/>
          </cell>
          <cell r="AH306" t="str">
            <v/>
          </cell>
          <cell r="AI306" t="str">
            <v/>
          </cell>
        </row>
        <row r="307">
          <cell r="B307" t="str">
            <v/>
          </cell>
          <cell r="C307" t="str">
            <v/>
          </cell>
          <cell r="AH307" t="str">
            <v/>
          </cell>
          <cell r="AI307" t="str">
            <v/>
          </cell>
        </row>
      </sheetData>
      <sheetData sheetId="2">
        <row r="1">
          <cell r="Z1">
            <v>3</v>
          </cell>
        </row>
        <row r="4">
          <cell r="K4">
            <v>0.6694515850532623</v>
          </cell>
          <cell r="AB4">
            <v>0.97488857078879099</v>
          </cell>
        </row>
        <row r="5">
          <cell r="K5">
            <v>0.76308455867826197</v>
          </cell>
          <cell r="AB5">
            <v>-2.9962804370953222E-4</v>
          </cell>
        </row>
      </sheetData>
      <sheetData sheetId="3" refreshError="1"/>
      <sheetData sheetId="4">
        <row r="1">
          <cell r="AB1">
            <v>627</v>
          </cell>
        </row>
        <row r="8">
          <cell r="AD8">
            <v>0</v>
          </cell>
        </row>
        <row r="15">
          <cell r="I15">
            <v>1</v>
          </cell>
          <cell r="J15">
            <v>0.42568416086718064</v>
          </cell>
          <cell r="K15" t="b">
            <v>1</v>
          </cell>
          <cell r="O15">
            <v>0.6166929158092751</v>
          </cell>
          <cell r="P15">
            <v>0.62897092540398347</v>
          </cell>
        </row>
        <row r="16">
          <cell r="P16">
            <v>50</v>
          </cell>
        </row>
        <row r="17">
          <cell r="N17" t="b">
            <v>0</v>
          </cell>
          <cell r="P17">
            <v>0.5</v>
          </cell>
        </row>
        <row r="18">
          <cell r="P18">
            <v>95</v>
          </cell>
        </row>
        <row r="19">
          <cell r="N19" t="b">
            <v>1</v>
          </cell>
          <cell r="P19" t="b">
            <v>0</v>
          </cell>
        </row>
        <row r="20">
          <cell r="N20" t="b">
            <v>0</v>
          </cell>
          <cell r="P20">
            <v>0</v>
          </cell>
        </row>
        <row r="21">
          <cell r="N21" t="b">
            <v>0</v>
          </cell>
          <cell r="P21">
            <v>0</v>
          </cell>
        </row>
        <row r="22">
          <cell r="P22">
            <v>0</v>
          </cell>
        </row>
        <row r="36">
          <cell r="V36">
            <v>627</v>
          </cell>
        </row>
      </sheetData>
    </sheetDataSet>
  </externalBook>
</externalLink>
</file>

<file path=xl/externalLinks/externalLink17.xml><?xml version="1.0" encoding="utf-8"?>
<externalLink xmlns="http://schemas.openxmlformats.org/spreadsheetml/2006/main">
  <externalBook xmlns:r="http://schemas.openxmlformats.org/officeDocument/2006/relationships" r:id="rId1">
    <sheetNames>
      <sheetName val="Intro"/>
      <sheetName val="See r"/>
      <sheetName val="r to z"/>
      <sheetName val="Sample r"/>
      <sheetName val="Two correlations"/>
      <sheetName val="Figure"/>
    </sheetNames>
    <sheetDataSet>
      <sheetData sheetId="0" refreshError="1"/>
      <sheetData sheetId="1"/>
      <sheetData sheetId="2"/>
      <sheetData sheetId="3">
        <row r="11">
          <cell r="A11">
            <v>247</v>
          </cell>
          <cell r="B11">
            <v>0.48034368101558861</v>
          </cell>
          <cell r="C11" t="b">
            <v>1</v>
          </cell>
        </row>
        <row r="12">
          <cell r="A12">
            <v>246</v>
          </cell>
          <cell r="B12">
            <v>0.48034368101558861</v>
          </cell>
          <cell r="C12" t="b">
            <v>1</v>
          </cell>
        </row>
        <row r="13">
          <cell r="A13">
            <v>245</v>
          </cell>
          <cell r="B13">
            <v>0.66525546637863442</v>
          </cell>
          <cell r="C13" t="b">
            <v>1</v>
          </cell>
        </row>
        <row r="14">
          <cell r="A14">
            <v>244</v>
          </cell>
          <cell r="B14">
            <v>0.68632008767421371</v>
          </cell>
          <cell r="C14" t="b">
            <v>1</v>
          </cell>
        </row>
        <row r="15">
          <cell r="A15">
            <v>243</v>
          </cell>
          <cell r="B15">
            <v>0.73945655182070869</v>
          </cell>
          <cell r="C15" t="b">
            <v>1</v>
          </cell>
        </row>
        <row r="16">
          <cell r="A16">
            <v>242</v>
          </cell>
          <cell r="B16">
            <v>0.40810399897342597</v>
          </cell>
          <cell r="C16" t="b">
            <v>1</v>
          </cell>
        </row>
        <row r="17">
          <cell r="A17">
            <v>241</v>
          </cell>
          <cell r="B17">
            <v>0.58110850839468642</v>
          </cell>
          <cell r="C17" t="b">
            <v>1</v>
          </cell>
        </row>
        <row r="18">
          <cell r="A18">
            <v>240</v>
          </cell>
          <cell r="B18">
            <v>0.76828472928062652</v>
          </cell>
          <cell r="C18" t="b">
            <v>1</v>
          </cell>
        </row>
        <row r="19">
          <cell r="A19">
            <v>239</v>
          </cell>
          <cell r="B19">
            <v>0.52593755997893288</v>
          </cell>
          <cell r="C19" t="b">
            <v>1</v>
          </cell>
        </row>
        <row r="20">
          <cell r="A20">
            <v>238</v>
          </cell>
          <cell r="B20">
            <v>0.61084286059547233</v>
          </cell>
          <cell r="C20" t="b">
            <v>1</v>
          </cell>
        </row>
        <row r="21">
          <cell r="A21">
            <v>237</v>
          </cell>
          <cell r="B21">
            <v>0.70363124630685825</v>
          </cell>
          <cell r="C21" t="b">
            <v>1</v>
          </cell>
        </row>
        <row r="22">
          <cell r="A22">
            <v>236</v>
          </cell>
          <cell r="B22">
            <v>0.51279254930630935</v>
          </cell>
          <cell r="C22" t="b">
            <v>1</v>
          </cell>
        </row>
        <row r="23">
          <cell r="A23">
            <v>235</v>
          </cell>
          <cell r="B23">
            <v>0.58308147613260075</v>
          </cell>
          <cell r="C23" t="b">
            <v>1</v>
          </cell>
        </row>
        <row r="24">
          <cell r="A24">
            <v>234</v>
          </cell>
          <cell r="B24">
            <v>0.55429000840752241</v>
          </cell>
          <cell r="C24" t="b">
            <v>1</v>
          </cell>
        </row>
        <row r="25">
          <cell r="A25">
            <v>233</v>
          </cell>
          <cell r="B25">
            <v>0.74949877025800871</v>
          </cell>
          <cell r="C25" t="b">
            <v>1</v>
          </cell>
        </row>
        <row r="26">
          <cell r="A26">
            <v>232</v>
          </cell>
          <cell r="B26">
            <v>0.65634958784416242</v>
          </cell>
          <cell r="C26" t="b">
            <v>1</v>
          </cell>
        </row>
        <row r="27">
          <cell r="A27">
            <v>231</v>
          </cell>
          <cell r="B27">
            <v>0.56590409853280565</v>
          </cell>
          <cell r="C27" t="b">
            <v>1</v>
          </cell>
        </row>
        <row r="28">
          <cell r="A28">
            <v>230</v>
          </cell>
          <cell r="B28">
            <v>0.56814921861700429</v>
          </cell>
          <cell r="C28" t="b">
            <v>1</v>
          </cell>
        </row>
        <row r="29">
          <cell r="A29">
            <v>229</v>
          </cell>
          <cell r="B29">
            <v>0.3289546597100394</v>
          </cell>
          <cell r="C29" t="b">
            <v>1</v>
          </cell>
        </row>
        <row r="30">
          <cell r="A30">
            <v>228</v>
          </cell>
          <cell r="B30">
            <v>0.57219893670997124</v>
          </cell>
          <cell r="C30" t="b">
            <v>1</v>
          </cell>
        </row>
        <row r="31">
          <cell r="A31">
            <v>227</v>
          </cell>
          <cell r="B31">
            <v>0.68650765946648096</v>
          </cell>
          <cell r="C31" t="b">
            <v>1</v>
          </cell>
        </row>
        <row r="32">
          <cell r="A32">
            <v>226</v>
          </cell>
          <cell r="B32">
            <v>0.66103169119607075</v>
          </cell>
          <cell r="C32" t="b">
            <v>1</v>
          </cell>
        </row>
        <row r="33">
          <cell r="A33">
            <v>225</v>
          </cell>
          <cell r="B33">
            <v>0.58809279158396688</v>
          </cell>
          <cell r="C33" t="b">
            <v>1</v>
          </cell>
        </row>
        <row r="34">
          <cell r="A34">
            <v>224</v>
          </cell>
          <cell r="B34">
            <v>0.56080171063788464</v>
          </cell>
          <cell r="C34" t="b">
            <v>1</v>
          </cell>
        </row>
        <row r="35">
          <cell r="A35">
            <v>223</v>
          </cell>
          <cell r="B35">
            <v>0.41583161536371471</v>
          </cell>
          <cell r="C35" t="b">
            <v>1</v>
          </cell>
        </row>
        <row r="36">
          <cell r="A36">
            <v>222</v>
          </cell>
          <cell r="B36">
            <v>0.39387285758815815</v>
          </cell>
          <cell r="C36" t="b">
            <v>1</v>
          </cell>
        </row>
        <row r="37">
          <cell r="A37">
            <v>221</v>
          </cell>
          <cell r="B37">
            <v>0.65953464152163743</v>
          </cell>
          <cell r="C37" t="b">
            <v>1</v>
          </cell>
        </row>
        <row r="38">
          <cell r="A38">
            <v>220</v>
          </cell>
          <cell r="B38">
            <v>0.57503539275577065</v>
          </cell>
          <cell r="C38" t="b">
            <v>1</v>
          </cell>
        </row>
        <row r="39">
          <cell r="A39">
            <v>219</v>
          </cell>
          <cell r="B39">
            <v>0.5361230417872701</v>
          </cell>
          <cell r="C39" t="b">
            <v>1</v>
          </cell>
        </row>
        <row r="40">
          <cell r="A40">
            <v>218</v>
          </cell>
          <cell r="B40">
            <v>0.5781428780046407</v>
          </cell>
          <cell r="C40" t="b">
            <v>1</v>
          </cell>
        </row>
        <row r="41">
          <cell r="A41">
            <v>217</v>
          </cell>
          <cell r="B41">
            <v>0.68778048224312993</v>
          </cell>
          <cell r="C41" t="b">
            <v>1</v>
          </cell>
        </row>
        <row r="42">
          <cell r="A42">
            <v>216</v>
          </cell>
          <cell r="B42">
            <v>0.40264898021679951</v>
          </cell>
          <cell r="C42" t="b">
            <v>1</v>
          </cell>
        </row>
        <row r="43">
          <cell r="A43">
            <v>215</v>
          </cell>
          <cell r="B43">
            <v>0.57857438948426965</v>
          </cell>
          <cell r="C43" t="b">
            <v>1</v>
          </cell>
        </row>
        <row r="44">
          <cell r="A44">
            <v>214</v>
          </cell>
          <cell r="B44">
            <v>0.60557845774537655</v>
          </cell>
          <cell r="C44" t="b">
            <v>1</v>
          </cell>
        </row>
        <row r="45">
          <cell r="A45">
            <v>213</v>
          </cell>
          <cell r="B45">
            <v>0.52385118204763537</v>
          </cell>
          <cell r="C45" t="b">
            <v>1</v>
          </cell>
        </row>
        <row r="46">
          <cell r="A46">
            <v>212</v>
          </cell>
          <cell r="B46">
            <v>0.75535507593574591</v>
          </cell>
          <cell r="C46" t="b">
            <v>1</v>
          </cell>
        </row>
        <row r="47">
          <cell r="A47">
            <v>211</v>
          </cell>
          <cell r="B47">
            <v>0.34891322222909421</v>
          </cell>
          <cell r="C47" t="b">
            <v>1</v>
          </cell>
        </row>
        <row r="48">
          <cell r="A48">
            <v>210</v>
          </cell>
          <cell r="B48">
            <v>0.76110756603676666</v>
          </cell>
          <cell r="C48" t="b">
            <v>1</v>
          </cell>
        </row>
        <row r="49">
          <cell r="A49">
            <v>209</v>
          </cell>
          <cell r="B49">
            <v>0.63963889964092102</v>
          </cell>
          <cell r="C49" t="b">
            <v>1</v>
          </cell>
        </row>
        <row r="50">
          <cell r="A50">
            <v>208</v>
          </cell>
          <cell r="B50">
            <v>0.66518573318655938</v>
          </cell>
          <cell r="C50" t="b">
            <v>1</v>
          </cell>
        </row>
        <row r="51">
          <cell r="A51">
            <v>207</v>
          </cell>
          <cell r="B51">
            <v>0.12236420146493696</v>
          </cell>
          <cell r="C51" t="b">
            <v>0</v>
          </cell>
        </row>
        <row r="52">
          <cell r="A52">
            <v>206</v>
          </cell>
          <cell r="B52">
            <v>0.53468099814979708</v>
          </cell>
          <cell r="C52" t="b">
            <v>1</v>
          </cell>
        </row>
        <row r="53">
          <cell r="A53">
            <v>205</v>
          </cell>
          <cell r="B53">
            <v>0.7370843651821517</v>
          </cell>
          <cell r="C53" t="b">
            <v>1</v>
          </cell>
        </row>
        <row r="54">
          <cell r="A54">
            <v>204</v>
          </cell>
          <cell r="B54">
            <v>0.70916266643906711</v>
          </cell>
          <cell r="C54" t="b">
            <v>1</v>
          </cell>
        </row>
        <row r="55">
          <cell r="A55">
            <v>203</v>
          </cell>
          <cell r="B55">
            <v>0.80449000096386469</v>
          </cell>
          <cell r="C55" t="b">
            <v>0</v>
          </cell>
        </row>
        <row r="56">
          <cell r="A56">
            <v>202</v>
          </cell>
          <cell r="B56">
            <v>0.75431702049828098</v>
          </cell>
          <cell r="C56" t="b">
            <v>1</v>
          </cell>
        </row>
        <row r="57">
          <cell r="A57">
            <v>201</v>
          </cell>
          <cell r="B57">
            <v>0.73499456848004319</v>
          </cell>
          <cell r="C57" t="b">
            <v>1</v>
          </cell>
        </row>
        <row r="58">
          <cell r="A58">
            <v>200</v>
          </cell>
          <cell r="B58">
            <v>0.58156295785677325</v>
          </cell>
          <cell r="C58" t="b">
            <v>1</v>
          </cell>
        </row>
        <row r="59">
          <cell r="A59">
            <v>199</v>
          </cell>
          <cell r="B59">
            <v>0.44099877990381842</v>
          </cell>
          <cell r="C59" t="b">
            <v>1</v>
          </cell>
        </row>
        <row r="60">
          <cell r="A60">
            <v>198</v>
          </cell>
          <cell r="B60">
            <v>0.45441511226893844</v>
          </cell>
          <cell r="C60" t="b">
            <v>1</v>
          </cell>
        </row>
        <row r="61">
          <cell r="A61">
            <v>197</v>
          </cell>
          <cell r="B61">
            <v>0.89120429574343685</v>
          </cell>
          <cell r="C61" t="b">
            <v>0</v>
          </cell>
        </row>
        <row r="62">
          <cell r="A62">
            <v>196</v>
          </cell>
          <cell r="B62">
            <v>0.33862227047068277</v>
          </cell>
          <cell r="C62" t="b">
            <v>1</v>
          </cell>
        </row>
        <row r="63">
          <cell r="A63">
            <v>195</v>
          </cell>
          <cell r="B63">
            <v>0.44171273739788913</v>
          </cell>
          <cell r="C63" t="b">
            <v>1</v>
          </cell>
        </row>
        <row r="64">
          <cell r="A64">
            <v>194</v>
          </cell>
          <cell r="B64">
            <v>0.45507431964568801</v>
          </cell>
          <cell r="C64" t="b">
            <v>1</v>
          </cell>
        </row>
        <row r="65">
          <cell r="A65">
            <v>193</v>
          </cell>
          <cell r="B65">
            <v>0.56957224534039008</v>
          </cell>
          <cell r="C65" t="b">
            <v>1</v>
          </cell>
        </row>
        <row r="66">
          <cell r="A66">
            <v>192</v>
          </cell>
          <cell r="B66">
            <v>0.80932397556420654</v>
          </cell>
          <cell r="C66" t="b">
            <v>0</v>
          </cell>
        </row>
        <row r="67">
          <cell r="A67">
            <v>191</v>
          </cell>
          <cell r="B67">
            <v>0.49321786608621232</v>
          </cell>
          <cell r="C67" t="b">
            <v>1</v>
          </cell>
        </row>
        <row r="68">
          <cell r="A68">
            <v>190</v>
          </cell>
          <cell r="B68">
            <v>0.62843607321077888</v>
          </cell>
          <cell r="C68" t="b">
            <v>1</v>
          </cell>
        </row>
        <row r="69">
          <cell r="A69">
            <v>189</v>
          </cell>
          <cell r="B69">
            <v>0.54015256048540961</v>
          </cell>
          <cell r="C69" t="b">
            <v>1</v>
          </cell>
        </row>
        <row r="70">
          <cell r="A70">
            <v>188</v>
          </cell>
          <cell r="B70">
            <v>0.70937483173656002</v>
          </cell>
          <cell r="C70" t="b">
            <v>1</v>
          </cell>
        </row>
        <row r="71">
          <cell r="A71">
            <v>187</v>
          </cell>
          <cell r="B71">
            <v>0.6958003482430779</v>
          </cell>
          <cell r="C71" t="b">
            <v>1</v>
          </cell>
        </row>
        <row r="72">
          <cell r="A72">
            <v>186</v>
          </cell>
          <cell r="B72">
            <v>0.69639549990418825</v>
          </cell>
          <cell r="C72" t="b">
            <v>1</v>
          </cell>
        </row>
        <row r="73">
          <cell r="A73">
            <v>185</v>
          </cell>
          <cell r="B73">
            <v>0.53487712204029547</v>
          </cell>
          <cell r="C73" t="b">
            <v>1</v>
          </cell>
        </row>
        <row r="74">
          <cell r="A74">
            <v>184</v>
          </cell>
          <cell r="B74">
            <v>0.49681913369948971</v>
          </cell>
          <cell r="C74" t="b">
            <v>1</v>
          </cell>
        </row>
        <row r="75">
          <cell r="A75">
            <v>183</v>
          </cell>
          <cell r="B75">
            <v>0.36585848468772331</v>
          </cell>
          <cell r="C75" t="b">
            <v>1</v>
          </cell>
        </row>
        <row r="76">
          <cell r="A76">
            <v>182</v>
          </cell>
          <cell r="B76">
            <v>0.52200988598039455</v>
          </cell>
          <cell r="C76" t="b">
            <v>1</v>
          </cell>
        </row>
        <row r="77">
          <cell r="A77">
            <v>181</v>
          </cell>
          <cell r="B77">
            <v>0.5578757244904472</v>
          </cell>
          <cell r="C77" t="b">
            <v>1</v>
          </cell>
        </row>
        <row r="78">
          <cell r="A78">
            <v>180</v>
          </cell>
          <cell r="B78">
            <v>0.35401918295077434</v>
          </cell>
          <cell r="C78" t="b">
            <v>1</v>
          </cell>
        </row>
        <row r="79">
          <cell r="A79">
            <v>179</v>
          </cell>
          <cell r="B79">
            <v>0.4417236505674218</v>
          </cell>
          <cell r="C79" t="b">
            <v>1</v>
          </cell>
        </row>
        <row r="80">
          <cell r="A80">
            <v>178</v>
          </cell>
          <cell r="B80">
            <v>0.47739612264694936</v>
          </cell>
          <cell r="C80" t="b">
            <v>1</v>
          </cell>
        </row>
        <row r="81">
          <cell r="A81">
            <v>177</v>
          </cell>
          <cell r="B81">
            <v>0.73794118444650025</v>
          </cell>
          <cell r="C81" t="b">
            <v>1</v>
          </cell>
        </row>
        <row r="82">
          <cell r="A82">
            <v>176</v>
          </cell>
          <cell r="B82">
            <v>0.59919033520393017</v>
          </cell>
          <cell r="C82" t="b">
            <v>1</v>
          </cell>
        </row>
        <row r="83">
          <cell r="A83">
            <v>175</v>
          </cell>
          <cell r="B83">
            <v>0.49830929161942511</v>
          </cell>
          <cell r="C83" t="b">
            <v>1</v>
          </cell>
        </row>
        <row r="84">
          <cell r="A84">
            <v>174</v>
          </cell>
          <cell r="B84">
            <v>0.56018183739923588</v>
          </cell>
          <cell r="C84" t="b">
            <v>1</v>
          </cell>
        </row>
        <row r="85">
          <cell r="A85">
            <v>173</v>
          </cell>
          <cell r="B85">
            <v>0.56847975124002881</v>
          </cell>
          <cell r="C85" t="b">
            <v>1</v>
          </cell>
        </row>
        <row r="86">
          <cell r="A86">
            <v>172</v>
          </cell>
          <cell r="B86">
            <v>0.53782244124037182</v>
          </cell>
          <cell r="C86" t="b">
            <v>1</v>
          </cell>
        </row>
        <row r="87">
          <cell r="A87">
            <v>171</v>
          </cell>
          <cell r="B87">
            <v>0.63008814915745359</v>
          </cell>
          <cell r="C87" t="b">
            <v>1</v>
          </cell>
        </row>
        <row r="88">
          <cell r="A88">
            <v>170</v>
          </cell>
          <cell r="B88">
            <v>0.75136632846245799</v>
          </cell>
          <cell r="C88" t="b">
            <v>1</v>
          </cell>
        </row>
        <row r="89">
          <cell r="A89">
            <v>169</v>
          </cell>
          <cell r="B89">
            <v>0.78031130603700194</v>
          </cell>
          <cell r="C89" t="b">
            <v>1</v>
          </cell>
        </row>
        <row r="90">
          <cell r="A90">
            <v>168</v>
          </cell>
          <cell r="B90">
            <v>0.52421027442048407</v>
          </cell>
          <cell r="C90" t="b">
            <v>1</v>
          </cell>
        </row>
        <row r="91">
          <cell r="A91">
            <v>167</v>
          </cell>
          <cell r="B91">
            <v>0.56360011763542928</v>
          </cell>
          <cell r="C91" t="b">
            <v>1</v>
          </cell>
        </row>
        <row r="92">
          <cell r="A92">
            <v>166</v>
          </cell>
          <cell r="B92">
            <v>0.57816665988156046</v>
          </cell>
          <cell r="C92" t="b">
            <v>1</v>
          </cell>
        </row>
        <row r="93">
          <cell r="A93">
            <v>165</v>
          </cell>
          <cell r="B93">
            <v>0.45412323207519689</v>
          </cell>
          <cell r="C93" t="b">
            <v>1</v>
          </cell>
        </row>
        <row r="94">
          <cell r="A94">
            <v>164</v>
          </cell>
          <cell r="B94">
            <v>0.44437746513459242</v>
          </cell>
          <cell r="C94" t="b">
            <v>1</v>
          </cell>
        </row>
        <row r="95">
          <cell r="A95">
            <v>163</v>
          </cell>
          <cell r="B95">
            <v>0.65706091782640919</v>
          </cell>
          <cell r="C95" t="b">
            <v>1</v>
          </cell>
        </row>
        <row r="96">
          <cell r="A96">
            <v>162</v>
          </cell>
          <cell r="B96">
            <v>0.44755271668401525</v>
          </cell>
          <cell r="C96" t="b">
            <v>1</v>
          </cell>
        </row>
        <row r="97">
          <cell r="A97">
            <v>161</v>
          </cell>
          <cell r="B97">
            <v>0.25360185153917847</v>
          </cell>
          <cell r="C97" t="b">
            <v>0</v>
          </cell>
        </row>
        <row r="98">
          <cell r="A98">
            <v>160</v>
          </cell>
          <cell r="B98">
            <v>0.56344712319193779</v>
          </cell>
          <cell r="C98" t="b">
            <v>1</v>
          </cell>
        </row>
        <row r="99">
          <cell r="A99">
            <v>159</v>
          </cell>
          <cell r="B99">
            <v>0.69115056018988352</v>
          </cell>
          <cell r="C99" t="b">
            <v>1</v>
          </cell>
        </row>
        <row r="100">
          <cell r="A100">
            <v>158</v>
          </cell>
          <cell r="B100">
            <v>0.45513173590907624</v>
          </cell>
          <cell r="C100" t="b">
            <v>1</v>
          </cell>
        </row>
        <row r="101">
          <cell r="A101">
            <v>157</v>
          </cell>
          <cell r="B101">
            <v>0.56084537841560667</v>
          </cell>
          <cell r="C101" t="b">
            <v>1</v>
          </cell>
        </row>
        <row r="102">
          <cell r="A102">
            <v>156</v>
          </cell>
          <cell r="B102">
            <v>0.50643025456981872</v>
          </cell>
          <cell r="C102" t="b">
            <v>1</v>
          </cell>
        </row>
        <row r="103">
          <cell r="A103">
            <v>155</v>
          </cell>
          <cell r="B103">
            <v>0.45385378642366286</v>
          </cell>
          <cell r="C103" t="b">
            <v>1</v>
          </cell>
        </row>
        <row r="104">
          <cell r="A104">
            <v>154</v>
          </cell>
          <cell r="B104">
            <v>0.52267618797131499</v>
          </cell>
          <cell r="C104" t="b">
            <v>1</v>
          </cell>
        </row>
        <row r="105">
          <cell r="A105">
            <v>153</v>
          </cell>
          <cell r="B105">
            <v>0.80069000866192874</v>
          </cell>
          <cell r="C105" t="b">
            <v>0</v>
          </cell>
        </row>
        <row r="106">
          <cell r="A106">
            <v>152</v>
          </cell>
          <cell r="B106">
            <v>0.43008292561406802</v>
          </cell>
          <cell r="C106" t="b">
            <v>1</v>
          </cell>
        </row>
        <row r="107">
          <cell r="A107">
            <v>151</v>
          </cell>
          <cell r="B107">
            <v>0.64029687571314553</v>
          </cell>
          <cell r="C107" t="b">
            <v>1</v>
          </cell>
        </row>
        <row r="108">
          <cell r="A108">
            <v>150</v>
          </cell>
          <cell r="B108">
            <v>0.45580345370019903</v>
          </cell>
          <cell r="C108" t="b">
            <v>1</v>
          </cell>
        </row>
        <row r="109">
          <cell r="A109">
            <v>149</v>
          </cell>
          <cell r="B109">
            <v>0.60951621864261041</v>
          </cell>
          <cell r="C109" t="b">
            <v>1</v>
          </cell>
        </row>
        <row r="110">
          <cell r="A110">
            <v>148</v>
          </cell>
          <cell r="B110">
            <v>0.69731028941699325</v>
          </cell>
          <cell r="C110" t="b">
            <v>1</v>
          </cell>
        </row>
        <row r="111">
          <cell r="A111">
            <v>147</v>
          </cell>
          <cell r="B111">
            <v>0.5348922151444937</v>
          </cell>
          <cell r="C111" t="b">
            <v>1</v>
          </cell>
        </row>
        <row r="112">
          <cell r="A112">
            <v>146</v>
          </cell>
          <cell r="B112">
            <v>0.42878926819367974</v>
          </cell>
          <cell r="C112" t="b">
            <v>1</v>
          </cell>
        </row>
        <row r="113">
          <cell r="A113">
            <v>145</v>
          </cell>
          <cell r="B113">
            <v>0.68371452423399282</v>
          </cell>
          <cell r="C113" t="b">
            <v>1</v>
          </cell>
        </row>
        <row r="114">
          <cell r="A114">
            <v>144</v>
          </cell>
          <cell r="B114">
            <v>0.7595684111065234</v>
          </cell>
          <cell r="C114" t="b">
            <v>1</v>
          </cell>
        </row>
        <row r="115">
          <cell r="A115">
            <v>143</v>
          </cell>
          <cell r="B115">
            <v>0.61721667672012193</v>
          </cell>
          <cell r="C115" t="b">
            <v>1</v>
          </cell>
        </row>
        <row r="116">
          <cell r="A116">
            <v>142</v>
          </cell>
          <cell r="B116">
            <v>0.5151684704596764</v>
          </cell>
          <cell r="C116" t="b">
            <v>1</v>
          </cell>
        </row>
        <row r="117">
          <cell r="A117">
            <v>141</v>
          </cell>
          <cell r="B117">
            <v>0.33272106985394356</v>
          </cell>
          <cell r="C117" t="b">
            <v>1</v>
          </cell>
        </row>
        <row r="118">
          <cell r="A118">
            <v>140</v>
          </cell>
          <cell r="B118">
            <v>0.36811945057472334</v>
          </cell>
          <cell r="C118" t="b">
            <v>1</v>
          </cell>
        </row>
        <row r="119">
          <cell r="A119">
            <v>139</v>
          </cell>
          <cell r="B119">
            <v>0.72627217498010066</v>
          </cell>
          <cell r="C119" t="b">
            <v>1</v>
          </cell>
        </row>
        <row r="120">
          <cell r="A120">
            <v>138</v>
          </cell>
          <cell r="B120">
            <v>0.57921237372233347</v>
          </cell>
          <cell r="C120" t="b">
            <v>1</v>
          </cell>
        </row>
        <row r="121">
          <cell r="A121">
            <v>137</v>
          </cell>
          <cell r="B121">
            <v>0.48901983238161206</v>
          </cell>
          <cell r="C121" t="b">
            <v>1</v>
          </cell>
        </row>
        <row r="122">
          <cell r="A122">
            <v>136</v>
          </cell>
          <cell r="B122">
            <v>0.67362433639269859</v>
          </cell>
          <cell r="C122" t="b">
            <v>1</v>
          </cell>
        </row>
        <row r="123">
          <cell r="A123">
            <v>135</v>
          </cell>
          <cell r="B123">
            <v>0.67797413815963459</v>
          </cell>
          <cell r="C123" t="b">
            <v>1</v>
          </cell>
        </row>
        <row r="124">
          <cell r="A124">
            <v>134</v>
          </cell>
          <cell r="B124">
            <v>0.50898075697786138</v>
          </cell>
          <cell r="C124" t="b">
            <v>1</v>
          </cell>
        </row>
        <row r="125">
          <cell r="A125">
            <v>133</v>
          </cell>
          <cell r="B125">
            <v>0.70262370331262547</v>
          </cell>
          <cell r="C125" t="b">
            <v>1</v>
          </cell>
        </row>
        <row r="126">
          <cell r="A126">
            <v>132</v>
          </cell>
          <cell r="B126">
            <v>0.67046647988516483</v>
          </cell>
          <cell r="C126" t="b">
            <v>1</v>
          </cell>
        </row>
        <row r="127">
          <cell r="A127">
            <v>131</v>
          </cell>
          <cell r="B127">
            <v>0.66889939704432066</v>
          </cell>
          <cell r="C127" t="b">
            <v>1</v>
          </cell>
        </row>
        <row r="128">
          <cell r="A128">
            <v>130</v>
          </cell>
          <cell r="B128">
            <v>0.74967372070638238</v>
          </cell>
          <cell r="C128" t="b">
            <v>1</v>
          </cell>
        </row>
        <row r="129">
          <cell r="A129">
            <v>129</v>
          </cell>
          <cell r="B129">
            <v>0.48734969576061604</v>
          </cell>
          <cell r="C129" t="b">
            <v>1</v>
          </cell>
        </row>
        <row r="130">
          <cell r="A130">
            <v>128</v>
          </cell>
          <cell r="B130">
            <v>0.15239822619827478</v>
          </cell>
          <cell r="C130" t="b">
            <v>0</v>
          </cell>
        </row>
        <row r="131">
          <cell r="A131">
            <v>127</v>
          </cell>
          <cell r="B131">
            <v>0.51010548516700471</v>
          </cell>
          <cell r="C131" t="b">
            <v>1</v>
          </cell>
        </row>
        <row r="132">
          <cell r="A132">
            <v>126</v>
          </cell>
          <cell r="B132">
            <v>0.53521227124998894</v>
          </cell>
          <cell r="C132" t="b">
            <v>1</v>
          </cell>
        </row>
        <row r="133">
          <cell r="A133">
            <v>125</v>
          </cell>
          <cell r="B133">
            <v>0.70168714666703713</v>
          </cell>
          <cell r="C133" t="b">
            <v>1</v>
          </cell>
        </row>
        <row r="134">
          <cell r="A134">
            <v>124</v>
          </cell>
          <cell r="B134">
            <v>0.63100824101722619</v>
          </cell>
          <cell r="C134" t="b">
            <v>1</v>
          </cell>
        </row>
        <row r="135">
          <cell r="A135">
            <v>123</v>
          </cell>
          <cell r="B135">
            <v>0.5812584299921727</v>
          </cell>
          <cell r="C135" t="b">
            <v>1</v>
          </cell>
        </row>
        <row r="136">
          <cell r="A136">
            <v>122</v>
          </cell>
          <cell r="B136">
            <v>0.46389543259454524</v>
          </cell>
          <cell r="C136" t="b">
            <v>1</v>
          </cell>
        </row>
        <row r="137">
          <cell r="A137">
            <v>121</v>
          </cell>
          <cell r="B137">
            <v>0.57307361656531919</v>
          </cell>
          <cell r="C137" t="b">
            <v>1</v>
          </cell>
        </row>
        <row r="138">
          <cell r="A138">
            <v>120</v>
          </cell>
          <cell r="B138">
            <v>0.70769651461825078</v>
          </cell>
          <cell r="C138" t="b">
            <v>1</v>
          </cell>
        </row>
        <row r="139">
          <cell r="A139">
            <v>119</v>
          </cell>
          <cell r="B139">
            <v>0.40911340169619181</v>
          </cell>
          <cell r="C139" t="b">
            <v>1</v>
          </cell>
        </row>
        <row r="140">
          <cell r="A140">
            <v>118</v>
          </cell>
          <cell r="B140">
            <v>0.40204179554211383</v>
          </cell>
          <cell r="C140" t="b">
            <v>1</v>
          </cell>
        </row>
        <row r="141">
          <cell r="A141">
            <v>117</v>
          </cell>
          <cell r="B141">
            <v>0.45526100589692237</v>
          </cell>
          <cell r="C141" t="b">
            <v>1</v>
          </cell>
        </row>
        <row r="142">
          <cell r="A142">
            <v>116</v>
          </cell>
          <cell r="B142">
            <v>0.61162121945565273</v>
          </cell>
          <cell r="C142" t="b">
            <v>1</v>
          </cell>
        </row>
        <row r="143">
          <cell r="A143">
            <v>115</v>
          </cell>
          <cell r="B143">
            <v>0.6976163204615945</v>
          </cell>
          <cell r="C143" t="b">
            <v>1</v>
          </cell>
        </row>
        <row r="144">
          <cell r="A144">
            <v>114</v>
          </cell>
          <cell r="B144">
            <v>0.70502391871574477</v>
          </cell>
          <cell r="C144" t="b">
            <v>1</v>
          </cell>
        </row>
        <row r="145">
          <cell r="A145">
            <v>113</v>
          </cell>
          <cell r="B145">
            <v>0.58614446395849573</v>
          </cell>
          <cell r="C145" t="b">
            <v>1</v>
          </cell>
        </row>
        <row r="146">
          <cell r="A146">
            <v>112</v>
          </cell>
          <cell r="B146">
            <v>0.65280754206506819</v>
          </cell>
          <cell r="C146" t="b">
            <v>1</v>
          </cell>
        </row>
        <row r="147">
          <cell r="A147">
            <v>111</v>
          </cell>
          <cell r="B147">
            <v>0.35925842155354104</v>
          </cell>
          <cell r="C147" t="b">
            <v>1</v>
          </cell>
        </row>
        <row r="148">
          <cell r="A148">
            <v>110</v>
          </cell>
          <cell r="B148">
            <v>0.70928436926835892</v>
          </cell>
          <cell r="C148" t="b">
            <v>1</v>
          </cell>
        </row>
        <row r="149">
          <cell r="A149">
            <v>109</v>
          </cell>
          <cell r="B149">
            <v>0.5188357719400889</v>
          </cell>
          <cell r="C149" t="b">
            <v>1</v>
          </cell>
        </row>
        <row r="150">
          <cell r="A150">
            <v>108</v>
          </cell>
          <cell r="B150">
            <v>0.78510730766109038</v>
          </cell>
          <cell r="C150" t="b">
            <v>0</v>
          </cell>
        </row>
        <row r="151">
          <cell r="A151">
            <v>107</v>
          </cell>
          <cell r="B151">
            <v>0.55829916977737903</v>
          </cell>
          <cell r="C151" t="b">
            <v>1</v>
          </cell>
        </row>
        <row r="152">
          <cell r="A152">
            <v>106</v>
          </cell>
          <cell r="B152">
            <v>0.6242817060096435</v>
          </cell>
          <cell r="C152" t="b">
            <v>1</v>
          </cell>
        </row>
        <row r="153">
          <cell r="A153">
            <v>105</v>
          </cell>
          <cell r="B153">
            <v>0.60494347746396404</v>
          </cell>
          <cell r="C153" t="b">
            <v>1</v>
          </cell>
        </row>
        <row r="154">
          <cell r="A154">
            <v>104</v>
          </cell>
          <cell r="B154">
            <v>0.80678413376164526</v>
          </cell>
          <cell r="C154" t="b">
            <v>0</v>
          </cell>
        </row>
        <row r="155">
          <cell r="A155">
            <v>103</v>
          </cell>
          <cell r="B155">
            <v>0.46024637564040999</v>
          </cell>
          <cell r="C155" t="b">
            <v>1</v>
          </cell>
        </row>
        <row r="156">
          <cell r="A156">
            <v>102</v>
          </cell>
          <cell r="B156">
            <v>0.4820325407597183</v>
          </cell>
          <cell r="C156" t="b">
            <v>1</v>
          </cell>
        </row>
        <row r="157">
          <cell r="A157">
            <v>101</v>
          </cell>
          <cell r="B157">
            <v>0.60867892998122752</v>
          </cell>
          <cell r="C157" t="b">
            <v>1</v>
          </cell>
        </row>
        <row r="158">
          <cell r="A158">
            <v>100</v>
          </cell>
          <cell r="B158">
            <v>0.34570274499621617</v>
          </cell>
          <cell r="C158" t="b">
            <v>1</v>
          </cell>
        </row>
        <row r="159">
          <cell r="A159">
            <v>99</v>
          </cell>
          <cell r="B159">
            <v>0.56227020622769763</v>
          </cell>
          <cell r="C159" t="b">
            <v>1</v>
          </cell>
        </row>
        <row r="160">
          <cell r="A160">
            <v>98</v>
          </cell>
          <cell r="B160">
            <v>0.67683915158880692</v>
          </cell>
          <cell r="C160" t="b">
            <v>1</v>
          </cell>
        </row>
        <row r="161">
          <cell r="A161">
            <v>97</v>
          </cell>
          <cell r="B161">
            <v>0.45077948417659053</v>
          </cell>
          <cell r="C161" t="b">
            <v>1</v>
          </cell>
        </row>
        <row r="162">
          <cell r="A162">
            <v>96</v>
          </cell>
          <cell r="B162">
            <v>0.69167276582748138</v>
          </cell>
          <cell r="C162" t="b">
            <v>1</v>
          </cell>
        </row>
        <row r="163">
          <cell r="A163">
            <v>95</v>
          </cell>
          <cell r="B163">
            <v>0.55098319833281617</v>
          </cell>
          <cell r="C163" t="b">
            <v>1</v>
          </cell>
        </row>
        <row r="164">
          <cell r="A164">
            <v>94</v>
          </cell>
          <cell r="B164">
            <v>0.73681807450100445</v>
          </cell>
          <cell r="C164" t="b">
            <v>1</v>
          </cell>
        </row>
        <row r="165">
          <cell r="A165">
            <v>93</v>
          </cell>
          <cell r="B165">
            <v>0.56259862091113177</v>
          </cell>
          <cell r="C165" t="b">
            <v>1</v>
          </cell>
        </row>
        <row r="166">
          <cell r="A166">
            <v>92</v>
          </cell>
          <cell r="B166">
            <v>0.47866726374827312</v>
          </cell>
          <cell r="C166" t="b">
            <v>1</v>
          </cell>
        </row>
        <row r="167">
          <cell r="A167">
            <v>91</v>
          </cell>
          <cell r="B167">
            <v>0.46876709351148227</v>
          </cell>
          <cell r="C167" t="b">
            <v>1</v>
          </cell>
        </row>
        <row r="168">
          <cell r="A168">
            <v>90</v>
          </cell>
          <cell r="B168">
            <v>0.69812633415854208</v>
          </cell>
          <cell r="C168" t="b">
            <v>1</v>
          </cell>
        </row>
        <row r="169">
          <cell r="A169">
            <v>89</v>
          </cell>
          <cell r="B169">
            <v>0.35794939455699576</v>
          </cell>
          <cell r="C169" t="b">
            <v>1</v>
          </cell>
        </row>
        <row r="170">
          <cell r="A170">
            <v>88</v>
          </cell>
          <cell r="B170">
            <v>0.52593843358986592</v>
          </cell>
          <cell r="C170" t="b">
            <v>1</v>
          </cell>
        </row>
        <row r="171">
          <cell r="A171">
            <v>87</v>
          </cell>
          <cell r="B171">
            <v>0.46901513103942044</v>
          </cell>
          <cell r="C171" t="b">
            <v>1</v>
          </cell>
        </row>
        <row r="172">
          <cell r="A172">
            <v>86</v>
          </cell>
          <cell r="B172">
            <v>0.65266382948032398</v>
          </cell>
          <cell r="C172" t="b">
            <v>1</v>
          </cell>
        </row>
        <row r="173">
          <cell r="A173">
            <v>85</v>
          </cell>
          <cell r="B173">
            <v>0.70752273095437324</v>
          </cell>
          <cell r="C173" t="b">
            <v>1</v>
          </cell>
        </row>
        <row r="174">
          <cell r="A174">
            <v>84</v>
          </cell>
          <cell r="B174">
            <v>0.7337469673207504</v>
          </cell>
          <cell r="C174" t="b">
            <v>1</v>
          </cell>
        </row>
        <row r="175">
          <cell r="A175">
            <v>83</v>
          </cell>
          <cell r="B175">
            <v>0.74209775507376186</v>
          </cell>
          <cell r="C175" t="b">
            <v>1</v>
          </cell>
        </row>
        <row r="176">
          <cell r="A176">
            <v>82</v>
          </cell>
          <cell r="B176">
            <v>0.72410403723494621</v>
          </cell>
          <cell r="C176" t="b">
            <v>1</v>
          </cell>
        </row>
        <row r="177">
          <cell r="A177">
            <v>81</v>
          </cell>
          <cell r="B177">
            <v>0.48954179141965648</v>
          </cell>
          <cell r="C177" t="b">
            <v>1</v>
          </cell>
        </row>
        <row r="178">
          <cell r="A178">
            <v>80</v>
          </cell>
          <cell r="B178">
            <v>0.62994479096423017</v>
          </cell>
          <cell r="C178" t="b">
            <v>1</v>
          </cell>
        </row>
        <row r="179">
          <cell r="A179">
            <v>79</v>
          </cell>
          <cell r="B179">
            <v>0.57033568133154933</v>
          </cell>
          <cell r="C179" t="b">
            <v>1</v>
          </cell>
        </row>
        <row r="180">
          <cell r="A180">
            <v>78</v>
          </cell>
          <cell r="B180">
            <v>0.39413766505729309</v>
          </cell>
          <cell r="C180" t="b">
            <v>1</v>
          </cell>
        </row>
        <row r="181">
          <cell r="A181">
            <v>77</v>
          </cell>
          <cell r="B181">
            <v>0.58755591532443152</v>
          </cell>
          <cell r="C181" t="b">
            <v>1</v>
          </cell>
        </row>
        <row r="182">
          <cell r="A182">
            <v>76</v>
          </cell>
          <cell r="B182">
            <v>0.42520887730550749</v>
          </cell>
          <cell r="C182" t="b">
            <v>1</v>
          </cell>
        </row>
        <row r="183">
          <cell r="A183">
            <v>75</v>
          </cell>
          <cell r="B183">
            <v>0.59107307041939594</v>
          </cell>
          <cell r="C183" t="b">
            <v>1</v>
          </cell>
        </row>
        <row r="184">
          <cell r="A184">
            <v>74</v>
          </cell>
          <cell r="B184">
            <v>0.58084025148299312</v>
          </cell>
          <cell r="C184" t="b">
            <v>1</v>
          </cell>
        </row>
        <row r="185">
          <cell r="A185">
            <v>73</v>
          </cell>
          <cell r="B185">
            <v>0.22069851731177009</v>
          </cell>
          <cell r="C185" t="b">
            <v>0</v>
          </cell>
        </row>
        <row r="186">
          <cell r="A186">
            <v>72</v>
          </cell>
          <cell r="B186">
            <v>0.41477480910496473</v>
          </cell>
          <cell r="C186" t="b">
            <v>1</v>
          </cell>
        </row>
        <row r="187">
          <cell r="A187">
            <v>71</v>
          </cell>
          <cell r="B187">
            <v>0.37769150163322551</v>
          </cell>
          <cell r="C187" t="b">
            <v>1</v>
          </cell>
        </row>
        <row r="188">
          <cell r="A188">
            <v>70</v>
          </cell>
          <cell r="B188">
            <v>0.54745796252026002</v>
          </cell>
          <cell r="C188" t="b">
            <v>1</v>
          </cell>
        </row>
        <row r="189">
          <cell r="A189">
            <v>69</v>
          </cell>
          <cell r="B189">
            <v>0.71544956879625554</v>
          </cell>
          <cell r="C189" t="b">
            <v>1</v>
          </cell>
        </row>
        <row r="190">
          <cell r="A190">
            <v>68</v>
          </cell>
          <cell r="B190">
            <v>0.55395893033703969</v>
          </cell>
          <cell r="C190" t="b">
            <v>1</v>
          </cell>
        </row>
        <row r="191">
          <cell r="A191">
            <v>67</v>
          </cell>
          <cell r="B191">
            <v>0.46617921955147429</v>
          </cell>
          <cell r="C191" t="b">
            <v>1</v>
          </cell>
        </row>
        <row r="192">
          <cell r="A192">
            <v>66</v>
          </cell>
          <cell r="B192">
            <v>0.56551111416763056</v>
          </cell>
          <cell r="C192" t="b">
            <v>1</v>
          </cell>
        </row>
        <row r="193">
          <cell r="A193">
            <v>65</v>
          </cell>
          <cell r="B193">
            <v>0.58420526791534866</v>
          </cell>
          <cell r="C193" t="b">
            <v>1</v>
          </cell>
        </row>
        <row r="194">
          <cell r="A194">
            <v>64</v>
          </cell>
          <cell r="B194">
            <v>0.58495317120871404</v>
          </cell>
          <cell r="C194" t="b">
            <v>1</v>
          </cell>
        </row>
        <row r="195">
          <cell r="A195">
            <v>63</v>
          </cell>
          <cell r="B195">
            <v>0.48459445719290001</v>
          </cell>
          <cell r="C195" t="b">
            <v>1</v>
          </cell>
        </row>
        <row r="196">
          <cell r="A196">
            <v>62</v>
          </cell>
          <cell r="B196">
            <v>0.71530792222432649</v>
          </cell>
          <cell r="C196" t="b">
            <v>1</v>
          </cell>
        </row>
        <row r="197">
          <cell r="A197">
            <v>61</v>
          </cell>
          <cell r="B197">
            <v>0.50608924335498962</v>
          </cell>
          <cell r="C197" t="b">
            <v>1</v>
          </cell>
        </row>
        <row r="198">
          <cell r="A198">
            <v>60</v>
          </cell>
          <cell r="B198">
            <v>0.45189085507659915</v>
          </cell>
          <cell r="C198" t="b">
            <v>1</v>
          </cell>
        </row>
        <row r="199">
          <cell r="A199">
            <v>59</v>
          </cell>
          <cell r="B199">
            <v>0.63615153875137842</v>
          </cell>
          <cell r="C199" t="b">
            <v>1</v>
          </cell>
        </row>
        <row r="200">
          <cell r="A200">
            <v>58</v>
          </cell>
          <cell r="B200">
            <v>0.54082866727269607</v>
          </cell>
          <cell r="C200" t="b">
            <v>1</v>
          </cell>
        </row>
        <row r="201">
          <cell r="A201">
            <v>57</v>
          </cell>
          <cell r="B201">
            <v>0.70031532831223631</v>
          </cell>
          <cell r="C201" t="b">
            <v>1</v>
          </cell>
        </row>
        <row r="202">
          <cell r="A202">
            <v>56</v>
          </cell>
          <cell r="B202">
            <v>0.46798327035829018</v>
          </cell>
          <cell r="C202" t="b">
            <v>1</v>
          </cell>
        </row>
        <row r="203">
          <cell r="A203">
            <v>55</v>
          </cell>
          <cell r="B203">
            <v>0.66393764616127959</v>
          </cell>
          <cell r="C203" t="b">
            <v>1</v>
          </cell>
        </row>
        <row r="204">
          <cell r="A204">
            <v>54</v>
          </cell>
          <cell r="B204">
            <v>0.58593431767867932</v>
          </cell>
          <cell r="C204" t="b">
            <v>1</v>
          </cell>
        </row>
        <row r="205">
          <cell r="A205">
            <v>53</v>
          </cell>
          <cell r="B205">
            <v>0.56584519769630681</v>
          </cell>
          <cell r="C205" t="b">
            <v>1</v>
          </cell>
        </row>
        <row r="206">
          <cell r="A206">
            <v>52</v>
          </cell>
          <cell r="B206">
            <v>0.53738880982902171</v>
          </cell>
          <cell r="C206" t="b">
            <v>1</v>
          </cell>
        </row>
        <row r="207">
          <cell r="A207">
            <v>51</v>
          </cell>
          <cell r="B207">
            <v>0.37583735487150044</v>
          </cell>
          <cell r="C207" t="b">
            <v>1</v>
          </cell>
        </row>
        <row r="208">
          <cell r="A208">
            <v>50</v>
          </cell>
          <cell r="B208">
            <v>0.6456946960286114</v>
          </cell>
          <cell r="C208" t="b">
            <v>1</v>
          </cell>
        </row>
        <row r="209">
          <cell r="A209">
            <v>49</v>
          </cell>
          <cell r="B209">
            <v>0.75398638762223802</v>
          </cell>
          <cell r="C209" t="b">
            <v>1</v>
          </cell>
        </row>
        <row r="210">
          <cell r="A210">
            <v>48</v>
          </cell>
          <cell r="B210">
            <v>0.33379458088559188</v>
          </cell>
          <cell r="C210" t="b">
            <v>1</v>
          </cell>
        </row>
        <row r="211">
          <cell r="A211">
            <v>47</v>
          </cell>
          <cell r="B211">
            <v>0.77003176006434648</v>
          </cell>
          <cell r="C211" t="b">
            <v>1</v>
          </cell>
        </row>
        <row r="212">
          <cell r="A212">
            <v>46</v>
          </cell>
          <cell r="B212">
            <v>0.64511380427865161</v>
          </cell>
          <cell r="C212" t="b">
            <v>1</v>
          </cell>
        </row>
        <row r="213">
          <cell r="A213">
            <v>45</v>
          </cell>
          <cell r="B213">
            <v>0.70586346431631797</v>
          </cell>
          <cell r="C213" t="b">
            <v>1</v>
          </cell>
        </row>
        <row r="214">
          <cell r="A214">
            <v>44</v>
          </cell>
          <cell r="B214">
            <v>0.48454307975730354</v>
          </cell>
          <cell r="C214" t="b">
            <v>1</v>
          </cell>
        </row>
        <row r="215">
          <cell r="A215">
            <v>43</v>
          </cell>
          <cell r="B215">
            <v>0.49460278163803906</v>
          </cell>
          <cell r="C215" t="b">
            <v>1</v>
          </cell>
        </row>
        <row r="216">
          <cell r="A216">
            <v>42</v>
          </cell>
          <cell r="B216">
            <v>0.63626172825498784</v>
          </cell>
          <cell r="C216" t="b">
            <v>1</v>
          </cell>
        </row>
        <row r="217">
          <cell r="A217">
            <v>41</v>
          </cell>
          <cell r="B217">
            <v>0.50568507768120796</v>
          </cell>
          <cell r="C217" t="b">
            <v>1</v>
          </cell>
        </row>
        <row r="218">
          <cell r="A218">
            <v>40</v>
          </cell>
          <cell r="B218">
            <v>0.51552876018651739</v>
          </cell>
          <cell r="C218" t="b">
            <v>1</v>
          </cell>
        </row>
        <row r="219">
          <cell r="A219">
            <v>39</v>
          </cell>
          <cell r="B219">
            <v>0.62263489635929536</v>
          </cell>
          <cell r="C219" t="b">
            <v>1</v>
          </cell>
        </row>
        <row r="220">
          <cell r="A220">
            <v>38</v>
          </cell>
          <cell r="B220">
            <v>0.82174667914504529</v>
          </cell>
          <cell r="C220" t="b">
            <v>0</v>
          </cell>
        </row>
        <row r="221">
          <cell r="A221">
            <v>37</v>
          </cell>
          <cell r="B221">
            <v>0.78483841875474136</v>
          </cell>
          <cell r="C221" t="b">
            <v>0</v>
          </cell>
        </row>
        <row r="222">
          <cell r="A222">
            <v>36</v>
          </cell>
          <cell r="B222">
            <v>0.66292929383725763</v>
          </cell>
          <cell r="C222" t="b">
            <v>1</v>
          </cell>
        </row>
        <row r="223">
          <cell r="A223">
            <v>35</v>
          </cell>
          <cell r="B223">
            <v>0.53405507293989207</v>
          </cell>
          <cell r="C223" t="b">
            <v>1</v>
          </cell>
        </row>
        <row r="224">
          <cell r="A224">
            <v>34</v>
          </cell>
          <cell r="B224">
            <v>0.66470183723737652</v>
          </cell>
          <cell r="C224" t="b">
            <v>1</v>
          </cell>
        </row>
        <row r="225">
          <cell r="A225">
            <v>33</v>
          </cell>
          <cell r="B225">
            <v>0.66886705907934207</v>
          </cell>
          <cell r="C225" t="b">
            <v>1</v>
          </cell>
        </row>
        <row r="226">
          <cell r="A226">
            <v>32</v>
          </cell>
          <cell r="B226">
            <v>0.72607022331994753</v>
          </cell>
          <cell r="C226" t="b">
            <v>1</v>
          </cell>
        </row>
        <row r="227">
          <cell r="A227">
            <v>31</v>
          </cell>
          <cell r="B227">
            <v>0.57408788278304268</v>
          </cell>
          <cell r="C227" t="b">
            <v>1</v>
          </cell>
        </row>
        <row r="228">
          <cell r="A228">
            <v>30</v>
          </cell>
          <cell r="B228">
            <v>0.41645020113090531</v>
          </cell>
          <cell r="C228" t="b">
            <v>1</v>
          </cell>
        </row>
        <row r="229">
          <cell r="A229">
            <v>29</v>
          </cell>
          <cell r="B229">
            <v>0.48599237069645035</v>
          </cell>
          <cell r="C229" t="b">
            <v>1</v>
          </cell>
        </row>
        <row r="230">
          <cell r="A230">
            <v>28</v>
          </cell>
          <cell r="B230">
            <v>0.30994469730514485</v>
          </cell>
          <cell r="C230" t="b">
            <v>0</v>
          </cell>
        </row>
        <row r="231">
          <cell r="A231">
            <v>27</v>
          </cell>
          <cell r="B231">
            <v>0.69520668812722719</v>
          </cell>
          <cell r="C231" t="b">
            <v>1</v>
          </cell>
        </row>
        <row r="232">
          <cell r="A232">
            <v>26</v>
          </cell>
          <cell r="B232">
            <v>0.51799322766969025</v>
          </cell>
          <cell r="C232" t="b">
            <v>1</v>
          </cell>
        </row>
        <row r="233">
          <cell r="A233">
            <v>25</v>
          </cell>
          <cell r="B233">
            <v>0.71104464261958589</v>
          </cell>
          <cell r="C233" t="b">
            <v>1</v>
          </cell>
        </row>
        <row r="234">
          <cell r="A234">
            <v>24</v>
          </cell>
          <cell r="B234">
            <v>0.73274112883749853</v>
          </cell>
          <cell r="C234" t="b">
            <v>1</v>
          </cell>
        </row>
        <row r="235">
          <cell r="A235">
            <v>23</v>
          </cell>
          <cell r="B235">
            <v>0.70084798316702568</v>
          </cell>
          <cell r="C235" t="b">
            <v>1</v>
          </cell>
        </row>
        <row r="236">
          <cell r="A236">
            <v>22</v>
          </cell>
          <cell r="B236">
            <v>0.6683457500972706</v>
          </cell>
          <cell r="C236" t="b">
            <v>1</v>
          </cell>
        </row>
        <row r="237">
          <cell r="A237">
            <v>21</v>
          </cell>
          <cell r="B237">
            <v>0.48941322533194614</v>
          </cell>
          <cell r="C237" t="b">
            <v>1</v>
          </cell>
        </row>
        <row r="238">
          <cell r="A238">
            <v>20</v>
          </cell>
          <cell r="B238">
            <v>0.73597307926340771</v>
          </cell>
          <cell r="C238" t="b">
            <v>1</v>
          </cell>
        </row>
        <row r="239">
          <cell r="A239">
            <v>19</v>
          </cell>
          <cell r="B239">
            <v>0.51631796881471903</v>
          </cell>
          <cell r="C239" t="b">
            <v>1</v>
          </cell>
        </row>
        <row r="240">
          <cell r="A240">
            <v>18</v>
          </cell>
          <cell r="B240">
            <v>0.57805638473246157</v>
          </cell>
          <cell r="C240" t="b">
            <v>1</v>
          </cell>
        </row>
        <row r="241">
          <cell r="A241">
            <v>17</v>
          </cell>
          <cell r="B241">
            <v>0.58129357541293081</v>
          </cell>
          <cell r="C241" t="b">
            <v>1</v>
          </cell>
        </row>
        <row r="242">
          <cell r="A242">
            <v>16</v>
          </cell>
          <cell r="B242">
            <v>0.21383978435728423</v>
          </cell>
          <cell r="C242" t="b">
            <v>0</v>
          </cell>
        </row>
        <row r="243">
          <cell r="A243">
            <v>15</v>
          </cell>
          <cell r="B243">
            <v>0.54303504615412257</v>
          </cell>
          <cell r="C243" t="b">
            <v>1</v>
          </cell>
        </row>
        <row r="244">
          <cell r="A244">
            <v>14</v>
          </cell>
          <cell r="B244">
            <v>0.71511316679574488</v>
          </cell>
          <cell r="C244" t="b">
            <v>1</v>
          </cell>
        </row>
        <row r="245">
          <cell r="A245">
            <v>13</v>
          </cell>
          <cell r="B245">
            <v>0.38467926877786079</v>
          </cell>
          <cell r="C245" t="b">
            <v>1</v>
          </cell>
        </row>
        <row r="246">
          <cell r="A246">
            <v>12</v>
          </cell>
          <cell r="B246">
            <v>0.57133219571459015</v>
          </cell>
          <cell r="C246" t="b">
            <v>1</v>
          </cell>
        </row>
        <row r="247">
          <cell r="A247">
            <v>11</v>
          </cell>
          <cell r="B247">
            <v>0.48270490130793176</v>
          </cell>
          <cell r="C247" t="b">
            <v>1</v>
          </cell>
        </row>
        <row r="248">
          <cell r="A248">
            <v>10</v>
          </cell>
          <cell r="B248">
            <v>0.77104367912318061</v>
          </cell>
          <cell r="C248" t="b">
            <v>1</v>
          </cell>
        </row>
        <row r="249">
          <cell r="A249">
            <v>9</v>
          </cell>
          <cell r="B249">
            <v>0.6081083218806963</v>
          </cell>
          <cell r="C249" t="b">
            <v>1</v>
          </cell>
        </row>
        <row r="250">
          <cell r="A250">
            <v>8</v>
          </cell>
          <cell r="B250">
            <v>0.71221485530558515</v>
          </cell>
          <cell r="C250" t="b">
            <v>1</v>
          </cell>
        </row>
        <row r="251">
          <cell r="A251">
            <v>7</v>
          </cell>
          <cell r="B251">
            <v>0.69436133773446174</v>
          </cell>
          <cell r="C251" t="b">
            <v>1</v>
          </cell>
        </row>
        <row r="252">
          <cell r="A252">
            <v>6</v>
          </cell>
          <cell r="B252">
            <v>0.59075129921534353</v>
          </cell>
          <cell r="C252" t="b">
            <v>1</v>
          </cell>
        </row>
        <row r="253">
          <cell r="A253">
            <v>5</v>
          </cell>
          <cell r="B253">
            <v>0.78432958488295956</v>
          </cell>
          <cell r="C253" t="b">
            <v>0</v>
          </cell>
        </row>
        <row r="254">
          <cell r="A254">
            <v>4</v>
          </cell>
          <cell r="B254">
            <v>0.51423256017394192</v>
          </cell>
          <cell r="C254" t="b">
            <v>1</v>
          </cell>
        </row>
        <row r="255">
          <cell r="A255">
            <v>3</v>
          </cell>
          <cell r="B255">
            <v>0.71837369087098046</v>
          </cell>
          <cell r="C255" t="b">
            <v>1</v>
          </cell>
        </row>
        <row r="256">
          <cell r="A256">
            <v>2</v>
          </cell>
          <cell r="B256">
            <v>0.60296637127639641</v>
          </cell>
          <cell r="C256" t="b">
            <v>1</v>
          </cell>
        </row>
        <row r="257">
          <cell r="A257">
            <v>1</v>
          </cell>
          <cell r="B257">
            <v>0.32274682788616027</v>
          </cell>
          <cell r="C257" t="b">
            <v>0</v>
          </cell>
        </row>
      </sheetData>
      <sheetData sheetId="4">
        <row r="19">
          <cell r="AT19">
            <v>1600</v>
          </cell>
        </row>
      </sheetData>
      <sheetData sheetId="5">
        <row r="12">
          <cell r="B12" t="str">
            <v>Treatment</v>
          </cell>
        </row>
        <row r="84">
          <cell r="AC84" t="b">
            <v>1</v>
          </cell>
        </row>
        <row r="88">
          <cell r="AC88" t="b">
            <v>1</v>
          </cell>
        </row>
        <row r="89">
          <cell r="R89" t="b">
            <v>1</v>
          </cell>
        </row>
        <row r="92">
          <cell r="AC92" t="b">
            <v>0</v>
          </cell>
        </row>
        <row r="96">
          <cell r="AC96" t="b">
            <v>0</v>
          </cell>
        </row>
      </sheetData>
    </sheetDataSet>
  </externalBook>
</externalLink>
</file>

<file path=xl/externalLinks/externalLink18.xml><?xml version="1.0" encoding="utf-8"?>
<externalLink xmlns="http://schemas.openxmlformats.org/spreadsheetml/2006/main">
  <externalBook xmlns:r="http://schemas.openxmlformats.org/officeDocument/2006/relationships" r:id="rId1">
    <sheetNames>
      <sheetName val="Intro"/>
      <sheetName val="Fig 1"/>
      <sheetName val="Fig 2"/>
      <sheetName val="Fig 3"/>
      <sheetName val="Fig 4"/>
      <sheetName val="Figs 5, 6"/>
      <sheetName val="Fig 7"/>
      <sheetName val="Vary C"/>
    </sheetNames>
    <sheetDataSet>
      <sheetData sheetId="0"/>
      <sheetData sheetId="1"/>
      <sheetData sheetId="2">
        <row r="13">
          <cell r="J13">
            <v>0.24414826487042007</v>
          </cell>
          <cell r="K13">
            <v>36</v>
          </cell>
          <cell r="L13">
            <v>60</v>
          </cell>
        </row>
        <row r="14">
          <cell r="J14">
            <v>9.5074492710232938E-2</v>
          </cell>
          <cell r="K14">
            <v>36</v>
          </cell>
          <cell r="L14">
            <v>60</v>
          </cell>
        </row>
      </sheetData>
      <sheetData sheetId="3"/>
      <sheetData sheetId="4"/>
      <sheetData sheetId="5"/>
      <sheetData sheetId="6"/>
      <sheetData sheetId="7">
        <row r="8">
          <cell r="N8">
            <v>130728.28452184275</v>
          </cell>
        </row>
        <row r="14">
          <cell r="N14" t="b">
            <v>0</v>
          </cell>
        </row>
        <row r="20">
          <cell r="C20">
            <v>900</v>
          </cell>
        </row>
      </sheetData>
    </sheetDataSet>
  </externalBook>
</externalLink>
</file>

<file path=xl/externalLinks/externalLink19.xml><?xml version="1.0" encoding="utf-8"?>
<externalLink xmlns="http://schemas.openxmlformats.org/spreadsheetml/2006/main">
  <externalBook xmlns:r="http://schemas.openxmlformats.org/officeDocument/2006/relationships" r:id="rId1">
    <sheetNames>
      <sheetName val="Intro"/>
      <sheetName val="Fig 1"/>
      <sheetName val="Fig 2"/>
      <sheetName val="Fig 3"/>
      <sheetName val="Fig 4"/>
      <sheetName val="Figs 5, 6"/>
      <sheetName val="Fig 7"/>
      <sheetName val="Vary C"/>
    </sheetNames>
    <sheetDataSet>
      <sheetData sheetId="0" refreshError="1"/>
      <sheetData sheetId="1" refreshError="1"/>
      <sheetData sheetId="2">
        <row r="13">
          <cell r="J13">
            <v>0.37283183720422142</v>
          </cell>
          <cell r="K13">
            <v>36</v>
          </cell>
          <cell r="L13">
            <v>60</v>
          </cell>
        </row>
        <row r="14">
          <cell r="J14">
            <v>9.5074492710232938E-2</v>
          </cell>
          <cell r="K14">
            <v>36</v>
          </cell>
          <cell r="L14">
            <v>60</v>
          </cell>
        </row>
      </sheetData>
      <sheetData sheetId="3" refreshError="1"/>
      <sheetData sheetId="4" refreshError="1"/>
      <sheetData sheetId="5" refreshError="1"/>
      <sheetData sheetId="6" refreshError="1"/>
      <sheetData sheetId="7">
        <row r="8">
          <cell r="N8">
            <v>130728.28452184275</v>
          </cell>
        </row>
        <row r="14">
          <cell r="N14" t="b">
            <v>0</v>
          </cell>
        </row>
        <row r="20">
          <cell r="C20">
            <v>900</v>
          </cell>
        </row>
      </sheetData>
    </sheetDataSet>
  </externalBook>
</externalLink>
</file>

<file path=xl/externalLinks/externalLink20.xml><?xml version="1.0" encoding="utf-8"?>
<externalLink xmlns="http://schemas.openxmlformats.org/spreadsheetml/2006/main">
  <externalBook xmlns:r="http://schemas.openxmlformats.org/officeDocument/2006/relationships" r:id="rId1">
    <sheetNames>
      <sheetName val="Intro"/>
      <sheetName val="Two studies"/>
      <sheetName val="CIjumping"/>
      <sheetName val="Normal z t"/>
      <sheetName val="CI function"/>
      <sheetName val="CI and p"/>
    </sheetNames>
    <sheetDataSet>
      <sheetData sheetId="0"/>
      <sheetData sheetId="1">
        <row r="12">
          <cell r="AK12" t="str">
            <v>M(diff)</v>
          </cell>
        </row>
        <row r="17">
          <cell r="AN17" t="b">
            <v>1</v>
          </cell>
        </row>
        <row r="18">
          <cell r="AN18" t="b">
            <v>0</v>
          </cell>
        </row>
        <row r="19">
          <cell r="AN19" t="b">
            <v>0</v>
          </cell>
        </row>
        <row r="23">
          <cell r="AN23">
            <v>400</v>
          </cell>
        </row>
      </sheetData>
      <sheetData sheetId="2"/>
      <sheetData sheetId="3"/>
      <sheetData sheetId="4">
        <row r="3">
          <cell r="AK3" t="b">
            <v>1</v>
          </cell>
        </row>
      </sheetData>
      <sheetData sheetId="5">
        <row r="3">
          <cell r="O3">
            <v>-2.33</v>
          </cell>
        </row>
        <row r="5">
          <cell r="O5">
            <v>1.959963984540054</v>
          </cell>
        </row>
      </sheetData>
    </sheetDataSet>
  </externalBook>
</externalLink>
</file>

<file path=xl/externalLinks/externalLink21.xml><?xml version="1.0" encoding="utf-8"?>
<externalLink xmlns="http://schemas.openxmlformats.org/spreadsheetml/2006/main">
  <externalBook xmlns:r="http://schemas.openxmlformats.org/officeDocument/2006/relationships" r:id="rId1">
    <sheetNames>
      <sheetName val="Two CIs"/>
      <sheetName val="single col"/>
      <sheetName val="SD CI SE"/>
      <sheetName val="Replication"/>
      <sheetName val="CI function"/>
      <sheetName val="cat's eyes"/>
    </sheetNames>
    <sheetDataSet>
      <sheetData sheetId="0"/>
      <sheetData sheetId="1"/>
      <sheetData sheetId="2"/>
      <sheetData sheetId="3">
        <row r="6">
          <cell r="AS6">
            <v>-999</v>
          </cell>
        </row>
        <row r="7">
          <cell r="AS7" t="b">
            <v>0</v>
          </cell>
        </row>
        <row r="8">
          <cell r="AS8" t="b">
            <v>0</v>
          </cell>
        </row>
        <row r="26">
          <cell r="W26">
            <v>235</v>
          </cell>
        </row>
        <row r="27">
          <cell r="W27">
            <v>236</v>
          </cell>
        </row>
      </sheetData>
      <sheetData sheetId="4"/>
      <sheetData sheetId="5"/>
    </sheetDataSet>
  </externalBook>
</externalLink>
</file>

<file path=xl/externalLinks/externalLink22.xml><?xml version="1.0" encoding="utf-8"?>
<externalLink xmlns="http://schemas.openxmlformats.org/spreadsheetml/2006/main">
  <externalBook xmlns:r="http://schemas.openxmlformats.org/officeDocument/2006/relationships" r:id="rId1">
    <sheetNames>
      <sheetName val="Two CIs"/>
      <sheetName val="single col"/>
      <sheetName val="SD CI SE"/>
      <sheetName val="Replication"/>
      <sheetName val="CI function"/>
      <sheetName val="cat's eyes"/>
    </sheetNames>
    <sheetDataSet>
      <sheetData sheetId="0"/>
      <sheetData sheetId="1"/>
      <sheetData sheetId="2"/>
      <sheetData sheetId="3">
        <row r="6">
          <cell r="AS6">
            <v>-999</v>
          </cell>
        </row>
        <row r="7">
          <cell r="AS7" t="b">
            <v>0</v>
          </cell>
        </row>
        <row r="8">
          <cell r="AS8" t="b">
            <v>0</v>
          </cell>
        </row>
        <row r="26">
          <cell r="W26">
            <v>235</v>
          </cell>
        </row>
        <row r="27">
          <cell r="W27">
            <v>236</v>
          </cell>
        </row>
      </sheetData>
      <sheetData sheetId="4"/>
      <sheetData sheetId="5"/>
    </sheetDataSet>
  </externalBook>
</externalLink>
</file>

<file path=xl/externalLinks/externalLink23.xml><?xml version="1.0" encoding="utf-8"?>
<externalLink xmlns="http://schemas.openxmlformats.org/spreadsheetml/2006/main">
  <externalBook xmlns:r="http://schemas.openxmlformats.org/officeDocument/2006/relationships" r:id="rId1">
    <sheetNames>
      <sheetName val="Intro"/>
      <sheetName val="Data two"/>
      <sheetName val="Data paired"/>
      <sheetName val="Summary two"/>
      <sheetName val="Summary paired"/>
      <sheetName val="d picture"/>
      <sheetName val="See r"/>
      <sheetName val="Scatterplots"/>
      <sheetName val="One correlation"/>
      <sheetName val="Two correlations"/>
    </sheetNames>
    <sheetDataSet>
      <sheetData sheetId="0"/>
      <sheetData sheetId="1">
        <row r="5">
          <cell r="H5" t="str">
            <v>PenLaptop 1</v>
          </cell>
          <cell r="BL5" t="str">
            <v>PenLaptop 1</v>
          </cell>
          <cell r="BT5" t="str">
            <v>PenLaptop 2</v>
          </cell>
          <cell r="CB5" t="str">
            <v>PenLaptop 3</v>
          </cell>
        </row>
        <row r="6">
          <cell r="G6" t="str">
            <v>Transcription %</v>
          </cell>
          <cell r="BK6" t="str">
            <v>Transcription %</v>
          </cell>
          <cell r="BS6" t="str">
            <v>Transcription %</v>
          </cell>
          <cell r="CA6" t="str">
            <v>Transcription %</v>
          </cell>
        </row>
        <row r="8">
          <cell r="F8" t="str">
            <v>Pen</v>
          </cell>
          <cell r="I8" t="str">
            <v>Laptop</v>
          </cell>
          <cell r="BJ8" t="str">
            <v>Pen</v>
          </cell>
          <cell r="BM8" t="str">
            <v>Laptop</v>
          </cell>
          <cell r="BR8" t="str">
            <v>Pen</v>
          </cell>
          <cell r="BU8" t="str">
            <v>Laptop</v>
          </cell>
          <cell r="BZ8" t="str">
            <v>Pen</v>
          </cell>
          <cell r="CC8" t="str">
            <v>Laptop</v>
          </cell>
        </row>
        <row r="9">
          <cell r="BJ9">
            <v>12.1</v>
          </cell>
          <cell r="BM9">
            <v>13.7</v>
          </cell>
          <cell r="BR9">
            <v>8.99</v>
          </cell>
          <cell r="BU9">
            <v>24.82</v>
          </cell>
          <cell r="BZ9">
            <v>5.13</v>
          </cell>
          <cell r="CC9">
            <v>4.62</v>
          </cell>
        </row>
        <row r="10">
          <cell r="BJ10">
            <v>6.5</v>
          </cell>
          <cell r="BM10">
            <v>21.1</v>
          </cell>
          <cell r="BR10">
            <v>1.35</v>
          </cell>
          <cell r="BU10">
            <v>11.76</v>
          </cell>
          <cell r="BZ10">
            <v>0.5</v>
          </cell>
          <cell r="CC10">
            <v>14.95</v>
          </cell>
        </row>
        <row r="11">
          <cell r="BJ11">
            <v>8.1</v>
          </cell>
          <cell r="BM11">
            <v>15.2</v>
          </cell>
          <cell r="BR11">
            <v>8.2200000000000006</v>
          </cell>
          <cell r="BU11">
            <v>12.72</v>
          </cell>
          <cell r="BZ11">
            <v>1.37</v>
          </cell>
          <cell r="CC11">
            <v>5.24</v>
          </cell>
        </row>
        <row r="12">
          <cell r="BJ12">
            <v>7.6</v>
          </cell>
          <cell r="BM12">
            <v>30.4</v>
          </cell>
          <cell r="BR12">
            <v>4.3099999999999996</v>
          </cell>
          <cell r="BU12">
            <v>14.19</v>
          </cell>
          <cell r="BZ12">
            <v>1.37</v>
          </cell>
          <cell r="CC12">
            <v>15.28</v>
          </cell>
        </row>
        <row r="13">
          <cell r="BJ13">
            <v>12.2</v>
          </cell>
          <cell r="BM13">
            <v>12.8</v>
          </cell>
          <cell r="BR13">
            <v>6.59</v>
          </cell>
          <cell r="BU13">
            <v>10.86</v>
          </cell>
          <cell r="BZ13">
            <v>5.82</v>
          </cell>
          <cell r="CC13">
            <v>13.93</v>
          </cell>
        </row>
        <row r="14">
          <cell r="BJ14">
            <v>10.8</v>
          </cell>
          <cell r="BM14">
            <v>9.6</v>
          </cell>
          <cell r="BR14">
            <v>16</v>
          </cell>
          <cell r="BU14">
            <v>20.09</v>
          </cell>
          <cell r="BZ14">
            <v>5.24</v>
          </cell>
          <cell r="CC14">
            <v>8.0399999999999991</v>
          </cell>
        </row>
        <row r="15">
          <cell r="BJ15">
            <v>1</v>
          </cell>
          <cell r="BM15">
            <v>9.3000000000000007</v>
          </cell>
          <cell r="BR15">
            <v>5.85</v>
          </cell>
          <cell r="BU15">
            <v>7.66</v>
          </cell>
          <cell r="BZ15">
            <v>3.97</v>
          </cell>
          <cell r="CC15">
            <v>21.81</v>
          </cell>
        </row>
        <row r="16">
          <cell r="BJ16">
            <v>2.9</v>
          </cell>
          <cell r="BM16">
            <v>17.7</v>
          </cell>
          <cell r="BR16">
            <v>6.64</v>
          </cell>
          <cell r="BU16">
            <v>15.72</v>
          </cell>
          <cell r="BZ16">
            <v>2.14</v>
          </cell>
          <cell r="CC16">
            <v>11.36</v>
          </cell>
        </row>
        <row r="17">
          <cell r="BJ17">
            <v>14.4</v>
          </cell>
          <cell r="BM17">
            <v>15.4</v>
          </cell>
          <cell r="BR17">
            <v>5.54</v>
          </cell>
          <cell r="BU17">
            <v>15.96</v>
          </cell>
          <cell r="BZ17">
            <v>4</v>
          </cell>
          <cell r="CC17">
            <v>18.41</v>
          </cell>
        </row>
        <row r="18">
          <cell r="BJ18">
            <v>8.4</v>
          </cell>
          <cell r="BM18">
            <v>8.6999999999999993</v>
          </cell>
          <cell r="BR18">
            <v>4.0199999999999996</v>
          </cell>
          <cell r="BU18">
            <v>11.27</v>
          </cell>
          <cell r="BZ18">
            <v>4.3600000000000003</v>
          </cell>
          <cell r="CC18">
            <v>11.39</v>
          </cell>
        </row>
        <row r="19">
          <cell r="BJ19">
            <v>17.7</v>
          </cell>
          <cell r="BM19">
            <v>12.8</v>
          </cell>
          <cell r="BR19">
            <v>3.73</v>
          </cell>
          <cell r="BU19">
            <v>12.5</v>
          </cell>
          <cell r="BZ19">
            <v>8.61</v>
          </cell>
          <cell r="CC19">
            <v>22.61</v>
          </cell>
        </row>
        <row r="20">
          <cell r="BJ20">
            <v>20.100000000000001</v>
          </cell>
          <cell r="BM20">
            <v>10.6</v>
          </cell>
          <cell r="BR20">
            <v>3.81</v>
          </cell>
          <cell r="BU20">
            <v>5.92</v>
          </cell>
          <cell r="BZ20">
            <v>1.26</v>
          </cell>
          <cell r="CC20">
            <v>19.91</v>
          </cell>
        </row>
        <row r="21">
          <cell r="BJ21">
            <v>2.1</v>
          </cell>
          <cell r="BM21">
            <v>5.0999999999999996</v>
          </cell>
          <cell r="BR21">
            <v>13.33</v>
          </cell>
          <cell r="BU21">
            <v>8.7100000000000009</v>
          </cell>
          <cell r="BZ21">
            <v>4.95</v>
          </cell>
          <cell r="CC21">
            <v>11.33</v>
          </cell>
        </row>
        <row r="22">
          <cell r="BJ22">
            <v>11.1</v>
          </cell>
          <cell r="BM22">
            <v>16.7</v>
          </cell>
          <cell r="BR22">
            <v>5.31</v>
          </cell>
          <cell r="BU22">
            <v>9.31</v>
          </cell>
          <cell r="BZ22">
            <v>6.7</v>
          </cell>
          <cell r="CC22">
            <v>16.309999999999999</v>
          </cell>
        </row>
        <row r="23">
          <cell r="BJ23">
            <v>11.2</v>
          </cell>
          <cell r="BM23">
            <v>17.7</v>
          </cell>
          <cell r="BR23">
            <v>18.03</v>
          </cell>
          <cell r="BU23">
            <v>20.89</v>
          </cell>
          <cell r="BZ23">
            <v>8.59</v>
          </cell>
          <cell r="CC23">
            <v>6.95</v>
          </cell>
        </row>
        <row r="24">
          <cell r="BJ24">
            <v>10.7</v>
          </cell>
          <cell r="BM24">
            <v>8.6999999999999993</v>
          </cell>
          <cell r="BR24">
            <v>5.44</v>
          </cell>
          <cell r="BU24">
            <v>15.49</v>
          </cell>
          <cell r="BZ24">
            <v>8.18</v>
          </cell>
          <cell r="CC24">
            <v>9.9</v>
          </cell>
        </row>
        <row r="25">
          <cell r="BJ25">
            <v>1.9</v>
          </cell>
          <cell r="BM25">
            <v>26.4</v>
          </cell>
          <cell r="BR25">
            <v>7.06</v>
          </cell>
          <cell r="BU25">
            <v>17.68</v>
          </cell>
          <cell r="BZ25">
            <v>8.91</v>
          </cell>
          <cell r="CC25">
            <v>11.06</v>
          </cell>
        </row>
        <row r="26">
          <cell r="BJ26">
            <v>5.2</v>
          </cell>
          <cell r="BM26">
            <v>18</v>
          </cell>
          <cell r="BR26">
            <v>15.38</v>
          </cell>
          <cell r="BU26">
            <v>12.21</v>
          </cell>
          <cell r="BZ26">
            <v>4.51</v>
          </cell>
          <cell r="CC26">
            <v>10.71</v>
          </cell>
        </row>
        <row r="27">
          <cell r="BJ27">
            <v>9.6999999999999993</v>
          </cell>
          <cell r="BM27">
            <v>19</v>
          </cell>
          <cell r="BR27">
            <v>4.55</v>
          </cell>
          <cell r="BU27">
            <v>8</v>
          </cell>
          <cell r="BZ27">
            <v>3.01</v>
          </cell>
          <cell r="CC27">
            <v>15.32</v>
          </cell>
        </row>
        <row r="28">
          <cell r="BJ28">
            <v>5.2</v>
          </cell>
          <cell r="BM28">
            <v>16.899999999999999</v>
          </cell>
          <cell r="BR28">
            <v>12.5</v>
          </cell>
          <cell r="BU28">
            <v>13.43</v>
          </cell>
          <cell r="BZ28">
            <v>3.13</v>
          </cell>
          <cell r="CC28">
            <v>16.5</v>
          </cell>
        </row>
        <row r="29">
          <cell r="BJ29">
            <v>2.4</v>
          </cell>
          <cell r="BM29">
            <v>18.8</v>
          </cell>
          <cell r="BR29">
            <v>1.33</v>
          </cell>
          <cell r="BU29">
            <v>19.63</v>
          </cell>
          <cell r="BZ29">
            <v>6.43</v>
          </cell>
          <cell r="CC29">
            <v>24.98</v>
          </cell>
        </row>
        <row r="30">
          <cell r="BJ30">
            <v>7.1</v>
          </cell>
          <cell r="BM30">
            <v>8.5</v>
          </cell>
          <cell r="BR30">
            <v>4.21</v>
          </cell>
          <cell r="BU30">
            <v>18.079999999999998</v>
          </cell>
          <cell r="BZ30">
            <v>5.32</v>
          </cell>
          <cell r="CC30">
            <v>4.8</v>
          </cell>
        </row>
        <row r="31">
          <cell r="BJ31">
            <v>8.6999999999999993</v>
          </cell>
          <cell r="BM31">
            <v>1.2</v>
          </cell>
          <cell r="BR31">
            <v>6.63</v>
          </cell>
          <cell r="BU31">
            <v>8.16</v>
          </cell>
          <cell r="BZ31">
            <v>1.19</v>
          </cell>
          <cell r="CC31">
            <v>10.5</v>
          </cell>
        </row>
        <row r="32">
          <cell r="BJ32">
            <v>8</v>
          </cell>
          <cell r="BM32">
            <v>11.5</v>
          </cell>
          <cell r="BR32">
            <v>5.56</v>
          </cell>
          <cell r="BU32">
            <v>10</v>
          </cell>
          <cell r="BZ32">
            <v>4.5199999999999996</v>
          </cell>
          <cell r="CC32">
            <v>5.26</v>
          </cell>
        </row>
        <row r="33">
          <cell r="BJ33">
            <v>11.3</v>
          </cell>
          <cell r="BM33">
            <v>21.4</v>
          </cell>
          <cell r="BR33">
            <v>2.67</v>
          </cell>
          <cell r="BU33">
            <v>16.05</v>
          </cell>
          <cell r="BZ33">
            <v>2.61</v>
          </cell>
          <cell r="CC33">
            <v>9.1999999999999993</v>
          </cell>
        </row>
        <row r="34">
          <cell r="BJ34">
            <v>8.5</v>
          </cell>
          <cell r="BM34">
            <v>10.3</v>
          </cell>
          <cell r="BR34">
            <v>5.29</v>
          </cell>
          <cell r="BU34">
            <v>5.19</v>
          </cell>
          <cell r="BZ34">
            <v>3.61</v>
          </cell>
          <cell r="CC34">
            <v>13.9</v>
          </cell>
        </row>
        <row r="35">
          <cell r="BJ35">
            <v>9.1</v>
          </cell>
          <cell r="BM35">
            <v>9</v>
          </cell>
          <cell r="BR35">
            <v>18.18</v>
          </cell>
          <cell r="BU35">
            <v>10.14</v>
          </cell>
          <cell r="BZ35">
            <v>4.97</v>
          </cell>
          <cell r="CC35">
            <v>13.39</v>
          </cell>
        </row>
        <row r="36">
          <cell r="BJ36">
            <v>4.5</v>
          </cell>
          <cell r="BM36">
            <v>12.8</v>
          </cell>
          <cell r="BR36">
            <v>10.48</v>
          </cell>
          <cell r="BU36">
            <v>2.37</v>
          </cell>
          <cell r="BZ36">
            <v>0.34</v>
          </cell>
          <cell r="CC36">
            <v>7.78</v>
          </cell>
        </row>
        <row r="37">
          <cell r="BJ37">
            <v>9.1999999999999993</v>
          </cell>
          <cell r="BM37">
            <v>12</v>
          </cell>
          <cell r="BR37">
            <v>4.04</v>
          </cell>
          <cell r="BU37">
            <v>9.64</v>
          </cell>
          <cell r="BZ37">
            <v>5.38</v>
          </cell>
          <cell r="CC37">
            <v>13.82</v>
          </cell>
        </row>
        <row r="38">
          <cell r="BJ38">
            <v>13.3</v>
          </cell>
          <cell r="BM38">
            <v>34.700000000000003</v>
          </cell>
          <cell r="BR38">
            <v>2.94</v>
          </cell>
          <cell r="BU38">
            <v>20</v>
          </cell>
          <cell r="BZ38">
            <v>0</v>
          </cell>
          <cell r="CC38">
            <v>3.2</v>
          </cell>
        </row>
        <row r="39">
          <cell r="BJ39">
            <v>18.3</v>
          </cell>
          <cell r="BM39">
            <v>4.0999999999999996</v>
          </cell>
          <cell r="BR39">
            <v>2.84</v>
          </cell>
          <cell r="BU39">
            <v>14.45</v>
          </cell>
          <cell r="BZ39">
            <v>6.2</v>
          </cell>
          <cell r="CC39">
            <v>5.65</v>
          </cell>
        </row>
        <row r="40">
          <cell r="BJ40">
            <v>2.8</v>
          </cell>
          <cell r="BR40">
            <v>3.55</v>
          </cell>
          <cell r="BU40">
            <v>12.41</v>
          </cell>
          <cell r="BZ40">
            <v>2.44</v>
          </cell>
          <cell r="CC40">
            <v>11.3</v>
          </cell>
        </row>
        <row r="41">
          <cell r="BJ41">
            <v>5.0999999999999996</v>
          </cell>
          <cell r="BR41">
            <v>6.25</v>
          </cell>
          <cell r="BU41">
            <v>3.57</v>
          </cell>
          <cell r="BZ41">
            <v>1.96</v>
          </cell>
          <cell r="CC41">
            <v>9.61</v>
          </cell>
        </row>
        <row r="42">
          <cell r="BJ42">
            <v>12.4</v>
          </cell>
          <cell r="BR42">
            <v>10.23</v>
          </cell>
          <cell r="BU42">
            <v>4.78</v>
          </cell>
          <cell r="BZ42">
            <v>1.19</v>
          </cell>
          <cell r="CC42">
            <v>6.23</v>
          </cell>
        </row>
        <row r="43">
          <cell r="BR43">
            <v>1</v>
          </cell>
          <cell r="BU43">
            <v>17.829999999999998</v>
          </cell>
          <cell r="BZ43">
            <v>6.42</v>
          </cell>
          <cell r="CC43">
            <v>5.91</v>
          </cell>
        </row>
        <row r="44">
          <cell r="BR44">
            <v>8</v>
          </cell>
          <cell r="BU44">
            <v>7.97</v>
          </cell>
          <cell r="BZ44">
            <v>2.5499999999999998</v>
          </cell>
          <cell r="CC44">
            <v>17.86</v>
          </cell>
        </row>
        <row r="45">
          <cell r="BR45">
            <v>4.6900000000000004</v>
          </cell>
          <cell r="BU45">
            <v>13.18</v>
          </cell>
          <cell r="BZ45">
            <v>2.2599999999999998</v>
          </cell>
          <cell r="CC45">
            <v>2.0699999999999998</v>
          </cell>
        </row>
        <row r="46">
          <cell r="BR46">
            <v>5.17</v>
          </cell>
          <cell r="BU46">
            <v>13.64</v>
          </cell>
          <cell r="BZ46">
            <v>3.66</v>
          </cell>
          <cell r="CC46">
            <v>20.21</v>
          </cell>
        </row>
        <row r="47">
          <cell r="BR47">
            <v>5.63</v>
          </cell>
          <cell r="BU47">
            <v>10.19</v>
          </cell>
          <cell r="BZ47">
            <v>2.75</v>
          </cell>
          <cell r="CC47">
            <v>23.86</v>
          </cell>
        </row>
        <row r="48">
          <cell r="BR48">
            <v>10.119999999999999</v>
          </cell>
          <cell r="BU48">
            <v>15.89</v>
          </cell>
          <cell r="BZ48">
            <v>6.3</v>
          </cell>
          <cell r="CC48">
            <v>13.28</v>
          </cell>
        </row>
        <row r="49">
          <cell r="BR49">
            <v>13.21</v>
          </cell>
          <cell r="BU49">
            <v>6.6</v>
          </cell>
          <cell r="BZ49">
            <v>1.63</v>
          </cell>
          <cell r="CC49">
            <v>5.86</v>
          </cell>
        </row>
        <row r="50">
          <cell r="BR50">
            <v>8.3800000000000008</v>
          </cell>
          <cell r="BU50">
            <v>7.81</v>
          </cell>
          <cell r="BZ50">
            <v>3.29</v>
          </cell>
          <cell r="CC50">
            <v>11.71</v>
          </cell>
        </row>
        <row r="51">
          <cell r="BR51">
            <v>3.82</v>
          </cell>
          <cell r="BU51">
            <v>10.9</v>
          </cell>
          <cell r="BZ51">
            <v>6.09</v>
          </cell>
          <cell r="CC51">
            <v>12.69</v>
          </cell>
        </row>
        <row r="52">
          <cell r="BR52">
            <v>3.7</v>
          </cell>
          <cell r="BU52">
            <v>21.63</v>
          </cell>
          <cell r="BZ52">
            <v>2.5499999999999998</v>
          </cell>
          <cell r="CC52">
            <v>10.86</v>
          </cell>
        </row>
        <row r="53">
          <cell r="BR53">
            <v>7.83</v>
          </cell>
          <cell r="BU53">
            <v>6.36</v>
          </cell>
          <cell r="BZ53">
            <v>9.09</v>
          </cell>
          <cell r="CC53">
            <v>7.12</v>
          </cell>
        </row>
        <row r="54">
          <cell r="BR54">
            <v>3.66</v>
          </cell>
          <cell r="BU54">
            <v>16.96</v>
          </cell>
          <cell r="BZ54">
            <v>3.49</v>
          </cell>
          <cell r="CC54">
            <v>8.33</v>
          </cell>
        </row>
        <row r="55">
          <cell r="BR55">
            <v>9.06</v>
          </cell>
          <cell r="BU55">
            <v>8.4</v>
          </cell>
          <cell r="BZ55">
            <v>9.98</v>
          </cell>
          <cell r="CC55">
            <v>2.44</v>
          </cell>
        </row>
        <row r="56">
          <cell r="BR56">
            <v>5.16</v>
          </cell>
          <cell r="BU56">
            <v>7.75</v>
          </cell>
          <cell r="BZ56">
            <v>1.1100000000000001</v>
          </cell>
          <cell r="CC56">
            <v>9.86</v>
          </cell>
        </row>
        <row r="57">
          <cell r="BU57">
            <v>8.7899999999999991</v>
          </cell>
          <cell r="BZ57">
            <v>1.75</v>
          </cell>
          <cell r="CC57">
            <v>22.53</v>
          </cell>
        </row>
        <row r="58">
          <cell r="BU58">
            <v>9.77</v>
          </cell>
          <cell r="BZ58">
            <v>6.23</v>
          </cell>
          <cell r="CC58">
            <v>13.2</v>
          </cell>
        </row>
        <row r="59">
          <cell r="BU59">
            <v>10.220000000000001</v>
          </cell>
          <cell r="BZ59">
            <v>8.7799999999999994</v>
          </cell>
          <cell r="CC59">
            <v>11.89</v>
          </cell>
        </row>
        <row r="60">
          <cell r="BU60">
            <v>8.2799999999999994</v>
          </cell>
          <cell r="BZ60">
            <v>4.82</v>
          </cell>
          <cell r="CC60">
            <v>7.47</v>
          </cell>
        </row>
        <row r="61">
          <cell r="BU61">
            <v>21.43</v>
          </cell>
          <cell r="BZ61">
            <v>2.15</v>
          </cell>
          <cell r="CC61">
            <v>14.16</v>
          </cell>
        </row>
        <row r="62">
          <cell r="BU62">
            <v>6.25</v>
          </cell>
          <cell r="BZ62">
            <v>2.82</v>
          </cell>
          <cell r="CC62">
            <v>7.11</v>
          </cell>
        </row>
        <row r="63">
          <cell r="BU63">
            <v>10.61</v>
          </cell>
          <cell r="CC63">
            <v>5.52</v>
          </cell>
        </row>
        <row r="64">
          <cell r="BU64">
            <v>3.41</v>
          </cell>
        </row>
        <row r="65">
          <cell r="BU65">
            <v>15.29</v>
          </cell>
        </row>
        <row r="66">
          <cell r="BU66">
            <v>10.28</v>
          </cell>
        </row>
        <row r="67">
          <cell r="BU67">
            <v>18.899999999999999</v>
          </cell>
        </row>
        <row r="68">
          <cell r="BU68">
            <v>17.690000000000001</v>
          </cell>
        </row>
        <row r="69">
          <cell r="BU69">
            <v>9.2799999999999994</v>
          </cell>
        </row>
        <row r="70">
          <cell r="BU70">
            <v>27.03</v>
          </cell>
        </row>
        <row r="71">
          <cell r="BU71">
            <v>7.69</v>
          </cell>
        </row>
        <row r="72">
          <cell r="BU72">
            <v>8.2899999999999991</v>
          </cell>
        </row>
        <row r="73">
          <cell r="BU73">
            <v>15.85</v>
          </cell>
        </row>
        <row r="74">
          <cell r="BU74">
            <v>22.54</v>
          </cell>
        </row>
        <row r="75">
          <cell r="BU75">
            <v>10.77</v>
          </cell>
        </row>
        <row r="76">
          <cell r="BU76">
            <v>0.56000000000000005</v>
          </cell>
        </row>
        <row r="77">
          <cell r="BU77">
            <v>9.82</v>
          </cell>
        </row>
        <row r="78">
          <cell r="BU78">
            <v>14.2</v>
          </cell>
        </row>
        <row r="79">
          <cell r="BU79">
            <v>11.11</v>
          </cell>
        </row>
        <row r="80">
          <cell r="BU80">
            <v>16.14</v>
          </cell>
        </row>
        <row r="81">
          <cell r="BU81">
            <v>4.41</v>
          </cell>
        </row>
        <row r="82">
          <cell r="BU82">
            <v>5.97</v>
          </cell>
        </row>
        <row r="83">
          <cell r="BU83">
            <v>18.420000000000002</v>
          </cell>
        </row>
        <row r="84">
          <cell r="BU84">
            <v>16.899999999999999</v>
          </cell>
        </row>
        <row r="85">
          <cell r="BU85">
            <v>7.14</v>
          </cell>
        </row>
        <row r="86">
          <cell r="BU86">
            <v>16.850000000000001</v>
          </cell>
        </row>
        <row r="87">
          <cell r="BU87">
            <v>1.92</v>
          </cell>
        </row>
        <row r="88">
          <cell r="BU88">
            <v>9.57</v>
          </cell>
        </row>
        <row r="89">
          <cell r="BU89">
            <v>23.69</v>
          </cell>
        </row>
        <row r="90">
          <cell r="BU90">
            <v>22.64</v>
          </cell>
        </row>
        <row r="91">
          <cell r="BU91">
            <v>9.92</v>
          </cell>
        </row>
        <row r="92">
          <cell r="BU92">
            <v>8.98</v>
          </cell>
        </row>
        <row r="93">
          <cell r="BU93">
            <v>11.23</v>
          </cell>
        </row>
        <row r="94">
          <cell r="BU94">
            <v>9.17</v>
          </cell>
        </row>
        <row r="95">
          <cell r="BU95">
            <v>14.29</v>
          </cell>
        </row>
        <row r="96">
          <cell r="BU96">
            <v>12.95</v>
          </cell>
        </row>
        <row r="97">
          <cell r="BU97">
            <v>13.74</v>
          </cell>
        </row>
        <row r="98">
          <cell r="BU98">
            <v>9.66</v>
          </cell>
        </row>
        <row r="99">
          <cell r="BU99">
            <v>11.43</v>
          </cell>
        </row>
        <row r="100">
          <cell r="BU100">
            <v>11.35</v>
          </cell>
        </row>
        <row r="101">
          <cell r="BU101">
            <v>6.25</v>
          </cell>
        </row>
        <row r="102">
          <cell r="BU102">
            <v>9.4499999999999993</v>
          </cell>
        </row>
        <row r="103">
          <cell r="BU103">
            <v>13.39</v>
          </cell>
        </row>
        <row r="104">
          <cell r="BU104">
            <v>4.07</v>
          </cell>
        </row>
        <row r="105">
          <cell r="BU105">
            <v>11.4</v>
          </cell>
        </row>
        <row r="106">
          <cell r="BU106">
            <v>11.51</v>
          </cell>
        </row>
        <row r="107">
          <cell r="BU107">
            <v>12.88</v>
          </cell>
        </row>
        <row r="108">
          <cell r="BU108">
            <v>5.64</v>
          </cell>
        </row>
        <row r="109">
          <cell r="BU109">
            <v>7.78</v>
          </cell>
        </row>
        <row r="110">
          <cell r="BU110">
            <v>26.77</v>
          </cell>
        </row>
        <row r="111">
          <cell r="BU111">
            <v>12.69</v>
          </cell>
        </row>
      </sheetData>
      <sheetData sheetId="2">
        <row r="4">
          <cell r="BI4" t="str">
            <v>Thomason 1</v>
          </cell>
          <cell r="BN4" t="str">
            <v>Thomason 2</v>
          </cell>
          <cell r="BS4" t="str">
            <v>Thomason 3</v>
          </cell>
        </row>
        <row r="5">
          <cell r="G5" t="str">
            <v>Thomason 1</v>
          </cell>
          <cell r="BI5" t="str">
            <v>LSAT score</v>
          </cell>
          <cell r="BN5" t="str">
            <v>LSAT score</v>
          </cell>
          <cell r="BS5" t="str">
            <v>HCTA score</v>
          </cell>
        </row>
        <row r="6">
          <cell r="G6" t="str">
            <v>LSAT score</v>
          </cell>
        </row>
        <row r="7">
          <cell r="BH7" t="str">
            <v>Pretest</v>
          </cell>
          <cell r="BI7" t="str">
            <v>Posttest</v>
          </cell>
          <cell r="BM7" t="str">
            <v>Pretest</v>
          </cell>
          <cell r="BN7" t="str">
            <v>Posttest</v>
          </cell>
          <cell r="BR7" t="str">
            <v>Pretest</v>
          </cell>
          <cell r="BS7" t="str">
            <v>Posttest</v>
          </cell>
        </row>
        <row r="8">
          <cell r="F8" t="str">
            <v>Pretest</v>
          </cell>
          <cell r="G8" t="str">
            <v>Posttest</v>
          </cell>
          <cell r="BH8">
            <v>13</v>
          </cell>
          <cell r="BI8">
            <v>14</v>
          </cell>
          <cell r="BM8">
            <v>10</v>
          </cell>
          <cell r="BN8">
            <v>12</v>
          </cell>
          <cell r="BR8">
            <v>41</v>
          </cell>
          <cell r="BS8">
            <v>52</v>
          </cell>
        </row>
        <row r="9">
          <cell r="BH9">
            <v>12</v>
          </cell>
          <cell r="BI9">
            <v>13</v>
          </cell>
          <cell r="BM9">
            <v>14</v>
          </cell>
          <cell r="BN9">
            <v>19</v>
          </cell>
          <cell r="BR9">
            <v>50</v>
          </cell>
          <cell r="BS9">
            <v>63</v>
          </cell>
        </row>
        <row r="10">
          <cell r="BH10">
            <v>12</v>
          </cell>
          <cell r="BI10">
            <v>16</v>
          </cell>
          <cell r="BM10">
            <v>7</v>
          </cell>
          <cell r="BN10">
            <v>6</v>
          </cell>
          <cell r="BR10">
            <v>71</v>
          </cell>
          <cell r="BS10">
            <v>69</v>
          </cell>
        </row>
        <row r="11">
          <cell r="BH11">
            <v>9</v>
          </cell>
          <cell r="BI11">
            <v>12</v>
          </cell>
          <cell r="BM11">
            <v>12</v>
          </cell>
          <cell r="BN11">
            <v>9</v>
          </cell>
          <cell r="BR11">
            <v>70</v>
          </cell>
          <cell r="BS11">
            <v>71</v>
          </cell>
        </row>
        <row r="12">
          <cell r="BH12">
            <v>14</v>
          </cell>
          <cell r="BI12">
            <v>15</v>
          </cell>
          <cell r="BM12">
            <v>11</v>
          </cell>
          <cell r="BN12">
            <v>15</v>
          </cell>
          <cell r="BR12">
            <v>74</v>
          </cell>
          <cell r="BS12">
            <v>80</v>
          </cell>
        </row>
        <row r="13">
          <cell r="BH13">
            <v>17</v>
          </cell>
          <cell r="BI13">
            <v>18</v>
          </cell>
          <cell r="BM13">
            <v>11</v>
          </cell>
          <cell r="BN13">
            <v>13</v>
          </cell>
          <cell r="BR13">
            <v>75</v>
          </cell>
          <cell r="BS13">
            <v>80</v>
          </cell>
        </row>
        <row r="14">
          <cell r="BH14">
            <v>14</v>
          </cell>
          <cell r="BI14">
            <v>13</v>
          </cell>
          <cell r="BM14">
            <v>15</v>
          </cell>
          <cell r="BN14">
            <v>17</v>
          </cell>
          <cell r="BR14">
            <v>64</v>
          </cell>
          <cell r="BS14">
            <v>69</v>
          </cell>
        </row>
        <row r="15">
          <cell r="BH15">
            <v>9</v>
          </cell>
          <cell r="BI15">
            <v>10</v>
          </cell>
          <cell r="BM15">
            <v>14</v>
          </cell>
          <cell r="BN15">
            <v>14</v>
          </cell>
          <cell r="BR15">
            <v>72</v>
          </cell>
          <cell r="BS15">
            <v>76</v>
          </cell>
        </row>
        <row r="16">
          <cell r="BH16">
            <v>6</v>
          </cell>
          <cell r="BI16">
            <v>10</v>
          </cell>
          <cell r="BM16">
            <v>9</v>
          </cell>
          <cell r="BN16">
            <v>10</v>
          </cell>
          <cell r="BR16">
            <v>77</v>
          </cell>
          <cell r="BS16">
            <v>78</v>
          </cell>
        </row>
        <row r="17">
          <cell r="BH17">
            <v>7</v>
          </cell>
          <cell r="BI17">
            <v>8</v>
          </cell>
          <cell r="BM17">
            <v>16</v>
          </cell>
          <cell r="BN17">
            <v>17</v>
          </cell>
          <cell r="BR17">
            <v>53</v>
          </cell>
          <cell r="BS17">
            <v>77</v>
          </cell>
        </row>
        <row r="18">
          <cell r="BH18">
            <v>11</v>
          </cell>
          <cell r="BI18">
            <v>14</v>
          </cell>
          <cell r="BM18">
            <v>10</v>
          </cell>
          <cell r="BN18">
            <v>9</v>
          </cell>
          <cell r="BR18">
            <v>60</v>
          </cell>
          <cell r="BS18">
            <v>67</v>
          </cell>
        </row>
        <row r="19">
          <cell r="BH19">
            <v>15</v>
          </cell>
          <cell r="BI19">
            <v>16</v>
          </cell>
          <cell r="BM19">
            <v>11</v>
          </cell>
          <cell r="BN19">
            <v>14</v>
          </cell>
          <cell r="BR19">
            <v>73</v>
          </cell>
          <cell r="BS19">
            <v>76</v>
          </cell>
        </row>
        <row r="20">
          <cell r="BM20">
            <v>13</v>
          </cell>
          <cell r="BN20">
            <v>15</v>
          </cell>
          <cell r="BR20">
            <v>72</v>
          </cell>
          <cell r="BS20">
            <v>69</v>
          </cell>
        </row>
        <row r="21">
          <cell r="BM21">
            <v>19</v>
          </cell>
          <cell r="BN21">
            <v>22</v>
          </cell>
          <cell r="BR21">
            <v>62</v>
          </cell>
          <cell r="BS21">
            <v>73</v>
          </cell>
        </row>
        <row r="22">
          <cell r="BM22">
            <v>19</v>
          </cell>
          <cell r="BN22">
            <v>18</v>
          </cell>
          <cell r="BR22">
            <v>68</v>
          </cell>
          <cell r="BS22">
            <v>73</v>
          </cell>
        </row>
        <row r="23">
          <cell r="BM23">
            <v>15</v>
          </cell>
          <cell r="BN23">
            <v>18</v>
          </cell>
          <cell r="BR23">
            <v>63</v>
          </cell>
          <cell r="BS23">
            <v>68</v>
          </cell>
        </row>
        <row r="24">
          <cell r="BR24">
            <v>69</v>
          </cell>
          <cell r="BS24">
            <v>70</v>
          </cell>
        </row>
        <row r="25">
          <cell r="BR25">
            <v>71</v>
          </cell>
          <cell r="BS25">
            <v>81</v>
          </cell>
        </row>
        <row r="26">
          <cell r="BR26">
            <v>70</v>
          </cell>
          <cell r="BS26">
            <v>70</v>
          </cell>
        </row>
        <row r="27">
          <cell r="BR27">
            <v>70</v>
          </cell>
          <cell r="BS27">
            <v>76</v>
          </cell>
        </row>
        <row r="28">
          <cell r="BR28">
            <v>75</v>
          </cell>
          <cell r="BS28">
            <v>77</v>
          </cell>
        </row>
        <row r="29">
          <cell r="BR29">
            <v>71</v>
          </cell>
          <cell r="BS29">
            <v>75</v>
          </cell>
        </row>
        <row r="30">
          <cell r="BR30">
            <v>76</v>
          </cell>
          <cell r="BS30">
            <v>69</v>
          </cell>
        </row>
        <row r="31">
          <cell r="BR31">
            <v>64</v>
          </cell>
          <cell r="BS31">
            <v>77</v>
          </cell>
        </row>
        <row r="32">
          <cell r="BR32">
            <v>70</v>
          </cell>
          <cell r="BS32">
            <v>70</v>
          </cell>
        </row>
        <row r="33">
          <cell r="BR33">
            <v>65</v>
          </cell>
          <cell r="BS33">
            <v>76</v>
          </cell>
        </row>
        <row r="34">
          <cell r="BR34">
            <v>75</v>
          </cell>
          <cell r="BS34">
            <v>65</v>
          </cell>
        </row>
        <row r="35">
          <cell r="BR35">
            <v>66</v>
          </cell>
          <cell r="BS35">
            <v>64</v>
          </cell>
        </row>
        <row r="36">
          <cell r="BR36">
            <v>70</v>
          </cell>
          <cell r="BS36">
            <v>72</v>
          </cell>
        </row>
        <row r="37">
          <cell r="BR37">
            <v>70</v>
          </cell>
          <cell r="BS37">
            <v>71</v>
          </cell>
        </row>
        <row r="38">
          <cell r="BR38">
            <v>64</v>
          </cell>
          <cell r="BS38">
            <v>63</v>
          </cell>
        </row>
        <row r="39">
          <cell r="BR39">
            <v>72</v>
          </cell>
          <cell r="BS39">
            <v>78</v>
          </cell>
        </row>
        <row r="40">
          <cell r="BR40">
            <v>63</v>
          </cell>
          <cell r="BS40">
            <v>71</v>
          </cell>
        </row>
        <row r="41">
          <cell r="BR41">
            <v>68</v>
          </cell>
          <cell r="BS41">
            <v>77</v>
          </cell>
        </row>
        <row r="42">
          <cell r="BR42">
            <v>64</v>
          </cell>
          <cell r="BS42">
            <v>67</v>
          </cell>
        </row>
        <row r="43">
          <cell r="BR43">
            <v>61</v>
          </cell>
          <cell r="BS43">
            <v>66</v>
          </cell>
        </row>
        <row r="44">
          <cell r="BR44">
            <v>63</v>
          </cell>
          <cell r="BS44">
            <v>73</v>
          </cell>
        </row>
        <row r="45">
          <cell r="BR45">
            <v>76</v>
          </cell>
          <cell r="BS45">
            <v>75</v>
          </cell>
        </row>
        <row r="46">
          <cell r="BR46">
            <v>71</v>
          </cell>
          <cell r="BS46">
            <v>75</v>
          </cell>
        </row>
      </sheetData>
      <sheetData sheetId="3"/>
      <sheetData sheetId="4"/>
      <sheetData sheetId="5"/>
      <sheetData sheetId="6">
        <row r="7">
          <cell r="A7">
            <v>25</v>
          </cell>
          <cell r="B7">
            <v>25</v>
          </cell>
        </row>
        <row r="8">
          <cell r="A8">
            <v>0.3</v>
          </cell>
          <cell r="B8">
            <v>0.3</v>
          </cell>
        </row>
        <row r="9">
          <cell r="AY9">
            <v>2</v>
          </cell>
        </row>
      </sheetData>
      <sheetData sheetId="7">
        <row r="1">
          <cell r="CK1" t="b">
            <v>1</v>
          </cell>
          <cell r="CN1" t="b">
            <v>0</v>
          </cell>
        </row>
        <row r="4">
          <cell r="BG4" t="str">
            <v>Thomason 1</v>
          </cell>
          <cell r="BL4" t="str">
            <v>Sevincer</v>
          </cell>
          <cell r="BQ4" t="str">
            <v>Thomason 2</v>
          </cell>
        </row>
        <row r="5">
          <cell r="C5" t="str">
            <v>Thomason 2</v>
          </cell>
        </row>
        <row r="6">
          <cell r="BF6" t="str">
            <v>HCTA pretest</v>
          </cell>
          <cell r="BG6" t="str">
            <v>HCTA posttest</v>
          </cell>
          <cell r="BK6" t="str">
            <v>Positivity</v>
          </cell>
          <cell r="BL6" t="str">
            <v>GDP change</v>
          </cell>
          <cell r="BP6" t="str">
            <v>LSAT Pretest</v>
          </cell>
          <cell r="BQ6" t="str">
            <v>LSAT Posttest</v>
          </cell>
        </row>
        <row r="7">
          <cell r="BF7">
            <v>41</v>
          </cell>
          <cell r="BG7">
            <v>52</v>
          </cell>
          <cell r="BK7">
            <v>2.7</v>
          </cell>
          <cell r="BL7">
            <v>43.6</v>
          </cell>
          <cell r="BP7">
            <v>13</v>
          </cell>
          <cell r="BQ7">
            <v>14</v>
          </cell>
        </row>
        <row r="8">
          <cell r="BF8">
            <v>50</v>
          </cell>
          <cell r="BG8">
            <v>63</v>
          </cell>
          <cell r="BK8">
            <v>1.1399999999999999</v>
          </cell>
          <cell r="BL8">
            <v>32.9</v>
          </cell>
          <cell r="BP8">
            <v>12</v>
          </cell>
          <cell r="BQ8">
            <v>13</v>
          </cell>
        </row>
        <row r="9">
          <cell r="BF9">
            <v>71</v>
          </cell>
          <cell r="BG9">
            <v>69</v>
          </cell>
          <cell r="BK9">
            <v>4.9999999999999656E-2</v>
          </cell>
          <cell r="BL9">
            <v>47.3</v>
          </cell>
          <cell r="BP9">
            <v>12</v>
          </cell>
          <cell r="BQ9">
            <v>16</v>
          </cell>
        </row>
        <row r="10">
          <cell r="BF10">
            <v>70</v>
          </cell>
          <cell r="BG10">
            <v>71</v>
          </cell>
          <cell r="BK10">
            <v>6.47</v>
          </cell>
          <cell r="BL10">
            <v>-8.3000000000000007</v>
          </cell>
          <cell r="BP10">
            <v>9</v>
          </cell>
          <cell r="BQ10">
            <v>12</v>
          </cell>
        </row>
        <row r="11">
          <cell r="B11" t="str">
            <v>LSAT Pretest</v>
          </cell>
          <cell r="C11" t="str">
            <v>LSAT Posttest</v>
          </cell>
          <cell r="BF11">
            <v>74</v>
          </cell>
          <cell r="BG11">
            <v>80</v>
          </cell>
          <cell r="BK11">
            <v>6.04</v>
          </cell>
          <cell r="BL11">
            <v>27.2</v>
          </cell>
          <cell r="BP11">
            <v>14</v>
          </cell>
          <cell r="BQ11">
            <v>15</v>
          </cell>
        </row>
        <row r="12">
          <cell r="B12">
            <v>13</v>
          </cell>
          <cell r="BF12">
            <v>75</v>
          </cell>
          <cell r="BG12">
            <v>80</v>
          </cell>
          <cell r="BK12">
            <v>5.72</v>
          </cell>
          <cell r="BL12">
            <v>10.8</v>
          </cell>
          <cell r="BP12">
            <v>17</v>
          </cell>
          <cell r="BQ12">
            <v>18</v>
          </cell>
        </row>
        <row r="13">
          <cell r="BF13">
            <v>64</v>
          </cell>
          <cell r="BG13">
            <v>69</v>
          </cell>
          <cell r="BK13">
            <v>6.21</v>
          </cell>
          <cell r="BL13">
            <v>11.4</v>
          </cell>
          <cell r="BP13">
            <v>14</v>
          </cell>
          <cell r="BQ13">
            <v>13</v>
          </cell>
        </row>
        <row r="14">
          <cell r="BF14">
            <v>72</v>
          </cell>
          <cell r="BG14">
            <v>76</v>
          </cell>
          <cell r="BK14">
            <v>3.15</v>
          </cell>
          <cell r="BL14">
            <v>24.6</v>
          </cell>
          <cell r="BP14">
            <v>9</v>
          </cell>
          <cell r="BQ14">
            <v>10</v>
          </cell>
        </row>
        <row r="15">
          <cell r="BF15">
            <v>77</v>
          </cell>
          <cell r="BG15">
            <v>78</v>
          </cell>
          <cell r="BK15">
            <v>0.67</v>
          </cell>
          <cell r="BL15">
            <v>18</v>
          </cell>
          <cell r="BP15">
            <v>6</v>
          </cell>
          <cell r="BQ15">
            <v>10</v>
          </cell>
        </row>
        <row r="16">
          <cell r="BF16">
            <v>53</v>
          </cell>
          <cell r="BG16">
            <v>77</v>
          </cell>
          <cell r="BK16">
            <v>2.3199999999999998</v>
          </cell>
          <cell r="BL16">
            <v>15.4</v>
          </cell>
          <cell r="BP16">
            <v>7</v>
          </cell>
          <cell r="BQ16">
            <v>8</v>
          </cell>
        </row>
        <row r="17">
          <cell r="BF17">
            <v>60</v>
          </cell>
          <cell r="BG17">
            <v>67</v>
          </cell>
          <cell r="BK17">
            <v>4.3099999999999996</v>
          </cell>
          <cell r="BL17">
            <v>-0.5</v>
          </cell>
          <cell r="BP17">
            <v>11</v>
          </cell>
          <cell r="BQ17">
            <v>14</v>
          </cell>
        </row>
        <row r="18">
          <cell r="BF18">
            <v>73</v>
          </cell>
          <cell r="BG18">
            <v>76</v>
          </cell>
          <cell r="BK18">
            <v>3.75</v>
          </cell>
          <cell r="BL18">
            <v>10</v>
          </cell>
          <cell r="BP18">
            <v>15</v>
          </cell>
          <cell r="BQ18">
            <v>16</v>
          </cell>
        </row>
        <row r="19">
          <cell r="BF19">
            <v>72</v>
          </cell>
          <cell r="BG19">
            <v>69</v>
          </cell>
          <cell r="BK19">
            <v>3.24</v>
          </cell>
          <cell r="BL19">
            <v>11.3</v>
          </cell>
        </row>
        <row r="20">
          <cell r="BF20">
            <v>62</v>
          </cell>
          <cell r="BG20">
            <v>73</v>
          </cell>
          <cell r="BK20">
            <v>6.04</v>
          </cell>
          <cell r="BL20">
            <v>14.4</v>
          </cell>
        </row>
        <row r="21">
          <cell r="BF21">
            <v>68</v>
          </cell>
          <cell r="BG21">
            <v>73</v>
          </cell>
          <cell r="BK21">
            <v>1.41</v>
          </cell>
          <cell r="BL21">
            <v>15.1</v>
          </cell>
        </row>
        <row r="22">
          <cell r="BF22">
            <v>63</v>
          </cell>
          <cell r="BG22">
            <v>68</v>
          </cell>
          <cell r="BK22">
            <v>3.96</v>
          </cell>
          <cell r="BL22">
            <v>-15.4</v>
          </cell>
        </row>
        <row r="23">
          <cell r="BF23">
            <v>69</v>
          </cell>
          <cell r="BG23">
            <v>70</v>
          </cell>
          <cell r="BK23">
            <v>1.66</v>
          </cell>
          <cell r="BL23">
            <v>47.7</v>
          </cell>
        </row>
        <row r="24">
          <cell r="BF24">
            <v>71</v>
          </cell>
          <cell r="BG24">
            <v>81</v>
          </cell>
          <cell r="BK24">
            <v>2.66</v>
          </cell>
          <cell r="BL24">
            <v>15.2</v>
          </cell>
        </row>
        <row r="25">
          <cell r="BF25">
            <v>70</v>
          </cell>
          <cell r="BG25">
            <v>70</v>
          </cell>
          <cell r="BK25">
            <v>4.21</v>
          </cell>
          <cell r="BL25">
            <v>11.3</v>
          </cell>
        </row>
        <row r="26">
          <cell r="BF26">
            <v>70</v>
          </cell>
          <cell r="BG26">
            <v>76</v>
          </cell>
          <cell r="BK26">
            <v>4.54</v>
          </cell>
          <cell r="BL26">
            <v>1.1000000000000001</v>
          </cell>
        </row>
        <row r="27">
          <cell r="BF27">
            <v>75</v>
          </cell>
          <cell r="BG27">
            <v>77</v>
          </cell>
          <cell r="BK27">
            <v>1.24</v>
          </cell>
          <cell r="BL27">
            <v>6.6</v>
          </cell>
        </row>
        <row r="28">
          <cell r="BF28">
            <v>71</v>
          </cell>
          <cell r="BG28">
            <v>75</v>
          </cell>
        </row>
        <row r="29">
          <cell r="BF29">
            <v>76</v>
          </cell>
          <cell r="BG29">
            <v>69</v>
          </cell>
        </row>
        <row r="30">
          <cell r="BF30">
            <v>64</v>
          </cell>
          <cell r="BG30">
            <v>77</v>
          </cell>
        </row>
        <row r="31">
          <cell r="BF31">
            <v>70</v>
          </cell>
          <cell r="BG31">
            <v>70</v>
          </cell>
        </row>
        <row r="32">
          <cell r="BF32">
            <v>65</v>
          </cell>
          <cell r="BG32">
            <v>76</v>
          </cell>
        </row>
        <row r="33">
          <cell r="BF33">
            <v>75</v>
          </cell>
          <cell r="BG33">
            <v>65</v>
          </cell>
        </row>
        <row r="34">
          <cell r="BF34">
            <v>66</v>
          </cell>
          <cell r="BG34">
            <v>64</v>
          </cell>
        </row>
        <row r="35">
          <cell r="BF35">
            <v>70</v>
          </cell>
          <cell r="BG35">
            <v>72</v>
          </cell>
        </row>
        <row r="36">
          <cell r="BF36">
            <v>70</v>
          </cell>
          <cell r="BG36">
            <v>71</v>
          </cell>
        </row>
        <row r="37">
          <cell r="BF37">
            <v>64</v>
          </cell>
          <cell r="BG37">
            <v>63</v>
          </cell>
        </row>
        <row r="38">
          <cell r="BF38">
            <v>72</v>
          </cell>
          <cell r="BG38">
            <v>78</v>
          </cell>
        </row>
        <row r="39">
          <cell r="BF39">
            <v>63</v>
          </cell>
          <cell r="BG39">
            <v>71</v>
          </cell>
        </row>
        <row r="40">
          <cell r="BF40">
            <v>68</v>
          </cell>
          <cell r="BG40">
            <v>77</v>
          </cell>
        </row>
        <row r="41">
          <cell r="BF41">
            <v>64</v>
          </cell>
          <cell r="BG41">
            <v>67</v>
          </cell>
        </row>
        <row r="42">
          <cell r="BF42">
            <v>61</v>
          </cell>
          <cell r="BG42">
            <v>66</v>
          </cell>
        </row>
        <row r="43">
          <cell r="BF43">
            <v>63</v>
          </cell>
          <cell r="BG43">
            <v>73</v>
          </cell>
        </row>
        <row r="44">
          <cell r="BF44">
            <v>76</v>
          </cell>
          <cell r="BG44">
            <v>75</v>
          </cell>
        </row>
        <row r="45">
          <cell r="BF45">
            <v>71</v>
          </cell>
          <cell r="BG45">
            <v>75</v>
          </cell>
        </row>
      </sheetData>
      <sheetData sheetId="8"/>
      <sheetData sheetId="9"/>
    </sheetDataSet>
  </externalBook>
</externalLink>
</file>

<file path=xl/externalLinks/externalLink24.xml><?xml version="1.0" encoding="utf-8"?>
<externalLink xmlns="http://schemas.openxmlformats.org/spreadsheetml/2006/main">
  <externalBook xmlns:r="http://schemas.openxmlformats.org/officeDocument/2006/relationships" r:id="rId1">
    <sheetNames>
      <sheetName val="Intro"/>
      <sheetName val="Data two"/>
      <sheetName val="Data paired"/>
      <sheetName val="Summary two"/>
      <sheetName val="Summary paired"/>
      <sheetName val="d picture"/>
      <sheetName val="See r"/>
      <sheetName val="Scatterplots"/>
      <sheetName val="One correlation"/>
      <sheetName val="Two correlations"/>
      <sheetName val="One proportion"/>
      <sheetName val="Two proportions"/>
      <sheetName val="ESCI intro chapters 6, 8-11 Apr"/>
    </sheetNames>
    <sheetDataSet>
      <sheetData sheetId="0" refreshError="1"/>
      <sheetData sheetId="1">
        <row r="5">
          <cell r="H5" t="str">
            <v>PenLaptop 1</v>
          </cell>
          <cell r="BL5" t="str">
            <v>PenLaptop 1</v>
          </cell>
        </row>
        <row r="6">
          <cell r="G6" t="str">
            <v>Transcription %</v>
          </cell>
          <cell r="BK6" t="str">
            <v>Transcription %</v>
          </cell>
        </row>
        <row r="8">
          <cell r="F8" t="str">
            <v>Pen</v>
          </cell>
          <cell r="I8" t="str">
            <v>Laptop</v>
          </cell>
          <cell r="BJ8" t="str">
            <v>Pen</v>
          </cell>
          <cell r="BM8" t="str">
            <v>Laptop</v>
          </cell>
        </row>
        <row r="9">
          <cell r="BJ9">
            <v>12.1</v>
          </cell>
          <cell r="BM9">
            <v>13.7</v>
          </cell>
        </row>
        <row r="10">
          <cell r="BJ10">
            <v>6.5</v>
          </cell>
          <cell r="BM10">
            <v>21.1</v>
          </cell>
        </row>
        <row r="11">
          <cell r="BJ11">
            <v>8.1</v>
          </cell>
          <cell r="BM11">
            <v>15.2</v>
          </cell>
        </row>
        <row r="12">
          <cell r="BJ12">
            <v>7.6</v>
          </cell>
          <cell r="BM12">
            <v>30.4</v>
          </cell>
        </row>
        <row r="13">
          <cell r="BJ13">
            <v>12.2</v>
          </cell>
          <cell r="BM13">
            <v>12.8</v>
          </cell>
        </row>
        <row r="14">
          <cell r="BJ14">
            <v>10.8</v>
          </cell>
          <cell r="BM14">
            <v>9.6</v>
          </cell>
        </row>
        <row r="15">
          <cell r="BJ15">
            <v>1</v>
          </cell>
          <cell r="BM15">
            <v>9.3000000000000007</v>
          </cell>
        </row>
        <row r="16">
          <cell r="BJ16">
            <v>2.9</v>
          </cell>
          <cell r="BM16">
            <v>17.7</v>
          </cell>
        </row>
        <row r="17">
          <cell r="BJ17">
            <v>14.4</v>
          </cell>
          <cell r="BM17">
            <v>15.4</v>
          </cell>
        </row>
        <row r="18">
          <cell r="BJ18">
            <v>8.4</v>
          </cell>
          <cell r="BM18">
            <v>8.6999999999999993</v>
          </cell>
        </row>
        <row r="19">
          <cell r="BJ19">
            <v>17.7</v>
          </cell>
          <cell r="BM19">
            <v>12.8</v>
          </cell>
        </row>
        <row r="20">
          <cell r="BJ20">
            <v>20.100000000000001</v>
          </cell>
          <cell r="BM20">
            <v>10.6</v>
          </cell>
        </row>
        <row r="21">
          <cell r="BJ21">
            <v>2.1</v>
          </cell>
          <cell r="BM21">
            <v>5.0999999999999996</v>
          </cell>
        </row>
        <row r="22">
          <cell r="BJ22">
            <v>11.1</v>
          </cell>
          <cell r="BM22">
            <v>16.7</v>
          </cell>
        </row>
        <row r="23">
          <cell r="BJ23">
            <v>11.2</v>
          </cell>
          <cell r="BM23">
            <v>17.7</v>
          </cell>
        </row>
        <row r="24">
          <cell r="BJ24">
            <v>10.7</v>
          </cell>
          <cell r="BM24">
            <v>8.6999999999999993</v>
          </cell>
        </row>
        <row r="25">
          <cell r="BJ25">
            <v>1.9</v>
          </cell>
          <cell r="BM25">
            <v>26.4</v>
          </cell>
        </row>
        <row r="26">
          <cell r="BJ26">
            <v>5.2</v>
          </cell>
          <cell r="BM26">
            <v>18</v>
          </cell>
        </row>
        <row r="27">
          <cell r="BJ27">
            <v>9.6999999999999993</v>
          </cell>
          <cell r="BM27">
            <v>19</v>
          </cell>
        </row>
        <row r="28">
          <cell r="BJ28">
            <v>5.2</v>
          </cell>
          <cell r="BM28">
            <v>16.899999999999999</v>
          </cell>
        </row>
        <row r="29">
          <cell r="BJ29">
            <v>2.4</v>
          </cell>
          <cell r="BM29">
            <v>18.8</v>
          </cell>
        </row>
        <row r="30">
          <cell r="BJ30">
            <v>7.1</v>
          </cell>
          <cell r="BM30">
            <v>8.5</v>
          </cell>
        </row>
        <row r="31">
          <cell r="BJ31">
            <v>8.6999999999999993</v>
          </cell>
          <cell r="BM31">
            <v>1.2</v>
          </cell>
        </row>
        <row r="32">
          <cell r="BJ32">
            <v>8</v>
          </cell>
          <cell r="BM32">
            <v>11.5</v>
          </cell>
        </row>
        <row r="33">
          <cell r="BJ33">
            <v>11.3</v>
          </cell>
          <cell r="BM33">
            <v>21.4</v>
          </cell>
        </row>
        <row r="34">
          <cell r="BJ34">
            <v>8.5</v>
          </cell>
          <cell r="BM34">
            <v>10.3</v>
          </cell>
        </row>
        <row r="35">
          <cell r="BJ35">
            <v>9.1</v>
          </cell>
          <cell r="BM35">
            <v>9</v>
          </cell>
        </row>
        <row r="36">
          <cell r="BJ36">
            <v>4.5</v>
          </cell>
          <cell r="BM36">
            <v>12.8</v>
          </cell>
        </row>
        <row r="37">
          <cell r="BJ37">
            <v>9.1999999999999993</v>
          </cell>
          <cell r="BM37">
            <v>12</v>
          </cell>
        </row>
        <row r="38">
          <cell r="BJ38">
            <v>13.3</v>
          </cell>
          <cell r="BM38">
            <v>34.700000000000003</v>
          </cell>
        </row>
        <row r="39">
          <cell r="BJ39">
            <v>18.3</v>
          </cell>
          <cell r="BM39">
            <v>4.0999999999999996</v>
          </cell>
        </row>
        <row r="40">
          <cell r="BJ40">
            <v>2.8</v>
          </cell>
        </row>
        <row r="41">
          <cell r="BJ41">
            <v>5.0999999999999996</v>
          </cell>
        </row>
        <row r="42">
          <cell r="BJ42">
            <v>12.4</v>
          </cell>
        </row>
      </sheetData>
      <sheetData sheetId="2"/>
      <sheetData sheetId="3" refreshError="1"/>
      <sheetData sheetId="4" refreshError="1"/>
      <sheetData sheetId="5" refreshError="1"/>
      <sheetData sheetId="6"/>
      <sheetData sheetId="7">
        <row r="1">
          <cell r="DM1" t="b">
            <v>0</v>
          </cell>
          <cell r="DO1" t="b">
            <v>0</v>
          </cell>
          <cell r="DS1" t="b">
            <v>0</v>
          </cell>
          <cell r="DU1" t="b">
            <v>0</v>
          </cell>
          <cell r="DW1" t="b">
            <v>0</v>
          </cell>
        </row>
        <row r="2">
          <cell r="DS2" t="b">
            <v>0</v>
          </cell>
          <cell r="DW2" t="b">
            <v>0</v>
          </cell>
        </row>
        <row r="3">
          <cell r="DS3" t="b">
            <v>0</v>
          </cell>
        </row>
        <row r="4">
          <cell r="BR4" t="str">
            <v>MDheights20</v>
          </cell>
          <cell r="BW4" t="str">
            <v>MDheights200</v>
          </cell>
          <cell r="CB4" t="str">
            <v>MGheights200</v>
          </cell>
        </row>
        <row r="6">
          <cell r="BQ6" t="str">
            <v>Mother</v>
          </cell>
          <cell r="BR6" t="str">
            <v>Daughter</v>
          </cell>
          <cell r="BV6" t="str">
            <v>Mother</v>
          </cell>
          <cell r="BW6" t="str">
            <v>Daughter</v>
          </cell>
          <cell r="CA6" t="str">
            <v>Mother</v>
          </cell>
          <cell r="CB6" t="str">
            <v>Granddaughter</v>
          </cell>
        </row>
        <row r="7">
          <cell r="BQ7">
            <v>148.62518497603989</v>
          </cell>
          <cell r="BR7">
            <v>152.5351506567354</v>
          </cell>
          <cell r="BV7">
            <v>161.41875075517024</v>
          </cell>
          <cell r="BW7">
            <v>162.67338595803906</v>
          </cell>
          <cell r="CA7">
            <v>156.59760952983902</v>
          </cell>
          <cell r="CB7">
            <v>166.27087196456179</v>
          </cell>
        </row>
        <row r="8">
          <cell r="BQ8">
            <v>156.86060234102371</v>
          </cell>
          <cell r="BR8">
            <v>157.49473339918995</v>
          </cell>
          <cell r="BV8">
            <v>154.77357400621315</v>
          </cell>
          <cell r="BW8">
            <v>162.12701972049362</v>
          </cell>
          <cell r="CA8">
            <v>160.80973119513763</v>
          </cell>
          <cell r="CB8">
            <v>171.57646415694887</v>
          </cell>
        </row>
        <row r="9">
          <cell r="BQ9">
            <v>148.88901648748012</v>
          </cell>
          <cell r="BR9">
            <v>157.32094992326202</v>
          </cell>
          <cell r="BV9">
            <v>149.61500721881458</v>
          </cell>
          <cell r="BW9">
            <v>150.96399925458883</v>
          </cell>
          <cell r="CA9">
            <v>149.33171677718892</v>
          </cell>
          <cell r="CB9">
            <v>166.7043847622071</v>
          </cell>
        </row>
        <row r="10">
          <cell r="BQ10">
            <v>159.76273079979759</v>
          </cell>
          <cell r="BR10">
            <v>171.36118894931829</v>
          </cell>
          <cell r="BV10">
            <v>157.26387916437395</v>
          </cell>
          <cell r="BW10">
            <v>160.84536785169897</v>
          </cell>
          <cell r="CA10">
            <v>165.6468504808291</v>
          </cell>
          <cell r="CB10">
            <v>161.84638015722629</v>
          </cell>
        </row>
        <row r="11">
          <cell r="BQ11">
            <v>163.25194939817925</v>
          </cell>
          <cell r="BR11">
            <v>166.10365720169108</v>
          </cell>
          <cell r="BV11">
            <v>159.79857410658843</v>
          </cell>
          <cell r="BW11">
            <v>163.74145524454536</v>
          </cell>
          <cell r="CA11">
            <v>157.79851426533949</v>
          </cell>
          <cell r="CB11">
            <v>168.6132997808476</v>
          </cell>
        </row>
        <row r="12">
          <cell r="BQ12">
            <v>155.79214196235108</v>
          </cell>
          <cell r="BR12">
            <v>160.64739314222453</v>
          </cell>
          <cell r="BV12">
            <v>158.49011389702039</v>
          </cell>
          <cell r="BW12">
            <v>162.12709241369856</v>
          </cell>
          <cell r="CA12">
            <v>161.04613253506699</v>
          </cell>
          <cell r="CB12">
            <v>171.33727879909347</v>
          </cell>
        </row>
        <row r="13">
          <cell r="BQ13">
            <v>149.37834702587941</v>
          </cell>
          <cell r="BR13">
            <v>159.52677929941731</v>
          </cell>
          <cell r="BV13">
            <v>157.22340302687209</v>
          </cell>
          <cell r="BW13">
            <v>159.06378556034247</v>
          </cell>
          <cell r="CA13">
            <v>155.11448070411683</v>
          </cell>
          <cell r="CB13">
            <v>165.82308085087595</v>
          </cell>
        </row>
        <row r="14">
          <cell r="BQ14">
            <v>159.17163802319391</v>
          </cell>
          <cell r="BR14">
            <v>159.51665508883141</v>
          </cell>
          <cell r="BV14">
            <v>163.22289031215985</v>
          </cell>
          <cell r="BW14">
            <v>157.95990320125622</v>
          </cell>
          <cell r="CA14">
            <v>159.88413385260611</v>
          </cell>
          <cell r="CB14">
            <v>161.79905369435446</v>
          </cell>
        </row>
        <row r="15">
          <cell r="BQ15">
            <v>158.26200549536756</v>
          </cell>
          <cell r="BR15">
            <v>148.38322416607224</v>
          </cell>
          <cell r="BV15">
            <v>153.55602913248188</v>
          </cell>
          <cell r="BW15">
            <v>154.42650158593571</v>
          </cell>
          <cell r="CA15">
            <v>155.91669533896442</v>
          </cell>
          <cell r="CB15">
            <v>159.36912416378917</v>
          </cell>
        </row>
        <row r="16">
          <cell r="BQ16">
            <v>161.65311764830727</v>
          </cell>
          <cell r="BR16">
            <v>161.37809097060514</v>
          </cell>
          <cell r="BV16">
            <v>152.14352443741254</v>
          </cell>
          <cell r="BW16">
            <v>154.44951568674387</v>
          </cell>
          <cell r="CA16">
            <v>156.11066575864447</v>
          </cell>
          <cell r="CB16">
            <v>160.2156450554474</v>
          </cell>
        </row>
        <row r="17">
          <cell r="BQ17">
            <v>157.42623717848647</v>
          </cell>
          <cell r="BR17">
            <v>166.05868801531699</v>
          </cell>
          <cell r="BV17">
            <v>152.32344733564915</v>
          </cell>
          <cell r="BW17">
            <v>159.7777281714562</v>
          </cell>
          <cell r="CA17">
            <v>149.80509198286683</v>
          </cell>
          <cell r="CB17">
            <v>160.23468738311138</v>
          </cell>
        </row>
        <row r="18">
          <cell r="BQ18">
            <v>155.80427769125021</v>
          </cell>
          <cell r="BR18">
            <v>165.33200517310877</v>
          </cell>
          <cell r="BV18">
            <v>156.78457075486631</v>
          </cell>
          <cell r="BW18">
            <v>166.70122194348403</v>
          </cell>
          <cell r="CA18">
            <v>147.52319043538651</v>
          </cell>
          <cell r="CB18">
            <v>168.87951833235402</v>
          </cell>
        </row>
        <row r="19">
          <cell r="BQ19">
            <v>154.8215851255118</v>
          </cell>
          <cell r="BR19">
            <v>156.84575159532289</v>
          </cell>
          <cell r="BV19">
            <v>161.69226194643079</v>
          </cell>
          <cell r="BW19">
            <v>168.05958977238703</v>
          </cell>
          <cell r="CA19">
            <v>167.11550721023852</v>
          </cell>
          <cell r="CB19">
            <v>162.96783132331444</v>
          </cell>
        </row>
        <row r="20">
          <cell r="BQ20">
            <v>162.68715013878884</v>
          </cell>
          <cell r="BR20">
            <v>162.92235203955858</v>
          </cell>
          <cell r="BV20">
            <v>162.97114078482187</v>
          </cell>
          <cell r="BW20">
            <v>155.92049592786191</v>
          </cell>
          <cell r="CA20">
            <v>154.31049365770497</v>
          </cell>
          <cell r="CB20">
            <v>163.90934613894598</v>
          </cell>
        </row>
        <row r="21">
          <cell r="BQ21">
            <v>153.91530117638575</v>
          </cell>
          <cell r="BR21">
            <v>160.29540315970348</v>
          </cell>
          <cell r="BV21">
            <v>150.27616641113724</v>
          </cell>
          <cell r="BW21">
            <v>161.87528319986666</v>
          </cell>
          <cell r="CA21">
            <v>165.70458534918822</v>
          </cell>
          <cell r="CB21">
            <v>169.75323099786996</v>
          </cell>
        </row>
        <row r="22">
          <cell r="BQ22">
            <v>151.40767970109425</v>
          </cell>
          <cell r="BR22">
            <v>157.35187800500381</v>
          </cell>
          <cell r="BV22">
            <v>157.78638781551916</v>
          </cell>
          <cell r="BW22">
            <v>153.28598292164716</v>
          </cell>
          <cell r="CA22">
            <v>156.72301466387032</v>
          </cell>
          <cell r="CB22">
            <v>175.24620992942877</v>
          </cell>
        </row>
        <row r="23">
          <cell r="BQ23">
            <v>151.51831926355445</v>
          </cell>
          <cell r="BR23">
            <v>154.05425649854214</v>
          </cell>
          <cell r="BV23">
            <v>162.60065028882892</v>
          </cell>
          <cell r="BW23">
            <v>167.25691405818429</v>
          </cell>
          <cell r="CA23">
            <v>161.94684359188102</v>
          </cell>
          <cell r="CB23">
            <v>167.29239306006869</v>
          </cell>
        </row>
        <row r="24">
          <cell r="BQ24">
            <v>155.95711041668849</v>
          </cell>
          <cell r="BR24">
            <v>156.58880163001987</v>
          </cell>
          <cell r="BV24">
            <v>154.31558697632411</v>
          </cell>
          <cell r="BW24">
            <v>160.76735288767244</v>
          </cell>
          <cell r="CA24">
            <v>160.10521367356517</v>
          </cell>
          <cell r="CB24">
            <v>170.50962147502403</v>
          </cell>
        </row>
        <row r="25">
          <cell r="BQ25">
            <v>155.26873262251564</v>
          </cell>
          <cell r="BR25">
            <v>156.76091299572209</v>
          </cell>
          <cell r="BV25">
            <v>153.5236044233873</v>
          </cell>
          <cell r="BW25">
            <v>158.45114310585924</v>
          </cell>
          <cell r="CA25">
            <v>157.27270026382811</v>
          </cell>
          <cell r="CB25">
            <v>166.93373561899438</v>
          </cell>
        </row>
        <row r="26">
          <cell r="BQ26">
            <v>151.85060404739568</v>
          </cell>
          <cell r="BR26">
            <v>152.57096367623771</v>
          </cell>
          <cell r="BV26">
            <v>155.28933297557299</v>
          </cell>
          <cell r="BW26">
            <v>157.51543791953856</v>
          </cell>
          <cell r="CA26">
            <v>155.30796496291106</v>
          </cell>
          <cell r="CB26">
            <v>163.1045232171343</v>
          </cell>
        </row>
        <row r="27">
          <cell r="BV27">
            <v>152.95329275088571</v>
          </cell>
          <cell r="BW27">
            <v>156.48495090007398</v>
          </cell>
          <cell r="CA27">
            <v>159.54377135721171</v>
          </cell>
          <cell r="CB27">
            <v>162.9509845019777</v>
          </cell>
        </row>
        <row r="28">
          <cell r="BV28">
            <v>160.36567043883062</v>
          </cell>
          <cell r="BW28">
            <v>164.06661116455996</v>
          </cell>
          <cell r="CA28">
            <v>159.38780197708985</v>
          </cell>
          <cell r="CB28">
            <v>157.36950118198479</v>
          </cell>
        </row>
        <row r="29">
          <cell r="BV29">
            <v>158.88146566083344</v>
          </cell>
          <cell r="BW29">
            <v>155.62816655911877</v>
          </cell>
          <cell r="CA29">
            <v>167.08921406268092</v>
          </cell>
          <cell r="CB29">
            <v>168.11944130648874</v>
          </cell>
        </row>
        <row r="30">
          <cell r="BV30">
            <v>154.94590871295784</v>
          </cell>
          <cell r="BW30">
            <v>167.52571783494687</v>
          </cell>
          <cell r="CA30">
            <v>156.30124080416019</v>
          </cell>
          <cell r="CB30">
            <v>168.71163484327661</v>
          </cell>
        </row>
        <row r="31">
          <cell r="BV31">
            <v>152.28703565469414</v>
          </cell>
          <cell r="BW31">
            <v>154.94326798606735</v>
          </cell>
          <cell r="CA31">
            <v>160.70699081656591</v>
          </cell>
          <cell r="CB31">
            <v>167.01277305279092</v>
          </cell>
        </row>
        <row r="32">
          <cell r="BV32">
            <v>150.50055769064764</v>
          </cell>
          <cell r="BW32">
            <v>161.11219987870561</v>
          </cell>
          <cell r="CA32">
            <v>160.38201139894173</v>
          </cell>
          <cell r="CB32">
            <v>164.55772610089593</v>
          </cell>
        </row>
        <row r="33">
          <cell r="BV33">
            <v>151.60578036527619</v>
          </cell>
          <cell r="BW33">
            <v>159.0327116027201</v>
          </cell>
          <cell r="CA33">
            <v>162.53408064375247</v>
          </cell>
          <cell r="CB33">
            <v>169.1301056929467</v>
          </cell>
        </row>
        <row r="34">
          <cell r="BV34">
            <v>150.97134488578573</v>
          </cell>
          <cell r="BW34">
            <v>160.24596547208969</v>
          </cell>
          <cell r="CA34">
            <v>157.14627355266882</v>
          </cell>
          <cell r="CB34">
            <v>159.90222763734084</v>
          </cell>
        </row>
        <row r="35">
          <cell r="BV35">
            <v>155.35519957833671</v>
          </cell>
          <cell r="BW35">
            <v>158.5013975383732</v>
          </cell>
          <cell r="CA35">
            <v>160.29189582950693</v>
          </cell>
          <cell r="CB35">
            <v>174.23032813324068</v>
          </cell>
        </row>
        <row r="36">
          <cell r="BV36">
            <v>162.43109243604661</v>
          </cell>
          <cell r="BW36">
            <v>164.64866472156083</v>
          </cell>
          <cell r="CA36">
            <v>152.92365722575636</v>
          </cell>
          <cell r="CB36">
            <v>164.67577212055011</v>
          </cell>
        </row>
        <row r="37">
          <cell r="BV37">
            <v>155.66293326544397</v>
          </cell>
          <cell r="BW37">
            <v>157.17898495925263</v>
          </cell>
          <cell r="CA37">
            <v>154.05182298973625</v>
          </cell>
          <cell r="CB37">
            <v>159.87165000484524</v>
          </cell>
        </row>
        <row r="38">
          <cell r="BV38">
            <v>154.99876819759632</v>
          </cell>
          <cell r="BW38">
            <v>149.05266142401052</v>
          </cell>
          <cell r="CA38">
            <v>157.5526198731321</v>
          </cell>
          <cell r="CB38">
            <v>163.93933066411506</v>
          </cell>
        </row>
        <row r="39">
          <cell r="BV39">
            <v>143.39043258800581</v>
          </cell>
          <cell r="BW39">
            <v>146.84501372987538</v>
          </cell>
          <cell r="CA39">
            <v>158.97777500477397</v>
          </cell>
          <cell r="CB39">
            <v>163.67536413307258</v>
          </cell>
        </row>
        <row r="40">
          <cell r="BV40">
            <v>153.55034693151464</v>
          </cell>
          <cell r="BW40">
            <v>148.0463891574488</v>
          </cell>
          <cell r="CA40">
            <v>166.30938866952863</v>
          </cell>
          <cell r="CB40">
            <v>171.53681271556286</v>
          </cell>
        </row>
        <row r="41">
          <cell r="BV41">
            <v>152.16030795799344</v>
          </cell>
          <cell r="BW41">
            <v>159.69427902673328</v>
          </cell>
          <cell r="CA41">
            <v>155.0693396213575</v>
          </cell>
          <cell r="CB41">
            <v>168.76204655151992</v>
          </cell>
        </row>
        <row r="42">
          <cell r="BV42">
            <v>150.06874918987893</v>
          </cell>
          <cell r="BW42">
            <v>156.93740492141993</v>
          </cell>
          <cell r="CA42">
            <v>159.18051795929935</v>
          </cell>
          <cell r="CB42">
            <v>164.69767862382727</v>
          </cell>
        </row>
        <row r="43">
          <cell r="BV43">
            <v>154.49534201947844</v>
          </cell>
          <cell r="BW43">
            <v>161.36540161420299</v>
          </cell>
          <cell r="CA43">
            <v>163.37161623614762</v>
          </cell>
          <cell r="CB43">
            <v>169.77213053658468</v>
          </cell>
        </row>
        <row r="44">
          <cell r="BV44">
            <v>152.36761014547272</v>
          </cell>
          <cell r="BW44">
            <v>155.86815924628232</v>
          </cell>
          <cell r="CA44">
            <v>160.01249006649118</v>
          </cell>
          <cell r="CB44">
            <v>156.83367022942809</v>
          </cell>
        </row>
        <row r="45">
          <cell r="BV45">
            <v>168.48002691348671</v>
          </cell>
          <cell r="BW45">
            <v>165.61467859298267</v>
          </cell>
          <cell r="CA45">
            <v>149.13638726280243</v>
          </cell>
          <cell r="CB45">
            <v>158.8560404399723</v>
          </cell>
        </row>
        <row r="46">
          <cell r="BV46">
            <v>153.60555385313427</v>
          </cell>
          <cell r="BW46">
            <v>161.10224148733187</v>
          </cell>
          <cell r="CA46">
            <v>151.73934311463694</v>
          </cell>
          <cell r="CB46">
            <v>159.92161652101845</v>
          </cell>
        </row>
        <row r="47">
          <cell r="BV47">
            <v>155.54922663507045</v>
          </cell>
          <cell r="BW47">
            <v>155.06544498858972</v>
          </cell>
          <cell r="CA47">
            <v>156.42691541227524</v>
          </cell>
          <cell r="CB47">
            <v>165.98197790539894</v>
          </cell>
        </row>
        <row r="48">
          <cell r="BV48">
            <v>151.54321080848769</v>
          </cell>
          <cell r="BW48">
            <v>161.20821534004563</v>
          </cell>
          <cell r="CA48">
            <v>158.10122882553657</v>
          </cell>
          <cell r="CB48">
            <v>167.26249776516559</v>
          </cell>
        </row>
        <row r="49">
          <cell r="BV49">
            <v>152.72635094331145</v>
          </cell>
          <cell r="BW49">
            <v>159.72679676677575</v>
          </cell>
          <cell r="CA49">
            <v>157.08211394874897</v>
          </cell>
          <cell r="CB49">
            <v>168.2612852570297</v>
          </cell>
        </row>
        <row r="50">
          <cell r="BV50">
            <v>152.45266941836866</v>
          </cell>
          <cell r="BW50">
            <v>158.78760357891596</v>
          </cell>
          <cell r="CA50">
            <v>157.27741402694335</v>
          </cell>
          <cell r="CB50">
            <v>168.87416164822579</v>
          </cell>
        </row>
        <row r="51">
          <cell r="BV51">
            <v>156.58825248097779</v>
          </cell>
          <cell r="BW51">
            <v>159.12741137623308</v>
          </cell>
          <cell r="CA51">
            <v>156.65300871064778</v>
          </cell>
          <cell r="CB51">
            <v>165.10052708103322</v>
          </cell>
        </row>
        <row r="52">
          <cell r="BV52">
            <v>154.02791292662309</v>
          </cell>
          <cell r="BW52">
            <v>164.55885780705995</v>
          </cell>
          <cell r="CA52">
            <v>156.76487594969083</v>
          </cell>
          <cell r="CB52">
            <v>164.44978812481446</v>
          </cell>
        </row>
        <row r="53">
          <cell r="BV53">
            <v>154.48749253141744</v>
          </cell>
          <cell r="BW53">
            <v>160.41270598248653</v>
          </cell>
          <cell r="CA53">
            <v>155.18649671792693</v>
          </cell>
          <cell r="CB53">
            <v>166.43485445790984</v>
          </cell>
        </row>
        <row r="54">
          <cell r="BV54">
            <v>152.88544234025653</v>
          </cell>
          <cell r="BW54">
            <v>156.53757824803088</v>
          </cell>
          <cell r="CA54">
            <v>153.85958581833626</v>
          </cell>
          <cell r="CB54">
            <v>158.87871049116936</v>
          </cell>
        </row>
        <row r="55">
          <cell r="BV55">
            <v>153.802716109936</v>
          </cell>
          <cell r="BW55">
            <v>165.95897282089675</v>
          </cell>
          <cell r="CA55">
            <v>159.00259229881775</v>
          </cell>
          <cell r="CB55">
            <v>165.19493989294466</v>
          </cell>
        </row>
        <row r="56">
          <cell r="BV56">
            <v>156.59780075402205</v>
          </cell>
          <cell r="BW56">
            <v>161.68349400396974</v>
          </cell>
          <cell r="CA56">
            <v>164.16477042565413</v>
          </cell>
          <cell r="CB56">
            <v>172.12479221983858</v>
          </cell>
        </row>
        <row r="57">
          <cell r="BV57">
            <v>157.87920406900807</v>
          </cell>
          <cell r="BW57">
            <v>156.87622880225993</v>
          </cell>
          <cell r="CA57">
            <v>156.2630350640089</v>
          </cell>
          <cell r="CB57">
            <v>169.47850575063435</v>
          </cell>
        </row>
        <row r="58">
          <cell r="BV58">
            <v>163.57455831388677</v>
          </cell>
          <cell r="BW58">
            <v>161.55638179065943</v>
          </cell>
          <cell r="CA58">
            <v>152.68610460535393</v>
          </cell>
          <cell r="CB58">
            <v>162.67020543865777</v>
          </cell>
        </row>
        <row r="59">
          <cell r="BV59">
            <v>163.04357406149583</v>
          </cell>
          <cell r="BW59">
            <v>160.90080288395222</v>
          </cell>
          <cell r="CA59">
            <v>146.10377174416448</v>
          </cell>
          <cell r="CB59">
            <v>165.06780767941729</v>
          </cell>
        </row>
        <row r="60">
          <cell r="BV60">
            <v>153.06303223790394</v>
          </cell>
          <cell r="BW60">
            <v>160.55152484925509</v>
          </cell>
          <cell r="CA60">
            <v>153.46798466373957</v>
          </cell>
          <cell r="CB60">
            <v>170.32425039350116</v>
          </cell>
        </row>
        <row r="61">
          <cell r="BV61">
            <v>152.41899493414078</v>
          </cell>
          <cell r="BW61">
            <v>164.42339841621089</v>
          </cell>
          <cell r="CA61">
            <v>155.55582035823841</v>
          </cell>
          <cell r="CB61">
            <v>156.84620455185762</v>
          </cell>
        </row>
        <row r="62">
          <cell r="BV62">
            <v>163.63800946338213</v>
          </cell>
          <cell r="BW62">
            <v>164.52598418705321</v>
          </cell>
          <cell r="CA62">
            <v>153.30891968566033</v>
          </cell>
          <cell r="CB62">
            <v>165.18089886860608</v>
          </cell>
        </row>
        <row r="63">
          <cell r="BV63">
            <v>160.78364270958389</v>
          </cell>
          <cell r="BW63">
            <v>160.66671288847138</v>
          </cell>
          <cell r="CA63">
            <v>153.08678883270568</v>
          </cell>
          <cell r="CB63">
            <v>166.78827633899664</v>
          </cell>
        </row>
        <row r="64">
          <cell r="BV64">
            <v>158.40583049991361</v>
          </cell>
          <cell r="BW64">
            <v>157.9829036565321</v>
          </cell>
          <cell r="CA64">
            <v>152.60234388997011</v>
          </cell>
          <cell r="CB64">
            <v>174.63681573000639</v>
          </cell>
        </row>
        <row r="65">
          <cell r="BV65">
            <v>152.52150908098434</v>
          </cell>
          <cell r="BW65">
            <v>154.97319583165236</v>
          </cell>
          <cell r="CA65">
            <v>160.49886188765242</v>
          </cell>
          <cell r="CB65">
            <v>171.84064132325744</v>
          </cell>
        </row>
        <row r="66">
          <cell r="BV66">
            <v>150.12704491734854</v>
          </cell>
          <cell r="BW66">
            <v>155.74321067322862</v>
          </cell>
          <cell r="CA66">
            <v>156.22869252796372</v>
          </cell>
          <cell r="CB66">
            <v>169.60712650038346</v>
          </cell>
        </row>
        <row r="67">
          <cell r="BV67">
            <v>166.21092893671829</v>
          </cell>
          <cell r="BW67">
            <v>164.34403258063872</v>
          </cell>
          <cell r="CA67">
            <v>165.37192098005701</v>
          </cell>
          <cell r="CB67">
            <v>164.11676215721778</v>
          </cell>
        </row>
        <row r="68">
          <cell r="BV68">
            <v>156.86068649928151</v>
          </cell>
          <cell r="BW68">
            <v>165.5855201393297</v>
          </cell>
          <cell r="CA68">
            <v>155.16201047224874</v>
          </cell>
          <cell r="CB68">
            <v>161.08580390641748</v>
          </cell>
        </row>
        <row r="69">
          <cell r="BV69">
            <v>158.09892350844098</v>
          </cell>
          <cell r="BW69">
            <v>160.55664543550529</v>
          </cell>
          <cell r="CA69">
            <v>167.17037236610722</v>
          </cell>
          <cell r="CB69">
            <v>168.90931472910557</v>
          </cell>
        </row>
        <row r="70">
          <cell r="BV70">
            <v>155.87641202450504</v>
          </cell>
          <cell r="BW70">
            <v>157.80018280731409</v>
          </cell>
          <cell r="CA70">
            <v>165.38224092229694</v>
          </cell>
          <cell r="CB70">
            <v>165.35687192853587</v>
          </cell>
        </row>
        <row r="71">
          <cell r="BV71">
            <v>158.50894933646148</v>
          </cell>
          <cell r="BW71">
            <v>166.65042974150816</v>
          </cell>
          <cell r="CA71">
            <v>159.31048637216693</v>
          </cell>
          <cell r="CB71">
            <v>165.59563857610945</v>
          </cell>
        </row>
        <row r="72">
          <cell r="BV72">
            <v>154.5653220365887</v>
          </cell>
          <cell r="BW72">
            <v>163.11497427450786</v>
          </cell>
          <cell r="CA72">
            <v>162.10285487981173</v>
          </cell>
          <cell r="CB72">
            <v>158.73103292804166</v>
          </cell>
        </row>
        <row r="73">
          <cell r="BV73">
            <v>154.71206748926923</v>
          </cell>
          <cell r="BW73">
            <v>159.10626124156585</v>
          </cell>
          <cell r="CA73">
            <v>158.13083430431109</v>
          </cell>
          <cell r="CB73">
            <v>162.52158643427384</v>
          </cell>
        </row>
        <row r="74">
          <cell r="BV74">
            <v>151.93327023896703</v>
          </cell>
          <cell r="BW74">
            <v>157.61963472827961</v>
          </cell>
          <cell r="CA74">
            <v>154.77555713784858</v>
          </cell>
          <cell r="CB74">
            <v>162.15764817119532</v>
          </cell>
        </row>
        <row r="75">
          <cell r="BV75">
            <v>158.62300659114894</v>
          </cell>
          <cell r="BW75">
            <v>161.54511898471094</v>
          </cell>
          <cell r="CA75">
            <v>163.97060503637587</v>
          </cell>
          <cell r="CB75">
            <v>169.18257164237752</v>
          </cell>
        </row>
        <row r="76">
          <cell r="BV76">
            <v>152.71041021526321</v>
          </cell>
          <cell r="BW76">
            <v>162.26463022789525</v>
          </cell>
          <cell r="CA76">
            <v>157.99856158709247</v>
          </cell>
          <cell r="CB76">
            <v>167.53150816240705</v>
          </cell>
        </row>
        <row r="77">
          <cell r="BV77">
            <v>152.78223130877586</v>
          </cell>
          <cell r="BW77">
            <v>154.05398448348123</v>
          </cell>
          <cell r="CA77">
            <v>159.27943131913861</v>
          </cell>
          <cell r="CB77">
            <v>169.39201234200496</v>
          </cell>
        </row>
        <row r="78">
          <cell r="BV78">
            <v>157.15150782702068</v>
          </cell>
          <cell r="BW78">
            <v>159.34014630431662</v>
          </cell>
          <cell r="CA78">
            <v>164.02604779436862</v>
          </cell>
          <cell r="CB78">
            <v>172.60887229552964</v>
          </cell>
        </row>
        <row r="79">
          <cell r="BV79">
            <v>150.62218154427708</v>
          </cell>
          <cell r="BW79">
            <v>155.79423892362271</v>
          </cell>
          <cell r="CA79">
            <v>163.81240523849655</v>
          </cell>
          <cell r="CB79">
            <v>167.01123209761514</v>
          </cell>
        </row>
        <row r="80">
          <cell r="BV80">
            <v>163.92368017440899</v>
          </cell>
          <cell r="BW80">
            <v>160.2486137629042</v>
          </cell>
          <cell r="CA80">
            <v>164.1835750914143</v>
          </cell>
          <cell r="CB80">
            <v>167.89290563614452</v>
          </cell>
        </row>
        <row r="81">
          <cell r="BV81">
            <v>164.94590442514257</v>
          </cell>
          <cell r="BW81">
            <v>157.76200489858695</v>
          </cell>
          <cell r="CA81">
            <v>157.02730872444263</v>
          </cell>
          <cell r="CB81">
            <v>168.70315984679371</v>
          </cell>
        </row>
        <row r="82">
          <cell r="BV82">
            <v>149.94524649607143</v>
          </cell>
          <cell r="BW82">
            <v>154.85286150983683</v>
          </cell>
          <cell r="CA82">
            <v>158.02241294582686</v>
          </cell>
          <cell r="CB82">
            <v>164.25342684842437</v>
          </cell>
        </row>
        <row r="83">
          <cell r="BV83">
            <v>156.74232182771087</v>
          </cell>
          <cell r="BW83">
            <v>166.36154143873478</v>
          </cell>
          <cell r="CA83">
            <v>151.51041316434802</v>
          </cell>
          <cell r="CB83">
            <v>169.29933864782984</v>
          </cell>
        </row>
        <row r="84">
          <cell r="BV84">
            <v>161.8354471635904</v>
          </cell>
          <cell r="BW84">
            <v>164.35768151653446</v>
          </cell>
          <cell r="CA84">
            <v>152.01408004772048</v>
          </cell>
          <cell r="CB84">
            <v>171.68793389516867</v>
          </cell>
        </row>
        <row r="85">
          <cell r="BV85">
            <v>150.37412676377215</v>
          </cell>
          <cell r="BW85">
            <v>154.66477266466637</v>
          </cell>
          <cell r="CA85">
            <v>150.50542520645527</v>
          </cell>
          <cell r="CB85">
            <v>165.88264653901393</v>
          </cell>
        </row>
        <row r="86">
          <cell r="BV86">
            <v>154.77915925515211</v>
          </cell>
          <cell r="BW86">
            <v>165.34296425592436</v>
          </cell>
          <cell r="CA86">
            <v>166.51313196479006</v>
          </cell>
          <cell r="CB86">
            <v>159.59428913827028</v>
          </cell>
        </row>
        <row r="87">
          <cell r="BV87">
            <v>162.52686358315725</v>
          </cell>
          <cell r="BW87">
            <v>163.36506522448423</v>
          </cell>
          <cell r="CA87">
            <v>157.52004385586895</v>
          </cell>
          <cell r="CB87">
            <v>173.48786132863003</v>
          </cell>
        </row>
        <row r="88">
          <cell r="BV88">
            <v>150.66711260237125</v>
          </cell>
          <cell r="BW88">
            <v>156.78540431612876</v>
          </cell>
          <cell r="CA88">
            <v>167.61696696005731</v>
          </cell>
          <cell r="CB88">
            <v>167.82333110692795</v>
          </cell>
        </row>
        <row r="89">
          <cell r="BV89">
            <v>153.22436394674892</v>
          </cell>
          <cell r="BW89">
            <v>155.85610150119211</v>
          </cell>
          <cell r="CA89">
            <v>158.37965317092775</v>
          </cell>
          <cell r="CB89">
            <v>168.09753062361807</v>
          </cell>
        </row>
        <row r="90">
          <cell r="BV90">
            <v>152.61154050873753</v>
          </cell>
          <cell r="BW90">
            <v>156.54694132625414</v>
          </cell>
          <cell r="CA90">
            <v>154.66677923262256</v>
          </cell>
          <cell r="CB90">
            <v>161.52278424722201</v>
          </cell>
        </row>
        <row r="91">
          <cell r="BV91">
            <v>156.4118284760174</v>
          </cell>
          <cell r="BW91">
            <v>155.54957010769851</v>
          </cell>
          <cell r="CA91">
            <v>155.3274297255457</v>
          </cell>
          <cell r="CB91">
            <v>162.227205548537</v>
          </cell>
        </row>
        <row r="92">
          <cell r="BV92">
            <v>155.70843989244881</v>
          </cell>
          <cell r="BW92">
            <v>162.46269248465728</v>
          </cell>
          <cell r="CA92">
            <v>165.07320446835891</v>
          </cell>
          <cell r="CB92">
            <v>165.88705319927163</v>
          </cell>
        </row>
        <row r="93">
          <cell r="BV93">
            <v>161.75700611813886</v>
          </cell>
          <cell r="BW93">
            <v>166.7310222101554</v>
          </cell>
          <cell r="CA93">
            <v>160.85710077510271</v>
          </cell>
          <cell r="CB93">
            <v>170.92998173397328</v>
          </cell>
        </row>
        <row r="94">
          <cell r="BV94">
            <v>157.15882421701178</v>
          </cell>
          <cell r="BW94">
            <v>159.30789245028882</v>
          </cell>
          <cell r="CA94">
            <v>158.67099384693188</v>
          </cell>
          <cell r="CB94">
            <v>162.79777457470087</v>
          </cell>
        </row>
        <row r="95">
          <cell r="BV95">
            <v>151.92999577491796</v>
          </cell>
          <cell r="BW95">
            <v>149.313910538241</v>
          </cell>
          <cell r="CA95">
            <v>155.83889999793806</v>
          </cell>
          <cell r="CB95">
            <v>166.04578722774326</v>
          </cell>
        </row>
        <row r="96">
          <cell r="BV96">
            <v>153.01010258364335</v>
          </cell>
          <cell r="BW96">
            <v>159.77962370947114</v>
          </cell>
          <cell r="CA96">
            <v>150.82910217624834</v>
          </cell>
          <cell r="CB96">
            <v>162.33459049413619</v>
          </cell>
        </row>
        <row r="97">
          <cell r="BV97">
            <v>152.28127757369856</v>
          </cell>
          <cell r="BW97">
            <v>157.16120504339247</v>
          </cell>
          <cell r="CA97">
            <v>157.1710013856891</v>
          </cell>
          <cell r="CB97">
            <v>170.94030508753488</v>
          </cell>
        </row>
        <row r="98">
          <cell r="BV98">
            <v>156.37825369878124</v>
          </cell>
          <cell r="BW98">
            <v>159.34916747832591</v>
          </cell>
          <cell r="CA98">
            <v>153.34054678706059</v>
          </cell>
          <cell r="CB98">
            <v>164.72521309305</v>
          </cell>
        </row>
        <row r="99">
          <cell r="BV99">
            <v>149.53665848986338</v>
          </cell>
          <cell r="BW99">
            <v>155.71293970467138</v>
          </cell>
          <cell r="CA99">
            <v>160.7428902898462</v>
          </cell>
          <cell r="CB99">
            <v>171.53789816829985</v>
          </cell>
        </row>
        <row r="100">
          <cell r="BV100">
            <v>157.12961629164141</v>
          </cell>
          <cell r="BW100">
            <v>156.94778636046001</v>
          </cell>
          <cell r="CA100">
            <v>153.90397515039069</v>
          </cell>
          <cell r="CB100">
            <v>167.24495120164838</v>
          </cell>
        </row>
        <row r="101">
          <cell r="BV101">
            <v>157.21983177557456</v>
          </cell>
          <cell r="BW101">
            <v>164.83522550545516</v>
          </cell>
          <cell r="CA101">
            <v>156.73491219533003</v>
          </cell>
          <cell r="CB101">
            <v>163.83956983356393</v>
          </cell>
        </row>
        <row r="102">
          <cell r="BV102">
            <v>153.65314014911129</v>
          </cell>
          <cell r="BW102">
            <v>153.258971622704</v>
          </cell>
          <cell r="CA102">
            <v>159.17750703307379</v>
          </cell>
          <cell r="CB102">
            <v>164.38922958458815</v>
          </cell>
        </row>
        <row r="103">
          <cell r="BV103">
            <v>159.83971310975636</v>
          </cell>
          <cell r="BW103">
            <v>160.35124932067305</v>
          </cell>
          <cell r="CA103">
            <v>167.20051346853822</v>
          </cell>
          <cell r="CB103">
            <v>167.85260101719135</v>
          </cell>
        </row>
        <row r="104">
          <cell r="BV104">
            <v>150.32256737341464</v>
          </cell>
          <cell r="BW104">
            <v>161.03722919733409</v>
          </cell>
          <cell r="CA104">
            <v>161.21508684909216</v>
          </cell>
          <cell r="CB104">
            <v>161.98820213336421</v>
          </cell>
        </row>
        <row r="105">
          <cell r="BV105">
            <v>150.41751634263852</v>
          </cell>
          <cell r="BW105">
            <v>151.11854219822328</v>
          </cell>
          <cell r="CA105">
            <v>154.40585259955867</v>
          </cell>
          <cell r="CB105">
            <v>166.78903921862766</v>
          </cell>
        </row>
        <row r="106">
          <cell r="BV106">
            <v>154.34766552980867</v>
          </cell>
          <cell r="BW106">
            <v>168.8774801195627</v>
          </cell>
          <cell r="CA106">
            <v>157.18731079937223</v>
          </cell>
          <cell r="CB106">
            <v>162.94679791878062</v>
          </cell>
        </row>
        <row r="107">
          <cell r="BV107">
            <v>152.32708794658396</v>
          </cell>
          <cell r="BW107">
            <v>158.89366251576362</v>
          </cell>
          <cell r="CA107">
            <v>150.19656892813441</v>
          </cell>
          <cell r="CB107">
            <v>156.03153040773111</v>
          </cell>
        </row>
        <row r="108">
          <cell r="BV108">
            <v>152.71100381889696</v>
          </cell>
          <cell r="BW108">
            <v>157.98118892067356</v>
          </cell>
          <cell r="CA108">
            <v>161.5225897563881</v>
          </cell>
          <cell r="CB108">
            <v>161.43452651305728</v>
          </cell>
        </row>
        <row r="109">
          <cell r="BV109">
            <v>162.27568589238624</v>
          </cell>
          <cell r="BW109">
            <v>160.8251239909597</v>
          </cell>
          <cell r="CA109">
            <v>157.62949006383835</v>
          </cell>
          <cell r="CB109">
            <v>170.29861264500536</v>
          </cell>
        </row>
        <row r="110">
          <cell r="BV110">
            <v>152.64169023309461</v>
          </cell>
          <cell r="BW110">
            <v>158.72393840872365</v>
          </cell>
          <cell r="CA110">
            <v>157.86064117314626</v>
          </cell>
          <cell r="CB110">
            <v>169.06092786331817</v>
          </cell>
        </row>
        <row r="111">
          <cell r="BV111">
            <v>161.0432951484805</v>
          </cell>
          <cell r="BW111">
            <v>163.23613916769995</v>
          </cell>
          <cell r="CA111">
            <v>155.95574138752912</v>
          </cell>
          <cell r="CB111">
            <v>164.72410129446425</v>
          </cell>
        </row>
        <row r="112">
          <cell r="BV112">
            <v>167.9598052518254</v>
          </cell>
          <cell r="BW112">
            <v>170.52727513696158</v>
          </cell>
          <cell r="CA112">
            <v>144.84087664919537</v>
          </cell>
          <cell r="CB112">
            <v>162.29468589604289</v>
          </cell>
        </row>
        <row r="113">
          <cell r="BV113">
            <v>161.21949786203183</v>
          </cell>
          <cell r="BW113">
            <v>159.37886189323112</v>
          </cell>
          <cell r="CA113">
            <v>158.47348813024988</v>
          </cell>
          <cell r="CB113">
            <v>170.32835881804914</v>
          </cell>
        </row>
        <row r="114">
          <cell r="BV114">
            <v>158.39685006704212</v>
          </cell>
          <cell r="BW114">
            <v>163.80559948737826</v>
          </cell>
          <cell r="CA114">
            <v>160.56173857762212</v>
          </cell>
          <cell r="CB114">
            <v>163.08487046052957</v>
          </cell>
        </row>
        <row r="115">
          <cell r="BV115">
            <v>154.85052415060031</v>
          </cell>
          <cell r="BW115">
            <v>162.01936490600383</v>
          </cell>
          <cell r="CA115">
            <v>158.95701089141932</v>
          </cell>
          <cell r="CB115">
            <v>170.41904035723644</v>
          </cell>
        </row>
        <row r="116">
          <cell r="BV116">
            <v>144.97184534599381</v>
          </cell>
          <cell r="BW116">
            <v>155.57918607550255</v>
          </cell>
          <cell r="CA116">
            <v>163.62737179988511</v>
          </cell>
          <cell r="CB116">
            <v>167.20754500592699</v>
          </cell>
        </row>
        <row r="117">
          <cell r="BV117">
            <v>161.71596489675957</v>
          </cell>
          <cell r="BW117">
            <v>162.63811084417122</v>
          </cell>
          <cell r="CA117">
            <v>161.83933590702847</v>
          </cell>
          <cell r="CB117">
            <v>164.12669653904914</v>
          </cell>
        </row>
        <row r="118">
          <cell r="BV118">
            <v>156.63076874718925</v>
          </cell>
          <cell r="BW118">
            <v>153.37589246115854</v>
          </cell>
          <cell r="CA118">
            <v>152.92002372038249</v>
          </cell>
          <cell r="CB118">
            <v>162.23805784298247</v>
          </cell>
        </row>
        <row r="119">
          <cell r="BV119">
            <v>150.33147996592484</v>
          </cell>
          <cell r="BW119">
            <v>149.82858085288694</v>
          </cell>
          <cell r="CA119">
            <v>165.45258119078355</v>
          </cell>
          <cell r="CB119">
            <v>169.08785691205182</v>
          </cell>
        </row>
        <row r="120">
          <cell r="BV120">
            <v>157.98876806905037</v>
          </cell>
          <cell r="BW120">
            <v>164.95092049812615</v>
          </cell>
          <cell r="CA120">
            <v>156.83500909245922</v>
          </cell>
          <cell r="CB120">
            <v>161.57656487522289</v>
          </cell>
        </row>
        <row r="121">
          <cell r="BV121">
            <v>159.20080294044396</v>
          </cell>
          <cell r="BW121">
            <v>160.66543217705822</v>
          </cell>
          <cell r="CA121">
            <v>157.25172352074301</v>
          </cell>
          <cell r="CB121">
            <v>168.46617769875076</v>
          </cell>
        </row>
        <row r="122">
          <cell r="BV122">
            <v>162.00514638500644</v>
          </cell>
          <cell r="BW122">
            <v>159.79938086061563</v>
          </cell>
          <cell r="CA122">
            <v>152.14561247546834</v>
          </cell>
          <cell r="CB122">
            <v>164.50844862224164</v>
          </cell>
        </row>
        <row r="123">
          <cell r="BV123">
            <v>157.37047857995441</v>
          </cell>
          <cell r="BW123">
            <v>160.96143499463381</v>
          </cell>
          <cell r="CA123">
            <v>168.81150358146547</v>
          </cell>
          <cell r="CB123">
            <v>169.39504602080962</v>
          </cell>
        </row>
        <row r="124">
          <cell r="BV124">
            <v>162.5101228140721</v>
          </cell>
          <cell r="BW124">
            <v>160.45453006910068</v>
          </cell>
          <cell r="CA124">
            <v>155.75173783906214</v>
          </cell>
          <cell r="CB124">
            <v>154.13285324037099</v>
          </cell>
        </row>
        <row r="125">
          <cell r="BV125">
            <v>150.43000471360406</v>
          </cell>
          <cell r="BW125">
            <v>153.2143586287664</v>
          </cell>
          <cell r="CA125">
            <v>160.2889289245239</v>
          </cell>
          <cell r="CB125">
            <v>164.27076956590389</v>
          </cell>
        </row>
        <row r="126">
          <cell r="BV126">
            <v>161.90882867271634</v>
          </cell>
          <cell r="BW126">
            <v>156.52600284701199</v>
          </cell>
          <cell r="CA126">
            <v>145.10471901476748</v>
          </cell>
          <cell r="CB126">
            <v>161.85845204334314</v>
          </cell>
        </row>
        <row r="127">
          <cell r="BV127">
            <v>161.41030382446547</v>
          </cell>
          <cell r="BW127">
            <v>165.39208284948711</v>
          </cell>
          <cell r="CA127">
            <v>160.84880911710255</v>
          </cell>
          <cell r="CB127">
            <v>169.23686145305481</v>
          </cell>
        </row>
        <row r="128">
          <cell r="BV128">
            <v>154.81164932044763</v>
          </cell>
          <cell r="BW128">
            <v>160.38592530947389</v>
          </cell>
          <cell r="CA128">
            <v>169.60584922662636</v>
          </cell>
          <cell r="CB128">
            <v>175.48346665869778</v>
          </cell>
        </row>
        <row r="129">
          <cell r="BV129">
            <v>157.86415337560788</v>
          </cell>
          <cell r="BW129">
            <v>164.56212224019973</v>
          </cell>
          <cell r="CA129">
            <v>158.57872741019523</v>
          </cell>
          <cell r="CB129">
            <v>161.07962853095938</v>
          </cell>
        </row>
        <row r="130">
          <cell r="BV130">
            <v>162.06642253432616</v>
          </cell>
          <cell r="BW130">
            <v>160.54600255681055</v>
          </cell>
          <cell r="CA130">
            <v>156.40135923452408</v>
          </cell>
          <cell r="CB130">
            <v>167.79857632278706</v>
          </cell>
        </row>
        <row r="131">
          <cell r="BV131">
            <v>153.44367826449695</v>
          </cell>
          <cell r="BW131">
            <v>155.05365056601514</v>
          </cell>
          <cell r="CA131">
            <v>158.15398979958326</v>
          </cell>
          <cell r="CB131">
            <v>163.35207981655412</v>
          </cell>
        </row>
        <row r="132">
          <cell r="BV132">
            <v>155.54717739086021</v>
          </cell>
          <cell r="BW132">
            <v>155.20129722579847</v>
          </cell>
          <cell r="CA132">
            <v>156.9717363170239</v>
          </cell>
          <cell r="CB132">
            <v>165.06821195168479</v>
          </cell>
        </row>
        <row r="133">
          <cell r="BV133">
            <v>159.76383647384935</v>
          </cell>
          <cell r="BW133">
            <v>166.90312972060516</v>
          </cell>
          <cell r="CA133">
            <v>147.1779877500839</v>
          </cell>
          <cell r="CB133">
            <v>176.49692655968391</v>
          </cell>
        </row>
        <row r="134">
          <cell r="BV134">
            <v>154.84206361033711</v>
          </cell>
          <cell r="BW134">
            <v>161.84858814353007</v>
          </cell>
          <cell r="CA134">
            <v>166.39160863082907</v>
          </cell>
          <cell r="CB134">
            <v>175.81849296927851</v>
          </cell>
        </row>
        <row r="135">
          <cell r="BV135">
            <v>159.62504950216254</v>
          </cell>
          <cell r="BW135">
            <v>156.01701968821402</v>
          </cell>
          <cell r="CA135">
            <v>153.20462907520667</v>
          </cell>
          <cell r="CB135">
            <v>171.24008682775215</v>
          </cell>
        </row>
        <row r="136">
          <cell r="BV136">
            <v>146.94731855933983</v>
          </cell>
          <cell r="BW136">
            <v>154.46504401251258</v>
          </cell>
          <cell r="CA136">
            <v>155.22208735289237</v>
          </cell>
          <cell r="CB136">
            <v>166.92335360748166</v>
          </cell>
        </row>
        <row r="137">
          <cell r="BV137">
            <v>163.11001016099578</v>
          </cell>
          <cell r="BW137">
            <v>169.97311930065442</v>
          </cell>
          <cell r="CA137">
            <v>166.52746492460017</v>
          </cell>
          <cell r="CB137">
            <v>167.38589082337978</v>
          </cell>
        </row>
        <row r="138">
          <cell r="BV138">
            <v>149.74049471206951</v>
          </cell>
          <cell r="BW138">
            <v>153.53455378064652</v>
          </cell>
          <cell r="CA138">
            <v>159.54248959745431</v>
          </cell>
          <cell r="CB138">
            <v>173.14917440341264</v>
          </cell>
        </row>
        <row r="139">
          <cell r="BV139">
            <v>155.69167320592373</v>
          </cell>
          <cell r="BW139">
            <v>159.20867790817488</v>
          </cell>
          <cell r="CA139">
            <v>164.00704609049259</v>
          </cell>
          <cell r="CB139">
            <v>166.1858769608599</v>
          </cell>
        </row>
        <row r="140">
          <cell r="BV140">
            <v>159.1230632832584</v>
          </cell>
          <cell r="BW140">
            <v>146.33690618307958</v>
          </cell>
          <cell r="CA140">
            <v>165.57130290441762</v>
          </cell>
          <cell r="CB140">
            <v>159.80943932557605</v>
          </cell>
        </row>
        <row r="141">
          <cell r="BV141">
            <v>154.73040710235077</v>
          </cell>
          <cell r="BW141">
            <v>155.10074016133728</v>
          </cell>
          <cell r="CA141">
            <v>152.7441267049019</v>
          </cell>
          <cell r="CB141">
            <v>170.53179179416483</v>
          </cell>
        </row>
        <row r="142">
          <cell r="BV142">
            <v>160.12815494899093</v>
          </cell>
          <cell r="BW142">
            <v>165.60594882932591</v>
          </cell>
          <cell r="CA142">
            <v>156.91483430035262</v>
          </cell>
          <cell r="CB142">
            <v>163.31121415495008</v>
          </cell>
        </row>
        <row r="143">
          <cell r="BV143">
            <v>148.6651174033841</v>
          </cell>
          <cell r="BW143">
            <v>148.43641422495298</v>
          </cell>
          <cell r="CA143">
            <v>154.90653277104124</v>
          </cell>
          <cell r="CB143">
            <v>171.87593955161284</v>
          </cell>
        </row>
        <row r="144">
          <cell r="BV144">
            <v>160.78606585440235</v>
          </cell>
          <cell r="BW144">
            <v>159.16950182371471</v>
          </cell>
          <cell r="CA144">
            <v>156.00714739773801</v>
          </cell>
          <cell r="CB144">
            <v>170.04786729001481</v>
          </cell>
        </row>
        <row r="145">
          <cell r="BV145">
            <v>155.01484466890395</v>
          </cell>
          <cell r="BW145">
            <v>162.59442168725607</v>
          </cell>
          <cell r="CA145">
            <v>154.96172864473337</v>
          </cell>
          <cell r="CB145">
            <v>164.54090656174577</v>
          </cell>
        </row>
        <row r="146">
          <cell r="BV146">
            <v>155.40494162448604</v>
          </cell>
          <cell r="BW146">
            <v>154.86278525221118</v>
          </cell>
          <cell r="CA146">
            <v>158.30812995061558</v>
          </cell>
          <cell r="CB146">
            <v>171.34342135476487</v>
          </cell>
        </row>
        <row r="147">
          <cell r="BV147">
            <v>157.22861940721373</v>
          </cell>
          <cell r="BW147">
            <v>160.29256584140973</v>
          </cell>
          <cell r="CA147">
            <v>155.80074130160426</v>
          </cell>
          <cell r="CB147">
            <v>170.61036120480836</v>
          </cell>
        </row>
        <row r="148">
          <cell r="BV148">
            <v>152.66698074017432</v>
          </cell>
          <cell r="BW148">
            <v>159.11505018575298</v>
          </cell>
          <cell r="CA148">
            <v>153.1296345409306</v>
          </cell>
          <cell r="CB148">
            <v>165.97001697220301</v>
          </cell>
        </row>
        <row r="149">
          <cell r="BV149">
            <v>149.89187225890996</v>
          </cell>
          <cell r="BW149">
            <v>156.2934734710328</v>
          </cell>
          <cell r="CA149">
            <v>165.09761427047439</v>
          </cell>
          <cell r="CB149">
            <v>159.62725311913306</v>
          </cell>
        </row>
        <row r="150">
          <cell r="BV150">
            <v>151.90871289231231</v>
          </cell>
          <cell r="BW150">
            <v>154.89223543971497</v>
          </cell>
          <cell r="CA150">
            <v>155.39547210668567</v>
          </cell>
          <cell r="CB150">
            <v>163.73682253282641</v>
          </cell>
        </row>
        <row r="151">
          <cell r="BV151">
            <v>156.04001041746369</v>
          </cell>
          <cell r="BW151">
            <v>152.8868842723839</v>
          </cell>
          <cell r="CA151">
            <v>157.87513569751877</v>
          </cell>
          <cell r="CB151">
            <v>172.85908111948368</v>
          </cell>
        </row>
        <row r="152">
          <cell r="BV152">
            <v>157.03663140863682</v>
          </cell>
          <cell r="BW152">
            <v>152.81509439333894</v>
          </cell>
          <cell r="CA152">
            <v>160.5717132298052</v>
          </cell>
          <cell r="CB152">
            <v>166.83382540840051</v>
          </cell>
        </row>
        <row r="153">
          <cell r="BV153">
            <v>155.93944585674507</v>
          </cell>
          <cell r="BW153">
            <v>153.10000475241131</v>
          </cell>
          <cell r="CA153">
            <v>159.20102520362286</v>
          </cell>
          <cell r="CB153">
            <v>165.38978610213064</v>
          </cell>
        </row>
        <row r="154">
          <cell r="BV154">
            <v>153.98592615896217</v>
          </cell>
          <cell r="BW154">
            <v>155.13607574677062</v>
          </cell>
          <cell r="CA154">
            <v>154.61044265720611</v>
          </cell>
          <cell r="CB154">
            <v>166.85312380838639</v>
          </cell>
        </row>
        <row r="155">
          <cell r="BV155">
            <v>157.87349075638647</v>
          </cell>
          <cell r="BW155">
            <v>152.09396072721395</v>
          </cell>
          <cell r="CA155">
            <v>158.92394403635157</v>
          </cell>
          <cell r="CB155">
            <v>159.84446195611227</v>
          </cell>
        </row>
        <row r="156">
          <cell r="BV156">
            <v>148.17781931848384</v>
          </cell>
          <cell r="BW156">
            <v>157.52101117377546</v>
          </cell>
          <cell r="CA156">
            <v>164.33895234115022</v>
          </cell>
          <cell r="CB156">
            <v>165.18069583204189</v>
          </cell>
        </row>
        <row r="157">
          <cell r="BV157">
            <v>156.11536302971271</v>
          </cell>
          <cell r="BW157">
            <v>162.14949382476058</v>
          </cell>
          <cell r="CA157">
            <v>160.527436765505</v>
          </cell>
          <cell r="CB157">
            <v>159.29535025298458</v>
          </cell>
        </row>
        <row r="158">
          <cell r="BV158">
            <v>153.4614346394838</v>
          </cell>
          <cell r="BW158">
            <v>164.99122513929041</v>
          </cell>
          <cell r="CA158">
            <v>148.50600020646735</v>
          </cell>
          <cell r="CB158">
            <v>163.88157596027929</v>
          </cell>
        </row>
        <row r="159">
          <cell r="BV159">
            <v>153.2088382020205</v>
          </cell>
          <cell r="BW159">
            <v>151.30811150536826</v>
          </cell>
          <cell r="CA159">
            <v>162.41275624601448</v>
          </cell>
          <cell r="CB159">
            <v>168.60552682588775</v>
          </cell>
        </row>
        <row r="160">
          <cell r="BV160">
            <v>156.98678308380329</v>
          </cell>
          <cell r="BW160">
            <v>161.62550929580652</v>
          </cell>
          <cell r="CA160">
            <v>156.50509711207184</v>
          </cell>
          <cell r="CB160">
            <v>161.93444450392593</v>
          </cell>
        </row>
        <row r="161">
          <cell r="BV161">
            <v>168.5172705578731</v>
          </cell>
          <cell r="BW161">
            <v>169.63245965739355</v>
          </cell>
          <cell r="CA161">
            <v>158.34027512438144</v>
          </cell>
          <cell r="CB161">
            <v>162.65721731557966</v>
          </cell>
        </row>
        <row r="162">
          <cell r="BV162">
            <v>158.50895950357517</v>
          </cell>
          <cell r="BW162">
            <v>159.90713298945769</v>
          </cell>
          <cell r="CA162">
            <v>157.47570087480682</v>
          </cell>
          <cell r="CB162">
            <v>171.19533806283005</v>
          </cell>
        </row>
        <row r="163">
          <cell r="BV163">
            <v>149.56346604723512</v>
          </cell>
          <cell r="BW163">
            <v>151.10596893378408</v>
          </cell>
          <cell r="CA163">
            <v>163.00543202011357</v>
          </cell>
          <cell r="CB163">
            <v>159.82884278342217</v>
          </cell>
        </row>
        <row r="164">
          <cell r="BV164">
            <v>158.50742099833778</v>
          </cell>
          <cell r="BW164">
            <v>157.46023163732255</v>
          </cell>
          <cell r="CA164">
            <v>157.01281853122049</v>
          </cell>
          <cell r="CB164">
            <v>178.09334184435164</v>
          </cell>
        </row>
        <row r="165">
          <cell r="BV165">
            <v>158.56721553106962</v>
          </cell>
          <cell r="BW165">
            <v>155.06624905652296</v>
          </cell>
          <cell r="CA165">
            <v>155.54830164317357</v>
          </cell>
          <cell r="CB165">
            <v>152.69664999871176</v>
          </cell>
        </row>
        <row r="166">
          <cell r="BV166">
            <v>152.74033696775936</v>
          </cell>
          <cell r="BW166">
            <v>160.82259834574302</v>
          </cell>
          <cell r="CA166">
            <v>158.13651677734671</v>
          </cell>
          <cell r="CB166">
            <v>167.4101207834365</v>
          </cell>
        </row>
        <row r="167">
          <cell r="BV167">
            <v>150.88608661874062</v>
          </cell>
          <cell r="BW167">
            <v>156.29956363357181</v>
          </cell>
          <cell r="CA167">
            <v>160.74195948103483</v>
          </cell>
          <cell r="CB167">
            <v>162.98817428376805</v>
          </cell>
        </row>
        <row r="168">
          <cell r="BV168">
            <v>157.37240534393376</v>
          </cell>
          <cell r="BW168">
            <v>158.72002397336979</v>
          </cell>
          <cell r="CA168">
            <v>165.86403819670923</v>
          </cell>
          <cell r="CB168">
            <v>175.20440739599562</v>
          </cell>
        </row>
        <row r="169">
          <cell r="BV169">
            <v>152.92852464825421</v>
          </cell>
          <cell r="BW169">
            <v>156.98873920876457</v>
          </cell>
          <cell r="CA169">
            <v>153.22749615018284</v>
          </cell>
          <cell r="CB169">
            <v>160.75474484407687</v>
          </cell>
        </row>
        <row r="170">
          <cell r="BV170">
            <v>162.77678072633373</v>
          </cell>
          <cell r="BW170">
            <v>157.84833996697219</v>
          </cell>
          <cell r="CA170">
            <v>155.61415617691006</v>
          </cell>
          <cell r="CB170">
            <v>167.83959470757603</v>
          </cell>
        </row>
        <row r="171">
          <cell r="BV171">
            <v>163.47041456872054</v>
          </cell>
          <cell r="BW171">
            <v>165.11663129987795</v>
          </cell>
          <cell r="CA171">
            <v>163.43539882451418</v>
          </cell>
          <cell r="CB171">
            <v>163.4000133896985</v>
          </cell>
        </row>
        <row r="172">
          <cell r="BV172">
            <v>151.62811963368219</v>
          </cell>
          <cell r="BW172">
            <v>158.0023121373269</v>
          </cell>
          <cell r="CA172">
            <v>158.33376714209385</v>
          </cell>
          <cell r="CB172">
            <v>171.66727960103526</v>
          </cell>
        </row>
        <row r="173">
          <cell r="BV173">
            <v>152.98739311107678</v>
          </cell>
          <cell r="BW173">
            <v>156.45926153353028</v>
          </cell>
          <cell r="CA173">
            <v>152.35275859082441</v>
          </cell>
          <cell r="CB173">
            <v>163.88599546026342</v>
          </cell>
        </row>
        <row r="174">
          <cell r="BV174">
            <v>158.98659382742471</v>
          </cell>
          <cell r="BW174">
            <v>160.94831118240771</v>
          </cell>
          <cell r="CA174">
            <v>153.05978775501819</v>
          </cell>
          <cell r="CB174">
            <v>157.54517217640935</v>
          </cell>
        </row>
        <row r="175">
          <cell r="BV175">
            <v>153.72204643641825</v>
          </cell>
          <cell r="BW175">
            <v>156.10031779663407</v>
          </cell>
          <cell r="CA175">
            <v>152.97990470577506</v>
          </cell>
          <cell r="CB175">
            <v>163.73815492777067</v>
          </cell>
        </row>
        <row r="176">
          <cell r="BV176">
            <v>164.80821983889857</v>
          </cell>
          <cell r="BW176">
            <v>172.59528222133116</v>
          </cell>
          <cell r="CA176">
            <v>156.91980825857402</v>
          </cell>
          <cell r="CB176">
            <v>161.19343849451622</v>
          </cell>
        </row>
        <row r="177">
          <cell r="BV177">
            <v>151.30196865993855</v>
          </cell>
          <cell r="BW177">
            <v>153.42584891451659</v>
          </cell>
          <cell r="CA177">
            <v>152.24424172006252</v>
          </cell>
          <cell r="CB177">
            <v>158.89380480240209</v>
          </cell>
        </row>
        <row r="178">
          <cell r="BV178">
            <v>162.97093544772213</v>
          </cell>
          <cell r="BW178">
            <v>158.77410460591523</v>
          </cell>
          <cell r="CA178">
            <v>157.85094363318828</v>
          </cell>
          <cell r="CB178">
            <v>169.1017420421399</v>
          </cell>
        </row>
        <row r="179">
          <cell r="BV179">
            <v>157.56563650545974</v>
          </cell>
          <cell r="BW179">
            <v>162.13003066595346</v>
          </cell>
          <cell r="CA179">
            <v>163.39128306184202</v>
          </cell>
          <cell r="CB179">
            <v>167.03769147765135</v>
          </cell>
        </row>
        <row r="180">
          <cell r="BV180">
            <v>149.44224706180538</v>
          </cell>
          <cell r="BW180">
            <v>162.52157747829654</v>
          </cell>
          <cell r="CA180">
            <v>158.01541468592478</v>
          </cell>
          <cell r="CB180">
            <v>168.82884146050614</v>
          </cell>
        </row>
        <row r="181">
          <cell r="BV181">
            <v>153.97133132310225</v>
          </cell>
          <cell r="BW181">
            <v>150.72620806146773</v>
          </cell>
          <cell r="CA181">
            <v>171.8383293271099</v>
          </cell>
          <cell r="CB181">
            <v>168.28582490573132</v>
          </cell>
        </row>
        <row r="182">
          <cell r="BV182">
            <v>161.69817854142298</v>
          </cell>
          <cell r="BW182">
            <v>159.17293428317311</v>
          </cell>
          <cell r="CA182">
            <v>164.2645934721165</v>
          </cell>
          <cell r="CB182">
            <v>170.70692684817689</v>
          </cell>
        </row>
        <row r="183">
          <cell r="BV183">
            <v>156.35518607576856</v>
          </cell>
          <cell r="BW183">
            <v>150.64205403172681</v>
          </cell>
          <cell r="CA183">
            <v>159.73908928669826</v>
          </cell>
          <cell r="CB183">
            <v>164.88392737043128</v>
          </cell>
        </row>
        <row r="184">
          <cell r="BV184">
            <v>155.06291033050846</v>
          </cell>
          <cell r="BW184">
            <v>160.2323911503116</v>
          </cell>
          <cell r="CA184">
            <v>155.91886244725563</v>
          </cell>
          <cell r="CB184">
            <v>173.02911639849788</v>
          </cell>
        </row>
        <row r="185">
          <cell r="BV185">
            <v>148.14157965276374</v>
          </cell>
          <cell r="BW185">
            <v>156.45247917388093</v>
          </cell>
          <cell r="CA185">
            <v>157.91791713459614</v>
          </cell>
          <cell r="CB185">
            <v>163.73152213855494</v>
          </cell>
        </row>
        <row r="186">
          <cell r="BV186">
            <v>150.22926719213652</v>
          </cell>
          <cell r="BW186">
            <v>163.07216283339002</v>
          </cell>
          <cell r="CA186">
            <v>152.52525394095079</v>
          </cell>
          <cell r="CB186">
            <v>159.77831578607294</v>
          </cell>
        </row>
        <row r="187">
          <cell r="BV187">
            <v>150.753307813612</v>
          </cell>
          <cell r="BW187">
            <v>164.54123505976361</v>
          </cell>
          <cell r="CA187">
            <v>158.78393245500371</v>
          </cell>
          <cell r="CB187">
            <v>163.9194272029483</v>
          </cell>
        </row>
        <row r="188">
          <cell r="BV188">
            <v>155.27917133202897</v>
          </cell>
          <cell r="BW188">
            <v>160.82844287765124</v>
          </cell>
          <cell r="CA188">
            <v>152.47690368546313</v>
          </cell>
          <cell r="CB188">
            <v>168.54994091006731</v>
          </cell>
        </row>
        <row r="189">
          <cell r="BV189">
            <v>156.06152012946725</v>
          </cell>
          <cell r="BW189">
            <v>162.58463003219427</v>
          </cell>
          <cell r="CA189">
            <v>154.89009560830175</v>
          </cell>
          <cell r="CB189">
            <v>165.86520414397941</v>
          </cell>
        </row>
        <row r="190">
          <cell r="BV190">
            <v>154.27529732884238</v>
          </cell>
          <cell r="BW190">
            <v>158.88564154135582</v>
          </cell>
          <cell r="CA190">
            <v>152.24589335865852</v>
          </cell>
          <cell r="CB190">
            <v>156.55477187862587</v>
          </cell>
        </row>
        <row r="191">
          <cell r="BV191">
            <v>167.97484522677615</v>
          </cell>
          <cell r="BW191">
            <v>165.62571519019201</v>
          </cell>
          <cell r="CA191">
            <v>152.12085162146536</v>
          </cell>
          <cell r="CB191">
            <v>169.09583403147559</v>
          </cell>
        </row>
        <row r="192">
          <cell r="BV192">
            <v>153.25348368529458</v>
          </cell>
          <cell r="BW192">
            <v>153.95635040445376</v>
          </cell>
          <cell r="CA192">
            <v>161.42945900304045</v>
          </cell>
          <cell r="CB192">
            <v>169.95492772884273</v>
          </cell>
        </row>
        <row r="193">
          <cell r="BV193">
            <v>159.76007694129069</v>
          </cell>
          <cell r="BW193">
            <v>165.18900280743813</v>
          </cell>
          <cell r="CA193">
            <v>163.80861308682157</v>
          </cell>
          <cell r="CB193">
            <v>168.95462093520402</v>
          </cell>
        </row>
        <row r="194">
          <cell r="BV194">
            <v>155.29534525487384</v>
          </cell>
          <cell r="BW194">
            <v>157.37429893013095</v>
          </cell>
          <cell r="CA194">
            <v>165.25698957871498</v>
          </cell>
          <cell r="CB194">
            <v>168.37255761575241</v>
          </cell>
        </row>
        <row r="195">
          <cell r="BV195">
            <v>166.40630836642401</v>
          </cell>
          <cell r="BW195">
            <v>167.27461046157268</v>
          </cell>
          <cell r="CA195">
            <v>153.72581907015129</v>
          </cell>
          <cell r="CB195">
            <v>167.14654474214746</v>
          </cell>
        </row>
        <row r="196">
          <cell r="BV196">
            <v>159.75320978243062</v>
          </cell>
          <cell r="BW196">
            <v>166.20989292280842</v>
          </cell>
          <cell r="CA196">
            <v>160.85456462175054</v>
          </cell>
          <cell r="CB196">
            <v>171.26576980875672</v>
          </cell>
        </row>
        <row r="197">
          <cell r="BV197">
            <v>161.4534219160837</v>
          </cell>
          <cell r="BW197">
            <v>170.84520696975346</v>
          </cell>
          <cell r="CA197">
            <v>162.03761604970663</v>
          </cell>
          <cell r="CB197">
            <v>172.46751233886451</v>
          </cell>
        </row>
        <row r="198">
          <cell r="BV198">
            <v>154.2847574005437</v>
          </cell>
          <cell r="BW198">
            <v>160.20578890996464</v>
          </cell>
          <cell r="CA198">
            <v>161.62363113267705</v>
          </cell>
          <cell r="CB198">
            <v>171.66247895577385</v>
          </cell>
        </row>
        <row r="199">
          <cell r="BV199">
            <v>155.25813513289214</v>
          </cell>
          <cell r="BW199">
            <v>153.81650864844909</v>
          </cell>
          <cell r="CA199">
            <v>151.16163087265323</v>
          </cell>
          <cell r="CB199">
            <v>171.89447918869649</v>
          </cell>
        </row>
        <row r="200">
          <cell r="BV200">
            <v>154.03546849534314</v>
          </cell>
          <cell r="BW200">
            <v>163.26211973017129</v>
          </cell>
          <cell r="CA200">
            <v>153.76511767989138</v>
          </cell>
          <cell r="CB200">
            <v>166.14287807321458</v>
          </cell>
        </row>
        <row r="201">
          <cell r="BV201">
            <v>158.24347030167024</v>
          </cell>
          <cell r="BW201">
            <v>157.41876399465889</v>
          </cell>
          <cell r="CA201">
            <v>156.44660201206014</v>
          </cell>
          <cell r="CB201">
            <v>163.96277050479412</v>
          </cell>
        </row>
        <row r="202">
          <cell r="BV202">
            <v>153.25727035092316</v>
          </cell>
          <cell r="BW202">
            <v>161.7389341995422</v>
          </cell>
          <cell r="CA202">
            <v>147.91610761699283</v>
          </cell>
          <cell r="CB202">
            <v>157.05351291922202</v>
          </cell>
        </row>
        <row r="203">
          <cell r="BV203">
            <v>149.6578442632017</v>
          </cell>
          <cell r="BW203">
            <v>155.83894824182903</v>
          </cell>
          <cell r="CA203">
            <v>157.85190324770221</v>
          </cell>
          <cell r="CB203">
            <v>175.79445472111206</v>
          </cell>
        </row>
        <row r="204">
          <cell r="BV204">
            <v>150.28554111499963</v>
          </cell>
          <cell r="BW204">
            <v>169.80797297821763</v>
          </cell>
          <cell r="CA204">
            <v>148.8893417792722</v>
          </cell>
          <cell r="CB204">
            <v>157.94209920612752</v>
          </cell>
        </row>
        <row r="205">
          <cell r="BV205">
            <v>145.30137912975121</v>
          </cell>
          <cell r="BW205">
            <v>151.91831256826376</v>
          </cell>
          <cell r="CA205">
            <v>164.98390264128759</v>
          </cell>
          <cell r="CB205">
            <v>176.82647947653271</v>
          </cell>
        </row>
        <row r="206">
          <cell r="BV206">
            <v>156.48929374647381</v>
          </cell>
          <cell r="BW206">
            <v>155.73941487741502</v>
          </cell>
          <cell r="CA206">
            <v>154.32724057481849</v>
          </cell>
          <cell r="CB206">
            <v>165.3094400361999</v>
          </cell>
        </row>
      </sheetData>
      <sheetData sheetId="8" refreshError="1"/>
      <sheetData sheetId="9" refreshError="1"/>
      <sheetData sheetId="10">
        <row r="20">
          <cell r="A20">
            <v>8</v>
          </cell>
          <cell r="B20">
            <v>8</v>
          </cell>
        </row>
        <row r="21">
          <cell r="B21">
            <v>22</v>
          </cell>
        </row>
      </sheetData>
      <sheetData sheetId="11">
        <row r="3">
          <cell r="BM3" t="b">
            <v>0</v>
          </cell>
        </row>
        <row r="9">
          <cell r="O9">
            <v>78</v>
          </cell>
          <cell r="V9">
            <v>10</v>
          </cell>
        </row>
        <row r="11">
          <cell r="O11">
            <v>252</v>
          </cell>
          <cell r="V11">
            <v>20</v>
          </cell>
        </row>
        <row r="18">
          <cell r="B18">
            <v>78</v>
          </cell>
          <cell r="C18">
            <v>78</v>
          </cell>
        </row>
        <row r="19">
          <cell r="C19">
            <v>252</v>
          </cell>
        </row>
        <row r="20">
          <cell r="C20">
            <v>10</v>
          </cell>
        </row>
        <row r="21">
          <cell r="C21">
            <v>20</v>
          </cell>
        </row>
      </sheetData>
      <sheetData sheetId="12" refreshError="1"/>
    </sheetDataSet>
  </externalBook>
</externalLink>
</file>

<file path=xl/externalLinks/externalLink25.xml><?xml version="1.0" encoding="utf-8"?>
<externalLink xmlns="http://schemas.openxmlformats.org/spreadsheetml/2006/main">
  <externalBook xmlns:r="http://schemas.openxmlformats.org/officeDocument/2006/relationships" r:id="rId1">
    <sheetNames>
      <sheetName val="Intro"/>
      <sheetName val="Data"/>
    </sheetNames>
    <sheetDataSet>
      <sheetData sheetId="0" refreshError="1"/>
      <sheetData sheetId="1">
        <row r="2">
          <cell r="F2">
            <v>23.289625016599892</v>
          </cell>
        </row>
        <row r="3">
          <cell r="F3">
            <v>22.71112415149808</v>
          </cell>
        </row>
        <row r="4">
          <cell r="F4">
            <v>24.059594762474298</v>
          </cell>
        </row>
        <row r="5">
          <cell r="F5">
            <v>24.419474896937608</v>
          </cell>
        </row>
        <row r="6">
          <cell r="F6">
            <v>23.622549747377633</v>
          </cell>
        </row>
        <row r="7">
          <cell r="F7">
            <v>24.706923056393862</v>
          </cell>
        </row>
        <row r="8">
          <cell r="F8">
            <v>24.253938350826502</v>
          </cell>
        </row>
        <row r="9">
          <cell r="F9">
            <v>23.849463579207658</v>
          </cell>
        </row>
        <row r="10">
          <cell r="F10">
            <v>24.435103117376567</v>
          </cell>
        </row>
        <row r="11">
          <cell r="F11">
            <v>23.670106185227635</v>
          </cell>
        </row>
        <row r="12">
          <cell r="F12">
            <v>26.023656733185053</v>
          </cell>
        </row>
        <row r="13">
          <cell r="F13">
            <v>24.859388060122726</v>
          </cell>
        </row>
        <row r="14">
          <cell r="F14">
            <v>25.11327206507325</v>
          </cell>
        </row>
        <row r="15">
          <cell r="F15">
            <v>24.903269363194703</v>
          </cell>
        </row>
        <row r="16">
          <cell r="F16">
            <v>26.054448762089013</v>
          </cell>
        </row>
        <row r="17">
          <cell r="F17">
            <v>25.648724047690628</v>
          </cell>
        </row>
        <row r="18">
          <cell r="F18">
            <v>25.630318919569252</v>
          </cell>
        </row>
        <row r="19">
          <cell r="F19">
            <v>25.989838493615387</v>
          </cell>
        </row>
        <row r="20">
          <cell r="F20">
            <v>24.964054305702447</v>
          </cell>
        </row>
        <row r="21">
          <cell r="F21">
            <v>25.389730453044177</v>
          </cell>
        </row>
        <row r="22">
          <cell r="F22">
            <v>25.736937650591134</v>
          </cell>
        </row>
        <row r="23">
          <cell r="F23">
            <v>27.566100807934998</v>
          </cell>
        </row>
        <row r="24">
          <cell r="F24">
            <v>26.758660497814414</v>
          </cell>
        </row>
        <row r="25">
          <cell r="F25">
            <v>27.100730640441178</v>
          </cell>
        </row>
        <row r="26">
          <cell r="F26">
            <v>26.813910118490455</v>
          </cell>
        </row>
        <row r="27">
          <cell r="F27">
            <v>27.585736115723844</v>
          </cell>
        </row>
        <row r="28">
          <cell r="F28">
            <v>26.75180798783898</v>
          </cell>
        </row>
        <row r="29">
          <cell r="F29">
            <v>26.851893677264449</v>
          </cell>
        </row>
        <row r="30">
          <cell r="F30">
            <v>26.447262324243781</v>
          </cell>
        </row>
        <row r="31">
          <cell r="F31">
            <v>27.476848054677244</v>
          </cell>
        </row>
        <row r="32">
          <cell r="F32">
            <v>26.285797190815206</v>
          </cell>
        </row>
        <row r="33">
          <cell r="F33">
            <v>27.643515584021802</v>
          </cell>
        </row>
        <row r="34">
          <cell r="F34">
            <v>28.445920659452675</v>
          </cell>
        </row>
        <row r="35">
          <cell r="F35">
            <v>28.89149534061551</v>
          </cell>
        </row>
        <row r="36">
          <cell r="F36">
            <v>28.815594537407158</v>
          </cell>
        </row>
        <row r="37">
          <cell r="F37">
            <v>28.256800584346056</v>
          </cell>
          <cell r="T37">
            <v>10</v>
          </cell>
        </row>
      </sheetData>
    </sheetDataSet>
  </externalBook>
</externalLink>
</file>

<file path=xl/externalLinks/externalLink26.xml><?xml version="1.0" encoding="utf-8"?>
<externalLink xmlns="http://schemas.openxmlformats.org/spreadsheetml/2006/main">
  <externalBook xmlns:r="http://schemas.openxmlformats.org/officeDocument/2006/relationships" r:id="rId1">
    <sheetNames>
      <sheetName val="Intro"/>
      <sheetName val="Data"/>
    </sheetNames>
    <sheetDataSet>
      <sheetData sheetId="0"/>
      <sheetData sheetId="1">
        <row r="2">
          <cell r="F2">
            <v>42.1</v>
          </cell>
        </row>
        <row r="3">
          <cell r="F3">
            <v>45</v>
          </cell>
        </row>
        <row r="4">
          <cell r="F4">
            <v>54.6</v>
          </cell>
        </row>
        <row r="5">
          <cell r="F5">
            <v>59.3</v>
          </cell>
        </row>
        <row r="6">
          <cell r="F6">
            <v>40.299999999999997</v>
          </cell>
        </row>
        <row r="7">
          <cell r="F7">
            <v>40</v>
          </cell>
        </row>
        <row r="8">
          <cell r="F8">
            <v>53.1</v>
          </cell>
        </row>
        <row r="9">
          <cell r="F9">
            <v>61.7</v>
          </cell>
        </row>
        <row r="10">
          <cell r="F10">
            <v>48.7</v>
          </cell>
        </row>
        <row r="11">
          <cell r="F11">
            <v>59.5</v>
          </cell>
        </row>
        <row r="12">
          <cell r="F12">
            <v>48.6</v>
          </cell>
        </row>
        <row r="13">
          <cell r="F13">
            <v>46.4</v>
          </cell>
        </row>
        <row r="14">
          <cell r="F14">
            <v>40.200000000000003</v>
          </cell>
        </row>
        <row r="15">
          <cell r="F15">
            <v>49.1</v>
          </cell>
        </row>
        <row r="16">
          <cell r="F16">
            <v>46.2</v>
          </cell>
        </row>
        <row r="17">
          <cell r="F17">
            <v>81.599999999999994</v>
          </cell>
        </row>
        <row r="18">
          <cell r="F18">
            <v>41.7</v>
          </cell>
        </row>
        <row r="19">
          <cell r="F19">
            <v>59.7</v>
          </cell>
        </row>
        <row r="20">
          <cell r="F20">
            <v>49.4</v>
          </cell>
        </row>
        <row r="21">
          <cell r="F21">
            <v>43.5</v>
          </cell>
        </row>
        <row r="22">
          <cell r="F22">
            <v>53.7</v>
          </cell>
        </row>
        <row r="23">
          <cell r="F23">
            <v>59.6</v>
          </cell>
        </row>
        <row r="24">
          <cell r="F24">
            <v>43.7</v>
          </cell>
        </row>
        <row r="25">
          <cell r="F25">
            <v>55.9</v>
          </cell>
        </row>
        <row r="26">
          <cell r="F26">
            <v>41.3</v>
          </cell>
        </row>
        <row r="27">
          <cell r="F27">
            <v>51.5</v>
          </cell>
        </row>
        <row r="28">
          <cell r="F28">
            <v>39.299999999999997</v>
          </cell>
        </row>
        <row r="29">
          <cell r="F29">
            <v>46.3</v>
          </cell>
        </row>
        <row r="30">
          <cell r="F30">
            <v>47.3</v>
          </cell>
        </row>
        <row r="31">
          <cell r="F31">
            <v>41.4</v>
          </cell>
        </row>
        <row r="32">
          <cell r="F32" t="str">
            <v/>
          </cell>
        </row>
        <row r="33">
          <cell r="F33" t="str">
            <v/>
          </cell>
        </row>
        <row r="34">
          <cell r="F34" t="str">
            <v/>
          </cell>
        </row>
        <row r="35">
          <cell r="F35" t="str">
            <v/>
          </cell>
        </row>
        <row r="36">
          <cell r="F36" t="str">
            <v/>
          </cell>
        </row>
        <row r="37">
          <cell r="F37" t="str">
            <v/>
          </cell>
          <cell r="T37">
            <v>9</v>
          </cell>
        </row>
      </sheetData>
    </sheetDataSet>
  </externalBook>
</externalLink>
</file>

<file path=xl/externalLinks/externalLink27.xml><?xml version="1.0" encoding="utf-8"?>
<externalLink xmlns="http://schemas.openxmlformats.org/spreadsheetml/2006/main">
  <externalBook xmlns:r="http://schemas.openxmlformats.org/officeDocument/2006/relationships" r:id="rId1">
    <sheetNames>
      <sheetName val="Intro"/>
      <sheetName val="Data"/>
    </sheetNames>
    <sheetDataSet>
      <sheetData sheetId="0" refreshError="1"/>
      <sheetData sheetId="1">
        <row r="2">
          <cell r="F2">
            <v>23.289625016599892</v>
          </cell>
        </row>
        <row r="3">
          <cell r="F3">
            <v>22.71112415149808</v>
          </cell>
        </row>
        <row r="4">
          <cell r="F4">
            <v>24.059594762474298</v>
          </cell>
        </row>
        <row r="5">
          <cell r="F5">
            <v>24.419474896937608</v>
          </cell>
        </row>
        <row r="6">
          <cell r="F6">
            <v>23.622549747377633</v>
          </cell>
        </row>
        <row r="7">
          <cell r="F7">
            <v>24.706923056393862</v>
          </cell>
        </row>
        <row r="8">
          <cell r="F8">
            <v>24.253938350826502</v>
          </cell>
        </row>
        <row r="9">
          <cell r="F9">
            <v>23.849463579207658</v>
          </cell>
        </row>
        <row r="10">
          <cell r="F10">
            <v>24.435103117376567</v>
          </cell>
        </row>
        <row r="11">
          <cell r="F11">
            <v>23.670106185227635</v>
          </cell>
        </row>
        <row r="12">
          <cell r="F12">
            <v>26.023656733185053</v>
          </cell>
        </row>
        <row r="13">
          <cell r="F13">
            <v>24.859388060122726</v>
          </cell>
        </row>
        <row r="14">
          <cell r="F14">
            <v>25.11327206507325</v>
          </cell>
        </row>
        <row r="15">
          <cell r="F15">
            <v>24.903269363194703</v>
          </cell>
        </row>
        <row r="16">
          <cell r="F16">
            <v>26.054448762089013</v>
          </cell>
        </row>
        <row r="17">
          <cell r="F17">
            <v>25.648724047690628</v>
          </cell>
        </row>
        <row r="18">
          <cell r="F18">
            <v>25.630318919569252</v>
          </cell>
        </row>
        <row r="19">
          <cell r="F19">
            <v>25.989838493615387</v>
          </cell>
        </row>
        <row r="20">
          <cell r="F20">
            <v>24.964054305702447</v>
          </cell>
        </row>
        <row r="21">
          <cell r="F21">
            <v>25.389730453044177</v>
          </cell>
        </row>
        <row r="22">
          <cell r="F22">
            <v>25.736937650591134</v>
          </cell>
        </row>
        <row r="23">
          <cell r="F23">
            <v>27.566100807934998</v>
          </cell>
        </row>
        <row r="24">
          <cell r="F24">
            <v>26.758660497814414</v>
          </cell>
        </row>
        <row r="25">
          <cell r="F25">
            <v>27.100730640441178</v>
          </cell>
        </row>
        <row r="26">
          <cell r="F26">
            <v>26.813910118490455</v>
          </cell>
        </row>
        <row r="27">
          <cell r="F27">
            <v>27.585736115723844</v>
          </cell>
        </row>
        <row r="28">
          <cell r="F28">
            <v>26.75180798783898</v>
          </cell>
        </row>
        <row r="29">
          <cell r="F29">
            <v>26.851893677264449</v>
          </cell>
        </row>
        <row r="30">
          <cell r="F30">
            <v>26.447262324243781</v>
          </cell>
        </row>
        <row r="31">
          <cell r="F31">
            <v>27.476848054677244</v>
          </cell>
        </row>
        <row r="32">
          <cell r="F32">
            <v>26.285797190815206</v>
          </cell>
        </row>
        <row r="33">
          <cell r="F33">
            <v>27.643515584021802</v>
          </cell>
        </row>
        <row r="34">
          <cell r="F34">
            <v>28.445920659452675</v>
          </cell>
        </row>
        <row r="35">
          <cell r="F35">
            <v>28.89149534061551</v>
          </cell>
        </row>
        <row r="36">
          <cell r="F36">
            <v>28.815594537407158</v>
          </cell>
        </row>
        <row r="37">
          <cell r="F37">
            <v>28.256800584346056</v>
          </cell>
          <cell r="T37">
            <v>10</v>
          </cell>
        </row>
      </sheetData>
    </sheetDataSet>
  </externalBook>
</externalLink>
</file>

<file path=xl/externalLinks/externalLink28.xml><?xml version="1.0" encoding="utf-8"?>
<externalLink xmlns="http://schemas.openxmlformats.org/spreadsheetml/2006/main">
  <externalBook xmlns:r="http://schemas.openxmlformats.org/officeDocument/2006/relationships" r:id="rId1">
    <sheetNames>
      <sheetName val="Intro"/>
      <sheetName val="Data"/>
    </sheetNames>
    <sheetDataSet>
      <sheetData sheetId="0" refreshError="1"/>
      <sheetData sheetId="1">
        <row r="2">
          <cell r="F2">
            <v>23.289625016599892</v>
          </cell>
        </row>
        <row r="3">
          <cell r="F3">
            <v>22.71112415149808</v>
          </cell>
        </row>
        <row r="4">
          <cell r="F4">
            <v>24.059594762474298</v>
          </cell>
        </row>
        <row r="5">
          <cell r="F5">
            <v>24.419474896937608</v>
          </cell>
        </row>
        <row r="6">
          <cell r="F6">
            <v>23.622549747377633</v>
          </cell>
        </row>
        <row r="7">
          <cell r="F7">
            <v>24.706923056393862</v>
          </cell>
        </row>
        <row r="8">
          <cell r="F8">
            <v>24.253938350826502</v>
          </cell>
        </row>
        <row r="9">
          <cell r="F9">
            <v>23.849463579207658</v>
          </cell>
        </row>
        <row r="10">
          <cell r="F10">
            <v>24.435103117376567</v>
          </cell>
        </row>
        <row r="11">
          <cell r="F11">
            <v>23.670106185227635</v>
          </cell>
        </row>
        <row r="12">
          <cell r="F12">
            <v>26.023656733185053</v>
          </cell>
        </row>
        <row r="13">
          <cell r="F13">
            <v>24.859388060122726</v>
          </cell>
        </row>
        <row r="14">
          <cell r="F14">
            <v>25.11327206507325</v>
          </cell>
        </row>
        <row r="15">
          <cell r="F15">
            <v>24.903269363194703</v>
          </cell>
        </row>
        <row r="16">
          <cell r="F16">
            <v>26.054448762089013</v>
          </cell>
        </row>
        <row r="17">
          <cell r="F17">
            <v>25.648724047690628</v>
          </cell>
        </row>
        <row r="18">
          <cell r="F18">
            <v>25.630318919569252</v>
          </cell>
        </row>
        <row r="19">
          <cell r="F19">
            <v>25.989838493615387</v>
          </cell>
        </row>
        <row r="20">
          <cell r="F20">
            <v>24.964054305702447</v>
          </cell>
        </row>
        <row r="21">
          <cell r="F21">
            <v>25.389730453044177</v>
          </cell>
        </row>
        <row r="22">
          <cell r="F22">
            <v>25.736937650591134</v>
          </cell>
        </row>
        <row r="23">
          <cell r="F23">
            <v>27.566100807934998</v>
          </cell>
        </row>
        <row r="24">
          <cell r="F24">
            <v>26.758660497814414</v>
          </cell>
        </row>
        <row r="25">
          <cell r="F25">
            <v>27.100730640441178</v>
          </cell>
        </row>
        <row r="26">
          <cell r="F26">
            <v>26.813910118490455</v>
          </cell>
        </row>
        <row r="27">
          <cell r="F27">
            <v>27.585736115723844</v>
          </cell>
        </row>
        <row r="28">
          <cell r="F28">
            <v>26.75180798783898</v>
          </cell>
        </row>
        <row r="29">
          <cell r="F29">
            <v>26.851893677264449</v>
          </cell>
        </row>
        <row r="30">
          <cell r="F30">
            <v>26.447262324243781</v>
          </cell>
        </row>
        <row r="31">
          <cell r="F31">
            <v>27.476848054677244</v>
          </cell>
        </row>
        <row r="32">
          <cell r="F32">
            <v>26.285797190815206</v>
          </cell>
        </row>
        <row r="33">
          <cell r="F33">
            <v>27.643515584021802</v>
          </cell>
        </row>
        <row r="34">
          <cell r="F34">
            <v>28.445920659452675</v>
          </cell>
        </row>
        <row r="35">
          <cell r="F35">
            <v>28.89149534061551</v>
          </cell>
        </row>
        <row r="36">
          <cell r="F36">
            <v>28.815594537407158</v>
          </cell>
        </row>
        <row r="37">
          <cell r="F37">
            <v>28.256800584346056</v>
          </cell>
          <cell r="T37">
            <v>10</v>
          </cell>
        </row>
      </sheetData>
    </sheetDataSet>
  </externalBook>
</externalLink>
</file>

<file path=xl/externalLinks/externalLink29.xml><?xml version="1.0" encoding="utf-8"?>
<externalLink xmlns="http://schemas.openxmlformats.org/spreadsheetml/2006/main">
  <externalBook xmlns:r="http://schemas.openxmlformats.org/officeDocument/2006/relationships" r:id="rId1">
    <sheetNames>
      <sheetName val="Intro"/>
      <sheetName val="Case 1 Single Group"/>
      <sheetName val="Case 2 Two Independent Groups"/>
    </sheetNames>
    <sheetDataSet>
      <sheetData sheetId="0"/>
      <sheetData sheetId="1">
        <row r="2">
          <cell r="K2">
            <v>1000</v>
          </cell>
        </row>
        <row r="14">
          <cell r="K14" t="str">
            <v/>
          </cell>
        </row>
        <row r="16">
          <cell r="I16" t="str">
            <v/>
          </cell>
        </row>
      </sheetData>
      <sheetData sheetId="2"/>
    </sheetDataSet>
  </externalBook>
</externalLink>
</file>

<file path=xl/externalLinks/externalLink30.xml><?xml version="1.0" encoding="utf-8"?>
<externalLink xmlns="http://schemas.openxmlformats.org/spreadsheetml/2006/main">
  <externalBook xmlns:r="http://schemas.openxmlformats.org/officeDocument/2006/relationships" r:id="rId1">
    <sheetNames>
      <sheetName val="Intro"/>
      <sheetName val="CIjumping"/>
      <sheetName val="Simulate Two"/>
      <sheetName val="Data Two"/>
      <sheetName val="Simulate Paired"/>
      <sheetName val="Data Paired"/>
      <sheetName val="MA Original units"/>
    </sheetNames>
    <sheetDataSet>
      <sheetData sheetId="0"/>
      <sheetData sheetId="1"/>
      <sheetData sheetId="2"/>
      <sheetData sheetId="3">
        <row r="7">
          <cell r="B7">
            <v>46</v>
          </cell>
          <cell r="E7">
            <v>78</v>
          </cell>
        </row>
        <row r="8">
          <cell r="B8">
            <v>57</v>
          </cell>
          <cell r="E8">
            <v>56</v>
          </cell>
        </row>
        <row r="9">
          <cell r="B9">
            <v>65</v>
          </cell>
          <cell r="E9">
            <v>47</v>
          </cell>
        </row>
        <row r="10">
          <cell r="B10">
            <v>45</v>
          </cell>
          <cell r="E10">
            <v>69</v>
          </cell>
        </row>
        <row r="11">
          <cell r="B11">
            <v>24</v>
          </cell>
          <cell r="E11">
            <v>70</v>
          </cell>
        </row>
        <row r="12">
          <cell r="B12">
            <v>35</v>
          </cell>
          <cell r="E12">
            <v>92</v>
          </cell>
        </row>
        <row r="13">
          <cell r="B13">
            <v>64</v>
          </cell>
          <cell r="E13">
            <v>95</v>
          </cell>
        </row>
        <row r="14">
          <cell r="B14">
            <v>14</v>
          </cell>
          <cell r="E14">
            <v>73</v>
          </cell>
        </row>
        <row r="15">
          <cell r="B15">
            <v>78</v>
          </cell>
          <cell r="E15">
            <v>75</v>
          </cell>
        </row>
        <row r="16">
          <cell r="B16">
            <v>68</v>
          </cell>
          <cell r="E16">
            <v>83</v>
          </cell>
        </row>
        <row r="17">
          <cell r="B17">
            <v>73</v>
          </cell>
          <cell r="E17">
            <v>64</v>
          </cell>
        </row>
        <row r="18">
          <cell r="B18">
            <v>75</v>
          </cell>
          <cell r="E18">
            <v>38</v>
          </cell>
        </row>
        <row r="19">
          <cell r="B19">
            <v>55</v>
          </cell>
          <cell r="E19">
            <v>82</v>
          </cell>
        </row>
        <row r="20">
          <cell r="B20">
            <v>52</v>
          </cell>
          <cell r="E20">
            <v>90</v>
          </cell>
        </row>
        <row r="21">
          <cell r="B21">
            <v>59</v>
          </cell>
          <cell r="E21">
            <v>63</v>
          </cell>
        </row>
        <row r="22">
          <cell r="B22">
            <v>57</v>
          </cell>
          <cell r="E22">
            <v>49</v>
          </cell>
        </row>
        <row r="23">
          <cell r="B23">
            <v>58</v>
          </cell>
        </row>
        <row r="24">
          <cell r="B24">
            <v>82</v>
          </cell>
        </row>
        <row r="25">
          <cell r="B25">
            <v>89</v>
          </cell>
        </row>
        <row r="26">
          <cell r="B26">
            <v>71</v>
          </cell>
        </row>
      </sheetData>
      <sheetData sheetId="4"/>
      <sheetData sheetId="5"/>
      <sheetData sheetId="6"/>
    </sheetDataSet>
  </externalBook>
</externalLink>
</file>

<file path=xl/externalLinks/externalLink31.xml><?xml version="1.0" encoding="utf-8"?>
<externalLink xmlns="http://schemas.openxmlformats.org/spreadsheetml/2006/main">
  <externalBook xmlns:r="http://schemas.openxmlformats.org/officeDocument/2006/relationships" r:id="rId1">
    <sheetNames>
      <sheetName val="Intro"/>
      <sheetName val="APR"/>
      <sheetName val="Figure 2"/>
      <sheetName val="p values"/>
    </sheetNames>
    <sheetDataSet>
      <sheetData sheetId="0"/>
      <sheetData sheetId="1">
        <row r="2">
          <cell r="AE2">
            <v>802</v>
          </cell>
          <cell r="AF2">
            <v>251</v>
          </cell>
        </row>
        <row r="3">
          <cell r="N3">
            <v>0.50231273493980044</v>
          </cell>
          <cell r="AE3">
            <v>535</v>
          </cell>
          <cell r="AF3">
            <v>168</v>
          </cell>
        </row>
        <row r="4">
          <cell r="AE4">
            <v>263</v>
          </cell>
          <cell r="AF4">
            <v>84</v>
          </cell>
        </row>
        <row r="5">
          <cell r="Z5" t="b">
            <v>0</v>
          </cell>
          <cell r="AD5">
            <v>0.77810000000000001</v>
          </cell>
        </row>
        <row r="6">
          <cell r="Z6">
            <v>70</v>
          </cell>
        </row>
        <row r="7">
          <cell r="Z7" t="b">
            <v>1</v>
          </cell>
          <cell r="AD7">
            <v>70</v>
          </cell>
        </row>
        <row r="8">
          <cell r="Z8">
            <v>0.65445180374714074</v>
          </cell>
        </row>
        <row r="9">
          <cell r="Z9" t="b">
            <v>1</v>
          </cell>
        </row>
        <row r="17">
          <cell r="J17">
            <v>20</v>
          </cell>
        </row>
        <row r="18">
          <cell r="Y18">
            <v>2</v>
          </cell>
          <cell r="Z18">
            <v>0.87946355901658535</v>
          </cell>
          <cell r="AA18">
            <v>0.19815644577933558</v>
          </cell>
          <cell r="AB18">
            <v>0.72658417354977567</v>
          </cell>
          <cell r="AC18">
            <v>54</v>
          </cell>
          <cell r="AD18">
            <v>0</v>
          </cell>
          <cell r="AE18">
            <v>0.7218</v>
          </cell>
          <cell r="AF18">
            <v>2.5100000000000001E-2</v>
          </cell>
        </row>
        <row r="19">
          <cell r="Y19">
            <v>3</v>
          </cell>
          <cell r="Z19">
            <v>2.3192120715975761E-2</v>
          </cell>
          <cell r="AA19">
            <v>-0.33668914740022582</v>
          </cell>
          <cell r="AB19">
            <v>0.99991729146808828</v>
          </cell>
          <cell r="AC19">
            <v>75</v>
          </cell>
          <cell r="AD19">
            <v>0</v>
          </cell>
          <cell r="AE19">
            <v>1.0024999999999999</v>
          </cell>
          <cell r="AF19">
            <v>2.5100000000000001E-2</v>
          </cell>
        </row>
        <row r="20">
          <cell r="Y20">
            <v>4</v>
          </cell>
          <cell r="Z20">
            <v>0.50865732692182064</v>
          </cell>
          <cell r="AA20">
            <v>3.6683758060244323E-3</v>
          </cell>
          <cell r="AB20">
            <v>0.96020942576533908</v>
          </cell>
          <cell r="AC20">
            <v>72</v>
          </cell>
          <cell r="AD20">
            <v>1</v>
          </cell>
          <cell r="AE20">
            <v>0.96240000000000003</v>
          </cell>
          <cell r="AF20">
            <v>7.5300000000000006E-2</v>
          </cell>
        </row>
        <row r="21">
          <cell r="Y21">
            <v>5</v>
          </cell>
          <cell r="Z21">
            <v>0.88176345638930798</v>
          </cell>
          <cell r="AA21">
            <v>0.20010689897485814</v>
          </cell>
          <cell r="AB21">
            <v>0.7227316001626185</v>
          </cell>
          <cell r="AC21">
            <v>54</v>
          </cell>
          <cell r="AD21">
            <v>1</v>
          </cell>
          <cell r="AE21">
            <v>0.7218</v>
          </cell>
          <cell r="AF21">
            <v>7.5300000000000006E-2</v>
          </cell>
        </row>
        <row r="22">
          <cell r="Y22">
            <v>6</v>
          </cell>
          <cell r="Z22">
            <v>2.6818012818694115E-2</v>
          </cell>
          <cell r="AA22">
            <v>-0.32618973329727452</v>
          </cell>
          <cell r="AB22">
            <v>0.99989413287910367</v>
          </cell>
          <cell r="AC22">
            <v>75</v>
          </cell>
          <cell r="AD22">
            <v>1</v>
          </cell>
          <cell r="AE22">
            <v>1.0024999999999999</v>
          </cell>
          <cell r="AF22">
            <v>7.5300000000000006E-2</v>
          </cell>
        </row>
        <row r="23">
          <cell r="Y23">
            <v>7</v>
          </cell>
          <cell r="Z23">
            <v>0.47682110778987408</v>
          </cell>
          <cell r="AA23">
            <v>-9.826370843080157E-3</v>
          </cell>
          <cell r="AB23">
            <v>0.96659555632234773</v>
          </cell>
          <cell r="AC23">
            <v>72</v>
          </cell>
          <cell r="AD23">
            <v>2</v>
          </cell>
          <cell r="AE23">
            <v>0.96240000000000003</v>
          </cell>
          <cell r="AF23">
            <v>0.1255</v>
          </cell>
        </row>
        <row r="24">
          <cell r="Y24">
            <v>8</v>
          </cell>
          <cell r="Z24">
            <v>0.27657314203679562</v>
          </cell>
          <cell r="AA24">
            <v>-0.10024410147979711</v>
          </cell>
          <cell r="AB24">
            <v>0.99105473544812939</v>
          </cell>
          <cell r="AC24">
            <v>74</v>
          </cell>
          <cell r="AD24">
            <v>0</v>
          </cell>
          <cell r="AE24">
            <v>0.98913333333333342</v>
          </cell>
          <cell r="AF24">
            <v>2.5100000000000001E-2</v>
          </cell>
        </row>
        <row r="25">
          <cell r="Y25">
            <v>9</v>
          </cell>
          <cell r="Z25">
            <v>1.5818802639842033E-2</v>
          </cell>
          <cell r="AA25">
            <v>-0.36324046413209732</v>
          </cell>
          <cell r="AB25">
            <v>0.99995641546144354</v>
          </cell>
          <cell r="AC25">
            <v>75</v>
          </cell>
          <cell r="AD25">
            <v>2</v>
          </cell>
          <cell r="AE25">
            <v>1.0024999999999999</v>
          </cell>
          <cell r="AF25">
            <v>0.1255</v>
          </cell>
        </row>
        <row r="26">
          <cell r="Y26">
            <v>10</v>
          </cell>
          <cell r="Z26">
            <v>0.23204285465180874</v>
          </cell>
          <cell r="AA26">
            <v>-0.12375353048374042</v>
          </cell>
          <cell r="AB26">
            <v>0.99391127017035574</v>
          </cell>
          <cell r="AC26">
            <v>74</v>
          </cell>
          <cell r="AD26">
            <v>1</v>
          </cell>
          <cell r="AE26">
            <v>0.98913333333333342</v>
          </cell>
          <cell r="AF26">
            <v>7.5300000000000006E-2</v>
          </cell>
        </row>
        <row r="27">
          <cell r="Y27">
            <v>11</v>
          </cell>
          <cell r="Z27">
            <v>0.56307519786059856</v>
          </cell>
          <cell r="AA27">
            <v>2.6837131441644457E-2</v>
          </cell>
          <cell r="AB27">
            <v>0.9469586076814116</v>
          </cell>
          <cell r="AC27">
            <v>71</v>
          </cell>
          <cell r="AD27">
            <v>0</v>
          </cell>
          <cell r="AE27">
            <v>0.9490333333333334</v>
          </cell>
          <cell r="AF27">
            <v>2.5100000000000001E-2</v>
          </cell>
        </row>
        <row r="28">
          <cell r="Y28">
            <v>12</v>
          </cell>
          <cell r="Z28">
            <v>0.29858355782926083</v>
          </cell>
          <cell r="AA28">
            <v>-8.9329207113654094E-2</v>
          </cell>
          <cell r="AB28">
            <v>0.98936908970779713</v>
          </cell>
          <cell r="AC28">
            <v>74</v>
          </cell>
          <cell r="AD28">
            <v>2</v>
          </cell>
          <cell r="AE28">
            <v>0.98913333333333342</v>
          </cell>
          <cell r="AF28">
            <v>0.1255</v>
          </cell>
        </row>
        <row r="29">
          <cell r="Y29">
            <v>13</v>
          </cell>
          <cell r="Z29">
            <v>0.45987886004149914</v>
          </cell>
          <cell r="AA29">
            <v>-1.7027984250265266E-2</v>
          </cell>
          <cell r="AB29">
            <v>0.96964233404887246</v>
          </cell>
          <cell r="AC29">
            <v>73</v>
          </cell>
          <cell r="AD29">
            <v>0</v>
          </cell>
          <cell r="AE29">
            <v>0.97576666666666667</v>
          </cell>
          <cell r="AF29">
            <v>2.5100000000000001E-2</v>
          </cell>
        </row>
        <row r="30">
          <cell r="Y30">
            <v>14</v>
          </cell>
          <cell r="Z30">
            <v>0.57884017191827297</v>
          </cell>
          <cell r="AA30">
            <v>3.3624841675136359E-2</v>
          </cell>
          <cell r="AB30">
            <v>0.94247519290145054</v>
          </cell>
          <cell r="AC30">
            <v>71</v>
          </cell>
          <cell r="AD30">
            <v>1</v>
          </cell>
          <cell r="AE30">
            <v>0.9490333333333334</v>
          </cell>
          <cell r="AF30">
            <v>7.5300000000000006E-2</v>
          </cell>
        </row>
        <row r="31">
          <cell r="Y31">
            <v>15</v>
          </cell>
          <cell r="Z31">
            <v>0.24410496465861797</v>
          </cell>
          <cell r="AA31">
            <v>-0.11716521402768976</v>
          </cell>
          <cell r="AB31">
            <v>0.99320615547359425</v>
          </cell>
          <cell r="AC31">
            <v>74</v>
          </cell>
          <cell r="AD31">
            <v>3</v>
          </cell>
          <cell r="AE31">
            <v>0.98913333333333342</v>
          </cell>
          <cell r="AF31">
            <v>0.17570000000000002</v>
          </cell>
        </row>
        <row r="32">
          <cell r="U32">
            <v>802</v>
          </cell>
          <cell r="Y32">
            <v>16</v>
          </cell>
          <cell r="Z32">
            <v>0.81995072029531002</v>
          </cell>
          <cell r="AA32">
            <v>0.15469319782615248</v>
          </cell>
          <cell r="AB32">
            <v>0.80500807002197539</v>
          </cell>
          <cell r="AC32">
            <v>60</v>
          </cell>
          <cell r="AD32">
            <v>0</v>
          </cell>
          <cell r="AE32">
            <v>0.80200000000000005</v>
          </cell>
          <cell r="AF32">
            <v>2.5100000000000001E-2</v>
          </cell>
        </row>
        <row r="33">
          <cell r="Y33">
            <v>17</v>
          </cell>
          <cell r="Z33">
            <v>0.86231246404349804</v>
          </cell>
          <cell r="AA33">
            <v>0.18437340811040695</v>
          </cell>
          <cell r="AB33">
            <v>0.75303014270955959</v>
          </cell>
          <cell r="AC33">
            <v>56</v>
          </cell>
          <cell r="AD33">
            <v>0</v>
          </cell>
          <cell r="AE33">
            <v>0.74853333333333338</v>
          </cell>
          <cell r="AF33">
            <v>2.5100000000000001E-2</v>
          </cell>
        </row>
        <row r="34">
          <cell r="Y34">
            <v>18</v>
          </cell>
          <cell r="Z34">
            <v>0.85049701295793056</v>
          </cell>
          <cell r="AA34">
            <v>0.17554993131287563</v>
          </cell>
          <cell r="AB34">
            <v>0.76921270391044094</v>
          </cell>
          <cell r="AC34">
            <v>58</v>
          </cell>
          <cell r="AD34">
            <v>0</v>
          </cell>
          <cell r="AE34">
            <v>0.77526666666666666</v>
          </cell>
          <cell r="AF34">
            <v>2.5100000000000001E-2</v>
          </cell>
        </row>
        <row r="35">
          <cell r="U35">
            <v>251</v>
          </cell>
          <cell r="Y35">
            <v>19</v>
          </cell>
          <cell r="Z35">
            <v>0.18604047410190105</v>
          </cell>
          <cell r="AA35">
            <v>-0.1508739309257589</v>
          </cell>
          <cell r="AB35">
            <v>0.99617803824115891</v>
          </cell>
          <cell r="AC35">
            <v>75</v>
          </cell>
          <cell r="AD35">
            <v>3</v>
          </cell>
          <cell r="AE35">
            <v>1.0024999999999999</v>
          </cell>
          <cell r="AF35">
            <v>0.17570000000000002</v>
          </cell>
        </row>
        <row r="36">
          <cell r="Y36">
            <v>20</v>
          </cell>
          <cell r="Z36">
            <v>0.15954517386853695</v>
          </cell>
          <cell r="AA36">
            <v>-0.16841032826355859</v>
          </cell>
          <cell r="AB36">
            <v>0.99720709024670662</v>
          </cell>
          <cell r="AC36">
            <v>75</v>
          </cell>
          <cell r="AD36">
            <v>4</v>
          </cell>
          <cell r="AE36">
            <v>1.0024999999999999</v>
          </cell>
          <cell r="AF36">
            <v>0.22590000000000002</v>
          </cell>
        </row>
        <row r="37">
          <cell r="Y37">
            <v>21</v>
          </cell>
          <cell r="Z37">
            <v>0.81277262978255749</v>
          </cell>
          <cell r="AA37">
            <v>0.15012642528098524</v>
          </cell>
          <cell r="AB37">
            <v>0.8123700939460099</v>
          </cell>
          <cell r="AC37">
            <v>61</v>
          </cell>
          <cell r="AD37">
            <v>0</v>
          </cell>
          <cell r="AE37">
            <v>0.81536666666666668</v>
          </cell>
          <cell r="AF37">
            <v>2.5100000000000001E-2</v>
          </cell>
        </row>
        <row r="38">
          <cell r="Y38">
            <v>22</v>
          </cell>
          <cell r="Z38">
            <v>0.86386976204812527</v>
          </cell>
          <cell r="AA38">
            <v>0.18557420362177343</v>
          </cell>
          <cell r="AB38">
            <v>0.75078183975677992</v>
          </cell>
          <cell r="AC38">
            <v>56</v>
          </cell>
          <cell r="AD38">
            <v>1</v>
          </cell>
          <cell r="AE38">
            <v>0.74853333333333338</v>
          </cell>
          <cell r="AF38">
            <v>7.5300000000000006E-2</v>
          </cell>
        </row>
        <row r="39">
          <cell r="Y39">
            <v>23</v>
          </cell>
          <cell r="Z39">
            <v>0.85078815929591656</v>
          </cell>
          <cell r="AA39">
            <v>0.17576160632298068</v>
          </cell>
          <cell r="AB39">
            <v>0.7688315468364616</v>
          </cell>
          <cell r="AC39">
            <v>58</v>
          </cell>
          <cell r="AD39">
            <v>1</v>
          </cell>
          <cell r="AE39">
            <v>0.77526666666666666</v>
          </cell>
          <cell r="AF39">
            <v>7.5300000000000006E-2</v>
          </cell>
        </row>
        <row r="40">
          <cell r="Y40">
            <v>24</v>
          </cell>
          <cell r="Z40">
            <v>0.65320523642003536</v>
          </cell>
          <cell r="AA40">
            <v>6.6596211991921478E-2</v>
          </cell>
          <cell r="AB40">
            <v>0.91633521671298335</v>
          </cell>
          <cell r="AC40">
            <v>69</v>
          </cell>
          <cell r="AD40">
            <v>0</v>
          </cell>
          <cell r="AE40">
            <v>0.92230000000000001</v>
          </cell>
          <cell r="AF40">
            <v>2.5100000000000001E-2</v>
          </cell>
        </row>
        <row r="41">
          <cell r="Y41">
            <v>25</v>
          </cell>
          <cell r="Z41">
            <v>0.85586842708289623</v>
          </cell>
          <cell r="AA41">
            <v>0.17950053946884745</v>
          </cell>
          <cell r="AB41">
            <v>0.76204136032140246</v>
          </cell>
          <cell r="AC41">
            <v>57</v>
          </cell>
          <cell r="AD41">
            <v>0</v>
          </cell>
          <cell r="AE41">
            <v>0.76190000000000002</v>
          </cell>
          <cell r="AF41">
            <v>2.5100000000000001E-2</v>
          </cell>
        </row>
        <row r="42">
          <cell r="Y42">
            <v>26</v>
          </cell>
          <cell r="Z42">
            <v>0.39711851440370083</v>
          </cell>
          <cell r="AA42">
            <v>-4.4085375377171068E-2</v>
          </cell>
          <cell r="AB42">
            <v>0.97910656675940499</v>
          </cell>
          <cell r="AC42">
            <v>73</v>
          </cell>
          <cell r="AD42">
            <v>1</v>
          </cell>
          <cell r="AE42">
            <v>0.97576666666666667</v>
          </cell>
          <cell r="AF42">
            <v>7.5300000000000006E-2</v>
          </cell>
        </row>
        <row r="43">
          <cell r="Y43">
            <v>27</v>
          </cell>
          <cell r="Z43">
            <v>0.30657769553363323</v>
          </cell>
          <cell r="AA43">
            <v>-8.5457686865359456E-2</v>
          </cell>
          <cell r="AB43">
            <v>0.98870796562807284</v>
          </cell>
          <cell r="AC43">
            <v>74</v>
          </cell>
          <cell r="AD43">
            <v>4</v>
          </cell>
          <cell r="AE43">
            <v>0.98913333333333342</v>
          </cell>
          <cell r="AF43">
            <v>0.22590000000000002</v>
          </cell>
        </row>
        <row r="44">
          <cell r="Y44">
            <v>28</v>
          </cell>
          <cell r="Z44">
            <v>0.94084637425839901</v>
          </cell>
          <cell r="AA44">
            <v>0.26401236882760776</v>
          </cell>
          <cell r="AB44">
            <v>0.58429974073852042</v>
          </cell>
          <cell r="AC44">
            <v>44</v>
          </cell>
          <cell r="AD44">
            <v>0</v>
          </cell>
          <cell r="AE44">
            <v>0.5881333333333334</v>
          </cell>
          <cell r="AF44">
            <v>2.5100000000000001E-2</v>
          </cell>
        </row>
        <row r="45">
          <cell r="Y45">
            <v>29</v>
          </cell>
          <cell r="Z45">
            <v>0.97358685545623302</v>
          </cell>
          <cell r="AA45">
            <v>0.32730089921749117</v>
          </cell>
          <cell r="AB45">
            <v>0.43584417554385735</v>
          </cell>
          <cell r="AC45">
            <v>33</v>
          </cell>
          <cell r="AD45">
            <v>0</v>
          </cell>
          <cell r="AE45">
            <v>0.44110000000000005</v>
          </cell>
          <cell r="AF45">
            <v>2.5100000000000001E-2</v>
          </cell>
        </row>
        <row r="46">
          <cell r="Y46">
            <v>30</v>
          </cell>
          <cell r="Z46">
            <v>0.211191451177001</v>
          </cell>
          <cell r="AA46">
            <v>-0.13561244044374701</v>
          </cell>
          <cell r="AB46">
            <v>0.99501860263154662</v>
          </cell>
          <cell r="AC46">
            <v>74</v>
          </cell>
          <cell r="AD46">
            <v>5</v>
          </cell>
          <cell r="AE46">
            <v>0.98913333333333342</v>
          </cell>
          <cell r="AF46">
            <v>0.27610000000000001</v>
          </cell>
        </row>
        <row r="47">
          <cell r="Y47">
            <v>31</v>
          </cell>
          <cell r="Z47">
            <v>0.25725887529551983</v>
          </cell>
          <cell r="AA47">
            <v>-0.11017757068265889</v>
          </cell>
          <cell r="AB47">
            <v>0.99238038324920685</v>
          </cell>
          <cell r="AC47">
            <v>74</v>
          </cell>
          <cell r="AD47">
            <v>6</v>
          </cell>
          <cell r="AE47">
            <v>0.98913333333333342</v>
          </cell>
          <cell r="AF47">
            <v>0.32630000000000003</v>
          </cell>
        </row>
        <row r="48">
          <cell r="Y48">
            <v>32</v>
          </cell>
          <cell r="Z48">
            <v>9.7320577129721642E-2</v>
          </cell>
          <cell r="AA48">
            <v>-0.21922811713604512</v>
          </cell>
          <cell r="AB48">
            <v>0.99893612088629191</v>
          </cell>
          <cell r="AC48">
            <v>75</v>
          </cell>
          <cell r="AD48">
            <v>5</v>
          </cell>
          <cell r="AE48">
            <v>1.0024999999999999</v>
          </cell>
          <cell r="AF48">
            <v>0.27610000000000001</v>
          </cell>
        </row>
        <row r="49">
          <cell r="Y49">
            <v>33</v>
          </cell>
          <cell r="Z49">
            <v>3.6464719101786613E-2</v>
          </cell>
          <cell r="AA49">
            <v>-0.30311829644483013</v>
          </cell>
          <cell r="AB49">
            <v>0.99982020759054668</v>
          </cell>
          <cell r="AC49">
            <v>75</v>
          </cell>
          <cell r="AD49">
            <v>6</v>
          </cell>
          <cell r="AE49">
            <v>1.0024999999999999</v>
          </cell>
          <cell r="AF49">
            <v>0.32630000000000003</v>
          </cell>
        </row>
        <row r="50">
          <cell r="Y50">
            <v>34</v>
          </cell>
          <cell r="Z50">
            <v>0.66505921445786953</v>
          </cell>
          <cell r="AA50">
            <v>7.2059635103958547E-2</v>
          </cell>
          <cell r="AB50">
            <v>0.9112533408976643</v>
          </cell>
          <cell r="AC50">
            <v>68</v>
          </cell>
          <cell r="AD50">
            <v>0</v>
          </cell>
          <cell r="AE50">
            <v>0.90893333333333337</v>
          </cell>
          <cell r="AF50">
            <v>2.5100000000000001E-2</v>
          </cell>
        </row>
        <row r="51">
          <cell r="Y51">
            <v>35</v>
          </cell>
          <cell r="Z51">
            <v>0.7903484832495451</v>
          </cell>
          <cell r="AA51">
            <v>0.13651455575923999</v>
          </cell>
          <cell r="AB51">
            <v>0.83327620244644907</v>
          </cell>
          <cell r="AC51">
            <v>62</v>
          </cell>
          <cell r="AD51">
            <v>0</v>
          </cell>
          <cell r="AE51">
            <v>0.82873333333333332</v>
          </cell>
          <cell r="AF51">
            <v>2.5100000000000001E-2</v>
          </cell>
        </row>
        <row r="52">
          <cell r="Y52">
            <v>36</v>
          </cell>
          <cell r="Z52">
            <v>0.10702573321759701</v>
          </cell>
          <cell r="AA52">
            <v>-0.21002114129719149</v>
          </cell>
          <cell r="AB52">
            <v>0.99872492201634377</v>
          </cell>
          <cell r="AC52">
            <v>75</v>
          </cell>
          <cell r="AD52">
            <v>7</v>
          </cell>
          <cell r="AE52">
            <v>1.0024999999999999</v>
          </cell>
          <cell r="AF52">
            <v>0.3765</v>
          </cell>
        </row>
        <row r="53">
          <cell r="Y53">
            <v>37</v>
          </cell>
          <cell r="Z53">
            <v>0.72351050190627575</v>
          </cell>
          <cell r="AA53">
            <v>0.10028635818551591</v>
          </cell>
          <cell r="AB53">
            <v>0.88130225845760823</v>
          </cell>
          <cell r="AC53">
            <v>66</v>
          </cell>
          <cell r="AD53">
            <v>0</v>
          </cell>
          <cell r="AE53">
            <v>0.8822000000000001</v>
          </cell>
          <cell r="AF53">
            <v>2.5100000000000001E-2</v>
          </cell>
        </row>
        <row r="54">
          <cell r="Y54">
            <v>38</v>
          </cell>
          <cell r="Z54">
            <v>0.42469928227365017</v>
          </cell>
          <cell r="AA54">
            <v>-3.2096570314543778E-2</v>
          </cell>
          <cell r="AB54">
            <v>0.97527608280692402</v>
          </cell>
          <cell r="AC54">
            <v>73</v>
          </cell>
          <cell r="AD54">
            <v>2</v>
          </cell>
          <cell r="AE54">
            <v>0.97576666666666667</v>
          </cell>
          <cell r="AF54">
            <v>0.1255</v>
          </cell>
        </row>
        <row r="55">
          <cell r="Y55">
            <v>39</v>
          </cell>
          <cell r="Z55">
            <v>0.34382717125117779</v>
          </cell>
          <cell r="AA55">
            <v>-6.7957219819507961E-2</v>
          </cell>
          <cell r="AB55">
            <v>0.98525465196890227</v>
          </cell>
          <cell r="AC55">
            <v>74</v>
          </cell>
          <cell r="AD55">
            <v>7</v>
          </cell>
          <cell r="AE55">
            <v>0.98913333333333342</v>
          </cell>
          <cell r="AF55">
            <v>0.3765</v>
          </cell>
        </row>
        <row r="56">
          <cell r="Y56">
            <v>40</v>
          </cell>
          <cell r="Z56">
            <v>0.18226500414311886</v>
          </cell>
          <cell r="AA56">
            <v>-0.15327160271764256</v>
          </cell>
          <cell r="AB56">
            <v>0.99633635047965408</v>
          </cell>
          <cell r="AC56">
            <v>75</v>
          </cell>
          <cell r="AD56">
            <v>8</v>
          </cell>
          <cell r="AE56">
            <v>1.0024999999999999</v>
          </cell>
          <cell r="AF56">
            <v>0.42670000000000002</v>
          </cell>
        </row>
        <row r="57">
          <cell r="Y57">
            <v>41</v>
          </cell>
          <cell r="Z57">
            <v>0.41087624244391918</v>
          </cell>
          <cell r="AA57">
            <v>-3.808121978908028E-2</v>
          </cell>
          <cell r="AB57">
            <v>0.97725610163864984</v>
          </cell>
          <cell r="AC57">
            <v>73</v>
          </cell>
          <cell r="AD57">
            <v>3</v>
          </cell>
          <cell r="AE57">
            <v>0.97576666666666667</v>
          </cell>
          <cell r="AF57">
            <v>0.17570000000000002</v>
          </cell>
        </row>
        <row r="58">
          <cell r="Y58">
            <v>42</v>
          </cell>
          <cell r="Z58">
            <v>0.76583034358918667</v>
          </cell>
          <cell r="AA58">
            <v>0.12257842573134266</v>
          </cell>
          <cell r="AB58">
            <v>0.85305821378804714</v>
          </cell>
          <cell r="AC58">
            <v>64</v>
          </cell>
          <cell r="AD58">
            <v>0</v>
          </cell>
          <cell r="AE58">
            <v>0.85546666666666671</v>
          </cell>
          <cell r="AF58">
            <v>2.5100000000000001E-2</v>
          </cell>
        </row>
        <row r="59">
          <cell r="Y59">
            <v>43</v>
          </cell>
          <cell r="Z59">
            <v>0.39168633334338665</v>
          </cell>
          <cell r="AA59">
            <v>-4.6471069177414941E-2</v>
          </cell>
          <cell r="AB59">
            <v>0.97980560727592347</v>
          </cell>
          <cell r="AC59">
            <v>73</v>
          </cell>
          <cell r="AD59">
            <v>4</v>
          </cell>
          <cell r="AE59">
            <v>0.97576666666666667</v>
          </cell>
          <cell r="AF59">
            <v>0.22590000000000002</v>
          </cell>
        </row>
        <row r="60">
          <cell r="Y60">
            <v>44</v>
          </cell>
          <cell r="Z60">
            <v>0.42535619996488094</v>
          </cell>
          <cell r="AA60">
            <v>-3.1813217486569761E-2</v>
          </cell>
          <cell r="AB60">
            <v>0.97517885732932186</v>
          </cell>
          <cell r="AC60">
            <v>73</v>
          </cell>
          <cell r="AD60">
            <v>5</v>
          </cell>
          <cell r="AE60">
            <v>0.97576666666666667</v>
          </cell>
          <cell r="AF60">
            <v>0.27610000000000001</v>
          </cell>
        </row>
        <row r="61">
          <cell r="Y61">
            <v>45</v>
          </cell>
          <cell r="Z61">
            <v>0.52927940897643566</v>
          </cell>
          <cell r="AA61">
            <v>1.2416770813482171E-2</v>
          </cell>
          <cell r="AB61">
            <v>0.95556279614855</v>
          </cell>
          <cell r="AC61">
            <v>71</v>
          </cell>
          <cell r="AD61">
            <v>2</v>
          </cell>
          <cell r="AE61">
            <v>0.9490333333333334</v>
          </cell>
          <cell r="AF61">
            <v>0.1255</v>
          </cell>
        </row>
        <row r="62">
          <cell r="Y62">
            <v>46</v>
          </cell>
          <cell r="Z62">
            <v>0.97039667330682278</v>
          </cell>
          <cell r="AA62">
            <v>0.31890301384722786</v>
          </cell>
          <cell r="AB62">
            <v>0.45547841101379849</v>
          </cell>
          <cell r="AC62">
            <v>34</v>
          </cell>
          <cell r="AD62">
            <v>0</v>
          </cell>
          <cell r="AE62">
            <v>0.45446666666666669</v>
          </cell>
          <cell r="AF62">
            <v>2.5100000000000001E-2</v>
          </cell>
        </row>
        <row r="63">
          <cell r="Y63">
            <v>47</v>
          </cell>
          <cell r="Z63">
            <v>0.34822498075664043</v>
          </cell>
          <cell r="AA63">
            <v>-6.5941824734203611E-2</v>
          </cell>
          <cell r="AB63">
            <v>0.98480389926572975</v>
          </cell>
          <cell r="AC63">
            <v>74</v>
          </cell>
          <cell r="AD63">
            <v>8</v>
          </cell>
          <cell r="AE63">
            <v>0.98913333333333342</v>
          </cell>
          <cell r="AF63">
            <v>0.42670000000000002</v>
          </cell>
        </row>
        <row r="64">
          <cell r="Y64">
            <v>48</v>
          </cell>
          <cell r="Z64">
            <v>0.33449115417897701</v>
          </cell>
          <cell r="AA64">
            <v>-7.2268320180056869E-2</v>
          </cell>
          <cell r="AB64">
            <v>0.98618037602632613</v>
          </cell>
          <cell r="AC64">
            <v>74</v>
          </cell>
          <cell r="AD64">
            <v>9</v>
          </cell>
          <cell r="AE64">
            <v>0.98913333333333342</v>
          </cell>
          <cell r="AF64">
            <v>0.47690000000000005</v>
          </cell>
        </row>
        <row r="65">
          <cell r="Y65">
            <v>49</v>
          </cell>
          <cell r="Z65">
            <v>0.89017477445304394</v>
          </cell>
          <cell r="AA65">
            <v>0.20747829151935726</v>
          </cell>
          <cell r="AB65">
            <v>0.70793627992831132</v>
          </cell>
          <cell r="AC65">
            <v>53</v>
          </cell>
          <cell r="AD65">
            <v>0</v>
          </cell>
          <cell r="AE65">
            <v>0.70843333333333336</v>
          </cell>
          <cell r="AF65">
            <v>2.5100000000000001E-2</v>
          </cell>
        </row>
        <row r="66">
          <cell r="Y66">
            <v>50</v>
          </cell>
          <cell r="Z66">
            <v>0.31680250726640224</v>
          </cell>
          <cell r="AA66">
            <v>-8.0570064123684518E-2</v>
          </cell>
          <cell r="AB66">
            <v>0.98782251443609215</v>
          </cell>
          <cell r="AC66">
            <v>74</v>
          </cell>
          <cell r="AD66">
            <v>10</v>
          </cell>
          <cell r="AE66">
            <v>0.98913333333333342</v>
          </cell>
          <cell r="AF66">
            <v>0.52710000000000001</v>
          </cell>
        </row>
        <row r="67">
          <cell r="Y67">
            <v>51</v>
          </cell>
          <cell r="Z67">
            <v>0.19109661690890789</v>
          </cell>
          <cell r="AA67">
            <v>-0.14770969249821622</v>
          </cell>
          <cell r="AB67">
            <v>0.99595973460368348</v>
          </cell>
          <cell r="AC67">
            <v>75</v>
          </cell>
          <cell r="AD67">
            <v>9</v>
          </cell>
          <cell r="AE67">
            <v>1.0024999999999999</v>
          </cell>
          <cell r="AF67">
            <v>0.47690000000000005</v>
          </cell>
        </row>
        <row r="68">
          <cell r="Y68">
            <v>52</v>
          </cell>
          <cell r="Z68">
            <v>0.65334509871900082</v>
          </cell>
          <cell r="AA68">
            <v>6.6660258595398453E-2</v>
          </cell>
          <cell r="AB68">
            <v>0.91627693695429191</v>
          </cell>
          <cell r="AC68">
            <v>69</v>
          </cell>
          <cell r="AD68">
            <v>1</v>
          </cell>
          <cell r="AE68">
            <v>0.92230000000000001</v>
          </cell>
          <cell r="AF68">
            <v>7.5300000000000006E-2</v>
          </cell>
        </row>
        <row r="69">
          <cell r="Y69">
            <v>53</v>
          </cell>
          <cell r="Z69">
            <v>0.48067629151046276</v>
          </cell>
          <cell r="AA69">
            <v>-8.1906113258465515E-3</v>
          </cell>
          <cell r="AB69">
            <v>0.96586952161796114</v>
          </cell>
          <cell r="AC69">
            <v>72</v>
          </cell>
          <cell r="AD69">
            <v>3</v>
          </cell>
          <cell r="AE69">
            <v>0.96240000000000003</v>
          </cell>
          <cell r="AF69">
            <v>0.17570000000000002</v>
          </cell>
        </row>
        <row r="70">
          <cell r="Y70">
            <v>54</v>
          </cell>
          <cell r="Z70">
            <v>0.16389641724526882</v>
          </cell>
          <cell r="AA70">
            <v>-0.16540840146184141</v>
          </cell>
          <cell r="AB70">
            <v>0.99705094977786324</v>
          </cell>
          <cell r="AC70">
            <v>75</v>
          </cell>
          <cell r="AD70">
            <v>10</v>
          </cell>
          <cell r="AE70">
            <v>1.0024999999999999</v>
          </cell>
          <cell r="AF70">
            <v>0.52710000000000001</v>
          </cell>
        </row>
        <row r="71">
          <cell r="Y71">
            <v>55</v>
          </cell>
          <cell r="Z71">
            <v>0.30310611240565777</v>
          </cell>
          <cell r="AA71">
            <v>-8.7133333710348954E-2</v>
          </cell>
          <cell r="AB71">
            <v>0.98899837264983903</v>
          </cell>
          <cell r="AC71">
            <v>74</v>
          </cell>
          <cell r="AD71">
            <v>11</v>
          </cell>
          <cell r="AE71">
            <v>0.98913333333333342</v>
          </cell>
          <cell r="AF71">
            <v>0.57730000000000004</v>
          </cell>
        </row>
        <row r="72">
          <cell r="Y72">
            <v>56</v>
          </cell>
          <cell r="Z72">
            <v>6.4436038956046104E-2</v>
          </cell>
          <cell r="AA72">
            <v>-0.25668429975901313</v>
          </cell>
          <cell r="AB72">
            <v>0.99950506243650428</v>
          </cell>
          <cell r="AC72">
            <v>75</v>
          </cell>
          <cell r="AD72">
            <v>11</v>
          </cell>
          <cell r="AE72">
            <v>1.0024999999999999</v>
          </cell>
          <cell r="AF72">
            <v>0.57730000000000004</v>
          </cell>
        </row>
        <row r="73">
          <cell r="Y73">
            <v>57</v>
          </cell>
          <cell r="Z73">
            <v>0.22722896747291088</v>
          </cell>
          <cell r="AA73">
            <v>-0.12643569935519861</v>
          </cell>
          <cell r="AB73">
            <v>0.99417922738798503</v>
          </cell>
          <cell r="AC73">
            <v>74</v>
          </cell>
          <cell r="AD73">
            <v>12</v>
          </cell>
          <cell r="AE73">
            <v>0.98913333333333342</v>
          </cell>
          <cell r="AF73">
            <v>0.62750000000000006</v>
          </cell>
        </row>
        <row r="74">
          <cell r="Y74">
            <v>58</v>
          </cell>
          <cell r="Z74">
            <v>0.62870568595826626</v>
          </cell>
          <cell r="AA74">
            <v>5.5514340674507862E-2</v>
          </cell>
          <cell r="AB74">
            <v>0.92596701183007535</v>
          </cell>
          <cell r="AC74">
            <v>69</v>
          </cell>
          <cell r="AD74">
            <v>2</v>
          </cell>
          <cell r="AE74">
            <v>0.92230000000000001</v>
          </cell>
          <cell r="AF74">
            <v>0.1255</v>
          </cell>
        </row>
        <row r="75">
          <cell r="Y75">
            <v>59</v>
          </cell>
          <cell r="Z75">
            <v>3.2756580039858818E-2</v>
          </cell>
          <cell r="AA75">
            <v>-0.31131091425261043</v>
          </cell>
          <cell r="AB75">
            <v>0.99985073031635818</v>
          </cell>
          <cell r="AC75">
            <v>75</v>
          </cell>
          <cell r="AD75">
            <v>12</v>
          </cell>
          <cell r="AE75">
            <v>1.0024999999999999</v>
          </cell>
          <cell r="AF75">
            <v>0.62750000000000006</v>
          </cell>
        </row>
        <row r="76">
          <cell r="Y76">
            <v>60</v>
          </cell>
          <cell r="Z76">
            <v>0.22623412869870663</v>
          </cell>
          <cell r="AA76">
            <v>-0.1269939660210414</v>
          </cell>
          <cell r="AB76">
            <v>0.99423366621253939</v>
          </cell>
          <cell r="AC76">
            <v>74</v>
          </cell>
          <cell r="AD76">
            <v>13</v>
          </cell>
          <cell r="AE76">
            <v>0.98913333333333342</v>
          </cell>
          <cell r="AF76">
            <v>0.67770000000000008</v>
          </cell>
        </row>
        <row r="77">
          <cell r="Y77">
            <v>61</v>
          </cell>
          <cell r="Z77">
            <v>0.22803073935210705</v>
          </cell>
          <cell r="AA77">
            <v>-0.12598677648122542</v>
          </cell>
          <cell r="AB77">
            <v>0.99413512085842348</v>
          </cell>
          <cell r="AC77">
            <v>74</v>
          </cell>
          <cell r="AD77">
            <v>14</v>
          </cell>
          <cell r="AE77">
            <v>0.98913333333333342</v>
          </cell>
          <cell r="AF77">
            <v>0.72789999999999999</v>
          </cell>
        </row>
        <row r="78">
          <cell r="Y78">
            <v>62</v>
          </cell>
          <cell r="Z78">
            <v>0.3579206820577383</v>
          </cell>
          <cell r="AA78">
            <v>-6.1530997558987756E-2</v>
          </cell>
          <cell r="AB78">
            <v>0.98377593783475592</v>
          </cell>
          <cell r="AC78">
            <v>74</v>
          </cell>
          <cell r="AD78">
            <v>15</v>
          </cell>
          <cell r="AE78">
            <v>0.98913333333333342</v>
          </cell>
          <cell r="AF78">
            <v>0.77810000000000001</v>
          </cell>
        </row>
        <row r="79">
          <cell r="Y79">
            <v>63</v>
          </cell>
          <cell r="Z79">
            <v>0.47354624979197979</v>
          </cell>
          <cell r="AA79">
            <v>-1.1216614605696042E-2</v>
          </cell>
          <cell r="AB79">
            <v>0.96720257746117622</v>
          </cell>
          <cell r="AC79">
            <v>72</v>
          </cell>
          <cell r="AD79">
            <v>4</v>
          </cell>
          <cell r="AE79">
            <v>0.96240000000000003</v>
          </cell>
          <cell r="AF79">
            <v>0.22590000000000002</v>
          </cell>
        </row>
        <row r="80">
          <cell r="Y80">
            <v>64</v>
          </cell>
          <cell r="Z80">
            <v>0.65402104519307613</v>
          </cell>
          <cell r="AA80">
            <v>6.6969927291671782E-2</v>
          </cell>
          <cell r="AB80">
            <v>0.91599472098884671</v>
          </cell>
          <cell r="AC80">
            <v>69</v>
          </cell>
          <cell r="AD80">
            <v>3</v>
          </cell>
          <cell r="AE80">
            <v>0.92230000000000001</v>
          </cell>
          <cell r="AF80">
            <v>0.17570000000000002</v>
          </cell>
        </row>
        <row r="81">
          <cell r="Y81">
            <v>65</v>
          </cell>
          <cell r="Z81">
            <v>0.95420434884727001</v>
          </cell>
          <cell r="AA81">
            <v>0.28516563851446741</v>
          </cell>
          <cell r="AB81">
            <v>0.53496678793830377</v>
          </cell>
          <cell r="AC81">
            <v>40</v>
          </cell>
          <cell r="AD81">
            <v>0</v>
          </cell>
          <cell r="AE81">
            <v>0.53466666666666673</v>
          </cell>
          <cell r="AF81">
            <v>2.5100000000000001E-2</v>
          </cell>
        </row>
        <row r="82">
          <cell r="Y82">
            <v>66</v>
          </cell>
          <cell r="Z82">
            <v>0.89312923513352871</v>
          </cell>
          <cell r="AA82">
            <v>0.21016329563462924</v>
          </cell>
          <cell r="AB82">
            <v>0.70245728613664427</v>
          </cell>
          <cell r="AC82">
            <v>53</v>
          </cell>
          <cell r="AD82">
            <v>1</v>
          </cell>
          <cell r="AE82">
            <v>0.70843333333333336</v>
          </cell>
          <cell r="AF82">
            <v>7.5300000000000006E-2</v>
          </cell>
        </row>
        <row r="83">
          <cell r="Y83">
            <v>67</v>
          </cell>
          <cell r="Z83">
            <v>0.96201534382998943</v>
          </cell>
          <cell r="AA83">
            <v>0.29995667009292565</v>
          </cell>
          <cell r="AB83">
            <v>0.50010226613456532</v>
          </cell>
          <cell r="AC83">
            <v>37</v>
          </cell>
          <cell r="AD83">
            <v>0</v>
          </cell>
          <cell r="AE83">
            <v>0.49456666666666671</v>
          </cell>
          <cell r="AF83">
            <v>2.5100000000000001E-2</v>
          </cell>
        </row>
        <row r="84">
          <cell r="Y84">
            <v>68</v>
          </cell>
          <cell r="Z84">
            <v>0.94449936412274837</v>
          </cell>
          <cell r="AA84">
            <v>0.26938595504520108</v>
          </cell>
          <cell r="AB84">
            <v>0.57186139647122813</v>
          </cell>
          <cell r="AC84">
            <v>43</v>
          </cell>
          <cell r="AD84">
            <v>0</v>
          </cell>
          <cell r="AE84">
            <v>0.57476666666666665</v>
          </cell>
          <cell r="AF84">
            <v>2.5100000000000001E-2</v>
          </cell>
        </row>
        <row r="85">
          <cell r="Y85">
            <v>69</v>
          </cell>
          <cell r="Z85">
            <v>0.91971921734511852</v>
          </cell>
          <cell r="AA85">
            <v>0.23718161925965281</v>
          </cell>
          <cell r="AB85">
            <v>0.64491900942832558</v>
          </cell>
          <cell r="AC85">
            <v>48</v>
          </cell>
          <cell r="AD85">
            <v>0</v>
          </cell>
          <cell r="AE85">
            <v>0.64160000000000006</v>
          </cell>
          <cell r="AF85">
            <v>2.5100000000000001E-2</v>
          </cell>
        </row>
        <row r="86">
          <cell r="Y86">
            <v>70</v>
          </cell>
          <cell r="Z86">
            <v>0.12980101071298122</v>
          </cell>
          <cell r="AA86">
            <v>-0.19055393372903567</v>
          </cell>
          <cell r="AB86">
            <v>0.99814698155389081</v>
          </cell>
          <cell r="AC86">
            <v>75</v>
          </cell>
          <cell r="AD86">
            <v>13</v>
          </cell>
          <cell r="AE86">
            <v>1.0024999999999999</v>
          </cell>
          <cell r="AF86">
            <v>0.67770000000000008</v>
          </cell>
        </row>
        <row r="87">
          <cell r="Y87">
            <v>71</v>
          </cell>
          <cell r="Z87">
            <v>0.7945429515093565</v>
          </cell>
          <cell r="AA87">
            <v>0.13899171589270917</v>
          </cell>
          <cell r="AB87" t="str">
            <v/>
          </cell>
          <cell r="AC87" t="e">
            <v>#N/A</v>
          </cell>
          <cell r="AD87">
            <v>0</v>
          </cell>
          <cell r="AE87" t="e">
            <v>#N/A</v>
          </cell>
          <cell r="AF87" t="str">
            <v/>
          </cell>
        </row>
        <row r="88">
          <cell r="Y88">
            <v>72</v>
          </cell>
          <cell r="Z88">
            <v>0.8441519346088171</v>
          </cell>
          <cell r="AA88">
            <v>0.17100334674149906</v>
          </cell>
          <cell r="AB88" t="str">
            <v/>
          </cell>
          <cell r="AC88" t="e">
            <v>#N/A</v>
          </cell>
          <cell r="AD88">
            <v>1</v>
          </cell>
          <cell r="AE88" t="e">
            <v>#N/A</v>
          </cell>
          <cell r="AF88" t="str">
            <v/>
          </cell>
        </row>
        <row r="89">
          <cell r="Y89">
            <v>73</v>
          </cell>
          <cell r="Z89">
            <v>0.32006332091987133</v>
          </cell>
          <cell r="AA89">
            <v>-7.9025597538194686E-2</v>
          </cell>
          <cell r="AB89" t="str">
            <v/>
          </cell>
          <cell r="AC89" t="e">
            <v>#N/A</v>
          </cell>
          <cell r="AD89">
            <v>2</v>
          </cell>
          <cell r="AE89" t="e">
            <v>#N/A</v>
          </cell>
          <cell r="AF89" t="str">
            <v/>
          </cell>
        </row>
        <row r="90">
          <cell r="Y90">
            <v>74</v>
          </cell>
          <cell r="Z90">
            <v>0.3700218852609396</v>
          </cell>
          <cell r="AA90">
            <v>-5.6083655994776591E-2</v>
          </cell>
          <cell r="AB90" t="str">
            <v/>
          </cell>
          <cell r="AC90" t="e">
            <v>#N/A</v>
          </cell>
          <cell r="AD90">
            <v>3</v>
          </cell>
          <cell r="AE90" t="e">
            <v>#N/A</v>
          </cell>
          <cell r="AF90" t="str">
            <v/>
          </cell>
        </row>
        <row r="91">
          <cell r="Y91">
            <v>75</v>
          </cell>
          <cell r="Z91">
            <v>0.66289390437304974</v>
          </cell>
          <cell r="AA91">
            <v>7.1056190539369041E-2</v>
          </cell>
          <cell r="AB91" t="str">
            <v/>
          </cell>
          <cell r="AC91" t="e">
            <v>#N/A</v>
          </cell>
          <cell r="AD91">
            <v>4</v>
          </cell>
          <cell r="AE91" t="e">
            <v>#N/A</v>
          </cell>
          <cell r="AF91" t="str">
            <v/>
          </cell>
        </row>
        <row r="92">
          <cell r="Y92">
            <v>76</v>
          </cell>
          <cell r="Z92">
            <v>0.66135125420987606</v>
          </cell>
          <cell r="AA92">
            <v>7.0342824567851389E-2</v>
          </cell>
          <cell r="AB92" t="str">
            <v/>
          </cell>
          <cell r="AC92" t="e">
            <v>#N/A</v>
          </cell>
          <cell r="AD92">
            <v>5</v>
          </cell>
          <cell r="AE92" t="e">
            <v>#N/A</v>
          </cell>
          <cell r="AF92" t="str">
            <v/>
          </cell>
        </row>
        <row r="93">
          <cell r="Y93">
            <v>77</v>
          </cell>
          <cell r="Z93">
            <v>0.13966506533324718</v>
          </cell>
          <cell r="AA93">
            <v>-0.18286186310444938</v>
          </cell>
          <cell r="AB93" t="str">
            <v/>
          </cell>
          <cell r="AC93" t="e">
            <v>#N/A</v>
          </cell>
          <cell r="AD93">
            <v>6</v>
          </cell>
          <cell r="AE93" t="e">
            <v>#N/A</v>
          </cell>
          <cell r="AF93" t="str">
            <v/>
          </cell>
        </row>
        <row r="94">
          <cell r="Y94">
            <v>78</v>
          </cell>
          <cell r="Z94">
            <v>0.46897832117974758</v>
          </cell>
          <cell r="AA94">
            <v>-1.3157082054092812E-2</v>
          </cell>
          <cell r="AB94" t="str">
            <v/>
          </cell>
          <cell r="AC94" t="e">
            <v>#N/A</v>
          </cell>
          <cell r="AD94">
            <v>7</v>
          </cell>
          <cell r="AE94" t="e">
            <v>#N/A</v>
          </cell>
          <cell r="AF94" t="str">
            <v/>
          </cell>
        </row>
        <row r="95">
          <cell r="Y95">
            <v>79</v>
          </cell>
          <cell r="Z95">
            <v>0.3085156511515379</v>
          </cell>
          <cell r="AA95">
            <v>-8.4525934127234609E-2</v>
          </cell>
          <cell r="AB95" t="str">
            <v/>
          </cell>
          <cell r="AC95" t="e">
            <v>#N/A</v>
          </cell>
          <cell r="AD95">
            <v>8</v>
          </cell>
          <cell r="AE95" t="e">
            <v>#N/A</v>
          </cell>
          <cell r="AF95" t="str">
            <v/>
          </cell>
        </row>
        <row r="96">
          <cell r="Y96">
            <v>80</v>
          </cell>
          <cell r="Z96">
            <v>0.522218843922019</v>
          </cell>
          <cell r="AA96">
            <v>9.4189410021186977E-3</v>
          </cell>
          <cell r="AB96" t="str">
            <v/>
          </cell>
          <cell r="AC96" t="e">
            <v>#N/A</v>
          </cell>
          <cell r="AD96">
            <v>9</v>
          </cell>
          <cell r="AE96" t="e">
            <v>#N/A</v>
          </cell>
          <cell r="AF96" t="str">
            <v/>
          </cell>
        </row>
        <row r="97">
          <cell r="Y97">
            <v>81</v>
          </cell>
          <cell r="Z97">
            <v>0.22806516103446484</v>
          </cell>
          <cell r="AA97">
            <v>-0.12596752322098367</v>
          </cell>
          <cell r="AB97" t="str">
            <v/>
          </cell>
          <cell r="AC97" t="e">
            <v>#N/A</v>
          </cell>
          <cell r="AD97">
            <v>10</v>
          </cell>
          <cell r="AE97" t="e">
            <v>#N/A</v>
          </cell>
          <cell r="AF97" t="str">
            <v/>
          </cell>
        </row>
        <row r="98">
          <cell r="Y98">
            <v>82</v>
          </cell>
          <cell r="Z98">
            <v>0.57519174180924892</v>
          </cell>
          <cell r="AA98">
            <v>3.2049558763186908E-2</v>
          </cell>
          <cell r="AB98" t="str">
            <v/>
          </cell>
          <cell r="AC98" t="e">
            <v>#N/A</v>
          </cell>
          <cell r="AD98">
            <v>11</v>
          </cell>
          <cell r="AE98" t="e">
            <v>#N/A</v>
          </cell>
          <cell r="AF98" t="str">
            <v/>
          </cell>
        </row>
        <row r="99">
          <cell r="Y99">
            <v>83</v>
          </cell>
          <cell r="Z99">
            <v>0.89558513276278973</v>
          </cell>
          <cell r="AA99">
            <v>0.21243626150191841</v>
          </cell>
          <cell r="AB99" t="str">
            <v/>
          </cell>
          <cell r="AC99" t="e">
            <v>#N/A</v>
          </cell>
          <cell r="AD99">
            <v>12</v>
          </cell>
          <cell r="AE99" t="e">
            <v>#N/A</v>
          </cell>
          <cell r="AF99" t="str">
            <v/>
          </cell>
        </row>
        <row r="100">
          <cell r="Y100">
            <v>84</v>
          </cell>
          <cell r="Z100">
            <v>0.97023462317883968</v>
          </cell>
          <cell r="AA100">
            <v>0.31849689790528485</v>
          </cell>
          <cell r="AB100" t="str">
            <v/>
          </cell>
          <cell r="AC100" t="e">
            <v>#N/A</v>
          </cell>
          <cell r="AD100">
            <v>13</v>
          </cell>
          <cell r="AE100" t="e">
            <v>#N/A</v>
          </cell>
          <cell r="AF100" t="str">
            <v/>
          </cell>
        </row>
        <row r="101">
          <cell r="Y101">
            <v>85</v>
          </cell>
          <cell r="Z101">
            <v>0.84483849816024303</v>
          </cell>
          <cell r="AA101">
            <v>0.1714893212438566</v>
          </cell>
          <cell r="AB101" t="str">
            <v/>
          </cell>
          <cell r="AC101" t="e">
            <v>#N/A</v>
          </cell>
          <cell r="AD101">
            <v>14</v>
          </cell>
          <cell r="AE101" t="e">
            <v>#N/A</v>
          </cell>
          <cell r="AF101" t="str">
            <v/>
          </cell>
        </row>
        <row r="102">
          <cell r="Y102">
            <v>86</v>
          </cell>
          <cell r="Z102">
            <v>0.96450290642678738</v>
          </cell>
          <cell r="AA102">
            <v>0.30518767550318576</v>
          </cell>
          <cell r="AB102" t="str">
            <v/>
          </cell>
          <cell r="AC102" t="e">
            <v>#N/A</v>
          </cell>
          <cell r="AD102">
            <v>15</v>
          </cell>
          <cell r="AE102" t="e">
            <v>#N/A</v>
          </cell>
          <cell r="AF102" t="str">
            <v/>
          </cell>
        </row>
        <row r="103">
          <cell r="Y103">
            <v>87</v>
          </cell>
          <cell r="Z103">
            <v>0.60280565731227398</v>
          </cell>
          <cell r="AA103">
            <v>4.4052136445353503E-2</v>
          </cell>
          <cell r="AB103" t="str">
            <v/>
          </cell>
          <cell r="AC103" t="e">
            <v>#N/A</v>
          </cell>
          <cell r="AD103">
            <v>16</v>
          </cell>
          <cell r="AE103" t="e">
            <v>#N/A</v>
          </cell>
          <cell r="AF103" t="str">
            <v/>
          </cell>
        </row>
        <row r="104">
          <cell r="Y104">
            <v>88</v>
          </cell>
          <cell r="Z104">
            <v>0.40959628485143185</v>
          </cell>
          <cell r="AA104">
            <v>-3.8637681011100454E-2</v>
          </cell>
          <cell r="AB104" t="str">
            <v/>
          </cell>
          <cell r="AC104" t="e">
            <v>#N/A</v>
          </cell>
          <cell r="AD104">
            <v>17</v>
          </cell>
          <cell r="AE104" t="e">
            <v>#N/A</v>
          </cell>
          <cell r="AF104" t="str">
            <v/>
          </cell>
        </row>
        <row r="105">
          <cell r="Y105">
            <v>89</v>
          </cell>
          <cell r="Z105">
            <v>0.17326602153480053</v>
          </cell>
          <cell r="AA105">
            <v>-0.15911504176198221</v>
          </cell>
          <cell r="AB105" t="str">
            <v/>
          </cell>
          <cell r="AC105" t="e">
            <v>#N/A</v>
          </cell>
          <cell r="AD105">
            <v>18</v>
          </cell>
          <cell r="AE105" t="e">
            <v>#N/A</v>
          </cell>
          <cell r="AF105" t="str">
            <v/>
          </cell>
        </row>
        <row r="106">
          <cell r="Y106">
            <v>90</v>
          </cell>
          <cell r="Z106">
            <v>0.46780628524720669</v>
          </cell>
          <cell r="AA106">
            <v>-1.3655235263929717E-2</v>
          </cell>
          <cell r="AB106" t="str">
            <v/>
          </cell>
          <cell r="AC106" t="e">
            <v>#N/A</v>
          </cell>
          <cell r="AD106">
            <v>19</v>
          </cell>
          <cell r="AE106" t="e">
            <v>#N/A</v>
          </cell>
          <cell r="AF106" t="str">
            <v/>
          </cell>
        </row>
        <row r="107">
          <cell r="Y107">
            <v>91</v>
          </cell>
          <cell r="Z107">
            <v>0.9339537750929594</v>
          </cell>
          <cell r="AA107">
            <v>0.25454381964592437</v>
          </cell>
          <cell r="AB107" t="str">
            <v/>
          </cell>
          <cell r="AC107" t="e">
            <v>#N/A</v>
          </cell>
          <cell r="AD107">
            <v>20</v>
          </cell>
          <cell r="AE107" t="e">
            <v>#N/A</v>
          </cell>
          <cell r="AF107" t="str">
            <v/>
          </cell>
        </row>
        <row r="108">
          <cell r="Y108">
            <v>92</v>
          </cell>
          <cell r="Z108">
            <v>0.89232867024838924</v>
          </cell>
          <cell r="AA108">
            <v>0.20943051993037803</v>
          </cell>
          <cell r="AB108" t="str">
            <v/>
          </cell>
          <cell r="AC108" t="e">
            <v>#N/A</v>
          </cell>
          <cell r="AD108">
            <v>21</v>
          </cell>
          <cell r="AE108" t="e">
            <v>#N/A</v>
          </cell>
          <cell r="AF108" t="str">
            <v/>
          </cell>
        </row>
        <row r="109">
          <cell r="Y109">
            <v>93</v>
          </cell>
          <cell r="Z109">
            <v>0.30275660566985607</v>
          </cell>
          <cell r="AA109">
            <v>-8.7302504579142973E-2</v>
          </cell>
          <cell r="AB109" t="str">
            <v/>
          </cell>
          <cell r="AC109" t="e">
            <v>#N/A</v>
          </cell>
          <cell r="AD109">
            <v>22</v>
          </cell>
          <cell r="AE109" t="e">
            <v>#N/A</v>
          </cell>
          <cell r="AF109" t="str">
            <v/>
          </cell>
        </row>
        <row r="110">
          <cell r="Y110">
            <v>94</v>
          </cell>
          <cell r="Z110">
            <v>0.99253443442285061</v>
          </cell>
          <cell r="AA110">
            <v>0.41142872846792794</v>
          </cell>
          <cell r="AB110" t="str">
            <v/>
          </cell>
          <cell r="AC110" t="e">
            <v>#N/A</v>
          </cell>
          <cell r="AD110">
            <v>23</v>
          </cell>
          <cell r="AE110" t="e">
            <v>#N/A</v>
          </cell>
          <cell r="AF110" t="str">
            <v/>
          </cell>
        </row>
        <row r="111">
          <cell r="Y111">
            <v>95</v>
          </cell>
          <cell r="Z111">
            <v>0.24717615358531475</v>
          </cell>
          <cell r="AA111">
            <v>-0.11551616860853341</v>
          </cell>
          <cell r="AB111" t="str">
            <v/>
          </cell>
          <cell r="AC111" t="e">
            <v>#N/A</v>
          </cell>
          <cell r="AD111">
            <v>24</v>
          </cell>
          <cell r="AE111" t="e">
            <v>#N/A</v>
          </cell>
          <cell r="AF111" t="str">
            <v/>
          </cell>
        </row>
        <row r="112">
          <cell r="Y112">
            <v>96</v>
          </cell>
          <cell r="Z112">
            <v>0.74914314411580563</v>
          </cell>
          <cell r="AA112">
            <v>0.11355421338461123</v>
          </cell>
          <cell r="AB112" t="str">
            <v/>
          </cell>
          <cell r="AC112" t="e">
            <v>#N/A</v>
          </cell>
          <cell r="AD112">
            <v>25</v>
          </cell>
          <cell r="AE112" t="e">
            <v>#N/A</v>
          </cell>
          <cell r="AF112" t="str">
            <v/>
          </cell>
        </row>
        <row r="113">
          <cell r="Y113">
            <v>97</v>
          </cell>
          <cell r="Z113">
            <v>0.18001892976462841</v>
          </cell>
          <cell r="AA113">
            <v>-0.1547127460945987</v>
          </cell>
          <cell r="AB113" t="str">
            <v/>
          </cell>
          <cell r="AC113" t="e">
            <v>#N/A</v>
          </cell>
          <cell r="AD113">
            <v>26</v>
          </cell>
          <cell r="AE113" t="e">
            <v>#N/A</v>
          </cell>
          <cell r="AF113" t="str">
            <v/>
          </cell>
        </row>
        <row r="114">
          <cell r="Y114">
            <v>98</v>
          </cell>
          <cell r="Z114">
            <v>0.63789237104356289</v>
          </cell>
          <cell r="AA114">
            <v>5.9639298009494711E-2</v>
          </cell>
          <cell r="AB114" t="str">
            <v/>
          </cell>
          <cell r="AC114" t="e">
            <v>#N/A</v>
          </cell>
          <cell r="AD114">
            <v>27</v>
          </cell>
          <cell r="AE114" t="e">
            <v>#N/A</v>
          </cell>
          <cell r="AF114" t="str">
            <v/>
          </cell>
        </row>
        <row r="115">
          <cell r="Y115">
            <v>99</v>
          </cell>
          <cell r="Z115">
            <v>3.0364524573087692E-3</v>
          </cell>
          <cell r="AA115">
            <v>-0.46379002645821155</v>
          </cell>
          <cell r="AB115" t="str">
            <v/>
          </cell>
          <cell r="AC115" t="e">
            <v>#N/A</v>
          </cell>
          <cell r="AD115">
            <v>28</v>
          </cell>
          <cell r="AE115" t="e">
            <v>#N/A</v>
          </cell>
          <cell r="AF115" t="str">
            <v/>
          </cell>
        </row>
        <row r="116">
          <cell r="Y116">
            <v>100</v>
          </cell>
          <cell r="Z116">
            <v>0.56404696963727474</v>
          </cell>
          <cell r="AA116">
            <v>2.7254173220867605E-2</v>
          </cell>
          <cell r="AB116" t="str">
            <v/>
          </cell>
          <cell r="AC116" t="e">
            <v>#N/A</v>
          </cell>
          <cell r="AD116">
            <v>29</v>
          </cell>
          <cell r="AE116" t="e">
            <v>#N/A</v>
          </cell>
          <cell r="AF116" t="str">
            <v/>
          </cell>
        </row>
        <row r="117">
          <cell r="Y117">
            <v>101</v>
          </cell>
          <cell r="Z117">
            <v>2.8983352705836296E-2</v>
          </cell>
          <cell r="AA117">
            <v>-0.32047397923850851</v>
          </cell>
          <cell r="AB117" t="str">
            <v/>
          </cell>
          <cell r="AC117" t="e">
            <v>#N/A</v>
          </cell>
          <cell r="AD117">
            <v>30</v>
          </cell>
          <cell r="AE117" t="e">
            <v>#N/A</v>
          </cell>
          <cell r="AF117" t="str">
            <v/>
          </cell>
        </row>
        <row r="118">
          <cell r="Y118">
            <v>102</v>
          </cell>
          <cell r="Z118">
            <v>0.90384194813668728</v>
          </cell>
          <cell r="AA118">
            <v>0.22037532576465949</v>
          </cell>
          <cell r="AB118" t="str">
            <v/>
          </cell>
          <cell r="AC118" t="e">
            <v>#N/A</v>
          </cell>
          <cell r="AD118">
            <v>31</v>
          </cell>
          <cell r="AE118" t="e">
            <v>#N/A</v>
          </cell>
          <cell r="AF118" t="str">
            <v/>
          </cell>
        </row>
        <row r="119">
          <cell r="Y119">
            <v>103</v>
          </cell>
          <cell r="Z119">
            <v>0.23131219856441021</v>
          </cell>
          <cell r="AA119">
            <v>-0.1241586154684671</v>
          </cell>
          <cell r="AB119" t="str">
            <v/>
          </cell>
          <cell r="AC119" t="e">
            <v>#N/A</v>
          </cell>
          <cell r="AD119">
            <v>32</v>
          </cell>
          <cell r="AE119" t="e">
            <v>#N/A</v>
          </cell>
          <cell r="AF119" t="str">
            <v/>
          </cell>
        </row>
        <row r="120">
          <cell r="Y120">
            <v>104</v>
          </cell>
          <cell r="Z120">
            <v>0.99270268343389034</v>
          </cell>
          <cell r="AA120">
            <v>0.41282145649700597</v>
          </cell>
          <cell r="AB120" t="str">
            <v/>
          </cell>
          <cell r="AC120" t="e">
            <v>#N/A</v>
          </cell>
          <cell r="AD120">
            <v>33</v>
          </cell>
          <cell r="AE120" t="e">
            <v>#N/A</v>
          </cell>
          <cell r="AF120" t="str">
            <v/>
          </cell>
        </row>
        <row r="121">
          <cell r="Y121">
            <v>105</v>
          </cell>
          <cell r="Z121">
            <v>0.73947378806769848</v>
          </cell>
          <cell r="AA121">
            <v>0.10847114845461558</v>
          </cell>
          <cell r="AB121" t="str">
            <v/>
          </cell>
          <cell r="AC121" t="e">
            <v>#N/A</v>
          </cell>
          <cell r="AD121">
            <v>34</v>
          </cell>
          <cell r="AE121" t="e">
            <v>#N/A</v>
          </cell>
          <cell r="AF121" t="str">
            <v/>
          </cell>
        </row>
        <row r="122">
          <cell r="Y122">
            <v>106</v>
          </cell>
          <cell r="Z122">
            <v>0.49383622966706753</v>
          </cell>
          <cell r="AA122">
            <v>-2.6116780545854296E-3</v>
          </cell>
          <cell r="AB122" t="str">
            <v/>
          </cell>
          <cell r="AC122" t="e">
            <v>#N/A</v>
          </cell>
          <cell r="AD122">
            <v>35</v>
          </cell>
          <cell r="AE122" t="e">
            <v>#N/A</v>
          </cell>
          <cell r="AF122" t="str">
            <v/>
          </cell>
        </row>
        <row r="123">
          <cell r="Y123">
            <v>107</v>
          </cell>
          <cell r="Z123">
            <v>0.71654166094958782</v>
          </cell>
          <cell r="AA123">
            <v>9.6786786117488241E-2</v>
          </cell>
          <cell r="AB123" t="str">
            <v/>
          </cell>
          <cell r="AC123" t="e">
            <v>#N/A</v>
          </cell>
          <cell r="AD123">
            <v>36</v>
          </cell>
          <cell r="AE123" t="e">
            <v>#N/A</v>
          </cell>
          <cell r="AF123" t="str">
            <v/>
          </cell>
        </row>
        <row r="124">
          <cell r="Y124">
            <v>108</v>
          </cell>
          <cell r="Z124">
            <v>0.92453747056424618</v>
          </cell>
          <cell r="AA124">
            <v>0.2427742185492939</v>
          </cell>
          <cell r="AB124" t="str">
            <v/>
          </cell>
          <cell r="AC124" t="e">
            <v>#N/A</v>
          </cell>
          <cell r="AD124">
            <v>37</v>
          </cell>
          <cell r="AE124" t="e">
            <v>#N/A</v>
          </cell>
          <cell r="AF124" t="str">
            <v/>
          </cell>
        </row>
        <row r="125">
          <cell r="Y125">
            <v>109</v>
          </cell>
          <cell r="Z125">
            <v>0.72462957911193371</v>
          </cell>
          <cell r="AA125">
            <v>0.10085231787803753</v>
          </cell>
          <cell r="AB125" t="str">
            <v/>
          </cell>
          <cell r="AC125" t="e">
            <v>#N/A</v>
          </cell>
          <cell r="AD125">
            <v>38</v>
          </cell>
          <cell r="AE125" t="e">
            <v>#N/A</v>
          </cell>
          <cell r="AF125" t="str">
            <v/>
          </cell>
        </row>
        <row r="126">
          <cell r="Y126">
            <v>110</v>
          </cell>
          <cell r="Z126">
            <v>0.21130386553704739</v>
          </cell>
          <cell r="AA126">
            <v>-0.13554673786797022</v>
          </cell>
          <cell r="AB126" t="str">
            <v/>
          </cell>
          <cell r="AC126" t="e">
            <v>#N/A</v>
          </cell>
          <cell r="AD126">
            <v>39</v>
          </cell>
          <cell r="AE126" t="e">
            <v>#N/A</v>
          </cell>
          <cell r="AF126" t="str">
            <v/>
          </cell>
        </row>
        <row r="127">
          <cell r="Y127">
            <v>111</v>
          </cell>
          <cell r="Z127">
            <v>0.40232072584331036</v>
          </cell>
          <cell r="AA127">
            <v>-4.1808888601324944E-2</v>
          </cell>
          <cell r="AB127" t="str">
            <v/>
          </cell>
          <cell r="AC127" t="e">
            <v>#N/A</v>
          </cell>
          <cell r="AD127">
            <v>40</v>
          </cell>
          <cell r="AE127" t="e">
            <v>#N/A</v>
          </cell>
          <cell r="AF127" t="str">
            <v/>
          </cell>
        </row>
        <row r="128">
          <cell r="Y128">
            <v>112</v>
          </cell>
          <cell r="Z128">
            <v>0.488602539524436</v>
          </cell>
          <cell r="AA128">
            <v>-4.8297327290210013E-3</v>
          </cell>
          <cell r="AB128" t="str">
            <v/>
          </cell>
          <cell r="AC128" t="e">
            <v>#N/A</v>
          </cell>
          <cell r="AD128">
            <v>41</v>
          </cell>
          <cell r="AE128" t="e">
            <v>#N/A</v>
          </cell>
          <cell r="AF128" t="str">
            <v/>
          </cell>
        </row>
        <row r="129">
          <cell r="Y129">
            <v>113</v>
          </cell>
          <cell r="Z129">
            <v>0.74707737378776073</v>
          </cell>
          <cell r="AA129">
            <v>0.1124597613625974</v>
          </cell>
          <cell r="AB129" t="str">
            <v/>
          </cell>
          <cell r="AC129" t="e">
            <v>#N/A</v>
          </cell>
          <cell r="AD129">
            <v>42</v>
          </cell>
          <cell r="AE129" t="e">
            <v>#N/A</v>
          </cell>
          <cell r="AF129" t="str">
            <v/>
          </cell>
        </row>
        <row r="130">
          <cell r="Y130">
            <v>114</v>
          </cell>
          <cell r="Z130">
            <v>0.4498834665864706</v>
          </cell>
          <cell r="AA130">
            <v>-2.1290411605509818E-2</v>
          </cell>
          <cell r="AB130" t="str">
            <v/>
          </cell>
          <cell r="AC130" t="e">
            <v>#N/A</v>
          </cell>
          <cell r="AD130">
            <v>43</v>
          </cell>
          <cell r="AE130" t="e">
            <v>#N/A</v>
          </cell>
          <cell r="AF130" t="str">
            <v/>
          </cell>
        </row>
        <row r="131">
          <cell r="Y131">
            <v>115</v>
          </cell>
          <cell r="Z131">
            <v>0.51434977166354656</v>
          </cell>
          <cell r="AA131">
            <v>6.0812741714859056E-3</v>
          </cell>
          <cell r="AB131" t="str">
            <v/>
          </cell>
          <cell r="AC131" t="e">
            <v>#N/A</v>
          </cell>
          <cell r="AD131">
            <v>44</v>
          </cell>
          <cell r="AE131" t="e">
            <v>#N/A</v>
          </cell>
          <cell r="AF131" t="str">
            <v/>
          </cell>
        </row>
        <row r="132">
          <cell r="Y132">
            <v>116</v>
          </cell>
          <cell r="Z132">
            <v>0.40318249724805355</v>
          </cell>
          <cell r="AA132">
            <v>-4.1432519733830692E-2</v>
          </cell>
          <cell r="AB132" t="str">
            <v/>
          </cell>
          <cell r="AC132" t="e">
            <v>#N/A</v>
          </cell>
          <cell r="AD132">
            <v>45</v>
          </cell>
          <cell r="AE132" t="e">
            <v>#N/A</v>
          </cell>
          <cell r="AF132" t="str">
            <v/>
          </cell>
        </row>
        <row r="133">
          <cell r="Y133">
            <v>117</v>
          </cell>
          <cell r="Z133">
            <v>0.21385299973189831</v>
          </cell>
          <cell r="AA133">
            <v>-0.13406230325087992</v>
          </cell>
          <cell r="AB133" t="str">
            <v/>
          </cell>
          <cell r="AC133" t="e">
            <v>#N/A</v>
          </cell>
          <cell r="AD133">
            <v>46</v>
          </cell>
          <cell r="AE133" t="e">
            <v>#N/A</v>
          </cell>
          <cell r="AF133" t="str">
            <v/>
          </cell>
        </row>
        <row r="134">
          <cell r="Y134">
            <v>118</v>
          </cell>
          <cell r="Z134">
            <v>0.77740797959268093</v>
          </cell>
          <cell r="AA134">
            <v>0.12904973038783099</v>
          </cell>
          <cell r="AB134" t="str">
            <v/>
          </cell>
          <cell r="AC134" t="e">
            <v>#N/A</v>
          </cell>
          <cell r="AD134">
            <v>47</v>
          </cell>
          <cell r="AE134" t="e">
            <v>#N/A</v>
          </cell>
          <cell r="AF134" t="str">
            <v/>
          </cell>
        </row>
        <row r="135">
          <cell r="Y135">
            <v>119</v>
          </cell>
          <cell r="Z135">
            <v>0.90223054401576519</v>
          </cell>
          <cell r="AA135">
            <v>0.21878784368166504</v>
          </cell>
          <cell r="AB135" t="str">
            <v/>
          </cell>
          <cell r="AC135" t="e">
            <v>#N/A</v>
          </cell>
          <cell r="AD135">
            <v>48</v>
          </cell>
          <cell r="AE135" t="e">
            <v>#N/A</v>
          </cell>
          <cell r="AF135" t="str">
            <v/>
          </cell>
        </row>
        <row r="136">
          <cell r="Y136">
            <v>120</v>
          </cell>
          <cell r="Z136">
            <v>0.16915472410619259</v>
          </cell>
          <cell r="AA136">
            <v>-0.16184888195070077</v>
          </cell>
          <cell r="AB136" t="str">
            <v/>
          </cell>
          <cell r="AC136" t="e">
            <v>#N/A</v>
          </cell>
          <cell r="AD136">
            <v>49</v>
          </cell>
          <cell r="AE136" t="e">
            <v>#N/A</v>
          </cell>
          <cell r="AF136" t="str">
            <v/>
          </cell>
        </row>
        <row r="137">
          <cell r="Y137">
            <v>121</v>
          </cell>
          <cell r="Z137">
            <v>0.44007333926856518</v>
          </cell>
          <cell r="AA137">
            <v>-2.5487025601202157E-2</v>
          </cell>
          <cell r="AB137" t="str">
            <v/>
          </cell>
          <cell r="AC137" t="e">
            <v>#N/A</v>
          </cell>
          <cell r="AD137">
            <v>50</v>
          </cell>
          <cell r="AE137" t="e">
            <v>#N/A</v>
          </cell>
          <cell r="AF137" t="str">
            <v/>
          </cell>
        </row>
        <row r="138">
          <cell r="Y138">
            <v>122</v>
          </cell>
          <cell r="Z138">
            <v>0.11363906227052212</v>
          </cell>
          <cell r="AA138">
            <v>-0.20408785426705081</v>
          </cell>
          <cell r="AB138" t="str">
            <v/>
          </cell>
          <cell r="AC138" t="e">
            <v>#N/A</v>
          </cell>
          <cell r="AD138">
            <v>51</v>
          </cell>
          <cell r="AE138" t="e">
            <v>#N/A</v>
          </cell>
          <cell r="AF138" t="str">
            <v/>
          </cell>
        </row>
        <row r="139">
          <cell r="Y139">
            <v>123</v>
          </cell>
          <cell r="Z139">
            <v>0.10001303069293499</v>
          </cell>
          <cell r="AA139">
            <v>-0.21660920176725504</v>
          </cell>
          <cell r="AB139" t="str">
            <v/>
          </cell>
          <cell r="AC139" t="e">
            <v>#N/A</v>
          </cell>
          <cell r="AD139">
            <v>52</v>
          </cell>
          <cell r="AE139" t="e">
            <v>#N/A</v>
          </cell>
          <cell r="AF139" t="str">
            <v/>
          </cell>
        </row>
        <row r="140">
          <cell r="Y140">
            <v>124</v>
          </cell>
          <cell r="Z140">
            <v>0.60709874890744686</v>
          </cell>
          <cell r="AA140">
            <v>4.5936716780681931E-2</v>
          </cell>
          <cell r="AB140" t="str">
            <v/>
          </cell>
          <cell r="AC140" t="e">
            <v>#N/A</v>
          </cell>
          <cell r="AD140">
            <v>53</v>
          </cell>
          <cell r="AE140" t="e">
            <v>#N/A</v>
          </cell>
          <cell r="AF140" t="str">
            <v/>
          </cell>
        </row>
        <row r="141">
          <cell r="Y141">
            <v>125</v>
          </cell>
          <cell r="Z141">
            <v>0.38135820440948009</v>
          </cell>
          <cell r="AA141">
            <v>-5.1033049555812546E-2</v>
          </cell>
          <cell r="AB141" t="str">
            <v/>
          </cell>
          <cell r="AC141" t="e">
            <v>#N/A</v>
          </cell>
          <cell r="AD141">
            <v>54</v>
          </cell>
          <cell r="AE141" t="e">
            <v>#N/A</v>
          </cell>
          <cell r="AF141" t="str">
            <v/>
          </cell>
        </row>
        <row r="142">
          <cell r="Y142">
            <v>126</v>
          </cell>
          <cell r="Z142">
            <v>1.7514582723379135E-3</v>
          </cell>
          <cell r="AA142">
            <v>-0.49353092993835729</v>
          </cell>
          <cell r="AB142" t="str">
            <v/>
          </cell>
          <cell r="AC142" t="e">
            <v>#N/A</v>
          </cell>
          <cell r="AD142">
            <v>55</v>
          </cell>
          <cell r="AE142" t="e">
            <v>#N/A</v>
          </cell>
          <cell r="AF142" t="str">
            <v/>
          </cell>
        </row>
        <row r="143">
          <cell r="Y143">
            <v>127</v>
          </cell>
          <cell r="Z143">
            <v>0.60549233667552471</v>
          </cell>
          <cell r="AA143">
            <v>4.5230878134087736E-2</v>
          </cell>
          <cell r="AB143" t="str">
            <v/>
          </cell>
          <cell r="AC143" t="e">
            <v>#N/A</v>
          </cell>
          <cell r="AD143">
            <v>56</v>
          </cell>
          <cell r="AE143" t="e">
            <v>#N/A</v>
          </cell>
          <cell r="AF143" t="str">
            <v/>
          </cell>
        </row>
        <row r="144">
          <cell r="Y144">
            <v>128</v>
          </cell>
          <cell r="Z144">
            <v>0.23815562389791012</v>
          </cell>
          <cell r="AA144">
            <v>-0.12039187744785904</v>
          </cell>
          <cell r="AB144" t="str">
            <v/>
          </cell>
          <cell r="AC144" t="e">
            <v>#N/A</v>
          </cell>
          <cell r="AD144">
            <v>57</v>
          </cell>
          <cell r="AE144" t="e">
            <v>#N/A</v>
          </cell>
          <cell r="AF144" t="str">
            <v/>
          </cell>
        </row>
        <row r="145">
          <cell r="Y145">
            <v>129</v>
          </cell>
          <cell r="Z145">
            <v>0.33500221185386181</v>
          </cell>
          <cell r="AA145">
            <v>-7.2031134160745164E-2</v>
          </cell>
          <cell r="AB145" t="str">
            <v/>
          </cell>
          <cell r="AC145" t="e">
            <v>#N/A</v>
          </cell>
          <cell r="AD145">
            <v>58</v>
          </cell>
          <cell r="AE145" t="e">
            <v>#N/A</v>
          </cell>
          <cell r="AF145" t="str">
            <v/>
          </cell>
        </row>
        <row r="146">
          <cell r="Y146">
            <v>130</v>
          </cell>
          <cell r="Z146">
            <v>0.47356737218797207</v>
          </cell>
          <cell r="AA146">
            <v>-1.1207645388894912E-2</v>
          </cell>
          <cell r="AB146" t="str">
            <v/>
          </cell>
          <cell r="AC146" t="e">
            <v>#N/A</v>
          </cell>
          <cell r="AD146">
            <v>59</v>
          </cell>
          <cell r="AE146" t="e">
            <v>#N/A</v>
          </cell>
          <cell r="AF146" t="str">
            <v/>
          </cell>
        </row>
        <row r="147">
          <cell r="Y147">
            <v>131</v>
          </cell>
          <cell r="Z147">
            <v>0.87825555913150311</v>
          </cell>
          <cell r="AA147">
            <v>0.19714247623324041</v>
          </cell>
          <cell r="AB147" t="str">
            <v/>
          </cell>
          <cell r="AC147" t="e">
            <v>#N/A</v>
          </cell>
          <cell r="AD147">
            <v>60</v>
          </cell>
          <cell r="AE147" t="e">
            <v>#N/A</v>
          </cell>
          <cell r="AF147" t="str">
            <v/>
          </cell>
        </row>
        <row r="148">
          <cell r="Y148">
            <v>132</v>
          </cell>
          <cell r="Z148">
            <v>8.6372997611761093E-3</v>
          </cell>
          <cell r="AA148">
            <v>-0.4024304115941349</v>
          </cell>
          <cell r="AB148" t="str">
            <v/>
          </cell>
          <cell r="AC148" t="e">
            <v>#N/A</v>
          </cell>
          <cell r="AD148">
            <v>61</v>
          </cell>
          <cell r="AE148" t="e">
            <v>#N/A</v>
          </cell>
          <cell r="AF148" t="str">
            <v/>
          </cell>
        </row>
        <row r="149">
          <cell r="Y149">
            <v>133</v>
          </cell>
          <cell r="Z149">
            <v>0.10989665798842907</v>
          </cell>
          <cell r="AA149">
            <v>-0.20741402042341434</v>
          </cell>
          <cell r="AB149" t="str">
            <v/>
          </cell>
          <cell r="AC149" t="e">
            <v>#N/A</v>
          </cell>
          <cell r="AD149">
            <v>62</v>
          </cell>
          <cell r="AE149" t="e">
            <v>#N/A</v>
          </cell>
          <cell r="AF149" t="str">
            <v/>
          </cell>
        </row>
        <row r="150">
          <cell r="Y150">
            <v>134</v>
          </cell>
          <cell r="Z150">
            <v>8.5408445447683334E-3</v>
          </cell>
          <cell r="AA150">
            <v>-0.40312923126153605</v>
          </cell>
          <cell r="AB150" t="str">
            <v/>
          </cell>
          <cell r="AC150" t="e">
            <v>#N/A</v>
          </cell>
          <cell r="AD150">
            <v>63</v>
          </cell>
          <cell r="AE150" t="e">
            <v>#N/A</v>
          </cell>
          <cell r="AF150" t="str">
            <v/>
          </cell>
        </row>
        <row r="151">
          <cell r="Y151">
            <v>135</v>
          </cell>
          <cell r="Z151">
            <v>0.55647866241633892</v>
          </cell>
          <cell r="AA151">
            <v>2.4010369421117124E-2</v>
          </cell>
          <cell r="AB151" t="str">
            <v/>
          </cell>
          <cell r="AC151" t="e">
            <v>#N/A</v>
          </cell>
          <cell r="AD151">
            <v>64</v>
          </cell>
          <cell r="AE151" t="e">
            <v>#N/A</v>
          </cell>
          <cell r="AF151" t="str">
            <v/>
          </cell>
        </row>
        <row r="152">
          <cell r="Y152">
            <v>136</v>
          </cell>
          <cell r="Z152">
            <v>0.85838600061833858</v>
          </cell>
          <cell r="AA152">
            <v>0.18138634764380679</v>
          </cell>
          <cell r="AB152" t="str">
            <v/>
          </cell>
          <cell r="AC152" t="e">
            <v>#N/A</v>
          </cell>
          <cell r="AD152">
            <v>65</v>
          </cell>
          <cell r="AE152" t="e">
            <v>#N/A</v>
          </cell>
          <cell r="AF152" t="str">
            <v/>
          </cell>
        </row>
        <row r="153">
          <cell r="Y153">
            <v>137</v>
          </cell>
          <cell r="Z153">
            <v>0.16520139388740063</v>
          </cell>
          <cell r="AA153">
            <v>-0.1645182153033255</v>
          </cell>
          <cell r="AB153" t="str">
            <v/>
          </cell>
          <cell r="AC153" t="e">
            <v>#N/A</v>
          </cell>
          <cell r="AD153">
            <v>66</v>
          </cell>
          <cell r="AE153" t="e">
            <v>#N/A</v>
          </cell>
          <cell r="AF153" t="str">
            <v/>
          </cell>
        </row>
        <row r="154">
          <cell r="Y154">
            <v>138</v>
          </cell>
          <cell r="Z154">
            <v>8.6492126807570457E-2</v>
          </cell>
          <cell r="AA154">
            <v>-0.2303344936081142</v>
          </cell>
          <cell r="AB154" t="str">
            <v/>
          </cell>
          <cell r="AC154" t="e">
            <v>#N/A</v>
          </cell>
          <cell r="AD154">
            <v>67</v>
          </cell>
          <cell r="AE154" t="e">
            <v>#N/A</v>
          </cell>
          <cell r="AF154" t="str">
            <v/>
          </cell>
        </row>
        <row r="155">
          <cell r="Y155">
            <v>139</v>
          </cell>
          <cell r="Z155">
            <v>0.39247335307300091</v>
          </cell>
          <cell r="AA155">
            <v>-4.6124864808523493E-2</v>
          </cell>
          <cell r="AB155" t="str">
            <v/>
          </cell>
          <cell r="AC155" t="e">
            <v>#N/A</v>
          </cell>
          <cell r="AD155">
            <v>68</v>
          </cell>
          <cell r="AE155" t="e">
            <v>#N/A</v>
          </cell>
          <cell r="AF155" t="str">
            <v/>
          </cell>
        </row>
        <row r="156">
          <cell r="Y156">
            <v>140</v>
          </cell>
          <cell r="Z156">
            <v>0.63288359902799129</v>
          </cell>
          <cell r="AA156">
            <v>5.7386040129740107E-2</v>
          </cell>
          <cell r="AB156" t="str">
            <v/>
          </cell>
          <cell r="AC156" t="e">
            <v>#N/A</v>
          </cell>
          <cell r="AD156">
            <v>69</v>
          </cell>
          <cell r="AE156" t="e">
            <v>#N/A</v>
          </cell>
          <cell r="AF156" t="str">
            <v/>
          </cell>
        </row>
        <row r="157">
          <cell r="Y157">
            <v>141</v>
          </cell>
          <cell r="Z157">
            <v>0.21776670031249523</v>
          </cell>
          <cell r="AA157">
            <v>-0.13180313863997639</v>
          </cell>
          <cell r="AB157" t="str">
            <v/>
          </cell>
          <cell r="AC157" t="e">
            <v>#N/A</v>
          </cell>
          <cell r="AD157">
            <v>70</v>
          </cell>
          <cell r="AE157" t="e">
            <v>#N/A</v>
          </cell>
          <cell r="AF157" t="str">
            <v/>
          </cell>
        </row>
        <row r="158">
          <cell r="Y158">
            <v>142</v>
          </cell>
          <cell r="Z158">
            <v>0.83409205637872219</v>
          </cell>
          <cell r="AA158">
            <v>0.16403814324280669</v>
          </cell>
          <cell r="AB158" t="str">
            <v/>
          </cell>
          <cell r="AC158" t="e">
            <v>#N/A</v>
          </cell>
          <cell r="AD158">
            <v>71</v>
          </cell>
          <cell r="AE158" t="e">
            <v>#N/A</v>
          </cell>
          <cell r="AF158" t="str">
            <v/>
          </cell>
        </row>
        <row r="159">
          <cell r="Y159">
            <v>143</v>
          </cell>
          <cell r="Z159">
            <v>0.40698395483195782</v>
          </cell>
          <cell r="AA159">
            <v>-3.9774698424874605E-2</v>
          </cell>
          <cell r="AB159" t="str">
            <v/>
          </cell>
          <cell r="AC159" t="e">
            <v>#N/A</v>
          </cell>
          <cell r="AD159">
            <v>72</v>
          </cell>
          <cell r="AE159" t="e">
            <v>#N/A</v>
          </cell>
          <cell r="AF159" t="str">
            <v/>
          </cell>
        </row>
        <row r="160">
          <cell r="Y160">
            <v>144</v>
          </cell>
          <cell r="Z160">
            <v>0.83911099098622799</v>
          </cell>
          <cell r="AA160">
            <v>0.16747757764911464</v>
          </cell>
          <cell r="AB160" t="str">
            <v/>
          </cell>
          <cell r="AC160" t="e">
            <v>#N/A</v>
          </cell>
          <cell r="AD160">
            <v>73</v>
          </cell>
          <cell r="AE160" t="e">
            <v>#N/A</v>
          </cell>
          <cell r="AF160" t="str">
            <v/>
          </cell>
        </row>
        <row r="161">
          <cell r="Y161">
            <v>145</v>
          </cell>
          <cell r="Z161">
            <v>0.81830516271293163</v>
          </cell>
          <cell r="AA161">
            <v>0.15363637957391657</v>
          </cell>
          <cell r="AB161" t="str">
            <v/>
          </cell>
          <cell r="AC161" t="e">
            <v>#N/A</v>
          </cell>
          <cell r="AD161">
            <v>74</v>
          </cell>
          <cell r="AE161" t="e">
            <v>#N/A</v>
          </cell>
          <cell r="AF161" t="str">
            <v/>
          </cell>
        </row>
        <row r="162">
          <cell r="Y162">
            <v>146</v>
          </cell>
          <cell r="Z162">
            <v>0.26509643159806728</v>
          </cell>
          <cell r="AA162">
            <v>-0.10610263150026972</v>
          </cell>
          <cell r="AB162" t="str">
            <v/>
          </cell>
          <cell r="AC162" t="e">
            <v>#N/A</v>
          </cell>
          <cell r="AD162">
            <v>75</v>
          </cell>
          <cell r="AE162" t="e">
            <v>#N/A</v>
          </cell>
          <cell r="AF162" t="str">
            <v/>
          </cell>
        </row>
        <row r="163">
          <cell r="Y163">
            <v>147</v>
          </cell>
          <cell r="Z163">
            <v>0.7622342836111784</v>
          </cell>
          <cell r="AA163">
            <v>0.12060487307007314</v>
          </cell>
          <cell r="AB163" t="str">
            <v/>
          </cell>
          <cell r="AC163" t="e">
            <v>#N/A</v>
          </cell>
          <cell r="AD163">
            <v>76</v>
          </cell>
          <cell r="AE163" t="e">
            <v>#N/A</v>
          </cell>
          <cell r="AF163" t="str">
            <v/>
          </cell>
        </row>
        <row r="164">
          <cell r="Y164">
            <v>148</v>
          </cell>
          <cell r="Z164">
            <v>0.74515747092664242</v>
          </cell>
          <cell r="AA164">
            <v>0.11144680126419877</v>
          </cell>
          <cell r="AB164" t="str">
            <v/>
          </cell>
          <cell r="AC164" t="e">
            <v>#N/A</v>
          </cell>
          <cell r="AD164">
            <v>77</v>
          </cell>
          <cell r="AE164" t="e">
            <v>#N/A</v>
          </cell>
          <cell r="AF164" t="str">
            <v/>
          </cell>
        </row>
        <row r="165">
          <cell r="Y165">
            <v>149</v>
          </cell>
          <cell r="Z165">
            <v>0.39631354622542858</v>
          </cell>
          <cell r="AA165">
            <v>-4.4438334367212728E-2</v>
          </cell>
          <cell r="AB165" t="str">
            <v/>
          </cell>
          <cell r="AC165" t="e">
            <v>#N/A</v>
          </cell>
          <cell r="AD165">
            <v>78</v>
          </cell>
          <cell r="AE165" t="e">
            <v>#N/A</v>
          </cell>
          <cell r="AF165" t="str">
            <v/>
          </cell>
        </row>
        <row r="166">
          <cell r="Y166">
            <v>150</v>
          </cell>
          <cell r="Z166">
            <v>0.61433038674294949</v>
          </cell>
          <cell r="AA166">
            <v>4.9124350453204187E-2</v>
          </cell>
          <cell r="AB166" t="str">
            <v/>
          </cell>
          <cell r="AC166" t="e">
            <v>#N/A</v>
          </cell>
          <cell r="AD166">
            <v>79</v>
          </cell>
          <cell r="AE166" t="e">
            <v>#N/A</v>
          </cell>
          <cell r="AF166" t="str">
            <v/>
          </cell>
        </row>
        <row r="167">
          <cell r="Y167">
            <v>151</v>
          </cell>
          <cell r="Z167">
            <v>0.8537245225161314</v>
          </cell>
          <cell r="AA167">
            <v>0.17791206865042078</v>
          </cell>
          <cell r="AB167" t="str">
            <v/>
          </cell>
          <cell r="AC167" t="e">
            <v>#N/A</v>
          </cell>
          <cell r="AD167">
            <v>80</v>
          </cell>
          <cell r="AE167" t="e">
            <v>#N/A</v>
          </cell>
          <cell r="AF167" t="str">
            <v/>
          </cell>
        </row>
        <row r="168">
          <cell r="Y168">
            <v>152</v>
          </cell>
          <cell r="Z168">
            <v>0.32358010672032833</v>
          </cell>
          <cell r="AA168">
            <v>-7.7367249393194087E-2</v>
          </cell>
          <cell r="AB168" t="str">
            <v/>
          </cell>
          <cell r="AC168" t="e">
            <v>#N/A</v>
          </cell>
          <cell r="AD168">
            <v>81</v>
          </cell>
          <cell r="AE168" t="e">
            <v>#N/A</v>
          </cell>
          <cell r="AF168" t="str">
            <v/>
          </cell>
        </row>
        <row r="169">
          <cell r="Y169">
            <v>153</v>
          </cell>
          <cell r="Z169">
            <v>0.27374467067420483</v>
          </cell>
          <cell r="AA169">
            <v>-0.10167654265521515</v>
          </cell>
          <cell r="AB169" t="str">
            <v/>
          </cell>
          <cell r="AC169" t="e">
            <v>#N/A</v>
          </cell>
          <cell r="AD169">
            <v>82</v>
          </cell>
          <cell r="AE169" t="e">
            <v>#N/A</v>
          </cell>
          <cell r="AF169" t="str">
            <v/>
          </cell>
        </row>
        <row r="170">
          <cell r="Y170">
            <v>154</v>
          </cell>
          <cell r="Z170">
            <v>0.26542276702821255</v>
          </cell>
          <cell r="AA170">
            <v>-0.10593430781308198</v>
          </cell>
          <cell r="AB170" t="str">
            <v/>
          </cell>
          <cell r="AC170" t="e">
            <v>#N/A</v>
          </cell>
          <cell r="AD170">
            <v>83</v>
          </cell>
          <cell r="AE170" t="e">
            <v>#N/A</v>
          </cell>
          <cell r="AF170" t="str">
            <v/>
          </cell>
        </row>
        <row r="171">
          <cell r="Y171">
            <v>155</v>
          </cell>
          <cell r="Z171">
            <v>0.12077809683978558</v>
          </cell>
          <cell r="AA171">
            <v>-0.19795303478895418</v>
          </cell>
          <cell r="AB171" t="str">
            <v/>
          </cell>
          <cell r="AC171" t="e">
            <v>#N/A</v>
          </cell>
          <cell r="AD171">
            <v>84</v>
          </cell>
          <cell r="AE171" t="e">
            <v>#N/A</v>
          </cell>
          <cell r="AF171" t="str">
            <v/>
          </cell>
        </row>
        <row r="172">
          <cell r="Y172">
            <v>156</v>
          </cell>
          <cell r="Z172">
            <v>0.53851311467587948</v>
          </cell>
          <cell r="AA172">
            <v>1.6343339870323787E-2</v>
          </cell>
          <cell r="AB172" t="str">
            <v/>
          </cell>
          <cell r="AC172" t="e">
            <v>#N/A</v>
          </cell>
          <cell r="AD172">
            <v>85</v>
          </cell>
          <cell r="AE172" t="e">
            <v>#N/A</v>
          </cell>
          <cell r="AF172" t="str">
            <v/>
          </cell>
        </row>
        <row r="173">
          <cell r="Y173">
            <v>157</v>
          </cell>
          <cell r="Z173">
            <v>0.14742928557097912</v>
          </cell>
          <cell r="AA173">
            <v>-0.17706365230684498</v>
          </cell>
          <cell r="AB173" t="str">
            <v/>
          </cell>
          <cell r="AC173" t="e">
            <v>#N/A</v>
          </cell>
          <cell r="AD173">
            <v>86</v>
          </cell>
          <cell r="AE173" t="e">
            <v>#N/A</v>
          </cell>
          <cell r="AF173" t="str">
            <v/>
          </cell>
        </row>
        <row r="174">
          <cell r="Y174">
            <v>158</v>
          </cell>
          <cell r="Z174">
            <v>0.77229050360620022</v>
          </cell>
          <cell r="AA174">
            <v>0.12616653787846793</v>
          </cell>
          <cell r="AB174" t="str">
            <v/>
          </cell>
          <cell r="AC174" t="e">
            <v>#N/A</v>
          </cell>
          <cell r="AD174">
            <v>87</v>
          </cell>
          <cell r="AE174" t="e">
            <v>#N/A</v>
          </cell>
          <cell r="AF174" t="str">
            <v/>
          </cell>
        </row>
        <row r="175">
          <cell r="Y175">
            <v>159</v>
          </cell>
          <cell r="Z175">
            <v>7.5838549062609673E-2</v>
          </cell>
          <cell r="AA175">
            <v>-0.24232816035339338</v>
          </cell>
          <cell r="AB175" t="str">
            <v/>
          </cell>
          <cell r="AC175" t="e">
            <v>#N/A</v>
          </cell>
          <cell r="AD175">
            <v>88</v>
          </cell>
          <cell r="AE175" t="e">
            <v>#N/A</v>
          </cell>
          <cell r="AF175" t="str">
            <v/>
          </cell>
        </row>
        <row r="176">
          <cell r="Y176">
            <v>160</v>
          </cell>
          <cell r="Z176">
            <v>0.47652723453938961</v>
          </cell>
          <cell r="AA176">
            <v>-9.9510974693184893E-3</v>
          </cell>
          <cell r="AB176" t="str">
            <v/>
          </cell>
          <cell r="AC176" t="e">
            <v>#N/A</v>
          </cell>
          <cell r="AD176">
            <v>89</v>
          </cell>
          <cell r="AE176" t="e">
            <v>#N/A</v>
          </cell>
          <cell r="AF176" t="str">
            <v/>
          </cell>
        </row>
        <row r="177">
          <cell r="Y177">
            <v>161</v>
          </cell>
          <cell r="Z177">
            <v>0.54024794511497021</v>
          </cell>
          <cell r="AA177">
            <v>1.7081985461841226E-2</v>
          </cell>
          <cell r="AB177" t="str">
            <v/>
          </cell>
          <cell r="AC177" t="e">
            <v>#N/A</v>
          </cell>
          <cell r="AD177">
            <v>90</v>
          </cell>
          <cell r="AE177" t="e">
            <v>#N/A</v>
          </cell>
          <cell r="AF177" t="str">
            <v/>
          </cell>
        </row>
        <row r="178">
          <cell r="Y178">
            <v>162</v>
          </cell>
          <cell r="Z178">
            <v>0.47437298856675625</v>
          </cell>
          <cell r="AA178">
            <v>-1.0865579298917462E-2</v>
          </cell>
          <cell r="AB178" t="str">
            <v/>
          </cell>
          <cell r="AC178" t="e">
            <v>#N/A</v>
          </cell>
          <cell r="AD178">
            <v>91</v>
          </cell>
          <cell r="AE178" t="e">
            <v>#N/A</v>
          </cell>
          <cell r="AF178" t="str">
            <v/>
          </cell>
        </row>
        <row r="179">
          <cell r="Y179">
            <v>163</v>
          </cell>
          <cell r="Z179">
            <v>5.2516413852572441E-2</v>
          </cell>
          <cell r="AA179">
            <v>-0.27398703879813124</v>
          </cell>
          <cell r="AB179" t="str">
            <v/>
          </cell>
          <cell r="AC179" t="e">
            <v>#N/A</v>
          </cell>
          <cell r="AD179">
            <v>92</v>
          </cell>
          <cell r="AE179" t="e">
            <v>#N/A</v>
          </cell>
          <cell r="AF179" t="str">
            <v/>
          </cell>
        </row>
        <row r="180">
          <cell r="Y180">
            <v>164</v>
          </cell>
          <cell r="Z180">
            <v>0.82123910449445248</v>
          </cell>
          <cell r="AA180">
            <v>0.15552486974233903</v>
          </cell>
          <cell r="AB180" t="str">
            <v/>
          </cell>
          <cell r="AC180" t="e">
            <v>#N/A</v>
          </cell>
          <cell r="AD180">
            <v>93</v>
          </cell>
          <cell r="AE180" t="e">
            <v>#N/A</v>
          </cell>
          <cell r="AF180" t="str">
            <v/>
          </cell>
        </row>
        <row r="181">
          <cell r="Y181">
            <v>165</v>
          </cell>
          <cell r="Z181">
            <v>0.72105288319289684</v>
          </cell>
          <cell r="AA181">
            <v>9.9047370320688444E-2</v>
          </cell>
          <cell r="AB181" t="str">
            <v/>
          </cell>
          <cell r="AC181" t="e">
            <v>#N/A</v>
          </cell>
          <cell r="AD181">
            <v>94</v>
          </cell>
          <cell r="AE181" t="e">
            <v>#N/A</v>
          </cell>
          <cell r="AF181" t="str">
            <v/>
          </cell>
        </row>
        <row r="182">
          <cell r="Y182">
            <v>166</v>
          </cell>
          <cell r="Z182">
            <v>0.20561644993722439</v>
          </cell>
          <cell r="AA182">
            <v>-0.1388970326263394</v>
          </cell>
          <cell r="AB182" t="str">
            <v/>
          </cell>
          <cell r="AC182" t="e">
            <v>#N/A</v>
          </cell>
          <cell r="AD182">
            <v>95</v>
          </cell>
          <cell r="AE182" t="e">
            <v>#N/A</v>
          </cell>
          <cell r="AF182" t="str">
            <v/>
          </cell>
        </row>
        <row r="183">
          <cell r="Y183">
            <v>167</v>
          </cell>
          <cell r="Z183">
            <v>0.17238609306514263</v>
          </cell>
          <cell r="AA183">
            <v>-0.1596966424274216</v>
          </cell>
          <cell r="AB183" t="str">
            <v/>
          </cell>
          <cell r="AC183" t="e">
            <v>#N/A</v>
          </cell>
          <cell r="AD183">
            <v>96</v>
          </cell>
          <cell r="AE183" t="e">
            <v>#N/A</v>
          </cell>
          <cell r="AF183" t="str">
            <v/>
          </cell>
        </row>
        <row r="184">
          <cell r="Y184">
            <v>168</v>
          </cell>
          <cell r="Z184">
            <v>0.17167063616216183</v>
          </cell>
          <cell r="AA184">
            <v>-0.16017093064074078</v>
          </cell>
          <cell r="AB184" t="str">
            <v/>
          </cell>
          <cell r="AC184" t="e">
            <v>#N/A</v>
          </cell>
          <cell r="AD184">
            <v>97</v>
          </cell>
          <cell r="AE184" t="e">
            <v>#N/A</v>
          </cell>
          <cell r="AF184" t="str">
            <v/>
          </cell>
        </row>
        <row r="185">
          <cell r="Y185">
            <v>169</v>
          </cell>
          <cell r="Z185">
            <v>0.59333988837897778</v>
          </cell>
          <cell r="AA185">
            <v>3.9915775696038824E-2</v>
          </cell>
          <cell r="AB185" t="str">
            <v/>
          </cell>
          <cell r="AC185" t="e">
            <v>#N/A</v>
          </cell>
          <cell r="AD185">
            <v>98</v>
          </cell>
          <cell r="AE185" t="e">
            <v>#N/A</v>
          </cell>
          <cell r="AF185" t="str">
            <v/>
          </cell>
        </row>
        <row r="186">
          <cell r="Y186">
            <v>170</v>
          </cell>
          <cell r="Z186">
            <v>0.59720832668244839</v>
          </cell>
          <cell r="AA186">
            <v>4.1603182077217811E-2</v>
          </cell>
          <cell r="AB186" t="str">
            <v/>
          </cell>
          <cell r="AC186" t="e">
            <v>#N/A</v>
          </cell>
          <cell r="AD186">
            <v>99</v>
          </cell>
          <cell r="AE186" t="e">
            <v>#N/A</v>
          </cell>
          <cell r="AF186" t="str">
            <v/>
          </cell>
        </row>
        <row r="187">
          <cell r="Y187">
            <v>171</v>
          </cell>
          <cell r="Z187">
            <v>3.0532730743288994E-2</v>
          </cell>
          <cell r="AA187">
            <v>-0.31659836246967205</v>
          </cell>
          <cell r="AB187" t="str">
            <v/>
          </cell>
          <cell r="AC187" t="e">
            <v>#N/A</v>
          </cell>
          <cell r="AD187">
            <v>100</v>
          </cell>
          <cell r="AE187" t="e">
            <v>#N/A</v>
          </cell>
          <cell r="AF187" t="str">
            <v/>
          </cell>
        </row>
        <row r="188">
          <cell r="Y188">
            <v>172</v>
          </cell>
          <cell r="Z188">
            <v>0.70435838960111141</v>
          </cell>
          <cell r="AA188">
            <v>9.0765747918578929E-2</v>
          </cell>
          <cell r="AB188" t="str">
            <v/>
          </cell>
          <cell r="AC188" t="e">
            <v>#N/A</v>
          </cell>
          <cell r="AD188">
            <v>101</v>
          </cell>
          <cell r="AE188" t="e">
            <v>#N/A</v>
          </cell>
          <cell r="AF188" t="str">
            <v/>
          </cell>
        </row>
        <row r="189">
          <cell r="Y189">
            <v>173</v>
          </cell>
          <cell r="Z189">
            <v>5.2670178934931755E-2</v>
          </cell>
          <cell r="AA189">
            <v>-0.27374496669160053</v>
          </cell>
          <cell r="AB189" t="str">
            <v/>
          </cell>
          <cell r="AC189" t="e">
            <v>#N/A</v>
          </cell>
          <cell r="AD189">
            <v>102</v>
          </cell>
          <cell r="AE189" t="e">
            <v>#N/A</v>
          </cell>
          <cell r="AF189" t="str">
            <v/>
          </cell>
        </row>
        <row r="190">
          <cell r="Y190">
            <v>174</v>
          </cell>
          <cell r="Z190">
            <v>0.474061643704772</v>
          </cell>
          <cell r="AA190">
            <v>-1.0997771506743371E-2</v>
          </cell>
          <cell r="AB190" t="str">
            <v/>
          </cell>
          <cell r="AC190" t="e">
            <v>#N/A</v>
          </cell>
          <cell r="AD190">
            <v>103</v>
          </cell>
          <cell r="AE190" t="e">
            <v>#N/A</v>
          </cell>
          <cell r="AF190" t="str">
            <v/>
          </cell>
        </row>
        <row r="191">
          <cell r="Y191">
            <v>175</v>
          </cell>
          <cell r="Z191">
            <v>0.59984908811748028</v>
          </cell>
          <cell r="AA191">
            <v>4.2757453403424031E-2</v>
          </cell>
          <cell r="AB191" t="str">
            <v/>
          </cell>
          <cell r="AC191" t="e">
            <v>#N/A</v>
          </cell>
          <cell r="AD191">
            <v>104</v>
          </cell>
          <cell r="AE191" t="e">
            <v>#N/A</v>
          </cell>
          <cell r="AF191" t="str">
            <v/>
          </cell>
        </row>
        <row r="192">
          <cell r="Y192">
            <v>176</v>
          </cell>
          <cell r="Z192">
            <v>0.67921294830739498</v>
          </cell>
          <cell r="AA192">
            <v>7.868370376744882E-2</v>
          </cell>
          <cell r="AB192" t="str">
            <v/>
          </cell>
          <cell r="AC192" t="e">
            <v>#N/A</v>
          </cell>
          <cell r="AD192">
            <v>105</v>
          </cell>
          <cell r="AE192" t="e">
            <v>#N/A</v>
          </cell>
          <cell r="AF192" t="str">
            <v/>
          </cell>
        </row>
        <row r="193">
          <cell r="Y193">
            <v>177</v>
          </cell>
          <cell r="Z193">
            <v>0.31284227780997753</v>
          </cell>
          <cell r="AA193">
            <v>-8.2454908844185187E-2</v>
          </cell>
          <cell r="AB193" t="str">
            <v/>
          </cell>
          <cell r="AC193" t="e">
            <v>#N/A</v>
          </cell>
          <cell r="AD193">
            <v>106</v>
          </cell>
          <cell r="AE193" t="e">
            <v>#N/A</v>
          </cell>
          <cell r="AF193" t="str">
            <v/>
          </cell>
        </row>
        <row r="194">
          <cell r="Y194">
            <v>178</v>
          </cell>
          <cell r="Z194">
            <v>0.84504938684403896</v>
          </cell>
          <cell r="AA194">
            <v>0.17163888071945985</v>
          </cell>
          <cell r="AB194" t="str">
            <v/>
          </cell>
          <cell r="AC194" t="e">
            <v>#N/A</v>
          </cell>
          <cell r="AD194">
            <v>107</v>
          </cell>
          <cell r="AE194" t="e">
            <v>#N/A</v>
          </cell>
          <cell r="AF194" t="str">
            <v/>
          </cell>
        </row>
        <row r="195">
          <cell r="Y195">
            <v>179</v>
          </cell>
          <cell r="Z195">
            <v>0.85408241860568523</v>
          </cell>
          <cell r="AA195">
            <v>0.17817614863095418</v>
          </cell>
          <cell r="AB195" t="str">
            <v/>
          </cell>
          <cell r="AC195" t="e">
            <v>#N/A</v>
          </cell>
          <cell r="AD195">
            <v>108</v>
          </cell>
          <cell r="AE195" t="e">
            <v>#N/A</v>
          </cell>
          <cell r="AF195" t="str">
            <v/>
          </cell>
        </row>
        <row r="196">
          <cell r="Y196">
            <v>180</v>
          </cell>
          <cell r="Z196">
            <v>0.28912829421460629</v>
          </cell>
          <cell r="AA196">
            <v>-9.3969845230022234E-2</v>
          </cell>
          <cell r="AB196" t="str">
            <v/>
          </cell>
          <cell r="AC196" t="e">
            <v>#N/A</v>
          </cell>
          <cell r="AD196">
            <v>109</v>
          </cell>
          <cell r="AE196" t="e">
            <v>#N/A</v>
          </cell>
          <cell r="AF196" t="str">
            <v/>
          </cell>
        </row>
        <row r="197">
          <cell r="Y197">
            <v>181</v>
          </cell>
          <cell r="Z197">
            <v>0.70081388764083385</v>
          </cell>
          <cell r="AA197">
            <v>8.9035779989058747E-2</v>
          </cell>
          <cell r="AB197" t="str">
            <v/>
          </cell>
          <cell r="AC197" t="e">
            <v>#N/A</v>
          </cell>
          <cell r="AD197">
            <v>110</v>
          </cell>
          <cell r="AE197" t="e">
            <v>#N/A</v>
          </cell>
          <cell r="AF197" t="str">
            <v/>
          </cell>
        </row>
        <row r="198">
          <cell r="Y198">
            <v>182</v>
          </cell>
          <cell r="Z198">
            <v>0.98698887787759304</v>
          </cell>
          <cell r="AA198">
            <v>0.37624233021386155</v>
          </cell>
          <cell r="AB198" t="str">
            <v/>
          </cell>
          <cell r="AC198" t="e">
            <v>#N/A</v>
          </cell>
          <cell r="AD198">
            <v>111</v>
          </cell>
          <cell r="AE198" t="e">
            <v>#N/A</v>
          </cell>
          <cell r="AF198" t="str">
            <v/>
          </cell>
        </row>
        <row r="199">
          <cell r="Y199">
            <v>183</v>
          </cell>
          <cell r="Z199">
            <v>0.60963134281337261</v>
          </cell>
          <cell r="AA199">
            <v>4.7051143043466803E-2</v>
          </cell>
          <cell r="AB199" t="str">
            <v/>
          </cell>
          <cell r="AC199" t="e">
            <v>#N/A</v>
          </cell>
          <cell r="AD199">
            <v>112</v>
          </cell>
          <cell r="AE199" t="e">
            <v>#N/A</v>
          </cell>
          <cell r="AF199" t="str">
            <v/>
          </cell>
        </row>
        <row r="200">
          <cell r="Y200">
            <v>184</v>
          </cell>
          <cell r="Z200">
            <v>0.35334118269383907</v>
          </cell>
          <cell r="AA200">
            <v>-6.3608927386657452E-2</v>
          </cell>
          <cell r="AB200" t="str">
            <v/>
          </cell>
          <cell r="AC200" t="e">
            <v>#N/A</v>
          </cell>
          <cell r="AD200">
            <v>113</v>
          </cell>
          <cell r="AE200" t="e">
            <v>#N/A</v>
          </cell>
          <cell r="AF200" t="str">
            <v/>
          </cell>
        </row>
        <row r="201">
          <cell r="Y201">
            <v>185</v>
          </cell>
          <cell r="Z201">
            <v>0.42037376575171947</v>
          </cell>
          <cell r="AA201">
            <v>-3.3964617893442683E-2</v>
          </cell>
          <cell r="AB201" t="str">
            <v/>
          </cell>
          <cell r="AC201" t="e">
            <v>#N/A</v>
          </cell>
          <cell r="AD201">
            <v>114</v>
          </cell>
          <cell r="AE201" t="e">
            <v>#N/A</v>
          </cell>
          <cell r="AF201" t="str">
            <v/>
          </cell>
        </row>
        <row r="202">
          <cell r="Y202">
            <v>186</v>
          </cell>
          <cell r="Z202">
            <v>0.12237614952027798</v>
          </cell>
          <cell r="AA202">
            <v>-0.19661504712170264</v>
          </cell>
          <cell r="AB202" t="str">
            <v/>
          </cell>
          <cell r="AC202" t="e">
            <v>#N/A</v>
          </cell>
          <cell r="AD202">
            <v>115</v>
          </cell>
          <cell r="AE202" t="e">
            <v>#N/A</v>
          </cell>
          <cell r="AF202" t="str">
            <v/>
          </cell>
        </row>
        <row r="203">
          <cell r="Y203">
            <v>187</v>
          </cell>
          <cell r="Z203">
            <v>8.6092723533511162E-2</v>
          </cell>
          <cell r="AA203">
            <v>-0.2307634736873618</v>
          </cell>
          <cell r="AB203" t="str">
            <v/>
          </cell>
          <cell r="AC203" t="e">
            <v>#N/A</v>
          </cell>
          <cell r="AD203">
            <v>116</v>
          </cell>
          <cell r="AE203" t="e">
            <v>#N/A</v>
          </cell>
          <cell r="AF203" t="str">
            <v/>
          </cell>
        </row>
        <row r="204">
          <cell r="Y204">
            <v>188</v>
          </cell>
          <cell r="Z204">
            <v>0.3545405175536871</v>
          </cell>
          <cell r="AA204">
            <v>-6.3063816925982827E-2</v>
          </cell>
          <cell r="AB204" t="str">
            <v/>
          </cell>
          <cell r="AC204" t="e">
            <v>#N/A</v>
          </cell>
          <cell r="AD204">
            <v>117</v>
          </cell>
          <cell r="AE204" t="e">
            <v>#N/A</v>
          </cell>
          <cell r="AF204" t="str">
            <v/>
          </cell>
        </row>
        <row r="205">
          <cell r="Y205">
            <v>189</v>
          </cell>
          <cell r="Z205">
            <v>0.78456359915435314</v>
          </cell>
          <cell r="AA205">
            <v>0.13314542906858823</v>
          </cell>
          <cell r="AB205" t="str">
            <v/>
          </cell>
          <cell r="AC205" t="e">
            <v>#N/A</v>
          </cell>
          <cell r="AD205">
            <v>118</v>
          </cell>
          <cell r="AE205" t="e">
            <v>#N/A</v>
          </cell>
          <cell r="AF205" t="str">
            <v/>
          </cell>
        </row>
        <row r="206">
          <cell r="Y206">
            <v>190</v>
          </cell>
          <cell r="Z206">
            <v>0.19087032042443752</v>
          </cell>
          <cell r="AA206">
            <v>-0.14785020430328097</v>
          </cell>
          <cell r="AB206" t="str">
            <v/>
          </cell>
          <cell r="AC206" t="e">
            <v>#N/A</v>
          </cell>
          <cell r="AD206">
            <v>119</v>
          </cell>
          <cell r="AE206" t="e">
            <v>#N/A</v>
          </cell>
          <cell r="AF206" t="str">
            <v/>
          </cell>
        </row>
        <row r="207">
          <cell r="Y207">
            <v>191</v>
          </cell>
          <cell r="Z207">
            <v>0.68555854074656963</v>
          </cell>
          <cell r="AA207">
            <v>8.1692567774352617E-2</v>
          </cell>
          <cell r="AB207" t="str">
            <v/>
          </cell>
          <cell r="AC207" t="e">
            <v>#N/A</v>
          </cell>
          <cell r="AD207">
            <v>120</v>
          </cell>
          <cell r="AE207" t="e">
            <v>#N/A</v>
          </cell>
          <cell r="AF207" t="str">
            <v/>
          </cell>
        </row>
        <row r="208">
          <cell r="Y208">
            <v>192</v>
          </cell>
          <cell r="Z208">
            <v>0.3197267260402441</v>
          </cell>
          <cell r="AA208">
            <v>-7.9184716650185422E-2</v>
          </cell>
          <cell r="AB208" t="str">
            <v/>
          </cell>
          <cell r="AC208" t="e">
            <v>#N/A</v>
          </cell>
          <cell r="AD208">
            <v>121</v>
          </cell>
          <cell r="AE208" t="e">
            <v>#N/A</v>
          </cell>
          <cell r="AF208" t="str">
            <v/>
          </cell>
        </row>
        <row r="209">
          <cell r="Y209">
            <v>193</v>
          </cell>
          <cell r="Z209">
            <v>0.41684987954795361</v>
          </cell>
          <cell r="AA209">
            <v>-3.5489529789393841E-2</v>
          </cell>
          <cell r="AB209" t="str">
            <v/>
          </cell>
          <cell r="AC209" t="e">
            <v>#N/A</v>
          </cell>
          <cell r="AD209">
            <v>122</v>
          </cell>
          <cell r="AE209" t="e">
            <v>#N/A</v>
          </cell>
          <cell r="AF209" t="str">
            <v/>
          </cell>
        </row>
        <row r="210">
          <cell r="Y210">
            <v>194</v>
          </cell>
          <cell r="Z210">
            <v>0.21452797017991543</v>
          </cell>
          <cell r="AA210">
            <v>-0.13367097827649205</v>
          </cell>
          <cell r="AB210" t="str">
            <v/>
          </cell>
          <cell r="AC210" t="e">
            <v>#N/A</v>
          </cell>
          <cell r="AD210">
            <v>123</v>
          </cell>
          <cell r="AE210" t="e">
            <v>#N/A</v>
          </cell>
          <cell r="AF210" t="str">
            <v/>
          </cell>
        </row>
        <row r="211">
          <cell r="Y211">
            <v>195</v>
          </cell>
          <cell r="Z211">
            <v>0.49066276662051678</v>
          </cell>
          <cell r="AA211">
            <v>-3.9565237977939212E-3</v>
          </cell>
          <cell r="AB211" t="str">
            <v/>
          </cell>
          <cell r="AC211" t="e">
            <v>#N/A</v>
          </cell>
          <cell r="AD211">
            <v>124</v>
          </cell>
          <cell r="AE211" t="e">
            <v>#N/A</v>
          </cell>
          <cell r="AF211" t="str">
            <v/>
          </cell>
        </row>
        <row r="212">
          <cell r="Y212">
            <v>196</v>
          </cell>
          <cell r="Z212">
            <v>4.4821133837103844E-2</v>
          </cell>
          <cell r="AA212">
            <v>-0.28689399661418136</v>
          </cell>
          <cell r="AB212" t="str">
            <v/>
          </cell>
          <cell r="AC212" t="e">
            <v>#N/A</v>
          </cell>
          <cell r="AD212">
            <v>125</v>
          </cell>
          <cell r="AE212" t="e">
            <v>#N/A</v>
          </cell>
          <cell r="AF212" t="str">
            <v/>
          </cell>
        </row>
        <row r="213">
          <cell r="Y213">
            <v>197</v>
          </cell>
          <cell r="Z213">
            <v>0.92104577831923962</v>
          </cell>
          <cell r="AA213">
            <v>0.23869539788317534</v>
          </cell>
          <cell r="AB213" t="str">
            <v/>
          </cell>
          <cell r="AC213" t="e">
            <v>#N/A</v>
          </cell>
          <cell r="AD213">
            <v>126</v>
          </cell>
          <cell r="AE213" t="e">
            <v>#N/A</v>
          </cell>
          <cell r="AF213" t="str">
            <v/>
          </cell>
        </row>
        <row r="214">
          <cell r="Y214">
            <v>198</v>
          </cell>
          <cell r="Z214">
            <v>0.75678751431405544</v>
          </cell>
          <cell r="AA214">
            <v>0.11764651366646847</v>
          </cell>
          <cell r="AB214" t="str">
            <v/>
          </cell>
          <cell r="AC214" t="e">
            <v>#N/A</v>
          </cell>
          <cell r="AD214">
            <v>127</v>
          </cell>
          <cell r="AE214" t="e">
            <v>#N/A</v>
          </cell>
          <cell r="AF214" t="str">
            <v/>
          </cell>
        </row>
        <row r="215">
          <cell r="Y215">
            <v>199</v>
          </cell>
          <cell r="Z215">
            <v>0.98137824051082134</v>
          </cell>
          <cell r="AA215">
            <v>0.35210555116204029</v>
          </cell>
          <cell r="AB215" t="str">
            <v/>
          </cell>
          <cell r="AC215" t="e">
            <v>#N/A</v>
          </cell>
          <cell r="AD215">
            <v>128</v>
          </cell>
          <cell r="AE215" t="e">
            <v>#N/A</v>
          </cell>
          <cell r="AF215" t="str">
            <v/>
          </cell>
        </row>
        <row r="216">
          <cell r="Y216">
            <v>200</v>
          </cell>
          <cell r="Z216">
            <v>0.16302534006536007</v>
          </cell>
          <cell r="AA216">
            <v>-0.16600516623744849</v>
          </cell>
          <cell r="AB216" t="str">
            <v/>
          </cell>
          <cell r="AC216" t="e">
            <v>#N/A</v>
          </cell>
          <cell r="AD216">
            <v>129</v>
          </cell>
          <cell r="AE216" t="e">
            <v>#N/A</v>
          </cell>
          <cell r="AF216" t="str">
            <v/>
          </cell>
        </row>
        <row r="217">
          <cell r="Y217">
            <v>201</v>
          </cell>
          <cell r="Z217">
            <v>0.51998302154242992</v>
          </cell>
          <cell r="AA217">
            <v>8.4703001153328614E-3</v>
          </cell>
          <cell r="AB217" t="str">
            <v/>
          </cell>
          <cell r="AC217" t="e">
            <v>#N/A</v>
          </cell>
          <cell r="AD217">
            <v>130</v>
          </cell>
          <cell r="AE217" t="e">
            <v>#N/A</v>
          </cell>
          <cell r="AF217" t="str">
            <v/>
          </cell>
        </row>
        <row r="218">
          <cell r="Y218">
            <v>202</v>
          </cell>
          <cell r="Z218">
            <v>0.97520357929170132</v>
          </cell>
          <cell r="AA218">
            <v>0.33188517850583454</v>
          </cell>
          <cell r="AB218" t="str">
            <v/>
          </cell>
          <cell r="AC218" t="e">
            <v>#N/A</v>
          </cell>
          <cell r="AD218">
            <v>131</v>
          </cell>
          <cell r="AE218" t="e">
            <v>#N/A</v>
          </cell>
          <cell r="AF218" t="str">
            <v/>
          </cell>
        </row>
        <row r="219">
          <cell r="Y219">
            <v>203</v>
          </cell>
          <cell r="Z219">
            <v>0.47056354396045208</v>
          </cell>
          <cell r="AA219">
            <v>-1.2483492006269841E-2</v>
          </cell>
          <cell r="AB219" t="str">
            <v/>
          </cell>
          <cell r="AC219" t="e">
            <v>#N/A</v>
          </cell>
          <cell r="AD219">
            <v>132</v>
          </cell>
          <cell r="AE219" t="e">
            <v>#N/A</v>
          </cell>
          <cell r="AF219" t="str">
            <v/>
          </cell>
        </row>
        <row r="220">
          <cell r="Y220">
            <v>204</v>
          </cell>
          <cell r="Z220">
            <v>0.55693059228360653</v>
          </cell>
          <cell r="AA220">
            <v>2.4203808324562478E-2</v>
          </cell>
          <cell r="AB220" t="str">
            <v/>
          </cell>
          <cell r="AC220" t="e">
            <v>#N/A</v>
          </cell>
          <cell r="AD220">
            <v>133</v>
          </cell>
          <cell r="AE220" t="e">
            <v>#N/A</v>
          </cell>
          <cell r="AF220" t="str">
            <v/>
          </cell>
        </row>
        <row r="221">
          <cell r="Y221">
            <v>205</v>
          </cell>
          <cell r="Z221">
            <v>0.16293376497924328</v>
          </cell>
          <cell r="AA221">
            <v>-0.16606802349429536</v>
          </cell>
          <cell r="AB221" t="str">
            <v/>
          </cell>
          <cell r="AC221" t="e">
            <v>#N/A</v>
          </cell>
          <cell r="AD221">
            <v>134</v>
          </cell>
          <cell r="AE221" t="e">
            <v>#N/A</v>
          </cell>
          <cell r="AF221" t="str">
            <v/>
          </cell>
        </row>
        <row r="222">
          <cell r="Y222">
            <v>206</v>
          </cell>
          <cell r="Z222">
            <v>0.7679313775151968</v>
          </cell>
          <cell r="AA222">
            <v>0.12373925745136645</v>
          </cell>
          <cell r="AB222" t="str">
            <v/>
          </cell>
          <cell r="AC222" t="e">
            <v>#N/A</v>
          </cell>
          <cell r="AD222">
            <v>135</v>
          </cell>
          <cell r="AE222" t="e">
            <v>#N/A</v>
          </cell>
          <cell r="AF222" t="str">
            <v/>
          </cell>
        </row>
        <row r="223">
          <cell r="Y223">
            <v>207</v>
          </cell>
          <cell r="Z223">
            <v>0.75825987569987774</v>
          </cell>
          <cell r="AA223">
            <v>0.11844262724522145</v>
          </cell>
          <cell r="AB223" t="str">
            <v/>
          </cell>
          <cell r="AC223" t="e">
            <v>#N/A</v>
          </cell>
          <cell r="AD223">
            <v>136</v>
          </cell>
          <cell r="AE223" t="e">
            <v>#N/A</v>
          </cell>
          <cell r="AF223" t="str">
            <v/>
          </cell>
        </row>
        <row r="224">
          <cell r="Y224">
            <v>208</v>
          </cell>
          <cell r="Z224">
            <v>0.61437716148793697</v>
          </cell>
          <cell r="AA224">
            <v>4.9145024036776515E-2</v>
          </cell>
          <cell r="AB224" t="str">
            <v/>
          </cell>
          <cell r="AC224" t="e">
            <v>#N/A</v>
          </cell>
          <cell r="AD224">
            <v>137</v>
          </cell>
          <cell r="AE224" t="e">
            <v>#N/A</v>
          </cell>
          <cell r="AF224" t="str">
            <v/>
          </cell>
        </row>
        <row r="225">
          <cell r="Y225">
            <v>209</v>
          </cell>
          <cell r="Z225">
            <v>0.60178246907889843</v>
          </cell>
          <cell r="AA225">
            <v>4.3603793200760195E-2</v>
          </cell>
          <cell r="AB225" t="str">
            <v/>
          </cell>
          <cell r="AC225" t="e">
            <v>#N/A</v>
          </cell>
          <cell r="AD225">
            <v>138</v>
          </cell>
          <cell r="AE225" t="e">
            <v>#N/A</v>
          </cell>
          <cell r="AF225" t="str">
            <v/>
          </cell>
        </row>
        <row r="226">
          <cell r="Y226">
            <v>210</v>
          </cell>
          <cell r="Z226">
            <v>0.51396108232438564</v>
          </cell>
          <cell r="AA226">
            <v>5.9164837131772743E-3</v>
          </cell>
          <cell r="AB226" t="str">
            <v/>
          </cell>
          <cell r="AC226" t="e">
            <v>#N/A</v>
          </cell>
          <cell r="AD226">
            <v>139</v>
          </cell>
          <cell r="AE226" t="e">
            <v>#N/A</v>
          </cell>
          <cell r="AF226" t="str">
            <v/>
          </cell>
        </row>
        <row r="227">
          <cell r="Y227">
            <v>211</v>
          </cell>
          <cell r="Z227">
            <v>0.50473792664706707</v>
          </cell>
          <cell r="AA227">
            <v>2.0074949164634423E-3</v>
          </cell>
          <cell r="AB227" t="str">
            <v/>
          </cell>
          <cell r="AC227" t="e">
            <v>#N/A</v>
          </cell>
          <cell r="AD227">
            <v>140</v>
          </cell>
          <cell r="AE227" t="e">
            <v>#N/A</v>
          </cell>
          <cell r="AF227" t="str">
            <v/>
          </cell>
        </row>
        <row r="228">
          <cell r="Y228">
            <v>212</v>
          </cell>
          <cell r="Z228">
            <v>0.82806371711194515</v>
          </cell>
          <cell r="AA228">
            <v>0.15999468201041162</v>
          </cell>
          <cell r="AB228" t="str">
            <v/>
          </cell>
          <cell r="AC228" t="e">
            <v>#N/A</v>
          </cell>
          <cell r="AD228">
            <v>141</v>
          </cell>
          <cell r="AE228" t="e">
            <v>#N/A</v>
          </cell>
          <cell r="AF228" t="str">
            <v/>
          </cell>
        </row>
        <row r="229">
          <cell r="Y229">
            <v>213</v>
          </cell>
          <cell r="Z229">
            <v>0.93594777397811413</v>
          </cell>
          <cell r="AA229">
            <v>0.25720063659493886</v>
          </cell>
          <cell r="AB229" t="str">
            <v/>
          </cell>
          <cell r="AC229" t="e">
            <v>#N/A</v>
          </cell>
          <cell r="AD229">
            <v>142</v>
          </cell>
          <cell r="AE229" t="e">
            <v>#N/A</v>
          </cell>
          <cell r="AF229" t="str">
            <v/>
          </cell>
        </row>
        <row r="230">
          <cell r="Y230">
            <v>214</v>
          </cell>
          <cell r="Z230">
            <v>0.9071022029966116</v>
          </cell>
          <cell r="AA230">
            <v>0.22364803881744991</v>
          </cell>
          <cell r="AB230" t="str">
            <v/>
          </cell>
          <cell r="AC230" t="e">
            <v>#N/A</v>
          </cell>
          <cell r="AD230">
            <v>143</v>
          </cell>
          <cell r="AE230" t="e">
            <v>#N/A</v>
          </cell>
          <cell r="AF230" t="str">
            <v/>
          </cell>
        </row>
        <row r="231">
          <cell r="Y231">
            <v>215</v>
          </cell>
          <cell r="Z231">
            <v>0.82229475490748882</v>
          </cell>
          <cell r="AA231">
            <v>0.15620912503383866</v>
          </cell>
          <cell r="AB231" t="str">
            <v/>
          </cell>
          <cell r="AC231" t="e">
            <v>#N/A</v>
          </cell>
          <cell r="AD231">
            <v>144</v>
          </cell>
          <cell r="AE231" t="e">
            <v>#N/A</v>
          </cell>
          <cell r="AF231" t="str">
            <v/>
          </cell>
        </row>
        <row r="232">
          <cell r="Y232">
            <v>216</v>
          </cell>
          <cell r="Z232">
            <v>0.23890670202672482</v>
          </cell>
          <cell r="AA232">
            <v>-0.11998212208163064</v>
          </cell>
          <cell r="AB232" t="str">
            <v/>
          </cell>
          <cell r="AC232" t="e">
            <v>#N/A</v>
          </cell>
          <cell r="AD232">
            <v>145</v>
          </cell>
          <cell r="AE232" t="e">
            <v>#N/A</v>
          </cell>
          <cell r="AF232" t="str">
            <v/>
          </cell>
        </row>
        <row r="233">
          <cell r="Y233">
            <v>217</v>
          </cell>
          <cell r="Z233">
            <v>0.12605437450110912</v>
          </cell>
          <cell r="AA233">
            <v>-0.19358130146757169</v>
          </cell>
          <cell r="AB233" t="str">
            <v/>
          </cell>
          <cell r="AC233" t="e">
            <v>#N/A</v>
          </cell>
          <cell r="AD233">
            <v>146</v>
          </cell>
          <cell r="AE233" t="e">
            <v>#N/A</v>
          </cell>
          <cell r="AF233" t="str">
            <v/>
          </cell>
        </row>
        <row r="234">
          <cell r="Y234">
            <v>218</v>
          </cell>
          <cell r="Z234">
            <v>0.38371795974671841</v>
          </cell>
          <cell r="AA234">
            <v>-4.9987574375181962E-2</v>
          </cell>
          <cell r="AB234" t="str">
            <v/>
          </cell>
          <cell r="AC234" t="e">
            <v>#N/A</v>
          </cell>
          <cell r="AD234">
            <v>147</v>
          </cell>
          <cell r="AE234" t="e">
            <v>#N/A</v>
          </cell>
          <cell r="AF234" t="str">
            <v/>
          </cell>
        </row>
        <row r="235">
          <cell r="Y235">
            <v>219</v>
          </cell>
          <cell r="Z235">
            <v>0.58580066077411175</v>
          </cell>
          <cell r="AA235">
            <v>3.6638413207321613E-2</v>
          </cell>
          <cell r="AB235" t="str">
            <v/>
          </cell>
          <cell r="AC235" t="e">
            <v>#N/A</v>
          </cell>
          <cell r="AD235">
            <v>148</v>
          </cell>
          <cell r="AE235" t="e">
            <v>#N/A</v>
          </cell>
          <cell r="AF235" t="str">
            <v/>
          </cell>
        </row>
        <row r="236">
          <cell r="Y236">
            <v>220</v>
          </cell>
          <cell r="Z236">
            <v>0.22314970754086971</v>
          </cell>
          <cell r="AA236">
            <v>-0.12873371481019355</v>
          </cell>
          <cell r="AB236" t="str">
            <v/>
          </cell>
          <cell r="AC236" t="e">
            <v>#N/A</v>
          </cell>
          <cell r="AD236">
            <v>149</v>
          </cell>
          <cell r="AE236" t="e">
            <v>#N/A</v>
          </cell>
          <cell r="AF236" t="str">
            <v/>
          </cell>
        </row>
        <row r="237">
          <cell r="Y237">
            <v>221</v>
          </cell>
          <cell r="Z237">
            <v>0.97635489515960217</v>
          </cell>
          <cell r="AA237">
            <v>0.33530511080722808</v>
          </cell>
          <cell r="AB237" t="str">
            <v/>
          </cell>
          <cell r="AC237" t="e">
            <v>#N/A</v>
          </cell>
          <cell r="AD237">
            <v>150</v>
          </cell>
          <cell r="AE237" t="e">
            <v>#N/A</v>
          </cell>
          <cell r="AF237" t="str">
            <v/>
          </cell>
        </row>
        <row r="238">
          <cell r="Y238">
            <v>222</v>
          </cell>
          <cell r="Z238">
            <v>0.64420965872704983</v>
          </cell>
          <cell r="AA238">
            <v>6.2496455662757529E-2</v>
          </cell>
          <cell r="AB238" t="str">
            <v/>
          </cell>
          <cell r="AC238" t="e">
            <v>#N/A</v>
          </cell>
          <cell r="AD238">
            <v>151</v>
          </cell>
          <cell r="AE238" t="e">
            <v>#N/A</v>
          </cell>
          <cell r="AF238" t="str">
            <v/>
          </cell>
        </row>
        <row r="239">
          <cell r="Y239">
            <v>223</v>
          </cell>
          <cell r="Z239">
            <v>0.96199606172740459</v>
          </cell>
          <cell r="AA239">
            <v>0.29991723011848281</v>
          </cell>
          <cell r="AB239" t="str">
            <v/>
          </cell>
          <cell r="AC239" t="e">
            <v>#N/A</v>
          </cell>
          <cell r="AD239">
            <v>152</v>
          </cell>
          <cell r="AE239" t="e">
            <v>#N/A</v>
          </cell>
          <cell r="AF239" t="str">
            <v/>
          </cell>
        </row>
        <row r="240">
          <cell r="Y240">
            <v>224</v>
          </cell>
          <cell r="Z240">
            <v>0.12322284840047359</v>
          </cell>
          <cell r="AA240">
            <v>-0.19591110560210656</v>
          </cell>
          <cell r="AB240" t="str">
            <v/>
          </cell>
          <cell r="AC240" t="e">
            <v>#N/A</v>
          </cell>
          <cell r="AD240">
            <v>153</v>
          </cell>
          <cell r="AE240" t="e">
            <v>#N/A</v>
          </cell>
          <cell r="AF240" t="str">
            <v/>
          </cell>
        </row>
        <row r="241">
          <cell r="Y241">
            <v>225</v>
          </cell>
          <cell r="Z241">
            <v>8.5901765152812004E-2</v>
          </cell>
          <cell r="AA241">
            <v>-0.23096909921553629</v>
          </cell>
          <cell r="AB241" t="str">
            <v/>
          </cell>
          <cell r="AC241" t="e">
            <v>#N/A</v>
          </cell>
          <cell r="AD241">
            <v>154</v>
          </cell>
          <cell r="AE241" t="e">
            <v>#N/A</v>
          </cell>
          <cell r="AF241" t="str">
            <v/>
          </cell>
        </row>
        <row r="242">
          <cell r="Y242">
            <v>226</v>
          </cell>
          <cell r="Z242">
            <v>0.76825106702744961</v>
          </cell>
          <cell r="AA242">
            <v>0.12391639881299249</v>
          </cell>
          <cell r="AB242" t="str">
            <v/>
          </cell>
          <cell r="AC242" t="e">
            <v>#N/A</v>
          </cell>
          <cell r="AD242">
            <v>155</v>
          </cell>
          <cell r="AE242" t="e">
            <v>#N/A</v>
          </cell>
          <cell r="AF242" t="str">
            <v/>
          </cell>
        </row>
        <row r="243">
          <cell r="Y243">
            <v>227</v>
          </cell>
          <cell r="Z243">
            <v>0.65753836743533611</v>
          </cell>
          <cell r="AA243">
            <v>6.8584965892536112E-2</v>
          </cell>
          <cell r="AB243" t="str">
            <v/>
          </cell>
          <cell r="AC243" t="e">
            <v>#N/A</v>
          </cell>
          <cell r="AD243">
            <v>156</v>
          </cell>
          <cell r="AE243" t="e">
            <v>#N/A</v>
          </cell>
          <cell r="AF243" t="str">
            <v/>
          </cell>
        </row>
        <row r="244">
          <cell r="Y244">
            <v>228</v>
          </cell>
          <cell r="Z244">
            <v>0.22235213778913021</v>
          </cell>
          <cell r="AA244">
            <v>-0.12918579960120885</v>
          </cell>
          <cell r="AB244" t="str">
            <v/>
          </cell>
          <cell r="AC244" t="e">
            <v>#N/A</v>
          </cell>
          <cell r="AD244">
            <v>157</v>
          </cell>
          <cell r="AE244" t="e">
            <v>#N/A</v>
          </cell>
          <cell r="AF244" t="str">
            <v/>
          </cell>
        </row>
        <row r="245">
          <cell r="Y245">
            <v>229</v>
          </cell>
          <cell r="Z245">
            <v>0.26846909336745739</v>
          </cell>
          <cell r="AA245">
            <v>-0.10436803852400081</v>
          </cell>
          <cell r="AB245" t="str">
            <v/>
          </cell>
          <cell r="AC245" t="e">
            <v>#N/A</v>
          </cell>
          <cell r="AD245">
            <v>158</v>
          </cell>
          <cell r="AE245" t="e">
            <v>#N/A</v>
          </cell>
          <cell r="AF245" t="str">
            <v/>
          </cell>
        </row>
        <row r="246">
          <cell r="Y246">
            <v>230</v>
          </cell>
          <cell r="Z246">
            <v>0.4237727876752615</v>
          </cell>
          <cell r="AA246">
            <v>-3.2496355161169103E-2</v>
          </cell>
          <cell r="AB246" t="str">
            <v/>
          </cell>
          <cell r="AC246" t="e">
            <v>#N/A</v>
          </cell>
          <cell r="AD246">
            <v>159</v>
          </cell>
          <cell r="AE246" t="e">
            <v>#N/A</v>
          </cell>
          <cell r="AF246" t="str">
            <v/>
          </cell>
        </row>
        <row r="247">
          <cell r="Y247">
            <v>231</v>
          </cell>
          <cell r="Z247">
            <v>0.38579885475337505</v>
          </cell>
          <cell r="AA247">
            <v>-4.9067231889754891E-2</v>
          </cell>
          <cell r="AB247" t="str">
            <v/>
          </cell>
          <cell r="AC247" t="e">
            <v>#N/A</v>
          </cell>
          <cell r="AD247">
            <v>160</v>
          </cell>
          <cell r="AE247" t="e">
            <v>#N/A</v>
          </cell>
          <cell r="AF247" t="str">
            <v/>
          </cell>
        </row>
        <row r="248">
          <cell r="Y248">
            <v>232</v>
          </cell>
          <cell r="Z248">
            <v>0.56291886232793331</v>
          </cell>
          <cell r="AA248">
            <v>2.67700544138804E-2</v>
          </cell>
          <cell r="AB248" t="str">
            <v/>
          </cell>
          <cell r="AC248" t="e">
            <v>#N/A</v>
          </cell>
          <cell r="AD248">
            <v>161</v>
          </cell>
          <cell r="AE248" t="e">
            <v>#N/A</v>
          </cell>
          <cell r="AF248" t="str">
            <v/>
          </cell>
        </row>
        <row r="249">
          <cell r="Y249">
            <v>233</v>
          </cell>
          <cell r="Z249">
            <v>0.94122454337775707</v>
          </cell>
          <cell r="AA249">
            <v>0.26455634980349424</v>
          </cell>
          <cell r="AB249" t="str">
            <v/>
          </cell>
          <cell r="AC249" t="e">
            <v>#N/A</v>
          </cell>
          <cell r="AD249">
            <v>162</v>
          </cell>
          <cell r="AE249" t="e">
            <v>#N/A</v>
          </cell>
          <cell r="AF249" t="str">
            <v/>
          </cell>
        </row>
        <row r="250">
          <cell r="Y250">
            <v>234</v>
          </cell>
          <cell r="Z250">
            <v>0.66969663463532925</v>
          </cell>
          <cell r="AA250">
            <v>7.421732874633305E-2</v>
          </cell>
          <cell r="AB250" t="str">
            <v/>
          </cell>
          <cell r="AC250" t="e">
            <v>#N/A</v>
          </cell>
          <cell r="AD250">
            <v>163</v>
          </cell>
          <cell r="AE250" t="e">
            <v>#N/A</v>
          </cell>
          <cell r="AF250" t="str">
            <v/>
          </cell>
        </row>
        <row r="251">
          <cell r="Y251">
            <v>235</v>
          </cell>
          <cell r="Z251">
            <v>5.2409542724490166E-2</v>
          </cell>
          <cell r="AA251">
            <v>-0.27415561742321953</v>
          </cell>
          <cell r="AB251" t="str">
            <v/>
          </cell>
          <cell r="AC251" t="e">
            <v>#N/A</v>
          </cell>
          <cell r="AD251">
            <v>164</v>
          </cell>
          <cell r="AE251" t="e">
            <v>#N/A</v>
          </cell>
          <cell r="AF251" t="str">
            <v/>
          </cell>
        </row>
        <row r="252">
          <cell r="Y252">
            <v>236</v>
          </cell>
          <cell r="Z252">
            <v>0.10856895707547665</v>
          </cell>
          <cell r="AA252">
            <v>-0.20861355377312454</v>
          </cell>
          <cell r="AB252" t="str">
            <v/>
          </cell>
          <cell r="AC252" t="e">
            <v>#N/A</v>
          </cell>
          <cell r="AD252">
            <v>165</v>
          </cell>
          <cell r="AE252" t="e">
            <v>#N/A</v>
          </cell>
          <cell r="AF252" t="str">
            <v/>
          </cell>
        </row>
        <row r="253">
          <cell r="Y253">
            <v>237</v>
          </cell>
          <cell r="Z253">
            <v>0.9821512084454298</v>
          </cell>
          <cell r="AA253">
            <v>0.3550248723589719</v>
          </cell>
          <cell r="AB253" t="str">
            <v/>
          </cell>
          <cell r="AC253" t="e">
            <v>#N/A</v>
          </cell>
          <cell r="AD253">
            <v>166</v>
          </cell>
          <cell r="AE253" t="e">
            <v>#N/A</v>
          </cell>
          <cell r="AF253" t="str">
            <v/>
          </cell>
        </row>
        <row r="254">
          <cell r="Y254">
            <v>238</v>
          </cell>
          <cell r="Z254">
            <v>0.8524200078099966</v>
          </cell>
          <cell r="AA254">
            <v>0.17695316406383327</v>
          </cell>
          <cell r="AB254" t="str">
            <v/>
          </cell>
          <cell r="AC254" t="e">
            <v>#N/A</v>
          </cell>
          <cell r="AD254">
            <v>167</v>
          </cell>
          <cell r="AE254" t="e">
            <v>#N/A</v>
          </cell>
          <cell r="AF254" t="str">
            <v/>
          </cell>
        </row>
        <row r="255">
          <cell r="Y255">
            <v>239</v>
          </cell>
          <cell r="Z255">
            <v>0.1595600675791502</v>
          </cell>
          <cell r="AA255">
            <v>-0.16839996249754377</v>
          </cell>
          <cell r="AB255" t="str">
            <v/>
          </cell>
          <cell r="AC255" t="e">
            <v>#N/A</v>
          </cell>
          <cell r="AD255">
            <v>168</v>
          </cell>
          <cell r="AE255" t="e">
            <v>#N/A</v>
          </cell>
          <cell r="AF255" t="str">
            <v/>
          </cell>
        </row>
        <row r="256">
          <cell r="Y256">
            <v>240</v>
          </cell>
          <cell r="Z256">
            <v>0.75007238052785397</v>
          </cell>
          <cell r="AA256">
            <v>0.11404807984151451</v>
          </cell>
          <cell r="AB256" t="str">
            <v/>
          </cell>
          <cell r="AC256" t="e">
            <v>#N/A</v>
          </cell>
          <cell r="AD256">
            <v>169</v>
          </cell>
          <cell r="AE256" t="e">
            <v>#N/A</v>
          </cell>
          <cell r="AF256" t="str">
            <v/>
          </cell>
        </row>
        <row r="257">
          <cell r="Y257">
            <v>241</v>
          </cell>
          <cell r="Z257">
            <v>0.55621948651969433</v>
          </cell>
          <cell r="AA257">
            <v>2.3899448930029217E-2</v>
          </cell>
          <cell r="AB257" t="str">
            <v/>
          </cell>
          <cell r="AC257" t="e">
            <v>#N/A</v>
          </cell>
          <cell r="AD257">
            <v>170</v>
          </cell>
          <cell r="AE257" t="e">
            <v>#N/A</v>
          </cell>
          <cell r="AF257" t="str">
            <v/>
          </cell>
        </row>
        <row r="258">
          <cell r="Y258">
            <v>242</v>
          </cell>
          <cell r="Z258">
            <v>9.6050268039107323E-2</v>
          </cell>
          <cell r="AA258">
            <v>-0.22048220470483898</v>
          </cell>
          <cell r="AB258" t="str">
            <v/>
          </cell>
          <cell r="AC258" t="e">
            <v>#N/A</v>
          </cell>
          <cell r="AD258">
            <v>171</v>
          </cell>
          <cell r="AE258" t="e">
            <v>#N/A</v>
          </cell>
          <cell r="AF258" t="str">
            <v/>
          </cell>
        </row>
        <row r="259">
          <cell r="Y259">
            <v>243</v>
          </cell>
          <cell r="Z259">
            <v>0.92904455773532391</v>
          </cell>
          <cell r="AA259">
            <v>0.24825766203398572</v>
          </cell>
          <cell r="AB259" t="str">
            <v/>
          </cell>
          <cell r="AC259" t="e">
            <v>#N/A</v>
          </cell>
          <cell r="AD259">
            <v>172</v>
          </cell>
          <cell r="AE259" t="e">
            <v>#N/A</v>
          </cell>
          <cell r="AF259" t="str">
            <v/>
          </cell>
        </row>
        <row r="260">
          <cell r="Y260">
            <v>244</v>
          </cell>
          <cell r="Z260">
            <v>0.65493248961865902</v>
          </cell>
          <cell r="AA260">
            <v>6.7387840126302376E-2</v>
          </cell>
          <cell r="AB260" t="str">
            <v/>
          </cell>
          <cell r="AC260" t="e">
            <v>#N/A</v>
          </cell>
          <cell r="AD260">
            <v>173</v>
          </cell>
          <cell r="AE260" t="e">
            <v>#N/A</v>
          </cell>
          <cell r="AF260" t="str">
            <v/>
          </cell>
        </row>
        <row r="261">
          <cell r="Y261">
            <v>245</v>
          </cell>
          <cell r="Z261">
            <v>0.4103089552372694</v>
          </cell>
          <cell r="AA261">
            <v>-3.8327796470792791E-2</v>
          </cell>
          <cell r="AB261" t="str">
            <v/>
          </cell>
          <cell r="AC261" t="e">
            <v>#N/A</v>
          </cell>
          <cell r="AD261">
            <v>174</v>
          </cell>
          <cell r="AE261" t="e">
            <v>#N/A</v>
          </cell>
          <cell r="AF261" t="str">
            <v/>
          </cell>
        </row>
        <row r="262">
          <cell r="Y262">
            <v>246</v>
          </cell>
          <cell r="Z262">
            <v>0.88638911210000515</v>
          </cell>
          <cell r="AA262">
            <v>0.20411260049371757</v>
          </cell>
          <cell r="AB262" t="str">
            <v/>
          </cell>
          <cell r="AC262" t="e">
            <v>#N/A</v>
          </cell>
          <cell r="AD262">
            <v>175</v>
          </cell>
          <cell r="AE262" t="e">
            <v>#N/A</v>
          </cell>
          <cell r="AF262" t="str">
            <v/>
          </cell>
        </row>
        <row r="263">
          <cell r="Y263">
            <v>247</v>
          </cell>
          <cell r="Z263">
            <v>0.64405850879848003</v>
          </cell>
          <cell r="AA263">
            <v>6.2427888522942801E-2</v>
          </cell>
          <cell r="AB263" t="str">
            <v/>
          </cell>
          <cell r="AC263" t="e">
            <v>#N/A</v>
          </cell>
          <cell r="AD263">
            <v>176</v>
          </cell>
          <cell r="AE263" t="e">
            <v>#N/A</v>
          </cell>
          <cell r="AF263" t="str">
            <v/>
          </cell>
        </row>
        <row r="264">
          <cell r="Y264">
            <v>248</v>
          </cell>
          <cell r="Z264">
            <v>0.46074541471898556</v>
          </cell>
          <cell r="AA264">
            <v>-1.6658999722075261E-2</v>
          </cell>
          <cell r="AB264" t="str">
            <v/>
          </cell>
          <cell r="AC264" t="e">
            <v>#N/A</v>
          </cell>
          <cell r="AD264">
            <v>177</v>
          </cell>
          <cell r="AE264" t="e">
            <v>#N/A</v>
          </cell>
          <cell r="AF264" t="str">
            <v/>
          </cell>
        </row>
        <row r="265">
          <cell r="Y265">
            <v>249</v>
          </cell>
          <cell r="Z265">
            <v>0.13688024692237377</v>
          </cell>
          <cell r="AA265">
            <v>-0.1849947240617868</v>
          </cell>
          <cell r="AB265" t="str">
            <v/>
          </cell>
          <cell r="AC265" t="e">
            <v>#N/A</v>
          </cell>
          <cell r="AD265">
            <v>178</v>
          </cell>
          <cell r="AE265" t="e">
            <v>#N/A</v>
          </cell>
          <cell r="AF265" t="str">
            <v/>
          </cell>
        </row>
        <row r="266">
          <cell r="Y266">
            <v>250</v>
          </cell>
          <cell r="Z266">
            <v>0.24866694770753384</v>
          </cell>
          <cell r="AA266">
            <v>-0.11471965710966009</v>
          </cell>
          <cell r="AB266" t="str">
            <v/>
          </cell>
          <cell r="AC266" t="e">
            <v>#N/A</v>
          </cell>
          <cell r="AD266">
            <v>179</v>
          </cell>
          <cell r="AE266" t="e">
            <v>#N/A</v>
          </cell>
          <cell r="AF266" t="str">
            <v/>
          </cell>
        </row>
        <row r="267">
          <cell r="Y267">
            <v>251</v>
          </cell>
          <cell r="Z267">
            <v>0.70974565856158733</v>
          </cell>
          <cell r="AA267">
            <v>9.341352122700991E-2</v>
          </cell>
          <cell r="AB267" t="str">
            <v/>
          </cell>
          <cell r="AC267" t="e">
            <v>#N/A</v>
          </cell>
          <cell r="AD267">
            <v>180</v>
          </cell>
          <cell r="AE267" t="e">
            <v>#N/A</v>
          </cell>
          <cell r="AF267" t="str">
            <v/>
          </cell>
        </row>
        <row r="268">
          <cell r="Y268">
            <v>252</v>
          </cell>
          <cell r="Z268">
            <v>0.81230943463742733</v>
          </cell>
          <cell r="AA268">
            <v>0.14983550099823223</v>
          </cell>
          <cell r="AB268" t="str">
            <v/>
          </cell>
          <cell r="AC268" t="e">
            <v>#N/A</v>
          </cell>
          <cell r="AD268">
            <v>181</v>
          </cell>
          <cell r="AE268" t="e">
            <v>#N/A</v>
          </cell>
          <cell r="AF268" t="str">
            <v/>
          </cell>
        </row>
        <row r="269">
          <cell r="Y269">
            <v>253</v>
          </cell>
          <cell r="Z269">
            <v>0.90639692358672619</v>
          </cell>
          <cell r="AA269">
            <v>0.22293296602473231</v>
          </cell>
          <cell r="AB269" t="str">
            <v/>
          </cell>
          <cell r="AC269" t="e">
            <v>#N/A</v>
          </cell>
          <cell r="AD269">
            <v>182</v>
          </cell>
          <cell r="AE269" t="e">
            <v>#N/A</v>
          </cell>
          <cell r="AF269" t="str">
            <v/>
          </cell>
        </row>
        <row r="270">
          <cell r="Y270">
            <v>254</v>
          </cell>
          <cell r="Z270">
            <v>1.9027268514037132E-2</v>
          </cell>
          <cell r="AA270">
            <v>-0.35061508656173618</v>
          </cell>
          <cell r="AB270" t="str">
            <v/>
          </cell>
          <cell r="AC270" t="e">
            <v>#N/A</v>
          </cell>
          <cell r="AD270">
            <v>183</v>
          </cell>
          <cell r="AE270" t="e">
            <v>#N/A</v>
          </cell>
          <cell r="AF270" t="str">
            <v/>
          </cell>
        </row>
        <row r="271">
          <cell r="Y271">
            <v>255</v>
          </cell>
          <cell r="Z271">
            <v>0.93249486200511456</v>
          </cell>
          <cell r="AA271">
            <v>0.25263907024977833</v>
          </cell>
          <cell r="AB271" t="str">
            <v/>
          </cell>
          <cell r="AC271" t="e">
            <v>#N/A</v>
          </cell>
          <cell r="AD271">
            <v>184</v>
          </cell>
          <cell r="AE271" t="e">
            <v>#N/A</v>
          </cell>
          <cell r="AF271" t="str">
            <v/>
          </cell>
        </row>
        <row r="272">
          <cell r="Y272">
            <v>256</v>
          </cell>
          <cell r="Z272">
            <v>0.74248435162007809</v>
          </cell>
          <cell r="AA272">
            <v>0.11004306153589045</v>
          </cell>
          <cell r="AB272" t="str">
            <v/>
          </cell>
          <cell r="AC272" t="e">
            <v>#N/A</v>
          </cell>
          <cell r="AD272">
            <v>185</v>
          </cell>
          <cell r="AE272" t="e">
            <v>#N/A</v>
          </cell>
          <cell r="AF272" t="str">
            <v/>
          </cell>
        </row>
        <row r="273">
          <cell r="Y273">
            <v>257</v>
          </cell>
          <cell r="Z273">
            <v>0.1684973519295454</v>
          </cell>
          <cell r="AA273">
            <v>-0.16228994088721946</v>
          </cell>
          <cell r="AB273" t="str">
            <v/>
          </cell>
          <cell r="AC273" t="e">
            <v>#N/A</v>
          </cell>
          <cell r="AD273">
            <v>186</v>
          </cell>
          <cell r="AE273" t="e">
            <v>#N/A</v>
          </cell>
          <cell r="AF273" t="str">
            <v/>
          </cell>
        </row>
        <row r="274">
          <cell r="Y274">
            <v>258</v>
          </cell>
          <cell r="Z274">
            <v>0.70976102910935879</v>
          </cell>
          <cell r="AA274">
            <v>9.3421108229659128E-2</v>
          </cell>
          <cell r="AB274" t="str">
            <v/>
          </cell>
          <cell r="AC274" t="e">
            <v>#N/A</v>
          </cell>
          <cell r="AD274">
            <v>187</v>
          </cell>
          <cell r="AE274" t="e">
            <v>#N/A</v>
          </cell>
          <cell r="AF274" t="str">
            <v/>
          </cell>
        </row>
        <row r="275">
          <cell r="Y275">
            <v>259</v>
          </cell>
          <cell r="Z275">
            <v>0.51798696629703045</v>
          </cell>
          <cell r="AA275">
            <v>7.6236166881654714E-3</v>
          </cell>
          <cell r="AB275" t="str">
            <v/>
          </cell>
          <cell r="AC275" t="e">
            <v>#N/A</v>
          </cell>
          <cell r="AD275">
            <v>188</v>
          </cell>
          <cell r="AE275" t="e">
            <v>#N/A</v>
          </cell>
          <cell r="AF275" t="str">
            <v/>
          </cell>
        </row>
        <row r="276">
          <cell r="Y276">
            <v>260</v>
          </cell>
          <cell r="Z276">
            <v>0.39680086635053158</v>
          </cell>
          <cell r="AA276">
            <v>-4.4224633286235111E-2</v>
          </cell>
          <cell r="AB276" t="str">
            <v/>
          </cell>
          <cell r="AC276" t="e">
            <v>#N/A</v>
          </cell>
          <cell r="AD276">
            <v>189</v>
          </cell>
          <cell r="AE276" t="e">
            <v>#N/A</v>
          </cell>
          <cell r="AF276" t="str">
            <v/>
          </cell>
        </row>
        <row r="277">
          <cell r="Y277">
            <v>261</v>
          </cell>
          <cell r="Z277">
            <v>0.82191657833755016</v>
          </cell>
          <cell r="AA277">
            <v>0.1559637034037637</v>
          </cell>
          <cell r="AB277" t="str">
            <v/>
          </cell>
          <cell r="AC277" t="e">
            <v>#N/A</v>
          </cell>
          <cell r="AD277">
            <v>190</v>
          </cell>
          <cell r="AE277" t="e">
            <v>#N/A</v>
          </cell>
          <cell r="AF277" t="str">
            <v/>
          </cell>
        </row>
        <row r="278">
          <cell r="Y278">
            <v>262</v>
          </cell>
          <cell r="Z278">
            <v>0.46829102002084255</v>
          </cell>
          <cell r="AA278">
            <v>-1.3449193158999E-2</v>
          </cell>
          <cell r="AB278" t="str">
            <v/>
          </cell>
          <cell r="AC278" t="e">
            <v>#N/A</v>
          </cell>
          <cell r="AD278">
            <v>191</v>
          </cell>
          <cell r="AE278" t="e">
            <v>#N/A</v>
          </cell>
          <cell r="AF278" t="str">
            <v/>
          </cell>
        </row>
        <row r="279">
          <cell r="Y279">
            <v>263</v>
          </cell>
          <cell r="Z279">
            <v>0.28799168579280376</v>
          </cell>
          <cell r="AA279">
            <v>-9.4532421204649109E-2</v>
          </cell>
          <cell r="AB279" t="str">
            <v/>
          </cell>
          <cell r="AC279" t="e">
            <v>#N/A</v>
          </cell>
          <cell r="AD279">
            <v>192</v>
          </cell>
          <cell r="AE279" t="e">
            <v>#N/A</v>
          </cell>
          <cell r="AF279" t="str">
            <v/>
          </cell>
        </row>
        <row r="280">
          <cell r="Y280">
            <v>264</v>
          </cell>
          <cell r="Z280">
            <v>0.60181995294988155</v>
          </cell>
          <cell r="AA280">
            <v>4.362021254809538E-2</v>
          </cell>
          <cell r="AB280" t="str">
            <v/>
          </cell>
          <cell r="AC280" t="e">
            <v>#N/A</v>
          </cell>
          <cell r="AD280">
            <v>193</v>
          </cell>
          <cell r="AE280" t="e">
            <v>#N/A</v>
          </cell>
          <cell r="AF280" t="str">
            <v/>
          </cell>
        </row>
        <row r="281">
          <cell r="Y281">
            <v>265</v>
          </cell>
          <cell r="Z281">
            <v>0.35315820388495922</v>
          </cell>
          <cell r="AA281">
            <v>-6.3692151256516366E-2</v>
          </cell>
          <cell r="AB281" t="str">
            <v/>
          </cell>
          <cell r="AC281" t="e">
            <v>#N/A</v>
          </cell>
          <cell r="AD281">
            <v>194</v>
          </cell>
          <cell r="AE281" t="e">
            <v>#N/A</v>
          </cell>
          <cell r="AF281" t="str">
            <v/>
          </cell>
        </row>
        <row r="282">
          <cell r="Y282">
            <v>266</v>
          </cell>
          <cell r="Z282">
            <v>0.62990624271333218</v>
          </cell>
          <cell r="AA282">
            <v>5.6051481819013378E-2</v>
          </cell>
          <cell r="AB282" t="str">
            <v/>
          </cell>
          <cell r="AC282" t="e">
            <v>#N/A</v>
          </cell>
          <cell r="AD282">
            <v>195</v>
          </cell>
          <cell r="AE282" t="e">
            <v>#N/A</v>
          </cell>
          <cell r="AF282" t="str">
            <v/>
          </cell>
        </row>
        <row r="283">
          <cell r="Y283">
            <v>267</v>
          </cell>
          <cell r="Z283">
            <v>0.61591447703540325</v>
          </cell>
          <cell r="AA283">
            <v>4.9824900743731415E-2</v>
          </cell>
          <cell r="AB283" t="str">
            <v/>
          </cell>
          <cell r="AC283" t="e">
            <v>#N/A</v>
          </cell>
          <cell r="AD283">
            <v>196</v>
          </cell>
          <cell r="AE283" t="e">
            <v>#N/A</v>
          </cell>
          <cell r="AF283" t="str">
            <v/>
          </cell>
        </row>
        <row r="284">
          <cell r="Y284">
            <v>268</v>
          </cell>
          <cell r="Z284">
            <v>0.77724223397672176</v>
          </cell>
          <cell r="AA284">
            <v>0.12895576292444885</v>
          </cell>
          <cell r="AB284" t="str">
            <v/>
          </cell>
          <cell r="AC284" t="e">
            <v>#N/A</v>
          </cell>
          <cell r="AD284">
            <v>197</v>
          </cell>
          <cell r="AE284" t="e">
            <v>#N/A</v>
          </cell>
          <cell r="AF284" t="str">
            <v/>
          </cell>
        </row>
        <row r="285">
          <cell r="Y285">
            <v>269</v>
          </cell>
          <cell r="Z285">
            <v>0.44391625933349133</v>
          </cell>
          <cell r="AA285">
            <v>-2.3841357372106825E-2</v>
          </cell>
          <cell r="AB285" t="str">
            <v/>
          </cell>
          <cell r="AC285" t="e">
            <v>#N/A</v>
          </cell>
          <cell r="AD285">
            <v>198</v>
          </cell>
          <cell r="AE285" t="e">
            <v>#N/A</v>
          </cell>
          <cell r="AF285" t="str">
            <v/>
          </cell>
        </row>
        <row r="286">
          <cell r="Y286">
            <v>270</v>
          </cell>
          <cell r="Z286">
            <v>0.36424628458917141</v>
          </cell>
          <cell r="AA286">
            <v>-5.8675923925644274E-2</v>
          </cell>
          <cell r="AB286" t="str">
            <v/>
          </cell>
          <cell r="AC286" t="e">
            <v>#N/A</v>
          </cell>
          <cell r="AD286">
            <v>199</v>
          </cell>
          <cell r="AE286" t="e">
            <v>#N/A</v>
          </cell>
          <cell r="AF286" t="str">
            <v/>
          </cell>
        </row>
        <row r="287">
          <cell r="Y287">
            <v>271</v>
          </cell>
          <cell r="Z287">
            <v>0.58109341375529766</v>
          </cell>
          <cell r="AA287">
            <v>3.4599176118122896E-2</v>
          </cell>
          <cell r="AB287" t="str">
            <v/>
          </cell>
          <cell r="AC287" t="e">
            <v>#N/A</v>
          </cell>
          <cell r="AD287">
            <v>200</v>
          </cell>
          <cell r="AE287" t="e">
            <v>#N/A</v>
          </cell>
          <cell r="AF287" t="str">
            <v/>
          </cell>
        </row>
        <row r="288">
          <cell r="Y288">
            <v>272</v>
          </cell>
          <cell r="Z288">
            <v>0.69176735542714596</v>
          </cell>
          <cell r="AA288">
            <v>8.4661840588919374E-2</v>
          </cell>
          <cell r="AB288" t="str">
            <v/>
          </cell>
          <cell r="AC288" t="e">
            <v>#N/A</v>
          </cell>
          <cell r="AD288">
            <v>201</v>
          </cell>
          <cell r="AE288" t="e">
            <v>#N/A</v>
          </cell>
          <cell r="AF288" t="str">
            <v/>
          </cell>
        </row>
        <row r="289">
          <cell r="Y289">
            <v>273</v>
          </cell>
          <cell r="Z289">
            <v>0.54724708013236523</v>
          </cell>
          <cell r="AA289">
            <v>2.0065497422783581E-2</v>
          </cell>
          <cell r="AB289" t="str">
            <v/>
          </cell>
          <cell r="AC289" t="e">
            <v>#N/A</v>
          </cell>
          <cell r="AD289">
            <v>202</v>
          </cell>
          <cell r="AE289" t="e">
            <v>#N/A</v>
          </cell>
          <cell r="AF289" t="str">
            <v/>
          </cell>
        </row>
        <row r="290">
          <cell r="Y290">
            <v>274</v>
          </cell>
          <cell r="Z290">
            <v>0.915535693988204</v>
          </cell>
          <cell r="AA290">
            <v>0.23252805778974373</v>
          </cell>
          <cell r="AB290" t="str">
            <v/>
          </cell>
          <cell r="AC290" t="e">
            <v>#N/A</v>
          </cell>
          <cell r="AD290">
            <v>203</v>
          </cell>
          <cell r="AE290" t="e">
            <v>#N/A</v>
          </cell>
          <cell r="AF290" t="str">
            <v/>
          </cell>
        </row>
        <row r="291">
          <cell r="Y291">
            <v>275</v>
          </cell>
          <cell r="Z291">
            <v>0.84184606187045574</v>
          </cell>
          <cell r="AA291">
            <v>0.16938141318460759</v>
          </cell>
          <cell r="AB291" t="str">
            <v/>
          </cell>
          <cell r="AC291" t="e">
            <v>#N/A</v>
          </cell>
          <cell r="AD291">
            <v>204</v>
          </cell>
          <cell r="AE291" t="e">
            <v>#N/A</v>
          </cell>
          <cell r="AF291" t="str">
            <v/>
          </cell>
        </row>
        <row r="292">
          <cell r="Y292">
            <v>276</v>
          </cell>
          <cell r="Z292">
            <v>0.56270336173474789</v>
          </cell>
          <cell r="AA292">
            <v>2.6677599045158984E-2</v>
          </cell>
          <cell r="AB292" t="str">
            <v/>
          </cell>
          <cell r="AC292" t="e">
            <v>#N/A</v>
          </cell>
          <cell r="AD292">
            <v>205</v>
          </cell>
          <cell r="AE292" t="e">
            <v>#N/A</v>
          </cell>
          <cell r="AF292" t="str">
            <v/>
          </cell>
        </row>
        <row r="293">
          <cell r="Y293">
            <v>277</v>
          </cell>
          <cell r="Z293">
            <v>0.93249118141829967</v>
          </cell>
          <cell r="AA293">
            <v>0.25263430533628317</v>
          </cell>
          <cell r="AB293" t="str">
            <v/>
          </cell>
          <cell r="AC293" t="e">
            <v>#N/A</v>
          </cell>
          <cell r="AD293">
            <v>206</v>
          </cell>
          <cell r="AE293" t="e">
            <v>#N/A</v>
          </cell>
          <cell r="AF293" t="str">
            <v/>
          </cell>
        </row>
        <row r="294">
          <cell r="Y294">
            <v>278</v>
          </cell>
          <cell r="Z294">
            <v>0.9365683551877737</v>
          </cell>
          <cell r="AA294">
            <v>0.25804060673826501</v>
          </cell>
          <cell r="AB294" t="str">
            <v/>
          </cell>
          <cell r="AC294" t="e">
            <v>#N/A</v>
          </cell>
          <cell r="AD294">
            <v>207</v>
          </cell>
          <cell r="AE294" t="e">
            <v>#N/A</v>
          </cell>
          <cell r="AF294" t="str">
            <v/>
          </cell>
        </row>
        <row r="295">
          <cell r="Y295">
            <v>279</v>
          </cell>
          <cell r="Z295">
            <v>0.72726635448634624</v>
          </cell>
          <cell r="AA295">
            <v>0.10219033403407612</v>
          </cell>
          <cell r="AB295" t="str">
            <v/>
          </cell>
          <cell r="AC295" t="e">
            <v>#N/A</v>
          </cell>
          <cell r="AD295">
            <v>208</v>
          </cell>
          <cell r="AE295" t="e">
            <v>#N/A</v>
          </cell>
          <cell r="AF295" t="str">
            <v/>
          </cell>
        </row>
        <row r="296">
          <cell r="Y296">
            <v>280</v>
          </cell>
          <cell r="Z296">
            <v>0.9993260707706213</v>
          </cell>
          <cell r="AA296">
            <v>0.54184362089858418</v>
          </cell>
          <cell r="AB296" t="str">
            <v/>
          </cell>
          <cell r="AC296" t="e">
            <v>#N/A</v>
          </cell>
          <cell r="AD296">
            <v>209</v>
          </cell>
          <cell r="AE296" t="e">
            <v>#N/A</v>
          </cell>
          <cell r="AF296" t="str">
            <v/>
          </cell>
        </row>
        <row r="297">
          <cell r="Y297">
            <v>281</v>
          </cell>
          <cell r="Z297">
            <v>0.69894513301551342</v>
          </cell>
          <cell r="AA297">
            <v>8.8127447782415561E-2</v>
          </cell>
          <cell r="AB297" t="str">
            <v/>
          </cell>
          <cell r="AC297" t="e">
            <v>#N/A</v>
          </cell>
          <cell r="AD297">
            <v>210</v>
          </cell>
          <cell r="AE297" t="e">
            <v>#N/A</v>
          </cell>
          <cell r="AF297" t="str">
            <v/>
          </cell>
        </row>
        <row r="298">
          <cell r="Y298">
            <v>282</v>
          </cell>
          <cell r="Z298">
            <v>0.41644186340272427</v>
          </cell>
          <cell r="AA298">
            <v>-3.5666277361375252E-2</v>
          </cell>
          <cell r="AB298" t="str">
            <v/>
          </cell>
          <cell r="AC298" t="e">
            <v>#N/A</v>
          </cell>
          <cell r="AD298">
            <v>211</v>
          </cell>
          <cell r="AE298" t="e">
            <v>#N/A</v>
          </cell>
          <cell r="AF298" t="str">
            <v/>
          </cell>
        </row>
        <row r="299">
          <cell r="Y299">
            <v>283</v>
          </cell>
          <cell r="Z299">
            <v>4.777146689593792E-2</v>
          </cell>
          <cell r="AA299">
            <v>-0.28175017988643469</v>
          </cell>
          <cell r="AB299" t="str">
            <v/>
          </cell>
          <cell r="AC299" t="e">
            <v>#N/A</v>
          </cell>
          <cell r="AD299">
            <v>212</v>
          </cell>
          <cell r="AE299" t="e">
            <v>#N/A</v>
          </cell>
          <cell r="AF299" t="str">
            <v/>
          </cell>
        </row>
        <row r="300">
          <cell r="Y300">
            <v>284</v>
          </cell>
          <cell r="Z300">
            <v>0.28998844884335995</v>
          </cell>
          <cell r="AA300">
            <v>-9.3544794098492159E-2</v>
          </cell>
          <cell r="AB300" t="str">
            <v/>
          </cell>
          <cell r="AC300" t="e">
            <v>#N/A</v>
          </cell>
          <cell r="AD300">
            <v>213</v>
          </cell>
          <cell r="AE300" t="e">
            <v>#N/A</v>
          </cell>
          <cell r="AF300" t="str">
            <v/>
          </cell>
        </row>
        <row r="301">
          <cell r="Y301">
            <v>285</v>
          </cell>
          <cell r="Z301">
            <v>0.25828343443572521</v>
          </cell>
          <cell r="AA301">
            <v>-0.10964127596311456</v>
          </cell>
          <cell r="AB301" t="str">
            <v/>
          </cell>
          <cell r="AC301" t="e">
            <v>#N/A</v>
          </cell>
          <cell r="AD301">
            <v>214</v>
          </cell>
          <cell r="AE301" t="e">
            <v>#N/A</v>
          </cell>
          <cell r="AF301" t="str">
            <v/>
          </cell>
        </row>
        <row r="302">
          <cell r="Y302">
            <v>286</v>
          </cell>
          <cell r="Z302">
            <v>0.70204189978539944</v>
          </cell>
          <cell r="AA302">
            <v>8.963407241153154E-2</v>
          </cell>
          <cell r="AB302" t="str">
            <v/>
          </cell>
          <cell r="AC302" t="e">
            <v>#N/A</v>
          </cell>
          <cell r="AD302">
            <v>215</v>
          </cell>
          <cell r="AE302" t="e">
            <v>#N/A</v>
          </cell>
          <cell r="AF302" t="str">
            <v/>
          </cell>
        </row>
        <row r="303">
          <cell r="Y303">
            <v>287</v>
          </cell>
          <cell r="Z303">
            <v>0.12439869157969952</v>
          </cell>
          <cell r="AA303">
            <v>-0.19493911431049118</v>
          </cell>
          <cell r="AB303" t="str">
            <v/>
          </cell>
          <cell r="AC303" t="e">
            <v>#N/A</v>
          </cell>
          <cell r="AD303">
            <v>216</v>
          </cell>
          <cell r="AE303" t="e">
            <v>#N/A</v>
          </cell>
          <cell r="AF303" t="str">
            <v/>
          </cell>
        </row>
        <row r="304">
          <cell r="Y304">
            <v>288</v>
          </cell>
          <cell r="Z304">
            <v>0.53297998569905758</v>
          </cell>
          <cell r="AA304">
            <v>1.3989492085075474E-2</v>
          </cell>
          <cell r="AB304" t="str">
            <v/>
          </cell>
          <cell r="AC304" t="e">
            <v>#N/A</v>
          </cell>
          <cell r="AD304">
            <v>217</v>
          </cell>
          <cell r="AE304" t="e">
            <v>#N/A</v>
          </cell>
          <cell r="AF304" t="str">
            <v/>
          </cell>
        </row>
        <row r="305">
          <cell r="Y305">
            <v>289</v>
          </cell>
          <cell r="Z305">
            <v>0.7857303898781538</v>
          </cell>
          <cell r="AA305">
            <v>0.1338206819416318</v>
          </cell>
          <cell r="AB305" t="str">
            <v/>
          </cell>
          <cell r="AC305" t="e">
            <v>#N/A</v>
          </cell>
          <cell r="AD305">
            <v>218</v>
          </cell>
          <cell r="AE305" t="e">
            <v>#N/A</v>
          </cell>
          <cell r="AF305" t="str">
            <v/>
          </cell>
        </row>
        <row r="306">
          <cell r="Y306">
            <v>290</v>
          </cell>
          <cell r="Z306">
            <v>0.11327660642564297</v>
          </cell>
          <cell r="AA306">
            <v>-0.20440654245567738</v>
          </cell>
          <cell r="AB306" t="str">
            <v/>
          </cell>
          <cell r="AC306" t="e">
            <v>#N/A</v>
          </cell>
          <cell r="AD306">
            <v>219</v>
          </cell>
          <cell r="AE306" t="e">
            <v>#N/A</v>
          </cell>
          <cell r="AF306" t="str">
            <v/>
          </cell>
        </row>
        <row r="307">
          <cell r="Y307">
            <v>291</v>
          </cell>
          <cell r="Z307">
            <v>0.53685231320559978</v>
          </cell>
          <cell r="AA307">
            <v>1.5636506352315446E-2</v>
          </cell>
          <cell r="AB307" t="str">
            <v/>
          </cell>
          <cell r="AC307" t="e">
            <v>#N/A</v>
          </cell>
          <cell r="AD307">
            <v>220</v>
          </cell>
          <cell r="AE307" t="e">
            <v>#N/A</v>
          </cell>
          <cell r="AF307" t="str">
            <v/>
          </cell>
        </row>
        <row r="308">
          <cell r="Y308">
            <v>292</v>
          </cell>
          <cell r="Z308">
            <v>0.11113606952130795</v>
          </cell>
          <cell r="AA308">
            <v>-0.2063036038380795</v>
          </cell>
          <cell r="AB308" t="str">
            <v/>
          </cell>
          <cell r="AC308" t="e">
            <v>#N/A</v>
          </cell>
          <cell r="AD308">
            <v>221</v>
          </cell>
          <cell r="AE308" t="e">
            <v>#N/A</v>
          </cell>
          <cell r="AF308" t="str">
            <v/>
          </cell>
        </row>
        <row r="309">
          <cell r="Y309">
            <v>293</v>
          </cell>
          <cell r="Z309">
            <v>0.13998198322951794</v>
          </cell>
          <cell r="AA309">
            <v>-0.18262098049841044</v>
          </cell>
          <cell r="AB309" t="str">
            <v/>
          </cell>
          <cell r="AC309" t="e">
            <v>#N/A</v>
          </cell>
          <cell r="AD309">
            <v>222</v>
          </cell>
          <cell r="AE309" t="e">
            <v>#N/A</v>
          </cell>
          <cell r="AF309" t="str">
            <v/>
          </cell>
        </row>
        <row r="310">
          <cell r="Y310">
            <v>294</v>
          </cell>
          <cell r="Z310">
            <v>0.65206096135079861</v>
          </cell>
          <cell r="AA310">
            <v>6.6072576489371079E-2</v>
          </cell>
          <cell r="AB310" t="str">
            <v/>
          </cell>
          <cell r="AC310" t="e">
            <v>#N/A</v>
          </cell>
          <cell r="AD310">
            <v>223</v>
          </cell>
          <cell r="AE310" t="e">
            <v>#N/A</v>
          </cell>
          <cell r="AF310" t="str">
            <v/>
          </cell>
        </row>
        <row r="311">
          <cell r="Y311">
            <v>295</v>
          </cell>
          <cell r="Z311">
            <v>9.0300483629107475E-2</v>
          </cell>
          <cell r="AA311">
            <v>-0.22631658087754286</v>
          </cell>
          <cell r="AB311" t="str">
            <v/>
          </cell>
          <cell r="AC311" t="e">
            <v>#N/A</v>
          </cell>
          <cell r="AD311">
            <v>224</v>
          </cell>
          <cell r="AE311" t="e">
            <v>#N/A</v>
          </cell>
          <cell r="AF311" t="str">
            <v/>
          </cell>
        </row>
        <row r="312">
          <cell r="Y312">
            <v>296</v>
          </cell>
          <cell r="Z312">
            <v>1.0197361931204796E-2</v>
          </cell>
          <cell r="AA312">
            <v>-0.39198351742727067</v>
          </cell>
          <cell r="AB312" t="str">
            <v/>
          </cell>
          <cell r="AC312" t="e">
            <v>#N/A</v>
          </cell>
          <cell r="AD312">
            <v>225</v>
          </cell>
          <cell r="AE312" t="e">
            <v>#N/A</v>
          </cell>
          <cell r="AF312" t="str">
            <v/>
          </cell>
        </row>
        <row r="313">
          <cell r="Y313">
            <v>297</v>
          </cell>
          <cell r="Z313">
            <v>0.75187775306403637</v>
          </cell>
          <cell r="AA313">
            <v>0.11501038731361166</v>
          </cell>
          <cell r="AB313" t="str">
            <v/>
          </cell>
          <cell r="AC313" t="e">
            <v>#N/A</v>
          </cell>
          <cell r="AD313">
            <v>226</v>
          </cell>
          <cell r="AE313" t="e">
            <v>#N/A</v>
          </cell>
          <cell r="AF313" t="str">
            <v/>
          </cell>
        </row>
        <row r="314">
          <cell r="Y314">
            <v>298</v>
          </cell>
          <cell r="Z314">
            <v>0.30505115352571011</v>
          </cell>
          <cell r="AA314">
            <v>-8.6193466701171784E-2</v>
          </cell>
          <cell r="AB314" t="str">
            <v/>
          </cell>
          <cell r="AC314" t="e">
            <v>#N/A</v>
          </cell>
          <cell r="AD314">
            <v>227</v>
          </cell>
          <cell r="AE314" t="e">
            <v>#N/A</v>
          </cell>
          <cell r="AF314" t="str">
            <v/>
          </cell>
        </row>
        <row r="315">
          <cell r="Y315">
            <v>299</v>
          </cell>
          <cell r="Z315">
            <v>0.50092209689319134</v>
          </cell>
          <cell r="AA315">
            <v>3.9069050573707279E-4</v>
          </cell>
          <cell r="AB315" t="str">
            <v/>
          </cell>
          <cell r="AC315" t="e">
            <v>#N/A</v>
          </cell>
          <cell r="AD315">
            <v>228</v>
          </cell>
          <cell r="AE315" t="e">
            <v>#N/A</v>
          </cell>
          <cell r="AF315" t="str">
            <v/>
          </cell>
        </row>
        <row r="316">
          <cell r="Y316">
            <v>300</v>
          </cell>
          <cell r="Z316">
            <v>0.48091917298734188</v>
          </cell>
          <cell r="AA316">
            <v>-8.0875836779201286E-3</v>
          </cell>
          <cell r="AB316" t="str">
            <v/>
          </cell>
          <cell r="AC316" t="e">
            <v>#N/A</v>
          </cell>
          <cell r="AD316">
            <v>229</v>
          </cell>
          <cell r="AE316" t="e">
            <v>#N/A</v>
          </cell>
          <cell r="AF316" t="str">
            <v/>
          </cell>
        </row>
        <row r="317">
          <cell r="Y317">
            <v>301</v>
          </cell>
          <cell r="Z317">
            <v>0.98182266764342785</v>
          </cell>
          <cell r="AA317">
            <v>0.35377113806492971</v>
          </cell>
          <cell r="AB317" t="str">
            <v/>
          </cell>
          <cell r="AC317" t="e">
            <v>#N/A</v>
          </cell>
          <cell r="AD317">
            <v>230</v>
          </cell>
          <cell r="AE317" t="e">
            <v>#N/A</v>
          </cell>
          <cell r="AF317" t="str">
            <v/>
          </cell>
        </row>
        <row r="318">
          <cell r="Y318">
            <v>302</v>
          </cell>
          <cell r="Z318">
            <v>0.44012895785272121</v>
          </cell>
          <cell r="AA318">
            <v>-2.5463190983097159E-2</v>
          </cell>
          <cell r="AB318" t="str">
            <v/>
          </cell>
          <cell r="AC318" t="e">
            <v>#N/A</v>
          </cell>
          <cell r="AD318">
            <v>231</v>
          </cell>
          <cell r="AE318" t="e">
            <v>#N/A</v>
          </cell>
          <cell r="AF318" t="str">
            <v/>
          </cell>
        </row>
        <row r="319">
          <cell r="Y319">
            <v>303</v>
          </cell>
          <cell r="Z319">
            <v>0.30020366422832012</v>
          </cell>
          <cell r="AA319">
            <v>-8.8540868682128543E-2</v>
          </cell>
          <cell r="AB319" t="str">
            <v/>
          </cell>
          <cell r="AC319" t="e">
            <v>#N/A</v>
          </cell>
          <cell r="AD319">
            <v>232</v>
          </cell>
          <cell r="AE319" t="e">
            <v>#N/A</v>
          </cell>
          <cell r="AF319" t="str">
            <v/>
          </cell>
        </row>
        <row r="320">
          <cell r="Y320">
            <v>304</v>
          </cell>
          <cell r="Z320">
            <v>0.54493083618581295</v>
          </cell>
          <cell r="AA320">
            <v>1.9077508647823913E-2</v>
          </cell>
          <cell r="AB320" t="str">
            <v/>
          </cell>
          <cell r="AC320" t="e">
            <v>#N/A</v>
          </cell>
          <cell r="AD320">
            <v>233</v>
          </cell>
          <cell r="AE320" t="e">
            <v>#N/A</v>
          </cell>
          <cell r="AF320" t="str">
            <v/>
          </cell>
        </row>
        <row r="321">
          <cell r="Y321">
            <v>305</v>
          </cell>
          <cell r="Z321">
            <v>0.44595899991691113</v>
          </cell>
          <cell r="AA321">
            <v>-2.2967515760266687E-2</v>
          </cell>
          <cell r="AB321" t="str">
            <v/>
          </cell>
          <cell r="AC321" t="e">
            <v>#N/A</v>
          </cell>
          <cell r="AD321">
            <v>234</v>
          </cell>
          <cell r="AE321" t="e">
            <v>#N/A</v>
          </cell>
          <cell r="AF321" t="str">
            <v/>
          </cell>
        </row>
        <row r="322">
          <cell r="Y322">
            <v>306</v>
          </cell>
          <cell r="Z322">
            <v>0.79663611017167568</v>
          </cell>
          <cell r="AA322">
            <v>0.14023911115234855</v>
          </cell>
          <cell r="AB322" t="str">
            <v/>
          </cell>
          <cell r="AC322" t="e">
            <v>#N/A</v>
          </cell>
          <cell r="AD322">
            <v>235</v>
          </cell>
          <cell r="AE322" t="e">
            <v>#N/A</v>
          </cell>
          <cell r="AF322" t="str">
            <v/>
          </cell>
        </row>
        <row r="323">
          <cell r="Y323">
            <v>307</v>
          </cell>
          <cell r="Z323">
            <v>0.45798618905246258</v>
          </cell>
          <cell r="AA323">
            <v>-1.783418035445895E-2</v>
          </cell>
          <cell r="AB323" t="str">
            <v/>
          </cell>
          <cell r="AC323" t="e">
            <v>#N/A</v>
          </cell>
          <cell r="AD323">
            <v>236</v>
          </cell>
          <cell r="AE323" t="e">
            <v>#N/A</v>
          </cell>
          <cell r="AF323" t="str">
            <v/>
          </cell>
        </row>
        <row r="324">
          <cell r="Y324">
            <v>308</v>
          </cell>
          <cell r="Z324">
            <v>0.84434508346021175</v>
          </cell>
          <cell r="AA324">
            <v>0.17113992147515752</v>
          </cell>
          <cell r="AB324" t="str">
            <v/>
          </cell>
          <cell r="AC324" t="e">
            <v>#N/A</v>
          </cell>
          <cell r="AD324">
            <v>237</v>
          </cell>
          <cell r="AE324" t="e">
            <v>#N/A</v>
          </cell>
          <cell r="AF324" t="str">
            <v/>
          </cell>
        </row>
        <row r="325">
          <cell r="Y325">
            <v>309</v>
          </cell>
          <cell r="Z325">
            <v>0.81108820252120495</v>
          </cell>
          <cell r="AA325">
            <v>0.14907058657440828</v>
          </cell>
          <cell r="AB325" t="str">
            <v/>
          </cell>
          <cell r="AC325" t="e">
            <v>#N/A</v>
          </cell>
          <cell r="AD325">
            <v>238</v>
          </cell>
          <cell r="AE325" t="e">
            <v>#N/A</v>
          </cell>
          <cell r="AF325" t="str">
            <v/>
          </cell>
        </row>
        <row r="326">
          <cell r="Y326">
            <v>310</v>
          </cell>
          <cell r="Z326">
            <v>0.56935868225991726</v>
          </cell>
          <cell r="AA326">
            <v>2.9536730610876971E-2</v>
          </cell>
          <cell r="AB326" t="str">
            <v/>
          </cell>
          <cell r="AC326" t="e">
            <v>#N/A</v>
          </cell>
          <cell r="AD326">
            <v>239</v>
          </cell>
          <cell r="AE326" t="e">
            <v>#N/A</v>
          </cell>
          <cell r="AF326" t="str">
            <v/>
          </cell>
        </row>
        <row r="327">
          <cell r="Y327">
            <v>311</v>
          </cell>
          <cell r="Z327">
            <v>0.22426204197108746</v>
          </cell>
          <cell r="AA327">
            <v>-0.12810474569767119</v>
          </cell>
          <cell r="AB327" t="str">
            <v/>
          </cell>
          <cell r="AC327" t="e">
            <v>#N/A</v>
          </cell>
          <cell r="AD327">
            <v>240</v>
          </cell>
          <cell r="AE327" t="e">
            <v>#N/A</v>
          </cell>
          <cell r="AF327" t="str">
            <v/>
          </cell>
        </row>
        <row r="328">
          <cell r="Y328">
            <v>312</v>
          </cell>
          <cell r="Z328">
            <v>0.33511742018163204</v>
          </cell>
          <cell r="AA328">
            <v>-7.1977684640951139E-2</v>
          </cell>
          <cell r="AB328" t="str">
            <v/>
          </cell>
          <cell r="AC328" t="e">
            <v>#N/A</v>
          </cell>
          <cell r="AD328">
            <v>241</v>
          </cell>
          <cell r="AE328" t="e">
            <v>#N/A</v>
          </cell>
          <cell r="AF328" t="str">
            <v/>
          </cell>
        </row>
        <row r="329">
          <cell r="Y329">
            <v>313</v>
          </cell>
          <cell r="Z329">
            <v>0.55834278278052807</v>
          </cell>
          <cell r="AA329">
            <v>2.4808471753228836E-2</v>
          </cell>
          <cell r="AB329" t="str">
            <v/>
          </cell>
          <cell r="AC329" t="e">
            <v>#N/A</v>
          </cell>
          <cell r="AD329">
            <v>242</v>
          </cell>
          <cell r="AE329" t="e">
            <v>#N/A</v>
          </cell>
          <cell r="AF329" t="str">
            <v/>
          </cell>
        </row>
        <row r="330">
          <cell r="Y330">
            <v>314</v>
          </cell>
          <cell r="Z330">
            <v>8.6261456832289696E-2</v>
          </cell>
          <cell r="AA330">
            <v>-0.23058206407501994</v>
          </cell>
          <cell r="AB330" t="str">
            <v/>
          </cell>
          <cell r="AC330" t="e">
            <v>#N/A</v>
          </cell>
          <cell r="AD330">
            <v>243</v>
          </cell>
          <cell r="AE330" t="e">
            <v>#N/A</v>
          </cell>
          <cell r="AF330" t="str">
            <v/>
          </cell>
        </row>
        <row r="331">
          <cell r="Y331">
            <v>315</v>
          </cell>
          <cell r="Z331">
            <v>0.68972183577716351</v>
          </cell>
          <cell r="AA331">
            <v>8.3680757813125714E-2</v>
          </cell>
          <cell r="AB331" t="str">
            <v/>
          </cell>
          <cell r="AC331" t="e">
            <v>#N/A</v>
          </cell>
          <cell r="AD331">
            <v>244</v>
          </cell>
          <cell r="AE331" t="e">
            <v>#N/A</v>
          </cell>
          <cell r="AF331" t="str">
            <v/>
          </cell>
        </row>
        <row r="332">
          <cell r="Y332">
            <v>316</v>
          </cell>
          <cell r="Z332">
            <v>0.32415550015866756</v>
          </cell>
          <cell r="AA332">
            <v>-7.7096633037190679E-2</v>
          </cell>
          <cell r="AB332" t="str">
            <v/>
          </cell>
          <cell r="AC332" t="e">
            <v>#N/A</v>
          </cell>
          <cell r="AD332">
            <v>245</v>
          </cell>
          <cell r="AE332" t="e">
            <v>#N/A</v>
          </cell>
          <cell r="AF332" t="str">
            <v/>
          </cell>
        </row>
        <row r="333">
          <cell r="Y333">
            <v>317</v>
          </cell>
          <cell r="Z333">
            <v>0.21560817770659924</v>
          </cell>
          <cell r="AA333">
            <v>-0.13304619667671103</v>
          </cell>
          <cell r="AB333" t="str">
            <v/>
          </cell>
          <cell r="AC333" t="e">
            <v>#N/A</v>
          </cell>
          <cell r="AD333">
            <v>246</v>
          </cell>
          <cell r="AE333" t="e">
            <v>#N/A</v>
          </cell>
          <cell r="AF333" t="str">
            <v/>
          </cell>
        </row>
        <row r="334">
          <cell r="Y334">
            <v>318</v>
          </cell>
          <cell r="Z334">
            <v>0.57997230254113674</v>
          </cell>
          <cell r="AA334">
            <v>3.4114249695118164E-2</v>
          </cell>
          <cell r="AB334" t="str">
            <v/>
          </cell>
          <cell r="AC334" t="e">
            <v>#N/A</v>
          </cell>
          <cell r="AD334">
            <v>247</v>
          </cell>
          <cell r="AE334" t="e">
            <v>#N/A</v>
          </cell>
          <cell r="AF334" t="str">
            <v/>
          </cell>
        </row>
        <row r="335">
          <cell r="Y335">
            <v>319</v>
          </cell>
          <cell r="Z335">
            <v>0.56505130045115948</v>
          </cell>
          <cell r="AA335">
            <v>2.7685362346662943E-2</v>
          </cell>
          <cell r="AB335" t="str">
            <v/>
          </cell>
          <cell r="AC335" t="e">
            <v>#N/A</v>
          </cell>
          <cell r="AD335">
            <v>248</v>
          </cell>
          <cell r="AE335" t="e">
            <v>#N/A</v>
          </cell>
          <cell r="AF335" t="str">
            <v/>
          </cell>
        </row>
        <row r="336">
          <cell r="Y336">
            <v>320</v>
          </cell>
          <cell r="Z336">
            <v>0.35017850063741207</v>
          </cell>
          <cell r="AA336">
            <v>-6.5049595470831223E-2</v>
          </cell>
          <cell r="AB336" t="str">
            <v/>
          </cell>
          <cell r="AC336" t="e">
            <v>#N/A</v>
          </cell>
          <cell r="AD336">
            <v>249</v>
          </cell>
          <cell r="AE336" t="e">
            <v>#N/A</v>
          </cell>
          <cell r="AF336" t="str">
            <v/>
          </cell>
        </row>
        <row r="337">
          <cell r="Y337">
            <v>321</v>
          </cell>
          <cell r="Z337">
            <v>0.5586946289986372</v>
          </cell>
          <cell r="AA337">
            <v>2.4959172312248121E-2</v>
          </cell>
          <cell r="AB337" t="str">
            <v/>
          </cell>
          <cell r="AC337" t="e">
            <v>#N/A</v>
          </cell>
          <cell r="AD337">
            <v>250</v>
          </cell>
          <cell r="AE337" t="e">
            <v>#N/A</v>
          </cell>
          <cell r="AF337" t="str">
            <v/>
          </cell>
        </row>
        <row r="338">
          <cell r="Y338">
            <v>322</v>
          </cell>
          <cell r="Z338">
            <v>0.55301654897630215</v>
          </cell>
          <cell r="AA338">
            <v>2.2529509510472147E-2</v>
          </cell>
          <cell r="AB338" t="str">
            <v/>
          </cell>
          <cell r="AC338" t="e">
            <v>#N/A</v>
          </cell>
          <cell r="AD338">
            <v>251</v>
          </cell>
          <cell r="AE338" t="e">
            <v>#N/A</v>
          </cell>
          <cell r="AF338" t="str">
            <v/>
          </cell>
        </row>
        <row r="339">
          <cell r="Y339">
            <v>323</v>
          </cell>
          <cell r="Z339">
            <v>0.67897815816104412</v>
          </cell>
          <cell r="AA339">
            <v>7.8572857002591034E-2</v>
          </cell>
          <cell r="AB339" t="str">
            <v/>
          </cell>
          <cell r="AC339" t="e">
            <v>#N/A</v>
          </cell>
          <cell r="AD339">
            <v>252</v>
          </cell>
          <cell r="AE339" t="e">
            <v>#N/A</v>
          </cell>
          <cell r="AF339" t="str">
            <v/>
          </cell>
        </row>
        <row r="340">
          <cell r="Y340">
            <v>324</v>
          </cell>
          <cell r="Z340">
            <v>0.40832649730145931</v>
          </cell>
          <cell r="AA340">
            <v>-3.9190134871867774E-2</v>
          </cell>
          <cell r="AB340" t="str">
            <v/>
          </cell>
          <cell r="AC340" t="e">
            <v>#N/A</v>
          </cell>
          <cell r="AD340">
            <v>253</v>
          </cell>
          <cell r="AE340" t="e">
            <v>#N/A</v>
          </cell>
          <cell r="AF340" t="str">
            <v/>
          </cell>
        </row>
        <row r="341">
          <cell r="Y341">
            <v>325</v>
          </cell>
          <cell r="Z341">
            <v>0.28125905804336071</v>
          </cell>
          <cell r="AA341">
            <v>-9.7886663649201455E-2</v>
          </cell>
          <cell r="AB341" t="str">
            <v/>
          </cell>
          <cell r="AC341" t="e">
            <v>#N/A</v>
          </cell>
          <cell r="AD341">
            <v>254</v>
          </cell>
          <cell r="AE341" t="e">
            <v>#N/A</v>
          </cell>
          <cell r="AF341" t="str">
            <v/>
          </cell>
        </row>
        <row r="342">
          <cell r="Y342">
            <v>326</v>
          </cell>
          <cell r="Z342">
            <v>0.23680136166512966</v>
          </cell>
          <cell r="AA342">
            <v>-0.12113249795358201</v>
          </cell>
          <cell r="AB342" t="str">
            <v/>
          </cell>
          <cell r="AC342" t="e">
            <v>#N/A</v>
          </cell>
          <cell r="AD342">
            <v>255</v>
          </cell>
          <cell r="AE342" t="e">
            <v>#N/A</v>
          </cell>
          <cell r="AF342" t="str">
            <v/>
          </cell>
        </row>
        <row r="343">
          <cell r="Y343">
            <v>327</v>
          </cell>
          <cell r="Z343">
            <v>0.69506899826228619</v>
          </cell>
          <cell r="AA343">
            <v>8.6251448016678056E-2</v>
          </cell>
          <cell r="AB343" t="str">
            <v/>
          </cell>
          <cell r="AC343" t="e">
            <v>#N/A</v>
          </cell>
          <cell r="AD343">
            <v>256</v>
          </cell>
          <cell r="AE343" t="e">
            <v>#N/A</v>
          </cell>
          <cell r="AF343" t="str">
            <v/>
          </cell>
        </row>
        <row r="344">
          <cell r="Y344">
            <v>328</v>
          </cell>
          <cell r="Z344">
            <v>1.8519839271903038E-2</v>
          </cell>
          <cell r="AA344">
            <v>-0.35248450347946569</v>
          </cell>
          <cell r="AB344" t="str">
            <v/>
          </cell>
          <cell r="AC344" t="e">
            <v>#N/A</v>
          </cell>
          <cell r="AD344">
            <v>257</v>
          </cell>
          <cell r="AE344" t="e">
            <v>#N/A</v>
          </cell>
          <cell r="AF344" t="str">
            <v/>
          </cell>
        </row>
        <row r="345">
          <cell r="Y345">
            <v>329</v>
          </cell>
          <cell r="Z345">
            <v>0.63347694091498852</v>
          </cell>
          <cell r="AA345">
            <v>5.7652422683981526E-2</v>
          </cell>
          <cell r="AB345" t="str">
            <v/>
          </cell>
          <cell r="AC345" t="e">
            <v>#N/A</v>
          </cell>
          <cell r="AD345">
            <v>258</v>
          </cell>
          <cell r="AE345" t="e">
            <v>#N/A</v>
          </cell>
          <cell r="AF345" t="str">
            <v/>
          </cell>
        </row>
        <row r="346">
          <cell r="Y346">
            <v>330</v>
          </cell>
          <cell r="Z346">
            <v>0.64435011707246304</v>
          </cell>
          <cell r="AA346">
            <v>6.2560181928641628E-2</v>
          </cell>
          <cell r="AB346" t="str">
            <v/>
          </cell>
          <cell r="AC346" t="e">
            <v>#N/A</v>
          </cell>
          <cell r="AD346">
            <v>259</v>
          </cell>
          <cell r="AE346" t="e">
            <v>#N/A</v>
          </cell>
          <cell r="AF346" t="str">
            <v/>
          </cell>
        </row>
        <row r="347">
          <cell r="Y347">
            <v>331</v>
          </cell>
          <cell r="Z347">
            <v>0.54727615229785442</v>
          </cell>
          <cell r="AA347">
            <v>2.0077902377746832E-2</v>
          </cell>
          <cell r="AB347" t="str">
            <v/>
          </cell>
          <cell r="AC347" t="e">
            <v>#N/A</v>
          </cell>
          <cell r="AD347">
            <v>260</v>
          </cell>
          <cell r="AE347" t="e">
            <v>#N/A</v>
          </cell>
          <cell r="AF347" t="str">
            <v/>
          </cell>
        </row>
        <row r="348">
          <cell r="Y348">
            <v>332</v>
          </cell>
          <cell r="Z348">
            <v>0.637568524107337</v>
          </cell>
          <cell r="AA348">
            <v>5.9493294883987219E-2</v>
          </cell>
          <cell r="AB348" t="str">
            <v/>
          </cell>
          <cell r="AC348" t="e">
            <v>#N/A</v>
          </cell>
          <cell r="AD348">
            <v>261</v>
          </cell>
          <cell r="AE348" t="e">
            <v>#N/A</v>
          </cell>
          <cell r="AF348" t="str">
            <v/>
          </cell>
        </row>
        <row r="349">
          <cell r="Y349">
            <v>333</v>
          </cell>
          <cell r="Z349">
            <v>0.52946418337523937</v>
          </cell>
          <cell r="AA349">
            <v>1.249527212207612E-2</v>
          </cell>
          <cell r="AB349" t="str">
            <v/>
          </cell>
          <cell r="AC349" t="e">
            <v>#N/A</v>
          </cell>
          <cell r="AD349">
            <v>262</v>
          </cell>
          <cell r="AE349" t="e">
            <v>#N/A</v>
          </cell>
          <cell r="AF349" t="str">
            <v/>
          </cell>
        </row>
        <row r="350">
          <cell r="Y350">
            <v>334</v>
          </cell>
          <cell r="Z350">
            <v>0.71678677760064602</v>
          </cell>
          <cell r="AA350">
            <v>9.6909167288480549E-2</v>
          </cell>
          <cell r="AB350" t="str">
            <v/>
          </cell>
          <cell r="AC350" t="e">
            <v>#N/A</v>
          </cell>
          <cell r="AD350">
            <v>263</v>
          </cell>
          <cell r="AE350" t="e">
            <v>#N/A</v>
          </cell>
          <cell r="AF350" t="str">
            <v/>
          </cell>
        </row>
        <row r="351">
          <cell r="Y351">
            <v>335</v>
          </cell>
          <cell r="Z351">
            <v>9.4234568998217583E-2</v>
          </cell>
          <cell r="AA351">
            <v>-0.22229607300793386</v>
          </cell>
          <cell r="AB351" t="str">
            <v/>
          </cell>
          <cell r="AC351" t="e">
            <v>#N/A</v>
          </cell>
          <cell r="AD351">
            <v>264</v>
          </cell>
          <cell r="AE351" t="e">
            <v>#N/A</v>
          </cell>
          <cell r="AF351" t="str">
            <v/>
          </cell>
        </row>
        <row r="352">
          <cell r="Y352">
            <v>336</v>
          </cell>
          <cell r="Z352">
            <v>0.91503157280385494</v>
          </cell>
          <cell r="AA352">
            <v>0.23197907840259196</v>
          </cell>
          <cell r="AB352" t="str">
            <v/>
          </cell>
          <cell r="AC352" t="e">
            <v>#N/A</v>
          </cell>
          <cell r="AD352">
            <v>265</v>
          </cell>
          <cell r="AE352" t="e">
            <v>#N/A</v>
          </cell>
          <cell r="AF352" t="str">
            <v/>
          </cell>
        </row>
        <row r="353">
          <cell r="Y353">
            <v>337</v>
          </cell>
          <cell r="Z353">
            <v>0.62344899587333202</v>
          </cell>
          <cell r="AA353">
            <v>5.3168952274645263E-2</v>
          </cell>
          <cell r="AB353" t="str">
            <v/>
          </cell>
          <cell r="AC353" t="e">
            <v>#N/A</v>
          </cell>
          <cell r="AD353">
            <v>266</v>
          </cell>
          <cell r="AE353" t="e">
            <v>#N/A</v>
          </cell>
          <cell r="AF353" t="str">
            <v/>
          </cell>
        </row>
        <row r="354">
          <cell r="Y354">
            <v>338</v>
          </cell>
          <cell r="Z354">
            <v>6.3570266589522362E-2</v>
          </cell>
          <cell r="AA354">
            <v>-0.2578524264042984</v>
          </cell>
          <cell r="AB354" t="str">
            <v/>
          </cell>
          <cell r="AC354" t="e">
            <v>#N/A</v>
          </cell>
          <cell r="AD354">
            <v>267</v>
          </cell>
          <cell r="AE354" t="e">
            <v>#N/A</v>
          </cell>
          <cell r="AF354" t="str">
            <v/>
          </cell>
        </row>
        <row r="355">
          <cell r="Y355">
            <v>339</v>
          </cell>
          <cell r="Z355">
            <v>0.49230868928134441</v>
          </cell>
          <cell r="AA355">
            <v>-3.2589911048613602E-3</v>
          </cell>
          <cell r="AB355" t="str">
            <v/>
          </cell>
          <cell r="AC355" t="e">
            <v>#N/A</v>
          </cell>
          <cell r="AD355">
            <v>268</v>
          </cell>
          <cell r="AE355" t="e">
            <v>#N/A</v>
          </cell>
          <cell r="AF355" t="str">
            <v/>
          </cell>
        </row>
        <row r="356">
          <cell r="Y356">
            <v>340</v>
          </cell>
          <cell r="Z356">
            <v>0.29282640479505062</v>
          </cell>
          <cell r="AA356">
            <v>-9.2146565490377016E-2</v>
          </cell>
          <cell r="AB356" t="str">
            <v/>
          </cell>
          <cell r="AC356" t="e">
            <v>#N/A</v>
          </cell>
          <cell r="AD356">
            <v>269</v>
          </cell>
          <cell r="AE356" t="e">
            <v>#N/A</v>
          </cell>
          <cell r="AF356" t="str">
            <v/>
          </cell>
        </row>
        <row r="357">
          <cell r="Y357">
            <v>341</v>
          </cell>
          <cell r="Z357">
            <v>0.85469376854598522</v>
          </cell>
          <cell r="AA357">
            <v>0.17862825276514357</v>
          </cell>
          <cell r="AB357" t="str">
            <v/>
          </cell>
          <cell r="AC357" t="e">
            <v>#N/A</v>
          </cell>
          <cell r="AD357">
            <v>270</v>
          </cell>
          <cell r="AE357" t="e">
            <v>#N/A</v>
          </cell>
          <cell r="AF357" t="str">
            <v/>
          </cell>
        </row>
        <row r="358">
          <cell r="Y358">
            <v>342</v>
          </cell>
          <cell r="Z358">
            <v>0.79647884331643581</v>
          </cell>
          <cell r="AA358">
            <v>0.14014512470378954</v>
          </cell>
          <cell r="AB358" t="str">
            <v/>
          </cell>
          <cell r="AC358" t="e">
            <v>#N/A</v>
          </cell>
          <cell r="AD358">
            <v>271</v>
          </cell>
          <cell r="AE358" t="e">
            <v>#N/A</v>
          </cell>
          <cell r="AF358" t="str">
            <v/>
          </cell>
        </row>
        <row r="359">
          <cell r="Y359">
            <v>343</v>
          </cell>
          <cell r="Z359">
            <v>0.78738932125270367</v>
          </cell>
          <cell r="AA359">
            <v>0.13478444410751089</v>
          </cell>
          <cell r="AB359" t="str">
            <v/>
          </cell>
          <cell r="AC359" t="e">
            <v>#N/A</v>
          </cell>
          <cell r="AD359">
            <v>272</v>
          </cell>
          <cell r="AE359" t="e">
            <v>#N/A</v>
          </cell>
          <cell r="AF359" t="str">
            <v/>
          </cell>
        </row>
        <row r="360">
          <cell r="Y360">
            <v>344</v>
          </cell>
          <cell r="Z360">
            <v>0.44858821295201778</v>
          </cell>
          <cell r="AA360">
            <v>-2.18436929673133E-2</v>
          </cell>
          <cell r="AB360" t="str">
            <v/>
          </cell>
          <cell r="AC360" t="e">
            <v>#N/A</v>
          </cell>
          <cell r="AD360">
            <v>273</v>
          </cell>
          <cell r="AE360" t="e">
            <v>#N/A</v>
          </cell>
          <cell r="AF360" t="str">
            <v/>
          </cell>
        </row>
        <row r="361">
          <cell r="Y361">
            <v>345</v>
          </cell>
          <cell r="Z361">
            <v>0.96116694621741772</v>
          </cell>
          <cell r="AA361">
            <v>0.29823657725100799</v>
          </cell>
          <cell r="AB361" t="str">
            <v/>
          </cell>
          <cell r="AC361" t="e">
            <v>#N/A</v>
          </cell>
          <cell r="AD361">
            <v>274</v>
          </cell>
          <cell r="AE361" t="e">
            <v>#N/A</v>
          </cell>
          <cell r="AF361" t="str">
            <v/>
          </cell>
        </row>
        <row r="362">
          <cell r="Y362">
            <v>346</v>
          </cell>
          <cell r="Z362">
            <v>0.95734447799623013</v>
          </cell>
          <cell r="AA362">
            <v>0.290846015623906</v>
          </cell>
          <cell r="AB362" t="str">
            <v/>
          </cell>
          <cell r="AC362" t="e">
            <v>#N/A</v>
          </cell>
          <cell r="AD362">
            <v>275</v>
          </cell>
          <cell r="AE362" t="e">
            <v>#N/A</v>
          </cell>
          <cell r="AF362" t="str">
            <v/>
          </cell>
        </row>
        <row r="363">
          <cell r="Y363">
            <v>347</v>
          </cell>
          <cell r="Z363">
            <v>0.22544051520526409</v>
          </cell>
          <cell r="AA363">
            <v>-0.12744030766893799</v>
          </cell>
          <cell r="AB363" t="str">
            <v/>
          </cell>
          <cell r="AC363" t="e">
            <v>#N/A</v>
          </cell>
          <cell r="AD363">
            <v>276</v>
          </cell>
          <cell r="AE363" t="e">
            <v>#N/A</v>
          </cell>
          <cell r="AF363" t="str">
            <v/>
          </cell>
        </row>
        <row r="364">
          <cell r="Y364">
            <v>348</v>
          </cell>
          <cell r="Z364">
            <v>8.2779338583350182E-2</v>
          </cell>
          <cell r="AA364">
            <v>-0.23438099856357617</v>
          </cell>
          <cell r="AB364" t="str">
            <v/>
          </cell>
          <cell r="AC364" t="e">
            <v>#N/A</v>
          </cell>
          <cell r="AD364">
            <v>277</v>
          </cell>
          <cell r="AE364" t="e">
            <v>#N/A</v>
          </cell>
          <cell r="AF364" t="str">
            <v/>
          </cell>
        </row>
        <row r="365">
          <cell r="Y365">
            <v>349</v>
          </cell>
          <cell r="Z365">
            <v>0.46196490339934826</v>
          </cell>
          <cell r="AA365">
            <v>-1.6139867661828688E-2</v>
          </cell>
          <cell r="AB365" t="str">
            <v/>
          </cell>
          <cell r="AC365" t="e">
            <v>#N/A</v>
          </cell>
          <cell r="AD365">
            <v>278</v>
          </cell>
          <cell r="AE365" t="e">
            <v>#N/A</v>
          </cell>
          <cell r="AF365" t="str">
            <v/>
          </cell>
        </row>
        <row r="366">
          <cell r="Y366">
            <v>350</v>
          </cell>
          <cell r="Z366">
            <v>3.9537226781249046E-2</v>
          </cell>
          <cell r="AA366">
            <v>-0.29683198981238795</v>
          </cell>
          <cell r="AB366" t="str">
            <v/>
          </cell>
          <cell r="AC366" t="e">
            <v>#N/A</v>
          </cell>
          <cell r="AD366">
            <v>279</v>
          </cell>
          <cell r="AE366" t="e">
            <v>#N/A</v>
          </cell>
          <cell r="AF366" t="str">
            <v/>
          </cell>
        </row>
        <row r="367">
          <cell r="Y367">
            <v>351</v>
          </cell>
          <cell r="Z367">
            <v>0.78179643861949444</v>
          </cell>
          <cell r="AA367">
            <v>0.13155242461949546</v>
          </cell>
          <cell r="AB367" t="str">
            <v/>
          </cell>
          <cell r="AC367" t="e">
            <v>#N/A</v>
          </cell>
          <cell r="AD367">
            <v>280</v>
          </cell>
          <cell r="AE367" t="e">
            <v>#N/A</v>
          </cell>
          <cell r="AF367" t="str">
            <v/>
          </cell>
        </row>
        <row r="368">
          <cell r="Y368">
            <v>352</v>
          </cell>
          <cell r="Z368">
            <v>0.54954864643514156</v>
          </cell>
          <cell r="AA368">
            <v>2.1047904906164785E-2</v>
          </cell>
          <cell r="AB368" t="str">
            <v/>
          </cell>
          <cell r="AC368" t="e">
            <v>#N/A</v>
          </cell>
          <cell r="AD368">
            <v>281</v>
          </cell>
          <cell r="AE368" t="e">
            <v>#N/A</v>
          </cell>
          <cell r="AF368" t="str">
            <v/>
          </cell>
        </row>
        <row r="369">
          <cell r="Y369">
            <v>353</v>
          </cell>
          <cell r="Z369">
            <v>0.6084838192909956</v>
          </cell>
          <cell r="AA369">
            <v>4.6545943695042072E-2</v>
          </cell>
          <cell r="AB369" t="str">
            <v/>
          </cell>
          <cell r="AC369" t="e">
            <v>#N/A</v>
          </cell>
          <cell r="AD369">
            <v>282</v>
          </cell>
          <cell r="AE369" t="e">
            <v>#N/A</v>
          </cell>
          <cell r="AF369" t="str">
            <v/>
          </cell>
        </row>
        <row r="370">
          <cell r="Y370">
            <v>354</v>
          </cell>
          <cell r="Z370">
            <v>0.10319960676133633</v>
          </cell>
          <cell r="AA370">
            <v>-0.21357534339952616</v>
          </cell>
          <cell r="AB370" t="str">
            <v/>
          </cell>
          <cell r="AC370" t="e">
            <v>#N/A</v>
          </cell>
          <cell r="AD370">
            <v>283</v>
          </cell>
          <cell r="AE370" t="e">
            <v>#N/A</v>
          </cell>
          <cell r="AF370" t="str">
            <v/>
          </cell>
        </row>
        <row r="371">
          <cell r="Y371">
            <v>355</v>
          </cell>
          <cell r="Z371">
            <v>0.40920825116336346</v>
          </cell>
          <cell r="AA371">
            <v>-3.8806461026220686E-2</v>
          </cell>
          <cell r="AB371" t="str">
            <v/>
          </cell>
          <cell r="AC371" t="e">
            <v>#N/A</v>
          </cell>
          <cell r="AD371">
            <v>284</v>
          </cell>
          <cell r="AE371" t="e">
            <v>#N/A</v>
          </cell>
          <cell r="AF371" t="str">
            <v/>
          </cell>
        </row>
        <row r="372">
          <cell r="Y372">
            <v>356</v>
          </cell>
          <cell r="Z372">
            <v>0.83134089969098568</v>
          </cell>
          <cell r="AA372">
            <v>0.16218131460372634</v>
          </cell>
          <cell r="AB372" t="str">
            <v/>
          </cell>
          <cell r="AC372" t="e">
            <v>#N/A</v>
          </cell>
          <cell r="AD372">
            <v>285</v>
          </cell>
          <cell r="AE372" t="e">
            <v>#N/A</v>
          </cell>
          <cell r="AF372" t="str">
            <v/>
          </cell>
        </row>
        <row r="373">
          <cell r="Y373">
            <v>357</v>
          </cell>
          <cell r="Z373">
            <v>0.80434155277907848</v>
          </cell>
          <cell r="AA373">
            <v>0.14489858903332528</v>
          </cell>
          <cell r="AB373" t="str">
            <v/>
          </cell>
          <cell r="AC373" t="e">
            <v>#N/A</v>
          </cell>
          <cell r="AD373">
            <v>286</v>
          </cell>
          <cell r="AE373" t="e">
            <v>#N/A</v>
          </cell>
          <cell r="AF373" t="str">
            <v/>
          </cell>
        </row>
        <row r="374">
          <cell r="Y374">
            <v>358</v>
          </cell>
          <cell r="Z374">
            <v>0.98423097096383572</v>
          </cell>
          <cell r="AA374">
            <v>0.36345300066642933</v>
          </cell>
          <cell r="AB374" t="str">
            <v/>
          </cell>
          <cell r="AC374" t="e">
            <v>#N/A</v>
          </cell>
          <cell r="AD374">
            <v>287</v>
          </cell>
          <cell r="AE374" t="e">
            <v>#N/A</v>
          </cell>
          <cell r="AF374" t="str">
            <v/>
          </cell>
        </row>
        <row r="375">
          <cell r="Y375">
            <v>359</v>
          </cell>
          <cell r="Z375">
            <v>0.5046409796923399</v>
          </cell>
          <cell r="AA375">
            <v>1.9664158949710044E-3</v>
          </cell>
          <cell r="AB375" t="str">
            <v/>
          </cell>
          <cell r="AC375" t="e">
            <v>#N/A</v>
          </cell>
          <cell r="AD375">
            <v>288</v>
          </cell>
          <cell r="AE375" t="e">
            <v>#N/A</v>
          </cell>
          <cell r="AF375" t="str">
            <v/>
          </cell>
        </row>
        <row r="376">
          <cell r="Y376">
            <v>360</v>
          </cell>
          <cell r="Z376">
            <v>0.35725613497197628</v>
          </cell>
          <cell r="AA376">
            <v>-6.1831949601464861E-2</v>
          </cell>
          <cell r="AB376" t="str">
            <v/>
          </cell>
          <cell r="AC376" t="e">
            <v>#N/A</v>
          </cell>
          <cell r="AD376">
            <v>289</v>
          </cell>
          <cell r="AE376" t="e">
            <v>#N/A</v>
          </cell>
          <cell r="AF376" t="str">
            <v/>
          </cell>
        </row>
        <row r="377">
          <cell r="Y377">
            <v>361</v>
          </cell>
          <cell r="Z377">
            <v>0.99404951743781567</v>
          </cell>
          <cell r="AA377">
            <v>0.42512397205924968</v>
          </cell>
          <cell r="AB377" t="str">
            <v/>
          </cell>
          <cell r="AC377" t="e">
            <v>#N/A</v>
          </cell>
          <cell r="AD377">
            <v>290</v>
          </cell>
          <cell r="AE377" t="e">
            <v>#N/A</v>
          </cell>
          <cell r="AF377" t="str">
            <v/>
          </cell>
        </row>
        <row r="378">
          <cell r="Y378">
            <v>362</v>
          </cell>
          <cell r="Z378">
            <v>9.7021883353590965E-2</v>
          </cell>
          <cell r="AA378">
            <v>-0.21952191081479974</v>
          </cell>
          <cell r="AB378" t="str">
            <v/>
          </cell>
          <cell r="AC378" t="e">
            <v>#N/A</v>
          </cell>
          <cell r="AD378">
            <v>291</v>
          </cell>
          <cell r="AE378" t="e">
            <v>#N/A</v>
          </cell>
          <cell r="AF378" t="str">
            <v/>
          </cell>
        </row>
        <row r="379">
          <cell r="Y379">
            <v>363</v>
          </cell>
          <cell r="Z379">
            <v>9.4820393249392509E-2</v>
          </cell>
          <cell r="AA379">
            <v>-0.22170804770577135</v>
          </cell>
          <cell r="AB379" t="str">
            <v/>
          </cell>
          <cell r="AC379" t="e">
            <v>#N/A</v>
          </cell>
          <cell r="AD379">
            <v>292</v>
          </cell>
          <cell r="AE379" t="e">
            <v>#N/A</v>
          </cell>
          <cell r="AF379" t="str">
            <v/>
          </cell>
        </row>
        <row r="380">
          <cell r="Y380">
            <v>364</v>
          </cell>
          <cell r="Z380">
            <v>0.16515903733670712</v>
          </cell>
          <cell r="AA380">
            <v>-0.16454703703948859</v>
          </cell>
          <cell r="AB380" t="str">
            <v/>
          </cell>
          <cell r="AC380" t="e">
            <v>#N/A</v>
          </cell>
          <cell r="AD380">
            <v>293</v>
          </cell>
          <cell r="AE380" t="e">
            <v>#N/A</v>
          </cell>
          <cell r="AF380" t="str">
            <v/>
          </cell>
        </row>
        <row r="381">
          <cell r="Y381">
            <v>365</v>
          </cell>
          <cell r="Z381">
            <v>0.5204345565289259</v>
          </cell>
          <cell r="AA381">
            <v>8.6618602015252916E-3</v>
          </cell>
          <cell r="AB381" t="str">
            <v/>
          </cell>
          <cell r="AC381" t="e">
            <v>#N/A</v>
          </cell>
          <cell r="AD381">
            <v>294</v>
          </cell>
          <cell r="AE381" t="e">
            <v>#N/A</v>
          </cell>
          <cell r="AF381" t="str">
            <v/>
          </cell>
        </row>
        <row r="382">
          <cell r="Y382">
            <v>366</v>
          </cell>
          <cell r="Z382">
            <v>0.33093849383294582</v>
          </cell>
          <cell r="AA382">
            <v>-7.3921109091170306E-2</v>
          </cell>
          <cell r="AB382" t="str">
            <v/>
          </cell>
          <cell r="AC382" t="e">
            <v>#N/A</v>
          </cell>
          <cell r="AD382">
            <v>295</v>
          </cell>
          <cell r="AE382" t="e">
            <v>#N/A</v>
          </cell>
          <cell r="AF382" t="str">
            <v/>
          </cell>
        </row>
        <row r="383">
          <cell r="Y383">
            <v>367</v>
          </cell>
          <cell r="Z383">
            <v>0.24052987806499004</v>
          </cell>
          <cell r="AA383">
            <v>-0.11909898616144568</v>
          </cell>
          <cell r="AB383" t="str">
            <v/>
          </cell>
          <cell r="AC383" t="e">
            <v>#N/A</v>
          </cell>
          <cell r="AD383">
            <v>296</v>
          </cell>
          <cell r="AE383" t="e">
            <v>#N/A</v>
          </cell>
          <cell r="AF383" t="str">
            <v/>
          </cell>
        </row>
        <row r="384">
          <cell r="Y384">
            <v>368</v>
          </cell>
          <cell r="Z384">
            <v>0.90753831528127193</v>
          </cell>
          <cell r="AA384">
            <v>0.22409221714830055</v>
          </cell>
          <cell r="AB384" t="str">
            <v/>
          </cell>
          <cell r="AC384" t="e">
            <v>#N/A</v>
          </cell>
          <cell r="AD384">
            <v>297</v>
          </cell>
          <cell r="AE384" t="e">
            <v>#N/A</v>
          </cell>
          <cell r="AF384" t="str">
            <v/>
          </cell>
        </row>
        <row r="385">
          <cell r="Y385">
            <v>369</v>
          </cell>
          <cell r="Z385">
            <v>0.95081081800162792</v>
          </cell>
          <cell r="AA385">
            <v>0.27936855317549497</v>
          </cell>
          <cell r="AB385" t="str">
            <v/>
          </cell>
          <cell r="AC385" t="e">
            <v>#N/A</v>
          </cell>
          <cell r="AD385">
            <v>298</v>
          </cell>
          <cell r="AE385" t="e">
            <v>#N/A</v>
          </cell>
          <cell r="AF385" t="str">
            <v/>
          </cell>
        </row>
        <row r="386">
          <cell r="Y386">
            <v>370</v>
          </cell>
          <cell r="Z386">
            <v>0.54055691324174404</v>
          </cell>
          <cell r="AA386">
            <v>1.7213569860324688E-2</v>
          </cell>
          <cell r="AB386" t="str">
            <v/>
          </cell>
          <cell r="AC386" t="e">
            <v>#N/A</v>
          </cell>
          <cell r="AD386">
            <v>299</v>
          </cell>
          <cell r="AE386" t="e">
            <v>#N/A</v>
          </cell>
          <cell r="AF386" t="str">
            <v/>
          </cell>
        </row>
        <row r="387">
          <cell r="Y387">
            <v>371</v>
          </cell>
          <cell r="Z387">
            <v>0.15965731255710125</v>
          </cell>
          <cell r="AA387">
            <v>-0.16833229722870807</v>
          </cell>
          <cell r="AB387" t="str">
            <v/>
          </cell>
          <cell r="AC387" t="e">
            <v>#N/A</v>
          </cell>
          <cell r="AD387">
            <v>300</v>
          </cell>
          <cell r="AE387" t="e">
            <v>#N/A</v>
          </cell>
          <cell r="AF387" t="str">
            <v/>
          </cell>
        </row>
        <row r="388">
          <cell r="Y388">
            <v>372</v>
          </cell>
          <cell r="Z388">
            <v>0.20111607573926449</v>
          </cell>
          <cell r="AA388">
            <v>-0.14158723337224907</v>
          </cell>
          <cell r="AB388" t="str">
            <v/>
          </cell>
          <cell r="AC388" t="e">
            <v>#N/A</v>
          </cell>
          <cell r="AD388">
            <v>301</v>
          </cell>
          <cell r="AE388" t="e">
            <v>#N/A</v>
          </cell>
          <cell r="AF388" t="str">
            <v/>
          </cell>
        </row>
        <row r="389">
          <cell r="Y389">
            <v>373</v>
          </cell>
          <cell r="Z389">
            <v>0.3719016294926405</v>
          </cell>
          <cell r="AA389">
            <v>-5.5242835354744772E-2</v>
          </cell>
          <cell r="AB389" t="str">
            <v/>
          </cell>
          <cell r="AC389" t="e">
            <v>#N/A</v>
          </cell>
          <cell r="AD389">
            <v>302</v>
          </cell>
          <cell r="AE389" t="e">
            <v>#N/A</v>
          </cell>
          <cell r="AF389" t="str">
            <v/>
          </cell>
        </row>
        <row r="390">
          <cell r="Y390">
            <v>374</v>
          </cell>
          <cell r="Z390">
            <v>0.12964758835732937</v>
          </cell>
          <cell r="AA390">
            <v>-0.19067670310490439</v>
          </cell>
          <cell r="AB390" t="str">
            <v/>
          </cell>
          <cell r="AC390" t="e">
            <v>#N/A</v>
          </cell>
          <cell r="AD390">
            <v>303</v>
          </cell>
          <cell r="AE390" t="e">
            <v>#N/A</v>
          </cell>
          <cell r="AF390" t="str">
            <v/>
          </cell>
        </row>
        <row r="391">
          <cell r="Y391">
            <v>375</v>
          </cell>
          <cell r="Z391">
            <v>0.56899194233119488</v>
          </cell>
          <cell r="AA391">
            <v>2.9378966116688717E-2</v>
          </cell>
          <cell r="AB391" t="str">
            <v/>
          </cell>
          <cell r="AC391" t="e">
            <v>#N/A</v>
          </cell>
          <cell r="AD391">
            <v>304</v>
          </cell>
          <cell r="AE391" t="e">
            <v>#N/A</v>
          </cell>
          <cell r="AF391" t="str">
            <v/>
          </cell>
        </row>
        <row r="392">
          <cell r="Y392">
            <v>376</v>
          </cell>
          <cell r="Z392">
            <v>0.82020719908177853</v>
          </cell>
          <cell r="AA392">
            <v>0.15485845992927608</v>
          </cell>
          <cell r="AB392" t="str">
            <v/>
          </cell>
          <cell r="AC392" t="e">
            <v>#N/A</v>
          </cell>
          <cell r="AD392">
            <v>305</v>
          </cell>
          <cell r="AE392" t="e">
            <v>#N/A</v>
          </cell>
          <cell r="AF392" t="str">
            <v/>
          </cell>
        </row>
        <row r="393">
          <cell r="Y393">
            <v>377</v>
          </cell>
          <cell r="Z393">
            <v>0.65351137332618237</v>
          </cell>
          <cell r="AA393">
            <v>6.6736412540176926E-2</v>
          </cell>
          <cell r="AB393" t="str">
            <v/>
          </cell>
          <cell r="AC393" t="e">
            <v>#N/A</v>
          </cell>
          <cell r="AD393">
            <v>306</v>
          </cell>
          <cell r="AE393" t="e">
            <v>#N/A</v>
          </cell>
          <cell r="AF393" t="str">
            <v/>
          </cell>
        </row>
        <row r="394">
          <cell r="Y394">
            <v>378</v>
          </cell>
          <cell r="Z394">
            <v>0.22890967689454556</v>
          </cell>
          <cell r="AA394">
            <v>-0.1254956663228568</v>
          </cell>
          <cell r="AB394" t="str">
            <v/>
          </cell>
          <cell r="AC394" t="e">
            <v>#N/A</v>
          </cell>
          <cell r="AD394">
            <v>307</v>
          </cell>
          <cell r="AE394" t="e">
            <v>#N/A</v>
          </cell>
          <cell r="AF394" t="str">
            <v/>
          </cell>
        </row>
        <row r="395">
          <cell r="Y395">
            <v>379</v>
          </cell>
          <cell r="Z395">
            <v>0.74477125518023968</v>
          </cell>
          <cell r="AA395">
            <v>0.11124351377091866</v>
          </cell>
          <cell r="AB395" t="str">
            <v/>
          </cell>
          <cell r="AC395" t="e">
            <v>#N/A</v>
          </cell>
          <cell r="AD395">
            <v>308</v>
          </cell>
          <cell r="AE395" t="e">
            <v>#N/A</v>
          </cell>
          <cell r="AF395" t="str">
            <v/>
          </cell>
        </row>
        <row r="396">
          <cell r="Y396">
            <v>380</v>
          </cell>
          <cell r="Z396">
            <v>0.2338287141174078</v>
          </cell>
          <cell r="AA396">
            <v>-0.12276640409822454</v>
          </cell>
          <cell r="AB396" t="str">
            <v/>
          </cell>
          <cell r="AC396" t="e">
            <v>#N/A</v>
          </cell>
          <cell r="AD396">
            <v>309</v>
          </cell>
          <cell r="AE396" t="e">
            <v>#N/A</v>
          </cell>
          <cell r="AF396" t="str">
            <v/>
          </cell>
        </row>
        <row r="397">
          <cell r="Y397">
            <v>381</v>
          </cell>
          <cell r="Z397">
            <v>0.18094736151397228</v>
          </cell>
          <cell r="AA397">
            <v>-0.15411568044554544</v>
          </cell>
          <cell r="AB397" t="str">
            <v/>
          </cell>
          <cell r="AC397" t="e">
            <v>#N/A</v>
          </cell>
          <cell r="AD397">
            <v>310</v>
          </cell>
          <cell r="AE397" t="e">
            <v>#N/A</v>
          </cell>
          <cell r="AF397" t="str">
            <v/>
          </cell>
        </row>
        <row r="398">
          <cell r="Y398">
            <v>382</v>
          </cell>
          <cell r="Z398">
            <v>0.96745542250573635</v>
          </cell>
          <cell r="AA398">
            <v>0.31180196215791128</v>
          </cell>
          <cell r="AB398" t="str">
            <v/>
          </cell>
          <cell r="AC398" t="e">
            <v>#N/A</v>
          </cell>
          <cell r="AD398">
            <v>311</v>
          </cell>
          <cell r="AE398" t="e">
            <v>#N/A</v>
          </cell>
          <cell r="AF398" t="str">
            <v/>
          </cell>
        </row>
        <row r="399">
          <cell r="Y399">
            <v>383</v>
          </cell>
          <cell r="Z399">
            <v>0.8019778560847044</v>
          </cell>
          <cell r="AA399">
            <v>0.14345768533714193</v>
          </cell>
          <cell r="AB399" t="str">
            <v/>
          </cell>
          <cell r="AC399" t="e">
            <v>#N/A</v>
          </cell>
          <cell r="AD399">
            <v>312</v>
          </cell>
          <cell r="AE399" t="e">
            <v>#N/A</v>
          </cell>
          <cell r="AF399" t="str">
            <v/>
          </cell>
        </row>
        <row r="400">
          <cell r="Y400">
            <v>384</v>
          </cell>
          <cell r="Z400">
            <v>0.98655917309224606</v>
          </cell>
          <cell r="AA400">
            <v>0.3741044911777453</v>
          </cell>
          <cell r="AB400" t="str">
            <v/>
          </cell>
          <cell r="AC400" t="e">
            <v>#N/A</v>
          </cell>
          <cell r="AD400">
            <v>313</v>
          </cell>
          <cell r="AE400" t="e">
            <v>#N/A</v>
          </cell>
          <cell r="AF400" t="str">
            <v/>
          </cell>
        </row>
        <row r="401">
          <cell r="Y401">
            <v>385</v>
          </cell>
          <cell r="Z401">
            <v>0.556191710755229</v>
          </cell>
          <cell r="AA401">
            <v>2.3887562242195865E-2</v>
          </cell>
          <cell r="AB401" t="str">
            <v/>
          </cell>
          <cell r="AC401" t="e">
            <v>#N/A</v>
          </cell>
          <cell r="AD401">
            <v>314</v>
          </cell>
          <cell r="AE401" t="e">
            <v>#N/A</v>
          </cell>
          <cell r="AF401" t="str">
            <v/>
          </cell>
        </row>
        <row r="402">
          <cell r="Y402">
            <v>386</v>
          </cell>
          <cell r="Z402">
            <v>0.33804452978074551</v>
          </cell>
          <cell r="AA402">
            <v>-7.0622081551198729E-2</v>
          </cell>
          <cell r="AB402" t="str">
            <v/>
          </cell>
          <cell r="AC402" t="e">
            <v>#N/A</v>
          </cell>
          <cell r="AD402">
            <v>315</v>
          </cell>
          <cell r="AE402" t="e">
            <v>#N/A</v>
          </cell>
          <cell r="AF402" t="str">
            <v/>
          </cell>
        </row>
        <row r="403">
          <cell r="Y403">
            <v>387</v>
          </cell>
          <cell r="Z403">
            <v>0.69238634221255779</v>
          </cell>
          <cell r="AA403">
            <v>8.4959283726819906E-2</v>
          </cell>
          <cell r="AB403" t="str">
            <v/>
          </cell>
          <cell r="AC403" t="e">
            <v>#N/A</v>
          </cell>
          <cell r="AD403">
            <v>316</v>
          </cell>
          <cell r="AE403" t="e">
            <v>#N/A</v>
          </cell>
          <cell r="AF403" t="str">
            <v/>
          </cell>
        </row>
        <row r="404">
          <cell r="Y404">
            <v>388</v>
          </cell>
          <cell r="Z404">
            <v>0.42314802668988705</v>
          </cell>
          <cell r="AA404">
            <v>-3.2766043683843678E-2</v>
          </cell>
          <cell r="AB404" t="str">
            <v/>
          </cell>
          <cell r="AC404" t="e">
            <v>#N/A</v>
          </cell>
          <cell r="AD404">
            <v>317</v>
          </cell>
          <cell r="AE404" t="e">
            <v>#N/A</v>
          </cell>
          <cell r="AF404" t="str">
            <v/>
          </cell>
        </row>
        <row r="405">
          <cell r="Y405">
            <v>389</v>
          </cell>
          <cell r="Z405">
            <v>0.76782321743667126</v>
          </cell>
          <cell r="AA405">
            <v>0.12367935624086018</v>
          </cell>
          <cell r="AB405" t="str">
            <v/>
          </cell>
          <cell r="AC405" t="e">
            <v>#N/A</v>
          </cell>
          <cell r="AD405">
            <v>318</v>
          </cell>
          <cell r="AE405" t="e">
            <v>#N/A</v>
          </cell>
          <cell r="AF405" t="str">
            <v/>
          </cell>
        </row>
        <row r="406">
          <cell r="Y406">
            <v>390</v>
          </cell>
          <cell r="Z406">
            <v>0.15606853924691677</v>
          </cell>
          <cell r="AA406">
            <v>-0.17084758693205768</v>
          </cell>
          <cell r="AB406" t="str">
            <v/>
          </cell>
          <cell r="AC406" t="e">
            <v>#N/A</v>
          </cell>
          <cell r="AD406">
            <v>319</v>
          </cell>
          <cell r="AE406" t="e">
            <v>#N/A</v>
          </cell>
          <cell r="AF406" t="str">
            <v/>
          </cell>
        </row>
        <row r="407">
          <cell r="Y407">
            <v>391</v>
          </cell>
          <cell r="Z407">
            <v>0.42136017791926861</v>
          </cell>
          <cell r="AA407">
            <v>-3.3538262038070837E-2</v>
          </cell>
          <cell r="AB407" t="str">
            <v/>
          </cell>
          <cell r="AC407" t="e">
            <v>#N/A</v>
          </cell>
          <cell r="AD407">
            <v>320</v>
          </cell>
          <cell r="AE407" t="e">
            <v>#N/A</v>
          </cell>
          <cell r="AF407" t="str">
            <v/>
          </cell>
        </row>
        <row r="408">
          <cell r="Y408">
            <v>392</v>
          </cell>
          <cell r="Z408">
            <v>0.25687499903142452</v>
          </cell>
          <cell r="AA408">
            <v>-0.11037879235769008</v>
          </cell>
          <cell r="AB408" t="str">
            <v/>
          </cell>
          <cell r="AC408" t="e">
            <v>#N/A</v>
          </cell>
          <cell r="AD408">
            <v>321</v>
          </cell>
          <cell r="AE408" t="e">
            <v>#N/A</v>
          </cell>
          <cell r="AF408" t="str">
            <v/>
          </cell>
        </row>
        <row r="409">
          <cell r="Y409">
            <v>393</v>
          </cell>
          <cell r="Z409">
            <v>0.32968923263251781</v>
          </cell>
          <cell r="AA409">
            <v>-7.4503973037092247E-2</v>
          </cell>
          <cell r="AB409" t="str">
            <v/>
          </cell>
          <cell r="AC409" t="e">
            <v>#N/A</v>
          </cell>
          <cell r="AD409">
            <v>322</v>
          </cell>
          <cell r="AE409" t="e">
            <v>#N/A</v>
          </cell>
          <cell r="AF409" t="str">
            <v/>
          </cell>
        </row>
        <row r="410">
          <cell r="Y410">
            <v>394</v>
          </cell>
          <cell r="Z410">
            <v>0.61228520236909389</v>
          </cell>
          <cell r="AA410">
            <v>4.8221129745320793E-2</v>
          </cell>
          <cell r="AB410" t="str">
            <v/>
          </cell>
          <cell r="AC410" t="e">
            <v>#N/A</v>
          </cell>
          <cell r="AD410">
            <v>323</v>
          </cell>
          <cell r="AE410" t="e">
            <v>#N/A</v>
          </cell>
          <cell r="AF410" t="str">
            <v/>
          </cell>
        </row>
        <row r="411">
          <cell r="Y411">
            <v>395</v>
          </cell>
          <cell r="Z411">
            <v>0.9833985697478056</v>
          </cell>
          <cell r="AA411">
            <v>0.35997176311348095</v>
          </cell>
          <cell r="AB411" t="str">
            <v/>
          </cell>
          <cell r="AC411" t="e">
            <v>#N/A</v>
          </cell>
          <cell r="AD411">
            <v>324</v>
          </cell>
          <cell r="AE411" t="e">
            <v>#N/A</v>
          </cell>
          <cell r="AF411" t="str">
            <v/>
          </cell>
        </row>
        <row r="412">
          <cell r="Y412">
            <v>396</v>
          </cell>
          <cell r="Z412">
            <v>0.48165946267545223</v>
          </cell>
          <cell r="AA412">
            <v>-7.7735793173126146E-3</v>
          </cell>
          <cell r="AB412" t="str">
            <v/>
          </cell>
          <cell r="AC412" t="e">
            <v>#N/A</v>
          </cell>
          <cell r="AD412">
            <v>325</v>
          </cell>
          <cell r="AE412" t="e">
            <v>#N/A</v>
          </cell>
          <cell r="AF412" t="str">
            <v/>
          </cell>
        </row>
        <row r="413">
          <cell r="Y413">
            <v>397</v>
          </cell>
          <cell r="Z413">
            <v>0.88832753710448742</v>
          </cell>
          <cell r="AA413">
            <v>0.20582578643158073</v>
          </cell>
          <cell r="AB413" t="str">
            <v/>
          </cell>
          <cell r="AC413" t="e">
            <v>#N/A</v>
          </cell>
          <cell r="AD413">
            <v>326</v>
          </cell>
          <cell r="AE413" t="e">
            <v>#N/A</v>
          </cell>
          <cell r="AF413" t="str">
            <v/>
          </cell>
        </row>
        <row r="414">
          <cell r="Y414">
            <v>398</v>
          </cell>
          <cell r="Z414">
            <v>0.91930285654962063</v>
          </cell>
          <cell r="AA414">
            <v>0.23671039879274888</v>
          </cell>
          <cell r="AB414" t="str">
            <v/>
          </cell>
          <cell r="AC414" t="e">
            <v>#N/A</v>
          </cell>
          <cell r="AD414">
            <v>327</v>
          </cell>
          <cell r="AE414" t="e">
            <v>#N/A</v>
          </cell>
          <cell r="AF414" t="str">
            <v/>
          </cell>
        </row>
        <row r="415">
          <cell r="Y415">
            <v>399</v>
          </cell>
          <cell r="Z415">
            <v>0.5164333414286375</v>
          </cell>
          <cell r="AA415">
            <v>6.9647360934892502E-3</v>
          </cell>
          <cell r="AB415" t="str">
            <v/>
          </cell>
          <cell r="AC415" t="e">
            <v>#N/A</v>
          </cell>
          <cell r="AD415">
            <v>328</v>
          </cell>
          <cell r="AE415" t="e">
            <v>#N/A</v>
          </cell>
          <cell r="AF415" t="str">
            <v/>
          </cell>
        </row>
        <row r="416">
          <cell r="Y416">
            <v>400</v>
          </cell>
          <cell r="Z416">
            <v>0.12791981361806393</v>
          </cell>
          <cell r="AA416">
            <v>-0.19206628284649047</v>
          </cell>
          <cell r="AB416" t="str">
            <v/>
          </cell>
          <cell r="AC416" t="e">
            <v>#N/A</v>
          </cell>
          <cell r="AD416">
            <v>329</v>
          </cell>
          <cell r="AE416" t="e">
            <v>#N/A</v>
          </cell>
          <cell r="AF416" t="str">
            <v/>
          </cell>
        </row>
        <row r="417">
          <cell r="Y417">
            <v>401</v>
          </cell>
          <cell r="Z417">
            <v>0.79913821630179882</v>
          </cell>
          <cell r="AA417">
            <v>0.14174031155888778</v>
          </cell>
          <cell r="AB417" t="str">
            <v/>
          </cell>
          <cell r="AC417" t="e">
            <v>#N/A</v>
          </cell>
          <cell r="AD417">
            <v>330</v>
          </cell>
          <cell r="AE417" t="e">
            <v>#N/A</v>
          </cell>
          <cell r="AF417" t="str">
            <v/>
          </cell>
        </row>
        <row r="418">
          <cell r="Y418">
            <v>402</v>
          </cell>
          <cell r="Z418">
            <v>0.55181480012834072</v>
          </cell>
          <cell r="AA418">
            <v>2.2015891761615586E-2</v>
          </cell>
          <cell r="AB418" t="str">
            <v/>
          </cell>
          <cell r="AC418" t="e">
            <v>#N/A</v>
          </cell>
          <cell r="AD418">
            <v>331</v>
          </cell>
          <cell r="AE418" t="e">
            <v>#N/A</v>
          </cell>
          <cell r="AF418" t="str">
            <v/>
          </cell>
        </row>
        <row r="419">
          <cell r="Y419">
            <v>403</v>
          </cell>
          <cell r="Z419">
            <v>0.17487580887973309</v>
          </cell>
          <cell r="AA419">
            <v>-0.15805587727839082</v>
          </cell>
          <cell r="AB419" t="str">
            <v/>
          </cell>
          <cell r="AC419" t="e">
            <v>#N/A</v>
          </cell>
          <cell r="AD419">
            <v>332</v>
          </cell>
          <cell r="AE419" t="e">
            <v>#N/A</v>
          </cell>
          <cell r="AF419" t="str">
            <v/>
          </cell>
        </row>
        <row r="420">
          <cell r="Y420">
            <v>404</v>
          </cell>
          <cell r="Z420">
            <v>0.36218284629285336</v>
          </cell>
          <cell r="AA420">
            <v>-5.9605383068423223E-2</v>
          </cell>
          <cell r="AB420" t="str">
            <v/>
          </cell>
          <cell r="AC420" t="e">
            <v>#N/A</v>
          </cell>
          <cell r="AD420">
            <v>333</v>
          </cell>
          <cell r="AE420" t="e">
            <v>#N/A</v>
          </cell>
          <cell r="AF420" t="str">
            <v/>
          </cell>
        </row>
        <row r="421">
          <cell r="Y421">
            <v>405</v>
          </cell>
          <cell r="Z421">
            <v>0.17130553536117077</v>
          </cell>
          <cell r="AA421">
            <v>-0.1604134485959107</v>
          </cell>
          <cell r="AB421" t="str">
            <v/>
          </cell>
          <cell r="AC421" t="e">
            <v>#N/A</v>
          </cell>
          <cell r="AD421">
            <v>334</v>
          </cell>
          <cell r="AE421" t="e">
            <v>#N/A</v>
          </cell>
          <cell r="AF421" t="str">
            <v/>
          </cell>
        </row>
        <row r="422">
          <cell r="Y422">
            <v>406</v>
          </cell>
          <cell r="Z422">
            <v>0.58058366738259792</v>
          </cell>
          <cell r="AA422">
            <v>3.4378654913434878E-2</v>
          </cell>
          <cell r="AB422" t="str">
            <v/>
          </cell>
          <cell r="AC422" t="e">
            <v>#N/A</v>
          </cell>
          <cell r="AD422">
            <v>335</v>
          </cell>
          <cell r="AE422" t="e">
            <v>#N/A</v>
          </cell>
          <cell r="AF422" t="str">
            <v/>
          </cell>
        </row>
        <row r="423">
          <cell r="Y423">
            <v>407</v>
          </cell>
          <cell r="Z423">
            <v>0.22141365520656109</v>
          </cell>
          <cell r="AA423">
            <v>-0.12971894411010126</v>
          </cell>
          <cell r="AB423" t="str">
            <v/>
          </cell>
          <cell r="AC423" t="e">
            <v>#N/A</v>
          </cell>
          <cell r="AD423">
            <v>336</v>
          </cell>
          <cell r="AE423" t="e">
            <v>#N/A</v>
          </cell>
          <cell r="AF423" t="str">
            <v/>
          </cell>
        </row>
        <row r="424">
          <cell r="Y424">
            <v>408</v>
          </cell>
          <cell r="Z424">
            <v>0.43044312857091427</v>
          </cell>
          <cell r="AA424">
            <v>-2.9621998498214976E-2</v>
          </cell>
          <cell r="AB424" t="str">
            <v/>
          </cell>
          <cell r="AC424" t="e">
            <v>#N/A</v>
          </cell>
          <cell r="AD424">
            <v>337</v>
          </cell>
          <cell r="AE424" t="e">
            <v>#N/A</v>
          </cell>
          <cell r="AF424" t="str">
            <v/>
          </cell>
        </row>
        <row r="425">
          <cell r="Y425">
            <v>409</v>
          </cell>
          <cell r="Z425">
            <v>0.88146981410682201</v>
          </cell>
          <cell r="AA425">
            <v>0.19985638911502157</v>
          </cell>
          <cell r="AB425" t="str">
            <v/>
          </cell>
          <cell r="AC425" t="e">
            <v>#N/A</v>
          </cell>
          <cell r="AD425">
            <v>338</v>
          </cell>
          <cell r="AE425" t="e">
            <v>#N/A</v>
          </cell>
          <cell r="AF425" t="str">
            <v/>
          </cell>
        </row>
        <row r="426">
          <cell r="Y426">
            <v>410</v>
          </cell>
          <cell r="Z426">
            <v>0.60017580352723598</v>
          </cell>
          <cell r="AA426">
            <v>4.2900397634371382E-2</v>
          </cell>
          <cell r="AB426" t="str">
            <v/>
          </cell>
          <cell r="AC426" t="e">
            <v>#N/A</v>
          </cell>
          <cell r="AD426">
            <v>339</v>
          </cell>
          <cell r="AE426" t="e">
            <v>#N/A</v>
          </cell>
          <cell r="AF426" t="str">
            <v/>
          </cell>
        </row>
        <row r="427">
          <cell r="Y427">
            <v>411</v>
          </cell>
          <cell r="Z427">
            <v>0.83755780570209026</v>
          </cell>
          <cell r="AA427">
            <v>0.166405831524359</v>
          </cell>
          <cell r="AB427" t="str">
            <v/>
          </cell>
          <cell r="AC427" t="e">
            <v>#N/A</v>
          </cell>
          <cell r="AD427">
            <v>340</v>
          </cell>
          <cell r="AE427" t="e">
            <v>#N/A</v>
          </cell>
          <cell r="AF427" t="str">
            <v/>
          </cell>
        </row>
        <row r="428">
          <cell r="Y428">
            <v>412</v>
          </cell>
          <cell r="Z428">
            <v>0.94527237676084042</v>
          </cell>
          <cell r="AA428">
            <v>0.27055863266892338</v>
          </cell>
          <cell r="AB428" t="str">
            <v/>
          </cell>
          <cell r="AC428" t="e">
            <v>#N/A</v>
          </cell>
          <cell r="AD428">
            <v>341</v>
          </cell>
          <cell r="AE428" t="e">
            <v>#N/A</v>
          </cell>
          <cell r="AF428" t="str">
            <v/>
          </cell>
        </row>
        <row r="429">
          <cell r="Y429">
            <v>413</v>
          </cell>
          <cell r="Z429">
            <v>5.6149302050471306E-2</v>
          </cell>
          <cell r="AA429">
            <v>-0.268411823531293</v>
          </cell>
          <cell r="AB429" t="str">
            <v/>
          </cell>
          <cell r="AC429" t="e">
            <v>#N/A</v>
          </cell>
          <cell r="AD429">
            <v>342</v>
          </cell>
          <cell r="AE429" t="e">
            <v>#N/A</v>
          </cell>
          <cell r="AF429" t="str">
            <v/>
          </cell>
        </row>
        <row r="430">
          <cell r="Y430">
            <v>414</v>
          </cell>
          <cell r="Z430">
            <v>0.75044563971459866</v>
          </cell>
          <cell r="AA430">
            <v>0.11424673215195508</v>
          </cell>
          <cell r="AB430" t="str">
            <v/>
          </cell>
          <cell r="AC430" t="e">
            <v>#N/A</v>
          </cell>
          <cell r="AD430">
            <v>343</v>
          </cell>
          <cell r="AE430" t="e">
            <v>#N/A</v>
          </cell>
          <cell r="AF430" t="str">
            <v/>
          </cell>
        </row>
        <row r="431">
          <cell r="Y431">
            <v>415</v>
          </cell>
          <cell r="Z431">
            <v>0.15293930284678936</v>
          </cell>
          <cell r="AA431">
            <v>-0.1730720854510753</v>
          </cell>
          <cell r="AB431" t="str">
            <v/>
          </cell>
          <cell r="AC431" t="e">
            <v>#N/A</v>
          </cell>
          <cell r="AD431">
            <v>344</v>
          </cell>
          <cell r="AE431" t="e">
            <v>#N/A</v>
          </cell>
          <cell r="AF431" t="str">
            <v/>
          </cell>
        </row>
        <row r="432">
          <cell r="Y432">
            <v>416</v>
          </cell>
          <cell r="Z432">
            <v>1.6678830608725548E-2</v>
          </cell>
          <cell r="AA432">
            <v>-0.35965571038398531</v>
          </cell>
          <cell r="AB432" t="str">
            <v/>
          </cell>
          <cell r="AC432" t="e">
            <v>#N/A</v>
          </cell>
          <cell r="AD432">
            <v>345</v>
          </cell>
          <cell r="AE432" t="e">
            <v>#N/A</v>
          </cell>
          <cell r="AF432" t="str">
            <v/>
          </cell>
        </row>
        <row r="433">
          <cell r="Y433">
            <v>417</v>
          </cell>
          <cell r="Z433">
            <v>0.52291205339133739</v>
          </cell>
          <cell r="AA433">
            <v>9.7131228932154159E-3</v>
          </cell>
          <cell r="AB433" t="str">
            <v/>
          </cell>
          <cell r="AC433" t="e">
            <v>#N/A</v>
          </cell>
          <cell r="AD433">
            <v>346</v>
          </cell>
          <cell r="AE433" t="e">
            <v>#N/A</v>
          </cell>
          <cell r="AF433" t="str">
            <v/>
          </cell>
        </row>
        <row r="434">
          <cell r="Y434">
            <v>418</v>
          </cell>
          <cell r="Z434">
            <v>0.33177006803452969</v>
          </cell>
          <cell r="AA434">
            <v>-7.3533611211770322E-2</v>
          </cell>
          <cell r="AB434" t="str">
            <v/>
          </cell>
          <cell r="AC434" t="e">
            <v>#N/A</v>
          </cell>
          <cell r="AD434">
            <v>347</v>
          </cell>
          <cell r="AE434" t="e">
            <v>#N/A</v>
          </cell>
          <cell r="AF434" t="str">
            <v/>
          </cell>
        </row>
        <row r="435">
          <cell r="Y435">
            <v>419</v>
          </cell>
          <cell r="Z435">
            <v>0.99335618130862713</v>
          </cell>
          <cell r="AA435">
            <v>0.41851457519741075</v>
          </cell>
          <cell r="AB435" t="str">
            <v/>
          </cell>
          <cell r="AC435" t="e">
            <v>#N/A</v>
          </cell>
          <cell r="AD435">
            <v>348</v>
          </cell>
          <cell r="AE435" t="e">
            <v>#N/A</v>
          </cell>
          <cell r="AF435" t="str">
            <v/>
          </cell>
        </row>
        <row r="436">
          <cell r="Y436">
            <v>420</v>
          </cell>
          <cell r="Z436">
            <v>0.72671662829816341</v>
          </cell>
          <cell r="AA436">
            <v>0.1019108526872998</v>
          </cell>
          <cell r="AB436" t="str">
            <v/>
          </cell>
          <cell r="AC436" t="e">
            <v>#N/A</v>
          </cell>
          <cell r="AD436">
            <v>349</v>
          </cell>
          <cell r="AE436" t="e">
            <v>#N/A</v>
          </cell>
          <cell r="AF436" t="str">
            <v/>
          </cell>
        </row>
        <row r="437">
          <cell r="Y437">
            <v>421</v>
          </cell>
          <cell r="Z437">
            <v>0.73029780201613903</v>
          </cell>
          <cell r="AA437">
            <v>0.10373658416111502</v>
          </cell>
          <cell r="AB437" t="str">
            <v/>
          </cell>
          <cell r="AC437" t="e">
            <v>#N/A</v>
          </cell>
          <cell r="AD437">
            <v>350</v>
          </cell>
          <cell r="AE437" t="e">
            <v>#N/A</v>
          </cell>
          <cell r="AF437" t="str">
            <v/>
          </cell>
        </row>
        <row r="438">
          <cell r="Y438">
            <v>422</v>
          </cell>
          <cell r="Z438">
            <v>0.51403281651437283</v>
          </cell>
          <cell r="AA438">
            <v>5.9468960311279588E-3</v>
          </cell>
          <cell r="AB438" t="str">
            <v/>
          </cell>
          <cell r="AC438" t="e">
            <v>#N/A</v>
          </cell>
          <cell r="AD438">
            <v>351</v>
          </cell>
          <cell r="AE438" t="e">
            <v>#N/A</v>
          </cell>
          <cell r="AF438" t="str">
            <v/>
          </cell>
        </row>
        <row r="439">
          <cell r="Y439">
            <v>423</v>
          </cell>
          <cell r="Z439">
            <v>0.84757034294307232</v>
          </cell>
          <cell r="AA439">
            <v>0.17343722551661547</v>
          </cell>
          <cell r="AB439" t="str">
            <v/>
          </cell>
          <cell r="AC439" t="e">
            <v>#N/A</v>
          </cell>
          <cell r="AD439">
            <v>352</v>
          </cell>
          <cell r="AE439" t="e">
            <v>#N/A</v>
          </cell>
          <cell r="AF439" t="str">
            <v/>
          </cell>
        </row>
        <row r="440">
          <cell r="Y440">
            <v>424</v>
          </cell>
          <cell r="Z440">
            <v>0.44784518145024776</v>
          </cell>
          <cell r="AA440">
            <v>-2.2161192062877748E-2</v>
          </cell>
          <cell r="AB440" t="str">
            <v/>
          </cell>
          <cell r="AC440" t="e">
            <v>#N/A</v>
          </cell>
          <cell r="AD440">
            <v>353</v>
          </cell>
          <cell r="AE440" t="e">
            <v>#N/A</v>
          </cell>
          <cell r="AF440" t="str">
            <v/>
          </cell>
        </row>
        <row r="441">
          <cell r="Y441">
            <v>425</v>
          </cell>
          <cell r="Z441">
            <v>0.63648983649909496</v>
          </cell>
          <cell r="AA441">
            <v>5.9007298750783144E-2</v>
          </cell>
          <cell r="AB441" t="str">
            <v/>
          </cell>
          <cell r="AC441" t="e">
            <v>#N/A</v>
          </cell>
          <cell r="AD441">
            <v>354</v>
          </cell>
          <cell r="AE441" t="e">
            <v>#N/A</v>
          </cell>
          <cell r="AF441" t="str">
            <v/>
          </cell>
        </row>
        <row r="442">
          <cell r="Y442">
            <v>426</v>
          </cell>
          <cell r="Z442">
            <v>0.63935882411897182</v>
          </cell>
          <cell r="AA442">
            <v>6.0300992709741166E-2</v>
          </cell>
          <cell r="AB442" t="str">
            <v/>
          </cell>
          <cell r="AC442" t="e">
            <v>#N/A</v>
          </cell>
          <cell r="AD442">
            <v>355</v>
          </cell>
          <cell r="AE442" t="e">
            <v>#N/A</v>
          </cell>
          <cell r="AF442" t="str">
            <v/>
          </cell>
        </row>
        <row r="443">
          <cell r="Y443">
            <v>427</v>
          </cell>
          <cell r="Z443">
            <v>0.55285443179309368</v>
          </cell>
          <cell r="AA443">
            <v>2.2460209901496171E-2</v>
          </cell>
          <cell r="AB443" t="str">
            <v/>
          </cell>
          <cell r="AC443" t="e">
            <v>#N/A</v>
          </cell>
          <cell r="AD443">
            <v>356</v>
          </cell>
          <cell r="AE443" t="e">
            <v>#N/A</v>
          </cell>
          <cell r="AF443" t="str">
            <v/>
          </cell>
        </row>
        <row r="444">
          <cell r="Y444">
            <v>428</v>
          </cell>
          <cell r="Z444">
            <v>0.50503855012357235</v>
          </cell>
          <cell r="AA444">
            <v>2.1348779005017568E-3</v>
          </cell>
          <cell r="AB444" t="str">
            <v/>
          </cell>
          <cell r="AC444" t="e">
            <v>#N/A</v>
          </cell>
          <cell r="AD444">
            <v>357</v>
          </cell>
          <cell r="AE444" t="e">
            <v>#N/A</v>
          </cell>
          <cell r="AF444" t="str">
            <v/>
          </cell>
        </row>
        <row r="445">
          <cell r="Y445">
            <v>429</v>
          </cell>
          <cell r="Z445">
            <v>6.6736875101923943E-2</v>
          </cell>
          <cell r="AA445">
            <v>-0.25363809510901414</v>
          </cell>
          <cell r="AB445" t="str">
            <v/>
          </cell>
          <cell r="AC445" t="e">
            <v>#N/A</v>
          </cell>
          <cell r="AD445">
            <v>358</v>
          </cell>
          <cell r="AE445" t="e">
            <v>#N/A</v>
          </cell>
          <cell r="AF445" t="str">
            <v/>
          </cell>
        </row>
        <row r="446">
          <cell r="Y446">
            <v>430</v>
          </cell>
          <cell r="Z446">
            <v>0.61859861575067043</v>
          </cell>
          <cell r="AA446">
            <v>5.1013901568045916E-2</v>
          </cell>
          <cell r="AB446" t="str">
            <v/>
          </cell>
          <cell r="AC446" t="e">
            <v>#N/A</v>
          </cell>
          <cell r="AD446">
            <v>359</v>
          </cell>
          <cell r="AE446" t="e">
            <v>#N/A</v>
          </cell>
          <cell r="AF446" t="str">
            <v/>
          </cell>
        </row>
        <row r="447">
          <cell r="Y447">
            <v>431</v>
          </cell>
          <cell r="Z447">
            <v>0.19928870908915997</v>
          </cell>
          <cell r="AA447">
            <v>-0.14268986519589308</v>
          </cell>
          <cell r="AB447" t="str">
            <v/>
          </cell>
          <cell r="AC447" t="e">
            <v>#N/A</v>
          </cell>
          <cell r="AD447">
            <v>360</v>
          </cell>
          <cell r="AE447" t="e">
            <v>#N/A</v>
          </cell>
          <cell r="AF447" t="str">
            <v/>
          </cell>
        </row>
        <row r="448">
          <cell r="Y448">
            <v>432</v>
          </cell>
          <cell r="Z448">
            <v>0.68164481781423092</v>
          </cell>
          <cell r="AA448">
            <v>7.9833817065523616E-2</v>
          </cell>
          <cell r="AB448" t="str">
            <v/>
          </cell>
          <cell r="AC448" t="e">
            <v>#N/A</v>
          </cell>
          <cell r="AD448">
            <v>361</v>
          </cell>
          <cell r="AE448" t="e">
            <v>#N/A</v>
          </cell>
          <cell r="AF448" t="str">
            <v/>
          </cell>
        </row>
        <row r="449">
          <cell r="Y449">
            <v>433</v>
          </cell>
          <cell r="Z449">
            <v>3.9524940773844719E-2</v>
          </cell>
          <cell r="AA449">
            <v>-0.29685632110848881</v>
          </cell>
          <cell r="AB449" t="str">
            <v/>
          </cell>
          <cell r="AC449" t="e">
            <v>#N/A</v>
          </cell>
          <cell r="AD449">
            <v>362</v>
          </cell>
          <cell r="AE449" t="e">
            <v>#N/A</v>
          </cell>
          <cell r="AF449" t="str">
            <v/>
          </cell>
        </row>
        <row r="450">
          <cell r="Y450">
            <v>434</v>
          </cell>
          <cell r="Z450">
            <v>0.9215626772493124</v>
          </cell>
          <cell r="AA450">
            <v>0.23929046232783518</v>
          </cell>
          <cell r="AB450" t="str">
            <v/>
          </cell>
          <cell r="AC450" t="e">
            <v>#N/A</v>
          </cell>
          <cell r="AD450">
            <v>363</v>
          </cell>
          <cell r="AE450" t="e">
            <v>#N/A</v>
          </cell>
          <cell r="AF450" t="str">
            <v/>
          </cell>
        </row>
        <row r="451">
          <cell r="Y451">
            <v>435</v>
          </cell>
          <cell r="Z451">
            <v>0.75280792824923992</v>
          </cell>
          <cell r="AA451">
            <v>0.11550765021337224</v>
          </cell>
          <cell r="AB451" t="str">
            <v/>
          </cell>
          <cell r="AC451" t="e">
            <v>#N/A</v>
          </cell>
          <cell r="AD451">
            <v>364</v>
          </cell>
          <cell r="AE451" t="e">
            <v>#N/A</v>
          </cell>
          <cell r="AF451" t="str">
            <v/>
          </cell>
        </row>
        <row r="452">
          <cell r="Y452">
            <v>436</v>
          </cell>
          <cell r="Z452">
            <v>6.8995466455817223E-2</v>
          </cell>
          <cell r="AA452">
            <v>-0.25072587316304012</v>
          </cell>
          <cell r="AB452" t="str">
            <v/>
          </cell>
          <cell r="AC452" t="e">
            <v>#N/A</v>
          </cell>
          <cell r="AD452">
            <v>365</v>
          </cell>
          <cell r="AE452" t="e">
            <v>#N/A</v>
          </cell>
          <cell r="AF452" t="str">
            <v/>
          </cell>
        </row>
        <row r="453">
          <cell r="Y453">
            <v>437</v>
          </cell>
          <cell r="Z453">
            <v>0.56149923615157604</v>
          </cell>
          <cell r="AA453">
            <v>2.6161143862732862E-2</v>
          </cell>
          <cell r="AB453" t="str">
            <v/>
          </cell>
          <cell r="AC453" t="e">
            <v>#N/A</v>
          </cell>
          <cell r="AD453">
            <v>366</v>
          </cell>
          <cell r="AE453" t="e">
            <v>#N/A</v>
          </cell>
          <cell r="AF453" t="str">
            <v/>
          </cell>
        </row>
        <row r="454">
          <cell r="Y454">
            <v>438</v>
          </cell>
          <cell r="Z454">
            <v>0.66100583039224148</v>
          </cell>
          <cell r="AA454">
            <v>7.0183262606242108E-2</v>
          </cell>
          <cell r="AB454" t="str">
            <v/>
          </cell>
          <cell r="AC454" t="e">
            <v>#N/A</v>
          </cell>
          <cell r="AD454">
            <v>367</v>
          </cell>
          <cell r="AE454" t="e">
            <v>#N/A</v>
          </cell>
          <cell r="AF454" t="str">
            <v/>
          </cell>
        </row>
        <row r="455">
          <cell r="Y455">
            <v>439</v>
          </cell>
          <cell r="Z455">
            <v>0.8969982098788023</v>
          </cell>
          <cell r="AA455">
            <v>0.21376167988277645</v>
          </cell>
          <cell r="AB455" t="str">
            <v/>
          </cell>
          <cell r="AC455" t="e">
            <v>#N/A</v>
          </cell>
          <cell r="AD455">
            <v>368</v>
          </cell>
          <cell r="AE455" t="e">
            <v>#N/A</v>
          </cell>
          <cell r="AF455" t="str">
            <v/>
          </cell>
        </row>
        <row r="456">
          <cell r="Y456">
            <v>440</v>
          </cell>
          <cell r="Z456">
            <v>0.75976475141942501</v>
          </cell>
          <cell r="AA456">
            <v>0.11925904584463516</v>
          </cell>
          <cell r="AB456" t="str">
            <v/>
          </cell>
          <cell r="AC456" t="e">
            <v>#N/A</v>
          </cell>
          <cell r="AD456">
            <v>369</v>
          </cell>
          <cell r="AE456" t="e">
            <v>#N/A</v>
          </cell>
          <cell r="AF456" t="str">
            <v/>
          </cell>
        </row>
        <row r="457">
          <cell r="Y457">
            <v>441</v>
          </cell>
          <cell r="Z457">
            <v>0.39113601855933666</v>
          </cell>
          <cell r="AA457">
            <v>-4.6713264508987606E-2</v>
          </cell>
          <cell r="AB457" t="str">
            <v/>
          </cell>
          <cell r="AC457" t="e">
            <v>#N/A</v>
          </cell>
          <cell r="AD457">
            <v>370</v>
          </cell>
          <cell r="AE457" t="e">
            <v>#N/A</v>
          </cell>
          <cell r="AF457" t="str">
            <v/>
          </cell>
        </row>
        <row r="458">
          <cell r="Y458">
            <v>442</v>
          </cell>
          <cell r="Z458">
            <v>0.27036160789430141</v>
          </cell>
          <cell r="AA458">
            <v>-0.10339950395189798</v>
          </cell>
          <cell r="AB458" t="str">
            <v/>
          </cell>
          <cell r="AC458" t="e">
            <v>#N/A</v>
          </cell>
          <cell r="AD458">
            <v>371</v>
          </cell>
          <cell r="AE458" t="e">
            <v>#N/A</v>
          </cell>
          <cell r="AF458" t="str">
            <v/>
          </cell>
        </row>
        <row r="459">
          <cell r="Y459">
            <v>443</v>
          </cell>
          <cell r="Z459">
            <v>0.59364391677081585</v>
          </cell>
          <cell r="AA459">
            <v>4.0048246256944905E-2</v>
          </cell>
          <cell r="AB459" t="str">
            <v/>
          </cell>
          <cell r="AC459" t="e">
            <v>#N/A</v>
          </cell>
          <cell r="AD459">
            <v>372</v>
          </cell>
          <cell r="AE459" t="e">
            <v>#N/A</v>
          </cell>
          <cell r="AF459" t="str">
            <v/>
          </cell>
        </row>
        <row r="460">
          <cell r="Y460">
            <v>444</v>
          </cell>
          <cell r="Z460">
            <v>0.88507907651364803</v>
          </cell>
          <cell r="AA460">
            <v>0.20296655851303352</v>
          </cell>
          <cell r="AB460" t="str">
            <v/>
          </cell>
          <cell r="AC460" t="e">
            <v>#N/A</v>
          </cell>
          <cell r="AD460">
            <v>373</v>
          </cell>
          <cell r="AE460" t="e">
            <v>#N/A</v>
          </cell>
          <cell r="AF460" t="str">
            <v/>
          </cell>
        </row>
        <row r="461">
          <cell r="Y461">
            <v>445</v>
          </cell>
          <cell r="Z461">
            <v>0.27116447500884533</v>
          </cell>
          <cell r="AA461">
            <v>-0.10298964483908195</v>
          </cell>
          <cell r="AB461" t="str">
            <v/>
          </cell>
          <cell r="AC461" t="e">
            <v>#N/A</v>
          </cell>
          <cell r="AD461">
            <v>374</v>
          </cell>
          <cell r="AE461" t="e">
            <v>#N/A</v>
          </cell>
          <cell r="AF461" t="str">
            <v/>
          </cell>
        </row>
        <row r="462">
          <cell r="Y462">
            <v>446</v>
          </cell>
          <cell r="Z462">
            <v>0.27522662840783596</v>
          </cell>
          <cell r="AA462">
            <v>-0.10092512108443684</v>
          </cell>
          <cell r="AB462" t="str">
            <v/>
          </cell>
          <cell r="AC462" t="e">
            <v>#N/A</v>
          </cell>
          <cell r="AD462">
            <v>375</v>
          </cell>
          <cell r="AE462" t="e">
            <v>#N/A</v>
          </cell>
          <cell r="AF462" t="str">
            <v/>
          </cell>
        </row>
        <row r="463">
          <cell r="Y463">
            <v>447</v>
          </cell>
          <cell r="Z463">
            <v>0.86202452890574932</v>
          </cell>
          <cell r="AA463">
            <v>0.18415240560073945</v>
          </cell>
          <cell r="AB463" t="str">
            <v/>
          </cell>
          <cell r="AC463" t="e">
            <v>#N/A</v>
          </cell>
          <cell r="AD463">
            <v>376</v>
          </cell>
          <cell r="AE463" t="e">
            <v>#N/A</v>
          </cell>
          <cell r="AF463" t="str">
            <v/>
          </cell>
        </row>
        <row r="464">
          <cell r="Y464">
            <v>448</v>
          </cell>
          <cell r="Z464">
            <v>0.49537636898458004</v>
          </cell>
          <cell r="AA464">
            <v>-1.9590648081880546E-3</v>
          </cell>
          <cell r="AB464" t="str">
            <v/>
          </cell>
          <cell r="AC464" t="e">
            <v>#N/A</v>
          </cell>
          <cell r="AD464">
            <v>377</v>
          </cell>
          <cell r="AE464" t="e">
            <v>#N/A</v>
          </cell>
          <cell r="AF464" t="str">
            <v/>
          </cell>
        </row>
        <row r="465">
          <cell r="Y465">
            <v>449</v>
          </cell>
          <cell r="Z465">
            <v>0.12973859719932079</v>
          </cell>
          <cell r="AA465">
            <v>-0.19060386521897635</v>
          </cell>
          <cell r="AB465" t="str">
            <v/>
          </cell>
          <cell r="AC465" t="e">
            <v>#N/A</v>
          </cell>
          <cell r="AD465">
            <v>378</v>
          </cell>
          <cell r="AE465" t="e">
            <v>#N/A</v>
          </cell>
          <cell r="AF465" t="str">
            <v/>
          </cell>
        </row>
        <row r="466">
          <cell r="Y466">
            <v>450</v>
          </cell>
          <cell r="Z466">
            <v>0.65859497152268887</v>
          </cell>
          <cell r="AA466">
            <v>6.907134245924583E-2</v>
          </cell>
          <cell r="AB466" t="str">
            <v/>
          </cell>
          <cell r="AC466" t="e">
            <v>#N/A</v>
          </cell>
          <cell r="AD466">
            <v>379</v>
          </cell>
          <cell r="AE466" t="e">
            <v>#N/A</v>
          </cell>
          <cell r="AF466" t="str">
            <v/>
          </cell>
        </row>
        <row r="467">
          <cell r="Y467">
            <v>451</v>
          </cell>
          <cell r="Z467">
            <v>0.27696151845157146</v>
          </cell>
          <cell r="AA467">
            <v>-0.10004797670565832</v>
          </cell>
          <cell r="AB467" t="str">
            <v/>
          </cell>
          <cell r="AC467" t="e">
            <v>#N/A</v>
          </cell>
          <cell r="AD467">
            <v>380</v>
          </cell>
          <cell r="AE467" t="e">
            <v>#N/A</v>
          </cell>
          <cell r="AF467" t="str">
            <v/>
          </cell>
        </row>
        <row r="468">
          <cell r="Y468">
            <v>452</v>
          </cell>
          <cell r="Z468">
            <v>0.78501545451581478</v>
          </cell>
          <cell r="AA468">
            <v>0.13340667716919083</v>
          </cell>
          <cell r="AB468" t="str">
            <v/>
          </cell>
          <cell r="AC468" t="e">
            <v>#N/A</v>
          </cell>
          <cell r="AD468">
            <v>381</v>
          </cell>
          <cell r="AE468" t="e">
            <v>#N/A</v>
          </cell>
          <cell r="AF468" t="str">
            <v/>
          </cell>
        </row>
        <row r="469">
          <cell r="Y469">
            <v>453</v>
          </cell>
          <cell r="Z469">
            <v>0.7503590565174818</v>
          </cell>
          <cell r="AA469">
            <v>0.11420063765133036</v>
          </cell>
          <cell r="AB469" t="str">
            <v/>
          </cell>
          <cell r="AC469" t="e">
            <v>#N/A</v>
          </cell>
          <cell r="AD469">
            <v>382</v>
          </cell>
          <cell r="AE469" t="e">
            <v>#N/A</v>
          </cell>
          <cell r="AF469" t="str">
            <v/>
          </cell>
        </row>
        <row r="470">
          <cell r="Y470">
            <v>454</v>
          </cell>
          <cell r="Z470">
            <v>0.31984255276620388</v>
          </cell>
          <cell r="AA470">
            <v>-7.9129953758609595E-2</v>
          </cell>
          <cell r="AB470" t="str">
            <v/>
          </cell>
          <cell r="AC470" t="e">
            <v>#N/A</v>
          </cell>
          <cell r="AD470">
            <v>383</v>
          </cell>
          <cell r="AE470" t="e">
            <v>#N/A</v>
          </cell>
          <cell r="AF470" t="str">
            <v/>
          </cell>
        </row>
        <row r="471">
          <cell r="Y471">
            <v>455</v>
          </cell>
          <cell r="Z471">
            <v>0.68561522476375103</v>
          </cell>
          <cell r="AA471">
            <v>8.1719560966919333E-2</v>
          </cell>
          <cell r="AB471" t="str">
            <v/>
          </cell>
          <cell r="AC471" t="e">
            <v>#N/A</v>
          </cell>
          <cell r="AD471">
            <v>384</v>
          </cell>
          <cell r="AE471" t="e">
            <v>#N/A</v>
          </cell>
          <cell r="AF471" t="str">
            <v/>
          </cell>
        </row>
        <row r="472">
          <cell r="Y472">
            <v>456</v>
          </cell>
          <cell r="Z472">
            <v>0.16063543222844601</v>
          </cell>
          <cell r="AA472">
            <v>-0.16765319350170746</v>
          </cell>
          <cell r="AB472" t="str">
            <v/>
          </cell>
          <cell r="AC472" t="e">
            <v>#N/A</v>
          </cell>
          <cell r="AD472">
            <v>385</v>
          </cell>
          <cell r="AE472" t="e">
            <v>#N/A</v>
          </cell>
          <cell r="AF472" t="str">
            <v/>
          </cell>
        </row>
        <row r="473">
          <cell r="Y473">
            <v>457</v>
          </cell>
          <cell r="Z473">
            <v>0.41054507903754711</v>
          </cell>
          <cell r="AA473">
            <v>-3.8225153176935443E-2</v>
          </cell>
          <cell r="AB473" t="str">
            <v/>
          </cell>
          <cell r="AC473" t="e">
            <v>#N/A</v>
          </cell>
          <cell r="AD473">
            <v>386</v>
          </cell>
          <cell r="AE473" t="e">
            <v>#N/A</v>
          </cell>
          <cell r="AF473" t="str">
            <v/>
          </cell>
        </row>
        <row r="474">
          <cell r="Y474">
            <v>458</v>
          </cell>
          <cell r="Z474">
            <v>0.12746149860322475</v>
          </cell>
          <cell r="AA474">
            <v>-0.19243707199839935</v>
          </cell>
          <cell r="AB474" t="str">
            <v/>
          </cell>
          <cell r="AC474" t="e">
            <v>#N/A</v>
          </cell>
          <cell r="AD474">
            <v>387</v>
          </cell>
          <cell r="AE474" t="e">
            <v>#N/A</v>
          </cell>
          <cell r="AF474" t="str">
            <v/>
          </cell>
        </row>
        <row r="475">
          <cell r="Y475">
            <v>459</v>
          </cell>
          <cell r="Z475">
            <v>0.64303172938525677</v>
          </cell>
          <cell r="AA475">
            <v>6.1962374939212715E-2</v>
          </cell>
          <cell r="AB475" t="str">
            <v/>
          </cell>
          <cell r="AC475" t="e">
            <v>#N/A</v>
          </cell>
          <cell r="AD475">
            <v>388</v>
          </cell>
          <cell r="AE475" t="e">
            <v>#N/A</v>
          </cell>
          <cell r="AF475" t="str">
            <v/>
          </cell>
        </row>
        <row r="476">
          <cell r="Y476">
            <v>460</v>
          </cell>
          <cell r="Z476">
            <v>0.65326504968106747</v>
          </cell>
          <cell r="AA476">
            <v>6.6623600877348865E-2</v>
          </cell>
          <cell r="AB476" t="str">
            <v/>
          </cell>
          <cell r="AC476" t="e">
            <v>#N/A</v>
          </cell>
          <cell r="AD476">
            <v>389</v>
          </cell>
          <cell r="AE476" t="e">
            <v>#N/A</v>
          </cell>
          <cell r="AF476" t="str">
            <v/>
          </cell>
        </row>
        <row r="477">
          <cell r="Y477">
            <v>461</v>
          </cell>
          <cell r="Z477">
            <v>0.98925632052123547</v>
          </cell>
          <cell r="AA477">
            <v>0.38865427652928353</v>
          </cell>
          <cell r="AB477" t="str">
            <v/>
          </cell>
          <cell r="AC477" t="e">
            <v>#N/A</v>
          </cell>
          <cell r="AD477">
            <v>390</v>
          </cell>
          <cell r="AE477" t="e">
            <v>#N/A</v>
          </cell>
          <cell r="AF477" t="str">
            <v/>
          </cell>
        </row>
        <row r="478">
          <cell r="Y478">
            <v>462</v>
          </cell>
          <cell r="Z478">
            <v>6.5544521436095238E-2</v>
          </cell>
          <cell r="AA478">
            <v>-0.25520636958145076</v>
          </cell>
          <cell r="AB478" t="str">
            <v/>
          </cell>
          <cell r="AC478" t="e">
            <v>#N/A</v>
          </cell>
          <cell r="AD478">
            <v>391</v>
          </cell>
          <cell r="AE478" t="e">
            <v>#N/A</v>
          </cell>
          <cell r="AF478" t="str">
            <v/>
          </cell>
        </row>
        <row r="479">
          <cell r="Y479">
            <v>463</v>
          </cell>
          <cell r="Z479">
            <v>6.6439731046557426E-2</v>
          </cell>
          <cell r="AA479">
            <v>-0.25402687858866141</v>
          </cell>
          <cell r="AB479" t="str">
            <v/>
          </cell>
          <cell r="AC479" t="e">
            <v>#N/A</v>
          </cell>
          <cell r="AD479">
            <v>392</v>
          </cell>
          <cell r="AE479" t="e">
            <v>#N/A</v>
          </cell>
          <cell r="AF479" t="str">
            <v/>
          </cell>
        </row>
        <row r="480">
          <cell r="Y480">
            <v>464</v>
          </cell>
          <cell r="Z480">
            <v>0.17418207786977291</v>
          </cell>
          <cell r="AA480">
            <v>-0.15851155654283161</v>
          </cell>
          <cell r="AB480" t="str">
            <v/>
          </cell>
          <cell r="AC480" t="e">
            <v>#N/A</v>
          </cell>
          <cell r="AD480">
            <v>393</v>
          </cell>
          <cell r="AE480" t="e">
            <v>#N/A</v>
          </cell>
          <cell r="AF480" t="str">
            <v/>
          </cell>
        </row>
        <row r="481">
          <cell r="Y481">
            <v>465</v>
          </cell>
          <cell r="Z481">
            <v>4.3064741417765617E-2</v>
          </cell>
          <cell r="AA481">
            <v>-0.29008701448729274</v>
          </cell>
          <cell r="AB481" t="str">
            <v/>
          </cell>
          <cell r="AC481" t="e">
            <v>#N/A</v>
          </cell>
          <cell r="AD481">
            <v>394</v>
          </cell>
          <cell r="AE481" t="e">
            <v>#N/A</v>
          </cell>
          <cell r="AF481" t="str">
            <v/>
          </cell>
        </row>
        <row r="482">
          <cell r="Y482">
            <v>466</v>
          </cell>
          <cell r="Z482">
            <v>0.97401929460465908</v>
          </cell>
          <cell r="AA482">
            <v>0.32850356769775518</v>
          </cell>
          <cell r="AB482" t="str">
            <v/>
          </cell>
          <cell r="AC482" t="e">
            <v>#N/A</v>
          </cell>
          <cell r="AD482">
            <v>395</v>
          </cell>
          <cell r="AE482" t="e">
            <v>#N/A</v>
          </cell>
          <cell r="AF482" t="str">
            <v/>
          </cell>
        </row>
        <row r="483">
          <cell r="Y483">
            <v>467</v>
          </cell>
          <cell r="Z483">
            <v>0.60829742066562176</v>
          </cell>
          <cell r="AA483">
            <v>4.6463920715875941E-2</v>
          </cell>
          <cell r="AB483" t="str">
            <v/>
          </cell>
          <cell r="AC483" t="e">
            <v>#N/A</v>
          </cell>
          <cell r="AD483">
            <v>396</v>
          </cell>
          <cell r="AE483" t="e">
            <v>#N/A</v>
          </cell>
          <cell r="AF483" t="str">
            <v/>
          </cell>
        </row>
        <row r="484">
          <cell r="Y484">
            <v>468</v>
          </cell>
          <cell r="Z484">
            <v>0.11452268622815609</v>
          </cell>
          <cell r="AA484">
            <v>-0.20331395500179916</v>
          </cell>
          <cell r="AB484" t="str">
            <v/>
          </cell>
          <cell r="AC484" t="e">
            <v>#N/A</v>
          </cell>
          <cell r="AD484">
            <v>397</v>
          </cell>
          <cell r="AE484" t="e">
            <v>#N/A</v>
          </cell>
          <cell r="AF484" t="str">
            <v/>
          </cell>
        </row>
        <row r="485">
          <cell r="Y485">
            <v>469</v>
          </cell>
          <cell r="Z485">
            <v>0.35107648186385632</v>
          </cell>
          <cell r="AA485">
            <v>-6.4640070127798058E-2</v>
          </cell>
          <cell r="AB485" t="str">
            <v/>
          </cell>
          <cell r="AC485" t="e">
            <v>#N/A</v>
          </cell>
          <cell r="AD485">
            <v>398</v>
          </cell>
          <cell r="AE485" t="e">
            <v>#N/A</v>
          </cell>
          <cell r="AF485" t="str">
            <v/>
          </cell>
        </row>
        <row r="486">
          <cell r="Y486">
            <v>470</v>
          </cell>
          <cell r="Z486">
            <v>0.38263282738626003</v>
          </cell>
          <cell r="AA486">
            <v>-5.0468095734139615E-2</v>
          </cell>
          <cell r="AB486" t="str">
            <v/>
          </cell>
          <cell r="AC486" t="e">
            <v>#N/A</v>
          </cell>
          <cell r="AD486">
            <v>399</v>
          </cell>
          <cell r="AE486" t="e">
            <v>#N/A</v>
          </cell>
          <cell r="AF486" t="str">
            <v/>
          </cell>
        </row>
        <row r="487">
          <cell r="Y487">
            <v>471</v>
          </cell>
          <cell r="Z487">
            <v>0.24808935634791851</v>
          </cell>
          <cell r="AA487">
            <v>-0.11502795332227796</v>
          </cell>
          <cell r="AB487" t="str">
            <v/>
          </cell>
          <cell r="AC487" t="e">
            <v>#N/A</v>
          </cell>
          <cell r="AD487">
            <v>400</v>
          </cell>
          <cell r="AE487" t="e">
            <v>#N/A</v>
          </cell>
          <cell r="AF487" t="str">
            <v/>
          </cell>
        </row>
        <row r="488">
          <cell r="Y488">
            <v>472</v>
          </cell>
          <cell r="Z488">
            <v>0.78864081762731075</v>
          </cell>
          <cell r="AA488">
            <v>0.13551441447508442</v>
          </cell>
          <cell r="AB488" t="str">
            <v/>
          </cell>
          <cell r="AC488" t="e">
            <v>#N/A</v>
          </cell>
          <cell r="AD488">
            <v>401</v>
          </cell>
          <cell r="AE488" t="e">
            <v>#N/A</v>
          </cell>
          <cell r="AF488" t="str">
            <v/>
          </cell>
        </row>
        <row r="489">
          <cell r="Y489">
            <v>473</v>
          </cell>
          <cell r="Z489">
            <v>0.42860373668372631</v>
          </cell>
          <cell r="AA489">
            <v>-3.0413731686509196E-2</v>
          </cell>
          <cell r="AB489" t="str">
            <v/>
          </cell>
          <cell r="AC489" t="e">
            <v>#N/A</v>
          </cell>
          <cell r="AD489">
            <v>402</v>
          </cell>
          <cell r="AE489" t="e">
            <v>#N/A</v>
          </cell>
          <cell r="AF489" t="str">
            <v/>
          </cell>
        </row>
        <row r="490">
          <cell r="Y490">
            <v>474</v>
          </cell>
          <cell r="Z490">
            <v>0.93868583999574184</v>
          </cell>
          <cell r="AA490">
            <v>0.26095573678081296</v>
          </cell>
          <cell r="AB490" t="str">
            <v/>
          </cell>
          <cell r="AC490" t="e">
            <v>#N/A</v>
          </cell>
          <cell r="AD490">
            <v>403</v>
          </cell>
          <cell r="AE490" t="e">
            <v>#N/A</v>
          </cell>
          <cell r="AF490" t="str">
            <v/>
          </cell>
        </row>
        <row r="491">
          <cell r="Y491">
            <v>475</v>
          </cell>
          <cell r="Z491">
            <v>0.60287333838641644</v>
          </cell>
          <cell r="AA491">
            <v>4.4081804008598957E-2</v>
          </cell>
          <cell r="AB491" t="str">
            <v/>
          </cell>
          <cell r="AC491" t="e">
            <v>#N/A</v>
          </cell>
          <cell r="AD491">
            <v>404</v>
          </cell>
          <cell r="AE491" t="e">
            <v>#N/A</v>
          </cell>
          <cell r="AF491" t="str">
            <v/>
          </cell>
        </row>
        <row r="492">
          <cell r="Y492">
            <v>476</v>
          </cell>
          <cell r="Z492">
            <v>0.22121756337583065</v>
          </cell>
          <cell r="AA492">
            <v>-0.12983050532682266</v>
          </cell>
          <cell r="AB492" t="str">
            <v/>
          </cell>
          <cell r="AC492" t="e">
            <v>#N/A</v>
          </cell>
          <cell r="AD492">
            <v>405</v>
          </cell>
          <cell r="AE492" t="e">
            <v>#N/A</v>
          </cell>
          <cell r="AF492" t="str">
            <v/>
          </cell>
        </row>
        <row r="493">
          <cell r="Y493">
            <v>477</v>
          </cell>
          <cell r="Z493">
            <v>0.50958663038909435</v>
          </cell>
          <cell r="AA493">
            <v>4.0622224218511771E-3</v>
          </cell>
          <cell r="AB493" t="str">
            <v/>
          </cell>
          <cell r="AC493" t="e">
            <v>#N/A</v>
          </cell>
          <cell r="AD493">
            <v>406</v>
          </cell>
          <cell r="AE493" t="e">
            <v>#N/A</v>
          </cell>
          <cell r="AF493" t="str">
            <v/>
          </cell>
        </row>
        <row r="494">
          <cell r="Y494">
            <v>478</v>
          </cell>
          <cell r="Z494">
            <v>0.92851713858544827</v>
          </cell>
          <cell r="AA494">
            <v>0.2476024412205674</v>
          </cell>
          <cell r="AB494" t="str">
            <v/>
          </cell>
          <cell r="AC494" t="e">
            <v>#N/A</v>
          </cell>
          <cell r="AD494">
            <v>407</v>
          </cell>
          <cell r="AE494" t="e">
            <v>#N/A</v>
          </cell>
          <cell r="AF494" t="str">
            <v/>
          </cell>
        </row>
        <row r="495">
          <cell r="Y495">
            <v>479</v>
          </cell>
          <cell r="Z495">
            <v>0.45657728426158428</v>
          </cell>
          <cell r="AA495">
            <v>-1.8434575451563073E-2</v>
          </cell>
          <cell r="AB495" t="str">
            <v/>
          </cell>
          <cell r="AC495" t="e">
            <v>#N/A</v>
          </cell>
          <cell r="AD495">
            <v>408</v>
          </cell>
          <cell r="AE495" t="e">
            <v>#N/A</v>
          </cell>
          <cell r="AF495" t="str">
            <v/>
          </cell>
        </row>
        <row r="496">
          <cell r="Y496">
            <v>480</v>
          </cell>
          <cell r="Z496">
            <v>0.77812053821980953</v>
          </cell>
          <cell r="AA496">
            <v>0.12945416211627517</v>
          </cell>
          <cell r="AB496" t="str">
            <v/>
          </cell>
          <cell r="AC496" t="e">
            <v>#N/A</v>
          </cell>
          <cell r="AD496">
            <v>409</v>
          </cell>
          <cell r="AE496" t="e">
            <v>#N/A</v>
          </cell>
          <cell r="AF496" t="str">
            <v/>
          </cell>
        </row>
        <row r="497">
          <cell r="Y497">
            <v>481</v>
          </cell>
          <cell r="Z497">
            <v>0.49776509217917919</v>
          </cell>
          <cell r="AA497">
            <v>-9.4692983235248316E-4</v>
          </cell>
          <cell r="AB497" t="str">
            <v/>
          </cell>
          <cell r="AC497" t="e">
            <v>#N/A</v>
          </cell>
          <cell r="AD497">
            <v>410</v>
          </cell>
          <cell r="AE497" t="e">
            <v>#N/A</v>
          </cell>
          <cell r="AF497" t="str">
            <v/>
          </cell>
        </row>
        <row r="498">
          <cell r="Y498">
            <v>482</v>
          </cell>
          <cell r="Z498">
            <v>0.39273799024522305</v>
          </cell>
          <cell r="AA498">
            <v>-4.6008496331732589E-2</v>
          </cell>
          <cell r="AB498" t="str">
            <v/>
          </cell>
          <cell r="AC498" t="e">
            <v>#N/A</v>
          </cell>
          <cell r="AD498">
            <v>411</v>
          </cell>
          <cell r="AE498" t="e">
            <v>#N/A</v>
          </cell>
          <cell r="AF498" t="str">
            <v/>
          </cell>
        </row>
        <row r="499">
          <cell r="Y499">
            <v>483</v>
          </cell>
          <cell r="Z499">
            <v>8.0461036413908005E-3</v>
          </cell>
          <cell r="AA499">
            <v>-0.40682641768056399</v>
          </cell>
          <cell r="AB499" t="str">
            <v/>
          </cell>
          <cell r="AC499" t="e">
            <v>#N/A</v>
          </cell>
          <cell r="AD499">
            <v>412</v>
          </cell>
          <cell r="AE499" t="e">
            <v>#N/A</v>
          </cell>
          <cell r="AF499" t="str">
            <v/>
          </cell>
        </row>
        <row r="500">
          <cell r="Y500">
            <v>484</v>
          </cell>
          <cell r="Z500">
            <v>0.14101325534284115</v>
          </cell>
          <cell r="AA500">
            <v>-0.18183968698784256</v>
          </cell>
          <cell r="AB500" t="str">
            <v/>
          </cell>
          <cell r="AC500" t="e">
            <v>#N/A</v>
          </cell>
          <cell r="AD500">
            <v>413</v>
          </cell>
          <cell r="AE500" t="e">
            <v>#N/A</v>
          </cell>
          <cell r="AF500" t="str">
            <v/>
          </cell>
        </row>
        <row r="501">
          <cell r="Y501">
            <v>485</v>
          </cell>
          <cell r="Z501">
            <v>0.38660073094069958</v>
          </cell>
          <cell r="AA501">
            <v>-4.8712965863617716E-2</v>
          </cell>
          <cell r="AB501" t="str">
            <v/>
          </cell>
          <cell r="AC501" t="e">
            <v>#N/A</v>
          </cell>
          <cell r="AD501">
            <v>414</v>
          </cell>
          <cell r="AE501" t="e">
            <v>#N/A</v>
          </cell>
          <cell r="AF501" t="str">
            <v/>
          </cell>
        </row>
        <row r="502">
          <cell r="Y502">
            <v>486</v>
          </cell>
          <cell r="Z502">
            <v>0.33521649800240993</v>
          </cell>
          <cell r="AA502">
            <v>-7.193172443168809E-2</v>
          </cell>
          <cell r="AB502" t="str">
            <v/>
          </cell>
          <cell r="AC502" t="e">
            <v>#N/A</v>
          </cell>
          <cell r="AD502">
            <v>415</v>
          </cell>
          <cell r="AE502" t="e">
            <v>#N/A</v>
          </cell>
          <cell r="AF502" t="str">
            <v/>
          </cell>
        </row>
        <row r="503">
          <cell r="Y503">
            <v>487</v>
          </cell>
          <cell r="Z503">
            <v>0.33783857338130474</v>
          </cell>
          <cell r="AA503">
            <v>-7.0717314655497979E-2</v>
          </cell>
          <cell r="AB503" t="str">
            <v/>
          </cell>
          <cell r="AC503" t="e">
            <v>#N/A</v>
          </cell>
          <cell r="AD503">
            <v>416</v>
          </cell>
          <cell r="AE503" t="e">
            <v>#N/A</v>
          </cell>
          <cell r="AF503" t="str">
            <v/>
          </cell>
        </row>
        <row r="504">
          <cell r="Y504">
            <v>488</v>
          </cell>
          <cell r="Z504">
            <v>0.12571450136601925</v>
          </cell>
          <cell r="AA504">
            <v>-0.19385900888584653</v>
          </cell>
          <cell r="AB504" t="str">
            <v/>
          </cell>
          <cell r="AC504" t="e">
            <v>#N/A</v>
          </cell>
          <cell r="AD504">
            <v>417</v>
          </cell>
          <cell r="AE504" t="e">
            <v>#N/A</v>
          </cell>
          <cell r="AF504" t="str">
            <v/>
          </cell>
        </row>
        <row r="505">
          <cell r="Y505">
            <v>489</v>
          </cell>
          <cell r="Z505">
            <v>0.64794871024787426</v>
          </cell>
          <cell r="AA505">
            <v>6.4195936914286975E-2</v>
          </cell>
          <cell r="AB505" t="str">
            <v/>
          </cell>
          <cell r="AC505" t="e">
            <v>#N/A</v>
          </cell>
          <cell r="AD505">
            <v>418</v>
          </cell>
          <cell r="AE505" t="e">
            <v>#N/A</v>
          </cell>
          <cell r="AF505" t="str">
            <v/>
          </cell>
        </row>
        <row r="506">
          <cell r="Y506">
            <v>490</v>
          </cell>
          <cell r="Z506">
            <v>0.52581197582185268</v>
          </cell>
          <cell r="AA506">
            <v>1.094411150803706E-2</v>
          </cell>
          <cell r="AB506" t="str">
            <v/>
          </cell>
          <cell r="AC506" t="e">
            <v>#N/A</v>
          </cell>
          <cell r="AD506">
            <v>419</v>
          </cell>
          <cell r="AE506" t="e">
            <v>#N/A</v>
          </cell>
          <cell r="AF506" t="str">
            <v/>
          </cell>
        </row>
        <row r="507">
          <cell r="Y507">
            <v>491</v>
          </cell>
          <cell r="Z507">
            <v>0.59377421252429485</v>
          </cell>
          <cell r="AA507">
            <v>4.0105025952743491E-2</v>
          </cell>
          <cell r="AB507" t="str">
            <v/>
          </cell>
          <cell r="AC507" t="e">
            <v>#N/A</v>
          </cell>
          <cell r="AD507">
            <v>420</v>
          </cell>
          <cell r="AE507" t="e">
            <v>#N/A</v>
          </cell>
          <cell r="AF507" t="str">
            <v/>
          </cell>
        </row>
        <row r="508">
          <cell r="Y508">
            <v>492</v>
          </cell>
          <cell r="Z508">
            <v>0.84430771134793758</v>
          </cell>
          <cell r="AA508">
            <v>0.17111348709679569</v>
          </cell>
          <cell r="AB508" t="str">
            <v/>
          </cell>
          <cell r="AC508" t="e">
            <v>#N/A</v>
          </cell>
          <cell r="AD508">
            <v>421</v>
          </cell>
          <cell r="AE508" t="e">
            <v>#N/A</v>
          </cell>
          <cell r="AF508" t="str">
            <v/>
          </cell>
        </row>
        <row r="509">
          <cell r="Y509">
            <v>493</v>
          </cell>
          <cell r="Z509">
            <v>8.9479623362421989E-2</v>
          </cell>
          <cell r="AA509">
            <v>-0.22717178718334913</v>
          </cell>
          <cell r="AB509" t="str">
            <v/>
          </cell>
          <cell r="AC509" t="e">
            <v>#N/A</v>
          </cell>
          <cell r="AD509">
            <v>422</v>
          </cell>
          <cell r="AE509" t="e">
            <v>#N/A</v>
          </cell>
          <cell r="AF509" t="str">
            <v/>
          </cell>
        </row>
        <row r="510">
          <cell r="Y510">
            <v>494</v>
          </cell>
          <cell r="Z510">
            <v>0.39685932360589504</v>
          </cell>
          <cell r="AA510">
            <v>-4.4199003189921253E-2</v>
          </cell>
          <cell r="AB510" t="str">
            <v/>
          </cell>
          <cell r="AC510" t="e">
            <v>#N/A</v>
          </cell>
          <cell r="AD510">
            <v>423</v>
          </cell>
          <cell r="AE510" t="e">
            <v>#N/A</v>
          </cell>
          <cell r="AF510" t="str">
            <v/>
          </cell>
        </row>
        <row r="511">
          <cell r="Y511">
            <v>495</v>
          </cell>
          <cell r="Z511">
            <v>0.39523015730082989</v>
          </cell>
          <cell r="AA511">
            <v>-4.4913680461362605E-2</v>
          </cell>
          <cell r="AB511" t="str">
            <v/>
          </cell>
          <cell r="AC511" t="e">
            <v>#N/A</v>
          </cell>
          <cell r="AD511">
            <v>424</v>
          </cell>
          <cell r="AE511" t="e">
            <v>#N/A</v>
          </cell>
          <cell r="AF511" t="str">
            <v/>
          </cell>
        </row>
        <row r="512">
          <cell r="Y512">
            <v>496</v>
          </cell>
          <cell r="Z512">
            <v>0.7110003437846899</v>
          </cell>
          <cell r="AA512">
            <v>9.4033463596018024E-2</v>
          </cell>
          <cell r="AB512" t="str">
            <v/>
          </cell>
          <cell r="AC512" t="e">
            <v>#N/A</v>
          </cell>
          <cell r="AD512">
            <v>425</v>
          </cell>
          <cell r="AE512" t="e">
            <v>#N/A</v>
          </cell>
          <cell r="AF512" t="str">
            <v/>
          </cell>
        </row>
        <row r="513">
          <cell r="Y513">
            <v>497</v>
          </cell>
          <cell r="Z513">
            <v>0.68085136823356152</v>
          </cell>
          <cell r="AA513">
            <v>7.9458164147421725E-2</v>
          </cell>
          <cell r="AB513" t="str">
            <v/>
          </cell>
          <cell r="AC513" t="e">
            <v>#N/A</v>
          </cell>
          <cell r="AD513">
            <v>426</v>
          </cell>
          <cell r="AE513" t="e">
            <v>#N/A</v>
          </cell>
          <cell r="AF513" t="str">
            <v/>
          </cell>
        </row>
        <row r="514">
          <cell r="Y514">
            <v>498</v>
          </cell>
          <cell r="Z514">
            <v>0.53340340219438076</v>
          </cell>
          <cell r="AA514">
            <v>1.4169516041654196E-2</v>
          </cell>
          <cell r="AB514" t="str">
            <v/>
          </cell>
          <cell r="AC514" t="e">
            <v>#N/A</v>
          </cell>
          <cell r="AD514">
            <v>427</v>
          </cell>
          <cell r="AE514" t="e">
            <v>#N/A</v>
          </cell>
          <cell r="AF514" t="str">
            <v/>
          </cell>
        </row>
        <row r="515">
          <cell r="Y515">
            <v>499</v>
          </cell>
          <cell r="Z515">
            <v>0.95618803612887859</v>
          </cell>
          <cell r="AA515">
            <v>0.28871600345132237</v>
          </cell>
          <cell r="AB515" t="str">
            <v/>
          </cell>
          <cell r="AC515" t="e">
            <v>#N/A</v>
          </cell>
          <cell r="AD515">
            <v>428</v>
          </cell>
          <cell r="AE515" t="e">
            <v>#N/A</v>
          </cell>
          <cell r="AF515" t="str">
            <v/>
          </cell>
        </row>
        <row r="516">
          <cell r="Y516">
            <v>500</v>
          </cell>
          <cell r="Z516">
            <v>0.79173325560986996</v>
          </cell>
          <cell r="AA516">
            <v>0.13732910808639387</v>
          </cell>
          <cell r="AB516" t="str">
            <v/>
          </cell>
          <cell r="AC516" t="e">
            <v>#N/A</v>
          </cell>
          <cell r="AD516">
            <v>429</v>
          </cell>
          <cell r="AE516" t="e">
            <v>#N/A</v>
          </cell>
          <cell r="AF516" t="str">
            <v/>
          </cell>
        </row>
        <row r="517">
          <cell r="Y517">
            <v>501</v>
          </cell>
          <cell r="Z517">
            <v>0.84863102249801159</v>
          </cell>
          <cell r="AA517">
            <v>0.17419976534319093</v>
          </cell>
          <cell r="AB517" t="str">
            <v/>
          </cell>
          <cell r="AC517" t="e">
            <v>#N/A</v>
          </cell>
          <cell r="AD517">
            <v>430</v>
          </cell>
          <cell r="AE517" t="e">
            <v>#N/A</v>
          </cell>
          <cell r="AF517" t="str">
            <v/>
          </cell>
        </row>
        <row r="518">
          <cell r="Y518">
            <v>502</v>
          </cell>
          <cell r="Z518">
            <v>0.25718340836465359</v>
          </cell>
          <cell r="AA518">
            <v>-0.11021711687904844</v>
          </cell>
          <cell r="AB518" t="str">
            <v/>
          </cell>
          <cell r="AC518" t="e">
            <v>#N/A</v>
          </cell>
          <cell r="AD518">
            <v>431</v>
          </cell>
          <cell r="AE518" t="e">
            <v>#N/A</v>
          </cell>
          <cell r="AF518" t="str">
            <v/>
          </cell>
        </row>
        <row r="519">
          <cell r="Y519">
            <v>503</v>
          </cell>
          <cell r="Z519">
            <v>0.42703084461390972</v>
          </cell>
          <cell r="AA519">
            <v>-3.1091283806102064E-2</v>
          </cell>
          <cell r="AB519" t="str">
            <v/>
          </cell>
          <cell r="AC519" t="e">
            <v>#N/A</v>
          </cell>
          <cell r="AD519">
            <v>432</v>
          </cell>
          <cell r="AE519" t="e">
            <v>#N/A</v>
          </cell>
          <cell r="AF519" t="str">
            <v/>
          </cell>
        </row>
        <row r="520">
          <cell r="Y520">
            <v>504</v>
          </cell>
          <cell r="Z520">
            <v>0.9975400771945715</v>
          </cell>
          <cell r="AA520">
            <v>0.4753545726874589</v>
          </cell>
          <cell r="AB520" t="str">
            <v/>
          </cell>
          <cell r="AC520" t="e">
            <v>#N/A</v>
          </cell>
          <cell r="AD520">
            <v>433</v>
          </cell>
          <cell r="AE520" t="e">
            <v>#N/A</v>
          </cell>
          <cell r="AF520" t="str">
            <v/>
          </cell>
        </row>
        <row r="521">
          <cell r="Y521">
            <v>505</v>
          </cell>
          <cell r="Z521">
            <v>0.73996671847999096</v>
          </cell>
          <cell r="AA521">
            <v>0.10872787847339255</v>
          </cell>
          <cell r="AB521" t="str">
            <v/>
          </cell>
          <cell r="AC521" t="e">
            <v>#N/A</v>
          </cell>
          <cell r="AD521">
            <v>434</v>
          </cell>
          <cell r="AE521" t="e">
            <v>#N/A</v>
          </cell>
          <cell r="AF521" t="str">
            <v/>
          </cell>
        </row>
        <row r="522">
          <cell r="Y522">
            <v>506</v>
          </cell>
          <cell r="Z522">
            <v>0.80436724983155727</v>
          </cell>
          <cell r="AA522">
            <v>0.14491431170438193</v>
          </cell>
          <cell r="AB522" t="str">
            <v/>
          </cell>
          <cell r="AC522" t="e">
            <v>#N/A</v>
          </cell>
          <cell r="AD522">
            <v>435</v>
          </cell>
          <cell r="AE522" t="e">
            <v>#N/A</v>
          </cell>
          <cell r="AF522" t="str">
            <v/>
          </cell>
        </row>
        <row r="523">
          <cell r="Y523">
            <v>507</v>
          </cell>
          <cell r="Z523">
            <v>0.95508982054889202</v>
          </cell>
          <cell r="AA523">
            <v>0.2867348211680853</v>
          </cell>
          <cell r="AB523" t="str">
            <v/>
          </cell>
          <cell r="AC523" t="e">
            <v>#N/A</v>
          </cell>
          <cell r="AD523">
            <v>436</v>
          </cell>
          <cell r="AE523" t="e">
            <v>#N/A</v>
          </cell>
          <cell r="AF523" t="str">
            <v/>
          </cell>
        </row>
        <row r="524">
          <cell r="Y524">
            <v>508</v>
          </cell>
          <cell r="Z524">
            <v>0.62165658734738827</v>
          </cell>
          <cell r="AA524">
            <v>5.2371586787346693E-2</v>
          </cell>
          <cell r="AB524" t="str">
            <v/>
          </cell>
          <cell r="AC524" t="e">
            <v>#N/A</v>
          </cell>
          <cell r="AD524">
            <v>437</v>
          </cell>
          <cell r="AE524" t="e">
            <v>#N/A</v>
          </cell>
          <cell r="AF524" t="str">
            <v/>
          </cell>
        </row>
        <row r="525">
          <cell r="Y525">
            <v>509</v>
          </cell>
          <cell r="Z525">
            <v>0.95500951819121838</v>
          </cell>
          <cell r="AA525">
            <v>0.28659149265005041</v>
          </cell>
          <cell r="AB525" t="str">
            <v/>
          </cell>
          <cell r="AC525" t="e">
            <v>#N/A</v>
          </cell>
          <cell r="AD525">
            <v>438</v>
          </cell>
          <cell r="AE525" t="e">
            <v>#N/A</v>
          </cell>
          <cell r="AF525" t="str">
            <v/>
          </cell>
        </row>
        <row r="526">
          <cell r="Y526">
            <v>510</v>
          </cell>
          <cell r="Z526">
            <v>0.59703592024743557</v>
          </cell>
          <cell r="AA526">
            <v>4.1527891586899818E-2</v>
          </cell>
          <cell r="AB526" t="str">
            <v/>
          </cell>
          <cell r="AC526" t="e">
            <v>#N/A</v>
          </cell>
          <cell r="AD526">
            <v>439</v>
          </cell>
          <cell r="AE526" t="e">
            <v>#N/A</v>
          </cell>
          <cell r="AF526" t="str">
            <v/>
          </cell>
        </row>
        <row r="527">
          <cell r="Y527">
            <v>511</v>
          </cell>
          <cell r="Z527">
            <v>0.96394131891429424</v>
          </cell>
          <cell r="AA527">
            <v>0.30398111229128644</v>
          </cell>
          <cell r="AB527" t="str">
            <v/>
          </cell>
          <cell r="AC527" t="e">
            <v>#N/A</v>
          </cell>
          <cell r="AD527">
            <v>440</v>
          </cell>
          <cell r="AE527" t="e">
            <v>#N/A</v>
          </cell>
          <cell r="AF527" t="str">
            <v/>
          </cell>
        </row>
        <row r="528">
          <cell r="Y528">
            <v>512</v>
          </cell>
          <cell r="Z528">
            <v>0.72038008831441402</v>
          </cell>
          <cell r="AA528">
            <v>9.8709115006123754E-2</v>
          </cell>
          <cell r="AB528" t="str">
            <v/>
          </cell>
          <cell r="AC528" t="e">
            <v>#N/A</v>
          </cell>
          <cell r="AD528">
            <v>441</v>
          </cell>
          <cell r="AE528" t="e">
            <v>#N/A</v>
          </cell>
          <cell r="AF528" t="str">
            <v/>
          </cell>
        </row>
        <row r="529">
          <cell r="Y529">
            <v>513</v>
          </cell>
          <cell r="Z529">
            <v>0.24808528833091259</v>
          </cell>
          <cell r="AA529">
            <v>-0.1150301260308097</v>
          </cell>
          <cell r="AB529" t="str">
            <v/>
          </cell>
          <cell r="AC529" t="e">
            <v>#N/A</v>
          </cell>
          <cell r="AD529">
            <v>442</v>
          </cell>
          <cell r="AE529" t="e">
            <v>#N/A</v>
          </cell>
          <cell r="AF529" t="str">
            <v/>
          </cell>
        </row>
        <row r="530">
          <cell r="Y530">
            <v>514</v>
          </cell>
          <cell r="Z530">
            <v>0.10841787420213223</v>
          </cell>
          <cell r="AA530">
            <v>-0.20875071911877852</v>
          </cell>
          <cell r="AB530" t="str">
            <v/>
          </cell>
          <cell r="AC530" t="e">
            <v>#N/A</v>
          </cell>
          <cell r="AD530">
            <v>443</v>
          </cell>
          <cell r="AE530" t="e">
            <v>#N/A</v>
          </cell>
          <cell r="AF530" t="str">
            <v/>
          </cell>
        </row>
        <row r="531">
          <cell r="Y531">
            <v>515</v>
          </cell>
          <cell r="Z531">
            <v>0.15145368687808514</v>
          </cell>
          <cell r="AA531">
            <v>-0.17413873616787043</v>
          </cell>
          <cell r="AB531" t="str">
            <v/>
          </cell>
          <cell r="AC531" t="e">
            <v>#N/A</v>
          </cell>
          <cell r="AD531">
            <v>444</v>
          </cell>
          <cell r="AE531" t="e">
            <v>#N/A</v>
          </cell>
          <cell r="AF531" t="str">
            <v/>
          </cell>
        </row>
        <row r="532">
          <cell r="Y532">
            <v>516</v>
          </cell>
          <cell r="Z532">
            <v>0.83767878077924252</v>
          </cell>
          <cell r="AA532">
            <v>0.16648906771518895</v>
          </cell>
          <cell r="AB532" t="str">
            <v/>
          </cell>
          <cell r="AC532" t="e">
            <v>#N/A</v>
          </cell>
          <cell r="AD532">
            <v>445</v>
          </cell>
          <cell r="AE532" t="e">
            <v>#N/A</v>
          </cell>
          <cell r="AF532" t="str">
            <v/>
          </cell>
        </row>
        <row r="533">
          <cell r="Y533">
            <v>517</v>
          </cell>
          <cell r="Z533">
            <v>0.69761657528579235</v>
          </cell>
          <cell r="AA533">
            <v>8.7483231010443183E-2</v>
          </cell>
          <cell r="AB533" t="str">
            <v/>
          </cell>
          <cell r="AC533" t="e">
            <v>#N/A</v>
          </cell>
          <cell r="AD533">
            <v>446</v>
          </cell>
          <cell r="AE533" t="e">
            <v>#N/A</v>
          </cell>
          <cell r="AF533" t="str">
            <v/>
          </cell>
        </row>
        <row r="534">
          <cell r="Y534">
            <v>518</v>
          </cell>
          <cell r="Z534">
            <v>0.82187340222299099</v>
          </cell>
          <cell r="AA534">
            <v>0.15593570472366558</v>
          </cell>
          <cell r="AB534" t="str">
            <v/>
          </cell>
          <cell r="AC534" t="e">
            <v>#N/A</v>
          </cell>
          <cell r="AD534">
            <v>447</v>
          </cell>
          <cell r="AE534" t="e">
            <v>#N/A</v>
          </cell>
          <cell r="AF534" t="str">
            <v/>
          </cell>
        </row>
        <row r="535">
          <cell r="Y535">
            <v>519</v>
          </cell>
          <cell r="Z535">
            <v>0.70658413879573345</v>
          </cell>
          <cell r="AA535">
            <v>9.1856939325937914E-2</v>
          </cell>
          <cell r="AB535" t="str">
            <v/>
          </cell>
          <cell r="AC535" t="e">
            <v>#N/A</v>
          </cell>
          <cell r="AD535">
            <v>448</v>
          </cell>
          <cell r="AE535" t="e">
            <v>#N/A</v>
          </cell>
          <cell r="AF535" t="str">
            <v/>
          </cell>
        </row>
        <row r="536">
          <cell r="Y536">
            <v>520</v>
          </cell>
          <cell r="Z536">
            <v>0.57355113886296749</v>
          </cell>
          <cell r="AA536">
            <v>3.1342109960207282E-2</v>
          </cell>
          <cell r="AB536" t="str">
            <v/>
          </cell>
          <cell r="AC536" t="e">
            <v>#N/A</v>
          </cell>
          <cell r="AD536">
            <v>449</v>
          </cell>
          <cell r="AE536" t="e">
            <v>#N/A</v>
          </cell>
          <cell r="AF536" t="str">
            <v/>
          </cell>
        </row>
        <row r="537">
          <cell r="Y537">
            <v>521</v>
          </cell>
          <cell r="Z537">
            <v>0.84479448013007641</v>
          </cell>
          <cell r="AA537">
            <v>0.17145812116951537</v>
          </cell>
          <cell r="AB537" t="str">
            <v/>
          </cell>
          <cell r="AC537" t="e">
            <v>#N/A</v>
          </cell>
          <cell r="AD537">
            <v>450</v>
          </cell>
          <cell r="AE537" t="e">
            <v>#N/A</v>
          </cell>
          <cell r="AF537" t="str">
            <v/>
          </cell>
        </row>
        <row r="538">
          <cell r="Y538">
            <v>522</v>
          </cell>
          <cell r="Z538">
            <v>0.78362900577485561</v>
          </cell>
          <cell r="AA538">
            <v>0.13260608396753779</v>
          </cell>
          <cell r="AB538" t="str">
            <v/>
          </cell>
          <cell r="AC538" t="e">
            <v>#N/A</v>
          </cell>
          <cell r="AD538">
            <v>451</v>
          </cell>
          <cell r="AE538" t="e">
            <v>#N/A</v>
          </cell>
          <cell r="AF538" t="str">
            <v/>
          </cell>
        </row>
        <row r="539">
          <cell r="Y539">
            <v>523</v>
          </cell>
          <cell r="Z539">
            <v>0.24492563121020794</v>
          </cell>
          <cell r="AA539">
            <v>-0.11672347857437737</v>
          </cell>
          <cell r="AB539" t="str">
            <v/>
          </cell>
          <cell r="AC539" t="e">
            <v>#N/A</v>
          </cell>
          <cell r="AD539">
            <v>452</v>
          </cell>
          <cell r="AE539" t="e">
            <v>#N/A</v>
          </cell>
          <cell r="AF539" t="str">
            <v/>
          </cell>
        </row>
        <row r="540">
          <cell r="Y540">
            <v>524</v>
          </cell>
          <cell r="Z540">
            <v>0.4961352851241827</v>
          </cell>
          <cell r="AA540">
            <v>-1.6374956832224477E-3</v>
          </cell>
          <cell r="AB540" t="str">
            <v/>
          </cell>
          <cell r="AC540" t="e">
            <v>#N/A</v>
          </cell>
          <cell r="AD540">
            <v>453</v>
          </cell>
          <cell r="AE540" t="e">
            <v>#N/A</v>
          </cell>
          <cell r="AF540" t="str">
            <v/>
          </cell>
        </row>
        <row r="541">
          <cell r="Y541">
            <v>525</v>
          </cell>
          <cell r="Z541">
            <v>0.30100053362548351</v>
          </cell>
          <cell r="AA541">
            <v>-8.8153821194591683E-2</v>
          </cell>
          <cell r="AB541" t="str">
            <v/>
          </cell>
          <cell r="AC541" t="e">
            <v>#N/A</v>
          </cell>
          <cell r="AD541">
            <v>454</v>
          </cell>
          <cell r="AE541" t="e">
            <v>#N/A</v>
          </cell>
          <cell r="AF541" t="str">
            <v/>
          </cell>
        </row>
        <row r="542">
          <cell r="Y542">
            <v>526</v>
          </cell>
          <cell r="Z542">
            <v>0.24926177226006985</v>
          </cell>
          <cell r="AA542">
            <v>-0.11440256084281117</v>
          </cell>
          <cell r="AB542" t="str">
            <v/>
          </cell>
          <cell r="AC542" t="e">
            <v>#N/A</v>
          </cell>
          <cell r="AD542">
            <v>455</v>
          </cell>
          <cell r="AE542" t="e">
            <v>#N/A</v>
          </cell>
          <cell r="AF542" t="str">
            <v/>
          </cell>
        </row>
        <row r="543">
          <cell r="Y543">
            <v>527</v>
          </cell>
          <cell r="Z543">
            <v>0.96300373785197735</v>
          </cell>
          <cell r="AA543">
            <v>0.30200059064869084</v>
          </cell>
          <cell r="AB543" t="str">
            <v/>
          </cell>
          <cell r="AC543" t="e">
            <v>#N/A</v>
          </cell>
          <cell r="AD543">
            <v>456</v>
          </cell>
          <cell r="AE543" t="e">
            <v>#N/A</v>
          </cell>
          <cell r="AF543" t="str">
            <v/>
          </cell>
        </row>
        <row r="544">
          <cell r="Y544">
            <v>528</v>
          </cell>
          <cell r="Z544">
            <v>0.8975683655589819</v>
          </cell>
          <cell r="AA544">
            <v>0.21430020571830527</v>
          </cell>
          <cell r="AB544" t="str">
            <v/>
          </cell>
          <cell r="AC544" t="e">
            <v>#N/A</v>
          </cell>
          <cell r="AD544">
            <v>457</v>
          </cell>
          <cell r="AE544" t="e">
            <v>#N/A</v>
          </cell>
          <cell r="AF544" t="str">
            <v/>
          </cell>
        </row>
        <row r="545">
          <cell r="Y545">
            <v>529</v>
          </cell>
          <cell r="Z545">
            <v>0.32397857122123241</v>
          </cell>
          <cell r="AA545">
            <v>-7.7179824359207852E-2</v>
          </cell>
          <cell r="AB545" t="str">
            <v/>
          </cell>
          <cell r="AC545" t="e">
            <v>#N/A</v>
          </cell>
          <cell r="AD545">
            <v>458</v>
          </cell>
          <cell r="AE545" t="e">
            <v>#N/A</v>
          </cell>
          <cell r="AF545" t="str">
            <v/>
          </cell>
        </row>
        <row r="546">
          <cell r="Y546">
            <v>530</v>
          </cell>
          <cell r="Z546">
            <v>0.92393375001847744</v>
          </cell>
          <cell r="AA546">
            <v>0.24205886544054803</v>
          </cell>
          <cell r="AB546" t="str">
            <v/>
          </cell>
          <cell r="AC546" t="e">
            <v>#N/A</v>
          </cell>
          <cell r="AD546">
            <v>459</v>
          </cell>
          <cell r="AE546" t="e">
            <v>#N/A</v>
          </cell>
          <cell r="AF546" t="str">
            <v/>
          </cell>
        </row>
        <row r="547">
          <cell r="Y547">
            <v>531</v>
          </cell>
          <cell r="Z547">
            <v>0.51132352463901043</v>
          </cell>
          <cell r="AA547">
            <v>4.7983935915951598E-3</v>
          </cell>
          <cell r="AB547" t="str">
            <v/>
          </cell>
          <cell r="AC547" t="e">
            <v>#N/A</v>
          </cell>
          <cell r="AD547">
            <v>460</v>
          </cell>
          <cell r="AE547" t="e">
            <v>#N/A</v>
          </cell>
          <cell r="AF547" t="str">
            <v/>
          </cell>
        </row>
        <row r="548">
          <cell r="Y548">
            <v>532</v>
          </cell>
          <cell r="Z548">
            <v>0.89359592460095882</v>
          </cell>
          <cell r="AA548">
            <v>0.2105922959854063</v>
          </cell>
          <cell r="AB548" t="str">
            <v/>
          </cell>
          <cell r="AC548" t="e">
            <v>#N/A</v>
          </cell>
          <cell r="AD548">
            <v>461</v>
          </cell>
          <cell r="AE548" t="e">
            <v>#N/A</v>
          </cell>
          <cell r="AF548" t="str">
            <v/>
          </cell>
        </row>
        <row r="549">
          <cell r="Y549">
            <v>533</v>
          </cell>
          <cell r="Z549">
            <v>0.86275660805404186</v>
          </cell>
          <cell r="AA549">
            <v>0.18471492698556152</v>
          </cell>
          <cell r="AB549" t="str">
            <v/>
          </cell>
          <cell r="AC549" t="e">
            <v>#N/A</v>
          </cell>
          <cell r="AD549">
            <v>462</v>
          </cell>
          <cell r="AE549" t="e">
            <v>#N/A</v>
          </cell>
          <cell r="AF549" t="str">
            <v/>
          </cell>
        </row>
        <row r="550">
          <cell r="Y550">
            <v>534</v>
          </cell>
          <cell r="Z550">
            <v>0.29637632332742214</v>
          </cell>
          <cell r="AA550">
            <v>-9.0406380038832418E-2</v>
          </cell>
          <cell r="AB550" t="str">
            <v/>
          </cell>
          <cell r="AC550" t="e">
            <v>#N/A</v>
          </cell>
          <cell r="AD550">
            <v>463</v>
          </cell>
          <cell r="AE550" t="e">
            <v>#N/A</v>
          </cell>
          <cell r="AF550" t="str">
            <v/>
          </cell>
        </row>
        <row r="551">
          <cell r="Y551">
            <v>535</v>
          </cell>
          <cell r="Z551">
            <v>8.6166424676775932E-2</v>
          </cell>
          <cell r="AA551">
            <v>-0.23068420296388559</v>
          </cell>
          <cell r="AB551" t="str">
            <v/>
          </cell>
          <cell r="AC551" t="e">
            <v>#N/A</v>
          </cell>
          <cell r="AD551">
            <v>464</v>
          </cell>
          <cell r="AE551" t="e">
            <v>#N/A</v>
          </cell>
          <cell r="AF551" t="str">
            <v/>
          </cell>
        </row>
        <row r="552">
          <cell r="Y552">
            <v>536</v>
          </cell>
          <cell r="Z552">
            <v>0.36693128012120724</v>
          </cell>
          <cell r="AA552">
            <v>-5.7469135343813982E-2</v>
          </cell>
          <cell r="AB552" t="str">
            <v/>
          </cell>
          <cell r="AC552" t="e">
            <v>#N/A</v>
          </cell>
          <cell r="AD552">
            <v>465</v>
          </cell>
          <cell r="AE552" t="e">
            <v>#N/A</v>
          </cell>
          <cell r="AF552" t="str">
            <v/>
          </cell>
        </row>
        <row r="553">
          <cell r="Y553">
            <v>537</v>
          </cell>
          <cell r="Z553">
            <v>0.57131871394813061</v>
          </cell>
          <cell r="AA553">
            <v>3.0380338599879108E-2</v>
          </cell>
          <cell r="AB553" t="str">
            <v/>
          </cell>
          <cell r="AC553" t="e">
            <v>#N/A</v>
          </cell>
          <cell r="AD553">
            <v>466</v>
          </cell>
          <cell r="AE553" t="e">
            <v>#N/A</v>
          </cell>
          <cell r="AF553" t="str">
            <v/>
          </cell>
        </row>
        <row r="554">
          <cell r="Y554">
            <v>538</v>
          </cell>
          <cell r="Z554">
            <v>0.5666245874017477</v>
          </cell>
          <cell r="AA554">
            <v>2.836118471763811E-2</v>
          </cell>
          <cell r="AB554" t="str">
            <v/>
          </cell>
          <cell r="AC554" t="e">
            <v>#N/A</v>
          </cell>
          <cell r="AD554">
            <v>467</v>
          </cell>
          <cell r="AE554" t="e">
            <v>#N/A</v>
          </cell>
          <cell r="AF554" t="str">
            <v/>
          </cell>
        </row>
        <row r="555">
          <cell r="Y555">
            <v>539</v>
          </cell>
          <cell r="Z555">
            <v>0.24013711325824261</v>
          </cell>
          <cell r="AA555">
            <v>-0.11931238233923849</v>
          </cell>
          <cell r="AB555" t="str">
            <v/>
          </cell>
          <cell r="AC555" t="e">
            <v>#N/A</v>
          </cell>
          <cell r="AD555">
            <v>468</v>
          </cell>
          <cell r="AE555" t="e">
            <v>#N/A</v>
          </cell>
          <cell r="AF555" t="str">
            <v/>
          </cell>
        </row>
        <row r="556">
          <cell r="Y556">
            <v>540</v>
          </cell>
          <cell r="Z556">
            <v>0.25436489842832088</v>
          </cell>
          <cell r="AA556">
            <v>-0.11169842884155556</v>
          </cell>
          <cell r="AB556" t="str">
            <v/>
          </cell>
          <cell r="AC556" t="e">
            <v>#N/A</v>
          </cell>
          <cell r="AD556">
            <v>469</v>
          </cell>
          <cell r="AE556" t="e">
            <v>#N/A</v>
          </cell>
          <cell r="AF556" t="str">
            <v/>
          </cell>
        </row>
        <row r="557">
          <cell r="Y557">
            <v>541</v>
          </cell>
          <cell r="Z557">
            <v>0.2910268884152174</v>
          </cell>
          <cell r="AA557">
            <v>-9.3032428919740062E-2</v>
          </cell>
          <cell r="AB557" t="str">
            <v/>
          </cell>
          <cell r="AC557" t="e">
            <v>#N/A</v>
          </cell>
          <cell r="AD557">
            <v>470</v>
          </cell>
          <cell r="AE557" t="e">
            <v>#N/A</v>
          </cell>
          <cell r="AF557" t="str">
            <v/>
          </cell>
        </row>
        <row r="558">
          <cell r="Y558">
            <v>542</v>
          </cell>
          <cell r="Z558">
            <v>0.66750172339379787</v>
          </cell>
          <cell r="AA558">
            <v>7.3194596924745794E-2</v>
          </cell>
          <cell r="AB558" t="str">
            <v/>
          </cell>
          <cell r="AC558" t="e">
            <v>#N/A</v>
          </cell>
          <cell r="AD558">
            <v>471</v>
          </cell>
          <cell r="AE558" t="e">
            <v>#N/A</v>
          </cell>
          <cell r="AF558" t="str">
            <v/>
          </cell>
        </row>
        <row r="559">
          <cell r="Y559">
            <v>543</v>
          </cell>
          <cell r="Z559">
            <v>0.9114603828638792</v>
          </cell>
          <cell r="AA559">
            <v>0.22815832232382183</v>
          </cell>
          <cell r="AB559" t="str">
            <v/>
          </cell>
          <cell r="AC559" t="e">
            <v>#N/A</v>
          </cell>
          <cell r="AD559">
            <v>472</v>
          </cell>
          <cell r="AE559" t="e">
            <v>#N/A</v>
          </cell>
          <cell r="AF559" t="str">
            <v/>
          </cell>
        </row>
        <row r="560">
          <cell r="Y560">
            <v>544</v>
          </cell>
          <cell r="Z560">
            <v>0.67762376926839352</v>
          </cell>
          <cell r="AA560">
            <v>7.7934093862991632E-2</v>
          </cell>
          <cell r="AB560" t="str">
            <v/>
          </cell>
          <cell r="AC560" t="e">
            <v>#N/A</v>
          </cell>
          <cell r="AD560">
            <v>473</v>
          </cell>
          <cell r="AE560" t="e">
            <v>#N/A</v>
          </cell>
          <cell r="AF560" t="str">
            <v/>
          </cell>
        </row>
        <row r="561">
          <cell r="Y561">
            <v>545</v>
          </cell>
          <cell r="Z561">
            <v>0.50179293565452099</v>
          </cell>
          <cell r="AA561">
            <v>7.596649301868458E-4</v>
          </cell>
          <cell r="AB561" t="str">
            <v/>
          </cell>
          <cell r="AC561" t="e">
            <v>#N/A</v>
          </cell>
          <cell r="AD561">
            <v>474</v>
          </cell>
          <cell r="AE561" t="e">
            <v>#N/A</v>
          </cell>
          <cell r="AF561" t="str">
            <v/>
          </cell>
        </row>
        <row r="562">
          <cell r="Y562">
            <v>546</v>
          </cell>
          <cell r="Z562">
            <v>0.8798533733934164</v>
          </cell>
          <cell r="AA562">
            <v>0.19848517360288376</v>
          </cell>
          <cell r="AB562" t="str">
            <v/>
          </cell>
          <cell r="AC562" t="e">
            <v>#N/A</v>
          </cell>
          <cell r="AD562">
            <v>475</v>
          </cell>
          <cell r="AE562" t="e">
            <v>#N/A</v>
          </cell>
          <cell r="AF562" t="str">
            <v/>
          </cell>
        </row>
        <row r="563">
          <cell r="Y563">
            <v>547</v>
          </cell>
          <cell r="Z563">
            <v>0.17202801816165447</v>
          </cell>
          <cell r="AA563">
            <v>-0.15993385880354899</v>
          </cell>
          <cell r="AB563" t="str">
            <v/>
          </cell>
          <cell r="AC563" t="e">
            <v>#N/A</v>
          </cell>
          <cell r="AD563">
            <v>476</v>
          </cell>
          <cell r="AE563" t="e">
            <v>#N/A</v>
          </cell>
          <cell r="AF563" t="str">
            <v/>
          </cell>
        </row>
        <row r="564">
          <cell r="Y564">
            <v>548</v>
          </cell>
          <cell r="Z564">
            <v>0.41798078082501888</v>
          </cell>
          <cell r="AA564">
            <v>-3.4999839412518566E-2</v>
          </cell>
          <cell r="AB564" t="str">
            <v/>
          </cell>
          <cell r="AC564" t="e">
            <v>#N/A</v>
          </cell>
          <cell r="AD564">
            <v>477</v>
          </cell>
          <cell r="AE564" t="e">
            <v>#N/A</v>
          </cell>
          <cell r="AF564" t="str">
            <v/>
          </cell>
        </row>
        <row r="565">
          <cell r="Y565">
            <v>549</v>
          </cell>
          <cell r="Z565">
            <v>0.24200033955276012</v>
          </cell>
          <cell r="AA565">
            <v>-0.11830173671095633</v>
          </cell>
          <cell r="AB565" t="str">
            <v/>
          </cell>
          <cell r="AC565" t="e">
            <v>#N/A</v>
          </cell>
          <cell r="AD565">
            <v>478</v>
          </cell>
          <cell r="AE565" t="e">
            <v>#N/A</v>
          </cell>
          <cell r="AF565" t="str">
            <v/>
          </cell>
        </row>
        <row r="566">
          <cell r="Y566">
            <v>550</v>
          </cell>
          <cell r="Z566">
            <v>0.54153201542794704</v>
          </cell>
          <cell r="AA566">
            <v>1.7628918502364428E-2</v>
          </cell>
          <cell r="AB566" t="str">
            <v/>
          </cell>
          <cell r="AC566" t="e">
            <v>#N/A</v>
          </cell>
          <cell r="AD566">
            <v>479</v>
          </cell>
          <cell r="AE566" t="e">
            <v>#N/A</v>
          </cell>
          <cell r="AF566" t="str">
            <v/>
          </cell>
        </row>
        <row r="567">
          <cell r="Y567">
            <v>551</v>
          </cell>
          <cell r="Z567">
            <v>0.19419567100703716</v>
          </cell>
          <cell r="AA567">
            <v>-0.14579559034300649</v>
          </cell>
          <cell r="AB567" t="str">
            <v/>
          </cell>
          <cell r="AC567" t="e">
            <v>#N/A</v>
          </cell>
          <cell r="AD567">
            <v>480</v>
          </cell>
          <cell r="AE567" t="e">
            <v>#N/A</v>
          </cell>
          <cell r="AF567" t="str">
            <v/>
          </cell>
        </row>
        <row r="568">
          <cell r="Y568">
            <v>552</v>
          </cell>
          <cell r="Z568">
            <v>0.23461409471929073</v>
          </cell>
          <cell r="AA568">
            <v>-0.12233361224485137</v>
          </cell>
          <cell r="AB568" t="str">
            <v/>
          </cell>
          <cell r="AC568" t="e">
            <v>#N/A</v>
          </cell>
          <cell r="AD568">
            <v>481</v>
          </cell>
          <cell r="AE568" t="e">
            <v>#N/A</v>
          </cell>
          <cell r="AF568" t="str">
            <v/>
          </cell>
        </row>
        <row r="569">
          <cell r="Y569">
            <v>553</v>
          </cell>
          <cell r="Z569">
            <v>0.99717613868415356</v>
          </cell>
          <cell r="AA569">
            <v>0.46780343355526988</v>
          </cell>
          <cell r="AB569" t="str">
            <v/>
          </cell>
          <cell r="AC569" t="e">
            <v>#N/A</v>
          </cell>
          <cell r="AD569">
            <v>482</v>
          </cell>
          <cell r="AE569" t="e">
            <v>#N/A</v>
          </cell>
          <cell r="AF569" t="str">
            <v/>
          </cell>
        </row>
        <row r="570">
          <cell r="Y570">
            <v>554</v>
          </cell>
          <cell r="Z570">
            <v>0.35013133846223354</v>
          </cell>
          <cell r="AA570">
            <v>-6.5071114369829833E-2</v>
          </cell>
          <cell r="AB570" t="str">
            <v/>
          </cell>
          <cell r="AC570" t="e">
            <v>#N/A</v>
          </cell>
          <cell r="AD570">
            <v>483</v>
          </cell>
          <cell r="AE570" t="e">
            <v>#N/A</v>
          </cell>
          <cell r="AF570" t="str">
            <v/>
          </cell>
        </row>
        <row r="571">
          <cell r="Y571">
            <v>555</v>
          </cell>
          <cell r="Z571">
            <v>0.93632973544299603</v>
          </cell>
          <cell r="AA571">
            <v>0.25771687640899454</v>
          </cell>
          <cell r="AB571" t="str">
            <v/>
          </cell>
          <cell r="AC571" t="e">
            <v>#N/A</v>
          </cell>
          <cell r="AD571">
            <v>484</v>
          </cell>
          <cell r="AE571" t="e">
            <v>#N/A</v>
          </cell>
          <cell r="AF571" t="str">
            <v/>
          </cell>
        </row>
        <row r="572">
          <cell r="Y572">
            <v>556</v>
          </cell>
          <cell r="Z572">
            <v>0.52671652100980282</v>
          </cell>
          <cell r="AA572">
            <v>1.1328197791261818E-2</v>
          </cell>
          <cell r="AB572" t="str">
            <v/>
          </cell>
          <cell r="AC572" t="e">
            <v>#N/A</v>
          </cell>
          <cell r="AD572">
            <v>485</v>
          </cell>
          <cell r="AE572" t="e">
            <v>#N/A</v>
          </cell>
          <cell r="AF572" t="str">
            <v/>
          </cell>
        </row>
        <row r="573">
          <cell r="Y573">
            <v>557</v>
          </cell>
          <cell r="Z573">
            <v>5.7412801310420036E-2</v>
          </cell>
          <cell r="AA573">
            <v>-0.26653955901218768</v>
          </cell>
          <cell r="AB573" t="str">
            <v/>
          </cell>
          <cell r="AC573" t="e">
            <v>#N/A</v>
          </cell>
          <cell r="AD573">
            <v>486</v>
          </cell>
          <cell r="AE573" t="e">
            <v>#N/A</v>
          </cell>
          <cell r="AF573" t="str">
            <v/>
          </cell>
        </row>
        <row r="574">
          <cell r="Y574">
            <v>558</v>
          </cell>
          <cell r="Z574">
            <v>0.75947061739861965</v>
          </cell>
          <cell r="AA574">
            <v>0.11909925523611468</v>
          </cell>
          <cell r="AB574" t="str">
            <v/>
          </cell>
          <cell r="AC574" t="e">
            <v>#N/A</v>
          </cell>
          <cell r="AD574">
            <v>487</v>
          </cell>
          <cell r="AE574" t="e">
            <v>#N/A</v>
          </cell>
          <cell r="AF574" t="str">
            <v/>
          </cell>
        </row>
        <row r="575">
          <cell r="Y575">
            <v>559</v>
          </cell>
          <cell r="Z575">
            <v>4.7104222699999809E-2</v>
          </cell>
          <cell r="AA575">
            <v>-0.2828907138316083</v>
          </cell>
          <cell r="AB575" t="str">
            <v/>
          </cell>
          <cell r="AC575" t="e">
            <v>#N/A</v>
          </cell>
          <cell r="AD575">
            <v>488</v>
          </cell>
          <cell r="AE575" t="e">
            <v>#N/A</v>
          </cell>
          <cell r="AF575" t="str">
            <v/>
          </cell>
        </row>
        <row r="576">
          <cell r="Y576">
            <v>560</v>
          </cell>
          <cell r="Z576">
            <v>0.83935489319264889</v>
          </cell>
          <cell r="AA576">
            <v>0.16764649000402981</v>
          </cell>
          <cell r="AB576" t="str">
            <v/>
          </cell>
          <cell r="AC576" t="e">
            <v>#N/A</v>
          </cell>
          <cell r="AD576">
            <v>489</v>
          </cell>
          <cell r="AE576" t="e">
            <v>#N/A</v>
          </cell>
          <cell r="AF576" t="str">
            <v/>
          </cell>
        </row>
        <row r="577">
          <cell r="Y577">
            <v>561</v>
          </cell>
          <cell r="Z577">
            <v>0.84354010038077831</v>
          </cell>
          <cell r="AA577">
            <v>0.17057145638022408</v>
          </cell>
          <cell r="AB577" t="str">
            <v/>
          </cell>
          <cell r="AC577" t="e">
            <v>#N/A</v>
          </cell>
          <cell r="AD577">
            <v>490</v>
          </cell>
          <cell r="AE577" t="e">
            <v>#N/A</v>
          </cell>
          <cell r="AF577" t="str">
            <v/>
          </cell>
        </row>
        <row r="578">
          <cell r="Y578">
            <v>562</v>
          </cell>
          <cell r="Z578">
            <v>0.96982908807694912</v>
          </cell>
          <cell r="AA578">
            <v>0.31748856137371939</v>
          </cell>
          <cell r="AB578" t="str">
            <v/>
          </cell>
          <cell r="AC578" t="e">
            <v>#N/A</v>
          </cell>
          <cell r="AD578">
            <v>491</v>
          </cell>
          <cell r="AE578" t="e">
            <v>#N/A</v>
          </cell>
          <cell r="AF578" t="str">
            <v/>
          </cell>
        </row>
        <row r="579">
          <cell r="Y579">
            <v>563</v>
          </cell>
          <cell r="Z579">
            <v>0.48854763619601727</v>
          </cell>
          <cell r="AA579">
            <v>-4.8530046763230151E-3</v>
          </cell>
          <cell r="AB579" t="str">
            <v/>
          </cell>
          <cell r="AC579" t="e">
            <v>#N/A</v>
          </cell>
          <cell r="AD579">
            <v>492</v>
          </cell>
          <cell r="AE579" t="e">
            <v>#N/A</v>
          </cell>
          <cell r="AF579" t="str">
            <v/>
          </cell>
        </row>
        <row r="580">
          <cell r="Y580">
            <v>564</v>
          </cell>
          <cell r="Z580">
            <v>0.71307944320142269</v>
          </cell>
          <cell r="AA580">
            <v>9.5063547481540653E-2</v>
          </cell>
          <cell r="AB580" t="str">
            <v/>
          </cell>
          <cell r="AC580" t="e">
            <v>#N/A</v>
          </cell>
          <cell r="AD580">
            <v>493</v>
          </cell>
          <cell r="AE580" t="e">
            <v>#N/A</v>
          </cell>
          <cell r="AF580" t="str">
            <v/>
          </cell>
        </row>
        <row r="581">
          <cell r="Y581">
            <v>565</v>
          </cell>
          <cell r="Z581">
            <v>0.70204698853194714</v>
          </cell>
          <cell r="AA581">
            <v>8.9636554001842131E-2</v>
          </cell>
          <cell r="AB581" t="str">
            <v/>
          </cell>
          <cell r="AC581" t="e">
            <v>#N/A</v>
          </cell>
          <cell r="AD581">
            <v>494</v>
          </cell>
          <cell r="AE581" t="e">
            <v>#N/A</v>
          </cell>
          <cell r="AF581" t="str">
            <v/>
          </cell>
        </row>
        <row r="582">
          <cell r="Y582">
            <v>566</v>
          </cell>
          <cell r="Z582">
            <v>1.1930322274565697E-2</v>
          </cell>
          <cell r="AA582">
            <v>-0.38190251128719072</v>
          </cell>
          <cell r="AB582" t="str">
            <v/>
          </cell>
          <cell r="AC582" t="e">
            <v>#N/A</v>
          </cell>
          <cell r="AD582">
            <v>495</v>
          </cell>
          <cell r="AE582" t="e">
            <v>#N/A</v>
          </cell>
          <cell r="AF582" t="str">
            <v/>
          </cell>
        </row>
        <row r="583">
          <cell r="Y583">
            <v>567</v>
          </cell>
          <cell r="Z583">
            <v>0.37783984653651714</v>
          </cell>
          <cell r="AA583">
            <v>-5.259548324679636E-2</v>
          </cell>
          <cell r="AB583" t="str">
            <v/>
          </cell>
          <cell r="AC583" t="e">
            <v>#N/A</v>
          </cell>
          <cell r="AD583">
            <v>496</v>
          </cell>
          <cell r="AE583" t="e">
            <v>#N/A</v>
          </cell>
          <cell r="AF583" t="str">
            <v/>
          </cell>
        </row>
        <row r="584">
          <cell r="Y584">
            <v>568</v>
          </cell>
          <cell r="Z584">
            <v>0.37728317640721798</v>
          </cell>
          <cell r="AA584">
            <v>-5.2843098361452123E-2</v>
          </cell>
          <cell r="AB584" t="str">
            <v/>
          </cell>
          <cell r="AC584" t="e">
            <v>#N/A</v>
          </cell>
          <cell r="AD584">
            <v>497</v>
          </cell>
          <cell r="AE584" t="e">
            <v>#N/A</v>
          </cell>
          <cell r="AF584" t="str">
            <v/>
          </cell>
        </row>
        <row r="585">
          <cell r="Y585">
            <v>569</v>
          </cell>
          <cell r="Z585">
            <v>0.66875347308814526</v>
          </cell>
          <cell r="AA585">
            <v>7.3777526296779458E-2</v>
          </cell>
          <cell r="AB585" t="str">
            <v/>
          </cell>
          <cell r="AC585" t="e">
            <v>#N/A</v>
          </cell>
          <cell r="AD585">
            <v>498</v>
          </cell>
          <cell r="AE585" t="e">
            <v>#N/A</v>
          </cell>
          <cell r="AF585" t="str">
            <v/>
          </cell>
        </row>
        <row r="586">
          <cell r="Y586">
            <v>570</v>
          </cell>
          <cell r="Z586">
            <v>0.42467660270631313</v>
          </cell>
          <cell r="AA586">
            <v>-3.210635445469142E-2</v>
          </cell>
          <cell r="AB586" t="str">
            <v/>
          </cell>
          <cell r="AC586" t="e">
            <v>#N/A</v>
          </cell>
          <cell r="AD586">
            <v>499</v>
          </cell>
          <cell r="AE586" t="e">
            <v>#N/A</v>
          </cell>
          <cell r="AF586" t="str">
            <v/>
          </cell>
        </row>
        <row r="587">
          <cell r="Y587">
            <v>571</v>
          </cell>
          <cell r="Z587">
            <v>0.54785896651446819</v>
          </cell>
          <cell r="AA587">
            <v>2.0326609342243604E-2</v>
          </cell>
          <cell r="AB587" t="str">
            <v/>
          </cell>
          <cell r="AC587" t="e">
            <v>#N/A</v>
          </cell>
          <cell r="AD587">
            <v>500</v>
          </cell>
          <cell r="AE587" t="e">
            <v>#N/A</v>
          </cell>
          <cell r="AF587" t="str">
            <v/>
          </cell>
        </row>
        <row r="588">
          <cell r="Y588">
            <v>572</v>
          </cell>
          <cell r="Z588">
            <v>0.7873112466186285</v>
          </cell>
          <cell r="AA588">
            <v>0.13473898822127442</v>
          </cell>
          <cell r="AB588" t="str">
            <v/>
          </cell>
          <cell r="AC588" t="e">
            <v>#N/A</v>
          </cell>
          <cell r="AD588">
            <v>501</v>
          </cell>
          <cell r="AE588" t="e">
            <v>#N/A</v>
          </cell>
          <cell r="AF588" t="str">
            <v/>
          </cell>
        </row>
        <row r="589">
          <cell r="Y589">
            <v>573</v>
          </cell>
          <cell r="Z589">
            <v>0.70123249106109142</v>
          </cell>
          <cell r="AA589">
            <v>8.9239599583648313E-2</v>
          </cell>
          <cell r="AB589" t="str">
            <v/>
          </cell>
          <cell r="AC589" t="e">
            <v>#N/A</v>
          </cell>
          <cell r="AD589">
            <v>502</v>
          </cell>
          <cell r="AE589" t="e">
            <v>#N/A</v>
          </cell>
          <cell r="AF589" t="str">
            <v/>
          </cell>
        </row>
        <row r="590">
          <cell r="Y590">
            <v>574</v>
          </cell>
          <cell r="Z590">
            <v>2.6633298024535179E-2</v>
          </cell>
          <cell r="AA590">
            <v>-0.32669493457670434</v>
          </cell>
          <cell r="AB590" t="str">
            <v/>
          </cell>
          <cell r="AC590" t="e">
            <v>#N/A</v>
          </cell>
          <cell r="AD590">
            <v>503</v>
          </cell>
          <cell r="AE590" t="e">
            <v>#N/A</v>
          </cell>
          <cell r="AF590" t="str">
            <v/>
          </cell>
        </row>
        <row r="591">
          <cell r="Y591">
            <v>575</v>
          </cell>
          <cell r="Z591">
            <v>0.32647822611033916</v>
          </cell>
          <cell r="AA591">
            <v>-7.6006216827163908E-2</v>
          </cell>
          <cell r="AB591" t="str">
            <v/>
          </cell>
          <cell r="AC591" t="e">
            <v>#N/A</v>
          </cell>
          <cell r="AD591">
            <v>504</v>
          </cell>
          <cell r="AE591" t="e">
            <v>#N/A</v>
          </cell>
          <cell r="AF591" t="str">
            <v/>
          </cell>
        </row>
        <row r="592">
          <cell r="Y592">
            <v>576</v>
          </cell>
          <cell r="Z592">
            <v>0.50532033108174801</v>
          </cell>
          <cell r="AA592">
            <v>2.2542778563664858E-3</v>
          </cell>
          <cell r="AB592" t="str">
            <v/>
          </cell>
          <cell r="AC592" t="e">
            <v>#N/A</v>
          </cell>
          <cell r="AD592">
            <v>505</v>
          </cell>
          <cell r="AE592" t="e">
            <v>#N/A</v>
          </cell>
          <cell r="AF592" t="str">
            <v/>
          </cell>
        </row>
        <row r="593">
          <cell r="Y593">
            <v>577</v>
          </cell>
          <cell r="Z593">
            <v>0.87998178415000439</v>
          </cell>
          <cell r="AA593">
            <v>0.19859362604877623</v>
          </cell>
          <cell r="AB593" t="str">
            <v/>
          </cell>
          <cell r="AC593" t="e">
            <v>#N/A</v>
          </cell>
          <cell r="AD593">
            <v>506</v>
          </cell>
          <cell r="AE593" t="e">
            <v>#N/A</v>
          </cell>
          <cell r="AF593" t="str">
            <v/>
          </cell>
        </row>
        <row r="594">
          <cell r="Y594">
            <v>578</v>
          </cell>
          <cell r="Z594">
            <v>0.28126323781907558</v>
          </cell>
          <cell r="AA594">
            <v>-9.7884569389797393E-2</v>
          </cell>
          <cell r="AB594" t="str">
            <v/>
          </cell>
          <cell r="AC594" t="e">
            <v>#N/A</v>
          </cell>
          <cell r="AD594">
            <v>507</v>
          </cell>
          <cell r="AE594" t="e">
            <v>#N/A</v>
          </cell>
          <cell r="AF594" t="str">
            <v/>
          </cell>
        </row>
        <row r="595">
          <cell r="Y595">
            <v>579</v>
          </cell>
          <cell r="Z595">
            <v>3.4612847492098808E-2</v>
          </cell>
          <cell r="AA595">
            <v>-0.30711958326194633</v>
          </cell>
          <cell r="AB595" t="str">
            <v/>
          </cell>
          <cell r="AC595" t="e">
            <v>#N/A</v>
          </cell>
          <cell r="AD595">
            <v>508</v>
          </cell>
          <cell r="AE595" t="e">
            <v>#N/A</v>
          </cell>
          <cell r="AF595" t="str">
            <v/>
          </cell>
        </row>
        <row r="596">
          <cell r="Y596">
            <v>580</v>
          </cell>
          <cell r="Z596">
            <v>0.92488800548017025</v>
          </cell>
          <cell r="AA596">
            <v>0.24319157330177829</v>
          </cell>
          <cell r="AB596" t="str">
            <v/>
          </cell>
          <cell r="AC596" t="e">
            <v>#N/A</v>
          </cell>
          <cell r="AD596">
            <v>509</v>
          </cell>
          <cell r="AE596" t="e">
            <v>#N/A</v>
          </cell>
          <cell r="AF596" t="str">
            <v/>
          </cell>
        </row>
        <row r="597">
          <cell r="Y597">
            <v>581</v>
          </cell>
          <cell r="Z597">
            <v>7.8345773741602898E-2</v>
          </cell>
          <cell r="AA597">
            <v>-0.23939616501497457</v>
          </cell>
          <cell r="AB597" t="str">
            <v/>
          </cell>
          <cell r="AC597" t="e">
            <v>#N/A</v>
          </cell>
          <cell r="AD597">
            <v>510</v>
          </cell>
          <cell r="AE597" t="e">
            <v>#N/A</v>
          </cell>
          <cell r="AF597" t="str">
            <v/>
          </cell>
        </row>
        <row r="598">
          <cell r="Y598">
            <v>582</v>
          </cell>
          <cell r="Z598">
            <v>0.7559110876172781</v>
          </cell>
          <cell r="AA598">
            <v>0.11717386236777032</v>
          </cell>
          <cell r="AB598" t="str">
            <v/>
          </cell>
          <cell r="AC598" t="e">
            <v>#N/A</v>
          </cell>
          <cell r="AD598">
            <v>511</v>
          </cell>
          <cell r="AE598" t="e">
            <v>#N/A</v>
          </cell>
          <cell r="AF598" t="str">
            <v/>
          </cell>
        </row>
        <row r="599">
          <cell r="Y599">
            <v>583</v>
          </cell>
          <cell r="Z599">
            <v>0.70301692001521587</v>
          </cell>
          <cell r="AA599">
            <v>9.0109906867781114E-2</v>
          </cell>
          <cell r="AB599" t="str">
            <v/>
          </cell>
          <cell r="AC599" t="e">
            <v>#N/A</v>
          </cell>
          <cell r="AD599">
            <v>512</v>
          </cell>
          <cell r="AE599" t="e">
            <v>#N/A</v>
          </cell>
          <cell r="AF599" t="str">
            <v/>
          </cell>
        </row>
        <row r="600">
          <cell r="Y600">
            <v>584</v>
          </cell>
          <cell r="Z600">
            <v>0.33937211893498898</v>
          </cell>
          <cell r="AA600">
            <v>-7.0008747720193887E-2</v>
          </cell>
          <cell r="AB600" t="str">
            <v/>
          </cell>
          <cell r="AC600" t="e">
            <v>#N/A</v>
          </cell>
          <cell r="AD600">
            <v>513</v>
          </cell>
          <cell r="AE600" t="e">
            <v>#N/A</v>
          </cell>
          <cell r="AF600" t="str">
            <v/>
          </cell>
        </row>
        <row r="601">
          <cell r="Y601">
            <v>585</v>
          </cell>
          <cell r="Z601">
            <v>0.60118743591010571</v>
          </cell>
          <cell r="AA601">
            <v>4.3343201248764035E-2</v>
          </cell>
          <cell r="AB601" t="str">
            <v/>
          </cell>
          <cell r="AC601" t="e">
            <v>#N/A</v>
          </cell>
          <cell r="AD601">
            <v>514</v>
          </cell>
          <cell r="AE601" t="e">
            <v>#N/A</v>
          </cell>
          <cell r="AF601" t="str">
            <v/>
          </cell>
        </row>
        <row r="602">
          <cell r="Y602">
            <v>586</v>
          </cell>
          <cell r="Z602">
            <v>0.17453772388398647</v>
          </cell>
          <cell r="AA602">
            <v>-0.15827780571284447</v>
          </cell>
          <cell r="AB602" t="str">
            <v/>
          </cell>
          <cell r="AC602" t="e">
            <v>#N/A</v>
          </cell>
          <cell r="AD602">
            <v>515</v>
          </cell>
          <cell r="AE602" t="e">
            <v>#N/A</v>
          </cell>
          <cell r="AF602" t="str">
            <v/>
          </cell>
        </row>
        <row r="603">
          <cell r="Y603">
            <v>587</v>
          </cell>
          <cell r="Z603">
            <v>0.50783027522265911</v>
          </cell>
          <cell r="AA603">
            <v>3.3178811629216189E-3</v>
          </cell>
          <cell r="AB603" t="str">
            <v/>
          </cell>
          <cell r="AC603" t="e">
            <v>#N/A</v>
          </cell>
          <cell r="AD603">
            <v>516</v>
          </cell>
          <cell r="AE603" t="e">
            <v>#N/A</v>
          </cell>
          <cell r="AF603" t="str">
            <v/>
          </cell>
        </row>
        <row r="604">
          <cell r="Y604">
            <v>588</v>
          </cell>
          <cell r="Z604">
            <v>0.35402016900479794</v>
          </cell>
          <cell r="AA604">
            <v>-6.3300240002828981E-2</v>
          </cell>
          <cell r="AB604" t="str">
            <v/>
          </cell>
          <cell r="AC604" t="e">
            <v>#N/A</v>
          </cell>
          <cell r="AD604">
            <v>517</v>
          </cell>
          <cell r="AE604" t="e">
            <v>#N/A</v>
          </cell>
          <cell r="AF604" t="str">
            <v/>
          </cell>
        </row>
        <row r="605">
          <cell r="Y605">
            <v>589</v>
          </cell>
          <cell r="Z605">
            <v>0.29231017641723156</v>
          </cell>
          <cell r="AA605">
            <v>-9.2400433835569951E-2</v>
          </cell>
          <cell r="AB605" t="str">
            <v/>
          </cell>
          <cell r="AC605" t="e">
            <v>#N/A</v>
          </cell>
          <cell r="AD605">
            <v>518</v>
          </cell>
          <cell r="AE605" t="e">
            <v>#N/A</v>
          </cell>
          <cell r="AF605" t="str">
            <v/>
          </cell>
        </row>
        <row r="606">
          <cell r="Y606">
            <v>590</v>
          </cell>
          <cell r="Z606">
            <v>0.56420460902154446</v>
          </cell>
          <cell r="AA606">
            <v>2.7321840698398905E-2</v>
          </cell>
          <cell r="AB606" t="str">
            <v/>
          </cell>
          <cell r="AC606" t="e">
            <v>#N/A</v>
          </cell>
          <cell r="AD606">
            <v>519</v>
          </cell>
          <cell r="AE606" t="e">
            <v>#N/A</v>
          </cell>
          <cell r="AF606" t="str">
            <v/>
          </cell>
        </row>
        <row r="607">
          <cell r="Y607">
            <v>591</v>
          </cell>
          <cell r="Z607">
            <v>0.42487536184489727</v>
          </cell>
          <cell r="AA607">
            <v>-3.2020611886218769E-2</v>
          </cell>
          <cell r="AB607" t="str">
            <v/>
          </cell>
          <cell r="AC607" t="e">
            <v>#N/A</v>
          </cell>
          <cell r="AD607">
            <v>520</v>
          </cell>
          <cell r="AE607" t="e">
            <v>#N/A</v>
          </cell>
          <cell r="AF607" t="str">
            <v/>
          </cell>
        </row>
        <row r="608">
          <cell r="Y608">
            <v>592</v>
          </cell>
          <cell r="Z608">
            <v>0.14182867668569088</v>
          </cell>
          <cell r="AA608">
            <v>-0.1812246618363792</v>
          </cell>
          <cell r="AB608" t="str">
            <v/>
          </cell>
          <cell r="AC608" t="e">
            <v>#N/A</v>
          </cell>
          <cell r="AD608">
            <v>521</v>
          </cell>
          <cell r="AE608" t="e">
            <v>#N/A</v>
          </cell>
          <cell r="AF608" t="str">
            <v/>
          </cell>
        </row>
        <row r="609">
          <cell r="Y609">
            <v>593</v>
          </cell>
          <cell r="Z609">
            <v>0.61062970571219921</v>
          </cell>
          <cell r="AA609">
            <v>4.7491016158664086E-2</v>
          </cell>
          <cell r="AB609" t="str">
            <v/>
          </cell>
          <cell r="AC609" t="e">
            <v>#N/A</v>
          </cell>
          <cell r="AD609">
            <v>522</v>
          </cell>
          <cell r="AE609" t="e">
            <v>#N/A</v>
          </cell>
          <cell r="AF609" t="str">
            <v/>
          </cell>
        </row>
        <row r="610">
          <cell r="Y610">
            <v>594</v>
          </cell>
          <cell r="Z610">
            <v>0.9953081663697958</v>
          </cell>
          <cell r="AA610">
            <v>0.43909996252257416</v>
          </cell>
          <cell r="AB610" t="str">
            <v/>
          </cell>
          <cell r="AC610" t="e">
            <v>#N/A</v>
          </cell>
          <cell r="AD610">
            <v>523</v>
          </cell>
          <cell r="AE610" t="e">
            <v>#N/A</v>
          </cell>
          <cell r="AF610" t="str">
            <v/>
          </cell>
        </row>
        <row r="611">
          <cell r="Y611">
            <v>595</v>
          </cell>
          <cell r="Z611">
            <v>0.6027041207998991</v>
          </cell>
          <cell r="AA611">
            <v>4.4007631113299729E-2</v>
          </cell>
          <cell r="AB611" t="str">
            <v/>
          </cell>
          <cell r="AC611" t="e">
            <v>#N/A</v>
          </cell>
          <cell r="AD611">
            <v>524</v>
          </cell>
          <cell r="AE611" t="e">
            <v>#N/A</v>
          </cell>
          <cell r="AF611" t="str">
            <v/>
          </cell>
        </row>
        <row r="612">
          <cell r="Y612">
            <v>596</v>
          </cell>
          <cell r="Z612">
            <v>4.3152561411261559E-2</v>
          </cell>
          <cell r="AA612">
            <v>-0.28992489007213273</v>
          </cell>
          <cell r="AB612" t="str">
            <v/>
          </cell>
          <cell r="AC612" t="e">
            <v>#N/A</v>
          </cell>
          <cell r="AD612">
            <v>525</v>
          </cell>
          <cell r="AE612" t="e">
            <v>#N/A</v>
          </cell>
          <cell r="AF612" t="str">
            <v/>
          </cell>
        </row>
        <row r="613">
          <cell r="Y613">
            <v>597</v>
          </cell>
          <cell r="Z613">
            <v>0.17509591393172741</v>
          </cell>
          <cell r="AA613">
            <v>-0.15791154049210193</v>
          </cell>
          <cell r="AB613" t="str">
            <v/>
          </cell>
          <cell r="AC613" t="e">
            <v>#N/A</v>
          </cell>
          <cell r="AD613">
            <v>526</v>
          </cell>
          <cell r="AE613" t="e">
            <v>#N/A</v>
          </cell>
          <cell r="AF613" t="str">
            <v/>
          </cell>
        </row>
        <row r="614">
          <cell r="Y614">
            <v>598</v>
          </cell>
          <cell r="Z614">
            <v>0.41556415520608425</v>
          </cell>
          <cell r="AA614">
            <v>-3.6046622225989658E-2</v>
          </cell>
          <cell r="AB614" t="str">
            <v/>
          </cell>
          <cell r="AC614" t="e">
            <v>#N/A</v>
          </cell>
          <cell r="AD614">
            <v>527</v>
          </cell>
          <cell r="AE614" t="e">
            <v>#N/A</v>
          </cell>
          <cell r="AF614" t="str">
            <v/>
          </cell>
        </row>
        <row r="615">
          <cell r="Y615">
            <v>599</v>
          </cell>
          <cell r="Z615">
            <v>0.95439486019313335</v>
          </cell>
          <cell r="AA615">
            <v>0.28550117850466283</v>
          </cell>
          <cell r="AB615" t="str">
            <v/>
          </cell>
          <cell r="AC615" t="e">
            <v>#N/A</v>
          </cell>
          <cell r="AD615">
            <v>528</v>
          </cell>
          <cell r="AE615" t="e">
            <v>#N/A</v>
          </cell>
          <cell r="AF615" t="str">
            <v/>
          </cell>
        </row>
        <row r="616">
          <cell r="Y616">
            <v>600</v>
          </cell>
          <cell r="Z616">
            <v>9.0645160526037216E-3</v>
          </cell>
          <cell r="AA616">
            <v>-0.39941519264483777</v>
          </cell>
          <cell r="AB616" t="str">
            <v/>
          </cell>
          <cell r="AC616" t="e">
            <v>#N/A</v>
          </cell>
          <cell r="AD616">
            <v>529</v>
          </cell>
          <cell r="AE616" t="e">
            <v>#N/A</v>
          </cell>
          <cell r="AF616" t="str">
            <v/>
          </cell>
        </row>
        <row r="617">
          <cell r="Y617">
            <v>601</v>
          </cell>
          <cell r="Z617">
            <v>0.2783647459000349</v>
          </cell>
          <cell r="AA617">
            <v>-9.9340484505789237E-2</v>
          </cell>
          <cell r="AB617" t="str">
            <v/>
          </cell>
          <cell r="AC617" t="e">
            <v>#N/A</v>
          </cell>
          <cell r="AD617">
            <v>530</v>
          </cell>
          <cell r="AE617" t="e">
            <v>#N/A</v>
          </cell>
          <cell r="AF617" t="str">
            <v/>
          </cell>
        </row>
        <row r="618">
          <cell r="Y618">
            <v>602</v>
          </cell>
          <cell r="Z618">
            <v>7.7742045745253563E-2</v>
          </cell>
          <cell r="AA618">
            <v>-0.24009558683891041</v>
          </cell>
          <cell r="AB618" t="str">
            <v/>
          </cell>
          <cell r="AC618" t="e">
            <v>#N/A</v>
          </cell>
          <cell r="AD618">
            <v>531</v>
          </cell>
          <cell r="AE618" t="e">
            <v>#N/A</v>
          </cell>
          <cell r="AF618" t="str">
            <v/>
          </cell>
        </row>
        <row r="619">
          <cell r="Y619">
            <v>603</v>
          </cell>
          <cell r="Z619">
            <v>0.46809913031756878</v>
          </cell>
          <cell r="AA619">
            <v>-1.353075568339443E-2</v>
          </cell>
          <cell r="AB619" t="str">
            <v/>
          </cell>
          <cell r="AC619" t="e">
            <v>#N/A</v>
          </cell>
          <cell r="AD619">
            <v>532</v>
          </cell>
          <cell r="AE619" t="e">
            <v>#N/A</v>
          </cell>
          <cell r="AF619" t="str">
            <v/>
          </cell>
        </row>
        <row r="620">
          <cell r="Y620">
            <v>604</v>
          </cell>
          <cell r="Z620">
            <v>0.38846438191831112</v>
          </cell>
          <cell r="AA620">
            <v>-4.7890434518313311E-2</v>
          </cell>
          <cell r="AB620" t="str">
            <v/>
          </cell>
          <cell r="AC620" t="e">
            <v>#N/A</v>
          </cell>
          <cell r="AD620">
            <v>533</v>
          </cell>
          <cell r="AE620" t="e">
            <v>#N/A</v>
          </cell>
          <cell r="AF620" t="str">
            <v/>
          </cell>
        </row>
        <row r="621">
          <cell r="Y621">
            <v>605</v>
          </cell>
          <cell r="Z621">
            <v>0.86922007612884045</v>
          </cell>
          <cell r="AA621">
            <v>0.18977295760269303</v>
          </cell>
          <cell r="AB621" t="str">
            <v/>
          </cell>
          <cell r="AC621" t="e">
            <v>#N/A</v>
          </cell>
          <cell r="AD621">
            <v>534</v>
          </cell>
          <cell r="AE621" t="e">
            <v>#N/A</v>
          </cell>
          <cell r="AF621" t="str">
            <v/>
          </cell>
        </row>
        <row r="622">
          <cell r="Y622">
            <v>606</v>
          </cell>
          <cell r="Z622">
            <v>6.1149394139647484E-2</v>
          </cell>
          <cell r="AA622">
            <v>-0.26118584601476236</v>
          </cell>
          <cell r="AB622" t="str">
            <v/>
          </cell>
          <cell r="AC622" t="e">
            <v>#N/A</v>
          </cell>
          <cell r="AD622">
            <v>535</v>
          </cell>
          <cell r="AE622" t="e">
            <v>#N/A</v>
          </cell>
          <cell r="AF622" t="str">
            <v/>
          </cell>
        </row>
        <row r="623">
          <cell r="Y623">
            <v>607</v>
          </cell>
          <cell r="Z623">
            <v>0.73633859865367413</v>
          </cell>
          <cell r="AA623">
            <v>0.10684407299209643</v>
          </cell>
          <cell r="AB623" t="str">
            <v/>
          </cell>
          <cell r="AC623" t="e">
            <v>#N/A</v>
          </cell>
          <cell r="AD623">
            <v>536</v>
          </cell>
          <cell r="AE623" t="e">
            <v>#N/A</v>
          </cell>
          <cell r="AF623" t="str">
            <v/>
          </cell>
        </row>
        <row r="624">
          <cell r="Y624">
            <v>608</v>
          </cell>
          <cell r="Z624">
            <v>0.5589385237544775</v>
          </cell>
          <cell r="AA624">
            <v>2.5063647416652738E-2</v>
          </cell>
          <cell r="AB624" t="str">
            <v/>
          </cell>
          <cell r="AC624" t="e">
            <v>#N/A</v>
          </cell>
          <cell r="AD624">
            <v>537</v>
          </cell>
          <cell r="AE624" t="e">
            <v>#N/A</v>
          </cell>
          <cell r="AF624" t="str">
            <v/>
          </cell>
        </row>
        <row r="625">
          <cell r="Y625">
            <v>609</v>
          </cell>
          <cell r="Z625">
            <v>0.50374558381736279</v>
          </cell>
          <cell r="AA625">
            <v>1.587017854038241E-3</v>
          </cell>
          <cell r="AB625" t="str">
            <v/>
          </cell>
          <cell r="AC625" t="e">
            <v>#N/A</v>
          </cell>
          <cell r="AD625">
            <v>538</v>
          </cell>
          <cell r="AE625" t="e">
            <v>#N/A</v>
          </cell>
          <cell r="AF625" t="str">
            <v/>
          </cell>
        </row>
        <row r="626">
          <cell r="Y626">
            <v>610</v>
          </cell>
          <cell r="Z626">
            <v>0.38686621747910976</v>
          </cell>
          <cell r="AA626">
            <v>-4.8595722072907618E-2</v>
          </cell>
          <cell r="AB626" t="str">
            <v/>
          </cell>
          <cell r="AC626" t="e">
            <v>#N/A</v>
          </cell>
          <cell r="AD626">
            <v>539</v>
          </cell>
          <cell r="AE626" t="e">
            <v>#N/A</v>
          </cell>
          <cell r="AF626" t="str">
            <v/>
          </cell>
        </row>
        <row r="627">
          <cell r="Y627">
            <v>611</v>
          </cell>
          <cell r="Z627">
            <v>0.20405192486941814</v>
          </cell>
          <cell r="AA627">
            <v>-0.13982824422322129</v>
          </cell>
          <cell r="AB627" t="str">
            <v/>
          </cell>
          <cell r="AC627" t="e">
            <v>#N/A</v>
          </cell>
          <cell r="AD627">
            <v>540</v>
          </cell>
          <cell r="AE627" t="e">
            <v>#N/A</v>
          </cell>
          <cell r="AF627" t="str">
            <v/>
          </cell>
        </row>
        <row r="628">
          <cell r="Y628">
            <v>612</v>
          </cell>
          <cell r="Z628">
            <v>0.90136920474469662</v>
          </cell>
          <cell r="AA628">
            <v>0.21794714892348024</v>
          </cell>
          <cell r="AB628" t="str">
            <v/>
          </cell>
          <cell r="AC628" t="e">
            <v>#N/A</v>
          </cell>
          <cell r="AD628">
            <v>541</v>
          </cell>
          <cell r="AE628" t="e">
            <v>#N/A</v>
          </cell>
          <cell r="AF628" t="str">
            <v/>
          </cell>
        </row>
        <row r="629">
          <cell r="Y629">
            <v>613</v>
          </cell>
          <cell r="Z629">
            <v>0.76524662785232067</v>
          </cell>
          <cell r="AA629">
            <v>0.12225694575565849</v>
          </cell>
          <cell r="AB629" t="str">
            <v/>
          </cell>
          <cell r="AC629" t="e">
            <v>#N/A</v>
          </cell>
          <cell r="AD629">
            <v>542</v>
          </cell>
          <cell r="AE629" t="e">
            <v>#N/A</v>
          </cell>
          <cell r="AF629" t="str">
            <v/>
          </cell>
        </row>
        <row r="630">
          <cell r="Y630">
            <v>614</v>
          </cell>
          <cell r="Z630">
            <v>0.22672936879098415</v>
          </cell>
          <cell r="AA630">
            <v>-0.12671588285175622</v>
          </cell>
          <cell r="AB630" t="str">
            <v/>
          </cell>
          <cell r="AC630" t="e">
            <v>#N/A</v>
          </cell>
          <cell r="AD630">
            <v>543</v>
          </cell>
          <cell r="AE630" t="e">
            <v>#N/A</v>
          </cell>
          <cell r="AF630" t="str">
            <v/>
          </cell>
        </row>
        <row r="631">
          <cell r="Y631">
            <v>615</v>
          </cell>
          <cell r="Z631">
            <v>0.63539163582026958</v>
          </cell>
          <cell r="AA631">
            <v>5.8513011703448539E-2</v>
          </cell>
          <cell r="AB631" t="str">
            <v/>
          </cell>
          <cell r="AC631" t="e">
            <v>#N/A</v>
          </cell>
          <cell r="AD631">
            <v>544</v>
          </cell>
          <cell r="AE631" t="e">
            <v>#N/A</v>
          </cell>
          <cell r="AF631" t="str">
            <v/>
          </cell>
        </row>
        <row r="632">
          <cell r="Y632">
            <v>616</v>
          </cell>
          <cell r="Z632">
            <v>0.61829396151006222</v>
          </cell>
          <cell r="AA632">
            <v>5.0878822022792987E-2</v>
          </cell>
          <cell r="AB632" t="str">
            <v/>
          </cell>
          <cell r="AC632" t="e">
            <v>#N/A</v>
          </cell>
          <cell r="AD632">
            <v>545</v>
          </cell>
          <cell r="AE632" t="e">
            <v>#N/A</v>
          </cell>
          <cell r="AF632" t="str">
            <v/>
          </cell>
        </row>
        <row r="633">
          <cell r="Y633">
            <v>617</v>
          </cell>
          <cell r="Z633">
            <v>0.65292212180793285</v>
          </cell>
          <cell r="AA633">
            <v>6.6466595657491551E-2</v>
          </cell>
          <cell r="AB633" t="str">
            <v/>
          </cell>
          <cell r="AC633" t="e">
            <v>#N/A</v>
          </cell>
          <cell r="AD633">
            <v>546</v>
          </cell>
          <cell r="AE633" t="e">
            <v>#N/A</v>
          </cell>
          <cell r="AF633" t="str">
            <v/>
          </cell>
        </row>
        <row r="634">
          <cell r="Y634">
            <v>618</v>
          </cell>
          <cell r="Z634">
            <v>0.7060669120401144</v>
          </cell>
          <cell r="AA634">
            <v>9.1603024783285802E-2</v>
          </cell>
          <cell r="AB634" t="str">
            <v/>
          </cell>
          <cell r="AC634" t="e">
            <v>#N/A</v>
          </cell>
          <cell r="AD634">
            <v>547</v>
          </cell>
          <cell r="AE634" t="e">
            <v>#N/A</v>
          </cell>
          <cell r="AF634" t="str">
            <v/>
          </cell>
        </row>
        <row r="635">
          <cell r="Y635">
            <v>619</v>
          </cell>
          <cell r="Z635">
            <v>0.2992710005491972</v>
          </cell>
          <cell r="AA635">
            <v>-8.8994463399997045E-2</v>
          </cell>
          <cell r="AB635" t="str">
            <v/>
          </cell>
          <cell r="AC635" t="e">
            <v>#N/A</v>
          </cell>
          <cell r="AD635">
            <v>548</v>
          </cell>
          <cell r="AE635" t="e">
            <v>#N/A</v>
          </cell>
          <cell r="AF635" t="str">
            <v/>
          </cell>
        </row>
        <row r="636">
          <cell r="Y636">
            <v>620</v>
          </cell>
          <cell r="Z636">
            <v>0.89601497910916805</v>
          </cell>
          <cell r="AA636">
            <v>0.21283805851074294</v>
          </cell>
          <cell r="AB636" t="str">
            <v/>
          </cell>
          <cell r="AC636" t="e">
            <v>#N/A</v>
          </cell>
          <cell r="AD636">
            <v>549</v>
          </cell>
          <cell r="AE636" t="e">
            <v>#N/A</v>
          </cell>
          <cell r="AF636" t="str">
            <v/>
          </cell>
        </row>
        <row r="637">
          <cell r="Y637">
            <v>621</v>
          </cell>
          <cell r="Z637">
            <v>0.43928640894591808</v>
          </cell>
          <cell r="AA637">
            <v>-2.5824308859275166E-2</v>
          </cell>
          <cell r="AB637" t="str">
            <v/>
          </cell>
          <cell r="AC637" t="e">
            <v>#N/A</v>
          </cell>
          <cell r="AD637">
            <v>550</v>
          </cell>
          <cell r="AE637" t="e">
            <v>#N/A</v>
          </cell>
          <cell r="AF637" t="str">
            <v/>
          </cell>
        </row>
        <row r="638">
          <cell r="Y638">
            <v>622</v>
          </cell>
          <cell r="Z638">
            <v>0.80018249712884426</v>
          </cell>
          <cell r="AA638">
            <v>0.14237016867438268</v>
          </cell>
          <cell r="AB638" t="str">
            <v/>
          </cell>
          <cell r="AC638" t="e">
            <v>#N/A</v>
          </cell>
          <cell r="AD638">
            <v>551</v>
          </cell>
          <cell r="AE638" t="e">
            <v>#N/A</v>
          </cell>
          <cell r="AF638" t="str">
            <v/>
          </cell>
        </row>
        <row r="639">
          <cell r="Y639">
            <v>623</v>
          </cell>
          <cell r="Z639">
            <v>0.37366090528666973</v>
          </cell>
          <cell r="AA639">
            <v>-5.4457137783816223E-2</v>
          </cell>
          <cell r="AB639" t="str">
            <v/>
          </cell>
          <cell r="AC639" t="e">
            <v>#N/A</v>
          </cell>
          <cell r="AD639">
            <v>552</v>
          </cell>
          <cell r="AE639" t="e">
            <v>#N/A</v>
          </cell>
          <cell r="AF639" t="str">
            <v/>
          </cell>
        </row>
        <row r="640">
          <cell r="Y640">
            <v>624</v>
          </cell>
          <cell r="Z640">
            <v>0.91045846603810787</v>
          </cell>
          <cell r="AA640">
            <v>0.22710708327861234</v>
          </cell>
          <cell r="AB640" t="str">
            <v/>
          </cell>
          <cell r="AC640" t="e">
            <v>#N/A</v>
          </cell>
          <cell r="AD640">
            <v>553</v>
          </cell>
          <cell r="AE640" t="e">
            <v>#N/A</v>
          </cell>
          <cell r="AF640" t="str">
            <v/>
          </cell>
        </row>
        <row r="641">
          <cell r="Y641">
            <v>625</v>
          </cell>
          <cell r="Z641">
            <v>0.49634113721549511</v>
          </cell>
          <cell r="AA641">
            <v>-1.5502727859985172E-3</v>
          </cell>
          <cell r="AB641" t="str">
            <v/>
          </cell>
          <cell r="AC641" t="e">
            <v>#N/A</v>
          </cell>
          <cell r="AD641">
            <v>554</v>
          </cell>
          <cell r="AE641" t="e">
            <v>#N/A</v>
          </cell>
          <cell r="AF641" t="str">
            <v/>
          </cell>
        </row>
        <row r="642">
          <cell r="Y642">
            <v>626</v>
          </cell>
          <cell r="Z642">
            <v>0.82458973489701748</v>
          </cell>
          <cell r="AA642">
            <v>0.1577055999933788</v>
          </cell>
          <cell r="AB642" t="str">
            <v/>
          </cell>
          <cell r="AC642" t="e">
            <v>#N/A</v>
          </cell>
          <cell r="AD642">
            <v>555</v>
          </cell>
          <cell r="AE642" t="e">
            <v>#N/A</v>
          </cell>
          <cell r="AF642" t="str">
            <v/>
          </cell>
        </row>
        <row r="643">
          <cell r="Y643">
            <v>627</v>
          </cell>
          <cell r="Z643">
            <v>6.8636728450655937E-2</v>
          </cell>
          <cell r="AA643">
            <v>-0.25118346416041964</v>
          </cell>
          <cell r="AB643" t="str">
            <v/>
          </cell>
          <cell r="AC643" t="e">
            <v>#N/A</v>
          </cell>
          <cell r="AD643">
            <v>556</v>
          </cell>
          <cell r="AE643" t="e">
            <v>#N/A</v>
          </cell>
          <cell r="AF643" t="str">
            <v/>
          </cell>
        </row>
        <row r="644">
          <cell r="Y644">
            <v>628</v>
          </cell>
          <cell r="Z644">
            <v>0.17678402923047543</v>
          </cell>
          <cell r="AA644">
            <v>-0.15680834045840372</v>
          </cell>
          <cell r="AB644" t="str">
            <v/>
          </cell>
          <cell r="AC644" t="e">
            <v>#N/A</v>
          </cell>
          <cell r="AD644">
            <v>557</v>
          </cell>
          <cell r="AE644" t="e">
            <v>#N/A</v>
          </cell>
          <cell r="AF644" t="str">
            <v/>
          </cell>
        </row>
        <row r="645">
          <cell r="Y645">
            <v>629</v>
          </cell>
          <cell r="Z645">
            <v>0.59049713425338268</v>
          </cell>
          <cell r="AA645">
            <v>3.8678311270281755E-2</v>
          </cell>
          <cell r="AB645" t="str">
            <v/>
          </cell>
          <cell r="AC645" t="e">
            <v>#N/A</v>
          </cell>
          <cell r="AD645">
            <v>558</v>
          </cell>
          <cell r="AE645" t="e">
            <v>#N/A</v>
          </cell>
          <cell r="AF645" t="str">
            <v/>
          </cell>
        </row>
        <row r="646">
          <cell r="Y646">
            <v>630</v>
          </cell>
          <cell r="Z646">
            <v>1.8996572121977806E-2</v>
          </cell>
          <cell r="AA646">
            <v>-0.35072696215679439</v>
          </cell>
          <cell r="AB646" t="str">
            <v/>
          </cell>
          <cell r="AC646" t="e">
            <v>#N/A</v>
          </cell>
          <cell r="AD646">
            <v>559</v>
          </cell>
          <cell r="AE646" t="e">
            <v>#N/A</v>
          </cell>
          <cell r="AF646" t="str">
            <v/>
          </cell>
        </row>
        <row r="647">
          <cell r="Y647">
            <v>631</v>
          </cell>
          <cell r="Z647">
            <v>0.96817521564662457</v>
          </cell>
          <cell r="AA647">
            <v>0.31348911025581738</v>
          </cell>
          <cell r="AB647" t="str">
            <v/>
          </cell>
          <cell r="AC647" t="e">
            <v>#N/A</v>
          </cell>
          <cell r="AD647">
            <v>560</v>
          </cell>
          <cell r="AE647" t="e">
            <v>#N/A</v>
          </cell>
          <cell r="AF647" t="str">
            <v/>
          </cell>
        </row>
        <row r="648">
          <cell r="Y648">
            <v>632</v>
          </cell>
          <cell r="Z648">
            <v>0.74274404905736446</v>
          </cell>
          <cell r="AA648">
            <v>0.11017910299032237</v>
          </cell>
          <cell r="AB648" t="str">
            <v/>
          </cell>
          <cell r="AC648" t="e">
            <v>#N/A</v>
          </cell>
          <cell r="AD648">
            <v>561</v>
          </cell>
          <cell r="AE648" t="e">
            <v>#N/A</v>
          </cell>
          <cell r="AF648" t="str">
            <v/>
          </cell>
        </row>
        <row r="649">
          <cell r="Y649">
            <v>633</v>
          </cell>
          <cell r="Z649">
            <v>0.14624628238379955</v>
          </cell>
          <cell r="AA649">
            <v>-0.1779335945046866</v>
          </cell>
          <cell r="AB649" t="str">
            <v/>
          </cell>
          <cell r="AC649" t="e">
            <v>#N/A</v>
          </cell>
          <cell r="AD649">
            <v>562</v>
          </cell>
          <cell r="AE649" t="e">
            <v>#N/A</v>
          </cell>
          <cell r="AF649" t="str">
            <v/>
          </cell>
        </row>
        <row r="650">
          <cell r="Y650">
            <v>634</v>
          </cell>
          <cell r="Z650">
            <v>0.72503966651856899</v>
          </cell>
          <cell r="AA650">
            <v>0.10105999766717222</v>
          </cell>
          <cell r="AB650" t="str">
            <v/>
          </cell>
          <cell r="AC650" t="e">
            <v>#N/A</v>
          </cell>
          <cell r="AD650">
            <v>563</v>
          </cell>
          <cell r="AE650" t="e">
            <v>#N/A</v>
          </cell>
          <cell r="AF650" t="str">
            <v/>
          </cell>
        </row>
        <row r="651">
          <cell r="Y651">
            <v>635</v>
          </cell>
          <cell r="Z651">
            <v>9.0701354667544365E-2</v>
          </cell>
          <cell r="AA651">
            <v>-0.22590103419770891</v>
          </cell>
          <cell r="AB651" t="str">
            <v/>
          </cell>
          <cell r="AC651" t="e">
            <v>#N/A</v>
          </cell>
          <cell r="AD651">
            <v>564</v>
          </cell>
          <cell r="AE651" t="e">
            <v>#N/A</v>
          </cell>
          <cell r="AF651" t="str">
            <v/>
          </cell>
        </row>
        <row r="652">
          <cell r="Y652">
            <v>636</v>
          </cell>
          <cell r="Z652">
            <v>0.72579305432736874</v>
          </cell>
          <cell r="AA652">
            <v>0.10144193269752959</v>
          </cell>
          <cell r="AB652" t="str">
            <v/>
          </cell>
          <cell r="AC652" t="e">
            <v>#N/A</v>
          </cell>
          <cell r="AD652">
            <v>565</v>
          </cell>
          <cell r="AE652" t="e">
            <v>#N/A</v>
          </cell>
          <cell r="AF652" t="str">
            <v/>
          </cell>
        </row>
        <row r="653">
          <cell r="Y653">
            <v>637</v>
          </cell>
          <cell r="Z653">
            <v>0.97858339361846447</v>
          </cell>
          <cell r="AA653">
            <v>0.34234371001149783</v>
          </cell>
          <cell r="AB653" t="str">
            <v/>
          </cell>
          <cell r="AC653" t="e">
            <v>#N/A</v>
          </cell>
          <cell r="AD653">
            <v>566</v>
          </cell>
          <cell r="AE653" t="e">
            <v>#N/A</v>
          </cell>
          <cell r="AF653" t="str">
            <v/>
          </cell>
        </row>
        <row r="654">
          <cell r="Y654">
            <v>638</v>
          </cell>
          <cell r="Z654">
            <v>0.65776876173913479</v>
          </cell>
          <cell r="AA654">
            <v>6.8690972583130477E-2</v>
          </cell>
          <cell r="AB654" t="str">
            <v/>
          </cell>
          <cell r="AC654" t="e">
            <v>#N/A</v>
          </cell>
          <cell r="AD654">
            <v>567</v>
          </cell>
          <cell r="AE654" t="e">
            <v>#N/A</v>
          </cell>
          <cell r="AF654" t="str">
            <v/>
          </cell>
        </row>
        <row r="655">
          <cell r="Y655">
            <v>639</v>
          </cell>
          <cell r="Z655">
            <v>0.16838525049388409</v>
          </cell>
          <cell r="AA655">
            <v>-0.16236526482826424</v>
          </cell>
          <cell r="AB655" t="str">
            <v/>
          </cell>
          <cell r="AC655" t="e">
            <v>#N/A</v>
          </cell>
          <cell r="AD655">
            <v>568</v>
          </cell>
          <cell r="AE655" t="e">
            <v>#N/A</v>
          </cell>
          <cell r="AF655" t="str">
            <v/>
          </cell>
        </row>
        <row r="656">
          <cell r="Y656">
            <v>640</v>
          </cell>
          <cell r="Z656">
            <v>0.69394709728658199</v>
          </cell>
          <cell r="AA656">
            <v>8.5710449084217405E-2</v>
          </cell>
          <cell r="AB656" t="str">
            <v/>
          </cell>
          <cell r="AC656" t="e">
            <v>#N/A</v>
          </cell>
          <cell r="AD656">
            <v>569</v>
          </cell>
          <cell r="AE656" t="e">
            <v>#N/A</v>
          </cell>
          <cell r="AF656" t="str">
            <v/>
          </cell>
        </row>
        <row r="657">
          <cell r="Y657">
            <v>641</v>
          </cell>
          <cell r="Z657">
            <v>0.99417808465659618</v>
          </cell>
          <cell r="AA657">
            <v>0.42642403044131721</v>
          </cell>
          <cell r="AB657" t="str">
            <v/>
          </cell>
          <cell r="AC657" t="e">
            <v>#N/A</v>
          </cell>
          <cell r="AD657">
            <v>570</v>
          </cell>
          <cell r="AE657" t="e">
            <v>#N/A</v>
          </cell>
          <cell r="AF657" t="str">
            <v/>
          </cell>
        </row>
        <row r="658">
          <cell r="Y658">
            <v>642</v>
          </cell>
          <cell r="Z658">
            <v>0.77088106237351894</v>
          </cell>
          <cell r="AA658">
            <v>0.12537889710839403</v>
          </cell>
          <cell r="AB658" t="str">
            <v/>
          </cell>
          <cell r="AC658" t="e">
            <v>#N/A</v>
          </cell>
          <cell r="AD658">
            <v>571</v>
          </cell>
          <cell r="AE658" t="e">
            <v>#N/A</v>
          </cell>
          <cell r="AF658" t="str">
            <v/>
          </cell>
        </row>
        <row r="659">
          <cell r="Y659">
            <v>643</v>
          </cell>
          <cell r="Z659">
            <v>0.64518900029361248</v>
          </cell>
          <cell r="AA659">
            <v>6.2940970695198883E-2</v>
          </cell>
          <cell r="AB659" t="str">
            <v/>
          </cell>
          <cell r="AC659" t="e">
            <v>#N/A</v>
          </cell>
          <cell r="AD659">
            <v>572</v>
          </cell>
          <cell r="AE659" t="e">
            <v>#N/A</v>
          </cell>
          <cell r="AF659" t="str">
            <v/>
          </cell>
        </row>
        <row r="660">
          <cell r="Y660">
            <v>644</v>
          </cell>
          <cell r="Z660">
            <v>0.39039312861859798</v>
          </cell>
          <cell r="AA660">
            <v>-4.7040365079245992E-2</v>
          </cell>
          <cell r="AB660" t="str">
            <v/>
          </cell>
          <cell r="AC660" t="e">
            <v>#N/A</v>
          </cell>
          <cell r="AD660">
            <v>573</v>
          </cell>
          <cell r="AE660" t="e">
            <v>#N/A</v>
          </cell>
          <cell r="AF660" t="str">
            <v/>
          </cell>
        </row>
        <row r="661">
          <cell r="Y661">
            <v>645</v>
          </cell>
          <cell r="Z661">
            <v>0.36129665188491344</v>
          </cell>
          <cell r="AA661">
            <v>-6.0005114436232541E-2</v>
          </cell>
          <cell r="AB661" t="str">
            <v/>
          </cell>
          <cell r="AC661" t="e">
            <v>#N/A</v>
          </cell>
          <cell r="AD661">
            <v>574</v>
          </cell>
          <cell r="AE661" t="e">
            <v>#N/A</v>
          </cell>
          <cell r="AF661" t="str">
            <v/>
          </cell>
        </row>
        <row r="662">
          <cell r="Y662">
            <v>646</v>
          </cell>
          <cell r="Z662">
            <v>0.21570560894906521</v>
          </cell>
          <cell r="AA662">
            <v>-0.1329899327821501</v>
          </cell>
          <cell r="AB662" t="str">
            <v/>
          </cell>
          <cell r="AC662" t="e">
            <v>#N/A</v>
          </cell>
          <cell r="AD662">
            <v>575</v>
          </cell>
          <cell r="AE662" t="e">
            <v>#N/A</v>
          </cell>
          <cell r="AF662" t="str">
            <v/>
          </cell>
        </row>
        <row r="663">
          <cell r="Y663">
            <v>647</v>
          </cell>
          <cell r="Z663">
            <v>0.8936635684221983</v>
          </cell>
          <cell r="AA663">
            <v>0.2106545896433622</v>
          </cell>
          <cell r="AB663" t="str">
            <v/>
          </cell>
          <cell r="AC663" t="e">
            <v>#N/A</v>
          </cell>
          <cell r="AD663">
            <v>576</v>
          </cell>
          <cell r="AE663" t="e">
            <v>#N/A</v>
          </cell>
          <cell r="AF663" t="str">
            <v/>
          </cell>
        </row>
        <row r="664">
          <cell r="Y664">
            <v>648</v>
          </cell>
          <cell r="Z664">
            <v>0.30184837244451046</v>
          </cell>
          <cell r="AA664">
            <v>-8.7742524167529728E-2</v>
          </cell>
          <cell r="AB664" t="str">
            <v/>
          </cell>
          <cell r="AC664" t="e">
            <v>#N/A</v>
          </cell>
          <cell r="AD664">
            <v>577</v>
          </cell>
          <cell r="AE664" t="e">
            <v>#N/A</v>
          </cell>
          <cell r="AF664" t="str">
            <v/>
          </cell>
        </row>
        <row r="665">
          <cell r="Y665">
            <v>649</v>
          </cell>
          <cell r="Z665">
            <v>0.648473946377635</v>
          </cell>
          <cell r="AA665">
            <v>6.4435185018275581E-2</v>
          </cell>
          <cell r="AB665" t="str">
            <v/>
          </cell>
          <cell r="AC665" t="e">
            <v>#N/A</v>
          </cell>
          <cell r="AD665">
            <v>578</v>
          </cell>
          <cell r="AE665" t="e">
            <v>#N/A</v>
          </cell>
          <cell r="AF665" t="str">
            <v/>
          </cell>
        </row>
        <row r="666">
          <cell r="Y666">
            <v>650</v>
          </cell>
          <cell r="Z666">
            <v>0.89393765293061733</v>
          </cell>
          <cell r="AA666">
            <v>0.21090728926374372</v>
          </cell>
          <cell r="AB666" t="str">
            <v/>
          </cell>
          <cell r="AC666" t="e">
            <v>#N/A</v>
          </cell>
          <cell r="AD666">
            <v>579</v>
          </cell>
          <cell r="AE666" t="e">
            <v>#N/A</v>
          </cell>
          <cell r="AF666" t="str">
            <v/>
          </cell>
        </row>
        <row r="667">
          <cell r="Y667">
            <v>651</v>
          </cell>
          <cell r="Z667">
            <v>0.15049566142261028</v>
          </cell>
          <cell r="AA667">
            <v>-0.17483027794317474</v>
          </cell>
          <cell r="AB667" t="str">
            <v/>
          </cell>
          <cell r="AC667" t="e">
            <v>#N/A</v>
          </cell>
          <cell r="AD667">
            <v>580</v>
          </cell>
          <cell r="AE667" t="e">
            <v>#N/A</v>
          </cell>
          <cell r="AF667" t="str">
            <v/>
          </cell>
        </row>
        <row r="668">
          <cell r="Y668">
            <v>652</v>
          </cell>
          <cell r="Z668">
            <v>0.57066970132291317</v>
          </cell>
          <cell r="AA668">
            <v>3.0100917362333272E-2</v>
          </cell>
          <cell r="AB668" t="str">
            <v/>
          </cell>
          <cell r="AC668" t="e">
            <v>#N/A</v>
          </cell>
          <cell r="AD668">
            <v>581</v>
          </cell>
          <cell r="AE668" t="e">
            <v>#N/A</v>
          </cell>
          <cell r="AF668" t="str">
            <v/>
          </cell>
        </row>
        <row r="669">
          <cell r="Y669">
            <v>653</v>
          </cell>
          <cell r="Z669">
            <v>0.43193524889647961</v>
          </cell>
          <cell r="AA669">
            <v>-2.8980220002246985E-2</v>
          </cell>
          <cell r="AB669" t="str">
            <v/>
          </cell>
          <cell r="AC669" t="e">
            <v>#N/A</v>
          </cell>
          <cell r="AD669">
            <v>582</v>
          </cell>
          <cell r="AE669" t="e">
            <v>#N/A</v>
          </cell>
          <cell r="AF669" t="str">
            <v/>
          </cell>
        </row>
        <row r="670">
          <cell r="Y670">
            <v>654</v>
          </cell>
          <cell r="Z670">
            <v>0.10412303172051907</v>
          </cell>
          <cell r="AA670">
            <v>-0.21270892247158762</v>
          </cell>
          <cell r="AB670" t="str">
            <v/>
          </cell>
          <cell r="AC670" t="e">
            <v>#N/A</v>
          </cell>
          <cell r="AD670">
            <v>583</v>
          </cell>
          <cell r="AE670" t="e">
            <v>#N/A</v>
          </cell>
          <cell r="AF670" t="str">
            <v/>
          </cell>
        </row>
        <row r="671">
          <cell r="Y671">
            <v>655</v>
          </cell>
          <cell r="Z671">
            <v>0.67080460302531719</v>
          </cell>
          <cell r="AA671">
            <v>7.4734624567691171E-2</v>
          </cell>
          <cell r="AB671" t="str">
            <v/>
          </cell>
          <cell r="AC671" t="e">
            <v>#N/A</v>
          </cell>
          <cell r="AD671">
            <v>584</v>
          </cell>
          <cell r="AE671" t="e">
            <v>#N/A</v>
          </cell>
          <cell r="AF671" t="str">
            <v/>
          </cell>
        </row>
        <row r="672">
          <cell r="Y672">
            <v>656</v>
          </cell>
          <cell r="Z672">
            <v>0.75071301124989986</v>
          </cell>
          <cell r="AA672">
            <v>0.11438912703085914</v>
          </cell>
          <cell r="AB672" t="str">
            <v/>
          </cell>
          <cell r="AC672" t="e">
            <v>#N/A</v>
          </cell>
          <cell r="AD672">
            <v>585</v>
          </cell>
          <cell r="AE672" t="e">
            <v>#N/A</v>
          </cell>
          <cell r="AF672" t="str">
            <v/>
          </cell>
        </row>
        <row r="673">
          <cell r="Y673">
            <v>657</v>
          </cell>
          <cell r="Z673">
            <v>0.87176814489066601</v>
          </cell>
          <cell r="AA673">
            <v>0.19181436080902992</v>
          </cell>
          <cell r="AB673" t="str">
            <v/>
          </cell>
          <cell r="AC673" t="e">
            <v>#N/A</v>
          </cell>
          <cell r="AD673">
            <v>586</v>
          </cell>
          <cell r="AE673" t="e">
            <v>#N/A</v>
          </cell>
          <cell r="AF673" t="str">
            <v/>
          </cell>
        </row>
        <row r="674">
          <cell r="Y674">
            <v>658</v>
          </cell>
          <cell r="Z674">
            <v>0.78189254365861416</v>
          </cell>
          <cell r="AA674">
            <v>0.13160755433618077</v>
          </cell>
          <cell r="AB674" t="str">
            <v/>
          </cell>
          <cell r="AC674" t="e">
            <v>#N/A</v>
          </cell>
          <cell r="AD674">
            <v>587</v>
          </cell>
          <cell r="AE674" t="e">
            <v>#N/A</v>
          </cell>
          <cell r="AF674" t="str">
            <v/>
          </cell>
        </row>
        <row r="675">
          <cell r="Y675">
            <v>659</v>
          </cell>
          <cell r="Z675">
            <v>0.60118920914828777</v>
          </cell>
          <cell r="AA675">
            <v>4.3343977676679794E-2</v>
          </cell>
          <cell r="AB675" t="str">
            <v/>
          </cell>
          <cell r="AC675" t="e">
            <v>#N/A</v>
          </cell>
          <cell r="AD675">
            <v>588</v>
          </cell>
          <cell r="AE675" t="e">
            <v>#N/A</v>
          </cell>
          <cell r="AF675" t="str">
            <v/>
          </cell>
        </row>
        <row r="676">
          <cell r="Y676">
            <v>660</v>
          </cell>
          <cell r="Z676">
            <v>0.90694259665906429</v>
          </cell>
          <cell r="AA676">
            <v>0.22348586591660896</v>
          </cell>
          <cell r="AB676" t="str">
            <v/>
          </cell>
          <cell r="AC676" t="e">
            <v>#N/A</v>
          </cell>
          <cell r="AD676">
            <v>589</v>
          </cell>
          <cell r="AE676" t="e">
            <v>#N/A</v>
          </cell>
          <cell r="AF676" t="str">
            <v/>
          </cell>
        </row>
        <row r="677">
          <cell r="Y677">
            <v>661</v>
          </cell>
          <cell r="Z677">
            <v>0.75684439949691296</v>
          </cell>
          <cell r="AA677">
            <v>0.11767722325455135</v>
          </cell>
          <cell r="AB677" t="str">
            <v/>
          </cell>
          <cell r="AC677" t="e">
            <v>#N/A</v>
          </cell>
          <cell r="AD677">
            <v>590</v>
          </cell>
          <cell r="AE677" t="e">
            <v>#N/A</v>
          </cell>
          <cell r="AF677" t="str">
            <v/>
          </cell>
        </row>
        <row r="678">
          <cell r="Y678">
            <v>662</v>
          </cell>
          <cell r="Z678">
            <v>0.83394632302224636</v>
          </cell>
          <cell r="AA678">
            <v>0.16393928782473843</v>
          </cell>
          <cell r="AB678" t="str">
            <v/>
          </cell>
          <cell r="AC678" t="e">
            <v>#N/A</v>
          </cell>
          <cell r="AD678">
            <v>591</v>
          </cell>
          <cell r="AE678" t="e">
            <v>#N/A</v>
          </cell>
          <cell r="AF678" t="str">
            <v/>
          </cell>
        </row>
        <row r="679">
          <cell r="Y679">
            <v>663</v>
          </cell>
          <cell r="Z679">
            <v>7.1524662896990776E-2</v>
          </cell>
          <cell r="AA679">
            <v>-0.24755066950646462</v>
          </cell>
          <cell r="AB679" t="str">
            <v/>
          </cell>
          <cell r="AC679" t="e">
            <v>#N/A</v>
          </cell>
          <cell r="AD679">
            <v>592</v>
          </cell>
          <cell r="AE679" t="e">
            <v>#N/A</v>
          </cell>
          <cell r="AF679" t="str">
            <v/>
          </cell>
        </row>
        <row r="680">
          <cell r="Y680">
            <v>664</v>
          </cell>
          <cell r="Z680">
            <v>0.55879052542150021</v>
          </cell>
          <cell r="AA680">
            <v>2.5000249500605202E-2</v>
          </cell>
          <cell r="AB680" t="str">
            <v/>
          </cell>
          <cell r="AC680" t="e">
            <v>#N/A</v>
          </cell>
          <cell r="AD680">
            <v>593</v>
          </cell>
          <cell r="AE680" t="e">
            <v>#N/A</v>
          </cell>
          <cell r="AF680" t="str">
            <v/>
          </cell>
        </row>
        <row r="681">
          <cell r="Y681">
            <v>665</v>
          </cell>
          <cell r="Z681">
            <v>0.5184918325394392</v>
          </cell>
          <cell r="AA681">
            <v>7.8377511100884596E-3</v>
          </cell>
          <cell r="AB681" t="str">
            <v/>
          </cell>
          <cell r="AC681" t="e">
            <v>#N/A</v>
          </cell>
          <cell r="AD681">
            <v>594</v>
          </cell>
          <cell r="AE681" t="e">
            <v>#N/A</v>
          </cell>
          <cell r="AF681" t="str">
            <v/>
          </cell>
        </row>
        <row r="682">
          <cell r="Y682">
            <v>666</v>
          </cell>
          <cell r="Z682">
            <v>6.5788215026259422E-2</v>
          </cell>
          <cell r="AA682">
            <v>-0.25488405854260593</v>
          </cell>
          <cell r="AB682" t="str">
            <v/>
          </cell>
          <cell r="AC682" t="e">
            <v>#N/A</v>
          </cell>
          <cell r="AD682">
            <v>595</v>
          </cell>
          <cell r="AE682" t="e">
            <v>#N/A</v>
          </cell>
          <cell r="AF682" t="str">
            <v/>
          </cell>
        </row>
        <row r="683">
          <cell r="Y683">
            <v>667</v>
          </cell>
          <cell r="Z683">
            <v>5.5093895643949509E-3</v>
          </cell>
          <cell r="AA683">
            <v>-0.42969378285583931</v>
          </cell>
          <cell r="AB683" t="str">
            <v/>
          </cell>
          <cell r="AC683" t="e">
            <v>#N/A</v>
          </cell>
          <cell r="AD683">
            <v>596</v>
          </cell>
          <cell r="AE683" t="e">
            <v>#N/A</v>
          </cell>
          <cell r="AF683" t="str">
            <v/>
          </cell>
        </row>
        <row r="684">
          <cell r="Y684">
            <v>668</v>
          </cell>
          <cell r="Z684">
            <v>0.96726601384580135</v>
          </cell>
          <cell r="AA684">
            <v>0.31136312204414274</v>
          </cell>
          <cell r="AB684" t="str">
            <v/>
          </cell>
          <cell r="AC684" t="e">
            <v>#N/A</v>
          </cell>
          <cell r="AD684">
            <v>597</v>
          </cell>
          <cell r="AE684" t="e">
            <v>#N/A</v>
          </cell>
          <cell r="AF684" t="str">
            <v/>
          </cell>
        </row>
        <row r="685">
          <cell r="Y685">
            <v>669</v>
          </cell>
          <cell r="Z685">
            <v>0.71291619352996349</v>
          </cell>
          <cell r="AA685">
            <v>9.4982538551826395E-2</v>
          </cell>
          <cell r="AB685" t="str">
            <v/>
          </cell>
          <cell r="AC685" t="e">
            <v>#N/A</v>
          </cell>
          <cell r="AD685">
            <v>598</v>
          </cell>
          <cell r="AE685" t="e">
            <v>#N/A</v>
          </cell>
          <cell r="AF685" t="str">
            <v/>
          </cell>
        </row>
        <row r="686">
          <cell r="Y686">
            <v>670</v>
          </cell>
          <cell r="Z686">
            <v>0.20321015082299709</v>
          </cell>
          <cell r="AA686">
            <v>-0.14033103120177709</v>
          </cell>
          <cell r="AB686" t="str">
            <v/>
          </cell>
          <cell r="AC686" t="e">
            <v>#N/A</v>
          </cell>
          <cell r="AD686">
            <v>599</v>
          </cell>
          <cell r="AE686" t="e">
            <v>#N/A</v>
          </cell>
          <cell r="AF686" t="str">
            <v/>
          </cell>
        </row>
        <row r="687">
          <cell r="Y687">
            <v>671</v>
          </cell>
          <cell r="Z687">
            <v>0.14996193163096905</v>
          </cell>
          <cell r="AA687">
            <v>-0.17521681816560852</v>
          </cell>
          <cell r="AB687" t="str">
            <v/>
          </cell>
          <cell r="AC687" t="e">
            <v>#N/A</v>
          </cell>
          <cell r="AD687">
            <v>600</v>
          </cell>
          <cell r="AE687" t="e">
            <v>#N/A</v>
          </cell>
          <cell r="AF687" t="str">
            <v/>
          </cell>
        </row>
        <row r="688">
          <cell r="Y688">
            <v>672</v>
          </cell>
          <cell r="Z688">
            <v>0.26581480167806149</v>
          </cell>
          <cell r="AA688">
            <v>-0.10573223528336995</v>
          </cell>
          <cell r="AB688" t="str">
            <v/>
          </cell>
          <cell r="AC688" t="e">
            <v>#N/A</v>
          </cell>
          <cell r="AD688">
            <v>601</v>
          </cell>
          <cell r="AE688" t="e">
            <v>#N/A</v>
          </cell>
          <cell r="AF688" t="str">
            <v/>
          </cell>
        </row>
        <row r="689">
          <cell r="Y689">
            <v>673</v>
          </cell>
          <cell r="Z689">
            <v>0.47237303666770458</v>
          </cell>
          <cell r="AA689">
            <v>-1.1714847182059576E-2</v>
          </cell>
          <cell r="AB689" t="str">
            <v/>
          </cell>
          <cell r="AC689" t="e">
            <v>#N/A</v>
          </cell>
          <cell r="AD689">
            <v>602</v>
          </cell>
          <cell r="AE689" t="e">
            <v>#N/A</v>
          </cell>
          <cell r="AF689" t="str">
            <v/>
          </cell>
        </row>
        <row r="690">
          <cell r="Y690">
            <v>674</v>
          </cell>
          <cell r="Z690">
            <v>0.50752652250230312</v>
          </cell>
          <cell r="AA690">
            <v>3.1891580454435574E-3</v>
          </cell>
          <cell r="AB690" t="str">
            <v/>
          </cell>
          <cell r="AC690" t="e">
            <v>#N/A</v>
          </cell>
          <cell r="AD690">
            <v>603</v>
          </cell>
          <cell r="AE690" t="e">
            <v>#N/A</v>
          </cell>
          <cell r="AF690" t="str">
            <v/>
          </cell>
        </row>
        <row r="691">
          <cell r="Y691">
            <v>675</v>
          </cell>
          <cell r="Z691">
            <v>0.82286782376468182</v>
          </cell>
          <cell r="AA691">
            <v>0.15658165294727394</v>
          </cell>
          <cell r="AB691" t="str">
            <v/>
          </cell>
          <cell r="AC691" t="e">
            <v>#N/A</v>
          </cell>
          <cell r="AD691">
            <v>604</v>
          </cell>
          <cell r="AE691" t="e">
            <v>#N/A</v>
          </cell>
          <cell r="AF691" t="str">
            <v/>
          </cell>
        </row>
        <row r="692">
          <cell r="Y692">
            <v>676</v>
          </cell>
          <cell r="Z692">
            <v>0.93492852710187435</v>
          </cell>
          <cell r="AA692">
            <v>0.25583468966989859</v>
          </cell>
          <cell r="AB692" t="str">
            <v/>
          </cell>
          <cell r="AC692" t="e">
            <v>#N/A</v>
          </cell>
          <cell r="AD692">
            <v>605</v>
          </cell>
          <cell r="AE692" t="e">
            <v>#N/A</v>
          </cell>
          <cell r="AF692" t="str">
            <v/>
          </cell>
        </row>
        <row r="693">
          <cell r="Y693">
            <v>677</v>
          </cell>
          <cell r="Z693">
            <v>0.42508959583938122</v>
          </cell>
          <cell r="AA693">
            <v>-3.1928202855214471E-2</v>
          </cell>
          <cell r="AB693" t="str">
            <v/>
          </cell>
          <cell r="AC693" t="e">
            <v>#N/A</v>
          </cell>
          <cell r="AD693">
            <v>606</v>
          </cell>
          <cell r="AE693" t="e">
            <v>#N/A</v>
          </cell>
          <cell r="AF693" t="str">
            <v/>
          </cell>
        </row>
        <row r="694">
          <cell r="Y694">
            <v>678</v>
          </cell>
          <cell r="Z694">
            <v>0.48455855809152126</v>
          </cell>
          <cell r="AA694">
            <v>-6.5441349575541454E-3</v>
          </cell>
          <cell r="AB694" t="str">
            <v/>
          </cell>
          <cell r="AC694" t="e">
            <v>#N/A</v>
          </cell>
          <cell r="AD694">
            <v>607</v>
          </cell>
          <cell r="AE694" t="e">
            <v>#N/A</v>
          </cell>
          <cell r="AF694" t="str">
            <v/>
          </cell>
        </row>
        <row r="695">
          <cell r="Y695">
            <v>679</v>
          </cell>
          <cell r="Z695">
            <v>0.88017646782100201</v>
          </cell>
          <cell r="AA695">
            <v>0.19875820701177496</v>
          </cell>
          <cell r="AB695" t="str">
            <v/>
          </cell>
          <cell r="AC695" t="e">
            <v>#N/A</v>
          </cell>
          <cell r="AD695">
            <v>608</v>
          </cell>
          <cell r="AE695" t="e">
            <v>#N/A</v>
          </cell>
          <cell r="AF695" t="str">
            <v/>
          </cell>
        </row>
        <row r="696">
          <cell r="Y696">
            <v>680</v>
          </cell>
          <cell r="Z696">
            <v>0.1205041017383337</v>
          </cell>
          <cell r="AA696">
            <v>-0.19818368873786119</v>
          </cell>
          <cell r="AB696" t="str">
            <v/>
          </cell>
          <cell r="AC696" t="e">
            <v>#N/A</v>
          </cell>
          <cell r="AD696">
            <v>609</v>
          </cell>
          <cell r="AE696" t="e">
            <v>#N/A</v>
          </cell>
          <cell r="AF696" t="str">
            <v/>
          </cell>
        </row>
        <row r="697">
          <cell r="Y697">
            <v>681</v>
          </cell>
          <cell r="Z697">
            <v>0.58393665961921215</v>
          </cell>
          <cell r="AA697">
            <v>3.5830283749237364E-2</v>
          </cell>
          <cell r="AB697" t="str">
            <v/>
          </cell>
          <cell r="AC697" t="e">
            <v>#N/A</v>
          </cell>
          <cell r="AD697">
            <v>610</v>
          </cell>
          <cell r="AE697" t="e">
            <v>#N/A</v>
          </cell>
          <cell r="AF697" t="str">
            <v/>
          </cell>
        </row>
        <row r="698">
          <cell r="Y698">
            <v>682</v>
          </cell>
          <cell r="Z698">
            <v>0.18736869655549526</v>
          </cell>
          <cell r="AA698">
            <v>-0.15003761371443936</v>
          </cell>
          <cell r="AB698" t="str">
            <v/>
          </cell>
          <cell r="AC698" t="e">
            <v>#N/A</v>
          </cell>
          <cell r="AD698">
            <v>611</v>
          </cell>
          <cell r="AE698" t="e">
            <v>#N/A</v>
          </cell>
          <cell r="AF698" t="str">
            <v/>
          </cell>
        </row>
        <row r="699">
          <cell r="Y699">
            <v>683</v>
          </cell>
          <cell r="Z699">
            <v>0.40134800784289837</v>
          </cell>
          <cell r="AA699">
            <v>-4.2233961409577338E-2</v>
          </cell>
          <cell r="AB699" t="str">
            <v/>
          </cell>
          <cell r="AC699" t="e">
            <v>#N/A</v>
          </cell>
          <cell r="AD699">
            <v>612</v>
          </cell>
          <cell r="AE699" t="e">
            <v>#N/A</v>
          </cell>
          <cell r="AF699" t="str">
            <v/>
          </cell>
        </row>
        <row r="700">
          <cell r="Y700">
            <v>684</v>
          </cell>
          <cell r="Z700">
            <v>0.29595308564603329</v>
          </cell>
          <cell r="AA700">
            <v>-9.0613346981274906E-2</v>
          </cell>
          <cell r="AB700" t="str">
            <v/>
          </cell>
          <cell r="AC700" t="e">
            <v>#N/A</v>
          </cell>
          <cell r="AD700">
            <v>613</v>
          </cell>
          <cell r="AE700" t="e">
            <v>#N/A</v>
          </cell>
          <cell r="AF700" t="str">
            <v/>
          </cell>
        </row>
        <row r="701">
          <cell r="Y701">
            <v>685</v>
          </cell>
          <cell r="Z701">
            <v>0.70385044626891613</v>
          </cell>
          <cell r="AA701">
            <v>9.0517255486859322E-2</v>
          </cell>
          <cell r="AB701" t="str">
            <v/>
          </cell>
          <cell r="AC701" t="e">
            <v>#N/A</v>
          </cell>
          <cell r="AD701">
            <v>614</v>
          </cell>
          <cell r="AE701" t="e">
            <v>#N/A</v>
          </cell>
          <cell r="AF701" t="str">
            <v/>
          </cell>
        </row>
        <row r="702">
          <cell r="Y702">
            <v>686</v>
          </cell>
          <cell r="Z702">
            <v>0.61274496279656887</v>
          </cell>
          <cell r="AA702">
            <v>4.842405422271151E-2</v>
          </cell>
          <cell r="AB702" t="str">
            <v/>
          </cell>
          <cell r="AC702" t="e">
            <v>#N/A</v>
          </cell>
          <cell r="AD702">
            <v>615</v>
          </cell>
          <cell r="AE702" t="e">
            <v>#N/A</v>
          </cell>
          <cell r="AF702" t="str">
            <v/>
          </cell>
        </row>
        <row r="703">
          <cell r="Y703">
            <v>687</v>
          </cell>
          <cell r="Z703">
            <v>0.59365020506083965</v>
          </cell>
          <cell r="AA703">
            <v>4.0050986435778139E-2</v>
          </cell>
          <cell r="AB703" t="str">
            <v/>
          </cell>
          <cell r="AC703" t="e">
            <v>#N/A</v>
          </cell>
          <cell r="AD703">
            <v>616</v>
          </cell>
          <cell r="AE703" t="e">
            <v>#N/A</v>
          </cell>
          <cell r="AF703" t="str">
            <v/>
          </cell>
        </row>
        <row r="704">
          <cell r="Y704">
            <v>688</v>
          </cell>
          <cell r="Z704">
            <v>0.76806106232106686</v>
          </cell>
          <cell r="AA704">
            <v>0.12381109997862043</v>
          </cell>
          <cell r="AB704" t="str">
            <v/>
          </cell>
          <cell r="AC704" t="e">
            <v>#N/A</v>
          </cell>
          <cell r="AD704">
            <v>617</v>
          </cell>
          <cell r="AE704" t="e">
            <v>#N/A</v>
          </cell>
          <cell r="AF704" t="str">
            <v/>
          </cell>
        </row>
        <row r="705">
          <cell r="Y705">
            <v>689</v>
          </cell>
          <cell r="Z705">
            <v>0.60800447873771191</v>
          </cell>
          <cell r="AA705">
            <v>4.6335036445969063E-2</v>
          </cell>
          <cell r="AB705" t="str">
            <v/>
          </cell>
          <cell r="AC705" t="e">
            <v>#N/A</v>
          </cell>
          <cell r="AD705">
            <v>618</v>
          </cell>
          <cell r="AE705" t="e">
            <v>#N/A</v>
          </cell>
          <cell r="AF705" t="str">
            <v/>
          </cell>
        </row>
        <row r="706">
          <cell r="Y706">
            <v>690</v>
          </cell>
          <cell r="Z706">
            <v>0.69143534265458584</v>
          </cell>
          <cell r="AA706">
            <v>8.450240574410918E-2</v>
          </cell>
          <cell r="AB706" t="str">
            <v/>
          </cell>
          <cell r="AC706" t="e">
            <v>#N/A</v>
          </cell>
          <cell r="AD706">
            <v>619</v>
          </cell>
          <cell r="AE706" t="e">
            <v>#N/A</v>
          </cell>
          <cell r="AF706" t="str">
            <v/>
          </cell>
        </row>
        <row r="707">
          <cell r="Y707">
            <v>691</v>
          </cell>
          <cell r="Z707">
            <v>0.41520531289279461</v>
          </cell>
          <cell r="AA707">
            <v>-3.6202174929325773E-2</v>
          </cell>
          <cell r="AB707" t="str">
            <v/>
          </cell>
          <cell r="AC707" t="e">
            <v>#N/A</v>
          </cell>
          <cell r="AD707">
            <v>620</v>
          </cell>
          <cell r="AE707" t="e">
            <v>#N/A</v>
          </cell>
          <cell r="AF707" t="str">
            <v/>
          </cell>
        </row>
        <row r="708">
          <cell r="Y708">
            <v>692</v>
          </cell>
          <cell r="Z708">
            <v>0.52659701369702816</v>
          </cell>
          <cell r="AA708">
            <v>1.1277449509402579E-2</v>
          </cell>
          <cell r="AB708" t="str">
            <v/>
          </cell>
          <cell r="AC708" t="e">
            <v>#N/A</v>
          </cell>
          <cell r="AD708">
            <v>621</v>
          </cell>
          <cell r="AE708" t="e">
            <v>#N/A</v>
          </cell>
          <cell r="AF708" t="str">
            <v/>
          </cell>
        </row>
        <row r="709">
          <cell r="Y709">
            <v>693</v>
          </cell>
          <cell r="Z709">
            <v>0.98273145966231823</v>
          </cell>
          <cell r="AA709">
            <v>0.357288060895596</v>
          </cell>
          <cell r="AB709" t="str">
            <v/>
          </cell>
          <cell r="AC709" t="e">
            <v>#N/A</v>
          </cell>
          <cell r="AD709">
            <v>622</v>
          </cell>
          <cell r="AE709" t="e">
            <v>#N/A</v>
          </cell>
          <cell r="AF709" t="str">
            <v/>
          </cell>
        </row>
        <row r="710">
          <cell r="Y710">
            <v>694</v>
          </cell>
          <cell r="Z710">
            <v>0.37213215790688992</v>
          </cell>
          <cell r="AA710">
            <v>-5.5139813094570278E-2</v>
          </cell>
          <cell r="AB710" t="str">
            <v/>
          </cell>
          <cell r="AC710" t="e">
            <v>#N/A</v>
          </cell>
          <cell r="AD710">
            <v>623</v>
          </cell>
          <cell r="AE710" t="e">
            <v>#N/A</v>
          </cell>
          <cell r="AF710" t="str">
            <v/>
          </cell>
        </row>
        <row r="711">
          <cell r="Y711">
            <v>695</v>
          </cell>
          <cell r="Z711">
            <v>0.41678695194423199</v>
          </cell>
          <cell r="AA711">
            <v>-3.5516786717225149E-2</v>
          </cell>
          <cell r="AB711" t="str">
            <v/>
          </cell>
          <cell r="AC711" t="e">
            <v>#N/A</v>
          </cell>
          <cell r="AD711">
            <v>624</v>
          </cell>
          <cell r="AE711" t="e">
            <v>#N/A</v>
          </cell>
          <cell r="AF711" t="str">
            <v/>
          </cell>
        </row>
        <row r="712">
          <cell r="Y712">
            <v>696</v>
          </cell>
          <cell r="Z712">
            <v>0.93767269514501095</v>
          </cell>
          <cell r="AA712">
            <v>0.25955131178598995</v>
          </cell>
          <cell r="AB712" t="str">
            <v/>
          </cell>
          <cell r="AC712" t="e">
            <v>#N/A</v>
          </cell>
          <cell r="AD712">
            <v>625</v>
          </cell>
          <cell r="AE712" t="e">
            <v>#N/A</v>
          </cell>
          <cell r="AF712" t="str">
            <v/>
          </cell>
        </row>
        <row r="713">
          <cell r="Y713">
            <v>697</v>
          </cell>
          <cell r="Z713">
            <v>0.14119514636695385</v>
          </cell>
          <cell r="AA713">
            <v>-0.18170228864107196</v>
          </cell>
          <cell r="AB713" t="str">
            <v/>
          </cell>
          <cell r="AC713" t="e">
            <v>#N/A</v>
          </cell>
          <cell r="AD713">
            <v>626</v>
          </cell>
          <cell r="AE713" t="e">
            <v>#N/A</v>
          </cell>
          <cell r="AF713" t="str">
            <v/>
          </cell>
        </row>
        <row r="714">
          <cell r="Y714">
            <v>698</v>
          </cell>
          <cell r="Z714">
            <v>0.29920644126832485</v>
          </cell>
          <cell r="AA714">
            <v>-8.9025885063736737E-2</v>
          </cell>
          <cell r="AB714" t="str">
            <v/>
          </cell>
          <cell r="AC714" t="e">
            <v>#N/A</v>
          </cell>
          <cell r="AD714">
            <v>627</v>
          </cell>
          <cell r="AE714" t="e">
            <v>#N/A</v>
          </cell>
          <cell r="AF714" t="str">
            <v/>
          </cell>
        </row>
        <row r="715">
          <cell r="Y715">
            <v>699</v>
          </cell>
          <cell r="Z715">
            <v>0.30236698500812054</v>
          </cell>
          <cell r="AA715">
            <v>-8.7491194834005276E-2</v>
          </cell>
          <cell r="AB715" t="str">
            <v/>
          </cell>
          <cell r="AC715" t="e">
            <v>#N/A</v>
          </cell>
          <cell r="AD715">
            <v>628</v>
          </cell>
          <cell r="AE715" t="e">
            <v>#N/A</v>
          </cell>
          <cell r="AF715" t="str">
            <v/>
          </cell>
        </row>
        <row r="716">
          <cell r="Y716">
            <v>700</v>
          </cell>
          <cell r="Z716">
            <v>0.78085201047360897</v>
          </cell>
          <cell r="AA716">
            <v>0.13101140488851279</v>
          </cell>
          <cell r="AB716" t="str">
            <v/>
          </cell>
          <cell r="AC716" t="e">
            <v>#N/A</v>
          </cell>
          <cell r="AD716">
            <v>629</v>
          </cell>
          <cell r="AE716" t="e">
            <v>#N/A</v>
          </cell>
          <cell r="AF716" t="str">
            <v/>
          </cell>
        </row>
        <row r="717">
          <cell r="Y717">
            <v>701</v>
          </cell>
          <cell r="Z717">
            <v>0.25581222586333752</v>
          </cell>
          <cell r="AA717">
            <v>-0.11093669898891453</v>
          </cell>
          <cell r="AB717" t="str">
            <v/>
          </cell>
          <cell r="AC717" t="e">
            <v>#N/A</v>
          </cell>
          <cell r="AD717">
            <v>630</v>
          </cell>
          <cell r="AE717" t="e">
            <v>#N/A</v>
          </cell>
          <cell r="AF717" t="str">
            <v/>
          </cell>
        </row>
        <row r="718">
          <cell r="Y718">
            <v>702</v>
          </cell>
          <cell r="Z718">
            <v>0.5841923113912344</v>
          </cell>
          <cell r="AA718">
            <v>3.5941071581933305E-2</v>
          </cell>
          <cell r="AB718" t="str">
            <v/>
          </cell>
          <cell r="AC718" t="e">
            <v>#N/A</v>
          </cell>
          <cell r="AD718">
            <v>631</v>
          </cell>
          <cell r="AE718" t="e">
            <v>#N/A</v>
          </cell>
          <cell r="AF718" t="str">
            <v/>
          </cell>
        </row>
        <row r="719">
          <cell r="Y719">
            <v>703</v>
          </cell>
          <cell r="Z719">
            <v>0.70841239206492901</v>
          </cell>
          <cell r="AA719">
            <v>9.2756125678076021E-2</v>
          </cell>
          <cell r="AB719" t="str">
            <v/>
          </cell>
          <cell r="AC719" t="e">
            <v>#N/A</v>
          </cell>
          <cell r="AD719">
            <v>632</v>
          </cell>
          <cell r="AE719" t="e">
            <v>#N/A</v>
          </cell>
          <cell r="AF719" t="str">
            <v/>
          </cell>
        </row>
        <row r="720">
          <cell r="Y720">
            <v>704</v>
          </cell>
          <cell r="Z720">
            <v>0.13001038692891598</v>
          </cell>
          <cell r="AA720">
            <v>-0.19038655180265113</v>
          </cell>
          <cell r="AB720" t="str">
            <v/>
          </cell>
          <cell r="AC720" t="e">
            <v>#N/A</v>
          </cell>
          <cell r="AD720">
            <v>633</v>
          </cell>
          <cell r="AE720" t="e">
            <v>#N/A</v>
          </cell>
          <cell r="AF720" t="str">
            <v/>
          </cell>
        </row>
        <row r="721">
          <cell r="Y721">
            <v>705</v>
          </cell>
          <cell r="Z721">
            <v>0.55942418985068798</v>
          </cell>
          <cell r="AA721">
            <v>2.527171659673362E-2</v>
          </cell>
          <cell r="AB721" t="str">
            <v/>
          </cell>
          <cell r="AC721" t="e">
            <v>#N/A</v>
          </cell>
          <cell r="AD721">
            <v>634</v>
          </cell>
          <cell r="AE721" t="e">
            <v>#N/A</v>
          </cell>
          <cell r="AF721" t="str">
            <v/>
          </cell>
        </row>
        <row r="722">
          <cell r="Y722">
            <v>706</v>
          </cell>
          <cell r="Z722">
            <v>0.1710213478654623</v>
          </cell>
          <cell r="AA722">
            <v>-0.16060244873515456</v>
          </cell>
          <cell r="AB722" t="str">
            <v/>
          </cell>
          <cell r="AC722" t="e">
            <v>#N/A</v>
          </cell>
          <cell r="AD722">
            <v>635</v>
          </cell>
          <cell r="AE722" t="e">
            <v>#N/A</v>
          </cell>
          <cell r="AF722" t="str">
            <v/>
          </cell>
        </row>
        <row r="723">
          <cell r="Y723">
            <v>707</v>
          </cell>
          <cell r="Z723">
            <v>0.70193214528262615</v>
          </cell>
          <cell r="AA723">
            <v>8.9580553968758692E-2</v>
          </cell>
          <cell r="AB723" t="str">
            <v/>
          </cell>
          <cell r="AC723" t="e">
            <v>#N/A</v>
          </cell>
          <cell r="AD723">
            <v>636</v>
          </cell>
          <cell r="AE723" t="e">
            <v>#N/A</v>
          </cell>
          <cell r="AF723" t="str">
            <v/>
          </cell>
        </row>
        <row r="724">
          <cell r="Y724">
            <v>708</v>
          </cell>
          <cell r="Z724">
            <v>0.57794415019452572</v>
          </cell>
          <cell r="AA724">
            <v>3.3237700955450214E-2</v>
          </cell>
          <cell r="AB724" t="str">
            <v/>
          </cell>
          <cell r="AC724" t="e">
            <v>#N/A</v>
          </cell>
          <cell r="AD724">
            <v>637</v>
          </cell>
          <cell r="AE724" t="e">
            <v>#N/A</v>
          </cell>
          <cell r="AF724" t="str">
            <v/>
          </cell>
        </row>
        <row r="725">
          <cell r="Y725">
            <v>709</v>
          </cell>
          <cell r="Z725">
            <v>1.5219209715723991E-2</v>
          </cell>
          <cell r="AA725">
            <v>-0.36583989151378249</v>
          </cell>
          <cell r="AB725" t="str">
            <v/>
          </cell>
          <cell r="AC725" t="e">
            <v>#N/A</v>
          </cell>
          <cell r="AD725">
            <v>638</v>
          </cell>
          <cell r="AE725" t="e">
            <v>#N/A</v>
          </cell>
          <cell r="AF725" t="str">
            <v/>
          </cell>
        </row>
        <row r="726">
          <cell r="Y726">
            <v>710</v>
          </cell>
          <cell r="Z726">
            <v>0.29500696621835232</v>
          </cell>
          <cell r="AA726">
            <v>-9.1076500018352685E-2</v>
          </cell>
          <cell r="AB726" t="str">
            <v/>
          </cell>
          <cell r="AC726" t="e">
            <v>#N/A</v>
          </cell>
          <cell r="AD726">
            <v>639</v>
          </cell>
          <cell r="AE726" t="e">
            <v>#N/A</v>
          </cell>
          <cell r="AF726" t="str">
            <v/>
          </cell>
        </row>
        <row r="727">
          <cell r="Y727">
            <v>711</v>
          </cell>
          <cell r="Z727">
            <v>0.49727408401668072</v>
          </cell>
          <cell r="AA727">
            <v>-1.1549728026207442E-3</v>
          </cell>
          <cell r="AB727" t="str">
            <v/>
          </cell>
          <cell r="AC727" t="e">
            <v>#N/A</v>
          </cell>
          <cell r="AD727">
            <v>640</v>
          </cell>
          <cell r="AE727" t="e">
            <v>#N/A</v>
          </cell>
          <cell r="AF727" t="str">
            <v/>
          </cell>
        </row>
        <row r="728">
          <cell r="Y728">
            <v>712</v>
          </cell>
          <cell r="Z728">
            <v>0.30472989939153194</v>
          </cell>
          <cell r="AA728">
            <v>-8.634851613637376E-2</v>
          </cell>
          <cell r="AB728" t="str">
            <v/>
          </cell>
          <cell r="AC728" t="e">
            <v>#N/A</v>
          </cell>
          <cell r="AD728">
            <v>641</v>
          </cell>
          <cell r="AE728" t="e">
            <v>#N/A</v>
          </cell>
          <cell r="AF728" t="str">
            <v/>
          </cell>
        </row>
        <row r="729">
          <cell r="Y729">
            <v>713</v>
          </cell>
          <cell r="Z729">
            <v>0.9554040115326643</v>
          </cell>
          <cell r="AA729">
            <v>0.28729759903474406</v>
          </cell>
          <cell r="AB729" t="str">
            <v/>
          </cell>
          <cell r="AC729" t="e">
            <v>#N/A</v>
          </cell>
          <cell r="AD729">
            <v>642</v>
          </cell>
          <cell r="AE729" t="e">
            <v>#N/A</v>
          </cell>
          <cell r="AF729" t="str">
            <v/>
          </cell>
        </row>
        <row r="730">
          <cell r="Y730">
            <v>714</v>
          </cell>
          <cell r="Z730">
            <v>0.53557879291474819</v>
          </cell>
          <cell r="AA730">
            <v>1.509468467905677E-2</v>
          </cell>
          <cell r="AB730" t="str">
            <v/>
          </cell>
          <cell r="AC730" t="e">
            <v>#N/A</v>
          </cell>
          <cell r="AD730">
            <v>643</v>
          </cell>
          <cell r="AE730" t="e">
            <v>#N/A</v>
          </cell>
          <cell r="AF730" t="str">
            <v/>
          </cell>
        </row>
        <row r="731">
          <cell r="Y731">
            <v>715</v>
          </cell>
          <cell r="Z731">
            <v>0.89167178981006145</v>
          </cell>
          <cell r="AA731">
            <v>0.20883218845686302</v>
          </cell>
          <cell r="AB731" t="str">
            <v/>
          </cell>
          <cell r="AC731" t="e">
            <v>#N/A</v>
          </cell>
          <cell r="AD731">
            <v>644</v>
          </cell>
          <cell r="AE731" t="e">
            <v>#N/A</v>
          </cell>
          <cell r="AF731" t="str">
            <v/>
          </cell>
        </row>
        <row r="732">
          <cell r="Y732">
            <v>716</v>
          </cell>
          <cell r="Z732">
            <v>0.4898338820785284</v>
          </cell>
          <cell r="AA732">
            <v>-4.3078251344251884E-3</v>
          </cell>
          <cell r="AB732" t="str">
            <v/>
          </cell>
          <cell r="AC732" t="e">
            <v>#N/A</v>
          </cell>
          <cell r="AD732">
            <v>645</v>
          </cell>
          <cell r="AE732" t="e">
            <v>#N/A</v>
          </cell>
          <cell r="AF732" t="str">
            <v/>
          </cell>
        </row>
        <row r="733">
          <cell r="Y733">
            <v>717</v>
          </cell>
          <cell r="Z733">
            <v>0.18862575106322765</v>
          </cell>
          <cell r="AA733">
            <v>-0.14924947657864426</v>
          </cell>
          <cell r="AB733" t="str">
            <v/>
          </cell>
          <cell r="AC733" t="e">
            <v>#N/A</v>
          </cell>
          <cell r="AD733">
            <v>646</v>
          </cell>
          <cell r="AE733" t="e">
            <v>#N/A</v>
          </cell>
          <cell r="AF733" t="str">
            <v/>
          </cell>
        </row>
        <row r="734">
          <cell r="Y734">
            <v>718</v>
          </cell>
          <cell r="Z734">
            <v>0.96276704035699368</v>
          </cell>
          <cell r="AA734">
            <v>0.30150709411570431</v>
          </cell>
          <cell r="AB734" t="str">
            <v/>
          </cell>
          <cell r="AC734" t="e">
            <v>#N/A</v>
          </cell>
          <cell r="AD734">
            <v>647</v>
          </cell>
          <cell r="AE734" t="e">
            <v>#N/A</v>
          </cell>
          <cell r="AF734" t="str">
            <v/>
          </cell>
        </row>
        <row r="735">
          <cell r="Y735">
            <v>719</v>
          </cell>
          <cell r="Z735">
            <v>0.91954146139323711</v>
          </cell>
          <cell r="AA735">
            <v>0.23698021687353321</v>
          </cell>
          <cell r="AB735" t="str">
            <v/>
          </cell>
          <cell r="AC735" t="e">
            <v>#N/A</v>
          </cell>
          <cell r="AD735">
            <v>648</v>
          </cell>
          <cell r="AE735" t="e">
            <v>#N/A</v>
          </cell>
          <cell r="AF735" t="str">
            <v/>
          </cell>
        </row>
        <row r="736">
          <cell r="Y736">
            <v>720</v>
          </cell>
          <cell r="Z736">
            <v>0.56797136925160885</v>
          </cell>
          <cell r="AA736">
            <v>2.894006935340426E-2</v>
          </cell>
          <cell r="AB736" t="str">
            <v/>
          </cell>
          <cell r="AC736" t="e">
            <v>#N/A</v>
          </cell>
          <cell r="AD736">
            <v>649</v>
          </cell>
          <cell r="AE736" t="e">
            <v>#N/A</v>
          </cell>
          <cell r="AF736" t="str">
            <v/>
          </cell>
        </row>
        <row r="737">
          <cell r="Y737">
            <v>721</v>
          </cell>
          <cell r="Z737">
            <v>7.6143888756632805E-2</v>
          </cell>
          <cell r="AA737">
            <v>-0.2419671847489307</v>
          </cell>
          <cell r="AB737" t="str">
            <v/>
          </cell>
          <cell r="AC737" t="e">
            <v>#N/A</v>
          </cell>
          <cell r="AD737">
            <v>650</v>
          </cell>
          <cell r="AE737" t="e">
            <v>#N/A</v>
          </cell>
          <cell r="AF737" t="str">
            <v/>
          </cell>
        </row>
        <row r="738">
          <cell r="Y738">
            <v>722</v>
          </cell>
          <cell r="Z738">
            <v>0.87743688188493252</v>
          </cell>
          <cell r="AA738">
            <v>0.19645930910083995</v>
          </cell>
          <cell r="AB738" t="str">
            <v/>
          </cell>
          <cell r="AC738" t="e">
            <v>#N/A</v>
          </cell>
          <cell r="AD738">
            <v>651</v>
          </cell>
          <cell r="AE738" t="e">
            <v>#N/A</v>
          </cell>
          <cell r="AF738" t="str">
            <v/>
          </cell>
        </row>
        <row r="739">
          <cell r="Y739">
            <v>723</v>
          </cell>
          <cell r="Z739">
            <v>0.22552878968417645</v>
          </cell>
          <cell r="AA739">
            <v>-0.12739061672048077</v>
          </cell>
          <cell r="AB739" t="str">
            <v/>
          </cell>
          <cell r="AC739" t="e">
            <v>#N/A</v>
          </cell>
          <cell r="AD739">
            <v>652</v>
          </cell>
          <cell r="AE739" t="e">
            <v>#N/A</v>
          </cell>
          <cell r="AF739" t="str">
            <v/>
          </cell>
        </row>
        <row r="740">
          <cell r="Y740">
            <v>724</v>
          </cell>
          <cell r="Z740">
            <v>0.82871603034436703</v>
          </cell>
          <cell r="AA740">
            <v>0.16042778392987214</v>
          </cell>
          <cell r="AB740" t="str">
            <v/>
          </cell>
          <cell r="AC740" t="e">
            <v>#N/A</v>
          </cell>
          <cell r="AD740">
            <v>653</v>
          </cell>
          <cell r="AE740" t="e">
            <v>#N/A</v>
          </cell>
          <cell r="AF740" t="str">
            <v/>
          </cell>
        </row>
        <row r="741">
          <cell r="Y741">
            <v>725</v>
          </cell>
          <cell r="Z741">
            <v>7.6752064749598503E-2</v>
          </cell>
          <cell r="AA741">
            <v>-0.24125146285944105</v>
          </cell>
          <cell r="AB741" t="str">
            <v/>
          </cell>
          <cell r="AC741" t="e">
            <v>#N/A</v>
          </cell>
          <cell r="AD741">
            <v>654</v>
          </cell>
          <cell r="AE741" t="e">
            <v>#N/A</v>
          </cell>
          <cell r="AF741" t="str">
            <v/>
          </cell>
        </row>
        <row r="742">
          <cell r="Y742">
            <v>726</v>
          </cell>
          <cell r="Z742">
            <v>0.64527282677590847</v>
          </cell>
          <cell r="AA742">
            <v>6.2979039029597353E-2</v>
          </cell>
          <cell r="AB742" t="str">
            <v/>
          </cell>
          <cell r="AC742" t="e">
            <v>#N/A</v>
          </cell>
          <cell r="AD742">
            <v>655</v>
          </cell>
          <cell r="AE742" t="e">
            <v>#N/A</v>
          </cell>
          <cell r="AF742" t="str">
            <v/>
          </cell>
        </row>
        <row r="743">
          <cell r="Y743">
            <v>727</v>
          </cell>
          <cell r="Z743">
            <v>0.6563058327883482</v>
          </cell>
          <cell r="AA743">
            <v>6.801832122711203E-2</v>
          </cell>
          <cell r="AB743" t="str">
            <v/>
          </cell>
          <cell r="AC743" t="e">
            <v>#N/A</v>
          </cell>
          <cell r="AD743">
            <v>656</v>
          </cell>
          <cell r="AE743" t="e">
            <v>#N/A</v>
          </cell>
          <cell r="AF743" t="str">
            <v/>
          </cell>
        </row>
        <row r="744">
          <cell r="Y744">
            <v>728</v>
          </cell>
          <cell r="Z744">
            <v>0.85985930822789669</v>
          </cell>
          <cell r="AA744">
            <v>0.18250048874243197</v>
          </cell>
          <cell r="AB744" t="str">
            <v/>
          </cell>
          <cell r="AC744" t="e">
            <v>#N/A</v>
          </cell>
          <cell r="AD744">
            <v>657</v>
          </cell>
          <cell r="AE744" t="e">
            <v>#N/A</v>
          </cell>
          <cell r="AF744" t="str">
            <v/>
          </cell>
        </row>
        <row r="745">
          <cell r="Y745">
            <v>729</v>
          </cell>
          <cell r="Z745">
            <v>0.2604499738663435</v>
          </cell>
          <cell r="AA745">
            <v>-0.10851083870477321</v>
          </cell>
          <cell r="AB745" t="str">
            <v/>
          </cell>
          <cell r="AC745" t="e">
            <v>#N/A</v>
          </cell>
          <cell r="AD745">
            <v>658</v>
          </cell>
          <cell r="AE745" t="e">
            <v>#N/A</v>
          </cell>
          <cell r="AF745" t="str">
            <v/>
          </cell>
        </row>
        <row r="746">
          <cell r="Y746">
            <v>730</v>
          </cell>
          <cell r="Z746">
            <v>0.12451309524476528</v>
          </cell>
          <cell r="AA746">
            <v>-0.19484488811503656</v>
          </cell>
          <cell r="AB746" t="str">
            <v/>
          </cell>
          <cell r="AC746" t="e">
            <v>#N/A</v>
          </cell>
          <cell r="AD746">
            <v>659</v>
          </cell>
          <cell r="AE746" t="e">
            <v>#N/A</v>
          </cell>
          <cell r="AF746" t="str">
            <v/>
          </cell>
        </row>
        <row r="747">
          <cell r="Y747">
            <v>731</v>
          </cell>
          <cell r="Z747">
            <v>0.57111789099872112</v>
          </cell>
          <cell r="AA747">
            <v>3.0293868893977706E-2</v>
          </cell>
          <cell r="AB747" t="str">
            <v/>
          </cell>
          <cell r="AC747" t="e">
            <v>#N/A</v>
          </cell>
          <cell r="AD747">
            <v>660</v>
          </cell>
          <cell r="AE747" t="e">
            <v>#N/A</v>
          </cell>
          <cell r="AF747" t="str">
            <v/>
          </cell>
        </row>
        <row r="748">
          <cell r="Y748">
            <v>732</v>
          </cell>
          <cell r="Z748">
            <v>0.33451979421079159</v>
          </cell>
          <cell r="AA748">
            <v>-7.2255024348517882E-2</v>
          </cell>
          <cell r="AB748" t="str">
            <v/>
          </cell>
          <cell r="AC748" t="e">
            <v>#N/A</v>
          </cell>
          <cell r="AD748">
            <v>661</v>
          </cell>
          <cell r="AE748" t="e">
            <v>#N/A</v>
          </cell>
          <cell r="AF748" t="str">
            <v/>
          </cell>
        </row>
        <row r="749">
          <cell r="Y749">
            <v>733</v>
          </cell>
          <cell r="Z749">
            <v>0.29086524061858654</v>
          </cell>
          <cell r="AA749">
            <v>-9.3112129530005819E-2</v>
          </cell>
          <cell r="AB749" t="str">
            <v/>
          </cell>
          <cell r="AC749" t="e">
            <v>#N/A</v>
          </cell>
          <cell r="AD749">
            <v>662</v>
          </cell>
          <cell r="AE749" t="e">
            <v>#N/A</v>
          </cell>
          <cell r="AF749" t="str">
            <v/>
          </cell>
        </row>
        <row r="750">
          <cell r="Y750">
            <v>734</v>
          </cell>
          <cell r="Z750">
            <v>0.1874339934438467</v>
          </cell>
          <cell r="AA750">
            <v>-0.14999659416833505</v>
          </cell>
          <cell r="AB750" t="str">
            <v/>
          </cell>
          <cell r="AC750" t="e">
            <v>#N/A</v>
          </cell>
          <cell r="AD750">
            <v>663</v>
          </cell>
          <cell r="AE750" t="e">
            <v>#N/A</v>
          </cell>
          <cell r="AF750" t="str">
            <v/>
          </cell>
        </row>
        <row r="751">
          <cell r="Y751">
            <v>735</v>
          </cell>
          <cell r="Z751">
            <v>0.37108038179576397</v>
          </cell>
          <cell r="AA751">
            <v>-5.5610014915172007E-2</v>
          </cell>
          <cell r="AB751" t="str">
            <v/>
          </cell>
          <cell r="AC751" t="e">
            <v>#N/A</v>
          </cell>
          <cell r="AD751">
            <v>664</v>
          </cell>
          <cell r="AE751" t="e">
            <v>#N/A</v>
          </cell>
          <cell r="AF751" t="str">
            <v/>
          </cell>
        </row>
        <row r="752">
          <cell r="Y752">
            <v>736</v>
          </cell>
          <cell r="Z752">
            <v>0.64200260303914547</v>
          </cell>
          <cell r="AA752">
            <v>6.1496268414933504E-2</v>
          </cell>
          <cell r="AB752" t="str">
            <v/>
          </cell>
          <cell r="AC752" t="e">
            <v>#N/A</v>
          </cell>
          <cell r="AD752">
            <v>665</v>
          </cell>
          <cell r="AE752" t="e">
            <v>#N/A</v>
          </cell>
          <cell r="AF752" t="str">
            <v/>
          </cell>
        </row>
        <row r="753">
          <cell r="Y753">
            <v>737</v>
          </cell>
          <cell r="Z753">
            <v>0.37642529420554638</v>
          </cell>
          <cell r="AA753">
            <v>-5.3224919431881339E-2</v>
          </cell>
          <cell r="AB753" t="str">
            <v/>
          </cell>
          <cell r="AC753" t="e">
            <v>#N/A</v>
          </cell>
          <cell r="AD753">
            <v>666</v>
          </cell>
          <cell r="AE753" t="e">
            <v>#N/A</v>
          </cell>
          <cell r="AF753" t="str">
            <v/>
          </cell>
        </row>
        <row r="754">
          <cell r="Y754">
            <v>738</v>
          </cell>
          <cell r="Z754">
            <v>0.83558428846299648</v>
          </cell>
          <cell r="AA754">
            <v>0.16505361794770684</v>
          </cell>
          <cell r="AB754" t="str">
            <v/>
          </cell>
          <cell r="AC754" t="e">
            <v>#N/A</v>
          </cell>
          <cell r="AD754">
            <v>667</v>
          </cell>
          <cell r="AE754" t="e">
            <v>#N/A</v>
          </cell>
          <cell r="AF754" t="str">
            <v/>
          </cell>
        </row>
        <row r="755">
          <cell r="Y755">
            <v>739</v>
          </cell>
          <cell r="Z755">
            <v>0.74722571484744549</v>
          </cell>
          <cell r="AA755">
            <v>0.11253819547500021</v>
          </cell>
          <cell r="AB755" t="str">
            <v/>
          </cell>
          <cell r="AC755" t="e">
            <v>#N/A</v>
          </cell>
          <cell r="AD755">
            <v>668</v>
          </cell>
          <cell r="AE755" t="e">
            <v>#N/A</v>
          </cell>
          <cell r="AF755" t="str">
            <v/>
          </cell>
        </row>
        <row r="756">
          <cell r="Y756">
            <v>740</v>
          </cell>
          <cell r="Z756">
            <v>0.86240874789655209</v>
          </cell>
          <cell r="AA756">
            <v>0.18444738043408052</v>
          </cell>
          <cell r="AB756" t="str">
            <v/>
          </cell>
          <cell r="AC756" t="e">
            <v>#N/A</v>
          </cell>
          <cell r="AD756">
            <v>669</v>
          </cell>
          <cell r="AE756" t="e">
            <v>#N/A</v>
          </cell>
          <cell r="AF756" t="str">
            <v/>
          </cell>
        </row>
        <row r="757">
          <cell r="Y757">
            <v>741</v>
          </cell>
          <cell r="Z757">
            <v>0.69027924351394176</v>
          </cell>
          <cell r="AA757">
            <v>8.3947823913484404E-2</v>
          </cell>
          <cell r="AB757" t="str">
            <v/>
          </cell>
          <cell r="AC757" t="e">
            <v>#N/A</v>
          </cell>
          <cell r="AD757">
            <v>670</v>
          </cell>
          <cell r="AE757" t="e">
            <v>#N/A</v>
          </cell>
          <cell r="AF757" t="str">
            <v/>
          </cell>
        </row>
        <row r="758">
          <cell r="Y758">
            <v>742</v>
          </cell>
          <cell r="Z758">
            <v>0.40876958332955837</v>
          </cell>
          <cell r="AA758">
            <v>-3.899731159890775E-2</v>
          </cell>
          <cell r="AB758" t="str">
            <v/>
          </cell>
          <cell r="AC758" t="e">
            <v>#N/A</v>
          </cell>
          <cell r="AD758">
            <v>671</v>
          </cell>
          <cell r="AE758" t="e">
            <v>#N/A</v>
          </cell>
          <cell r="AF758" t="str">
            <v/>
          </cell>
        </row>
        <row r="759">
          <cell r="Y759">
            <v>743</v>
          </cell>
          <cell r="Z759">
            <v>0.14730016700923443</v>
          </cell>
          <cell r="AA759">
            <v>-0.17715837380695215</v>
          </cell>
          <cell r="AB759" t="str">
            <v/>
          </cell>
          <cell r="AC759" t="e">
            <v>#N/A</v>
          </cell>
          <cell r="AD759">
            <v>672</v>
          </cell>
          <cell r="AE759" t="e">
            <v>#N/A</v>
          </cell>
          <cell r="AF759" t="str">
            <v/>
          </cell>
        </row>
        <row r="760">
          <cell r="Y760">
            <v>744</v>
          </cell>
          <cell r="Z760">
            <v>0.58499451540410519</v>
          </cell>
          <cell r="AA760">
            <v>3.6288810750620543E-2</v>
          </cell>
          <cell r="AB760" t="str">
            <v/>
          </cell>
          <cell r="AC760" t="e">
            <v>#N/A</v>
          </cell>
          <cell r="AD760">
            <v>673</v>
          </cell>
          <cell r="AE760" t="e">
            <v>#N/A</v>
          </cell>
          <cell r="AF760" t="str">
            <v/>
          </cell>
        </row>
        <row r="761">
          <cell r="Y761">
            <v>745</v>
          </cell>
          <cell r="Z761">
            <v>0.75896975211799145</v>
          </cell>
          <cell r="AA761">
            <v>0.11882740086959295</v>
          </cell>
          <cell r="AB761" t="str">
            <v/>
          </cell>
          <cell r="AC761" t="e">
            <v>#N/A</v>
          </cell>
          <cell r="AD761">
            <v>674</v>
          </cell>
          <cell r="AE761" t="e">
            <v>#N/A</v>
          </cell>
          <cell r="AF761" t="str">
            <v/>
          </cell>
        </row>
        <row r="762">
          <cell r="Y762">
            <v>746</v>
          </cell>
          <cell r="Z762">
            <v>0.38778669200837612</v>
          </cell>
          <cell r="AA762">
            <v>-4.8189404011250381E-2</v>
          </cell>
          <cell r="AB762" t="str">
            <v/>
          </cell>
          <cell r="AC762" t="e">
            <v>#N/A</v>
          </cell>
          <cell r="AD762">
            <v>675</v>
          </cell>
          <cell r="AE762" t="e">
            <v>#N/A</v>
          </cell>
          <cell r="AF762" t="str">
            <v/>
          </cell>
        </row>
        <row r="763">
          <cell r="Y763">
            <v>747</v>
          </cell>
          <cell r="Z763">
            <v>0.96131075732409954</v>
          </cell>
          <cell r="AA763">
            <v>0.2985259785190113</v>
          </cell>
          <cell r="AB763" t="str">
            <v/>
          </cell>
          <cell r="AC763" t="e">
            <v>#N/A</v>
          </cell>
          <cell r="AD763">
            <v>676</v>
          </cell>
          <cell r="AE763" t="e">
            <v>#N/A</v>
          </cell>
          <cell r="AF763" t="str">
            <v/>
          </cell>
        </row>
        <row r="764">
          <cell r="Y764">
            <v>748</v>
          </cell>
          <cell r="Z764">
            <v>7.0280840620398521E-2</v>
          </cell>
          <cell r="AA764">
            <v>-0.24910120531930119</v>
          </cell>
          <cell r="AB764" t="str">
            <v/>
          </cell>
          <cell r="AC764" t="e">
            <v>#N/A</v>
          </cell>
          <cell r="AD764">
            <v>677</v>
          </cell>
          <cell r="AE764" t="e">
            <v>#N/A</v>
          </cell>
          <cell r="AF764" t="str">
            <v/>
          </cell>
        </row>
        <row r="765">
          <cell r="Y765">
            <v>749</v>
          </cell>
          <cell r="Z765">
            <v>0.31985491327941418</v>
          </cell>
          <cell r="AA765">
            <v>-7.912411019684952E-2</v>
          </cell>
          <cell r="AB765" t="str">
            <v/>
          </cell>
          <cell r="AC765" t="e">
            <v>#N/A</v>
          </cell>
          <cell r="AD765">
            <v>678</v>
          </cell>
          <cell r="AE765" t="e">
            <v>#N/A</v>
          </cell>
          <cell r="AF765" t="str">
            <v/>
          </cell>
        </row>
        <row r="766">
          <cell r="Y766">
            <v>750</v>
          </cell>
          <cell r="Z766">
            <v>0.29090801440179348</v>
          </cell>
          <cell r="AA766">
            <v>-9.3091037859254225E-2</v>
          </cell>
          <cell r="AB766" t="str">
            <v/>
          </cell>
          <cell r="AC766" t="e">
            <v>#N/A</v>
          </cell>
          <cell r="AD766">
            <v>679</v>
          </cell>
          <cell r="AE766" t="e">
            <v>#N/A</v>
          </cell>
          <cell r="AF766" t="str">
            <v/>
          </cell>
        </row>
        <row r="767">
          <cell r="Y767">
            <v>751</v>
          </cell>
          <cell r="Z767">
            <v>0.92582212202250957</v>
          </cell>
          <cell r="AA767">
            <v>0.24431105494939198</v>
          </cell>
          <cell r="AB767" t="str">
            <v/>
          </cell>
          <cell r="AC767" t="e">
            <v>#N/A</v>
          </cell>
          <cell r="AD767">
            <v>680</v>
          </cell>
          <cell r="AE767" t="e">
            <v>#N/A</v>
          </cell>
          <cell r="AF767" t="str">
            <v/>
          </cell>
        </row>
        <row r="768">
          <cell r="Y768">
            <v>752</v>
          </cell>
          <cell r="Z768">
            <v>0.25591268204152584</v>
          </cell>
          <cell r="AA768">
            <v>-0.11088391249938438</v>
          </cell>
          <cell r="AB768" t="str">
            <v/>
          </cell>
          <cell r="AC768" t="e">
            <v>#N/A</v>
          </cell>
          <cell r="AD768">
            <v>681</v>
          </cell>
          <cell r="AE768" t="e">
            <v>#N/A</v>
          </cell>
          <cell r="AF768" t="str">
            <v/>
          </cell>
        </row>
        <row r="769">
          <cell r="Y769">
            <v>753</v>
          </cell>
          <cell r="Z769">
            <v>0.1472801249474287</v>
          </cell>
          <cell r="AA769">
            <v>-0.17717308167102772</v>
          </cell>
          <cell r="AB769" t="str">
            <v/>
          </cell>
          <cell r="AC769" t="e">
            <v>#N/A</v>
          </cell>
          <cell r="AD769">
            <v>682</v>
          </cell>
          <cell r="AE769" t="e">
            <v>#N/A</v>
          </cell>
          <cell r="AF769" t="str">
            <v/>
          </cell>
        </row>
        <row r="770">
          <cell r="Y770">
            <v>754</v>
          </cell>
          <cell r="Z770">
            <v>0.1641159113496542</v>
          </cell>
          <cell r="AA770">
            <v>-0.16525835356178434</v>
          </cell>
          <cell r="AB770" t="str">
            <v/>
          </cell>
          <cell r="AC770" t="e">
            <v>#N/A</v>
          </cell>
          <cell r="AD770">
            <v>683</v>
          </cell>
          <cell r="AE770" t="e">
            <v>#N/A</v>
          </cell>
          <cell r="AF770" t="str">
            <v/>
          </cell>
        </row>
        <row r="771">
          <cell r="Y771">
            <v>755</v>
          </cell>
          <cell r="Z771">
            <v>0.24700338952243328</v>
          </cell>
          <cell r="AA771">
            <v>-0.11560863988639788</v>
          </cell>
          <cell r="AB771" t="str">
            <v/>
          </cell>
          <cell r="AC771" t="e">
            <v>#N/A</v>
          </cell>
          <cell r="AD771">
            <v>684</v>
          </cell>
          <cell r="AE771" t="e">
            <v>#N/A</v>
          </cell>
          <cell r="AF771" t="str">
            <v/>
          </cell>
        </row>
        <row r="772">
          <cell r="Y772">
            <v>756</v>
          </cell>
          <cell r="Z772">
            <v>0.10626839660108089</v>
          </cell>
          <cell r="AA772">
            <v>-0.2107172723916291</v>
          </cell>
          <cell r="AB772" t="str">
            <v/>
          </cell>
          <cell r="AC772" t="e">
            <v>#N/A</v>
          </cell>
          <cell r="AD772">
            <v>685</v>
          </cell>
          <cell r="AE772" t="e">
            <v>#N/A</v>
          </cell>
          <cell r="AF772" t="str">
            <v/>
          </cell>
        </row>
        <row r="773">
          <cell r="Y773">
            <v>757</v>
          </cell>
          <cell r="Z773">
            <v>0.34749996475875378</v>
          </cell>
          <cell r="AA773">
            <v>-6.6273427305607785E-2</v>
          </cell>
          <cell r="AB773" t="str">
            <v/>
          </cell>
          <cell r="AC773" t="e">
            <v>#N/A</v>
          </cell>
          <cell r="AD773">
            <v>686</v>
          </cell>
          <cell r="AE773" t="e">
            <v>#N/A</v>
          </cell>
          <cell r="AF773" t="str">
            <v/>
          </cell>
        </row>
        <row r="774">
          <cell r="Y774">
            <v>758</v>
          </cell>
          <cell r="Z774">
            <v>0.16508707962930202</v>
          </cell>
          <cell r="AA774">
            <v>-0.16459601200790278</v>
          </cell>
          <cell r="AB774" t="str">
            <v/>
          </cell>
          <cell r="AC774" t="e">
            <v>#N/A</v>
          </cell>
          <cell r="AD774">
            <v>687</v>
          </cell>
          <cell r="AE774" t="e">
            <v>#N/A</v>
          </cell>
          <cell r="AF774" t="str">
            <v/>
          </cell>
        </row>
        <row r="775">
          <cell r="Y775">
            <v>759</v>
          </cell>
          <cell r="Z775">
            <v>0.94242505542933941</v>
          </cell>
          <cell r="AA775">
            <v>0.26630164874716233</v>
          </cell>
          <cell r="AB775" t="str">
            <v/>
          </cell>
          <cell r="AC775" t="e">
            <v>#N/A</v>
          </cell>
          <cell r="AD775">
            <v>688</v>
          </cell>
          <cell r="AE775" t="e">
            <v>#N/A</v>
          </cell>
          <cell r="AF775" t="str">
            <v/>
          </cell>
        </row>
        <row r="776">
          <cell r="Y776">
            <v>760</v>
          </cell>
          <cell r="Z776">
            <v>0.80581911467015743</v>
          </cell>
          <cell r="AA776">
            <v>0.14580467814289655</v>
          </cell>
          <cell r="AB776" t="str">
            <v/>
          </cell>
          <cell r="AC776" t="e">
            <v>#N/A</v>
          </cell>
          <cell r="AD776">
            <v>689</v>
          </cell>
          <cell r="AE776" t="e">
            <v>#N/A</v>
          </cell>
          <cell r="AF776" t="str">
            <v/>
          </cell>
        </row>
        <row r="777">
          <cell r="Y777">
            <v>761</v>
          </cell>
          <cell r="Z777">
            <v>0.62235006503760815</v>
          </cell>
          <cell r="AA777">
            <v>5.2679946015809179E-2</v>
          </cell>
          <cell r="AB777" t="str">
            <v/>
          </cell>
          <cell r="AC777" t="e">
            <v>#N/A</v>
          </cell>
          <cell r="AD777">
            <v>690</v>
          </cell>
          <cell r="AE777" t="e">
            <v>#N/A</v>
          </cell>
          <cell r="AF777" t="str">
            <v/>
          </cell>
        </row>
        <row r="778">
          <cell r="Y778">
            <v>762</v>
          </cell>
          <cell r="Z778">
            <v>0.74092692695558071</v>
          </cell>
          <cell r="AA778">
            <v>0.10922870000879327</v>
          </cell>
          <cell r="AB778" t="str">
            <v/>
          </cell>
          <cell r="AC778" t="e">
            <v>#N/A</v>
          </cell>
          <cell r="AD778">
            <v>691</v>
          </cell>
          <cell r="AE778" t="e">
            <v>#N/A</v>
          </cell>
          <cell r="AF778" t="str">
            <v/>
          </cell>
        </row>
        <row r="779">
          <cell r="Y779">
            <v>763</v>
          </cell>
          <cell r="Z779">
            <v>0.90160585753619671</v>
          </cell>
          <cell r="AA779">
            <v>0.21817759213434926</v>
          </cell>
          <cell r="AB779" t="str">
            <v/>
          </cell>
          <cell r="AC779" t="e">
            <v>#N/A</v>
          </cell>
          <cell r="AD779">
            <v>692</v>
          </cell>
          <cell r="AE779" t="e">
            <v>#N/A</v>
          </cell>
          <cell r="AF779" t="str">
            <v/>
          </cell>
        </row>
        <row r="780">
          <cell r="Y780">
            <v>764</v>
          </cell>
          <cell r="Z780">
            <v>0.29623811505734921</v>
          </cell>
          <cell r="AA780">
            <v>-9.0473950178781168E-2</v>
          </cell>
          <cell r="AB780" t="str">
            <v/>
          </cell>
          <cell r="AC780" t="e">
            <v>#N/A</v>
          </cell>
          <cell r="AD780">
            <v>693</v>
          </cell>
          <cell r="AE780" t="e">
            <v>#N/A</v>
          </cell>
          <cell r="AF780" t="str">
            <v/>
          </cell>
        </row>
        <row r="781">
          <cell r="Y781">
            <v>765</v>
          </cell>
          <cell r="Z781">
            <v>1.6689877957105637E-3</v>
          </cell>
          <cell r="AA781">
            <v>-0.49606626954296934</v>
          </cell>
          <cell r="AB781" t="str">
            <v/>
          </cell>
          <cell r="AC781" t="e">
            <v>#N/A</v>
          </cell>
          <cell r="AD781">
            <v>694</v>
          </cell>
          <cell r="AE781" t="e">
            <v>#N/A</v>
          </cell>
          <cell r="AF781" t="str">
            <v/>
          </cell>
        </row>
        <row r="782">
          <cell r="Y782">
            <v>766</v>
          </cell>
          <cell r="Z782">
            <v>0.89965394698083401</v>
          </cell>
          <cell r="AA782">
            <v>0.21628887161613602</v>
          </cell>
          <cell r="AB782" t="str">
            <v/>
          </cell>
          <cell r="AC782" t="e">
            <v>#N/A</v>
          </cell>
          <cell r="AD782">
            <v>695</v>
          </cell>
          <cell r="AE782" t="e">
            <v>#N/A</v>
          </cell>
          <cell r="AF782" t="str">
            <v/>
          </cell>
        </row>
        <row r="783">
          <cell r="Y783">
            <v>767</v>
          </cell>
          <cell r="Z783">
            <v>0.16530965082347393</v>
          </cell>
          <cell r="AA783">
            <v>-0.16444457303194532</v>
          </cell>
          <cell r="AB783" t="str">
            <v/>
          </cell>
          <cell r="AC783" t="e">
            <v>#N/A</v>
          </cell>
          <cell r="AD783">
            <v>696</v>
          </cell>
          <cell r="AE783" t="e">
            <v>#N/A</v>
          </cell>
          <cell r="AF783" t="str">
            <v/>
          </cell>
        </row>
        <row r="784">
          <cell r="Y784">
            <v>768</v>
          </cell>
          <cell r="Z784">
            <v>0.65726020000874996</v>
          </cell>
          <cell r="AA784">
            <v>6.8457014248044901E-2</v>
          </cell>
          <cell r="AB784" t="str">
            <v/>
          </cell>
          <cell r="AC784" t="e">
            <v>#N/A</v>
          </cell>
          <cell r="AD784">
            <v>697</v>
          </cell>
          <cell r="AE784" t="e">
            <v>#N/A</v>
          </cell>
          <cell r="AF784" t="str">
            <v/>
          </cell>
        </row>
        <row r="785">
          <cell r="Y785">
            <v>769</v>
          </cell>
          <cell r="Z785">
            <v>0.54447009973227978</v>
          </cell>
          <cell r="AA785">
            <v>1.888106129216988E-2</v>
          </cell>
          <cell r="AB785" t="str">
            <v/>
          </cell>
          <cell r="AC785" t="e">
            <v>#N/A</v>
          </cell>
          <cell r="AD785">
            <v>698</v>
          </cell>
          <cell r="AE785" t="e">
            <v>#N/A</v>
          </cell>
          <cell r="AF785" t="str">
            <v/>
          </cell>
        </row>
        <row r="786">
          <cell r="Y786">
            <v>770</v>
          </cell>
          <cell r="Z786">
            <v>7.5434094294905663E-2</v>
          </cell>
          <cell r="AA786">
            <v>-0.24280801892652784</v>
          </cell>
          <cell r="AB786" t="str">
            <v/>
          </cell>
          <cell r="AC786" t="e">
            <v>#N/A</v>
          </cell>
          <cell r="AD786">
            <v>699</v>
          </cell>
          <cell r="AE786" t="e">
            <v>#N/A</v>
          </cell>
          <cell r="AF786" t="str">
            <v/>
          </cell>
        </row>
        <row r="787">
          <cell r="Y787">
            <v>771</v>
          </cell>
          <cell r="Z787">
            <v>0.92359228245913982</v>
          </cell>
          <cell r="AA787">
            <v>0.24165617003238898</v>
          </cell>
          <cell r="AB787" t="str">
            <v/>
          </cell>
          <cell r="AC787" t="e">
            <v>#N/A</v>
          </cell>
          <cell r="AD787">
            <v>700</v>
          </cell>
          <cell r="AE787" t="e">
            <v>#N/A</v>
          </cell>
          <cell r="AF787" t="str">
            <v/>
          </cell>
        </row>
        <row r="788">
          <cell r="Y788">
            <v>772</v>
          </cell>
          <cell r="Z788">
            <v>0.83129107020795345</v>
          </cell>
          <cell r="AA788">
            <v>0.16214786382605348</v>
          </cell>
          <cell r="AB788" t="str">
            <v/>
          </cell>
          <cell r="AC788" t="e">
            <v>#N/A</v>
          </cell>
          <cell r="AD788">
            <v>701</v>
          </cell>
          <cell r="AE788" t="e">
            <v>#N/A</v>
          </cell>
          <cell r="AF788" t="str">
            <v/>
          </cell>
        </row>
        <row r="789">
          <cell r="Y789">
            <v>773</v>
          </cell>
          <cell r="Z789">
            <v>0.50886344723403454</v>
          </cell>
          <cell r="AA789">
            <v>3.7557295318909043E-3</v>
          </cell>
          <cell r="AB789" t="str">
            <v/>
          </cell>
          <cell r="AC789" t="e">
            <v>#N/A</v>
          </cell>
          <cell r="AD789">
            <v>702</v>
          </cell>
          <cell r="AE789" t="e">
            <v>#N/A</v>
          </cell>
          <cell r="AF789" t="str">
            <v/>
          </cell>
        </row>
        <row r="790">
          <cell r="Y790">
            <v>774</v>
          </cell>
          <cell r="Z790">
            <v>8.7565159425139427E-2</v>
          </cell>
          <cell r="AA790">
            <v>-0.22918928598827165</v>
          </cell>
          <cell r="AB790" t="str">
            <v/>
          </cell>
          <cell r="AC790" t="e">
            <v>#N/A</v>
          </cell>
          <cell r="AD790">
            <v>703</v>
          </cell>
          <cell r="AE790" t="e">
            <v>#N/A</v>
          </cell>
          <cell r="AF790" t="str">
            <v/>
          </cell>
        </row>
        <row r="791">
          <cell r="Y791">
            <v>775</v>
          </cell>
          <cell r="Z791">
            <v>0.73259846679866314</v>
          </cell>
          <cell r="AA791">
            <v>0.10491589856533885</v>
          </cell>
          <cell r="AB791" t="str">
            <v/>
          </cell>
          <cell r="AC791" t="e">
            <v>#N/A</v>
          </cell>
          <cell r="AD791">
            <v>704</v>
          </cell>
          <cell r="AE791" t="e">
            <v>#N/A</v>
          </cell>
          <cell r="AF791" t="str">
            <v/>
          </cell>
        </row>
        <row r="792">
          <cell r="Y792">
            <v>776</v>
          </cell>
          <cell r="Z792">
            <v>0.19176669977605343</v>
          </cell>
          <cell r="AA792">
            <v>-0.14729422248963633</v>
          </cell>
          <cell r="AB792" t="str">
            <v/>
          </cell>
          <cell r="AC792" t="e">
            <v>#N/A</v>
          </cell>
          <cell r="AD792">
            <v>705</v>
          </cell>
          <cell r="AE792" t="e">
            <v>#N/A</v>
          </cell>
          <cell r="AF792" t="str">
            <v/>
          </cell>
        </row>
        <row r="793">
          <cell r="Y793">
            <v>777</v>
          </cell>
          <cell r="Z793">
            <v>0.4907276313751936</v>
          </cell>
          <cell r="AA793">
            <v>-3.9290332850281124E-3</v>
          </cell>
          <cell r="AB793" t="str">
            <v/>
          </cell>
          <cell r="AC793" t="e">
            <v>#N/A</v>
          </cell>
          <cell r="AD793">
            <v>706</v>
          </cell>
          <cell r="AE793" t="e">
            <v>#N/A</v>
          </cell>
          <cell r="AF793" t="str">
            <v/>
          </cell>
        </row>
        <row r="794">
          <cell r="Y794">
            <v>778</v>
          </cell>
          <cell r="Z794">
            <v>0.69321114383637905</v>
          </cell>
          <cell r="AA794">
            <v>8.5356036976348443E-2</v>
          </cell>
          <cell r="AB794" t="str">
            <v/>
          </cell>
          <cell r="AC794" t="e">
            <v>#N/A</v>
          </cell>
          <cell r="AD794">
            <v>707</v>
          </cell>
          <cell r="AE794" t="e">
            <v>#N/A</v>
          </cell>
          <cell r="AF794" t="str">
            <v/>
          </cell>
        </row>
        <row r="795">
          <cell r="Y795">
            <v>779</v>
          </cell>
          <cell r="Z795">
            <v>0.45010866038501263</v>
          </cell>
          <cell r="AA795">
            <v>-2.1194241119575831E-2</v>
          </cell>
          <cell r="AB795" t="str">
            <v/>
          </cell>
          <cell r="AC795" t="e">
            <v>#N/A</v>
          </cell>
          <cell r="AD795">
            <v>708</v>
          </cell>
          <cell r="AE795" t="e">
            <v>#N/A</v>
          </cell>
          <cell r="AF795" t="str">
            <v/>
          </cell>
        </row>
        <row r="796">
          <cell r="Y796">
            <v>780</v>
          </cell>
          <cell r="Z796">
            <v>0.45526271127164364</v>
          </cell>
          <cell r="AA796">
            <v>-1.8994981370018316E-2</v>
          </cell>
          <cell r="AB796" t="str">
            <v/>
          </cell>
          <cell r="AC796" t="e">
            <v>#N/A</v>
          </cell>
          <cell r="AD796">
            <v>709</v>
          </cell>
          <cell r="AE796" t="e">
            <v>#N/A</v>
          </cell>
          <cell r="AF796" t="str">
            <v/>
          </cell>
        </row>
        <row r="797">
          <cell r="Y797">
            <v>781</v>
          </cell>
          <cell r="Z797">
            <v>3.11316829174757E-2</v>
          </cell>
          <cell r="AA797">
            <v>-0.31514375297619596</v>
          </cell>
          <cell r="AB797" t="str">
            <v/>
          </cell>
          <cell r="AC797" t="e">
            <v>#N/A</v>
          </cell>
          <cell r="AD797">
            <v>710</v>
          </cell>
          <cell r="AE797" t="e">
            <v>#N/A</v>
          </cell>
          <cell r="AF797" t="str">
            <v/>
          </cell>
        </row>
        <row r="798">
          <cell r="Y798">
            <v>782</v>
          </cell>
          <cell r="Z798">
            <v>0.23388663493096828</v>
          </cell>
          <cell r="AA798">
            <v>-0.12273445878450073</v>
          </cell>
          <cell r="AB798" t="str">
            <v/>
          </cell>
          <cell r="AC798" t="e">
            <v>#N/A</v>
          </cell>
          <cell r="AD798">
            <v>711</v>
          </cell>
          <cell r="AE798" t="e">
            <v>#N/A</v>
          </cell>
          <cell r="AF798" t="str">
            <v/>
          </cell>
        </row>
        <row r="799">
          <cell r="Y799">
            <v>783</v>
          </cell>
          <cell r="Z799">
            <v>0.38983593694865704</v>
          </cell>
          <cell r="AA799">
            <v>-4.7285816764255501E-2</v>
          </cell>
          <cell r="AB799" t="str">
            <v/>
          </cell>
          <cell r="AC799" t="e">
            <v>#N/A</v>
          </cell>
          <cell r="AD799">
            <v>712</v>
          </cell>
          <cell r="AE799" t="e">
            <v>#N/A</v>
          </cell>
          <cell r="AF799" t="str">
            <v/>
          </cell>
        </row>
        <row r="800">
          <cell r="Y800">
            <v>784</v>
          </cell>
          <cell r="Z800">
            <v>0.43735375069081783</v>
          </cell>
          <cell r="AA800">
            <v>-2.6653097665686659E-2</v>
          </cell>
          <cell r="AB800" t="str">
            <v/>
          </cell>
          <cell r="AC800" t="e">
            <v>#N/A</v>
          </cell>
          <cell r="AD800">
            <v>713</v>
          </cell>
          <cell r="AE800" t="e">
            <v>#N/A</v>
          </cell>
          <cell r="AF800" t="str">
            <v/>
          </cell>
        </row>
        <row r="801">
          <cell r="Y801">
            <v>785</v>
          </cell>
          <cell r="Z801">
            <v>0.1925069373100996</v>
          </cell>
          <cell r="AA801">
            <v>-0.14683628668360366</v>
          </cell>
          <cell r="AB801" t="str">
            <v/>
          </cell>
          <cell r="AC801" t="e">
            <v>#N/A</v>
          </cell>
          <cell r="AD801">
            <v>714</v>
          </cell>
          <cell r="AE801" t="e">
            <v>#N/A</v>
          </cell>
          <cell r="AF801" t="str">
            <v/>
          </cell>
        </row>
        <row r="802">
          <cell r="Y802">
            <v>786</v>
          </cell>
          <cell r="Z802">
            <v>0.87569118104875088</v>
          </cell>
          <cell r="AA802">
            <v>0.19501317853663239</v>
          </cell>
          <cell r="AB802" t="str">
            <v/>
          </cell>
          <cell r="AC802" t="e">
            <v>#N/A</v>
          </cell>
          <cell r="AD802">
            <v>715</v>
          </cell>
          <cell r="AE802" t="e">
            <v>#N/A</v>
          </cell>
          <cell r="AF802" t="str">
            <v/>
          </cell>
        </row>
        <row r="803">
          <cell r="Y803">
            <v>787</v>
          </cell>
          <cell r="Z803">
            <v>0.19447286240756512</v>
          </cell>
          <cell r="AA803">
            <v>-0.14562529664341667</v>
          </cell>
          <cell r="AB803" t="str">
            <v/>
          </cell>
          <cell r="AC803" t="e">
            <v>#N/A</v>
          </cell>
          <cell r="AD803">
            <v>716</v>
          </cell>
          <cell r="AE803" t="e">
            <v>#N/A</v>
          </cell>
          <cell r="AF803" t="str">
            <v/>
          </cell>
        </row>
        <row r="804">
          <cell r="Y804">
            <v>788</v>
          </cell>
          <cell r="Z804">
            <v>0.15222286246716976</v>
          </cell>
          <cell r="AA804">
            <v>-0.17358561629849059</v>
          </cell>
          <cell r="AB804" t="str">
            <v/>
          </cell>
          <cell r="AC804" t="e">
            <v>#N/A</v>
          </cell>
          <cell r="AD804">
            <v>717</v>
          </cell>
          <cell r="AE804" t="e">
            <v>#N/A</v>
          </cell>
          <cell r="AF804" t="str">
            <v/>
          </cell>
        </row>
        <row r="805">
          <cell r="Y805">
            <v>789</v>
          </cell>
          <cell r="Z805">
            <v>0.60356890968978405</v>
          </cell>
          <cell r="AA805">
            <v>4.4386782095521431E-2</v>
          </cell>
          <cell r="AB805" t="str">
            <v/>
          </cell>
          <cell r="AC805" t="e">
            <v>#N/A</v>
          </cell>
          <cell r="AD805">
            <v>718</v>
          </cell>
          <cell r="AE805" t="e">
            <v>#N/A</v>
          </cell>
          <cell r="AF805" t="str">
            <v/>
          </cell>
        </row>
        <row r="806">
          <cell r="Y806">
            <v>790</v>
          </cell>
          <cell r="Z806">
            <v>0.94329366646707058</v>
          </cell>
          <cell r="AA806">
            <v>0.26758236138781188</v>
          </cell>
          <cell r="AB806" t="str">
            <v/>
          </cell>
          <cell r="AC806" t="e">
            <v>#N/A</v>
          </cell>
          <cell r="AD806">
            <v>719</v>
          </cell>
          <cell r="AE806" t="e">
            <v>#N/A</v>
          </cell>
          <cell r="AF806" t="str">
            <v/>
          </cell>
        </row>
        <row r="807">
          <cell r="Y807">
            <v>791</v>
          </cell>
          <cell r="Z807">
            <v>0.92748836986720562</v>
          </cell>
          <cell r="AA807">
            <v>0.2463349854562612</v>
          </cell>
          <cell r="AB807" t="str">
            <v/>
          </cell>
          <cell r="AC807" t="e">
            <v>#N/A</v>
          </cell>
          <cell r="AD807">
            <v>720</v>
          </cell>
          <cell r="AE807" t="e">
            <v>#N/A</v>
          </cell>
          <cell r="AF807" t="str">
            <v/>
          </cell>
        </row>
        <row r="808">
          <cell r="Y808">
            <v>792</v>
          </cell>
          <cell r="Z808">
            <v>0.75602086447179317</v>
          </cell>
          <cell r="AA808">
            <v>0.11723301407892017</v>
          </cell>
          <cell r="AB808" t="str">
            <v/>
          </cell>
          <cell r="AC808" t="e">
            <v>#N/A</v>
          </cell>
          <cell r="AD808">
            <v>721</v>
          </cell>
          <cell r="AE808" t="e">
            <v>#N/A</v>
          </cell>
          <cell r="AF808" t="str">
            <v/>
          </cell>
        </row>
        <row r="809">
          <cell r="Y809">
            <v>793</v>
          </cell>
          <cell r="Z809">
            <v>0.4729891698807478</v>
          </cell>
          <cell r="AA809">
            <v>-1.1453179290353201E-2</v>
          </cell>
          <cell r="AB809" t="str">
            <v/>
          </cell>
          <cell r="AC809" t="e">
            <v>#N/A</v>
          </cell>
          <cell r="AD809">
            <v>722</v>
          </cell>
          <cell r="AE809" t="e">
            <v>#N/A</v>
          </cell>
          <cell r="AF809" t="str">
            <v/>
          </cell>
        </row>
        <row r="810">
          <cell r="Y810">
            <v>794</v>
          </cell>
          <cell r="Z810">
            <v>0.84766668640077114</v>
          </cell>
          <cell r="AA810">
            <v>0.17350634260785722</v>
          </cell>
          <cell r="AB810" t="str">
            <v/>
          </cell>
          <cell r="AC810" t="e">
            <v>#N/A</v>
          </cell>
          <cell r="AD810">
            <v>723</v>
          </cell>
          <cell r="AE810" t="e">
            <v>#N/A</v>
          </cell>
          <cell r="AF810" t="str">
            <v/>
          </cell>
        </row>
        <row r="811">
          <cell r="Y811">
            <v>795</v>
          </cell>
          <cell r="Z811">
            <v>0.88367463462054729</v>
          </cell>
          <cell r="AA811">
            <v>0.20174820243321584</v>
          </cell>
          <cell r="AB811" t="str">
            <v/>
          </cell>
          <cell r="AC811" t="e">
            <v>#N/A</v>
          </cell>
          <cell r="AD811">
            <v>724</v>
          </cell>
          <cell r="AE811" t="e">
            <v>#N/A</v>
          </cell>
          <cell r="AF811" t="str">
            <v/>
          </cell>
        </row>
        <row r="812">
          <cell r="Y812">
            <v>796</v>
          </cell>
          <cell r="Z812">
            <v>0.83397572301328182</v>
          </cell>
          <cell r="AA812">
            <v>0.16395922622736472</v>
          </cell>
          <cell r="AB812" t="str">
            <v/>
          </cell>
          <cell r="AC812" t="e">
            <v>#N/A</v>
          </cell>
          <cell r="AD812">
            <v>725</v>
          </cell>
          <cell r="AE812" t="e">
            <v>#N/A</v>
          </cell>
          <cell r="AF812" t="str">
            <v/>
          </cell>
        </row>
        <row r="813">
          <cell r="Y813">
            <v>797</v>
          </cell>
          <cell r="Z813">
            <v>7.1817217394709587E-2</v>
          </cell>
          <cell r="AA813">
            <v>-0.24718898500059455</v>
          </cell>
          <cell r="AB813" t="str">
            <v/>
          </cell>
          <cell r="AC813" t="e">
            <v>#N/A</v>
          </cell>
          <cell r="AD813">
            <v>726</v>
          </cell>
          <cell r="AE813" t="e">
            <v>#N/A</v>
          </cell>
          <cell r="AF813" t="str">
            <v/>
          </cell>
        </row>
        <row r="814">
          <cell r="Y814">
            <v>798</v>
          </cell>
          <cell r="Z814">
            <v>0.10757092200219631</v>
          </cell>
          <cell r="AA814">
            <v>-0.20952220962257637</v>
          </cell>
          <cell r="AB814" t="str">
            <v/>
          </cell>
          <cell r="AC814" t="e">
            <v>#N/A</v>
          </cell>
          <cell r="AD814">
            <v>727</v>
          </cell>
          <cell r="AE814" t="e">
            <v>#N/A</v>
          </cell>
          <cell r="AF814" t="str">
            <v/>
          </cell>
        </row>
        <row r="815">
          <cell r="Y815">
            <v>799</v>
          </cell>
          <cell r="Z815">
            <v>0.61844394914805889</v>
          </cell>
          <cell r="AA815">
            <v>5.0945320434821889E-2</v>
          </cell>
          <cell r="AB815" t="str">
            <v/>
          </cell>
          <cell r="AC815" t="e">
            <v>#N/A</v>
          </cell>
          <cell r="AD815">
            <v>728</v>
          </cell>
          <cell r="AE815" t="e">
            <v>#N/A</v>
          </cell>
          <cell r="AF815" t="str">
            <v/>
          </cell>
        </row>
        <row r="816">
          <cell r="Y816">
            <v>800</v>
          </cell>
          <cell r="Z816">
            <v>0.53125192783772945</v>
          </cell>
          <cell r="AA816">
            <v>1.3254936184161036E-2</v>
          </cell>
          <cell r="AB816" t="str">
            <v/>
          </cell>
          <cell r="AC816" t="e">
            <v>#N/A</v>
          </cell>
          <cell r="AD816">
            <v>729</v>
          </cell>
          <cell r="AE816" t="e">
            <v>#N/A</v>
          </cell>
          <cell r="AF816" t="str">
            <v/>
          </cell>
        </row>
        <row r="817">
          <cell r="Y817">
            <v>801</v>
          </cell>
          <cell r="Z817">
            <v>0.18465235643088818</v>
          </cell>
          <cell r="AA817">
            <v>-0.15175192661412015</v>
          </cell>
          <cell r="AB817" t="str">
            <v/>
          </cell>
          <cell r="AC817" t="e">
            <v>#N/A</v>
          </cell>
          <cell r="AD817">
            <v>730</v>
          </cell>
          <cell r="AE817" t="e">
            <v>#N/A</v>
          </cell>
          <cell r="AF817" t="str">
            <v/>
          </cell>
        </row>
        <row r="818">
          <cell r="Y818">
            <v>802</v>
          </cell>
          <cell r="Z818">
            <v>0.96478951536118984</v>
          </cell>
          <cell r="AA818">
            <v>0.30580949269681656</v>
          </cell>
          <cell r="AB818" t="str">
            <v/>
          </cell>
          <cell r="AC818" t="e">
            <v>#N/A</v>
          </cell>
          <cell r="AD818">
            <v>731</v>
          </cell>
          <cell r="AE818" t="e">
            <v>#N/A</v>
          </cell>
          <cell r="AF818" t="str">
            <v/>
          </cell>
        </row>
        <row r="819">
          <cell r="Y819">
            <v>803</v>
          </cell>
          <cell r="Z819">
            <v>0.69587559811770916</v>
          </cell>
          <cell r="AA819">
            <v>8.6640949982431215E-2</v>
          </cell>
          <cell r="AB819" t="str">
            <v/>
          </cell>
          <cell r="AC819" t="e">
            <v>#N/A</v>
          </cell>
          <cell r="AD819">
            <v>732</v>
          </cell>
          <cell r="AE819" t="e">
            <v>#N/A</v>
          </cell>
          <cell r="AF819" t="str">
            <v/>
          </cell>
        </row>
        <row r="820">
          <cell r="Y820">
            <v>804</v>
          </cell>
          <cell r="Z820">
            <v>2.755986712872982E-2</v>
          </cell>
          <cell r="AA820">
            <v>-0.32418954442673487</v>
          </cell>
          <cell r="AB820" t="str">
            <v/>
          </cell>
          <cell r="AC820" t="e">
            <v>#N/A</v>
          </cell>
          <cell r="AD820">
            <v>733</v>
          </cell>
          <cell r="AE820" t="e">
            <v>#N/A</v>
          </cell>
          <cell r="AF820" t="str">
            <v/>
          </cell>
        </row>
        <row r="821">
          <cell r="Y821">
            <v>805</v>
          </cell>
          <cell r="Z821">
            <v>2.9565570876002312E-2</v>
          </cell>
          <cell r="AA821">
            <v>-0.31899789911172594</v>
          </cell>
          <cell r="AB821" t="str">
            <v/>
          </cell>
          <cell r="AC821" t="e">
            <v>#N/A</v>
          </cell>
          <cell r="AD821">
            <v>734</v>
          </cell>
          <cell r="AE821" t="e">
            <v>#N/A</v>
          </cell>
          <cell r="AF821" t="str">
            <v/>
          </cell>
        </row>
        <row r="822">
          <cell r="Y822">
            <v>806</v>
          </cell>
          <cell r="Z822">
            <v>9.3112444505095482E-2</v>
          </cell>
          <cell r="AA822">
            <v>-0.22342998733615332</v>
          </cell>
          <cell r="AB822" t="str">
            <v/>
          </cell>
          <cell r="AC822" t="e">
            <v>#N/A</v>
          </cell>
          <cell r="AD822">
            <v>735</v>
          </cell>
          <cell r="AE822" t="e">
            <v>#N/A</v>
          </cell>
          <cell r="AF822" t="str">
            <v/>
          </cell>
        </row>
        <row r="823">
          <cell r="Y823">
            <v>807</v>
          </cell>
          <cell r="Z823">
            <v>0.65551273338496685</v>
          </cell>
          <cell r="AA823">
            <v>6.765410639636274E-2</v>
          </cell>
          <cell r="AB823" t="str">
            <v/>
          </cell>
          <cell r="AC823" t="e">
            <v>#N/A</v>
          </cell>
          <cell r="AD823">
            <v>736</v>
          </cell>
          <cell r="AE823" t="e">
            <v>#N/A</v>
          </cell>
          <cell r="AF823" t="str">
            <v/>
          </cell>
        </row>
        <row r="824">
          <cell r="Y824">
            <v>808</v>
          </cell>
          <cell r="Z824">
            <v>0.85551520250737667</v>
          </cell>
          <cell r="AA824">
            <v>0.17923773742266716</v>
          </cell>
          <cell r="AB824" t="str">
            <v/>
          </cell>
          <cell r="AC824" t="e">
            <v>#N/A</v>
          </cell>
          <cell r="AD824">
            <v>737</v>
          </cell>
          <cell r="AE824" t="e">
            <v>#N/A</v>
          </cell>
          <cell r="AF824" t="str">
            <v/>
          </cell>
        </row>
        <row r="825">
          <cell r="Y825">
            <v>809</v>
          </cell>
          <cell r="Z825">
            <v>0.14677139930427074</v>
          </cell>
          <cell r="AA825">
            <v>-0.17754686007865383</v>
          </cell>
          <cell r="AB825" t="str">
            <v/>
          </cell>
          <cell r="AC825" t="e">
            <v>#N/A</v>
          </cell>
          <cell r="AD825">
            <v>738</v>
          </cell>
          <cell r="AE825" t="e">
            <v>#N/A</v>
          </cell>
          <cell r="AF825" t="str">
            <v/>
          </cell>
        </row>
        <row r="826">
          <cell r="Y826">
            <v>810</v>
          </cell>
          <cell r="Z826">
            <v>0.90107089839875698</v>
          </cell>
          <cell r="AA826">
            <v>0.21765724579221821</v>
          </cell>
          <cell r="AB826" t="str">
            <v/>
          </cell>
          <cell r="AC826" t="e">
            <v>#N/A</v>
          </cell>
          <cell r="AD826">
            <v>739</v>
          </cell>
          <cell r="AE826" t="e">
            <v>#N/A</v>
          </cell>
          <cell r="AF826" t="str">
            <v/>
          </cell>
        </row>
        <row r="827">
          <cell r="Y827">
            <v>811</v>
          </cell>
          <cell r="Z827">
            <v>0.69790924899280071</v>
          </cell>
          <cell r="AA827">
            <v>8.7625038878418493E-2</v>
          </cell>
          <cell r="AB827" t="str">
            <v/>
          </cell>
          <cell r="AC827" t="e">
            <v>#N/A</v>
          </cell>
          <cell r="AD827">
            <v>740</v>
          </cell>
          <cell r="AE827" t="e">
            <v>#N/A</v>
          </cell>
          <cell r="AF827" t="str">
            <v/>
          </cell>
        </row>
        <row r="828">
          <cell r="Y828">
            <v>812</v>
          </cell>
          <cell r="Z828">
            <v>0.56274824403226376</v>
          </cell>
          <cell r="AA828">
            <v>2.6696854061123598E-2</v>
          </cell>
          <cell r="AB828" t="str">
            <v/>
          </cell>
          <cell r="AC828" t="e">
            <v>#N/A</v>
          </cell>
          <cell r="AD828">
            <v>741</v>
          </cell>
          <cell r="AE828" t="e">
            <v>#N/A</v>
          </cell>
          <cell r="AF828" t="str">
            <v/>
          </cell>
        </row>
        <row r="829">
          <cell r="Y829">
            <v>813</v>
          </cell>
          <cell r="Z829">
            <v>0.75604980997741222</v>
          </cell>
          <cell r="AA829">
            <v>0.11724861334856147</v>
          </cell>
          <cell r="AB829" t="str">
            <v/>
          </cell>
          <cell r="AC829" t="e">
            <v>#N/A</v>
          </cell>
          <cell r="AD829">
            <v>742</v>
          </cell>
          <cell r="AE829" t="e">
            <v>#N/A</v>
          </cell>
          <cell r="AF829" t="str">
            <v/>
          </cell>
        </row>
        <row r="830">
          <cell r="Y830">
            <v>814</v>
          </cell>
          <cell r="Z830">
            <v>0.92842165194451809</v>
          </cell>
          <cell r="AA830">
            <v>0.24748421374078361</v>
          </cell>
          <cell r="AB830" t="str">
            <v/>
          </cell>
          <cell r="AC830" t="e">
            <v>#N/A</v>
          </cell>
          <cell r="AD830">
            <v>743</v>
          </cell>
          <cell r="AE830" t="e">
            <v>#N/A</v>
          </cell>
          <cell r="AF830" t="str">
            <v/>
          </cell>
        </row>
        <row r="831">
          <cell r="Y831">
            <v>815</v>
          </cell>
          <cell r="Z831">
            <v>0.5889266561716795</v>
          </cell>
          <cell r="AA831">
            <v>3.799556682427753E-2</v>
          </cell>
          <cell r="AB831" t="str">
            <v/>
          </cell>
          <cell r="AC831" t="e">
            <v>#N/A</v>
          </cell>
          <cell r="AD831">
            <v>744</v>
          </cell>
          <cell r="AE831" t="e">
            <v>#N/A</v>
          </cell>
          <cell r="AF831" t="str">
            <v/>
          </cell>
        </row>
        <row r="832">
          <cell r="Y832">
            <v>816</v>
          </cell>
          <cell r="Z832">
            <v>0.21776332519948483</v>
          </cell>
          <cell r="AA832">
            <v>-0.13180507674162023</v>
          </cell>
          <cell r="AB832" t="str">
            <v/>
          </cell>
          <cell r="AC832" t="e">
            <v>#N/A</v>
          </cell>
          <cell r="AD832">
            <v>745</v>
          </cell>
          <cell r="AE832" t="e">
            <v>#N/A</v>
          </cell>
          <cell r="AF832" t="str">
            <v/>
          </cell>
        </row>
        <row r="833">
          <cell r="Y833">
            <v>817</v>
          </cell>
          <cell r="Z833">
            <v>8.29180758446455E-2</v>
          </cell>
          <cell r="AA833">
            <v>-0.23422736515860826</v>
          </cell>
          <cell r="AB833" t="str">
            <v/>
          </cell>
          <cell r="AC833" t="e">
            <v>#N/A</v>
          </cell>
          <cell r="AD833">
            <v>746</v>
          </cell>
          <cell r="AE833" t="e">
            <v>#N/A</v>
          </cell>
          <cell r="AF833" t="str">
            <v/>
          </cell>
        </row>
        <row r="834">
          <cell r="Y834">
            <v>818</v>
          </cell>
          <cell r="Z834">
            <v>0.83638144098222256</v>
          </cell>
          <cell r="AA834">
            <v>0.16559853468086211</v>
          </cell>
          <cell r="AB834" t="str">
            <v/>
          </cell>
          <cell r="AC834" t="e">
            <v>#N/A</v>
          </cell>
          <cell r="AD834">
            <v>747</v>
          </cell>
          <cell r="AE834" t="e">
            <v>#N/A</v>
          </cell>
          <cell r="AF834" t="str">
            <v/>
          </cell>
        </row>
        <row r="835">
          <cell r="Y835">
            <v>819</v>
          </cell>
          <cell r="Z835">
            <v>0.28278095833957195</v>
          </cell>
          <cell r="AA835">
            <v>-9.7125110808321591E-2</v>
          </cell>
          <cell r="AB835" t="str">
            <v/>
          </cell>
          <cell r="AC835" t="e">
            <v>#N/A</v>
          </cell>
          <cell r="AD835">
            <v>748</v>
          </cell>
          <cell r="AE835" t="e">
            <v>#N/A</v>
          </cell>
          <cell r="AF835" t="str">
            <v/>
          </cell>
        </row>
        <row r="836">
          <cell r="Y836">
            <v>820</v>
          </cell>
          <cell r="Z836">
            <v>0.25954817794263363</v>
          </cell>
          <cell r="AA836">
            <v>-0.10898077720008548</v>
          </cell>
          <cell r="AB836" t="str">
            <v/>
          </cell>
          <cell r="AC836" t="e">
            <v>#N/A</v>
          </cell>
          <cell r="AD836">
            <v>749</v>
          </cell>
          <cell r="AE836" t="e">
            <v>#N/A</v>
          </cell>
          <cell r="AF836" t="str">
            <v/>
          </cell>
        </row>
        <row r="837">
          <cell r="Y837">
            <v>821</v>
          </cell>
          <cell r="Z837">
            <v>0.15355264954268932</v>
          </cell>
          <cell r="AA837">
            <v>-0.17263371600864369</v>
          </cell>
          <cell r="AB837" t="str">
            <v/>
          </cell>
          <cell r="AC837" t="e">
            <v>#N/A</v>
          </cell>
          <cell r="AD837">
            <v>750</v>
          </cell>
          <cell r="AE837" t="e">
            <v>#N/A</v>
          </cell>
          <cell r="AF837" t="str">
            <v/>
          </cell>
        </row>
        <row r="838">
          <cell r="Y838">
            <v>822</v>
          </cell>
          <cell r="Z838">
            <v>0.49161133728921413</v>
          </cell>
          <cell r="AA838">
            <v>-3.5545174619774386E-3</v>
          </cell>
          <cell r="AB838" t="str">
            <v/>
          </cell>
          <cell r="AC838" t="e">
            <v>#N/A</v>
          </cell>
          <cell r="AD838">
            <v>751</v>
          </cell>
          <cell r="AE838" t="e">
            <v>#N/A</v>
          </cell>
          <cell r="AF838" t="str">
            <v/>
          </cell>
        </row>
        <row r="839">
          <cell r="Y839">
            <v>823</v>
          </cell>
          <cell r="Z839">
            <v>0.76383952610194683</v>
          </cell>
          <cell r="AA839">
            <v>0.1214837988500642</v>
          </cell>
          <cell r="AB839" t="str">
            <v/>
          </cell>
          <cell r="AC839" t="e">
            <v>#N/A</v>
          </cell>
          <cell r="AD839">
            <v>752</v>
          </cell>
          <cell r="AE839" t="e">
            <v>#N/A</v>
          </cell>
          <cell r="AF839" t="str">
            <v/>
          </cell>
        </row>
        <row r="840">
          <cell r="Y840">
            <v>824</v>
          </cell>
          <cell r="Z840">
            <v>0.19093330763280392</v>
          </cell>
          <cell r="AA840">
            <v>-0.147811084085748</v>
          </cell>
          <cell r="AB840" t="str">
            <v/>
          </cell>
          <cell r="AC840" t="e">
            <v>#N/A</v>
          </cell>
          <cell r="AD840">
            <v>753</v>
          </cell>
          <cell r="AE840" t="e">
            <v>#N/A</v>
          </cell>
          <cell r="AF840" t="str">
            <v/>
          </cell>
        </row>
        <row r="841">
          <cell r="Y841">
            <v>825</v>
          </cell>
          <cell r="Z841">
            <v>0.55846103839576244</v>
          </cell>
          <cell r="AA841">
            <v>2.4859120048511516E-2</v>
          </cell>
          <cell r="AB841" t="str">
            <v/>
          </cell>
          <cell r="AC841" t="e">
            <v>#N/A</v>
          </cell>
          <cell r="AD841">
            <v>754</v>
          </cell>
          <cell r="AE841" t="e">
            <v>#N/A</v>
          </cell>
          <cell r="AF841" t="str">
            <v/>
          </cell>
        </row>
        <row r="842">
          <cell r="Y842">
            <v>826</v>
          </cell>
          <cell r="Z842">
            <v>0.64395112358033657</v>
          </cell>
          <cell r="AA842">
            <v>6.2379180899124927E-2</v>
          </cell>
          <cell r="AB842" t="str">
            <v/>
          </cell>
          <cell r="AC842" t="e">
            <v>#N/A</v>
          </cell>
          <cell r="AD842">
            <v>755</v>
          </cell>
          <cell r="AE842" t="e">
            <v>#N/A</v>
          </cell>
          <cell r="AF842" t="str">
            <v/>
          </cell>
        </row>
        <row r="843">
          <cell r="Y843">
            <v>827</v>
          </cell>
          <cell r="Z843">
            <v>0.60716797225177288</v>
          </cell>
          <cell r="AA843">
            <v>4.5967150625602637E-2</v>
          </cell>
          <cell r="AB843" t="str">
            <v/>
          </cell>
          <cell r="AC843" t="e">
            <v>#N/A</v>
          </cell>
          <cell r="AD843">
            <v>756</v>
          </cell>
          <cell r="AE843" t="e">
            <v>#N/A</v>
          </cell>
          <cell r="AF843" t="str">
            <v/>
          </cell>
        </row>
        <row r="844">
          <cell r="Y844">
            <v>828</v>
          </cell>
          <cell r="Z844">
            <v>0.61570136807858944</v>
          </cell>
          <cell r="AA844">
            <v>4.9730605569284728E-2</v>
          </cell>
          <cell r="AB844" t="str">
            <v/>
          </cell>
          <cell r="AC844" t="e">
            <v>#N/A</v>
          </cell>
          <cell r="AD844">
            <v>757</v>
          </cell>
          <cell r="AE844" t="e">
            <v>#N/A</v>
          </cell>
          <cell r="AF844" t="str">
            <v/>
          </cell>
        </row>
        <row r="845">
          <cell r="Y845">
            <v>829</v>
          </cell>
          <cell r="Z845">
            <v>0.68490367941558361</v>
          </cell>
          <cell r="AA845">
            <v>8.1380870558063256E-2</v>
          </cell>
          <cell r="AB845" t="str">
            <v/>
          </cell>
          <cell r="AC845" t="e">
            <v>#N/A</v>
          </cell>
          <cell r="AD845">
            <v>758</v>
          </cell>
          <cell r="AE845" t="e">
            <v>#N/A</v>
          </cell>
          <cell r="AF845" t="str">
            <v/>
          </cell>
        </row>
        <row r="846">
          <cell r="Y846">
            <v>830</v>
          </cell>
          <cell r="Z846">
            <v>0.69790366850793362</v>
          </cell>
          <cell r="AA846">
            <v>8.7622334414794931E-2</v>
          </cell>
          <cell r="AB846" t="str">
            <v/>
          </cell>
          <cell r="AC846" t="e">
            <v>#N/A</v>
          </cell>
          <cell r="AD846">
            <v>759</v>
          </cell>
          <cell r="AE846" t="e">
            <v>#N/A</v>
          </cell>
          <cell r="AF846" t="str">
            <v/>
          </cell>
        </row>
        <row r="847">
          <cell r="Y847">
            <v>831</v>
          </cell>
          <cell r="Z847">
            <v>0.75782702676951885</v>
          </cell>
          <cell r="AA847">
            <v>0.11820831154269285</v>
          </cell>
          <cell r="AB847" t="str">
            <v/>
          </cell>
          <cell r="AC847" t="e">
            <v>#N/A</v>
          </cell>
          <cell r="AD847">
            <v>760</v>
          </cell>
          <cell r="AE847" t="e">
            <v>#N/A</v>
          </cell>
          <cell r="AF847" t="str">
            <v/>
          </cell>
        </row>
        <row r="848">
          <cell r="Y848">
            <v>832</v>
          </cell>
          <cell r="Z848">
            <v>0.11944653652608395</v>
          </cell>
          <cell r="AA848">
            <v>-0.19907744708023281</v>
          </cell>
          <cell r="AB848" t="str">
            <v/>
          </cell>
          <cell r="AC848" t="e">
            <v>#N/A</v>
          </cell>
          <cell r="AD848">
            <v>761</v>
          </cell>
          <cell r="AE848" t="e">
            <v>#N/A</v>
          </cell>
          <cell r="AF848" t="str">
            <v/>
          </cell>
        </row>
        <row r="849">
          <cell r="Y849">
            <v>833</v>
          </cell>
          <cell r="Z849">
            <v>0.91806581430137157</v>
          </cell>
          <cell r="AA849">
            <v>0.23532110550299778</v>
          </cell>
          <cell r="AB849" t="str">
            <v/>
          </cell>
          <cell r="AC849" t="e">
            <v>#N/A</v>
          </cell>
          <cell r="AD849">
            <v>762</v>
          </cell>
          <cell r="AE849" t="e">
            <v>#N/A</v>
          </cell>
          <cell r="AF849" t="str">
            <v/>
          </cell>
        </row>
        <row r="850">
          <cell r="Y850">
            <v>834</v>
          </cell>
          <cell r="Z850">
            <v>7.7869301661849022E-2</v>
          </cell>
          <cell r="AA850">
            <v>-0.23994781832852563</v>
          </cell>
          <cell r="AB850" t="str">
            <v/>
          </cell>
          <cell r="AC850" t="e">
            <v>#N/A</v>
          </cell>
          <cell r="AD850">
            <v>763</v>
          </cell>
          <cell r="AE850" t="e">
            <v>#N/A</v>
          </cell>
          <cell r="AF850" t="str">
            <v/>
          </cell>
        </row>
        <row r="851">
          <cell r="Y851">
            <v>835</v>
          </cell>
          <cell r="Z851">
            <v>2.8919411823153496E-2</v>
          </cell>
          <cell r="AA851">
            <v>-0.32063758399689768</v>
          </cell>
          <cell r="AB851" t="str">
            <v/>
          </cell>
          <cell r="AC851" t="e">
            <v>#N/A</v>
          </cell>
          <cell r="AD851">
            <v>764</v>
          </cell>
          <cell r="AE851" t="e">
            <v>#N/A</v>
          </cell>
          <cell r="AF851" t="str">
            <v/>
          </cell>
        </row>
        <row r="852">
          <cell r="Y852">
            <v>836</v>
          </cell>
          <cell r="Z852">
            <v>0.49418388865888119</v>
          </cell>
          <cell r="AA852">
            <v>-2.4643591948055334E-3</v>
          </cell>
          <cell r="AB852" t="str">
            <v/>
          </cell>
          <cell r="AC852" t="e">
            <v>#N/A</v>
          </cell>
          <cell r="AD852">
            <v>765</v>
          </cell>
          <cell r="AE852" t="e">
            <v>#N/A</v>
          </cell>
          <cell r="AF852" t="str">
            <v/>
          </cell>
        </row>
        <row r="853">
          <cell r="Y853">
            <v>837</v>
          </cell>
          <cell r="Z853">
            <v>0.31097936443984509</v>
          </cell>
          <cell r="AA853">
            <v>-8.3345093952970781E-2</v>
          </cell>
          <cell r="AB853" t="str">
            <v/>
          </cell>
          <cell r="AC853" t="e">
            <v>#N/A</v>
          </cell>
          <cell r="AD853">
            <v>766</v>
          </cell>
          <cell r="AE853" t="e">
            <v>#N/A</v>
          </cell>
          <cell r="AF853" t="str">
            <v/>
          </cell>
        </row>
        <row r="854">
          <cell r="Y854">
            <v>838</v>
          </cell>
          <cell r="Z854">
            <v>0.68713018856942654</v>
          </cell>
          <cell r="AA854">
            <v>8.2441769217811448E-2</v>
          </cell>
          <cell r="AB854" t="str">
            <v/>
          </cell>
          <cell r="AC854" t="e">
            <v>#N/A</v>
          </cell>
          <cell r="AD854">
            <v>767</v>
          </cell>
          <cell r="AE854" t="e">
            <v>#N/A</v>
          </cell>
          <cell r="AF854" t="str">
            <v/>
          </cell>
        </row>
        <row r="855">
          <cell r="Y855">
            <v>839</v>
          </cell>
          <cell r="Z855">
            <v>0.81838671676814556</v>
          </cell>
          <cell r="AA855">
            <v>0.15368861408503676</v>
          </cell>
          <cell r="AB855" t="str">
            <v/>
          </cell>
          <cell r="AC855" t="e">
            <v>#N/A</v>
          </cell>
          <cell r="AD855">
            <v>768</v>
          </cell>
          <cell r="AE855" t="e">
            <v>#N/A</v>
          </cell>
          <cell r="AF855" t="str">
            <v/>
          </cell>
        </row>
        <row r="856">
          <cell r="Y856">
            <v>840</v>
          </cell>
          <cell r="Z856">
            <v>0.80670877359807491</v>
          </cell>
          <cell r="AA856">
            <v>0.14635227200836837</v>
          </cell>
          <cell r="AB856" t="str">
            <v/>
          </cell>
          <cell r="AC856" t="e">
            <v>#N/A</v>
          </cell>
          <cell r="AD856">
            <v>769</v>
          </cell>
          <cell r="AE856" t="e">
            <v>#N/A</v>
          </cell>
          <cell r="AF856" t="str">
            <v/>
          </cell>
        </row>
        <row r="857">
          <cell r="Y857">
            <v>841</v>
          </cell>
          <cell r="Z857">
            <v>0.22319480590522289</v>
          </cell>
          <cell r="AA857">
            <v>-0.12870817931582554</v>
          </cell>
          <cell r="AB857" t="str">
            <v/>
          </cell>
          <cell r="AC857" t="e">
            <v>#N/A</v>
          </cell>
          <cell r="AD857">
            <v>770</v>
          </cell>
          <cell r="AE857" t="e">
            <v>#N/A</v>
          </cell>
          <cell r="AF857" t="str">
            <v/>
          </cell>
        </row>
        <row r="858">
          <cell r="Y858">
            <v>842</v>
          </cell>
          <cell r="Z858">
            <v>0.96058470569550991</v>
          </cell>
          <cell r="AA858">
            <v>0.29707373864598935</v>
          </cell>
          <cell r="AB858" t="str">
            <v/>
          </cell>
          <cell r="AC858" t="e">
            <v>#N/A</v>
          </cell>
          <cell r="AD858">
            <v>771</v>
          </cell>
          <cell r="AE858" t="e">
            <v>#N/A</v>
          </cell>
          <cell r="AF858" t="str">
            <v/>
          </cell>
        </row>
        <row r="859">
          <cell r="Y859">
            <v>843</v>
          </cell>
          <cell r="Z859">
            <v>0.5445562731474638</v>
          </cell>
          <cell r="AA859">
            <v>1.8917801694295761E-2</v>
          </cell>
          <cell r="AB859" t="str">
            <v/>
          </cell>
          <cell r="AC859" t="e">
            <v>#N/A</v>
          </cell>
          <cell r="AD859">
            <v>772</v>
          </cell>
          <cell r="AE859" t="e">
            <v>#N/A</v>
          </cell>
          <cell r="AF859" t="str">
            <v/>
          </cell>
        </row>
        <row r="860">
          <cell r="Y860">
            <v>844</v>
          </cell>
          <cell r="Z860">
            <v>0.81070618890225887</v>
          </cell>
          <cell r="AA860">
            <v>0.14883193988767107</v>
          </cell>
          <cell r="AB860" t="str">
            <v/>
          </cell>
          <cell r="AC860" t="e">
            <v>#N/A</v>
          </cell>
          <cell r="AD860">
            <v>773</v>
          </cell>
          <cell r="AE860" t="e">
            <v>#N/A</v>
          </cell>
          <cell r="AF860" t="str">
            <v/>
          </cell>
        </row>
        <row r="861">
          <cell r="Y861">
            <v>845</v>
          </cell>
          <cell r="Z861">
            <v>0.42820304445922375</v>
          </cell>
          <cell r="AA861">
            <v>-3.0586290399535004E-2</v>
          </cell>
          <cell r="AB861" t="str">
            <v/>
          </cell>
          <cell r="AC861" t="e">
            <v>#N/A</v>
          </cell>
          <cell r="AD861">
            <v>774</v>
          </cell>
          <cell r="AE861" t="e">
            <v>#N/A</v>
          </cell>
          <cell r="AF861" t="str">
            <v/>
          </cell>
        </row>
        <row r="862">
          <cell r="Y862">
            <v>846</v>
          </cell>
          <cell r="Z862">
            <v>1.1231815442442894E-2</v>
          </cell>
          <cell r="AA862">
            <v>-0.38580204506999732</v>
          </cell>
          <cell r="AB862" t="str">
            <v/>
          </cell>
          <cell r="AC862" t="e">
            <v>#N/A</v>
          </cell>
          <cell r="AD862">
            <v>775</v>
          </cell>
          <cell r="AE862" t="e">
            <v>#N/A</v>
          </cell>
          <cell r="AF862" t="str">
            <v/>
          </cell>
        </row>
        <row r="863">
          <cell r="Y863">
            <v>847</v>
          </cell>
          <cell r="Z863">
            <v>0.30043802969157696</v>
          </cell>
          <cell r="AA863">
            <v>-8.8426986910660893E-2</v>
          </cell>
          <cell r="AB863" t="str">
            <v/>
          </cell>
          <cell r="AC863" t="e">
            <v>#N/A</v>
          </cell>
          <cell r="AD863">
            <v>776</v>
          </cell>
          <cell r="AE863" t="e">
            <v>#N/A</v>
          </cell>
          <cell r="AF863" t="str">
            <v/>
          </cell>
        </row>
        <row r="864">
          <cell r="Y864">
            <v>848</v>
          </cell>
          <cell r="Z864">
            <v>0.20261015556752682</v>
          </cell>
          <cell r="AA864">
            <v>-0.14069016420391911</v>
          </cell>
          <cell r="AB864" t="str">
            <v/>
          </cell>
          <cell r="AC864" t="e">
            <v>#N/A</v>
          </cell>
          <cell r="AD864">
            <v>777</v>
          </cell>
          <cell r="AE864" t="e">
            <v>#N/A</v>
          </cell>
          <cell r="AF864" t="str">
            <v/>
          </cell>
        </row>
        <row r="865">
          <cell r="Y865">
            <v>849</v>
          </cell>
          <cell r="Z865">
            <v>0.1896072905510664</v>
          </cell>
          <cell r="AA865">
            <v>-0.14863632838170213</v>
          </cell>
          <cell r="AB865" t="str">
            <v/>
          </cell>
          <cell r="AC865" t="e">
            <v>#N/A</v>
          </cell>
          <cell r="AD865">
            <v>778</v>
          </cell>
          <cell r="AE865" t="e">
            <v>#N/A</v>
          </cell>
          <cell r="AF865" t="str">
            <v/>
          </cell>
        </row>
        <row r="866">
          <cell r="Y866">
            <v>850</v>
          </cell>
          <cell r="Z866">
            <v>0.37040544115006924</v>
          </cell>
          <cell r="AA866">
            <v>-5.5911977140401262E-2</v>
          </cell>
          <cell r="AB866" t="str">
            <v/>
          </cell>
          <cell r="AC866" t="e">
            <v>#N/A</v>
          </cell>
          <cell r="AD866">
            <v>779</v>
          </cell>
          <cell r="AE866" t="e">
            <v>#N/A</v>
          </cell>
          <cell r="AF866" t="str">
            <v/>
          </cell>
        </row>
        <row r="867">
          <cell r="Y867">
            <v>851</v>
          </cell>
          <cell r="Z867">
            <v>0.22677142731845379</v>
          </cell>
          <cell r="AA867">
            <v>-0.1266922822940893</v>
          </cell>
          <cell r="AB867" t="str">
            <v/>
          </cell>
          <cell r="AC867" t="e">
            <v>#N/A</v>
          </cell>
          <cell r="AD867">
            <v>780</v>
          </cell>
          <cell r="AE867" t="e">
            <v>#N/A</v>
          </cell>
          <cell r="AF867" t="str">
            <v/>
          </cell>
        </row>
        <row r="868">
          <cell r="Y868">
            <v>852</v>
          </cell>
          <cell r="Z868">
            <v>0.2212130930274725</v>
          </cell>
          <cell r="AA868">
            <v>-0.12983304927155992</v>
          </cell>
          <cell r="AB868" t="str">
            <v/>
          </cell>
          <cell r="AC868" t="e">
            <v>#N/A</v>
          </cell>
          <cell r="AD868">
            <v>781</v>
          </cell>
          <cell r="AE868" t="e">
            <v>#N/A</v>
          </cell>
          <cell r="AF868" t="str">
            <v/>
          </cell>
        </row>
        <row r="869">
          <cell r="Y869">
            <v>853</v>
          </cell>
          <cell r="Z869">
            <v>0.8060449343174696</v>
          </cell>
          <cell r="AA869">
            <v>0.14594352729564991</v>
          </cell>
          <cell r="AB869" t="str">
            <v/>
          </cell>
          <cell r="AC869" t="e">
            <v>#N/A</v>
          </cell>
          <cell r="AD869">
            <v>782</v>
          </cell>
          <cell r="AE869" t="e">
            <v>#N/A</v>
          </cell>
          <cell r="AF869" t="str">
            <v/>
          </cell>
        </row>
        <row r="870">
          <cell r="Y870">
            <v>854</v>
          </cell>
          <cell r="Z870">
            <v>0.82175884209573269</v>
          </cell>
          <cell r="AA870">
            <v>0.15586143594241941</v>
          </cell>
          <cell r="AB870" t="str">
            <v/>
          </cell>
          <cell r="AC870" t="e">
            <v>#N/A</v>
          </cell>
          <cell r="AD870">
            <v>783</v>
          </cell>
          <cell r="AE870" t="e">
            <v>#N/A</v>
          </cell>
          <cell r="AF870" t="str">
            <v/>
          </cell>
        </row>
        <row r="871">
          <cell r="Y871">
            <v>855</v>
          </cell>
          <cell r="Z871">
            <v>0.10382227413356304</v>
          </cell>
          <cell r="AA871">
            <v>-0.21299049962994782</v>
          </cell>
          <cell r="AB871" t="str">
            <v/>
          </cell>
          <cell r="AC871" t="e">
            <v>#N/A</v>
          </cell>
          <cell r="AD871">
            <v>784</v>
          </cell>
          <cell r="AE871" t="e">
            <v>#N/A</v>
          </cell>
          <cell r="AF871" t="str">
            <v/>
          </cell>
        </row>
        <row r="872">
          <cell r="Y872">
            <v>856</v>
          </cell>
          <cell r="Z872">
            <v>9.1025194153189659E-2</v>
          </cell>
          <cell r="AA872">
            <v>-0.22556633338620105</v>
          </cell>
          <cell r="AB872" t="str">
            <v/>
          </cell>
          <cell r="AC872" t="e">
            <v>#N/A</v>
          </cell>
          <cell r="AD872">
            <v>785</v>
          </cell>
          <cell r="AE872" t="e">
            <v>#N/A</v>
          </cell>
          <cell r="AF872" t="str">
            <v/>
          </cell>
        </row>
        <row r="873">
          <cell r="Y873">
            <v>857</v>
          </cell>
          <cell r="Z873">
            <v>0.12485942058265209</v>
          </cell>
          <cell r="AA873">
            <v>-0.19456001286822799</v>
          </cell>
          <cell r="AB873" t="str">
            <v/>
          </cell>
          <cell r="AC873" t="e">
            <v>#N/A</v>
          </cell>
          <cell r="AD873">
            <v>786</v>
          </cell>
          <cell r="AE873" t="e">
            <v>#N/A</v>
          </cell>
          <cell r="AF873" t="str">
            <v/>
          </cell>
        </row>
        <row r="874">
          <cell r="Y874">
            <v>858</v>
          </cell>
          <cell r="Z874">
            <v>0.828998988494277</v>
          </cell>
          <cell r="AA874">
            <v>0.16061598121899312</v>
          </cell>
          <cell r="AB874" t="str">
            <v/>
          </cell>
          <cell r="AC874" t="e">
            <v>#N/A</v>
          </cell>
          <cell r="AD874">
            <v>787</v>
          </cell>
          <cell r="AE874" t="e">
            <v>#N/A</v>
          </cell>
          <cell r="AF874" t="str">
            <v/>
          </cell>
        </row>
        <row r="875">
          <cell r="Y875">
            <v>859</v>
          </cell>
          <cell r="Z875">
            <v>0.66192962042987347</v>
          </cell>
          <cell r="AA875">
            <v>7.0610130334868612E-2</v>
          </cell>
          <cell r="AB875" t="str">
            <v/>
          </cell>
          <cell r="AC875" t="e">
            <v>#N/A</v>
          </cell>
          <cell r="AD875">
            <v>788</v>
          </cell>
          <cell r="AE875" t="e">
            <v>#N/A</v>
          </cell>
          <cell r="AF875" t="str">
            <v/>
          </cell>
        </row>
        <row r="876">
          <cell r="Y876">
            <v>860</v>
          </cell>
          <cell r="Z876">
            <v>0.80938380025327206</v>
          </cell>
          <cell r="AA876">
            <v>0.14800811456501178</v>
          </cell>
          <cell r="AB876" t="str">
            <v/>
          </cell>
          <cell r="AC876" t="e">
            <v>#N/A</v>
          </cell>
          <cell r="AD876">
            <v>789</v>
          </cell>
          <cell r="AE876" t="e">
            <v>#N/A</v>
          </cell>
          <cell r="AF876" t="str">
            <v/>
          </cell>
        </row>
        <row r="877">
          <cell r="Y877">
            <v>861</v>
          </cell>
          <cell r="Z877">
            <v>0.52452212385833263</v>
          </cell>
          <cell r="AA877">
            <v>1.0396514218101253E-2</v>
          </cell>
          <cell r="AB877" t="str">
            <v/>
          </cell>
          <cell r="AC877" t="e">
            <v>#N/A</v>
          </cell>
          <cell r="AD877">
            <v>790</v>
          </cell>
          <cell r="AE877" t="e">
            <v>#N/A</v>
          </cell>
          <cell r="AF877" t="str">
            <v/>
          </cell>
        </row>
        <row r="878">
          <cell r="Y878">
            <v>862</v>
          </cell>
          <cell r="Z878">
            <v>5.7370936498045921E-2</v>
          </cell>
          <cell r="AA878">
            <v>-0.26660107244063264</v>
          </cell>
          <cell r="AB878" t="str">
            <v/>
          </cell>
          <cell r="AC878" t="e">
            <v>#N/A</v>
          </cell>
          <cell r="AD878">
            <v>791</v>
          </cell>
          <cell r="AE878" t="e">
            <v>#N/A</v>
          </cell>
          <cell r="AF878" t="str">
            <v/>
          </cell>
        </row>
        <row r="879">
          <cell r="Y879">
            <v>863</v>
          </cell>
          <cell r="Z879">
            <v>0.11080263368785381</v>
          </cell>
          <cell r="AA879">
            <v>-0.20660146015781186</v>
          </cell>
          <cell r="AB879" t="str">
            <v/>
          </cell>
          <cell r="AC879" t="e">
            <v>#N/A</v>
          </cell>
          <cell r="AD879">
            <v>792</v>
          </cell>
          <cell r="AE879" t="e">
            <v>#N/A</v>
          </cell>
          <cell r="AF879" t="str">
            <v/>
          </cell>
        </row>
        <row r="880">
          <cell r="Y880">
            <v>864</v>
          </cell>
          <cell r="Z880">
            <v>0.77731277607381344</v>
          </cell>
          <cell r="AA880">
            <v>0.12899575103644978</v>
          </cell>
          <cell r="AB880" t="str">
            <v/>
          </cell>
          <cell r="AC880" t="e">
            <v>#N/A</v>
          </cell>
          <cell r="AD880">
            <v>793</v>
          </cell>
          <cell r="AE880" t="e">
            <v>#N/A</v>
          </cell>
          <cell r="AF880" t="str">
            <v/>
          </cell>
        </row>
        <row r="881">
          <cell r="Y881">
            <v>865</v>
          </cell>
          <cell r="Z881">
            <v>0.86580422334372997</v>
          </cell>
          <cell r="AA881">
            <v>0.18707898961402711</v>
          </cell>
          <cell r="AB881" t="str">
            <v/>
          </cell>
          <cell r="AC881" t="e">
            <v>#N/A</v>
          </cell>
          <cell r="AD881">
            <v>794</v>
          </cell>
          <cell r="AE881" t="e">
            <v>#N/A</v>
          </cell>
          <cell r="AF881" t="str">
            <v/>
          </cell>
        </row>
        <row r="882">
          <cell r="Y882">
            <v>866</v>
          </cell>
          <cell r="Z882">
            <v>0.4888922031968832</v>
          </cell>
          <cell r="AA882">
            <v>-4.7069541056930881E-3</v>
          </cell>
          <cell r="AB882" t="str">
            <v/>
          </cell>
          <cell r="AC882" t="e">
            <v>#N/A</v>
          </cell>
          <cell r="AD882">
            <v>795</v>
          </cell>
          <cell r="AE882" t="e">
            <v>#N/A</v>
          </cell>
          <cell r="AF882" t="str">
            <v/>
          </cell>
        </row>
        <row r="883">
          <cell r="Y883">
            <v>867</v>
          </cell>
          <cell r="Z883">
            <v>0.38756747357547283</v>
          </cell>
          <cell r="AA883">
            <v>-4.8286146588704913E-2</v>
          </cell>
          <cell r="AB883" t="str">
            <v/>
          </cell>
          <cell r="AC883" t="e">
            <v>#N/A</v>
          </cell>
          <cell r="AD883">
            <v>796</v>
          </cell>
          <cell r="AE883" t="e">
            <v>#N/A</v>
          </cell>
          <cell r="AF883" t="str">
            <v/>
          </cell>
        </row>
        <row r="884">
          <cell r="Y884">
            <v>868</v>
          </cell>
          <cell r="Z884">
            <v>0.77413188479840755</v>
          </cell>
          <cell r="AA884">
            <v>0.12719970799785851</v>
          </cell>
          <cell r="AB884" t="str">
            <v/>
          </cell>
          <cell r="AC884" t="e">
            <v>#N/A</v>
          </cell>
          <cell r="AD884">
            <v>797</v>
          </cell>
          <cell r="AE884" t="e">
            <v>#N/A</v>
          </cell>
          <cell r="AF884" t="str">
            <v/>
          </cell>
        </row>
        <row r="885">
          <cell r="Y885">
            <v>869</v>
          </cell>
          <cell r="Z885">
            <v>0.91169857792556286</v>
          </cell>
          <cell r="AA885">
            <v>0.22840954546548919</v>
          </cell>
          <cell r="AB885" t="str">
            <v/>
          </cell>
          <cell r="AC885" t="e">
            <v>#N/A</v>
          </cell>
          <cell r="AD885">
            <v>798</v>
          </cell>
          <cell r="AE885" t="e">
            <v>#N/A</v>
          </cell>
          <cell r="AF885" t="str">
            <v/>
          </cell>
        </row>
        <row r="886">
          <cell r="Y886">
            <v>870</v>
          </cell>
          <cell r="Z886">
            <v>0.63133714161813259</v>
          </cell>
          <cell r="AA886">
            <v>5.6692421025860751E-2</v>
          </cell>
          <cell r="AB886" t="str">
            <v/>
          </cell>
          <cell r="AC886" t="e">
            <v>#N/A</v>
          </cell>
          <cell r="AD886">
            <v>799</v>
          </cell>
          <cell r="AE886" t="e">
            <v>#N/A</v>
          </cell>
          <cell r="AF886" t="str">
            <v/>
          </cell>
        </row>
        <row r="887">
          <cell r="Y887">
            <v>871</v>
          </cell>
          <cell r="Z887">
            <v>0.62356416694819927</v>
          </cell>
          <cell r="AA887">
            <v>5.3220227221272683E-2</v>
          </cell>
          <cell r="AB887" t="str">
            <v/>
          </cell>
          <cell r="AC887" t="e">
            <v>#N/A</v>
          </cell>
          <cell r="AD887">
            <v>800</v>
          </cell>
          <cell r="AE887" t="e">
            <v>#N/A</v>
          </cell>
          <cell r="AF887" t="str">
            <v/>
          </cell>
        </row>
        <row r="888">
          <cell r="Y888">
            <v>872</v>
          </cell>
          <cell r="Z888">
            <v>0.77581616304814816</v>
          </cell>
          <cell r="AA888">
            <v>0.12814890867411449</v>
          </cell>
          <cell r="AB888" t="str">
            <v/>
          </cell>
          <cell r="AC888" t="e">
            <v>#N/A</v>
          </cell>
          <cell r="AD888">
            <v>801</v>
          </cell>
          <cell r="AE888" t="e">
            <v>#N/A</v>
          </cell>
          <cell r="AF888" t="str">
            <v/>
          </cell>
        </row>
        <row r="889">
          <cell r="Y889">
            <v>873</v>
          </cell>
          <cell r="Z889">
            <v>0.71609160117805004</v>
          </cell>
          <cell r="AA889">
            <v>9.6562213474310418E-2</v>
          </cell>
          <cell r="AB889" t="str">
            <v/>
          </cell>
          <cell r="AC889" t="e">
            <v>#N/A</v>
          </cell>
          <cell r="AD889">
            <v>802</v>
          </cell>
          <cell r="AE889" t="e">
            <v>#N/A</v>
          </cell>
          <cell r="AF889" t="str">
            <v/>
          </cell>
        </row>
        <row r="890">
          <cell r="Y890">
            <v>874</v>
          </cell>
          <cell r="Z890">
            <v>0.32097131572663784</v>
          </cell>
          <cell r="AA890">
            <v>-7.8596708028277104E-2</v>
          </cell>
          <cell r="AB890" t="str">
            <v/>
          </cell>
          <cell r="AC890" t="e">
            <v>#N/A</v>
          </cell>
          <cell r="AD890">
            <v>803</v>
          </cell>
          <cell r="AE890" t="e">
            <v>#N/A</v>
          </cell>
          <cell r="AF890" t="str">
            <v/>
          </cell>
        </row>
        <row r="891">
          <cell r="Y891">
            <v>875</v>
          </cell>
          <cell r="Z891">
            <v>0.32989348284900188</v>
          </cell>
          <cell r="AA891">
            <v>-7.4408616226816743E-2</v>
          </cell>
          <cell r="AB891" t="str">
            <v/>
          </cell>
          <cell r="AC891" t="e">
            <v>#N/A</v>
          </cell>
          <cell r="AD891">
            <v>804</v>
          </cell>
          <cell r="AE891" t="e">
            <v>#N/A</v>
          </cell>
          <cell r="AF891" t="str">
            <v/>
          </cell>
        </row>
        <row r="892">
          <cell r="Y892">
            <v>876</v>
          </cell>
          <cell r="Z892">
            <v>0.11710529588162899</v>
          </cell>
          <cell r="AA892">
            <v>-0.20107611459085686</v>
          </cell>
          <cell r="AB892" t="str">
            <v/>
          </cell>
          <cell r="AC892" t="e">
            <v>#N/A</v>
          </cell>
          <cell r="AD892">
            <v>805</v>
          </cell>
          <cell r="AE892" t="e">
            <v>#N/A</v>
          </cell>
          <cell r="AF892" t="str">
            <v/>
          </cell>
        </row>
        <row r="893">
          <cell r="Y893">
            <v>877</v>
          </cell>
          <cell r="Z893">
            <v>0.48118513636291027</v>
          </cell>
          <cell r="AA893">
            <v>-7.9747683877821971E-3</v>
          </cell>
          <cell r="AB893" t="str">
            <v/>
          </cell>
          <cell r="AC893" t="e">
            <v>#N/A</v>
          </cell>
          <cell r="AD893">
            <v>806</v>
          </cell>
          <cell r="AE893" t="e">
            <v>#N/A</v>
          </cell>
          <cell r="AF893" t="str">
            <v/>
          </cell>
        </row>
        <row r="894">
          <cell r="Y894">
            <v>878</v>
          </cell>
          <cell r="Z894">
            <v>0.6190358754247427</v>
          </cell>
          <cell r="AA894">
            <v>5.120783353358057E-2</v>
          </cell>
          <cell r="AB894" t="str">
            <v/>
          </cell>
          <cell r="AC894" t="e">
            <v>#N/A</v>
          </cell>
          <cell r="AD894">
            <v>807</v>
          </cell>
          <cell r="AE894" t="e">
            <v>#N/A</v>
          </cell>
          <cell r="AF894" t="str">
            <v/>
          </cell>
        </row>
        <row r="895">
          <cell r="Y895">
            <v>879</v>
          </cell>
          <cell r="Z895">
            <v>0.80171380750834942</v>
          </cell>
          <cell r="AA895">
            <v>0.14329736929682324</v>
          </cell>
          <cell r="AB895" t="str">
            <v/>
          </cell>
          <cell r="AC895" t="e">
            <v>#N/A</v>
          </cell>
          <cell r="AD895">
            <v>808</v>
          </cell>
          <cell r="AE895" t="e">
            <v>#N/A</v>
          </cell>
          <cell r="AF895" t="str">
            <v/>
          </cell>
        </row>
        <row r="896">
          <cell r="Y896">
            <v>880</v>
          </cell>
          <cell r="Z896">
            <v>0.49736299179494381</v>
          </cell>
          <cell r="AA896">
            <v>-1.1173019473067829E-3</v>
          </cell>
          <cell r="AB896" t="str">
            <v/>
          </cell>
          <cell r="AC896" t="e">
            <v>#N/A</v>
          </cell>
          <cell r="AD896">
            <v>809</v>
          </cell>
          <cell r="AE896" t="e">
            <v>#N/A</v>
          </cell>
          <cell r="AF896" t="str">
            <v/>
          </cell>
        </row>
        <row r="897">
          <cell r="Y897">
            <v>881</v>
          </cell>
          <cell r="Z897">
            <v>0.3836683314293623</v>
          </cell>
          <cell r="AA897">
            <v>-5.0009542083366984E-2</v>
          </cell>
          <cell r="AB897" t="str">
            <v/>
          </cell>
          <cell r="AC897" t="e">
            <v>#N/A</v>
          </cell>
          <cell r="AD897">
            <v>810</v>
          </cell>
          <cell r="AE897" t="e">
            <v>#N/A</v>
          </cell>
          <cell r="AF897" t="str">
            <v/>
          </cell>
        </row>
        <row r="898">
          <cell r="Y898">
            <v>882</v>
          </cell>
          <cell r="Z898">
            <v>0.30198193155229092</v>
          </cell>
          <cell r="AA898">
            <v>-8.7677780403926431E-2</v>
          </cell>
          <cell r="AB898" t="str">
            <v/>
          </cell>
          <cell r="AC898" t="e">
            <v>#N/A</v>
          </cell>
          <cell r="AD898">
            <v>811</v>
          </cell>
          <cell r="AE898" t="e">
            <v>#N/A</v>
          </cell>
          <cell r="AF898" t="str">
            <v/>
          </cell>
        </row>
        <row r="899">
          <cell r="Y899">
            <v>883</v>
          </cell>
          <cell r="Z899">
            <v>0.24128801934421062</v>
          </cell>
          <cell r="AA899">
            <v>-0.11868761015011088</v>
          </cell>
          <cell r="AB899" t="str">
            <v/>
          </cell>
          <cell r="AC899" t="e">
            <v>#N/A</v>
          </cell>
          <cell r="AD899">
            <v>812</v>
          </cell>
          <cell r="AE899" t="e">
            <v>#N/A</v>
          </cell>
          <cell r="AF899" t="str">
            <v/>
          </cell>
        </row>
        <row r="900">
          <cell r="Y900">
            <v>884</v>
          </cell>
          <cell r="Z900">
            <v>0.33018635772168636</v>
          </cell>
          <cell r="AA900">
            <v>-7.4271925170783473E-2</v>
          </cell>
          <cell r="AB900" t="str">
            <v/>
          </cell>
          <cell r="AC900" t="e">
            <v>#N/A</v>
          </cell>
          <cell r="AD900">
            <v>813</v>
          </cell>
          <cell r="AE900" t="e">
            <v>#N/A</v>
          </cell>
          <cell r="AF900" t="str">
            <v/>
          </cell>
        </row>
        <row r="901">
          <cell r="Y901">
            <v>885</v>
          </cell>
          <cell r="Z901">
            <v>0.86963951401412487</v>
          </cell>
          <cell r="AA901">
            <v>0.1901070879307169</v>
          </cell>
          <cell r="AB901" t="str">
            <v/>
          </cell>
          <cell r="AC901" t="e">
            <v>#N/A</v>
          </cell>
          <cell r="AD901">
            <v>814</v>
          </cell>
          <cell r="AE901" t="e">
            <v>#N/A</v>
          </cell>
          <cell r="AF901" t="str">
            <v/>
          </cell>
        </row>
        <row r="902">
          <cell r="Y902">
            <v>886</v>
          </cell>
          <cell r="Z902">
            <v>0.44545493088662624</v>
          </cell>
          <cell r="AA902">
            <v>-2.3183087986462129E-2</v>
          </cell>
          <cell r="AB902" t="str">
            <v/>
          </cell>
          <cell r="AC902" t="e">
            <v>#N/A</v>
          </cell>
          <cell r="AD902">
            <v>815</v>
          </cell>
          <cell r="AE902" t="e">
            <v>#N/A</v>
          </cell>
          <cell r="AF902" t="str">
            <v/>
          </cell>
        </row>
        <row r="903">
          <cell r="Y903">
            <v>887</v>
          </cell>
          <cell r="Z903">
            <v>9.9780363962054253E-2</v>
          </cell>
          <cell r="AA903">
            <v>-0.21683346352382368</v>
          </cell>
          <cell r="AB903" t="str">
            <v/>
          </cell>
          <cell r="AC903" t="e">
            <v>#N/A</v>
          </cell>
          <cell r="AD903">
            <v>816</v>
          </cell>
          <cell r="AE903" t="e">
            <v>#N/A</v>
          </cell>
          <cell r="AF903" t="str">
            <v/>
          </cell>
        </row>
        <row r="904">
          <cell r="Y904">
            <v>888</v>
          </cell>
          <cell r="Z904">
            <v>0.9367652740329504</v>
          </cell>
          <cell r="AA904">
            <v>0.25830847698239212</v>
          </cell>
          <cell r="AB904" t="str">
            <v/>
          </cell>
          <cell r="AC904" t="e">
            <v>#N/A</v>
          </cell>
          <cell r="AD904">
            <v>817</v>
          </cell>
          <cell r="AE904" t="e">
            <v>#N/A</v>
          </cell>
          <cell r="AF904" t="str">
            <v/>
          </cell>
        </row>
        <row r="905">
          <cell r="Y905">
            <v>889</v>
          </cell>
          <cell r="Z905">
            <v>0.91827806644141674</v>
          </cell>
          <cell r="AA905">
            <v>0.23555835136202077</v>
          </cell>
          <cell r="AB905" t="str">
            <v/>
          </cell>
          <cell r="AC905" t="e">
            <v>#N/A</v>
          </cell>
          <cell r="AD905">
            <v>818</v>
          </cell>
          <cell r="AE905" t="e">
            <v>#N/A</v>
          </cell>
          <cell r="AF905" t="str">
            <v/>
          </cell>
        </row>
        <row r="906">
          <cell r="Y906">
            <v>890</v>
          </cell>
          <cell r="Z906">
            <v>0.60202903114259243</v>
          </cell>
          <cell r="AA906">
            <v>4.3711804227258746E-2</v>
          </cell>
          <cell r="AB906" t="str">
            <v/>
          </cell>
          <cell r="AC906" t="e">
            <v>#N/A</v>
          </cell>
          <cell r="AD906">
            <v>819</v>
          </cell>
          <cell r="AE906" t="e">
            <v>#N/A</v>
          </cell>
          <cell r="AF906" t="str">
            <v/>
          </cell>
        </row>
        <row r="907">
          <cell r="Y907">
            <v>891</v>
          </cell>
          <cell r="Z907">
            <v>0.13780332915484905</v>
          </cell>
          <cell r="AA907">
            <v>-0.18428449401655383</v>
          </cell>
          <cell r="AB907" t="str">
            <v/>
          </cell>
          <cell r="AC907" t="e">
            <v>#N/A</v>
          </cell>
          <cell r="AD907">
            <v>820</v>
          </cell>
          <cell r="AE907" t="e">
            <v>#N/A</v>
          </cell>
          <cell r="AF907" t="str">
            <v/>
          </cell>
        </row>
        <row r="908">
          <cell r="Y908">
            <v>892</v>
          </cell>
          <cell r="Z908">
            <v>8.2991769537329674E-2</v>
          </cell>
          <cell r="AA908">
            <v>-0.23414583764260358</v>
          </cell>
          <cell r="AB908" t="str">
            <v/>
          </cell>
          <cell r="AC908" t="e">
            <v>#N/A</v>
          </cell>
          <cell r="AD908">
            <v>821</v>
          </cell>
          <cell r="AE908" t="e">
            <v>#N/A</v>
          </cell>
          <cell r="AF908" t="str">
            <v/>
          </cell>
        </row>
        <row r="909">
          <cell r="Y909">
            <v>893</v>
          </cell>
          <cell r="Z909">
            <v>0.77426630072295666</v>
          </cell>
          <cell r="AA909">
            <v>0.12727531263611674</v>
          </cell>
          <cell r="AB909" t="str">
            <v/>
          </cell>
          <cell r="AC909" t="e">
            <v>#N/A</v>
          </cell>
          <cell r="AD909">
            <v>822</v>
          </cell>
          <cell r="AE909" t="e">
            <v>#N/A</v>
          </cell>
          <cell r="AF909" t="str">
            <v/>
          </cell>
        </row>
        <row r="910">
          <cell r="Y910">
            <v>894</v>
          </cell>
          <cell r="Z910">
            <v>7.2691475972533226E-2</v>
          </cell>
          <cell r="AA910">
            <v>-0.24611483046502008</v>
          </cell>
          <cell r="AB910" t="str">
            <v/>
          </cell>
          <cell r="AC910" t="e">
            <v>#N/A</v>
          </cell>
          <cell r="AD910">
            <v>823</v>
          </cell>
          <cell r="AE910" t="e">
            <v>#N/A</v>
          </cell>
          <cell r="AF910" t="str">
            <v/>
          </cell>
        </row>
        <row r="911">
          <cell r="Y911">
            <v>895</v>
          </cell>
          <cell r="Z911">
            <v>0.70471451990306377</v>
          </cell>
          <cell r="AA911">
            <v>9.0940088480311085E-2</v>
          </cell>
          <cell r="AB911" t="str">
            <v/>
          </cell>
          <cell r="AC911" t="e">
            <v>#N/A</v>
          </cell>
          <cell r="AD911">
            <v>824</v>
          </cell>
          <cell r="AE911" t="e">
            <v>#N/A</v>
          </cell>
          <cell r="AF911" t="str">
            <v/>
          </cell>
        </row>
        <row r="912">
          <cell r="Y912">
            <v>896</v>
          </cell>
          <cell r="Z912">
            <v>0.36031939648091793</v>
          </cell>
          <cell r="AA912">
            <v>-6.0446309752620025E-2</v>
          </cell>
          <cell r="AB912" t="str">
            <v/>
          </cell>
          <cell r="AC912" t="e">
            <v>#N/A</v>
          </cell>
          <cell r="AD912">
            <v>825</v>
          </cell>
          <cell r="AE912" t="e">
            <v>#N/A</v>
          </cell>
          <cell r="AF912" t="str">
            <v/>
          </cell>
        </row>
        <row r="913">
          <cell r="Y913">
            <v>897</v>
          </cell>
          <cell r="Z913">
            <v>0.64896133355796337</v>
          </cell>
          <cell r="AA913">
            <v>6.4657308225803026E-2</v>
          </cell>
          <cell r="AB913" t="str">
            <v/>
          </cell>
          <cell r="AC913" t="e">
            <v>#N/A</v>
          </cell>
          <cell r="AD913">
            <v>826</v>
          </cell>
          <cell r="AE913" t="e">
            <v>#N/A</v>
          </cell>
          <cell r="AF913" t="str">
            <v/>
          </cell>
        </row>
        <row r="914">
          <cell r="Y914">
            <v>898</v>
          </cell>
          <cell r="Z914">
            <v>0.77207696996629238</v>
          </cell>
          <cell r="AA914">
            <v>0.12604703266251993</v>
          </cell>
          <cell r="AB914" t="str">
            <v/>
          </cell>
          <cell r="AC914" t="e">
            <v>#N/A</v>
          </cell>
          <cell r="AD914">
            <v>827</v>
          </cell>
          <cell r="AE914" t="e">
            <v>#N/A</v>
          </cell>
          <cell r="AF914" t="str">
            <v/>
          </cell>
        </row>
        <row r="915">
          <cell r="Y915">
            <v>899</v>
          </cell>
          <cell r="Z915">
            <v>0.73666353337466717</v>
          </cell>
          <cell r="AA915">
            <v>0.10701224332859961</v>
          </cell>
          <cell r="AB915" t="str">
            <v/>
          </cell>
          <cell r="AC915" t="e">
            <v>#N/A</v>
          </cell>
          <cell r="AD915">
            <v>828</v>
          </cell>
          <cell r="AE915" t="e">
            <v>#N/A</v>
          </cell>
          <cell r="AF915" t="str">
            <v/>
          </cell>
        </row>
        <row r="916">
          <cell r="Y916">
            <v>900</v>
          </cell>
          <cell r="Z916">
            <v>0.91037260554730892</v>
          </cell>
          <cell r="AA916">
            <v>0.22701740394344355</v>
          </cell>
          <cell r="AB916" t="str">
            <v/>
          </cell>
          <cell r="AC916" t="e">
            <v>#N/A</v>
          </cell>
          <cell r="AD916">
            <v>829</v>
          </cell>
          <cell r="AE916" t="e">
            <v>#N/A</v>
          </cell>
          <cell r="AF916" t="str">
            <v/>
          </cell>
        </row>
        <row r="917">
          <cell r="Y917">
            <v>901</v>
          </cell>
          <cell r="Z917">
            <v>0.89031696133315563</v>
          </cell>
          <cell r="AA917">
            <v>0.20760631303828661</v>
          </cell>
          <cell r="AB917" t="str">
            <v/>
          </cell>
          <cell r="AC917" t="e">
            <v>#N/A</v>
          </cell>
          <cell r="AD917">
            <v>830</v>
          </cell>
          <cell r="AE917" t="e">
            <v>#N/A</v>
          </cell>
          <cell r="AF917" t="str">
            <v/>
          </cell>
        </row>
        <row r="918">
          <cell r="Y918">
            <v>902</v>
          </cell>
          <cell r="Z918">
            <v>0.18745205365121365</v>
          </cell>
          <cell r="AA918">
            <v>-0.14998525029418591</v>
          </cell>
          <cell r="AB918" t="str">
            <v/>
          </cell>
          <cell r="AC918" t="e">
            <v>#N/A</v>
          </cell>
          <cell r="AD918">
            <v>831</v>
          </cell>
          <cell r="AE918" t="e">
            <v>#N/A</v>
          </cell>
          <cell r="AF918" t="str">
            <v/>
          </cell>
        </row>
        <row r="919">
          <cell r="Y919">
            <v>903</v>
          </cell>
          <cell r="Z919">
            <v>0.97338883392512798</v>
          </cell>
          <cell r="AA919">
            <v>0.32675566237771719</v>
          </cell>
          <cell r="AB919" t="str">
            <v/>
          </cell>
          <cell r="AC919" t="e">
            <v>#N/A</v>
          </cell>
          <cell r="AD919">
            <v>832</v>
          </cell>
          <cell r="AE919" t="e">
            <v>#N/A</v>
          </cell>
          <cell r="AF919" t="str">
            <v/>
          </cell>
        </row>
        <row r="920">
          <cell r="Y920">
            <v>904</v>
          </cell>
          <cell r="Z920">
            <v>0.9933061208575964</v>
          </cell>
          <cell r="AA920">
            <v>0.41806135475175155</v>
          </cell>
          <cell r="AB920" t="str">
            <v/>
          </cell>
          <cell r="AC920" t="e">
            <v>#N/A</v>
          </cell>
          <cell r="AD920">
            <v>833</v>
          </cell>
          <cell r="AE920" t="e">
            <v>#N/A</v>
          </cell>
          <cell r="AF920" t="str">
            <v/>
          </cell>
        </row>
        <row r="921">
          <cell r="Y921">
            <v>905</v>
          </cell>
          <cell r="Z921">
            <v>0.12155553512275219</v>
          </cell>
          <cell r="AA921">
            <v>-0.19730057160132003</v>
          </cell>
          <cell r="AB921" t="str">
            <v/>
          </cell>
          <cell r="AC921" t="e">
            <v>#N/A</v>
          </cell>
          <cell r="AD921">
            <v>834</v>
          </cell>
          <cell r="AE921" t="e">
            <v>#N/A</v>
          </cell>
          <cell r="AF921" t="str">
            <v/>
          </cell>
        </row>
        <row r="922">
          <cell r="Y922">
            <v>906</v>
          </cell>
          <cell r="Z922">
            <v>0.93144947849214077</v>
          </cell>
          <cell r="AA922">
            <v>0.25129370083501895</v>
          </cell>
          <cell r="AB922" t="str">
            <v/>
          </cell>
          <cell r="AC922" t="e">
            <v>#N/A</v>
          </cell>
          <cell r="AD922">
            <v>835</v>
          </cell>
          <cell r="AE922" t="e">
            <v>#N/A</v>
          </cell>
          <cell r="AF922" t="str">
            <v/>
          </cell>
        </row>
        <row r="923">
          <cell r="Y923">
            <v>907</v>
          </cell>
          <cell r="Z923">
            <v>0.89376462809741497</v>
          </cell>
          <cell r="AA923">
            <v>0.21074770952698121</v>
          </cell>
          <cell r="AB923" t="str">
            <v/>
          </cell>
          <cell r="AC923" t="e">
            <v>#N/A</v>
          </cell>
          <cell r="AD923">
            <v>836</v>
          </cell>
          <cell r="AE923" t="e">
            <v>#N/A</v>
          </cell>
          <cell r="AF923" t="str">
            <v/>
          </cell>
        </row>
        <row r="924">
          <cell r="Y924">
            <v>908</v>
          </cell>
          <cell r="Z924">
            <v>0.89991431497037411</v>
          </cell>
          <cell r="AA924">
            <v>0.21653925010267938</v>
          </cell>
          <cell r="AB924" t="str">
            <v/>
          </cell>
          <cell r="AC924" t="e">
            <v>#N/A</v>
          </cell>
          <cell r="AD924">
            <v>837</v>
          </cell>
          <cell r="AE924" t="e">
            <v>#N/A</v>
          </cell>
          <cell r="AF924" t="str">
            <v/>
          </cell>
        </row>
        <row r="925">
          <cell r="Y925">
            <v>909</v>
          </cell>
          <cell r="Z925">
            <v>0.84858983568847179</v>
          </cell>
          <cell r="AA925">
            <v>0.17417008932187558</v>
          </cell>
          <cell r="AB925" t="str">
            <v/>
          </cell>
          <cell r="AC925" t="e">
            <v>#N/A</v>
          </cell>
          <cell r="AD925">
            <v>838</v>
          </cell>
          <cell r="AE925" t="e">
            <v>#N/A</v>
          </cell>
          <cell r="AF925" t="str">
            <v/>
          </cell>
        </row>
        <row r="926">
          <cell r="Y926">
            <v>910</v>
          </cell>
          <cell r="Z926">
            <v>0.3885525818914175</v>
          </cell>
          <cell r="AA926">
            <v>-4.7851535278494499E-2</v>
          </cell>
          <cell r="AB926" t="str">
            <v/>
          </cell>
          <cell r="AC926" t="e">
            <v>#N/A</v>
          </cell>
          <cell r="AD926">
            <v>839</v>
          </cell>
          <cell r="AE926" t="e">
            <v>#N/A</v>
          </cell>
          <cell r="AF926" t="str">
            <v/>
          </cell>
        </row>
        <row r="927">
          <cell r="Y927">
            <v>911</v>
          </cell>
          <cell r="Z927">
            <v>0.87009773962199688</v>
          </cell>
          <cell r="AA927">
            <v>0.19047296824344467</v>
          </cell>
          <cell r="AB927" t="str">
            <v/>
          </cell>
          <cell r="AC927" t="e">
            <v>#N/A</v>
          </cell>
          <cell r="AD927">
            <v>840</v>
          </cell>
          <cell r="AE927" t="e">
            <v>#N/A</v>
          </cell>
          <cell r="AF927" t="str">
            <v/>
          </cell>
        </row>
        <row r="928">
          <cell r="Y928">
            <v>912</v>
          </cell>
          <cell r="Z928">
            <v>0.7074905838817358</v>
          </cell>
          <cell r="AA928">
            <v>9.2302428011240292E-2</v>
          </cell>
          <cell r="AB928" t="str">
            <v/>
          </cell>
          <cell r="AC928" t="e">
            <v>#N/A</v>
          </cell>
          <cell r="AD928">
            <v>841</v>
          </cell>
          <cell r="AE928" t="e">
            <v>#N/A</v>
          </cell>
          <cell r="AF928" t="str">
            <v/>
          </cell>
        </row>
        <row r="929">
          <cell r="Y929">
            <v>913</v>
          </cell>
          <cell r="Z929">
            <v>3.6194948479533195E-2</v>
          </cell>
          <cell r="AA929">
            <v>-0.30369066629845975</v>
          </cell>
          <cell r="AB929" t="str">
            <v/>
          </cell>
          <cell r="AC929" t="e">
            <v>#N/A</v>
          </cell>
          <cell r="AD929">
            <v>842</v>
          </cell>
          <cell r="AE929" t="e">
            <v>#N/A</v>
          </cell>
          <cell r="AF929" t="str">
            <v/>
          </cell>
        </row>
        <row r="930">
          <cell r="Y930">
            <v>914</v>
          </cell>
          <cell r="Z930">
            <v>0.9553296621888876</v>
          </cell>
          <cell r="AA930">
            <v>0.28716413703351806</v>
          </cell>
          <cell r="AB930" t="str">
            <v/>
          </cell>
          <cell r="AC930" t="e">
            <v>#N/A</v>
          </cell>
          <cell r="AD930">
            <v>843</v>
          </cell>
          <cell r="AE930" t="e">
            <v>#N/A</v>
          </cell>
          <cell r="AF930" t="str">
            <v/>
          </cell>
        </row>
        <row r="931">
          <cell r="Y931">
            <v>915</v>
          </cell>
          <cell r="Z931">
            <v>4.1174484416842461E-2</v>
          </cell>
          <cell r="AA931">
            <v>-0.29364317822688585</v>
          </cell>
          <cell r="AB931" t="str">
            <v/>
          </cell>
          <cell r="AC931" t="e">
            <v>#N/A</v>
          </cell>
          <cell r="AD931">
            <v>844</v>
          </cell>
          <cell r="AE931" t="e">
            <v>#N/A</v>
          </cell>
          <cell r="AF931" t="str">
            <v/>
          </cell>
        </row>
        <row r="932">
          <cell r="Y932">
            <v>916</v>
          </cell>
          <cell r="Z932">
            <v>0.37943672202527523</v>
          </cell>
          <cell r="AA932">
            <v>-5.1885793199791537E-2</v>
          </cell>
          <cell r="AB932" t="str">
            <v/>
          </cell>
          <cell r="AC932" t="e">
            <v>#N/A</v>
          </cell>
          <cell r="AD932">
            <v>845</v>
          </cell>
          <cell r="AE932" t="e">
            <v>#N/A</v>
          </cell>
          <cell r="AF932" t="str">
            <v/>
          </cell>
        </row>
        <row r="933">
          <cell r="Y933">
            <v>917</v>
          </cell>
          <cell r="Z933">
            <v>0.15293013863265514</v>
          </cell>
          <cell r="AA933">
            <v>-0.17307864409961726</v>
          </cell>
          <cell r="AB933" t="str">
            <v/>
          </cell>
          <cell r="AC933" t="e">
            <v>#N/A</v>
          </cell>
          <cell r="AD933">
            <v>846</v>
          </cell>
          <cell r="AE933" t="e">
            <v>#N/A</v>
          </cell>
          <cell r="AF933" t="str">
            <v/>
          </cell>
        </row>
        <row r="934">
          <cell r="Y934">
            <v>918</v>
          </cell>
          <cell r="Z934">
            <v>0.3744183536618948</v>
          </cell>
          <cell r="AA934">
            <v>-5.4119222187635832E-2</v>
          </cell>
          <cell r="AB934" t="str">
            <v/>
          </cell>
          <cell r="AC934" t="e">
            <v>#N/A</v>
          </cell>
          <cell r="AD934">
            <v>847</v>
          </cell>
          <cell r="AE934" t="e">
            <v>#N/A</v>
          </cell>
          <cell r="AF934" t="str">
            <v/>
          </cell>
        </row>
        <row r="935">
          <cell r="Y935">
            <v>919</v>
          </cell>
          <cell r="Z935">
            <v>0.40405754558742046</v>
          </cell>
          <cell r="AA935">
            <v>-4.1050562379392662E-2</v>
          </cell>
          <cell r="AB935" t="str">
            <v/>
          </cell>
          <cell r="AC935" t="e">
            <v>#N/A</v>
          </cell>
          <cell r="AD935">
            <v>848</v>
          </cell>
          <cell r="AE935" t="e">
            <v>#N/A</v>
          </cell>
          <cell r="AF935" t="str">
            <v/>
          </cell>
        </row>
        <row r="936">
          <cell r="Y936">
            <v>920</v>
          </cell>
          <cell r="Z936">
            <v>0.70862229727208614</v>
          </cell>
          <cell r="AA936">
            <v>9.2859530663375697E-2</v>
          </cell>
          <cell r="AB936" t="str">
            <v/>
          </cell>
          <cell r="AC936" t="e">
            <v>#N/A</v>
          </cell>
          <cell r="AD936">
            <v>849</v>
          </cell>
          <cell r="AE936" t="e">
            <v>#N/A</v>
          </cell>
          <cell r="AF936" t="str">
            <v/>
          </cell>
        </row>
        <row r="937">
          <cell r="Y937">
            <v>921</v>
          </cell>
          <cell r="Z937">
            <v>0.18481072597205639</v>
          </cell>
          <cell r="AA937">
            <v>-0.15165154987685434</v>
          </cell>
          <cell r="AB937" t="str">
            <v/>
          </cell>
          <cell r="AC937" t="e">
            <v>#N/A</v>
          </cell>
          <cell r="AD937">
            <v>850</v>
          </cell>
          <cell r="AE937" t="e">
            <v>#N/A</v>
          </cell>
          <cell r="AF937" t="str">
            <v/>
          </cell>
        </row>
        <row r="938">
          <cell r="Y938">
            <v>922</v>
          </cell>
          <cell r="Z938">
            <v>0.66226000152528286</v>
          </cell>
          <cell r="AA938">
            <v>7.0762903091579399E-2</v>
          </cell>
          <cell r="AB938" t="str">
            <v/>
          </cell>
          <cell r="AC938" t="e">
            <v>#N/A</v>
          </cell>
          <cell r="AD938">
            <v>851</v>
          </cell>
          <cell r="AE938" t="e">
            <v>#N/A</v>
          </cell>
          <cell r="AF938" t="str">
            <v/>
          </cell>
        </row>
        <row r="939">
          <cell r="Y939">
            <v>923</v>
          </cell>
          <cell r="Z939">
            <v>0.62463284842669964</v>
          </cell>
          <cell r="AA939">
            <v>5.3696245811119273E-2</v>
          </cell>
          <cell r="AB939" t="str">
            <v/>
          </cell>
          <cell r="AC939" t="e">
            <v>#N/A</v>
          </cell>
          <cell r="AD939">
            <v>852</v>
          </cell>
          <cell r="AE939" t="e">
            <v>#N/A</v>
          </cell>
          <cell r="AF939" t="str">
            <v/>
          </cell>
        </row>
        <row r="940">
          <cell r="Y940">
            <v>924</v>
          </cell>
          <cell r="Z940">
            <v>0.60449402593076229</v>
          </cell>
          <cell r="AA940">
            <v>4.4792629953142683E-2</v>
          </cell>
          <cell r="AB940" t="str">
            <v/>
          </cell>
          <cell r="AC940" t="e">
            <v>#N/A</v>
          </cell>
          <cell r="AD940">
            <v>853</v>
          </cell>
          <cell r="AE940" t="e">
            <v>#N/A</v>
          </cell>
          <cell r="AF940" t="str">
            <v/>
          </cell>
        </row>
        <row r="941">
          <cell r="Y941">
            <v>925</v>
          </cell>
          <cell r="Z941">
            <v>0.11772996000945568</v>
          </cell>
          <cell r="AA941">
            <v>-0.20054010789840745</v>
          </cell>
          <cell r="AB941" t="str">
            <v/>
          </cell>
          <cell r="AC941" t="e">
            <v>#N/A</v>
          </cell>
          <cell r="AD941">
            <v>854</v>
          </cell>
          <cell r="AE941" t="e">
            <v>#N/A</v>
          </cell>
          <cell r="AF941" t="str">
            <v/>
          </cell>
        </row>
        <row r="942">
          <cell r="Y942">
            <v>926</v>
          </cell>
          <cell r="Z942">
            <v>0.13058403693139553</v>
          </cell>
          <cell r="AA942">
            <v>-0.18992891162766426</v>
          </cell>
          <cell r="AB942" t="str">
            <v/>
          </cell>
          <cell r="AC942" t="e">
            <v>#N/A</v>
          </cell>
          <cell r="AD942">
            <v>855</v>
          </cell>
          <cell r="AE942" t="e">
            <v>#N/A</v>
          </cell>
          <cell r="AF942" t="str">
            <v/>
          </cell>
        </row>
        <row r="943">
          <cell r="Y943">
            <v>927</v>
          </cell>
          <cell r="Z943">
            <v>6.6906435415148735E-2</v>
          </cell>
          <cell r="AA943">
            <v>-0.2534168422488573</v>
          </cell>
          <cell r="AB943" t="str">
            <v/>
          </cell>
          <cell r="AC943" t="e">
            <v>#N/A</v>
          </cell>
          <cell r="AD943">
            <v>856</v>
          </cell>
          <cell r="AE943" t="e">
            <v>#N/A</v>
          </cell>
          <cell r="AF943" t="str">
            <v/>
          </cell>
        </row>
        <row r="944">
          <cell r="Y944">
            <v>928</v>
          </cell>
          <cell r="Z944">
            <v>0.22393514774739742</v>
          </cell>
          <cell r="AA944">
            <v>-0.12828940356391344</v>
          </cell>
          <cell r="AB944" t="str">
            <v/>
          </cell>
          <cell r="AC944" t="e">
            <v>#N/A</v>
          </cell>
          <cell r="AD944">
            <v>857</v>
          </cell>
          <cell r="AE944" t="e">
            <v>#N/A</v>
          </cell>
          <cell r="AF944" t="str">
            <v/>
          </cell>
        </row>
        <row r="945">
          <cell r="Y945">
            <v>929</v>
          </cell>
          <cell r="Z945">
            <v>0.38863089494407177</v>
          </cell>
          <cell r="AA945">
            <v>-4.7816998636649226E-2</v>
          </cell>
          <cell r="AB945" t="str">
            <v/>
          </cell>
          <cell r="AC945" t="e">
            <v>#N/A</v>
          </cell>
          <cell r="AD945">
            <v>858</v>
          </cell>
          <cell r="AE945" t="e">
            <v>#N/A</v>
          </cell>
          <cell r="AF945" t="str">
            <v/>
          </cell>
        </row>
        <row r="946">
          <cell r="Y946">
            <v>930</v>
          </cell>
          <cell r="Z946">
            <v>1.642351970076561E-3</v>
          </cell>
          <cell r="AA946">
            <v>-0.49690952317182047</v>
          </cell>
          <cell r="AB946" t="str">
            <v/>
          </cell>
          <cell r="AC946" t="e">
            <v>#N/A</v>
          </cell>
          <cell r="AD946">
            <v>859</v>
          </cell>
          <cell r="AE946" t="e">
            <v>#N/A</v>
          </cell>
          <cell r="AF946" t="str">
            <v/>
          </cell>
        </row>
        <row r="947">
          <cell r="Y947">
            <v>931</v>
          </cell>
          <cell r="Z947">
            <v>0.5410513412207365</v>
          </cell>
          <cell r="AA947">
            <v>1.7424160271321983E-2</v>
          </cell>
          <cell r="AB947" t="str">
            <v/>
          </cell>
          <cell r="AC947" t="e">
            <v>#N/A</v>
          </cell>
          <cell r="AD947">
            <v>860</v>
          </cell>
          <cell r="AE947" t="e">
            <v>#N/A</v>
          </cell>
          <cell r="AF947" t="str">
            <v/>
          </cell>
        </row>
        <row r="948">
          <cell r="Y948">
            <v>932</v>
          </cell>
          <cell r="Z948">
            <v>0.44587480090558529</v>
          </cell>
          <cell r="AA948">
            <v>-2.3003522046107679E-2</v>
          </cell>
          <cell r="AB948" t="str">
            <v/>
          </cell>
          <cell r="AC948" t="e">
            <v>#N/A</v>
          </cell>
          <cell r="AD948">
            <v>861</v>
          </cell>
          <cell r="AE948" t="e">
            <v>#N/A</v>
          </cell>
          <cell r="AF948" t="str">
            <v/>
          </cell>
        </row>
        <row r="949">
          <cell r="Y949">
            <v>933</v>
          </cell>
          <cell r="Z949">
            <v>0.80542826466262341</v>
          </cell>
          <cell r="AA949">
            <v>0.14556458939999917</v>
          </cell>
          <cell r="AB949" t="str">
            <v/>
          </cell>
          <cell r="AC949" t="e">
            <v>#N/A</v>
          </cell>
          <cell r="AD949">
            <v>862</v>
          </cell>
          <cell r="AE949" t="e">
            <v>#N/A</v>
          </cell>
          <cell r="AF949" t="str">
            <v/>
          </cell>
        </row>
        <row r="950">
          <cell r="Y950">
            <v>934</v>
          </cell>
          <cell r="Z950">
            <v>0.1171936746686697</v>
          </cell>
          <cell r="AA950">
            <v>-0.20100015645966698</v>
          </cell>
          <cell r="AB950" t="str">
            <v/>
          </cell>
          <cell r="AC950" t="e">
            <v>#N/A</v>
          </cell>
          <cell r="AD950">
            <v>863</v>
          </cell>
          <cell r="AE950" t="e">
            <v>#N/A</v>
          </cell>
          <cell r="AF950" t="str">
            <v/>
          </cell>
        </row>
        <row r="951">
          <cell r="Y951">
            <v>935</v>
          </cell>
          <cell r="Z951">
            <v>0.27020446769893169</v>
          </cell>
          <cell r="AA951">
            <v>-0.10347979424228886</v>
          </cell>
          <cell r="AB951" t="str">
            <v/>
          </cell>
          <cell r="AC951" t="e">
            <v>#N/A</v>
          </cell>
          <cell r="AD951">
            <v>864</v>
          </cell>
          <cell r="AE951" t="e">
            <v>#N/A</v>
          </cell>
          <cell r="AF951" t="str">
            <v/>
          </cell>
        </row>
        <row r="952">
          <cell r="Y952">
            <v>936</v>
          </cell>
          <cell r="Z952">
            <v>0.18964739702641964</v>
          </cell>
          <cell r="AA952">
            <v>-0.14861131626153931</v>
          </cell>
          <cell r="AB952" t="str">
            <v/>
          </cell>
          <cell r="AC952" t="e">
            <v>#N/A</v>
          </cell>
          <cell r="AD952">
            <v>865</v>
          </cell>
          <cell r="AE952" t="e">
            <v>#N/A</v>
          </cell>
          <cell r="AF952" t="str">
            <v/>
          </cell>
        </row>
        <row r="953">
          <cell r="Y953">
            <v>937</v>
          </cell>
          <cell r="Z953">
            <v>0.43568035773932934</v>
          </cell>
          <cell r="AA953">
            <v>-2.7371222042447081E-2</v>
          </cell>
          <cell r="AB953" t="str">
            <v/>
          </cell>
          <cell r="AC953" t="e">
            <v>#N/A</v>
          </cell>
          <cell r="AD953">
            <v>866</v>
          </cell>
          <cell r="AE953" t="e">
            <v>#N/A</v>
          </cell>
          <cell r="AF953" t="str">
            <v/>
          </cell>
        </row>
        <row r="954">
          <cell r="Y954">
            <v>938</v>
          </cell>
          <cell r="Z954">
            <v>0.2412379439920187</v>
          </cell>
          <cell r="AA954">
            <v>-0.11871475990222329</v>
          </cell>
          <cell r="AB954" t="str">
            <v/>
          </cell>
          <cell r="AC954" t="e">
            <v>#N/A</v>
          </cell>
          <cell r="AD954">
            <v>867</v>
          </cell>
          <cell r="AE954" t="e">
            <v>#N/A</v>
          </cell>
          <cell r="AF954" t="str">
            <v/>
          </cell>
        </row>
        <row r="955">
          <cell r="Y955">
            <v>939</v>
          </cell>
          <cell r="Z955">
            <v>0.57601345889270306</v>
          </cell>
          <cell r="AA955">
            <v>3.2404103943465469E-2</v>
          </cell>
          <cell r="AB955" t="str">
            <v/>
          </cell>
          <cell r="AC955" t="e">
            <v>#N/A</v>
          </cell>
          <cell r="AD955">
            <v>868</v>
          </cell>
          <cell r="AE955" t="e">
            <v>#N/A</v>
          </cell>
          <cell r="AF955" t="str">
            <v/>
          </cell>
        </row>
        <row r="956">
          <cell r="Y956">
            <v>940</v>
          </cell>
          <cell r="Z956">
            <v>7.7101996168494225E-2</v>
          </cell>
          <cell r="AA956">
            <v>-0.24084160456024006</v>
          </cell>
          <cell r="AB956" t="str">
            <v/>
          </cell>
          <cell r="AC956" t="e">
            <v>#N/A</v>
          </cell>
          <cell r="AD956">
            <v>869</v>
          </cell>
          <cell r="AE956" t="e">
            <v>#N/A</v>
          </cell>
          <cell r="AF956" t="str">
            <v/>
          </cell>
        </row>
        <row r="957">
          <cell r="Y957">
            <v>941</v>
          </cell>
          <cell r="Z957">
            <v>0.96401089243590832</v>
          </cell>
          <cell r="AA957">
            <v>0.30412975096245359</v>
          </cell>
          <cell r="AB957" t="str">
            <v/>
          </cell>
          <cell r="AC957" t="e">
            <v>#N/A</v>
          </cell>
          <cell r="AD957">
            <v>870</v>
          </cell>
          <cell r="AE957" t="e">
            <v>#N/A</v>
          </cell>
          <cell r="AF957" t="str">
            <v/>
          </cell>
        </row>
        <row r="958">
          <cell r="Y958">
            <v>942</v>
          </cell>
          <cell r="Z958">
            <v>0.45650068484246731</v>
          </cell>
          <cell r="AA958">
            <v>-1.8467224366508717E-2</v>
          </cell>
          <cell r="AB958" t="str">
            <v/>
          </cell>
          <cell r="AC958" t="e">
            <v>#N/A</v>
          </cell>
          <cell r="AD958">
            <v>871</v>
          </cell>
          <cell r="AE958" t="e">
            <v>#N/A</v>
          </cell>
          <cell r="AF958" t="str">
            <v/>
          </cell>
        </row>
        <row r="959">
          <cell r="Y959">
            <v>943</v>
          </cell>
          <cell r="Z959">
            <v>0.78293357603251934</v>
          </cell>
          <cell r="AA959">
            <v>0.13220563252009701</v>
          </cell>
          <cell r="AB959" t="str">
            <v/>
          </cell>
          <cell r="AC959" t="e">
            <v>#N/A</v>
          </cell>
          <cell r="AD959">
            <v>872</v>
          </cell>
          <cell r="AE959" t="e">
            <v>#N/A</v>
          </cell>
          <cell r="AF959" t="str">
            <v/>
          </cell>
        </row>
        <row r="960">
          <cell r="Y960">
            <v>944</v>
          </cell>
          <cell r="Z960">
            <v>0.93846168182790279</v>
          </cell>
          <cell r="AA960">
            <v>0.26064345568521102</v>
          </cell>
          <cell r="AB960" t="str">
            <v/>
          </cell>
          <cell r="AC960" t="e">
            <v>#N/A</v>
          </cell>
          <cell r="AD960">
            <v>873</v>
          </cell>
          <cell r="AE960" t="e">
            <v>#N/A</v>
          </cell>
          <cell r="AF960" t="str">
            <v/>
          </cell>
        </row>
        <row r="961">
          <cell r="Y961">
            <v>945</v>
          </cell>
          <cell r="Z961">
            <v>1.8280891701579094E-2</v>
          </cell>
          <cell r="AA961">
            <v>-0.35337995222678364</v>
          </cell>
          <cell r="AB961" t="str">
            <v/>
          </cell>
          <cell r="AC961" t="e">
            <v>#N/A</v>
          </cell>
          <cell r="AD961">
            <v>874</v>
          </cell>
          <cell r="AE961" t="e">
            <v>#N/A</v>
          </cell>
          <cell r="AF961" t="str">
            <v/>
          </cell>
        </row>
        <row r="962">
          <cell r="Y962">
            <v>946</v>
          </cell>
          <cell r="Z962">
            <v>0.15466738305985928</v>
          </cell>
          <cell r="AA962">
            <v>-0.17183995544612768</v>
          </cell>
          <cell r="AB962" t="str">
            <v/>
          </cell>
          <cell r="AC962" t="e">
            <v>#N/A</v>
          </cell>
          <cell r="AD962">
            <v>875</v>
          </cell>
          <cell r="AE962" t="e">
            <v>#N/A</v>
          </cell>
          <cell r="AF962" t="str">
            <v/>
          </cell>
        </row>
        <row r="963">
          <cell r="Y963">
            <v>947</v>
          </cell>
          <cell r="Z963">
            <v>0.8412745725363493</v>
          </cell>
          <cell r="AA963">
            <v>0.1689818376924806</v>
          </cell>
          <cell r="AB963" t="str">
            <v/>
          </cell>
          <cell r="AC963" t="e">
            <v>#N/A</v>
          </cell>
          <cell r="AD963">
            <v>876</v>
          </cell>
          <cell r="AE963" t="e">
            <v>#N/A</v>
          </cell>
          <cell r="AF963" t="str">
            <v/>
          </cell>
        </row>
        <row r="964">
          <cell r="Y964">
            <v>948</v>
          </cell>
          <cell r="Z964">
            <v>0.6619329359382391</v>
          </cell>
          <cell r="AA964">
            <v>7.061166318478844E-2</v>
          </cell>
          <cell r="AB964" t="str">
            <v/>
          </cell>
          <cell r="AC964" t="e">
            <v>#N/A</v>
          </cell>
          <cell r="AD964">
            <v>877</v>
          </cell>
          <cell r="AE964" t="e">
            <v>#N/A</v>
          </cell>
          <cell r="AF964" t="str">
            <v/>
          </cell>
        </row>
        <row r="965">
          <cell r="Y965">
            <v>949</v>
          </cell>
          <cell r="Z965">
            <v>0.96451055817306042</v>
          </cell>
          <cell r="AA965">
            <v>0.30520422289216775</v>
          </cell>
          <cell r="AB965" t="str">
            <v/>
          </cell>
          <cell r="AC965" t="e">
            <v>#N/A</v>
          </cell>
          <cell r="AD965">
            <v>878</v>
          </cell>
          <cell r="AE965" t="e">
            <v>#N/A</v>
          </cell>
          <cell r="AF965" t="str">
            <v/>
          </cell>
        </row>
        <row r="966">
          <cell r="Y966">
            <v>950</v>
          </cell>
          <cell r="Z966">
            <v>0.12036786042153835</v>
          </cell>
          <cell r="AA966">
            <v>-0.1982985165884659</v>
          </cell>
          <cell r="AB966" t="str">
            <v/>
          </cell>
          <cell r="AC966" t="e">
            <v>#N/A</v>
          </cell>
          <cell r="AD966">
            <v>879</v>
          </cell>
          <cell r="AE966" t="e">
            <v>#N/A</v>
          </cell>
          <cell r="AF966" t="str">
            <v/>
          </cell>
        </row>
        <row r="967">
          <cell r="Y967">
            <v>951</v>
          </cell>
          <cell r="Z967">
            <v>0.16899756900966167</v>
          </cell>
          <cell r="AA967">
            <v>-0.161954223684352</v>
          </cell>
          <cell r="AB967" t="str">
            <v/>
          </cell>
          <cell r="AC967" t="e">
            <v>#N/A</v>
          </cell>
          <cell r="AD967">
            <v>880</v>
          </cell>
          <cell r="AE967" t="e">
            <v>#N/A</v>
          </cell>
          <cell r="AF967" t="str">
            <v/>
          </cell>
        </row>
        <row r="968">
          <cell r="Y968">
            <v>952</v>
          </cell>
          <cell r="Z968">
            <v>0.88706501387059689</v>
          </cell>
          <cell r="AA968">
            <v>0.20470757764191527</v>
          </cell>
          <cell r="AB968" t="str">
            <v/>
          </cell>
          <cell r="AC968" t="e">
            <v>#N/A</v>
          </cell>
          <cell r="AD968">
            <v>881</v>
          </cell>
          <cell r="AE968" t="e">
            <v>#N/A</v>
          </cell>
          <cell r="AF968" t="str">
            <v/>
          </cell>
        </row>
        <row r="969">
          <cell r="Y969">
            <v>953</v>
          </cell>
          <cell r="Z969">
            <v>0.67055114917457104</v>
          </cell>
          <cell r="AA969">
            <v>7.4616228724273356E-2</v>
          </cell>
          <cell r="AB969" t="str">
            <v/>
          </cell>
          <cell r="AC969" t="e">
            <v>#N/A</v>
          </cell>
          <cell r="AD969">
            <v>882</v>
          </cell>
          <cell r="AE969" t="e">
            <v>#N/A</v>
          </cell>
          <cell r="AF969" t="str">
            <v/>
          </cell>
        </row>
        <row r="970">
          <cell r="Y970">
            <v>954</v>
          </cell>
          <cell r="Z970">
            <v>0.20891064964234829</v>
          </cell>
          <cell r="AA970">
            <v>-0.13694995385806219</v>
          </cell>
          <cell r="AB970" t="str">
            <v/>
          </cell>
          <cell r="AC970" t="e">
            <v>#N/A</v>
          </cell>
          <cell r="AD970">
            <v>883</v>
          </cell>
          <cell r="AE970" t="e">
            <v>#N/A</v>
          </cell>
          <cell r="AF970" t="str">
            <v/>
          </cell>
        </row>
        <row r="971">
          <cell r="Y971">
            <v>955</v>
          </cell>
          <cell r="Z971">
            <v>0.21226192824542522</v>
          </cell>
          <cell r="AA971">
            <v>-0.13498760952273278</v>
          </cell>
          <cell r="AB971" t="str">
            <v/>
          </cell>
          <cell r="AC971" t="e">
            <v>#N/A</v>
          </cell>
          <cell r="AD971">
            <v>884</v>
          </cell>
          <cell r="AE971" t="e">
            <v>#N/A</v>
          </cell>
          <cell r="AF971" t="str">
            <v/>
          </cell>
        </row>
        <row r="972">
          <cell r="Y972">
            <v>956</v>
          </cell>
          <cell r="Z972">
            <v>4.1859319433569908E-2</v>
          </cell>
          <cell r="AA972">
            <v>-0.29233980918284463</v>
          </cell>
          <cell r="AB972" t="str">
            <v/>
          </cell>
          <cell r="AC972" t="e">
            <v>#N/A</v>
          </cell>
          <cell r="AD972">
            <v>885</v>
          </cell>
          <cell r="AE972" t="e">
            <v>#N/A</v>
          </cell>
          <cell r="AF972" t="str">
            <v/>
          </cell>
        </row>
        <row r="973">
          <cell r="Y973">
            <v>957</v>
          </cell>
          <cell r="Z973">
            <v>0.7385068517178297</v>
          </cell>
          <cell r="AA973">
            <v>0.10796826988104673</v>
          </cell>
          <cell r="AB973" t="str">
            <v/>
          </cell>
          <cell r="AC973" t="e">
            <v>#N/A</v>
          </cell>
          <cell r="AD973">
            <v>886</v>
          </cell>
          <cell r="AE973" t="e">
            <v>#N/A</v>
          </cell>
          <cell r="AF973" t="str">
            <v/>
          </cell>
        </row>
        <row r="974">
          <cell r="Y974">
            <v>958</v>
          </cell>
          <cell r="Z974">
            <v>0.11776736937463284</v>
          </cell>
          <cell r="AA974">
            <v>-0.2005080719385669</v>
          </cell>
          <cell r="AB974" t="str">
            <v/>
          </cell>
          <cell r="AC974" t="e">
            <v>#N/A</v>
          </cell>
          <cell r="AD974">
            <v>887</v>
          </cell>
          <cell r="AE974" t="e">
            <v>#N/A</v>
          </cell>
          <cell r="AF974" t="str">
            <v/>
          </cell>
        </row>
        <row r="975">
          <cell r="Y975">
            <v>959</v>
          </cell>
          <cell r="Z975">
            <v>0.2247221302241087</v>
          </cell>
          <cell r="AA975">
            <v>-0.12784510712697081</v>
          </cell>
          <cell r="AB975" t="str">
            <v/>
          </cell>
          <cell r="AC975" t="e">
            <v>#N/A</v>
          </cell>
          <cell r="AD975">
            <v>888</v>
          </cell>
          <cell r="AE975" t="e">
            <v>#N/A</v>
          </cell>
          <cell r="AF975" t="str">
            <v/>
          </cell>
        </row>
        <row r="976">
          <cell r="Y976">
            <v>960</v>
          </cell>
          <cell r="Z976">
            <v>0.22362877987325191</v>
          </cell>
          <cell r="AA976">
            <v>-0.12846260548336549</v>
          </cell>
          <cell r="AB976" t="str">
            <v/>
          </cell>
          <cell r="AC976" t="e">
            <v>#N/A</v>
          </cell>
          <cell r="AD976">
            <v>889</v>
          </cell>
          <cell r="AE976" t="e">
            <v>#N/A</v>
          </cell>
          <cell r="AF976" t="str">
            <v/>
          </cell>
        </row>
        <row r="977">
          <cell r="Y977">
            <v>961</v>
          </cell>
          <cell r="Z977">
            <v>0.70590665750205517</v>
          </cell>
          <cell r="AA977">
            <v>9.1524395326276611E-2</v>
          </cell>
          <cell r="AB977" t="str">
            <v/>
          </cell>
          <cell r="AC977" t="e">
            <v>#N/A</v>
          </cell>
          <cell r="AD977">
            <v>890</v>
          </cell>
          <cell r="AE977" t="e">
            <v>#N/A</v>
          </cell>
          <cell r="AF977" t="str">
            <v/>
          </cell>
        </row>
        <row r="978">
          <cell r="Y978">
            <v>962</v>
          </cell>
          <cell r="Z978">
            <v>0.75180709920823574</v>
          </cell>
          <cell r="AA978">
            <v>0.11497265712377207</v>
          </cell>
          <cell r="AB978" t="str">
            <v/>
          </cell>
          <cell r="AC978" t="e">
            <v>#N/A</v>
          </cell>
          <cell r="AD978">
            <v>891</v>
          </cell>
          <cell r="AE978" t="e">
            <v>#N/A</v>
          </cell>
          <cell r="AF978" t="str">
            <v/>
          </cell>
        </row>
        <row r="979">
          <cell r="Y979">
            <v>963</v>
          </cell>
          <cell r="Z979">
            <v>0.76557464711368084</v>
          </cell>
          <cell r="AA979">
            <v>0.12243754703190798</v>
          </cell>
          <cell r="AB979" t="str">
            <v/>
          </cell>
          <cell r="AC979" t="e">
            <v>#N/A</v>
          </cell>
          <cell r="AD979">
            <v>892</v>
          </cell>
          <cell r="AE979" t="e">
            <v>#N/A</v>
          </cell>
          <cell r="AF979" t="str">
            <v/>
          </cell>
        </row>
        <row r="980">
          <cell r="Y980">
            <v>964</v>
          </cell>
          <cell r="Z980">
            <v>0.42360722087323666</v>
          </cell>
          <cell r="AA980">
            <v>-3.2567816754660507E-2</v>
          </cell>
          <cell r="AB980" t="str">
            <v/>
          </cell>
          <cell r="AC980" t="e">
            <v>#N/A</v>
          </cell>
          <cell r="AD980">
            <v>893</v>
          </cell>
          <cell r="AE980" t="e">
            <v>#N/A</v>
          </cell>
          <cell r="AF980" t="str">
            <v/>
          </cell>
        </row>
        <row r="981">
          <cell r="Y981">
            <v>965</v>
          </cell>
          <cell r="Z981">
            <v>0.71562623791396618</v>
          </cell>
          <cell r="AA981">
            <v>9.6330183727948257E-2</v>
          </cell>
          <cell r="AB981" t="str">
            <v/>
          </cell>
          <cell r="AC981" t="e">
            <v>#N/A</v>
          </cell>
          <cell r="AD981">
            <v>894</v>
          </cell>
          <cell r="AE981" t="e">
            <v>#N/A</v>
          </cell>
          <cell r="AF981" t="str">
            <v/>
          </cell>
        </row>
        <row r="982">
          <cell r="Y982">
            <v>966</v>
          </cell>
          <cell r="Z982">
            <v>0.68228075467050076</v>
          </cell>
          <cell r="AA982">
            <v>8.0135181561838117E-2</v>
          </cell>
          <cell r="AB982" t="str">
            <v/>
          </cell>
          <cell r="AC982" t="e">
            <v>#N/A</v>
          </cell>
          <cell r="AD982">
            <v>895</v>
          </cell>
          <cell r="AE982" t="e">
            <v>#N/A</v>
          </cell>
          <cell r="AF982" t="str">
            <v/>
          </cell>
        </row>
        <row r="983">
          <cell r="Y983">
            <v>967</v>
          </cell>
          <cell r="Z983">
            <v>0.4163548182696104</v>
          </cell>
          <cell r="AA983">
            <v>-3.5703989282812355E-2</v>
          </cell>
          <cell r="AB983" t="str">
            <v/>
          </cell>
          <cell r="AC983" t="e">
            <v>#N/A</v>
          </cell>
          <cell r="AD983">
            <v>896</v>
          </cell>
          <cell r="AE983" t="e">
            <v>#N/A</v>
          </cell>
          <cell r="AF983" t="str">
            <v/>
          </cell>
        </row>
        <row r="984">
          <cell r="Y984">
            <v>968</v>
          </cell>
          <cell r="Z984">
            <v>0.59530874155461788</v>
          </cell>
          <cell r="AA984">
            <v>4.0774078541102036E-2</v>
          </cell>
          <cell r="AB984" t="str">
            <v/>
          </cell>
          <cell r="AC984" t="e">
            <v>#N/A</v>
          </cell>
          <cell r="AD984">
            <v>897</v>
          </cell>
          <cell r="AE984" t="e">
            <v>#N/A</v>
          </cell>
          <cell r="AF984" t="str">
            <v/>
          </cell>
        </row>
        <row r="985">
          <cell r="Y985">
            <v>969</v>
          </cell>
          <cell r="Z985">
            <v>0.15455981902778149</v>
          </cell>
          <cell r="AA985">
            <v>-0.17191638256993508</v>
          </cell>
          <cell r="AB985" t="str">
            <v/>
          </cell>
          <cell r="AC985" t="e">
            <v>#N/A</v>
          </cell>
          <cell r="AD985">
            <v>898</v>
          </cell>
          <cell r="AE985" t="e">
            <v>#N/A</v>
          </cell>
          <cell r="AF985" t="str">
            <v/>
          </cell>
        </row>
        <row r="986">
          <cell r="Y986">
            <v>970</v>
          </cell>
          <cell r="Z986">
            <v>0.19955546222627163</v>
          </cell>
          <cell r="AA986">
            <v>-0.14252852867630059</v>
          </cell>
          <cell r="AB986" t="str">
            <v/>
          </cell>
          <cell r="AC986" t="e">
            <v>#N/A</v>
          </cell>
          <cell r="AD986">
            <v>899</v>
          </cell>
          <cell r="AE986" t="e">
            <v>#N/A</v>
          </cell>
          <cell r="AF986" t="str">
            <v/>
          </cell>
        </row>
        <row r="987">
          <cell r="Y987">
            <v>971</v>
          </cell>
          <cell r="Z987">
            <v>0.21648372523486614</v>
          </cell>
          <cell r="AA987">
            <v>-0.13254111921604891</v>
          </cell>
          <cell r="AB987" t="str">
            <v/>
          </cell>
          <cell r="AC987" t="e">
            <v>#N/A</v>
          </cell>
          <cell r="AD987">
            <v>900</v>
          </cell>
          <cell r="AE987" t="e">
            <v>#N/A</v>
          </cell>
          <cell r="AF987" t="str">
            <v/>
          </cell>
        </row>
        <row r="988">
          <cell r="Y988">
            <v>972</v>
          </cell>
          <cell r="Z988">
            <v>6.6637089475989342E-2</v>
          </cell>
          <cell r="AA988">
            <v>-0.25376850499946657</v>
          </cell>
          <cell r="AB988" t="str">
            <v/>
          </cell>
          <cell r="AC988" t="e">
            <v>#N/A</v>
          </cell>
          <cell r="AD988">
            <v>901</v>
          </cell>
          <cell r="AE988" t="e">
            <v>#N/A</v>
          </cell>
          <cell r="AF988" t="str">
            <v/>
          </cell>
        </row>
        <row r="989">
          <cell r="Y989">
            <v>973</v>
          </cell>
          <cell r="Z989">
            <v>0.76104205660521984</v>
          </cell>
          <cell r="AA989">
            <v>0.11995419273581129</v>
          </cell>
          <cell r="AB989" t="str">
            <v/>
          </cell>
          <cell r="AC989" t="e">
            <v>#N/A</v>
          </cell>
          <cell r="AD989">
            <v>902</v>
          </cell>
          <cell r="AE989" t="e">
            <v>#N/A</v>
          </cell>
          <cell r="AF989" t="str">
            <v/>
          </cell>
        </row>
        <row r="990">
          <cell r="Y990">
            <v>974</v>
          </cell>
          <cell r="Z990">
            <v>0.45959893427789211</v>
          </cell>
          <cell r="AA990">
            <v>-1.714719568884971E-2</v>
          </cell>
          <cell r="AB990" t="str">
            <v/>
          </cell>
          <cell r="AC990" t="e">
            <v>#N/A</v>
          </cell>
          <cell r="AD990">
            <v>903</v>
          </cell>
          <cell r="AE990" t="e">
            <v>#N/A</v>
          </cell>
          <cell r="AF990" t="str">
            <v/>
          </cell>
        </row>
        <row r="991">
          <cell r="Y991">
            <v>975</v>
          </cell>
          <cell r="Z991">
            <v>0.3175650667399168</v>
          </cell>
          <cell r="AA991">
            <v>-8.02082836899808E-2</v>
          </cell>
          <cell r="AB991" t="str">
            <v/>
          </cell>
          <cell r="AC991" t="e">
            <v>#N/A</v>
          </cell>
          <cell r="AD991">
            <v>904</v>
          </cell>
          <cell r="AE991" t="e">
            <v>#N/A</v>
          </cell>
          <cell r="AF991" t="str">
            <v/>
          </cell>
        </row>
        <row r="992">
          <cell r="Y992">
            <v>976</v>
          </cell>
          <cell r="Z992">
            <v>0.79574503563344479</v>
          </cell>
          <cell r="AA992">
            <v>0.13970715499357012</v>
          </cell>
          <cell r="AB992" t="str">
            <v/>
          </cell>
          <cell r="AC992" t="e">
            <v>#N/A</v>
          </cell>
          <cell r="AD992">
            <v>905</v>
          </cell>
          <cell r="AE992" t="e">
            <v>#N/A</v>
          </cell>
          <cell r="AF992" t="str">
            <v/>
          </cell>
        </row>
        <row r="993">
          <cell r="Y993">
            <v>977</v>
          </cell>
          <cell r="Z993">
            <v>0.70101991109549999</v>
          </cell>
          <cell r="AA993">
            <v>8.9136077394841737E-2</v>
          </cell>
          <cell r="AB993" t="str">
            <v/>
          </cell>
          <cell r="AC993" t="e">
            <v>#N/A</v>
          </cell>
          <cell r="AD993">
            <v>906</v>
          </cell>
          <cell r="AE993" t="e">
            <v>#N/A</v>
          </cell>
          <cell r="AF993" t="str">
            <v/>
          </cell>
        </row>
        <row r="994">
          <cell r="Y994">
            <v>978</v>
          </cell>
          <cell r="Z994">
            <v>0.22421384416520596</v>
          </cell>
          <cell r="AA994">
            <v>-0.12813196233554777</v>
          </cell>
          <cell r="AB994" t="str">
            <v/>
          </cell>
          <cell r="AC994" t="e">
            <v>#N/A</v>
          </cell>
          <cell r="AD994">
            <v>907</v>
          </cell>
          <cell r="AE994" t="e">
            <v>#N/A</v>
          </cell>
          <cell r="AF994" t="str">
            <v/>
          </cell>
        </row>
        <row r="995">
          <cell r="Y995">
            <v>979</v>
          </cell>
          <cell r="Z995">
            <v>0.35643203370273113</v>
          </cell>
          <cell r="AA995">
            <v>-6.2205431173468495E-2</v>
          </cell>
          <cell r="AB995" t="str">
            <v/>
          </cell>
          <cell r="AC995" t="e">
            <v>#N/A</v>
          </cell>
          <cell r="AD995">
            <v>908</v>
          </cell>
          <cell r="AE995" t="e">
            <v>#N/A</v>
          </cell>
          <cell r="AF995" t="str">
            <v/>
          </cell>
        </row>
        <row r="996">
          <cell r="Y996">
            <v>980</v>
          </cell>
          <cell r="Z996">
            <v>0.97064374946057796</v>
          </cell>
          <cell r="AA996">
            <v>0.31952578038074309</v>
          </cell>
          <cell r="AB996" t="str">
            <v/>
          </cell>
          <cell r="AC996" t="e">
            <v>#N/A</v>
          </cell>
          <cell r="AD996">
            <v>909</v>
          </cell>
          <cell r="AE996" t="e">
            <v>#N/A</v>
          </cell>
          <cell r="AF996" t="str">
            <v/>
          </cell>
        </row>
        <row r="997">
          <cell r="Y997">
            <v>981</v>
          </cell>
          <cell r="Z997">
            <v>0.11297452263534069</v>
          </cell>
          <cell r="AA997">
            <v>-0.20467270492087164</v>
          </cell>
          <cell r="AB997" t="str">
            <v/>
          </cell>
          <cell r="AC997" t="e">
            <v>#N/A</v>
          </cell>
          <cell r="AD997">
            <v>910</v>
          </cell>
          <cell r="AE997" t="e">
            <v>#N/A</v>
          </cell>
          <cell r="AF997" t="str">
            <v/>
          </cell>
        </row>
        <row r="998">
          <cell r="Y998">
            <v>982</v>
          </cell>
          <cell r="Z998">
            <v>0.69502220116555691</v>
          </cell>
          <cell r="AA998">
            <v>8.6228864065090116E-2</v>
          </cell>
          <cell r="AB998" t="str">
            <v/>
          </cell>
          <cell r="AC998" t="e">
            <v>#N/A</v>
          </cell>
          <cell r="AD998">
            <v>911</v>
          </cell>
          <cell r="AE998" t="e">
            <v>#N/A</v>
          </cell>
          <cell r="AF998" t="str">
            <v/>
          </cell>
        </row>
        <row r="999">
          <cell r="Y999">
            <v>983</v>
          </cell>
          <cell r="Z999">
            <v>4.6944184228777885E-2</v>
          </cell>
          <cell r="AA999">
            <v>-0.28316619461862941</v>
          </cell>
          <cell r="AB999" t="str">
            <v/>
          </cell>
          <cell r="AC999" t="e">
            <v>#N/A</v>
          </cell>
          <cell r="AD999">
            <v>912</v>
          </cell>
          <cell r="AE999" t="e">
            <v>#N/A</v>
          </cell>
          <cell r="AF999" t="str">
            <v/>
          </cell>
        </row>
        <row r="1000">
          <cell r="Y1000">
            <v>984</v>
          </cell>
          <cell r="Z1000">
            <v>0.45256217382848263</v>
          </cell>
          <cell r="AA1000">
            <v>-2.0146889826662892E-2</v>
          </cell>
          <cell r="AB1000" t="str">
            <v/>
          </cell>
          <cell r="AC1000" t="e">
            <v>#N/A</v>
          </cell>
          <cell r="AD1000">
            <v>913</v>
          </cell>
          <cell r="AE1000" t="e">
            <v>#N/A</v>
          </cell>
          <cell r="AF1000" t="str">
            <v/>
          </cell>
        </row>
        <row r="1001">
          <cell r="Y1001">
            <v>985</v>
          </cell>
          <cell r="Z1001">
            <v>0.62159308604896069</v>
          </cell>
          <cell r="AA1001">
            <v>5.2343359258724582E-2</v>
          </cell>
          <cell r="AB1001" t="str">
            <v/>
          </cell>
          <cell r="AC1001" t="e">
            <v>#N/A</v>
          </cell>
          <cell r="AD1001">
            <v>914</v>
          </cell>
          <cell r="AE1001" t="e">
            <v>#N/A</v>
          </cell>
          <cell r="AF1001" t="str">
            <v/>
          </cell>
        </row>
        <row r="1002">
          <cell r="Y1002">
            <v>986</v>
          </cell>
          <cell r="Z1002">
            <v>0.94119972549378872</v>
          </cell>
          <cell r="AA1002">
            <v>0.2645205662121255</v>
          </cell>
          <cell r="AB1002" t="str">
            <v/>
          </cell>
          <cell r="AC1002" t="e">
            <v>#N/A</v>
          </cell>
          <cell r="AD1002">
            <v>915</v>
          </cell>
          <cell r="AE1002" t="e">
            <v>#N/A</v>
          </cell>
          <cell r="AF1002" t="str">
            <v/>
          </cell>
        </row>
        <row r="1003">
          <cell r="Y1003">
            <v>987</v>
          </cell>
          <cell r="Z1003">
            <v>0.49053431861102581</v>
          </cell>
          <cell r="AA1003">
            <v>-4.0109620168016693E-3</v>
          </cell>
          <cell r="AB1003" t="str">
            <v/>
          </cell>
          <cell r="AC1003" t="e">
            <v>#N/A</v>
          </cell>
          <cell r="AD1003">
            <v>916</v>
          </cell>
          <cell r="AE1003" t="e">
            <v>#N/A</v>
          </cell>
          <cell r="AF1003" t="str">
            <v/>
          </cell>
        </row>
        <row r="1004">
          <cell r="Y1004">
            <v>988</v>
          </cell>
          <cell r="Z1004">
            <v>0.56305640004575253</v>
          </cell>
          <cell r="AA1004">
            <v>2.6829065863458651E-2</v>
          </cell>
          <cell r="AB1004" t="str">
            <v/>
          </cell>
          <cell r="AC1004" t="e">
            <v>#N/A</v>
          </cell>
          <cell r="AD1004">
            <v>917</v>
          </cell>
          <cell r="AE1004" t="e">
            <v>#N/A</v>
          </cell>
          <cell r="AF1004" t="str">
            <v/>
          </cell>
        </row>
        <row r="1005">
          <cell r="Y1005">
            <v>989</v>
          </cell>
          <cell r="Z1005">
            <v>0.32019072584807873</v>
          </cell>
          <cell r="AA1005">
            <v>-7.8965387446822993E-2</v>
          </cell>
          <cell r="AB1005" t="str">
            <v/>
          </cell>
          <cell r="AC1005" t="e">
            <v>#N/A</v>
          </cell>
          <cell r="AD1005">
            <v>918</v>
          </cell>
          <cell r="AE1005" t="e">
            <v>#N/A</v>
          </cell>
          <cell r="AF1005" t="str">
            <v/>
          </cell>
        </row>
        <row r="1006">
          <cell r="Y1006">
            <v>990</v>
          </cell>
          <cell r="Z1006">
            <v>0.42096022330224514</v>
          </cell>
          <cell r="AA1006">
            <v>-3.3711108114676258E-2</v>
          </cell>
          <cell r="AB1006" t="str">
            <v/>
          </cell>
          <cell r="AC1006" t="e">
            <v>#N/A</v>
          </cell>
          <cell r="AD1006">
            <v>919</v>
          </cell>
          <cell r="AE1006" t="e">
            <v>#N/A</v>
          </cell>
          <cell r="AF1006" t="str">
            <v/>
          </cell>
        </row>
        <row r="1007">
          <cell r="Y1007">
            <v>991</v>
          </cell>
          <cell r="Z1007">
            <v>0.70550535432994366</v>
          </cell>
          <cell r="AA1007">
            <v>9.1327581315960984E-2</v>
          </cell>
          <cell r="AB1007" t="str">
            <v/>
          </cell>
          <cell r="AC1007" t="e">
            <v>#N/A</v>
          </cell>
          <cell r="AD1007">
            <v>920</v>
          </cell>
          <cell r="AE1007" t="e">
            <v>#N/A</v>
          </cell>
          <cell r="AF1007" t="str">
            <v/>
          </cell>
        </row>
        <row r="1008">
          <cell r="Y1008">
            <v>992</v>
          </cell>
          <cell r="Z1008">
            <v>0.71486904285848141</v>
          </cell>
          <cell r="AA1008">
            <v>9.5953034217156716E-2</v>
          </cell>
          <cell r="AB1008" t="str">
            <v/>
          </cell>
          <cell r="AC1008" t="e">
            <v>#N/A</v>
          </cell>
          <cell r="AD1008">
            <v>921</v>
          </cell>
          <cell r="AE1008" t="e">
            <v>#N/A</v>
          </cell>
          <cell r="AF1008" t="str">
            <v/>
          </cell>
        </row>
        <row r="1009">
          <cell r="Y1009">
            <v>993</v>
          </cell>
          <cell r="Z1009">
            <v>0.72188237123191357</v>
          </cell>
          <cell r="AA1009">
            <v>9.9464951766656373E-2</v>
          </cell>
          <cell r="AB1009" t="str">
            <v/>
          </cell>
          <cell r="AC1009" t="e">
            <v>#N/A</v>
          </cell>
          <cell r="AD1009">
            <v>922</v>
          </cell>
          <cell r="AE1009" t="e">
            <v>#N/A</v>
          </cell>
          <cell r="AF1009" t="str">
            <v/>
          </cell>
        </row>
        <row r="1010">
          <cell r="Y1010">
            <v>994</v>
          </cell>
          <cell r="Z1010">
            <v>9.678996168076992E-2</v>
          </cell>
          <cell r="AA1010">
            <v>-0.21975048599934105</v>
          </cell>
          <cell r="AB1010" t="str">
            <v/>
          </cell>
          <cell r="AC1010" t="e">
            <v>#N/A</v>
          </cell>
          <cell r="AD1010">
            <v>923</v>
          </cell>
          <cell r="AE1010" t="e">
            <v>#N/A</v>
          </cell>
          <cell r="AF1010" t="str">
            <v/>
          </cell>
        </row>
        <row r="1011">
          <cell r="Y1011">
            <v>995</v>
          </cell>
          <cell r="Z1011">
            <v>0.87507720105350018</v>
          </cell>
          <cell r="AA1011">
            <v>0.19450793980839567</v>
          </cell>
          <cell r="AB1011" t="str">
            <v/>
          </cell>
          <cell r="AC1011" t="e">
            <v>#N/A</v>
          </cell>
          <cell r="AD1011">
            <v>924</v>
          </cell>
          <cell r="AE1011" t="e">
            <v>#N/A</v>
          </cell>
          <cell r="AF1011" t="str">
            <v/>
          </cell>
        </row>
        <row r="1012">
          <cell r="Y1012">
            <v>996</v>
          </cell>
          <cell r="Z1012">
            <v>0.38653861545026302</v>
          </cell>
          <cell r="AA1012">
            <v>-4.8740400600331885E-2</v>
          </cell>
          <cell r="AB1012" t="str">
            <v/>
          </cell>
          <cell r="AC1012" t="e">
            <v>#N/A</v>
          </cell>
          <cell r="AD1012">
            <v>925</v>
          </cell>
          <cell r="AE1012" t="e">
            <v>#N/A</v>
          </cell>
          <cell r="AF1012" t="str">
            <v/>
          </cell>
        </row>
        <row r="1013">
          <cell r="Y1013">
            <v>997</v>
          </cell>
          <cell r="Z1013">
            <v>0.17950463108718395</v>
          </cell>
          <cell r="AA1013">
            <v>-0.15504431893210771</v>
          </cell>
          <cell r="AB1013" t="str">
            <v/>
          </cell>
          <cell r="AC1013" t="e">
            <v>#N/A</v>
          </cell>
          <cell r="AD1013">
            <v>926</v>
          </cell>
          <cell r="AE1013" t="e">
            <v>#N/A</v>
          </cell>
          <cell r="AF1013" t="str">
            <v/>
          </cell>
        </row>
        <row r="1014">
          <cell r="Y1014">
            <v>998</v>
          </cell>
          <cell r="Z1014">
            <v>0.64443204365670681</v>
          </cell>
          <cell r="AA1014">
            <v>6.2597356309125871E-2</v>
          </cell>
          <cell r="AB1014" t="str">
            <v/>
          </cell>
          <cell r="AC1014" t="e">
            <v>#N/A</v>
          </cell>
          <cell r="AD1014">
            <v>927</v>
          </cell>
          <cell r="AE1014" t="e">
            <v>#N/A</v>
          </cell>
          <cell r="AF1014" t="str">
            <v/>
          </cell>
        </row>
        <row r="1015">
          <cell r="Y1015">
            <v>999</v>
          </cell>
          <cell r="Z1015">
            <v>0.81418363563716412</v>
          </cell>
          <cell r="AA1015">
            <v>0.15101540627250015</v>
          </cell>
          <cell r="AB1015" t="str">
            <v/>
          </cell>
          <cell r="AC1015" t="e">
            <v>#N/A</v>
          </cell>
          <cell r="AD1015">
            <v>928</v>
          </cell>
          <cell r="AE1015" t="e">
            <v>#N/A</v>
          </cell>
          <cell r="AF1015" t="str">
            <v/>
          </cell>
        </row>
        <row r="1016">
          <cell r="Y1016">
            <v>1000</v>
          </cell>
          <cell r="Z1016">
            <v>0.94075890444219112</v>
          </cell>
          <cell r="AA1016">
            <v>0.26388693566137</v>
          </cell>
          <cell r="AB1016" t="str">
            <v/>
          </cell>
          <cell r="AC1016" t="e">
            <v>#N/A</v>
          </cell>
          <cell r="AD1016">
            <v>929</v>
          </cell>
          <cell r="AE1016" t="e">
            <v>#N/A</v>
          </cell>
          <cell r="AF1016" t="str">
            <v/>
          </cell>
        </row>
      </sheetData>
      <sheetData sheetId="2"/>
      <sheetData sheetId="3"/>
    </sheetDataSet>
  </externalBook>
</externalLink>
</file>

<file path=xl/externalLinks/externalLink32.xml><?xml version="1.0" encoding="utf-8"?>
<externalLink xmlns="http://schemas.openxmlformats.org/spreadsheetml/2006/main">
  <externalBook xmlns:r="http://schemas.openxmlformats.org/officeDocument/2006/relationships" r:id="rId1">
    <sheetNames>
      <sheetName val="Intro"/>
      <sheetName val="APR"/>
      <sheetName val="Figure 2"/>
      <sheetName val="p values"/>
    </sheetNames>
    <sheetDataSet>
      <sheetData sheetId="0"/>
      <sheetData sheetId="1">
        <row r="2">
          <cell r="AE2">
            <v>802</v>
          </cell>
          <cell r="AF2">
            <v>251</v>
          </cell>
        </row>
        <row r="3">
          <cell r="N3">
            <v>0.50231273493980044</v>
          </cell>
          <cell r="AE3">
            <v>535</v>
          </cell>
          <cell r="AF3">
            <v>168</v>
          </cell>
        </row>
        <row r="4">
          <cell r="AE4">
            <v>263</v>
          </cell>
          <cell r="AF4">
            <v>84</v>
          </cell>
        </row>
        <row r="5">
          <cell r="Z5" t="b">
            <v>0</v>
          </cell>
          <cell r="AD5">
            <v>0.77810000000000001</v>
          </cell>
        </row>
        <row r="6">
          <cell r="Z6">
            <v>70</v>
          </cell>
        </row>
        <row r="7">
          <cell r="Z7" t="b">
            <v>1</v>
          </cell>
          <cell r="AD7">
            <v>70</v>
          </cell>
        </row>
        <row r="8">
          <cell r="Z8">
            <v>0.65445180374714074</v>
          </cell>
        </row>
        <row r="9">
          <cell r="Z9" t="b">
            <v>1</v>
          </cell>
        </row>
        <row r="17">
          <cell r="J17">
            <v>20</v>
          </cell>
        </row>
        <row r="18">
          <cell r="Y18">
            <v>2</v>
          </cell>
          <cell r="Z18">
            <v>0.87946355901658535</v>
          </cell>
          <cell r="AA18">
            <v>0.19815644577933558</v>
          </cell>
          <cell r="AB18">
            <v>0.72658417354977567</v>
          </cell>
          <cell r="AC18">
            <v>54</v>
          </cell>
          <cell r="AD18">
            <v>0</v>
          </cell>
          <cell r="AE18">
            <v>0.7218</v>
          </cell>
          <cell r="AF18">
            <v>2.5100000000000001E-2</v>
          </cell>
        </row>
        <row r="19">
          <cell r="Y19">
            <v>3</v>
          </cell>
          <cell r="Z19">
            <v>2.3192120715975761E-2</v>
          </cell>
          <cell r="AA19">
            <v>-0.33668914740022582</v>
          </cell>
          <cell r="AB19">
            <v>0.99991729146808828</v>
          </cell>
          <cell r="AC19">
            <v>75</v>
          </cell>
          <cell r="AD19">
            <v>0</v>
          </cell>
          <cell r="AE19">
            <v>1.0024999999999999</v>
          </cell>
          <cell r="AF19">
            <v>2.5100000000000001E-2</v>
          </cell>
        </row>
        <row r="20">
          <cell r="Y20">
            <v>4</v>
          </cell>
          <cell r="Z20">
            <v>0.50865732692182064</v>
          </cell>
          <cell r="AA20">
            <v>3.6683758060244323E-3</v>
          </cell>
          <cell r="AB20">
            <v>0.96020942576533908</v>
          </cell>
          <cell r="AC20">
            <v>72</v>
          </cell>
          <cell r="AD20">
            <v>1</v>
          </cell>
          <cell r="AE20">
            <v>0.96240000000000003</v>
          </cell>
          <cell r="AF20">
            <v>7.5300000000000006E-2</v>
          </cell>
        </row>
        <row r="21">
          <cell r="Y21">
            <v>5</v>
          </cell>
          <cell r="Z21">
            <v>0.88176345638930798</v>
          </cell>
          <cell r="AA21">
            <v>0.20010689897485814</v>
          </cell>
          <cell r="AB21">
            <v>0.7227316001626185</v>
          </cell>
          <cell r="AC21">
            <v>54</v>
          </cell>
          <cell r="AD21">
            <v>1</v>
          </cell>
          <cell r="AE21">
            <v>0.7218</v>
          </cell>
          <cell r="AF21">
            <v>7.5300000000000006E-2</v>
          </cell>
        </row>
        <row r="22">
          <cell r="Y22">
            <v>6</v>
          </cell>
          <cell r="Z22">
            <v>2.6818012818694115E-2</v>
          </cell>
          <cell r="AA22">
            <v>-0.32618973329727452</v>
          </cell>
          <cell r="AB22">
            <v>0.99989413287910367</v>
          </cell>
          <cell r="AC22">
            <v>75</v>
          </cell>
          <cell r="AD22">
            <v>1</v>
          </cell>
          <cell r="AE22">
            <v>1.0024999999999999</v>
          </cell>
          <cell r="AF22">
            <v>7.5300000000000006E-2</v>
          </cell>
        </row>
        <row r="23">
          <cell r="Y23">
            <v>7</v>
          </cell>
          <cell r="Z23">
            <v>0.47682110778987408</v>
          </cell>
          <cell r="AA23">
            <v>-9.826370843080157E-3</v>
          </cell>
          <cell r="AB23">
            <v>0.96659555632234773</v>
          </cell>
          <cell r="AC23">
            <v>72</v>
          </cell>
          <cell r="AD23">
            <v>2</v>
          </cell>
          <cell r="AE23">
            <v>0.96240000000000003</v>
          </cell>
          <cell r="AF23">
            <v>0.1255</v>
          </cell>
        </row>
        <row r="24">
          <cell r="Y24">
            <v>8</v>
          </cell>
          <cell r="Z24">
            <v>0.27657314203679562</v>
          </cell>
          <cell r="AA24">
            <v>-0.10024410147979711</v>
          </cell>
          <cell r="AB24">
            <v>0.99105473544812939</v>
          </cell>
          <cell r="AC24">
            <v>74</v>
          </cell>
          <cell r="AD24">
            <v>0</v>
          </cell>
          <cell r="AE24">
            <v>0.98913333333333342</v>
          </cell>
          <cell r="AF24">
            <v>2.5100000000000001E-2</v>
          </cell>
        </row>
        <row r="25">
          <cell r="Y25">
            <v>9</v>
          </cell>
          <cell r="Z25">
            <v>1.5818802639842033E-2</v>
          </cell>
          <cell r="AA25">
            <v>-0.36324046413209732</v>
          </cell>
          <cell r="AB25">
            <v>0.99995641546144354</v>
          </cell>
          <cell r="AC25">
            <v>75</v>
          </cell>
          <cell r="AD25">
            <v>2</v>
          </cell>
          <cell r="AE25">
            <v>1.0024999999999999</v>
          </cell>
          <cell r="AF25">
            <v>0.1255</v>
          </cell>
        </row>
        <row r="26">
          <cell r="Y26">
            <v>10</v>
          </cell>
          <cell r="Z26">
            <v>0.23204285465180874</v>
          </cell>
          <cell r="AA26">
            <v>-0.12375353048374042</v>
          </cell>
          <cell r="AB26">
            <v>0.99391127017035574</v>
          </cell>
          <cell r="AC26">
            <v>74</v>
          </cell>
          <cell r="AD26">
            <v>1</v>
          </cell>
          <cell r="AE26">
            <v>0.98913333333333342</v>
          </cell>
          <cell r="AF26">
            <v>7.5300000000000006E-2</v>
          </cell>
        </row>
        <row r="27">
          <cell r="Y27">
            <v>11</v>
          </cell>
          <cell r="Z27">
            <v>0.56307519786059856</v>
          </cell>
          <cell r="AA27">
            <v>2.6837131441644457E-2</v>
          </cell>
          <cell r="AB27">
            <v>0.9469586076814116</v>
          </cell>
          <cell r="AC27">
            <v>71</v>
          </cell>
          <cell r="AD27">
            <v>0</v>
          </cell>
          <cell r="AE27">
            <v>0.9490333333333334</v>
          </cell>
          <cell r="AF27">
            <v>2.5100000000000001E-2</v>
          </cell>
        </row>
        <row r="28">
          <cell r="Y28">
            <v>12</v>
          </cell>
          <cell r="Z28">
            <v>0.29858355782926083</v>
          </cell>
          <cell r="AA28">
            <v>-8.9329207113654094E-2</v>
          </cell>
          <cell r="AB28">
            <v>0.98936908970779713</v>
          </cell>
          <cell r="AC28">
            <v>74</v>
          </cell>
          <cell r="AD28">
            <v>2</v>
          </cell>
          <cell r="AE28">
            <v>0.98913333333333342</v>
          </cell>
          <cell r="AF28">
            <v>0.1255</v>
          </cell>
        </row>
        <row r="29">
          <cell r="Y29">
            <v>13</v>
          </cell>
          <cell r="Z29">
            <v>0.45987886004149914</v>
          </cell>
          <cell r="AA29">
            <v>-1.7027984250265266E-2</v>
          </cell>
          <cell r="AB29">
            <v>0.96964233404887246</v>
          </cell>
          <cell r="AC29">
            <v>73</v>
          </cell>
          <cell r="AD29">
            <v>0</v>
          </cell>
          <cell r="AE29">
            <v>0.97576666666666667</v>
          </cell>
          <cell r="AF29">
            <v>2.5100000000000001E-2</v>
          </cell>
        </row>
        <row r="30">
          <cell r="Y30">
            <v>14</v>
          </cell>
          <cell r="Z30">
            <v>0.57884017191827297</v>
          </cell>
          <cell r="AA30">
            <v>3.3624841675136359E-2</v>
          </cell>
          <cell r="AB30">
            <v>0.94247519290145054</v>
          </cell>
          <cell r="AC30">
            <v>71</v>
          </cell>
          <cell r="AD30">
            <v>1</v>
          </cell>
          <cell r="AE30">
            <v>0.9490333333333334</v>
          </cell>
          <cell r="AF30">
            <v>7.5300000000000006E-2</v>
          </cell>
        </row>
        <row r="31">
          <cell r="Y31">
            <v>15</v>
          </cell>
          <cell r="Z31">
            <v>0.24410496465861797</v>
          </cell>
          <cell r="AA31">
            <v>-0.11716521402768976</v>
          </cell>
          <cell r="AB31">
            <v>0.99320615547359425</v>
          </cell>
          <cell r="AC31">
            <v>74</v>
          </cell>
          <cell r="AD31">
            <v>3</v>
          </cell>
          <cell r="AE31">
            <v>0.98913333333333342</v>
          </cell>
          <cell r="AF31">
            <v>0.17570000000000002</v>
          </cell>
        </row>
        <row r="32">
          <cell r="U32">
            <v>802</v>
          </cell>
          <cell r="Y32">
            <v>16</v>
          </cell>
          <cell r="Z32">
            <v>0.81995072029531002</v>
          </cell>
          <cell r="AA32">
            <v>0.15469319782615248</v>
          </cell>
          <cell r="AB32">
            <v>0.80500807002197539</v>
          </cell>
          <cell r="AC32">
            <v>60</v>
          </cell>
          <cell r="AD32">
            <v>0</v>
          </cell>
          <cell r="AE32">
            <v>0.80200000000000005</v>
          </cell>
          <cell r="AF32">
            <v>2.5100000000000001E-2</v>
          </cell>
        </row>
        <row r="33">
          <cell r="Y33">
            <v>17</v>
          </cell>
          <cell r="Z33">
            <v>0.86231246404349804</v>
          </cell>
          <cell r="AA33">
            <v>0.18437340811040695</v>
          </cell>
          <cell r="AB33">
            <v>0.75303014270955959</v>
          </cell>
          <cell r="AC33">
            <v>56</v>
          </cell>
          <cell r="AD33">
            <v>0</v>
          </cell>
          <cell r="AE33">
            <v>0.74853333333333338</v>
          </cell>
          <cell r="AF33">
            <v>2.5100000000000001E-2</v>
          </cell>
        </row>
        <row r="34">
          <cell r="Y34">
            <v>18</v>
          </cell>
          <cell r="Z34">
            <v>0.85049701295793056</v>
          </cell>
          <cell r="AA34">
            <v>0.17554993131287563</v>
          </cell>
          <cell r="AB34">
            <v>0.76921270391044094</v>
          </cell>
          <cell r="AC34">
            <v>58</v>
          </cell>
          <cell r="AD34">
            <v>0</v>
          </cell>
          <cell r="AE34">
            <v>0.77526666666666666</v>
          </cell>
          <cell r="AF34">
            <v>2.5100000000000001E-2</v>
          </cell>
        </row>
        <row r="35">
          <cell r="U35">
            <v>251</v>
          </cell>
          <cell r="Y35">
            <v>19</v>
          </cell>
          <cell r="Z35">
            <v>0.18604047410190105</v>
          </cell>
          <cell r="AA35">
            <v>-0.1508739309257589</v>
          </cell>
          <cell r="AB35">
            <v>0.99617803824115891</v>
          </cell>
          <cell r="AC35">
            <v>75</v>
          </cell>
          <cell r="AD35">
            <v>3</v>
          </cell>
          <cell r="AE35">
            <v>1.0024999999999999</v>
          </cell>
          <cell r="AF35">
            <v>0.17570000000000002</v>
          </cell>
        </row>
        <row r="36">
          <cell r="Y36">
            <v>20</v>
          </cell>
          <cell r="Z36">
            <v>0.15954517386853695</v>
          </cell>
          <cell r="AA36">
            <v>-0.16841032826355859</v>
          </cell>
          <cell r="AB36">
            <v>0.99720709024670662</v>
          </cell>
          <cell r="AC36">
            <v>75</v>
          </cell>
          <cell r="AD36">
            <v>4</v>
          </cell>
          <cell r="AE36">
            <v>1.0024999999999999</v>
          </cell>
          <cell r="AF36">
            <v>0.22590000000000002</v>
          </cell>
        </row>
        <row r="37">
          <cell r="Y37">
            <v>21</v>
          </cell>
          <cell r="Z37">
            <v>0.81277262978255749</v>
          </cell>
          <cell r="AA37">
            <v>0.15012642528098524</v>
          </cell>
          <cell r="AB37">
            <v>0.8123700939460099</v>
          </cell>
          <cell r="AC37">
            <v>61</v>
          </cell>
          <cell r="AD37">
            <v>0</v>
          </cell>
          <cell r="AE37">
            <v>0.81536666666666668</v>
          </cell>
          <cell r="AF37">
            <v>2.5100000000000001E-2</v>
          </cell>
        </row>
        <row r="38">
          <cell r="Y38">
            <v>22</v>
          </cell>
          <cell r="Z38">
            <v>0.86386976204812527</v>
          </cell>
          <cell r="AA38">
            <v>0.18557420362177343</v>
          </cell>
          <cell r="AB38">
            <v>0.75078183975677992</v>
          </cell>
          <cell r="AC38">
            <v>56</v>
          </cell>
          <cell r="AD38">
            <v>1</v>
          </cell>
          <cell r="AE38">
            <v>0.74853333333333338</v>
          </cell>
          <cell r="AF38">
            <v>7.5300000000000006E-2</v>
          </cell>
        </row>
        <row r="39">
          <cell r="Y39">
            <v>23</v>
          </cell>
          <cell r="Z39">
            <v>0.85078815929591656</v>
          </cell>
          <cell r="AA39">
            <v>0.17576160632298068</v>
          </cell>
          <cell r="AB39">
            <v>0.7688315468364616</v>
          </cell>
          <cell r="AC39">
            <v>58</v>
          </cell>
          <cell r="AD39">
            <v>1</v>
          </cell>
          <cell r="AE39">
            <v>0.77526666666666666</v>
          </cell>
          <cell r="AF39">
            <v>7.5300000000000006E-2</v>
          </cell>
        </row>
        <row r="40">
          <cell r="Y40">
            <v>24</v>
          </cell>
          <cell r="Z40">
            <v>0.65320523642003536</v>
          </cell>
          <cell r="AA40">
            <v>6.6596211991921478E-2</v>
          </cell>
          <cell r="AB40">
            <v>0.91633521671298335</v>
          </cell>
          <cell r="AC40">
            <v>69</v>
          </cell>
          <cell r="AD40">
            <v>0</v>
          </cell>
          <cell r="AE40">
            <v>0.92230000000000001</v>
          </cell>
          <cell r="AF40">
            <v>2.5100000000000001E-2</v>
          </cell>
        </row>
        <row r="41">
          <cell r="Y41">
            <v>25</v>
          </cell>
          <cell r="Z41">
            <v>0.85586842708289623</v>
          </cell>
          <cell r="AA41">
            <v>0.17950053946884745</v>
          </cell>
          <cell r="AB41">
            <v>0.76204136032140246</v>
          </cell>
          <cell r="AC41">
            <v>57</v>
          </cell>
          <cell r="AD41">
            <v>0</v>
          </cell>
          <cell r="AE41">
            <v>0.76190000000000002</v>
          </cell>
          <cell r="AF41">
            <v>2.5100000000000001E-2</v>
          </cell>
        </row>
        <row r="42">
          <cell r="Y42">
            <v>26</v>
          </cell>
          <cell r="Z42">
            <v>0.39711851440370083</v>
          </cell>
          <cell r="AA42">
            <v>-4.4085375377171068E-2</v>
          </cell>
          <cell r="AB42">
            <v>0.97910656675940499</v>
          </cell>
          <cell r="AC42">
            <v>73</v>
          </cell>
          <cell r="AD42">
            <v>1</v>
          </cell>
          <cell r="AE42">
            <v>0.97576666666666667</v>
          </cell>
          <cell r="AF42">
            <v>7.5300000000000006E-2</v>
          </cell>
        </row>
        <row r="43">
          <cell r="Y43">
            <v>27</v>
          </cell>
          <cell r="Z43">
            <v>0.30657769553363323</v>
          </cell>
          <cell r="AA43">
            <v>-8.5457686865359456E-2</v>
          </cell>
          <cell r="AB43">
            <v>0.98870796562807284</v>
          </cell>
          <cell r="AC43">
            <v>74</v>
          </cell>
          <cell r="AD43">
            <v>4</v>
          </cell>
          <cell r="AE43">
            <v>0.98913333333333342</v>
          </cell>
          <cell r="AF43">
            <v>0.22590000000000002</v>
          </cell>
        </row>
        <row r="44">
          <cell r="Y44">
            <v>28</v>
          </cell>
          <cell r="Z44">
            <v>0.94084637425839901</v>
          </cell>
          <cell r="AA44">
            <v>0.26401236882760776</v>
          </cell>
          <cell r="AB44">
            <v>0.58429974073852042</v>
          </cell>
          <cell r="AC44">
            <v>44</v>
          </cell>
          <cell r="AD44">
            <v>0</v>
          </cell>
          <cell r="AE44">
            <v>0.5881333333333334</v>
          </cell>
          <cell r="AF44">
            <v>2.5100000000000001E-2</v>
          </cell>
        </row>
        <row r="45">
          <cell r="Y45">
            <v>29</v>
          </cell>
          <cell r="Z45">
            <v>0.97358685545623302</v>
          </cell>
          <cell r="AA45">
            <v>0.32730089921749117</v>
          </cell>
          <cell r="AB45">
            <v>0.43584417554385735</v>
          </cell>
          <cell r="AC45">
            <v>33</v>
          </cell>
          <cell r="AD45">
            <v>0</v>
          </cell>
          <cell r="AE45">
            <v>0.44110000000000005</v>
          </cell>
          <cell r="AF45">
            <v>2.5100000000000001E-2</v>
          </cell>
        </row>
        <row r="46">
          <cell r="Y46">
            <v>30</v>
          </cell>
          <cell r="Z46">
            <v>0.211191451177001</v>
          </cell>
          <cell r="AA46">
            <v>-0.13561244044374701</v>
          </cell>
          <cell r="AB46">
            <v>0.99501860263154662</v>
          </cell>
          <cell r="AC46">
            <v>74</v>
          </cell>
          <cell r="AD46">
            <v>5</v>
          </cell>
          <cell r="AE46">
            <v>0.98913333333333342</v>
          </cell>
          <cell r="AF46">
            <v>0.27610000000000001</v>
          </cell>
        </row>
        <row r="47">
          <cell r="Y47">
            <v>31</v>
          </cell>
          <cell r="Z47">
            <v>0.25725887529551983</v>
          </cell>
          <cell r="AA47">
            <v>-0.11017757068265889</v>
          </cell>
          <cell r="AB47">
            <v>0.99238038324920685</v>
          </cell>
          <cell r="AC47">
            <v>74</v>
          </cell>
          <cell r="AD47">
            <v>6</v>
          </cell>
          <cell r="AE47">
            <v>0.98913333333333342</v>
          </cell>
          <cell r="AF47">
            <v>0.32630000000000003</v>
          </cell>
        </row>
        <row r="48">
          <cell r="Y48">
            <v>32</v>
          </cell>
          <cell r="Z48">
            <v>9.7320577129721642E-2</v>
          </cell>
          <cell r="AA48">
            <v>-0.21922811713604512</v>
          </cell>
          <cell r="AB48">
            <v>0.99893612088629191</v>
          </cell>
          <cell r="AC48">
            <v>75</v>
          </cell>
          <cell r="AD48">
            <v>5</v>
          </cell>
          <cell r="AE48">
            <v>1.0024999999999999</v>
          </cell>
          <cell r="AF48">
            <v>0.27610000000000001</v>
          </cell>
        </row>
        <row r="49">
          <cell r="Y49">
            <v>33</v>
          </cell>
          <cell r="Z49">
            <v>3.6464719101786613E-2</v>
          </cell>
          <cell r="AA49">
            <v>-0.30311829644483013</v>
          </cell>
          <cell r="AB49">
            <v>0.99982020759054668</v>
          </cell>
          <cell r="AC49">
            <v>75</v>
          </cell>
          <cell r="AD49">
            <v>6</v>
          </cell>
          <cell r="AE49">
            <v>1.0024999999999999</v>
          </cell>
          <cell r="AF49">
            <v>0.32630000000000003</v>
          </cell>
        </row>
        <row r="50">
          <cell r="Y50">
            <v>34</v>
          </cell>
          <cell r="Z50">
            <v>0.66505921445786953</v>
          </cell>
          <cell r="AA50">
            <v>7.2059635103958547E-2</v>
          </cell>
          <cell r="AB50">
            <v>0.9112533408976643</v>
          </cell>
          <cell r="AC50">
            <v>68</v>
          </cell>
          <cell r="AD50">
            <v>0</v>
          </cell>
          <cell r="AE50">
            <v>0.90893333333333337</v>
          </cell>
          <cell r="AF50">
            <v>2.5100000000000001E-2</v>
          </cell>
        </row>
        <row r="51">
          <cell r="Y51">
            <v>35</v>
          </cell>
          <cell r="Z51">
            <v>0.7903484832495451</v>
          </cell>
          <cell r="AA51">
            <v>0.13651455575923999</v>
          </cell>
          <cell r="AB51">
            <v>0.83327620244644907</v>
          </cell>
          <cell r="AC51">
            <v>62</v>
          </cell>
          <cell r="AD51">
            <v>0</v>
          </cell>
          <cell r="AE51">
            <v>0.82873333333333332</v>
          </cell>
          <cell r="AF51">
            <v>2.5100000000000001E-2</v>
          </cell>
        </row>
        <row r="52">
          <cell r="Y52">
            <v>36</v>
          </cell>
          <cell r="Z52">
            <v>0.10702573321759701</v>
          </cell>
          <cell r="AA52">
            <v>-0.21002114129719149</v>
          </cell>
          <cell r="AB52">
            <v>0.99872492201634377</v>
          </cell>
          <cell r="AC52">
            <v>75</v>
          </cell>
          <cell r="AD52">
            <v>7</v>
          </cell>
          <cell r="AE52">
            <v>1.0024999999999999</v>
          </cell>
          <cell r="AF52">
            <v>0.3765</v>
          </cell>
        </row>
        <row r="53">
          <cell r="Y53">
            <v>37</v>
          </cell>
          <cell r="Z53">
            <v>0.72351050190627575</v>
          </cell>
          <cell r="AA53">
            <v>0.10028635818551591</v>
          </cell>
          <cell r="AB53">
            <v>0.88130225845760823</v>
          </cell>
          <cell r="AC53">
            <v>66</v>
          </cell>
          <cell r="AD53">
            <v>0</v>
          </cell>
          <cell r="AE53">
            <v>0.8822000000000001</v>
          </cell>
          <cell r="AF53">
            <v>2.5100000000000001E-2</v>
          </cell>
        </row>
        <row r="54">
          <cell r="Y54">
            <v>38</v>
          </cell>
          <cell r="Z54">
            <v>0.42469928227365017</v>
          </cell>
          <cell r="AA54">
            <v>-3.2096570314543778E-2</v>
          </cell>
          <cell r="AB54">
            <v>0.97527608280692402</v>
          </cell>
          <cell r="AC54">
            <v>73</v>
          </cell>
          <cell r="AD54">
            <v>2</v>
          </cell>
          <cell r="AE54">
            <v>0.97576666666666667</v>
          </cell>
          <cell r="AF54">
            <v>0.1255</v>
          </cell>
        </row>
        <row r="55">
          <cell r="Y55">
            <v>39</v>
          </cell>
          <cell r="Z55">
            <v>0.34382717125117779</v>
          </cell>
          <cell r="AA55">
            <v>-6.7957219819507961E-2</v>
          </cell>
          <cell r="AB55">
            <v>0.98525465196890227</v>
          </cell>
          <cell r="AC55">
            <v>74</v>
          </cell>
          <cell r="AD55">
            <v>7</v>
          </cell>
          <cell r="AE55">
            <v>0.98913333333333342</v>
          </cell>
          <cell r="AF55">
            <v>0.3765</v>
          </cell>
        </row>
        <row r="56">
          <cell r="Y56">
            <v>40</v>
          </cell>
          <cell r="Z56">
            <v>0.18226500414311886</v>
          </cell>
          <cell r="AA56">
            <v>-0.15327160271764256</v>
          </cell>
          <cell r="AB56">
            <v>0.99633635047965408</v>
          </cell>
          <cell r="AC56">
            <v>75</v>
          </cell>
          <cell r="AD56">
            <v>8</v>
          </cell>
          <cell r="AE56">
            <v>1.0024999999999999</v>
          </cell>
          <cell r="AF56">
            <v>0.42670000000000002</v>
          </cell>
        </row>
        <row r="57">
          <cell r="Y57">
            <v>41</v>
          </cell>
          <cell r="Z57">
            <v>0.41087624244391918</v>
          </cell>
          <cell r="AA57">
            <v>-3.808121978908028E-2</v>
          </cell>
          <cell r="AB57">
            <v>0.97725610163864984</v>
          </cell>
          <cell r="AC57">
            <v>73</v>
          </cell>
          <cell r="AD57">
            <v>3</v>
          </cell>
          <cell r="AE57">
            <v>0.97576666666666667</v>
          </cell>
          <cell r="AF57">
            <v>0.17570000000000002</v>
          </cell>
        </row>
        <row r="58">
          <cell r="Y58">
            <v>42</v>
          </cell>
          <cell r="Z58">
            <v>0.76583034358918667</v>
          </cell>
          <cell r="AA58">
            <v>0.12257842573134266</v>
          </cell>
          <cell r="AB58">
            <v>0.85305821378804714</v>
          </cell>
          <cell r="AC58">
            <v>64</v>
          </cell>
          <cell r="AD58">
            <v>0</v>
          </cell>
          <cell r="AE58">
            <v>0.85546666666666671</v>
          </cell>
          <cell r="AF58">
            <v>2.5100000000000001E-2</v>
          </cell>
        </row>
        <row r="59">
          <cell r="Y59">
            <v>43</v>
          </cell>
          <cell r="Z59">
            <v>0.39168633334338665</v>
          </cell>
          <cell r="AA59">
            <v>-4.6471069177414941E-2</v>
          </cell>
          <cell r="AB59">
            <v>0.97980560727592347</v>
          </cell>
          <cell r="AC59">
            <v>73</v>
          </cell>
          <cell r="AD59">
            <v>4</v>
          </cell>
          <cell r="AE59">
            <v>0.97576666666666667</v>
          </cell>
          <cell r="AF59">
            <v>0.22590000000000002</v>
          </cell>
        </row>
        <row r="60">
          <cell r="Y60">
            <v>44</v>
          </cell>
          <cell r="Z60">
            <v>0.42535619996488094</v>
          </cell>
          <cell r="AA60">
            <v>-3.1813217486569761E-2</v>
          </cell>
          <cell r="AB60">
            <v>0.97517885732932186</v>
          </cell>
          <cell r="AC60">
            <v>73</v>
          </cell>
          <cell r="AD60">
            <v>5</v>
          </cell>
          <cell r="AE60">
            <v>0.97576666666666667</v>
          </cell>
          <cell r="AF60">
            <v>0.27610000000000001</v>
          </cell>
        </row>
        <row r="61">
          <cell r="Y61">
            <v>45</v>
          </cell>
          <cell r="Z61">
            <v>0.52927940897643566</v>
          </cell>
          <cell r="AA61">
            <v>1.2416770813482171E-2</v>
          </cell>
          <cell r="AB61">
            <v>0.95556279614855</v>
          </cell>
          <cell r="AC61">
            <v>71</v>
          </cell>
          <cell r="AD61">
            <v>2</v>
          </cell>
          <cell r="AE61">
            <v>0.9490333333333334</v>
          </cell>
          <cell r="AF61">
            <v>0.1255</v>
          </cell>
        </row>
        <row r="62">
          <cell r="Y62">
            <v>46</v>
          </cell>
          <cell r="Z62">
            <v>0.97039667330682278</v>
          </cell>
          <cell r="AA62">
            <v>0.31890301384722786</v>
          </cell>
          <cell r="AB62">
            <v>0.45547841101379849</v>
          </cell>
          <cell r="AC62">
            <v>34</v>
          </cell>
          <cell r="AD62">
            <v>0</v>
          </cell>
          <cell r="AE62">
            <v>0.45446666666666669</v>
          </cell>
          <cell r="AF62">
            <v>2.5100000000000001E-2</v>
          </cell>
        </row>
        <row r="63">
          <cell r="Y63">
            <v>47</v>
          </cell>
          <cell r="Z63">
            <v>0.34822498075664043</v>
          </cell>
          <cell r="AA63">
            <v>-6.5941824734203611E-2</v>
          </cell>
          <cell r="AB63">
            <v>0.98480389926572975</v>
          </cell>
          <cell r="AC63">
            <v>74</v>
          </cell>
          <cell r="AD63">
            <v>8</v>
          </cell>
          <cell r="AE63">
            <v>0.98913333333333342</v>
          </cell>
          <cell r="AF63">
            <v>0.42670000000000002</v>
          </cell>
        </row>
        <row r="64">
          <cell r="Y64">
            <v>48</v>
          </cell>
          <cell r="Z64">
            <v>0.33449115417897701</v>
          </cell>
          <cell r="AA64">
            <v>-7.2268320180056869E-2</v>
          </cell>
          <cell r="AB64">
            <v>0.98618037602632613</v>
          </cell>
          <cell r="AC64">
            <v>74</v>
          </cell>
          <cell r="AD64">
            <v>9</v>
          </cell>
          <cell r="AE64">
            <v>0.98913333333333342</v>
          </cell>
          <cell r="AF64">
            <v>0.47690000000000005</v>
          </cell>
        </row>
        <row r="65">
          <cell r="Y65">
            <v>49</v>
          </cell>
          <cell r="Z65">
            <v>0.89017477445304394</v>
          </cell>
          <cell r="AA65">
            <v>0.20747829151935726</v>
          </cell>
          <cell r="AB65">
            <v>0.70793627992831132</v>
          </cell>
          <cell r="AC65">
            <v>53</v>
          </cell>
          <cell r="AD65">
            <v>0</v>
          </cell>
          <cell r="AE65">
            <v>0.70843333333333336</v>
          </cell>
          <cell r="AF65">
            <v>2.5100000000000001E-2</v>
          </cell>
        </row>
        <row r="66">
          <cell r="Y66">
            <v>50</v>
          </cell>
          <cell r="Z66">
            <v>0.31680250726640224</v>
          </cell>
          <cell r="AA66">
            <v>-8.0570064123684518E-2</v>
          </cell>
          <cell r="AB66">
            <v>0.98782251443609215</v>
          </cell>
          <cell r="AC66">
            <v>74</v>
          </cell>
          <cell r="AD66">
            <v>10</v>
          </cell>
          <cell r="AE66">
            <v>0.98913333333333342</v>
          </cell>
          <cell r="AF66">
            <v>0.52710000000000001</v>
          </cell>
        </row>
        <row r="67">
          <cell r="Y67">
            <v>51</v>
          </cell>
          <cell r="Z67">
            <v>0.19109661690890789</v>
          </cell>
          <cell r="AA67">
            <v>-0.14770969249821622</v>
          </cell>
          <cell r="AB67">
            <v>0.99595973460368348</v>
          </cell>
          <cell r="AC67">
            <v>75</v>
          </cell>
          <cell r="AD67">
            <v>9</v>
          </cell>
          <cell r="AE67">
            <v>1.0024999999999999</v>
          </cell>
          <cell r="AF67">
            <v>0.47690000000000005</v>
          </cell>
        </row>
        <row r="68">
          <cell r="Y68">
            <v>52</v>
          </cell>
          <cell r="Z68">
            <v>0.65334509871900082</v>
          </cell>
          <cell r="AA68">
            <v>6.6660258595398453E-2</v>
          </cell>
          <cell r="AB68">
            <v>0.91627693695429191</v>
          </cell>
          <cell r="AC68">
            <v>69</v>
          </cell>
          <cell r="AD68">
            <v>1</v>
          </cell>
          <cell r="AE68">
            <v>0.92230000000000001</v>
          </cell>
          <cell r="AF68">
            <v>7.5300000000000006E-2</v>
          </cell>
        </row>
        <row r="69">
          <cell r="Y69">
            <v>53</v>
          </cell>
          <cell r="Z69">
            <v>0.48067629151046276</v>
          </cell>
          <cell r="AA69">
            <v>-8.1906113258465515E-3</v>
          </cell>
          <cell r="AB69">
            <v>0.96586952161796114</v>
          </cell>
          <cell r="AC69">
            <v>72</v>
          </cell>
          <cell r="AD69">
            <v>3</v>
          </cell>
          <cell r="AE69">
            <v>0.96240000000000003</v>
          </cell>
          <cell r="AF69">
            <v>0.17570000000000002</v>
          </cell>
        </row>
        <row r="70">
          <cell r="Y70">
            <v>54</v>
          </cell>
          <cell r="Z70">
            <v>0.16389641724526882</v>
          </cell>
          <cell r="AA70">
            <v>-0.16540840146184141</v>
          </cell>
          <cell r="AB70">
            <v>0.99705094977786324</v>
          </cell>
          <cell r="AC70">
            <v>75</v>
          </cell>
          <cell r="AD70">
            <v>10</v>
          </cell>
          <cell r="AE70">
            <v>1.0024999999999999</v>
          </cell>
          <cell r="AF70">
            <v>0.52710000000000001</v>
          </cell>
        </row>
        <row r="71">
          <cell r="Y71">
            <v>55</v>
          </cell>
          <cell r="Z71">
            <v>0.30310611240565777</v>
          </cell>
          <cell r="AA71">
            <v>-8.7133333710348954E-2</v>
          </cell>
          <cell r="AB71">
            <v>0.98899837264983903</v>
          </cell>
          <cell r="AC71">
            <v>74</v>
          </cell>
          <cell r="AD71">
            <v>11</v>
          </cell>
          <cell r="AE71">
            <v>0.98913333333333342</v>
          </cell>
          <cell r="AF71">
            <v>0.57730000000000004</v>
          </cell>
        </row>
        <row r="72">
          <cell r="Y72">
            <v>56</v>
          </cell>
          <cell r="Z72">
            <v>6.4436038956046104E-2</v>
          </cell>
          <cell r="AA72">
            <v>-0.25668429975901313</v>
          </cell>
          <cell r="AB72">
            <v>0.99950506243650428</v>
          </cell>
          <cell r="AC72">
            <v>75</v>
          </cell>
          <cell r="AD72">
            <v>11</v>
          </cell>
          <cell r="AE72">
            <v>1.0024999999999999</v>
          </cell>
          <cell r="AF72">
            <v>0.57730000000000004</v>
          </cell>
        </row>
        <row r="73">
          <cell r="Y73">
            <v>57</v>
          </cell>
          <cell r="Z73">
            <v>0.22722896747291088</v>
          </cell>
          <cell r="AA73">
            <v>-0.12643569935519861</v>
          </cell>
          <cell r="AB73">
            <v>0.99417922738798503</v>
          </cell>
          <cell r="AC73">
            <v>74</v>
          </cell>
          <cell r="AD73">
            <v>12</v>
          </cell>
          <cell r="AE73">
            <v>0.98913333333333342</v>
          </cell>
          <cell r="AF73">
            <v>0.62750000000000006</v>
          </cell>
        </row>
        <row r="74">
          <cell r="Y74">
            <v>58</v>
          </cell>
          <cell r="Z74">
            <v>0.62870568595826626</v>
          </cell>
          <cell r="AA74">
            <v>5.5514340674507862E-2</v>
          </cell>
          <cell r="AB74">
            <v>0.92596701183007535</v>
          </cell>
          <cell r="AC74">
            <v>69</v>
          </cell>
          <cell r="AD74">
            <v>2</v>
          </cell>
          <cell r="AE74">
            <v>0.92230000000000001</v>
          </cell>
          <cell r="AF74">
            <v>0.1255</v>
          </cell>
        </row>
        <row r="75">
          <cell r="Y75">
            <v>59</v>
          </cell>
          <cell r="Z75">
            <v>3.2756580039858818E-2</v>
          </cell>
          <cell r="AA75">
            <v>-0.31131091425261043</v>
          </cell>
          <cell r="AB75">
            <v>0.99985073031635818</v>
          </cell>
          <cell r="AC75">
            <v>75</v>
          </cell>
          <cell r="AD75">
            <v>12</v>
          </cell>
          <cell r="AE75">
            <v>1.0024999999999999</v>
          </cell>
          <cell r="AF75">
            <v>0.62750000000000006</v>
          </cell>
        </row>
        <row r="76">
          <cell r="Y76">
            <v>60</v>
          </cell>
          <cell r="Z76">
            <v>0.22623412869870663</v>
          </cell>
          <cell r="AA76">
            <v>-0.1269939660210414</v>
          </cell>
          <cell r="AB76">
            <v>0.99423366621253939</v>
          </cell>
          <cell r="AC76">
            <v>74</v>
          </cell>
          <cell r="AD76">
            <v>13</v>
          </cell>
          <cell r="AE76">
            <v>0.98913333333333342</v>
          </cell>
          <cell r="AF76">
            <v>0.67770000000000008</v>
          </cell>
        </row>
        <row r="77">
          <cell r="Y77">
            <v>61</v>
          </cell>
          <cell r="Z77">
            <v>0.22803073935210705</v>
          </cell>
          <cell r="AA77">
            <v>-0.12598677648122542</v>
          </cell>
          <cell r="AB77">
            <v>0.99413512085842348</v>
          </cell>
          <cell r="AC77">
            <v>74</v>
          </cell>
          <cell r="AD77">
            <v>14</v>
          </cell>
          <cell r="AE77">
            <v>0.98913333333333342</v>
          </cell>
          <cell r="AF77">
            <v>0.72789999999999999</v>
          </cell>
        </row>
        <row r="78">
          <cell r="Y78">
            <v>62</v>
          </cell>
          <cell r="Z78">
            <v>0.3579206820577383</v>
          </cell>
          <cell r="AA78">
            <v>-6.1530997558987756E-2</v>
          </cell>
          <cell r="AB78">
            <v>0.98377593783475592</v>
          </cell>
          <cell r="AC78">
            <v>74</v>
          </cell>
          <cell r="AD78">
            <v>15</v>
          </cell>
          <cell r="AE78">
            <v>0.98913333333333342</v>
          </cell>
          <cell r="AF78">
            <v>0.77810000000000001</v>
          </cell>
        </row>
        <row r="79">
          <cell r="Y79">
            <v>63</v>
          </cell>
          <cell r="Z79">
            <v>0.47354624979197979</v>
          </cell>
          <cell r="AA79">
            <v>-1.1216614605696042E-2</v>
          </cell>
          <cell r="AB79">
            <v>0.96720257746117622</v>
          </cell>
          <cell r="AC79">
            <v>72</v>
          </cell>
          <cell r="AD79">
            <v>4</v>
          </cell>
          <cell r="AE79">
            <v>0.96240000000000003</v>
          </cell>
          <cell r="AF79">
            <v>0.22590000000000002</v>
          </cell>
        </row>
        <row r="80">
          <cell r="Y80">
            <v>64</v>
          </cell>
          <cell r="Z80">
            <v>0.65402104519307613</v>
          </cell>
          <cell r="AA80">
            <v>6.6969927291671782E-2</v>
          </cell>
          <cell r="AB80">
            <v>0.91599472098884671</v>
          </cell>
          <cell r="AC80">
            <v>69</v>
          </cell>
          <cell r="AD80">
            <v>3</v>
          </cell>
          <cell r="AE80">
            <v>0.92230000000000001</v>
          </cell>
          <cell r="AF80">
            <v>0.17570000000000002</v>
          </cell>
        </row>
        <row r="81">
          <cell r="Y81">
            <v>65</v>
          </cell>
          <cell r="Z81">
            <v>0.95420434884727001</v>
          </cell>
          <cell r="AA81">
            <v>0.28516563851446741</v>
          </cell>
          <cell r="AB81">
            <v>0.53496678793830377</v>
          </cell>
          <cell r="AC81">
            <v>40</v>
          </cell>
          <cell r="AD81">
            <v>0</v>
          </cell>
          <cell r="AE81">
            <v>0.53466666666666673</v>
          </cell>
          <cell r="AF81">
            <v>2.5100000000000001E-2</v>
          </cell>
        </row>
        <row r="82">
          <cell r="Y82">
            <v>66</v>
          </cell>
          <cell r="Z82">
            <v>0.89312923513352871</v>
          </cell>
          <cell r="AA82">
            <v>0.21016329563462924</v>
          </cell>
          <cell r="AB82">
            <v>0.70245728613664427</v>
          </cell>
          <cell r="AC82">
            <v>53</v>
          </cell>
          <cell r="AD82">
            <v>1</v>
          </cell>
          <cell r="AE82">
            <v>0.70843333333333336</v>
          </cell>
          <cell r="AF82">
            <v>7.5300000000000006E-2</v>
          </cell>
        </row>
        <row r="83">
          <cell r="Y83">
            <v>67</v>
          </cell>
          <cell r="Z83">
            <v>0.96201534382998943</v>
          </cell>
          <cell r="AA83">
            <v>0.29995667009292565</v>
          </cell>
          <cell r="AB83">
            <v>0.50010226613456532</v>
          </cell>
          <cell r="AC83">
            <v>37</v>
          </cell>
          <cell r="AD83">
            <v>0</v>
          </cell>
          <cell r="AE83">
            <v>0.49456666666666671</v>
          </cell>
          <cell r="AF83">
            <v>2.5100000000000001E-2</v>
          </cell>
        </row>
        <row r="84">
          <cell r="Y84">
            <v>68</v>
          </cell>
          <cell r="Z84">
            <v>0.94449936412274837</v>
          </cell>
          <cell r="AA84">
            <v>0.26938595504520108</v>
          </cell>
          <cell r="AB84">
            <v>0.57186139647122813</v>
          </cell>
          <cell r="AC84">
            <v>43</v>
          </cell>
          <cell r="AD84">
            <v>0</v>
          </cell>
          <cell r="AE84">
            <v>0.57476666666666665</v>
          </cell>
          <cell r="AF84">
            <v>2.5100000000000001E-2</v>
          </cell>
        </row>
        <row r="85">
          <cell r="Y85">
            <v>69</v>
          </cell>
          <cell r="Z85">
            <v>0.91971921734511852</v>
          </cell>
          <cell r="AA85">
            <v>0.23718161925965281</v>
          </cell>
          <cell r="AB85">
            <v>0.64491900942832558</v>
          </cell>
          <cell r="AC85">
            <v>48</v>
          </cell>
          <cell r="AD85">
            <v>0</v>
          </cell>
          <cell r="AE85">
            <v>0.64160000000000006</v>
          </cell>
          <cell r="AF85">
            <v>2.5100000000000001E-2</v>
          </cell>
        </row>
        <row r="86">
          <cell r="Y86">
            <v>70</v>
          </cell>
          <cell r="Z86">
            <v>0.12980101071298122</v>
          </cell>
          <cell r="AA86">
            <v>-0.19055393372903567</v>
          </cell>
          <cell r="AB86">
            <v>0.99814698155389081</v>
          </cell>
          <cell r="AC86">
            <v>75</v>
          </cell>
          <cell r="AD86">
            <v>13</v>
          </cell>
          <cell r="AE86">
            <v>1.0024999999999999</v>
          </cell>
          <cell r="AF86">
            <v>0.67770000000000008</v>
          </cell>
        </row>
        <row r="87">
          <cell r="Y87">
            <v>71</v>
          </cell>
          <cell r="Z87">
            <v>0.7945429515093565</v>
          </cell>
          <cell r="AA87">
            <v>0.13899171589270917</v>
          </cell>
          <cell r="AB87" t="str">
            <v/>
          </cell>
          <cell r="AC87" t="e">
            <v>#N/A</v>
          </cell>
          <cell r="AD87">
            <v>0</v>
          </cell>
          <cell r="AE87" t="e">
            <v>#N/A</v>
          </cell>
          <cell r="AF87" t="str">
            <v/>
          </cell>
        </row>
        <row r="88">
          <cell r="Y88">
            <v>72</v>
          </cell>
          <cell r="Z88">
            <v>0.8441519346088171</v>
          </cell>
          <cell r="AA88">
            <v>0.17100334674149906</v>
          </cell>
          <cell r="AB88" t="str">
            <v/>
          </cell>
          <cell r="AC88" t="e">
            <v>#N/A</v>
          </cell>
          <cell r="AD88">
            <v>1</v>
          </cell>
          <cell r="AE88" t="e">
            <v>#N/A</v>
          </cell>
          <cell r="AF88" t="str">
            <v/>
          </cell>
        </row>
        <row r="89">
          <cell r="Y89">
            <v>73</v>
          </cell>
          <cell r="Z89">
            <v>0.32006332091987133</v>
          </cell>
          <cell r="AA89">
            <v>-7.9025597538194686E-2</v>
          </cell>
          <cell r="AB89" t="str">
            <v/>
          </cell>
          <cell r="AC89" t="e">
            <v>#N/A</v>
          </cell>
          <cell r="AD89">
            <v>2</v>
          </cell>
          <cell r="AE89" t="e">
            <v>#N/A</v>
          </cell>
          <cell r="AF89" t="str">
            <v/>
          </cell>
        </row>
        <row r="90">
          <cell r="Y90">
            <v>74</v>
          </cell>
          <cell r="Z90">
            <v>0.3700218852609396</v>
          </cell>
          <cell r="AA90">
            <v>-5.6083655994776591E-2</v>
          </cell>
          <cell r="AB90" t="str">
            <v/>
          </cell>
          <cell r="AC90" t="e">
            <v>#N/A</v>
          </cell>
          <cell r="AD90">
            <v>3</v>
          </cell>
          <cell r="AE90" t="e">
            <v>#N/A</v>
          </cell>
          <cell r="AF90" t="str">
            <v/>
          </cell>
        </row>
        <row r="91">
          <cell r="Y91">
            <v>75</v>
          </cell>
          <cell r="Z91">
            <v>0.66289390437304974</v>
          </cell>
          <cell r="AA91">
            <v>7.1056190539369041E-2</v>
          </cell>
          <cell r="AB91" t="str">
            <v/>
          </cell>
          <cell r="AC91" t="e">
            <v>#N/A</v>
          </cell>
          <cell r="AD91">
            <v>4</v>
          </cell>
          <cell r="AE91" t="e">
            <v>#N/A</v>
          </cell>
          <cell r="AF91" t="str">
            <v/>
          </cell>
        </row>
        <row r="92">
          <cell r="Y92">
            <v>76</v>
          </cell>
          <cell r="Z92">
            <v>0.66135125420987606</v>
          </cell>
          <cell r="AA92">
            <v>7.0342824567851389E-2</v>
          </cell>
          <cell r="AB92" t="str">
            <v/>
          </cell>
          <cell r="AC92" t="e">
            <v>#N/A</v>
          </cell>
          <cell r="AD92">
            <v>5</v>
          </cell>
          <cell r="AE92" t="e">
            <v>#N/A</v>
          </cell>
          <cell r="AF92" t="str">
            <v/>
          </cell>
        </row>
        <row r="93">
          <cell r="Y93">
            <v>77</v>
          </cell>
          <cell r="Z93">
            <v>0.13966506533324718</v>
          </cell>
          <cell r="AA93">
            <v>-0.18286186310444938</v>
          </cell>
          <cell r="AB93" t="str">
            <v/>
          </cell>
          <cell r="AC93" t="e">
            <v>#N/A</v>
          </cell>
          <cell r="AD93">
            <v>6</v>
          </cell>
          <cell r="AE93" t="e">
            <v>#N/A</v>
          </cell>
          <cell r="AF93" t="str">
            <v/>
          </cell>
        </row>
        <row r="94">
          <cell r="Y94">
            <v>78</v>
          </cell>
          <cell r="Z94">
            <v>0.46897832117974758</v>
          </cell>
          <cell r="AA94">
            <v>-1.3157082054092812E-2</v>
          </cell>
          <cell r="AB94" t="str">
            <v/>
          </cell>
          <cell r="AC94" t="e">
            <v>#N/A</v>
          </cell>
          <cell r="AD94">
            <v>7</v>
          </cell>
          <cell r="AE94" t="e">
            <v>#N/A</v>
          </cell>
          <cell r="AF94" t="str">
            <v/>
          </cell>
        </row>
        <row r="95">
          <cell r="Y95">
            <v>79</v>
          </cell>
          <cell r="Z95">
            <v>0.3085156511515379</v>
          </cell>
          <cell r="AA95">
            <v>-8.4525934127234609E-2</v>
          </cell>
          <cell r="AB95" t="str">
            <v/>
          </cell>
          <cell r="AC95" t="e">
            <v>#N/A</v>
          </cell>
          <cell r="AD95">
            <v>8</v>
          </cell>
          <cell r="AE95" t="e">
            <v>#N/A</v>
          </cell>
          <cell r="AF95" t="str">
            <v/>
          </cell>
        </row>
        <row r="96">
          <cell r="Y96">
            <v>80</v>
          </cell>
          <cell r="Z96">
            <v>0.522218843922019</v>
          </cell>
          <cell r="AA96">
            <v>9.4189410021186977E-3</v>
          </cell>
          <cell r="AB96" t="str">
            <v/>
          </cell>
          <cell r="AC96" t="e">
            <v>#N/A</v>
          </cell>
          <cell r="AD96">
            <v>9</v>
          </cell>
          <cell r="AE96" t="e">
            <v>#N/A</v>
          </cell>
          <cell r="AF96" t="str">
            <v/>
          </cell>
        </row>
        <row r="97">
          <cell r="Y97">
            <v>81</v>
          </cell>
          <cell r="Z97">
            <v>0.22806516103446484</v>
          </cell>
          <cell r="AA97">
            <v>-0.12596752322098367</v>
          </cell>
          <cell r="AB97" t="str">
            <v/>
          </cell>
          <cell r="AC97" t="e">
            <v>#N/A</v>
          </cell>
          <cell r="AD97">
            <v>10</v>
          </cell>
          <cell r="AE97" t="e">
            <v>#N/A</v>
          </cell>
          <cell r="AF97" t="str">
            <v/>
          </cell>
        </row>
        <row r="98">
          <cell r="Y98">
            <v>82</v>
          </cell>
          <cell r="Z98">
            <v>0.57519174180924892</v>
          </cell>
          <cell r="AA98">
            <v>3.2049558763186908E-2</v>
          </cell>
          <cell r="AB98" t="str">
            <v/>
          </cell>
          <cell r="AC98" t="e">
            <v>#N/A</v>
          </cell>
          <cell r="AD98">
            <v>11</v>
          </cell>
          <cell r="AE98" t="e">
            <v>#N/A</v>
          </cell>
          <cell r="AF98" t="str">
            <v/>
          </cell>
        </row>
        <row r="99">
          <cell r="Y99">
            <v>83</v>
          </cell>
          <cell r="Z99">
            <v>0.89558513276278973</v>
          </cell>
          <cell r="AA99">
            <v>0.21243626150191841</v>
          </cell>
          <cell r="AB99" t="str">
            <v/>
          </cell>
          <cell r="AC99" t="e">
            <v>#N/A</v>
          </cell>
          <cell r="AD99">
            <v>12</v>
          </cell>
          <cell r="AE99" t="e">
            <v>#N/A</v>
          </cell>
          <cell r="AF99" t="str">
            <v/>
          </cell>
        </row>
        <row r="100">
          <cell r="Y100">
            <v>84</v>
          </cell>
          <cell r="Z100">
            <v>0.97023462317883968</v>
          </cell>
          <cell r="AA100">
            <v>0.31849689790528485</v>
          </cell>
          <cell r="AB100" t="str">
            <v/>
          </cell>
          <cell r="AC100" t="e">
            <v>#N/A</v>
          </cell>
          <cell r="AD100">
            <v>13</v>
          </cell>
          <cell r="AE100" t="e">
            <v>#N/A</v>
          </cell>
          <cell r="AF100" t="str">
            <v/>
          </cell>
        </row>
        <row r="101">
          <cell r="Y101">
            <v>85</v>
          </cell>
          <cell r="Z101">
            <v>0.84483849816024303</v>
          </cell>
          <cell r="AA101">
            <v>0.1714893212438566</v>
          </cell>
          <cell r="AB101" t="str">
            <v/>
          </cell>
          <cell r="AC101" t="e">
            <v>#N/A</v>
          </cell>
          <cell r="AD101">
            <v>14</v>
          </cell>
          <cell r="AE101" t="e">
            <v>#N/A</v>
          </cell>
          <cell r="AF101" t="str">
            <v/>
          </cell>
        </row>
        <row r="102">
          <cell r="Y102">
            <v>86</v>
          </cell>
          <cell r="Z102">
            <v>0.96450290642678738</v>
          </cell>
          <cell r="AA102">
            <v>0.30518767550318576</v>
          </cell>
          <cell r="AB102" t="str">
            <v/>
          </cell>
          <cell r="AC102" t="e">
            <v>#N/A</v>
          </cell>
          <cell r="AD102">
            <v>15</v>
          </cell>
          <cell r="AE102" t="e">
            <v>#N/A</v>
          </cell>
          <cell r="AF102" t="str">
            <v/>
          </cell>
        </row>
        <row r="103">
          <cell r="Y103">
            <v>87</v>
          </cell>
          <cell r="Z103">
            <v>0.60280565731227398</v>
          </cell>
          <cell r="AA103">
            <v>4.4052136445353503E-2</v>
          </cell>
          <cell r="AB103" t="str">
            <v/>
          </cell>
          <cell r="AC103" t="e">
            <v>#N/A</v>
          </cell>
          <cell r="AD103">
            <v>16</v>
          </cell>
          <cell r="AE103" t="e">
            <v>#N/A</v>
          </cell>
          <cell r="AF103" t="str">
            <v/>
          </cell>
        </row>
        <row r="104">
          <cell r="Y104">
            <v>88</v>
          </cell>
          <cell r="Z104">
            <v>0.40959628485143185</v>
          </cell>
          <cell r="AA104">
            <v>-3.8637681011100454E-2</v>
          </cell>
          <cell r="AB104" t="str">
            <v/>
          </cell>
          <cell r="AC104" t="e">
            <v>#N/A</v>
          </cell>
          <cell r="AD104">
            <v>17</v>
          </cell>
          <cell r="AE104" t="e">
            <v>#N/A</v>
          </cell>
          <cell r="AF104" t="str">
            <v/>
          </cell>
        </row>
        <row r="105">
          <cell r="Y105">
            <v>89</v>
          </cell>
          <cell r="Z105">
            <v>0.17326602153480053</v>
          </cell>
          <cell r="AA105">
            <v>-0.15911504176198221</v>
          </cell>
          <cell r="AB105" t="str">
            <v/>
          </cell>
          <cell r="AC105" t="e">
            <v>#N/A</v>
          </cell>
          <cell r="AD105">
            <v>18</v>
          </cell>
          <cell r="AE105" t="e">
            <v>#N/A</v>
          </cell>
          <cell r="AF105" t="str">
            <v/>
          </cell>
        </row>
        <row r="106">
          <cell r="Y106">
            <v>90</v>
          </cell>
          <cell r="Z106">
            <v>0.46780628524720669</v>
          </cell>
          <cell r="AA106">
            <v>-1.3655235263929717E-2</v>
          </cell>
          <cell r="AB106" t="str">
            <v/>
          </cell>
          <cell r="AC106" t="e">
            <v>#N/A</v>
          </cell>
          <cell r="AD106">
            <v>19</v>
          </cell>
          <cell r="AE106" t="e">
            <v>#N/A</v>
          </cell>
          <cell r="AF106" t="str">
            <v/>
          </cell>
        </row>
        <row r="107">
          <cell r="Y107">
            <v>91</v>
          </cell>
          <cell r="Z107">
            <v>0.9339537750929594</v>
          </cell>
          <cell r="AA107">
            <v>0.25454381964592437</v>
          </cell>
          <cell r="AB107" t="str">
            <v/>
          </cell>
          <cell r="AC107" t="e">
            <v>#N/A</v>
          </cell>
          <cell r="AD107">
            <v>20</v>
          </cell>
          <cell r="AE107" t="e">
            <v>#N/A</v>
          </cell>
          <cell r="AF107" t="str">
            <v/>
          </cell>
        </row>
        <row r="108">
          <cell r="Y108">
            <v>92</v>
          </cell>
          <cell r="Z108">
            <v>0.89232867024838924</v>
          </cell>
          <cell r="AA108">
            <v>0.20943051993037803</v>
          </cell>
          <cell r="AB108" t="str">
            <v/>
          </cell>
          <cell r="AC108" t="e">
            <v>#N/A</v>
          </cell>
          <cell r="AD108">
            <v>21</v>
          </cell>
          <cell r="AE108" t="e">
            <v>#N/A</v>
          </cell>
          <cell r="AF108" t="str">
            <v/>
          </cell>
        </row>
        <row r="109">
          <cell r="Y109">
            <v>93</v>
          </cell>
          <cell r="Z109">
            <v>0.30275660566985607</v>
          </cell>
          <cell r="AA109">
            <v>-8.7302504579142973E-2</v>
          </cell>
          <cell r="AB109" t="str">
            <v/>
          </cell>
          <cell r="AC109" t="e">
            <v>#N/A</v>
          </cell>
          <cell r="AD109">
            <v>22</v>
          </cell>
          <cell r="AE109" t="e">
            <v>#N/A</v>
          </cell>
          <cell r="AF109" t="str">
            <v/>
          </cell>
        </row>
        <row r="110">
          <cell r="Y110">
            <v>94</v>
          </cell>
          <cell r="Z110">
            <v>0.99253443442285061</v>
          </cell>
          <cell r="AA110">
            <v>0.41142872846792794</v>
          </cell>
          <cell r="AB110" t="str">
            <v/>
          </cell>
          <cell r="AC110" t="e">
            <v>#N/A</v>
          </cell>
          <cell r="AD110">
            <v>23</v>
          </cell>
          <cell r="AE110" t="e">
            <v>#N/A</v>
          </cell>
          <cell r="AF110" t="str">
            <v/>
          </cell>
        </row>
        <row r="111">
          <cell r="Y111">
            <v>95</v>
          </cell>
          <cell r="Z111">
            <v>0.24717615358531475</v>
          </cell>
          <cell r="AA111">
            <v>-0.11551616860853341</v>
          </cell>
          <cell r="AB111" t="str">
            <v/>
          </cell>
          <cell r="AC111" t="e">
            <v>#N/A</v>
          </cell>
          <cell r="AD111">
            <v>24</v>
          </cell>
          <cell r="AE111" t="e">
            <v>#N/A</v>
          </cell>
          <cell r="AF111" t="str">
            <v/>
          </cell>
        </row>
        <row r="112">
          <cell r="Y112">
            <v>96</v>
          </cell>
          <cell r="Z112">
            <v>0.74914314411580563</v>
          </cell>
          <cell r="AA112">
            <v>0.11355421338461123</v>
          </cell>
          <cell r="AB112" t="str">
            <v/>
          </cell>
          <cell r="AC112" t="e">
            <v>#N/A</v>
          </cell>
          <cell r="AD112">
            <v>25</v>
          </cell>
          <cell r="AE112" t="e">
            <v>#N/A</v>
          </cell>
          <cell r="AF112" t="str">
            <v/>
          </cell>
        </row>
        <row r="113">
          <cell r="Y113">
            <v>97</v>
          </cell>
          <cell r="Z113">
            <v>0.18001892976462841</v>
          </cell>
          <cell r="AA113">
            <v>-0.1547127460945987</v>
          </cell>
          <cell r="AB113" t="str">
            <v/>
          </cell>
          <cell r="AC113" t="e">
            <v>#N/A</v>
          </cell>
          <cell r="AD113">
            <v>26</v>
          </cell>
          <cell r="AE113" t="e">
            <v>#N/A</v>
          </cell>
          <cell r="AF113" t="str">
            <v/>
          </cell>
        </row>
        <row r="114">
          <cell r="Y114">
            <v>98</v>
          </cell>
          <cell r="Z114">
            <v>0.63789237104356289</v>
          </cell>
          <cell r="AA114">
            <v>5.9639298009494711E-2</v>
          </cell>
          <cell r="AB114" t="str">
            <v/>
          </cell>
          <cell r="AC114" t="e">
            <v>#N/A</v>
          </cell>
          <cell r="AD114">
            <v>27</v>
          </cell>
          <cell r="AE114" t="e">
            <v>#N/A</v>
          </cell>
          <cell r="AF114" t="str">
            <v/>
          </cell>
        </row>
        <row r="115">
          <cell r="Y115">
            <v>99</v>
          </cell>
          <cell r="Z115">
            <v>3.0364524573087692E-3</v>
          </cell>
          <cell r="AA115">
            <v>-0.46379002645821155</v>
          </cell>
          <cell r="AB115" t="str">
            <v/>
          </cell>
          <cell r="AC115" t="e">
            <v>#N/A</v>
          </cell>
          <cell r="AD115">
            <v>28</v>
          </cell>
          <cell r="AE115" t="e">
            <v>#N/A</v>
          </cell>
          <cell r="AF115" t="str">
            <v/>
          </cell>
        </row>
        <row r="116">
          <cell r="Y116">
            <v>100</v>
          </cell>
          <cell r="Z116">
            <v>0.56404696963727474</v>
          </cell>
          <cell r="AA116">
            <v>2.7254173220867605E-2</v>
          </cell>
          <cell r="AB116" t="str">
            <v/>
          </cell>
          <cell r="AC116" t="e">
            <v>#N/A</v>
          </cell>
          <cell r="AD116">
            <v>29</v>
          </cell>
          <cell r="AE116" t="e">
            <v>#N/A</v>
          </cell>
          <cell r="AF116" t="str">
            <v/>
          </cell>
        </row>
        <row r="117">
          <cell r="Y117">
            <v>101</v>
          </cell>
          <cell r="Z117">
            <v>2.8983352705836296E-2</v>
          </cell>
          <cell r="AA117">
            <v>-0.32047397923850851</v>
          </cell>
          <cell r="AB117" t="str">
            <v/>
          </cell>
          <cell r="AC117" t="e">
            <v>#N/A</v>
          </cell>
          <cell r="AD117">
            <v>30</v>
          </cell>
          <cell r="AE117" t="e">
            <v>#N/A</v>
          </cell>
          <cell r="AF117" t="str">
            <v/>
          </cell>
        </row>
        <row r="118">
          <cell r="Y118">
            <v>102</v>
          </cell>
          <cell r="Z118">
            <v>0.90384194813668728</v>
          </cell>
          <cell r="AA118">
            <v>0.22037532576465949</v>
          </cell>
          <cell r="AB118" t="str">
            <v/>
          </cell>
          <cell r="AC118" t="e">
            <v>#N/A</v>
          </cell>
          <cell r="AD118">
            <v>31</v>
          </cell>
          <cell r="AE118" t="e">
            <v>#N/A</v>
          </cell>
          <cell r="AF118" t="str">
            <v/>
          </cell>
        </row>
        <row r="119">
          <cell r="Y119">
            <v>103</v>
          </cell>
          <cell r="Z119">
            <v>0.23131219856441021</v>
          </cell>
          <cell r="AA119">
            <v>-0.1241586154684671</v>
          </cell>
          <cell r="AB119" t="str">
            <v/>
          </cell>
          <cell r="AC119" t="e">
            <v>#N/A</v>
          </cell>
          <cell r="AD119">
            <v>32</v>
          </cell>
          <cell r="AE119" t="e">
            <v>#N/A</v>
          </cell>
          <cell r="AF119" t="str">
            <v/>
          </cell>
        </row>
        <row r="120">
          <cell r="Y120">
            <v>104</v>
          </cell>
          <cell r="Z120">
            <v>0.99270268343389034</v>
          </cell>
          <cell r="AA120">
            <v>0.41282145649700597</v>
          </cell>
          <cell r="AB120" t="str">
            <v/>
          </cell>
          <cell r="AC120" t="e">
            <v>#N/A</v>
          </cell>
          <cell r="AD120">
            <v>33</v>
          </cell>
          <cell r="AE120" t="e">
            <v>#N/A</v>
          </cell>
          <cell r="AF120" t="str">
            <v/>
          </cell>
        </row>
        <row r="121">
          <cell r="Y121">
            <v>105</v>
          </cell>
          <cell r="Z121">
            <v>0.73947378806769848</v>
          </cell>
          <cell r="AA121">
            <v>0.10847114845461558</v>
          </cell>
          <cell r="AB121" t="str">
            <v/>
          </cell>
          <cell r="AC121" t="e">
            <v>#N/A</v>
          </cell>
          <cell r="AD121">
            <v>34</v>
          </cell>
          <cell r="AE121" t="e">
            <v>#N/A</v>
          </cell>
          <cell r="AF121" t="str">
            <v/>
          </cell>
        </row>
        <row r="122">
          <cell r="Y122">
            <v>106</v>
          </cell>
          <cell r="Z122">
            <v>0.49383622966706753</v>
          </cell>
          <cell r="AA122">
            <v>-2.6116780545854296E-3</v>
          </cell>
          <cell r="AB122" t="str">
            <v/>
          </cell>
          <cell r="AC122" t="e">
            <v>#N/A</v>
          </cell>
          <cell r="AD122">
            <v>35</v>
          </cell>
          <cell r="AE122" t="e">
            <v>#N/A</v>
          </cell>
          <cell r="AF122" t="str">
            <v/>
          </cell>
        </row>
        <row r="123">
          <cell r="Y123">
            <v>107</v>
          </cell>
          <cell r="Z123">
            <v>0.71654166094958782</v>
          </cell>
          <cell r="AA123">
            <v>9.6786786117488241E-2</v>
          </cell>
          <cell r="AB123" t="str">
            <v/>
          </cell>
          <cell r="AC123" t="e">
            <v>#N/A</v>
          </cell>
          <cell r="AD123">
            <v>36</v>
          </cell>
          <cell r="AE123" t="e">
            <v>#N/A</v>
          </cell>
          <cell r="AF123" t="str">
            <v/>
          </cell>
        </row>
        <row r="124">
          <cell r="Y124">
            <v>108</v>
          </cell>
          <cell r="Z124">
            <v>0.92453747056424618</v>
          </cell>
          <cell r="AA124">
            <v>0.2427742185492939</v>
          </cell>
          <cell r="AB124" t="str">
            <v/>
          </cell>
          <cell r="AC124" t="e">
            <v>#N/A</v>
          </cell>
          <cell r="AD124">
            <v>37</v>
          </cell>
          <cell r="AE124" t="e">
            <v>#N/A</v>
          </cell>
          <cell r="AF124" t="str">
            <v/>
          </cell>
        </row>
        <row r="125">
          <cell r="Y125">
            <v>109</v>
          </cell>
          <cell r="Z125">
            <v>0.72462957911193371</v>
          </cell>
          <cell r="AA125">
            <v>0.10085231787803753</v>
          </cell>
          <cell r="AB125" t="str">
            <v/>
          </cell>
          <cell r="AC125" t="e">
            <v>#N/A</v>
          </cell>
          <cell r="AD125">
            <v>38</v>
          </cell>
          <cell r="AE125" t="e">
            <v>#N/A</v>
          </cell>
          <cell r="AF125" t="str">
            <v/>
          </cell>
        </row>
        <row r="126">
          <cell r="Y126">
            <v>110</v>
          </cell>
          <cell r="Z126">
            <v>0.21130386553704739</v>
          </cell>
          <cell r="AA126">
            <v>-0.13554673786797022</v>
          </cell>
          <cell r="AB126" t="str">
            <v/>
          </cell>
          <cell r="AC126" t="e">
            <v>#N/A</v>
          </cell>
          <cell r="AD126">
            <v>39</v>
          </cell>
          <cell r="AE126" t="e">
            <v>#N/A</v>
          </cell>
          <cell r="AF126" t="str">
            <v/>
          </cell>
        </row>
        <row r="127">
          <cell r="Y127">
            <v>111</v>
          </cell>
          <cell r="Z127">
            <v>0.40232072584331036</v>
          </cell>
          <cell r="AA127">
            <v>-4.1808888601324944E-2</v>
          </cell>
          <cell r="AB127" t="str">
            <v/>
          </cell>
          <cell r="AC127" t="e">
            <v>#N/A</v>
          </cell>
          <cell r="AD127">
            <v>40</v>
          </cell>
          <cell r="AE127" t="e">
            <v>#N/A</v>
          </cell>
          <cell r="AF127" t="str">
            <v/>
          </cell>
        </row>
        <row r="128">
          <cell r="Y128">
            <v>112</v>
          </cell>
          <cell r="Z128">
            <v>0.488602539524436</v>
          </cell>
          <cell r="AA128">
            <v>-4.8297327290210013E-3</v>
          </cell>
          <cell r="AB128" t="str">
            <v/>
          </cell>
          <cell r="AC128" t="e">
            <v>#N/A</v>
          </cell>
          <cell r="AD128">
            <v>41</v>
          </cell>
          <cell r="AE128" t="e">
            <v>#N/A</v>
          </cell>
          <cell r="AF128" t="str">
            <v/>
          </cell>
        </row>
        <row r="129">
          <cell r="Y129">
            <v>113</v>
          </cell>
          <cell r="Z129">
            <v>0.74707737378776073</v>
          </cell>
          <cell r="AA129">
            <v>0.1124597613625974</v>
          </cell>
          <cell r="AB129" t="str">
            <v/>
          </cell>
          <cell r="AC129" t="e">
            <v>#N/A</v>
          </cell>
          <cell r="AD129">
            <v>42</v>
          </cell>
          <cell r="AE129" t="e">
            <v>#N/A</v>
          </cell>
          <cell r="AF129" t="str">
            <v/>
          </cell>
        </row>
        <row r="130">
          <cell r="Y130">
            <v>114</v>
          </cell>
          <cell r="Z130">
            <v>0.4498834665864706</v>
          </cell>
          <cell r="AA130">
            <v>-2.1290411605509818E-2</v>
          </cell>
          <cell r="AB130" t="str">
            <v/>
          </cell>
          <cell r="AC130" t="e">
            <v>#N/A</v>
          </cell>
          <cell r="AD130">
            <v>43</v>
          </cell>
          <cell r="AE130" t="e">
            <v>#N/A</v>
          </cell>
          <cell r="AF130" t="str">
            <v/>
          </cell>
        </row>
        <row r="131">
          <cell r="Y131">
            <v>115</v>
          </cell>
          <cell r="Z131">
            <v>0.51434977166354656</v>
          </cell>
          <cell r="AA131">
            <v>6.0812741714859056E-3</v>
          </cell>
          <cell r="AB131" t="str">
            <v/>
          </cell>
          <cell r="AC131" t="e">
            <v>#N/A</v>
          </cell>
          <cell r="AD131">
            <v>44</v>
          </cell>
          <cell r="AE131" t="e">
            <v>#N/A</v>
          </cell>
          <cell r="AF131" t="str">
            <v/>
          </cell>
        </row>
        <row r="132">
          <cell r="Y132">
            <v>116</v>
          </cell>
          <cell r="Z132">
            <v>0.40318249724805355</v>
          </cell>
          <cell r="AA132">
            <v>-4.1432519733830692E-2</v>
          </cell>
          <cell r="AB132" t="str">
            <v/>
          </cell>
          <cell r="AC132" t="e">
            <v>#N/A</v>
          </cell>
          <cell r="AD132">
            <v>45</v>
          </cell>
          <cell r="AE132" t="e">
            <v>#N/A</v>
          </cell>
          <cell r="AF132" t="str">
            <v/>
          </cell>
        </row>
        <row r="133">
          <cell r="Y133">
            <v>117</v>
          </cell>
          <cell r="Z133">
            <v>0.21385299973189831</v>
          </cell>
          <cell r="AA133">
            <v>-0.13406230325087992</v>
          </cell>
          <cell r="AB133" t="str">
            <v/>
          </cell>
          <cell r="AC133" t="e">
            <v>#N/A</v>
          </cell>
          <cell r="AD133">
            <v>46</v>
          </cell>
          <cell r="AE133" t="e">
            <v>#N/A</v>
          </cell>
          <cell r="AF133" t="str">
            <v/>
          </cell>
        </row>
        <row r="134">
          <cell r="Y134">
            <v>118</v>
          </cell>
          <cell r="Z134">
            <v>0.77740797959268093</v>
          </cell>
          <cell r="AA134">
            <v>0.12904973038783099</v>
          </cell>
          <cell r="AB134" t="str">
            <v/>
          </cell>
          <cell r="AC134" t="e">
            <v>#N/A</v>
          </cell>
          <cell r="AD134">
            <v>47</v>
          </cell>
          <cell r="AE134" t="e">
            <v>#N/A</v>
          </cell>
          <cell r="AF134" t="str">
            <v/>
          </cell>
        </row>
        <row r="135">
          <cell r="Y135">
            <v>119</v>
          </cell>
          <cell r="Z135">
            <v>0.90223054401576519</v>
          </cell>
          <cell r="AA135">
            <v>0.21878784368166504</v>
          </cell>
          <cell r="AB135" t="str">
            <v/>
          </cell>
          <cell r="AC135" t="e">
            <v>#N/A</v>
          </cell>
          <cell r="AD135">
            <v>48</v>
          </cell>
          <cell r="AE135" t="e">
            <v>#N/A</v>
          </cell>
          <cell r="AF135" t="str">
            <v/>
          </cell>
        </row>
        <row r="136">
          <cell r="Y136">
            <v>120</v>
          </cell>
          <cell r="Z136">
            <v>0.16915472410619259</v>
          </cell>
          <cell r="AA136">
            <v>-0.16184888195070077</v>
          </cell>
          <cell r="AB136" t="str">
            <v/>
          </cell>
          <cell r="AC136" t="e">
            <v>#N/A</v>
          </cell>
          <cell r="AD136">
            <v>49</v>
          </cell>
          <cell r="AE136" t="e">
            <v>#N/A</v>
          </cell>
          <cell r="AF136" t="str">
            <v/>
          </cell>
        </row>
        <row r="137">
          <cell r="Y137">
            <v>121</v>
          </cell>
          <cell r="Z137">
            <v>0.44007333926856518</v>
          </cell>
          <cell r="AA137">
            <v>-2.5487025601202157E-2</v>
          </cell>
          <cell r="AB137" t="str">
            <v/>
          </cell>
          <cell r="AC137" t="e">
            <v>#N/A</v>
          </cell>
          <cell r="AD137">
            <v>50</v>
          </cell>
          <cell r="AE137" t="e">
            <v>#N/A</v>
          </cell>
          <cell r="AF137" t="str">
            <v/>
          </cell>
        </row>
        <row r="138">
          <cell r="Y138">
            <v>122</v>
          </cell>
          <cell r="Z138">
            <v>0.11363906227052212</v>
          </cell>
          <cell r="AA138">
            <v>-0.20408785426705081</v>
          </cell>
          <cell r="AB138" t="str">
            <v/>
          </cell>
          <cell r="AC138" t="e">
            <v>#N/A</v>
          </cell>
          <cell r="AD138">
            <v>51</v>
          </cell>
          <cell r="AE138" t="e">
            <v>#N/A</v>
          </cell>
          <cell r="AF138" t="str">
            <v/>
          </cell>
        </row>
        <row r="139">
          <cell r="Y139">
            <v>123</v>
          </cell>
          <cell r="Z139">
            <v>0.10001303069293499</v>
          </cell>
          <cell r="AA139">
            <v>-0.21660920176725504</v>
          </cell>
          <cell r="AB139" t="str">
            <v/>
          </cell>
          <cell r="AC139" t="e">
            <v>#N/A</v>
          </cell>
          <cell r="AD139">
            <v>52</v>
          </cell>
          <cell r="AE139" t="e">
            <v>#N/A</v>
          </cell>
          <cell r="AF139" t="str">
            <v/>
          </cell>
        </row>
        <row r="140">
          <cell r="Y140">
            <v>124</v>
          </cell>
          <cell r="Z140">
            <v>0.60709874890744686</v>
          </cell>
          <cell r="AA140">
            <v>4.5936716780681931E-2</v>
          </cell>
          <cell r="AB140" t="str">
            <v/>
          </cell>
          <cell r="AC140" t="e">
            <v>#N/A</v>
          </cell>
          <cell r="AD140">
            <v>53</v>
          </cell>
          <cell r="AE140" t="e">
            <v>#N/A</v>
          </cell>
          <cell r="AF140" t="str">
            <v/>
          </cell>
        </row>
        <row r="141">
          <cell r="Y141">
            <v>125</v>
          </cell>
          <cell r="Z141">
            <v>0.38135820440948009</v>
          </cell>
          <cell r="AA141">
            <v>-5.1033049555812546E-2</v>
          </cell>
          <cell r="AB141" t="str">
            <v/>
          </cell>
          <cell r="AC141" t="e">
            <v>#N/A</v>
          </cell>
          <cell r="AD141">
            <v>54</v>
          </cell>
          <cell r="AE141" t="e">
            <v>#N/A</v>
          </cell>
          <cell r="AF141" t="str">
            <v/>
          </cell>
        </row>
        <row r="142">
          <cell r="Y142">
            <v>126</v>
          </cell>
          <cell r="Z142">
            <v>1.7514582723379135E-3</v>
          </cell>
          <cell r="AA142">
            <v>-0.49353092993835729</v>
          </cell>
          <cell r="AB142" t="str">
            <v/>
          </cell>
          <cell r="AC142" t="e">
            <v>#N/A</v>
          </cell>
          <cell r="AD142">
            <v>55</v>
          </cell>
          <cell r="AE142" t="e">
            <v>#N/A</v>
          </cell>
          <cell r="AF142" t="str">
            <v/>
          </cell>
        </row>
        <row r="143">
          <cell r="Y143">
            <v>127</v>
          </cell>
          <cell r="Z143">
            <v>0.60549233667552471</v>
          </cell>
          <cell r="AA143">
            <v>4.5230878134087736E-2</v>
          </cell>
          <cell r="AB143" t="str">
            <v/>
          </cell>
          <cell r="AC143" t="e">
            <v>#N/A</v>
          </cell>
          <cell r="AD143">
            <v>56</v>
          </cell>
          <cell r="AE143" t="e">
            <v>#N/A</v>
          </cell>
          <cell r="AF143" t="str">
            <v/>
          </cell>
        </row>
        <row r="144">
          <cell r="Y144">
            <v>128</v>
          </cell>
          <cell r="Z144">
            <v>0.23815562389791012</v>
          </cell>
          <cell r="AA144">
            <v>-0.12039187744785904</v>
          </cell>
          <cell r="AB144" t="str">
            <v/>
          </cell>
          <cell r="AC144" t="e">
            <v>#N/A</v>
          </cell>
          <cell r="AD144">
            <v>57</v>
          </cell>
          <cell r="AE144" t="e">
            <v>#N/A</v>
          </cell>
          <cell r="AF144" t="str">
            <v/>
          </cell>
        </row>
        <row r="145">
          <cell r="Y145">
            <v>129</v>
          </cell>
          <cell r="Z145">
            <v>0.33500221185386181</v>
          </cell>
          <cell r="AA145">
            <v>-7.2031134160745164E-2</v>
          </cell>
          <cell r="AB145" t="str">
            <v/>
          </cell>
          <cell r="AC145" t="e">
            <v>#N/A</v>
          </cell>
          <cell r="AD145">
            <v>58</v>
          </cell>
          <cell r="AE145" t="e">
            <v>#N/A</v>
          </cell>
          <cell r="AF145" t="str">
            <v/>
          </cell>
        </row>
        <row r="146">
          <cell r="Y146">
            <v>130</v>
          </cell>
          <cell r="Z146">
            <v>0.47356737218797207</v>
          </cell>
          <cell r="AA146">
            <v>-1.1207645388894912E-2</v>
          </cell>
          <cell r="AB146" t="str">
            <v/>
          </cell>
          <cell r="AC146" t="e">
            <v>#N/A</v>
          </cell>
          <cell r="AD146">
            <v>59</v>
          </cell>
          <cell r="AE146" t="e">
            <v>#N/A</v>
          </cell>
          <cell r="AF146" t="str">
            <v/>
          </cell>
        </row>
        <row r="147">
          <cell r="Y147">
            <v>131</v>
          </cell>
          <cell r="Z147">
            <v>0.87825555913150311</v>
          </cell>
          <cell r="AA147">
            <v>0.19714247623324041</v>
          </cell>
          <cell r="AB147" t="str">
            <v/>
          </cell>
          <cell r="AC147" t="e">
            <v>#N/A</v>
          </cell>
          <cell r="AD147">
            <v>60</v>
          </cell>
          <cell r="AE147" t="e">
            <v>#N/A</v>
          </cell>
          <cell r="AF147" t="str">
            <v/>
          </cell>
        </row>
        <row r="148">
          <cell r="Y148">
            <v>132</v>
          </cell>
          <cell r="Z148">
            <v>8.6372997611761093E-3</v>
          </cell>
          <cell r="AA148">
            <v>-0.4024304115941349</v>
          </cell>
          <cell r="AB148" t="str">
            <v/>
          </cell>
          <cell r="AC148" t="e">
            <v>#N/A</v>
          </cell>
          <cell r="AD148">
            <v>61</v>
          </cell>
          <cell r="AE148" t="e">
            <v>#N/A</v>
          </cell>
          <cell r="AF148" t="str">
            <v/>
          </cell>
        </row>
        <row r="149">
          <cell r="Y149">
            <v>133</v>
          </cell>
          <cell r="Z149">
            <v>0.10989665798842907</v>
          </cell>
          <cell r="AA149">
            <v>-0.20741402042341434</v>
          </cell>
          <cell r="AB149" t="str">
            <v/>
          </cell>
          <cell r="AC149" t="e">
            <v>#N/A</v>
          </cell>
          <cell r="AD149">
            <v>62</v>
          </cell>
          <cell r="AE149" t="e">
            <v>#N/A</v>
          </cell>
          <cell r="AF149" t="str">
            <v/>
          </cell>
        </row>
        <row r="150">
          <cell r="Y150">
            <v>134</v>
          </cell>
          <cell r="Z150">
            <v>8.5408445447683334E-3</v>
          </cell>
          <cell r="AA150">
            <v>-0.40312923126153605</v>
          </cell>
          <cell r="AB150" t="str">
            <v/>
          </cell>
          <cell r="AC150" t="e">
            <v>#N/A</v>
          </cell>
          <cell r="AD150">
            <v>63</v>
          </cell>
          <cell r="AE150" t="e">
            <v>#N/A</v>
          </cell>
          <cell r="AF150" t="str">
            <v/>
          </cell>
        </row>
        <row r="151">
          <cell r="Y151">
            <v>135</v>
          </cell>
          <cell r="Z151">
            <v>0.55647866241633892</v>
          </cell>
          <cell r="AA151">
            <v>2.4010369421117124E-2</v>
          </cell>
          <cell r="AB151" t="str">
            <v/>
          </cell>
          <cell r="AC151" t="e">
            <v>#N/A</v>
          </cell>
          <cell r="AD151">
            <v>64</v>
          </cell>
          <cell r="AE151" t="e">
            <v>#N/A</v>
          </cell>
          <cell r="AF151" t="str">
            <v/>
          </cell>
        </row>
        <row r="152">
          <cell r="Y152">
            <v>136</v>
          </cell>
          <cell r="Z152">
            <v>0.85838600061833858</v>
          </cell>
          <cell r="AA152">
            <v>0.18138634764380679</v>
          </cell>
          <cell r="AB152" t="str">
            <v/>
          </cell>
          <cell r="AC152" t="e">
            <v>#N/A</v>
          </cell>
          <cell r="AD152">
            <v>65</v>
          </cell>
          <cell r="AE152" t="e">
            <v>#N/A</v>
          </cell>
          <cell r="AF152" t="str">
            <v/>
          </cell>
        </row>
        <row r="153">
          <cell r="Y153">
            <v>137</v>
          </cell>
          <cell r="Z153">
            <v>0.16520139388740063</v>
          </cell>
          <cell r="AA153">
            <v>-0.1645182153033255</v>
          </cell>
          <cell r="AB153" t="str">
            <v/>
          </cell>
          <cell r="AC153" t="e">
            <v>#N/A</v>
          </cell>
          <cell r="AD153">
            <v>66</v>
          </cell>
          <cell r="AE153" t="e">
            <v>#N/A</v>
          </cell>
          <cell r="AF153" t="str">
            <v/>
          </cell>
        </row>
        <row r="154">
          <cell r="Y154">
            <v>138</v>
          </cell>
          <cell r="Z154">
            <v>8.6492126807570457E-2</v>
          </cell>
          <cell r="AA154">
            <v>-0.2303344936081142</v>
          </cell>
          <cell r="AB154" t="str">
            <v/>
          </cell>
          <cell r="AC154" t="e">
            <v>#N/A</v>
          </cell>
          <cell r="AD154">
            <v>67</v>
          </cell>
          <cell r="AE154" t="e">
            <v>#N/A</v>
          </cell>
          <cell r="AF154" t="str">
            <v/>
          </cell>
        </row>
        <row r="155">
          <cell r="Y155">
            <v>139</v>
          </cell>
          <cell r="Z155">
            <v>0.39247335307300091</v>
          </cell>
          <cell r="AA155">
            <v>-4.6124864808523493E-2</v>
          </cell>
          <cell r="AB155" t="str">
            <v/>
          </cell>
          <cell r="AC155" t="e">
            <v>#N/A</v>
          </cell>
          <cell r="AD155">
            <v>68</v>
          </cell>
          <cell r="AE155" t="e">
            <v>#N/A</v>
          </cell>
          <cell r="AF155" t="str">
            <v/>
          </cell>
        </row>
        <row r="156">
          <cell r="Y156">
            <v>140</v>
          </cell>
          <cell r="Z156">
            <v>0.63288359902799129</v>
          </cell>
          <cell r="AA156">
            <v>5.7386040129740107E-2</v>
          </cell>
          <cell r="AB156" t="str">
            <v/>
          </cell>
          <cell r="AC156" t="e">
            <v>#N/A</v>
          </cell>
          <cell r="AD156">
            <v>69</v>
          </cell>
          <cell r="AE156" t="e">
            <v>#N/A</v>
          </cell>
          <cell r="AF156" t="str">
            <v/>
          </cell>
        </row>
        <row r="157">
          <cell r="Y157">
            <v>141</v>
          </cell>
          <cell r="Z157">
            <v>0.21776670031249523</v>
          </cell>
          <cell r="AA157">
            <v>-0.13180313863997639</v>
          </cell>
          <cell r="AB157" t="str">
            <v/>
          </cell>
          <cell r="AC157" t="e">
            <v>#N/A</v>
          </cell>
          <cell r="AD157">
            <v>70</v>
          </cell>
          <cell r="AE157" t="e">
            <v>#N/A</v>
          </cell>
          <cell r="AF157" t="str">
            <v/>
          </cell>
        </row>
        <row r="158">
          <cell r="Y158">
            <v>142</v>
          </cell>
          <cell r="Z158">
            <v>0.83409205637872219</v>
          </cell>
          <cell r="AA158">
            <v>0.16403814324280669</v>
          </cell>
          <cell r="AB158" t="str">
            <v/>
          </cell>
          <cell r="AC158" t="e">
            <v>#N/A</v>
          </cell>
          <cell r="AD158">
            <v>71</v>
          </cell>
          <cell r="AE158" t="e">
            <v>#N/A</v>
          </cell>
          <cell r="AF158" t="str">
            <v/>
          </cell>
        </row>
        <row r="159">
          <cell r="Y159">
            <v>143</v>
          </cell>
          <cell r="Z159">
            <v>0.40698395483195782</v>
          </cell>
          <cell r="AA159">
            <v>-3.9774698424874605E-2</v>
          </cell>
          <cell r="AB159" t="str">
            <v/>
          </cell>
          <cell r="AC159" t="e">
            <v>#N/A</v>
          </cell>
          <cell r="AD159">
            <v>72</v>
          </cell>
          <cell r="AE159" t="e">
            <v>#N/A</v>
          </cell>
          <cell r="AF159" t="str">
            <v/>
          </cell>
        </row>
        <row r="160">
          <cell r="Y160">
            <v>144</v>
          </cell>
          <cell r="Z160">
            <v>0.83911099098622799</v>
          </cell>
          <cell r="AA160">
            <v>0.16747757764911464</v>
          </cell>
          <cell r="AB160" t="str">
            <v/>
          </cell>
          <cell r="AC160" t="e">
            <v>#N/A</v>
          </cell>
          <cell r="AD160">
            <v>73</v>
          </cell>
          <cell r="AE160" t="e">
            <v>#N/A</v>
          </cell>
          <cell r="AF160" t="str">
            <v/>
          </cell>
        </row>
        <row r="161">
          <cell r="Y161">
            <v>145</v>
          </cell>
          <cell r="Z161">
            <v>0.81830516271293163</v>
          </cell>
          <cell r="AA161">
            <v>0.15363637957391657</v>
          </cell>
          <cell r="AB161" t="str">
            <v/>
          </cell>
          <cell r="AC161" t="e">
            <v>#N/A</v>
          </cell>
          <cell r="AD161">
            <v>74</v>
          </cell>
          <cell r="AE161" t="e">
            <v>#N/A</v>
          </cell>
          <cell r="AF161" t="str">
            <v/>
          </cell>
        </row>
        <row r="162">
          <cell r="Y162">
            <v>146</v>
          </cell>
          <cell r="Z162">
            <v>0.26509643159806728</v>
          </cell>
          <cell r="AA162">
            <v>-0.10610263150026972</v>
          </cell>
          <cell r="AB162" t="str">
            <v/>
          </cell>
          <cell r="AC162" t="e">
            <v>#N/A</v>
          </cell>
          <cell r="AD162">
            <v>75</v>
          </cell>
          <cell r="AE162" t="e">
            <v>#N/A</v>
          </cell>
          <cell r="AF162" t="str">
            <v/>
          </cell>
        </row>
        <row r="163">
          <cell r="Y163">
            <v>147</v>
          </cell>
          <cell r="Z163">
            <v>0.7622342836111784</v>
          </cell>
          <cell r="AA163">
            <v>0.12060487307007314</v>
          </cell>
          <cell r="AB163" t="str">
            <v/>
          </cell>
          <cell r="AC163" t="e">
            <v>#N/A</v>
          </cell>
          <cell r="AD163">
            <v>76</v>
          </cell>
          <cell r="AE163" t="e">
            <v>#N/A</v>
          </cell>
          <cell r="AF163" t="str">
            <v/>
          </cell>
        </row>
        <row r="164">
          <cell r="Y164">
            <v>148</v>
          </cell>
          <cell r="Z164">
            <v>0.74515747092664242</v>
          </cell>
          <cell r="AA164">
            <v>0.11144680126419877</v>
          </cell>
          <cell r="AB164" t="str">
            <v/>
          </cell>
          <cell r="AC164" t="e">
            <v>#N/A</v>
          </cell>
          <cell r="AD164">
            <v>77</v>
          </cell>
          <cell r="AE164" t="e">
            <v>#N/A</v>
          </cell>
          <cell r="AF164" t="str">
            <v/>
          </cell>
        </row>
        <row r="165">
          <cell r="Y165">
            <v>149</v>
          </cell>
          <cell r="Z165">
            <v>0.39631354622542858</v>
          </cell>
          <cell r="AA165">
            <v>-4.4438334367212728E-2</v>
          </cell>
          <cell r="AB165" t="str">
            <v/>
          </cell>
          <cell r="AC165" t="e">
            <v>#N/A</v>
          </cell>
          <cell r="AD165">
            <v>78</v>
          </cell>
          <cell r="AE165" t="e">
            <v>#N/A</v>
          </cell>
          <cell r="AF165" t="str">
            <v/>
          </cell>
        </row>
        <row r="166">
          <cell r="Y166">
            <v>150</v>
          </cell>
          <cell r="Z166">
            <v>0.61433038674294949</v>
          </cell>
          <cell r="AA166">
            <v>4.9124350453204187E-2</v>
          </cell>
          <cell r="AB166" t="str">
            <v/>
          </cell>
          <cell r="AC166" t="e">
            <v>#N/A</v>
          </cell>
          <cell r="AD166">
            <v>79</v>
          </cell>
          <cell r="AE166" t="e">
            <v>#N/A</v>
          </cell>
          <cell r="AF166" t="str">
            <v/>
          </cell>
        </row>
        <row r="167">
          <cell r="Y167">
            <v>151</v>
          </cell>
          <cell r="Z167">
            <v>0.8537245225161314</v>
          </cell>
          <cell r="AA167">
            <v>0.17791206865042078</v>
          </cell>
          <cell r="AB167" t="str">
            <v/>
          </cell>
          <cell r="AC167" t="e">
            <v>#N/A</v>
          </cell>
          <cell r="AD167">
            <v>80</v>
          </cell>
          <cell r="AE167" t="e">
            <v>#N/A</v>
          </cell>
          <cell r="AF167" t="str">
            <v/>
          </cell>
        </row>
        <row r="168">
          <cell r="Y168">
            <v>152</v>
          </cell>
          <cell r="Z168">
            <v>0.32358010672032833</v>
          </cell>
          <cell r="AA168">
            <v>-7.7367249393194087E-2</v>
          </cell>
          <cell r="AB168" t="str">
            <v/>
          </cell>
          <cell r="AC168" t="e">
            <v>#N/A</v>
          </cell>
          <cell r="AD168">
            <v>81</v>
          </cell>
          <cell r="AE168" t="e">
            <v>#N/A</v>
          </cell>
          <cell r="AF168" t="str">
            <v/>
          </cell>
        </row>
        <row r="169">
          <cell r="Y169">
            <v>153</v>
          </cell>
          <cell r="Z169">
            <v>0.27374467067420483</v>
          </cell>
          <cell r="AA169">
            <v>-0.10167654265521515</v>
          </cell>
          <cell r="AB169" t="str">
            <v/>
          </cell>
          <cell r="AC169" t="e">
            <v>#N/A</v>
          </cell>
          <cell r="AD169">
            <v>82</v>
          </cell>
          <cell r="AE169" t="e">
            <v>#N/A</v>
          </cell>
          <cell r="AF169" t="str">
            <v/>
          </cell>
        </row>
        <row r="170">
          <cell r="Y170">
            <v>154</v>
          </cell>
          <cell r="Z170">
            <v>0.26542276702821255</v>
          </cell>
          <cell r="AA170">
            <v>-0.10593430781308198</v>
          </cell>
          <cell r="AB170" t="str">
            <v/>
          </cell>
          <cell r="AC170" t="e">
            <v>#N/A</v>
          </cell>
          <cell r="AD170">
            <v>83</v>
          </cell>
          <cell r="AE170" t="e">
            <v>#N/A</v>
          </cell>
          <cell r="AF170" t="str">
            <v/>
          </cell>
        </row>
        <row r="171">
          <cell r="Y171">
            <v>155</v>
          </cell>
          <cell r="Z171">
            <v>0.12077809683978558</v>
          </cell>
          <cell r="AA171">
            <v>-0.19795303478895418</v>
          </cell>
          <cell r="AB171" t="str">
            <v/>
          </cell>
          <cell r="AC171" t="e">
            <v>#N/A</v>
          </cell>
          <cell r="AD171">
            <v>84</v>
          </cell>
          <cell r="AE171" t="e">
            <v>#N/A</v>
          </cell>
          <cell r="AF171" t="str">
            <v/>
          </cell>
        </row>
        <row r="172">
          <cell r="Y172">
            <v>156</v>
          </cell>
          <cell r="Z172">
            <v>0.53851311467587948</v>
          </cell>
          <cell r="AA172">
            <v>1.6343339870323787E-2</v>
          </cell>
          <cell r="AB172" t="str">
            <v/>
          </cell>
          <cell r="AC172" t="e">
            <v>#N/A</v>
          </cell>
          <cell r="AD172">
            <v>85</v>
          </cell>
          <cell r="AE172" t="e">
            <v>#N/A</v>
          </cell>
          <cell r="AF172" t="str">
            <v/>
          </cell>
        </row>
        <row r="173">
          <cell r="Y173">
            <v>157</v>
          </cell>
          <cell r="Z173">
            <v>0.14742928557097912</v>
          </cell>
          <cell r="AA173">
            <v>-0.17706365230684498</v>
          </cell>
          <cell r="AB173" t="str">
            <v/>
          </cell>
          <cell r="AC173" t="e">
            <v>#N/A</v>
          </cell>
          <cell r="AD173">
            <v>86</v>
          </cell>
          <cell r="AE173" t="e">
            <v>#N/A</v>
          </cell>
          <cell r="AF173" t="str">
            <v/>
          </cell>
        </row>
        <row r="174">
          <cell r="Y174">
            <v>158</v>
          </cell>
          <cell r="Z174">
            <v>0.77229050360620022</v>
          </cell>
          <cell r="AA174">
            <v>0.12616653787846793</v>
          </cell>
          <cell r="AB174" t="str">
            <v/>
          </cell>
          <cell r="AC174" t="e">
            <v>#N/A</v>
          </cell>
          <cell r="AD174">
            <v>87</v>
          </cell>
          <cell r="AE174" t="e">
            <v>#N/A</v>
          </cell>
          <cell r="AF174" t="str">
            <v/>
          </cell>
        </row>
        <row r="175">
          <cell r="Y175">
            <v>159</v>
          </cell>
          <cell r="Z175">
            <v>7.5838549062609673E-2</v>
          </cell>
          <cell r="AA175">
            <v>-0.24232816035339338</v>
          </cell>
          <cell r="AB175" t="str">
            <v/>
          </cell>
          <cell r="AC175" t="e">
            <v>#N/A</v>
          </cell>
          <cell r="AD175">
            <v>88</v>
          </cell>
          <cell r="AE175" t="e">
            <v>#N/A</v>
          </cell>
          <cell r="AF175" t="str">
            <v/>
          </cell>
        </row>
        <row r="176">
          <cell r="Y176">
            <v>160</v>
          </cell>
          <cell r="Z176">
            <v>0.47652723453938961</v>
          </cell>
          <cell r="AA176">
            <v>-9.9510974693184893E-3</v>
          </cell>
          <cell r="AB176" t="str">
            <v/>
          </cell>
          <cell r="AC176" t="e">
            <v>#N/A</v>
          </cell>
          <cell r="AD176">
            <v>89</v>
          </cell>
          <cell r="AE176" t="e">
            <v>#N/A</v>
          </cell>
          <cell r="AF176" t="str">
            <v/>
          </cell>
        </row>
        <row r="177">
          <cell r="Y177">
            <v>161</v>
          </cell>
          <cell r="Z177">
            <v>0.54024794511497021</v>
          </cell>
          <cell r="AA177">
            <v>1.7081985461841226E-2</v>
          </cell>
          <cell r="AB177" t="str">
            <v/>
          </cell>
          <cell r="AC177" t="e">
            <v>#N/A</v>
          </cell>
          <cell r="AD177">
            <v>90</v>
          </cell>
          <cell r="AE177" t="e">
            <v>#N/A</v>
          </cell>
          <cell r="AF177" t="str">
            <v/>
          </cell>
        </row>
        <row r="178">
          <cell r="Y178">
            <v>162</v>
          </cell>
          <cell r="Z178">
            <v>0.47437298856675625</v>
          </cell>
          <cell r="AA178">
            <v>-1.0865579298917462E-2</v>
          </cell>
          <cell r="AB178" t="str">
            <v/>
          </cell>
          <cell r="AC178" t="e">
            <v>#N/A</v>
          </cell>
          <cell r="AD178">
            <v>91</v>
          </cell>
          <cell r="AE178" t="e">
            <v>#N/A</v>
          </cell>
          <cell r="AF178" t="str">
            <v/>
          </cell>
        </row>
        <row r="179">
          <cell r="Y179">
            <v>163</v>
          </cell>
          <cell r="Z179">
            <v>5.2516413852572441E-2</v>
          </cell>
          <cell r="AA179">
            <v>-0.27398703879813124</v>
          </cell>
          <cell r="AB179" t="str">
            <v/>
          </cell>
          <cell r="AC179" t="e">
            <v>#N/A</v>
          </cell>
          <cell r="AD179">
            <v>92</v>
          </cell>
          <cell r="AE179" t="e">
            <v>#N/A</v>
          </cell>
          <cell r="AF179" t="str">
            <v/>
          </cell>
        </row>
        <row r="180">
          <cell r="Y180">
            <v>164</v>
          </cell>
          <cell r="Z180">
            <v>0.82123910449445248</v>
          </cell>
          <cell r="AA180">
            <v>0.15552486974233903</v>
          </cell>
          <cell r="AB180" t="str">
            <v/>
          </cell>
          <cell r="AC180" t="e">
            <v>#N/A</v>
          </cell>
          <cell r="AD180">
            <v>93</v>
          </cell>
          <cell r="AE180" t="e">
            <v>#N/A</v>
          </cell>
          <cell r="AF180" t="str">
            <v/>
          </cell>
        </row>
        <row r="181">
          <cell r="Y181">
            <v>165</v>
          </cell>
          <cell r="Z181">
            <v>0.72105288319289684</v>
          </cell>
          <cell r="AA181">
            <v>9.9047370320688444E-2</v>
          </cell>
          <cell r="AB181" t="str">
            <v/>
          </cell>
          <cell r="AC181" t="e">
            <v>#N/A</v>
          </cell>
          <cell r="AD181">
            <v>94</v>
          </cell>
          <cell r="AE181" t="e">
            <v>#N/A</v>
          </cell>
          <cell r="AF181" t="str">
            <v/>
          </cell>
        </row>
        <row r="182">
          <cell r="Y182">
            <v>166</v>
          </cell>
          <cell r="Z182">
            <v>0.20561644993722439</v>
          </cell>
          <cell r="AA182">
            <v>-0.1388970326263394</v>
          </cell>
          <cell r="AB182" t="str">
            <v/>
          </cell>
          <cell r="AC182" t="e">
            <v>#N/A</v>
          </cell>
          <cell r="AD182">
            <v>95</v>
          </cell>
          <cell r="AE182" t="e">
            <v>#N/A</v>
          </cell>
          <cell r="AF182" t="str">
            <v/>
          </cell>
        </row>
        <row r="183">
          <cell r="Y183">
            <v>167</v>
          </cell>
          <cell r="Z183">
            <v>0.17238609306514263</v>
          </cell>
          <cell r="AA183">
            <v>-0.1596966424274216</v>
          </cell>
          <cell r="AB183" t="str">
            <v/>
          </cell>
          <cell r="AC183" t="e">
            <v>#N/A</v>
          </cell>
          <cell r="AD183">
            <v>96</v>
          </cell>
          <cell r="AE183" t="e">
            <v>#N/A</v>
          </cell>
          <cell r="AF183" t="str">
            <v/>
          </cell>
        </row>
        <row r="184">
          <cell r="Y184">
            <v>168</v>
          </cell>
          <cell r="Z184">
            <v>0.17167063616216183</v>
          </cell>
          <cell r="AA184">
            <v>-0.16017093064074078</v>
          </cell>
          <cell r="AB184" t="str">
            <v/>
          </cell>
          <cell r="AC184" t="e">
            <v>#N/A</v>
          </cell>
          <cell r="AD184">
            <v>97</v>
          </cell>
          <cell r="AE184" t="e">
            <v>#N/A</v>
          </cell>
          <cell r="AF184" t="str">
            <v/>
          </cell>
        </row>
        <row r="185">
          <cell r="Y185">
            <v>169</v>
          </cell>
          <cell r="Z185">
            <v>0.59333988837897778</v>
          </cell>
          <cell r="AA185">
            <v>3.9915775696038824E-2</v>
          </cell>
          <cell r="AB185" t="str">
            <v/>
          </cell>
          <cell r="AC185" t="e">
            <v>#N/A</v>
          </cell>
          <cell r="AD185">
            <v>98</v>
          </cell>
          <cell r="AE185" t="e">
            <v>#N/A</v>
          </cell>
          <cell r="AF185" t="str">
            <v/>
          </cell>
        </row>
        <row r="186">
          <cell r="Y186">
            <v>170</v>
          </cell>
          <cell r="Z186">
            <v>0.59720832668244839</v>
          </cell>
          <cell r="AA186">
            <v>4.1603182077217811E-2</v>
          </cell>
          <cell r="AB186" t="str">
            <v/>
          </cell>
          <cell r="AC186" t="e">
            <v>#N/A</v>
          </cell>
          <cell r="AD186">
            <v>99</v>
          </cell>
          <cell r="AE186" t="e">
            <v>#N/A</v>
          </cell>
          <cell r="AF186" t="str">
            <v/>
          </cell>
        </row>
        <row r="187">
          <cell r="Y187">
            <v>171</v>
          </cell>
          <cell r="Z187">
            <v>3.0532730743288994E-2</v>
          </cell>
          <cell r="AA187">
            <v>-0.31659836246967205</v>
          </cell>
          <cell r="AB187" t="str">
            <v/>
          </cell>
          <cell r="AC187" t="e">
            <v>#N/A</v>
          </cell>
          <cell r="AD187">
            <v>100</v>
          </cell>
          <cell r="AE187" t="e">
            <v>#N/A</v>
          </cell>
          <cell r="AF187" t="str">
            <v/>
          </cell>
        </row>
        <row r="188">
          <cell r="Y188">
            <v>172</v>
          </cell>
          <cell r="Z188">
            <v>0.70435838960111141</v>
          </cell>
          <cell r="AA188">
            <v>9.0765747918578929E-2</v>
          </cell>
          <cell r="AB188" t="str">
            <v/>
          </cell>
          <cell r="AC188" t="e">
            <v>#N/A</v>
          </cell>
          <cell r="AD188">
            <v>101</v>
          </cell>
          <cell r="AE188" t="e">
            <v>#N/A</v>
          </cell>
          <cell r="AF188" t="str">
            <v/>
          </cell>
        </row>
        <row r="189">
          <cell r="Y189">
            <v>173</v>
          </cell>
          <cell r="Z189">
            <v>5.2670178934931755E-2</v>
          </cell>
          <cell r="AA189">
            <v>-0.27374496669160053</v>
          </cell>
          <cell r="AB189" t="str">
            <v/>
          </cell>
          <cell r="AC189" t="e">
            <v>#N/A</v>
          </cell>
          <cell r="AD189">
            <v>102</v>
          </cell>
          <cell r="AE189" t="e">
            <v>#N/A</v>
          </cell>
          <cell r="AF189" t="str">
            <v/>
          </cell>
        </row>
        <row r="190">
          <cell r="Y190">
            <v>174</v>
          </cell>
          <cell r="Z190">
            <v>0.474061643704772</v>
          </cell>
          <cell r="AA190">
            <v>-1.0997771506743371E-2</v>
          </cell>
          <cell r="AB190" t="str">
            <v/>
          </cell>
          <cell r="AC190" t="e">
            <v>#N/A</v>
          </cell>
          <cell r="AD190">
            <v>103</v>
          </cell>
          <cell r="AE190" t="e">
            <v>#N/A</v>
          </cell>
          <cell r="AF190" t="str">
            <v/>
          </cell>
        </row>
        <row r="191">
          <cell r="Y191">
            <v>175</v>
          </cell>
          <cell r="Z191">
            <v>0.59984908811748028</v>
          </cell>
          <cell r="AA191">
            <v>4.2757453403424031E-2</v>
          </cell>
          <cell r="AB191" t="str">
            <v/>
          </cell>
          <cell r="AC191" t="e">
            <v>#N/A</v>
          </cell>
          <cell r="AD191">
            <v>104</v>
          </cell>
          <cell r="AE191" t="e">
            <v>#N/A</v>
          </cell>
          <cell r="AF191" t="str">
            <v/>
          </cell>
        </row>
        <row r="192">
          <cell r="Y192">
            <v>176</v>
          </cell>
          <cell r="Z192">
            <v>0.67921294830739498</v>
          </cell>
          <cell r="AA192">
            <v>7.868370376744882E-2</v>
          </cell>
          <cell r="AB192" t="str">
            <v/>
          </cell>
          <cell r="AC192" t="e">
            <v>#N/A</v>
          </cell>
          <cell r="AD192">
            <v>105</v>
          </cell>
          <cell r="AE192" t="e">
            <v>#N/A</v>
          </cell>
          <cell r="AF192" t="str">
            <v/>
          </cell>
        </row>
        <row r="193">
          <cell r="Y193">
            <v>177</v>
          </cell>
          <cell r="Z193">
            <v>0.31284227780997753</v>
          </cell>
          <cell r="AA193">
            <v>-8.2454908844185187E-2</v>
          </cell>
          <cell r="AB193" t="str">
            <v/>
          </cell>
          <cell r="AC193" t="e">
            <v>#N/A</v>
          </cell>
          <cell r="AD193">
            <v>106</v>
          </cell>
          <cell r="AE193" t="e">
            <v>#N/A</v>
          </cell>
          <cell r="AF193" t="str">
            <v/>
          </cell>
        </row>
        <row r="194">
          <cell r="Y194">
            <v>178</v>
          </cell>
          <cell r="Z194">
            <v>0.84504938684403896</v>
          </cell>
          <cell r="AA194">
            <v>0.17163888071945985</v>
          </cell>
          <cell r="AB194" t="str">
            <v/>
          </cell>
          <cell r="AC194" t="e">
            <v>#N/A</v>
          </cell>
          <cell r="AD194">
            <v>107</v>
          </cell>
          <cell r="AE194" t="e">
            <v>#N/A</v>
          </cell>
          <cell r="AF194" t="str">
            <v/>
          </cell>
        </row>
        <row r="195">
          <cell r="Y195">
            <v>179</v>
          </cell>
          <cell r="Z195">
            <v>0.85408241860568523</v>
          </cell>
          <cell r="AA195">
            <v>0.17817614863095418</v>
          </cell>
          <cell r="AB195" t="str">
            <v/>
          </cell>
          <cell r="AC195" t="e">
            <v>#N/A</v>
          </cell>
          <cell r="AD195">
            <v>108</v>
          </cell>
          <cell r="AE195" t="e">
            <v>#N/A</v>
          </cell>
          <cell r="AF195" t="str">
            <v/>
          </cell>
        </row>
        <row r="196">
          <cell r="Y196">
            <v>180</v>
          </cell>
          <cell r="Z196">
            <v>0.28912829421460629</v>
          </cell>
          <cell r="AA196">
            <v>-9.3969845230022234E-2</v>
          </cell>
          <cell r="AB196" t="str">
            <v/>
          </cell>
          <cell r="AC196" t="e">
            <v>#N/A</v>
          </cell>
          <cell r="AD196">
            <v>109</v>
          </cell>
          <cell r="AE196" t="e">
            <v>#N/A</v>
          </cell>
          <cell r="AF196" t="str">
            <v/>
          </cell>
        </row>
        <row r="197">
          <cell r="Y197">
            <v>181</v>
          </cell>
          <cell r="Z197">
            <v>0.70081388764083385</v>
          </cell>
          <cell r="AA197">
            <v>8.9035779989058747E-2</v>
          </cell>
          <cell r="AB197" t="str">
            <v/>
          </cell>
          <cell r="AC197" t="e">
            <v>#N/A</v>
          </cell>
          <cell r="AD197">
            <v>110</v>
          </cell>
          <cell r="AE197" t="e">
            <v>#N/A</v>
          </cell>
          <cell r="AF197" t="str">
            <v/>
          </cell>
        </row>
        <row r="198">
          <cell r="Y198">
            <v>182</v>
          </cell>
          <cell r="Z198">
            <v>0.98698887787759304</v>
          </cell>
          <cell r="AA198">
            <v>0.37624233021386155</v>
          </cell>
          <cell r="AB198" t="str">
            <v/>
          </cell>
          <cell r="AC198" t="e">
            <v>#N/A</v>
          </cell>
          <cell r="AD198">
            <v>111</v>
          </cell>
          <cell r="AE198" t="e">
            <v>#N/A</v>
          </cell>
          <cell r="AF198" t="str">
            <v/>
          </cell>
        </row>
        <row r="199">
          <cell r="Y199">
            <v>183</v>
          </cell>
          <cell r="Z199">
            <v>0.60963134281337261</v>
          </cell>
          <cell r="AA199">
            <v>4.7051143043466803E-2</v>
          </cell>
          <cell r="AB199" t="str">
            <v/>
          </cell>
          <cell r="AC199" t="e">
            <v>#N/A</v>
          </cell>
          <cell r="AD199">
            <v>112</v>
          </cell>
          <cell r="AE199" t="e">
            <v>#N/A</v>
          </cell>
          <cell r="AF199" t="str">
            <v/>
          </cell>
        </row>
        <row r="200">
          <cell r="Y200">
            <v>184</v>
          </cell>
          <cell r="Z200">
            <v>0.35334118269383907</v>
          </cell>
          <cell r="AA200">
            <v>-6.3608927386657452E-2</v>
          </cell>
          <cell r="AB200" t="str">
            <v/>
          </cell>
          <cell r="AC200" t="e">
            <v>#N/A</v>
          </cell>
          <cell r="AD200">
            <v>113</v>
          </cell>
          <cell r="AE200" t="e">
            <v>#N/A</v>
          </cell>
          <cell r="AF200" t="str">
            <v/>
          </cell>
        </row>
        <row r="201">
          <cell r="Y201">
            <v>185</v>
          </cell>
          <cell r="Z201">
            <v>0.42037376575171947</v>
          </cell>
          <cell r="AA201">
            <v>-3.3964617893442683E-2</v>
          </cell>
          <cell r="AB201" t="str">
            <v/>
          </cell>
          <cell r="AC201" t="e">
            <v>#N/A</v>
          </cell>
          <cell r="AD201">
            <v>114</v>
          </cell>
          <cell r="AE201" t="e">
            <v>#N/A</v>
          </cell>
          <cell r="AF201" t="str">
            <v/>
          </cell>
        </row>
        <row r="202">
          <cell r="Y202">
            <v>186</v>
          </cell>
          <cell r="Z202">
            <v>0.12237614952027798</v>
          </cell>
          <cell r="AA202">
            <v>-0.19661504712170264</v>
          </cell>
          <cell r="AB202" t="str">
            <v/>
          </cell>
          <cell r="AC202" t="e">
            <v>#N/A</v>
          </cell>
          <cell r="AD202">
            <v>115</v>
          </cell>
          <cell r="AE202" t="e">
            <v>#N/A</v>
          </cell>
          <cell r="AF202" t="str">
            <v/>
          </cell>
        </row>
        <row r="203">
          <cell r="Y203">
            <v>187</v>
          </cell>
          <cell r="Z203">
            <v>8.6092723533511162E-2</v>
          </cell>
          <cell r="AA203">
            <v>-0.2307634736873618</v>
          </cell>
          <cell r="AB203" t="str">
            <v/>
          </cell>
          <cell r="AC203" t="e">
            <v>#N/A</v>
          </cell>
          <cell r="AD203">
            <v>116</v>
          </cell>
          <cell r="AE203" t="e">
            <v>#N/A</v>
          </cell>
          <cell r="AF203" t="str">
            <v/>
          </cell>
        </row>
        <row r="204">
          <cell r="Y204">
            <v>188</v>
          </cell>
          <cell r="Z204">
            <v>0.3545405175536871</v>
          </cell>
          <cell r="AA204">
            <v>-6.3063816925982827E-2</v>
          </cell>
          <cell r="AB204" t="str">
            <v/>
          </cell>
          <cell r="AC204" t="e">
            <v>#N/A</v>
          </cell>
          <cell r="AD204">
            <v>117</v>
          </cell>
          <cell r="AE204" t="e">
            <v>#N/A</v>
          </cell>
          <cell r="AF204" t="str">
            <v/>
          </cell>
        </row>
        <row r="205">
          <cell r="Y205">
            <v>189</v>
          </cell>
          <cell r="Z205">
            <v>0.78456359915435314</v>
          </cell>
          <cell r="AA205">
            <v>0.13314542906858823</v>
          </cell>
          <cell r="AB205" t="str">
            <v/>
          </cell>
          <cell r="AC205" t="e">
            <v>#N/A</v>
          </cell>
          <cell r="AD205">
            <v>118</v>
          </cell>
          <cell r="AE205" t="e">
            <v>#N/A</v>
          </cell>
          <cell r="AF205" t="str">
            <v/>
          </cell>
        </row>
        <row r="206">
          <cell r="Y206">
            <v>190</v>
          </cell>
          <cell r="Z206">
            <v>0.19087032042443752</v>
          </cell>
          <cell r="AA206">
            <v>-0.14785020430328097</v>
          </cell>
          <cell r="AB206" t="str">
            <v/>
          </cell>
          <cell r="AC206" t="e">
            <v>#N/A</v>
          </cell>
          <cell r="AD206">
            <v>119</v>
          </cell>
          <cell r="AE206" t="e">
            <v>#N/A</v>
          </cell>
          <cell r="AF206" t="str">
            <v/>
          </cell>
        </row>
        <row r="207">
          <cell r="Y207">
            <v>191</v>
          </cell>
          <cell r="Z207">
            <v>0.68555854074656963</v>
          </cell>
          <cell r="AA207">
            <v>8.1692567774352617E-2</v>
          </cell>
          <cell r="AB207" t="str">
            <v/>
          </cell>
          <cell r="AC207" t="e">
            <v>#N/A</v>
          </cell>
          <cell r="AD207">
            <v>120</v>
          </cell>
          <cell r="AE207" t="e">
            <v>#N/A</v>
          </cell>
          <cell r="AF207" t="str">
            <v/>
          </cell>
        </row>
        <row r="208">
          <cell r="Y208">
            <v>192</v>
          </cell>
          <cell r="Z208">
            <v>0.3197267260402441</v>
          </cell>
          <cell r="AA208">
            <v>-7.9184716650185422E-2</v>
          </cell>
          <cell r="AB208" t="str">
            <v/>
          </cell>
          <cell r="AC208" t="e">
            <v>#N/A</v>
          </cell>
          <cell r="AD208">
            <v>121</v>
          </cell>
          <cell r="AE208" t="e">
            <v>#N/A</v>
          </cell>
          <cell r="AF208" t="str">
            <v/>
          </cell>
        </row>
        <row r="209">
          <cell r="Y209">
            <v>193</v>
          </cell>
          <cell r="Z209">
            <v>0.41684987954795361</v>
          </cell>
          <cell r="AA209">
            <v>-3.5489529789393841E-2</v>
          </cell>
          <cell r="AB209" t="str">
            <v/>
          </cell>
          <cell r="AC209" t="e">
            <v>#N/A</v>
          </cell>
          <cell r="AD209">
            <v>122</v>
          </cell>
          <cell r="AE209" t="e">
            <v>#N/A</v>
          </cell>
          <cell r="AF209" t="str">
            <v/>
          </cell>
        </row>
        <row r="210">
          <cell r="Y210">
            <v>194</v>
          </cell>
          <cell r="Z210">
            <v>0.21452797017991543</v>
          </cell>
          <cell r="AA210">
            <v>-0.13367097827649205</v>
          </cell>
          <cell r="AB210" t="str">
            <v/>
          </cell>
          <cell r="AC210" t="e">
            <v>#N/A</v>
          </cell>
          <cell r="AD210">
            <v>123</v>
          </cell>
          <cell r="AE210" t="e">
            <v>#N/A</v>
          </cell>
          <cell r="AF210" t="str">
            <v/>
          </cell>
        </row>
        <row r="211">
          <cell r="Y211">
            <v>195</v>
          </cell>
          <cell r="Z211">
            <v>0.49066276662051678</v>
          </cell>
          <cell r="AA211">
            <v>-3.9565237977939212E-3</v>
          </cell>
          <cell r="AB211" t="str">
            <v/>
          </cell>
          <cell r="AC211" t="e">
            <v>#N/A</v>
          </cell>
          <cell r="AD211">
            <v>124</v>
          </cell>
          <cell r="AE211" t="e">
            <v>#N/A</v>
          </cell>
          <cell r="AF211" t="str">
            <v/>
          </cell>
        </row>
        <row r="212">
          <cell r="Y212">
            <v>196</v>
          </cell>
          <cell r="Z212">
            <v>4.4821133837103844E-2</v>
          </cell>
          <cell r="AA212">
            <v>-0.28689399661418136</v>
          </cell>
          <cell r="AB212" t="str">
            <v/>
          </cell>
          <cell r="AC212" t="e">
            <v>#N/A</v>
          </cell>
          <cell r="AD212">
            <v>125</v>
          </cell>
          <cell r="AE212" t="e">
            <v>#N/A</v>
          </cell>
          <cell r="AF212" t="str">
            <v/>
          </cell>
        </row>
        <row r="213">
          <cell r="Y213">
            <v>197</v>
          </cell>
          <cell r="Z213">
            <v>0.92104577831923962</v>
          </cell>
          <cell r="AA213">
            <v>0.23869539788317534</v>
          </cell>
          <cell r="AB213" t="str">
            <v/>
          </cell>
          <cell r="AC213" t="e">
            <v>#N/A</v>
          </cell>
          <cell r="AD213">
            <v>126</v>
          </cell>
          <cell r="AE213" t="e">
            <v>#N/A</v>
          </cell>
          <cell r="AF213" t="str">
            <v/>
          </cell>
        </row>
        <row r="214">
          <cell r="Y214">
            <v>198</v>
          </cell>
          <cell r="Z214">
            <v>0.75678751431405544</v>
          </cell>
          <cell r="AA214">
            <v>0.11764651366646847</v>
          </cell>
          <cell r="AB214" t="str">
            <v/>
          </cell>
          <cell r="AC214" t="e">
            <v>#N/A</v>
          </cell>
          <cell r="AD214">
            <v>127</v>
          </cell>
          <cell r="AE214" t="e">
            <v>#N/A</v>
          </cell>
          <cell r="AF214" t="str">
            <v/>
          </cell>
        </row>
        <row r="215">
          <cell r="Y215">
            <v>199</v>
          </cell>
          <cell r="Z215">
            <v>0.98137824051082134</v>
          </cell>
          <cell r="AA215">
            <v>0.35210555116204029</v>
          </cell>
          <cell r="AB215" t="str">
            <v/>
          </cell>
          <cell r="AC215" t="e">
            <v>#N/A</v>
          </cell>
          <cell r="AD215">
            <v>128</v>
          </cell>
          <cell r="AE215" t="e">
            <v>#N/A</v>
          </cell>
          <cell r="AF215" t="str">
            <v/>
          </cell>
        </row>
        <row r="216">
          <cell r="Y216">
            <v>200</v>
          </cell>
          <cell r="Z216">
            <v>0.16302534006536007</v>
          </cell>
          <cell r="AA216">
            <v>-0.16600516623744849</v>
          </cell>
          <cell r="AB216" t="str">
            <v/>
          </cell>
          <cell r="AC216" t="e">
            <v>#N/A</v>
          </cell>
          <cell r="AD216">
            <v>129</v>
          </cell>
          <cell r="AE216" t="e">
            <v>#N/A</v>
          </cell>
          <cell r="AF216" t="str">
            <v/>
          </cell>
        </row>
        <row r="217">
          <cell r="Y217">
            <v>201</v>
          </cell>
          <cell r="Z217">
            <v>0.51998302154242992</v>
          </cell>
          <cell r="AA217">
            <v>8.4703001153328614E-3</v>
          </cell>
          <cell r="AB217" t="str">
            <v/>
          </cell>
          <cell r="AC217" t="e">
            <v>#N/A</v>
          </cell>
          <cell r="AD217">
            <v>130</v>
          </cell>
          <cell r="AE217" t="e">
            <v>#N/A</v>
          </cell>
          <cell r="AF217" t="str">
            <v/>
          </cell>
        </row>
        <row r="218">
          <cell r="Y218">
            <v>202</v>
          </cell>
          <cell r="Z218">
            <v>0.97520357929170132</v>
          </cell>
          <cell r="AA218">
            <v>0.33188517850583454</v>
          </cell>
          <cell r="AB218" t="str">
            <v/>
          </cell>
          <cell r="AC218" t="e">
            <v>#N/A</v>
          </cell>
          <cell r="AD218">
            <v>131</v>
          </cell>
          <cell r="AE218" t="e">
            <v>#N/A</v>
          </cell>
          <cell r="AF218" t="str">
            <v/>
          </cell>
        </row>
        <row r="219">
          <cell r="Y219">
            <v>203</v>
          </cell>
          <cell r="Z219">
            <v>0.47056354396045208</v>
          </cell>
          <cell r="AA219">
            <v>-1.2483492006269841E-2</v>
          </cell>
          <cell r="AB219" t="str">
            <v/>
          </cell>
          <cell r="AC219" t="e">
            <v>#N/A</v>
          </cell>
          <cell r="AD219">
            <v>132</v>
          </cell>
          <cell r="AE219" t="e">
            <v>#N/A</v>
          </cell>
          <cell r="AF219" t="str">
            <v/>
          </cell>
        </row>
        <row r="220">
          <cell r="Y220">
            <v>204</v>
          </cell>
          <cell r="Z220">
            <v>0.55693059228360653</v>
          </cell>
          <cell r="AA220">
            <v>2.4203808324562478E-2</v>
          </cell>
          <cell r="AB220" t="str">
            <v/>
          </cell>
          <cell r="AC220" t="e">
            <v>#N/A</v>
          </cell>
          <cell r="AD220">
            <v>133</v>
          </cell>
          <cell r="AE220" t="e">
            <v>#N/A</v>
          </cell>
          <cell r="AF220" t="str">
            <v/>
          </cell>
        </row>
        <row r="221">
          <cell r="Y221">
            <v>205</v>
          </cell>
          <cell r="Z221">
            <v>0.16293376497924328</v>
          </cell>
          <cell r="AA221">
            <v>-0.16606802349429536</v>
          </cell>
          <cell r="AB221" t="str">
            <v/>
          </cell>
          <cell r="AC221" t="e">
            <v>#N/A</v>
          </cell>
          <cell r="AD221">
            <v>134</v>
          </cell>
          <cell r="AE221" t="e">
            <v>#N/A</v>
          </cell>
          <cell r="AF221" t="str">
            <v/>
          </cell>
        </row>
        <row r="222">
          <cell r="Y222">
            <v>206</v>
          </cell>
          <cell r="Z222">
            <v>0.7679313775151968</v>
          </cell>
          <cell r="AA222">
            <v>0.12373925745136645</v>
          </cell>
          <cell r="AB222" t="str">
            <v/>
          </cell>
          <cell r="AC222" t="e">
            <v>#N/A</v>
          </cell>
          <cell r="AD222">
            <v>135</v>
          </cell>
          <cell r="AE222" t="e">
            <v>#N/A</v>
          </cell>
          <cell r="AF222" t="str">
            <v/>
          </cell>
        </row>
        <row r="223">
          <cell r="Y223">
            <v>207</v>
          </cell>
          <cell r="Z223">
            <v>0.75825987569987774</v>
          </cell>
          <cell r="AA223">
            <v>0.11844262724522145</v>
          </cell>
          <cell r="AB223" t="str">
            <v/>
          </cell>
          <cell r="AC223" t="e">
            <v>#N/A</v>
          </cell>
          <cell r="AD223">
            <v>136</v>
          </cell>
          <cell r="AE223" t="e">
            <v>#N/A</v>
          </cell>
          <cell r="AF223" t="str">
            <v/>
          </cell>
        </row>
        <row r="224">
          <cell r="Y224">
            <v>208</v>
          </cell>
          <cell r="Z224">
            <v>0.61437716148793697</v>
          </cell>
          <cell r="AA224">
            <v>4.9145024036776515E-2</v>
          </cell>
          <cell r="AB224" t="str">
            <v/>
          </cell>
          <cell r="AC224" t="e">
            <v>#N/A</v>
          </cell>
          <cell r="AD224">
            <v>137</v>
          </cell>
          <cell r="AE224" t="e">
            <v>#N/A</v>
          </cell>
          <cell r="AF224" t="str">
            <v/>
          </cell>
        </row>
        <row r="225">
          <cell r="Y225">
            <v>209</v>
          </cell>
          <cell r="Z225">
            <v>0.60178246907889843</v>
          </cell>
          <cell r="AA225">
            <v>4.3603793200760195E-2</v>
          </cell>
          <cell r="AB225" t="str">
            <v/>
          </cell>
          <cell r="AC225" t="e">
            <v>#N/A</v>
          </cell>
          <cell r="AD225">
            <v>138</v>
          </cell>
          <cell r="AE225" t="e">
            <v>#N/A</v>
          </cell>
          <cell r="AF225" t="str">
            <v/>
          </cell>
        </row>
        <row r="226">
          <cell r="Y226">
            <v>210</v>
          </cell>
          <cell r="Z226">
            <v>0.51396108232438564</v>
          </cell>
          <cell r="AA226">
            <v>5.9164837131772743E-3</v>
          </cell>
          <cell r="AB226" t="str">
            <v/>
          </cell>
          <cell r="AC226" t="e">
            <v>#N/A</v>
          </cell>
          <cell r="AD226">
            <v>139</v>
          </cell>
          <cell r="AE226" t="e">
            <v>#N/A</v>
          </cell>
          <cell r="AF226" t="str">
            <v/>
          </cell>
        </row>
        <row r="227">
          <cell r="Y227">
            <v>211</v>
          </cell>
          <cell r="Z227">
            <v>0.50473792664706707</v>
          </cell>
          <cell r="AA227">
            <v>2.0074949164634423E-3</v>
          </cell>
          <cell r="AB227" t="str">
            <v/>
          </cell>
          <cell r="AC227" t="e">
            <v>#N/A</v>
          </cell>
          <cell r="AD227">
            <v>140</v>
          </cell>
          <cell r="AE227" t="e">
            <v>#N/A</v>
          </cell>
          <cell r="AF227" t="str">
            <v/>
          </cell>
        </row>
        <row r="228">
          <cell r="Y228">
            <v>212</v>
          </cell>
          <cell r="Z228">
            <v>0.82806371711194515</v>
          </cell>
          <cell r="AA228">
            <v>0.15999468201041162</v>
          </cell>
          <cell r="AB228" t="str">
            <v/>
          </cell>
          <cell r="AC228" t="e">
            <v>#N/A</v>
          </cell>
          <cell r="AD228">
            <v>141</v>
          </cell>
          <cell r="AE228" t="e">
            <v>#N/A</v>
          </cell>
          <cell r="AF228" t="str">
            <v/>
          </cell>
        </row>
        <row r="229">
          <cell r="Y229">
            <v>213</v>
          </cell>
          <cell r="Z229">
            <v>0.93594777397811413</v>
          </cell>
          <cell r="AA229">
            <v>0.25720063659493886</v>
          </cell>
          <cell r="AB229" t="str">
            <v/>
          </cell>
          <cell r="AC229" t="e">
            <v>#N/A</v>
          </cell>
          <cell r="AD229">
            <v>142</v>
          </cell>
          <cell r="AE229" t="e">
            <v>#N/A</v>
          </cell>
          <cell r="AF229" t="str">
            <v/>
          </cell>
        </row>
        <row r="230">
          <cell r="Y230">
            <v>214</v>
          </cell>
          <cell r="Z230">
            <v>0.9071022029966116</v>
          </cell>
          <cell r="AA230">
            <v>0.22364803881744991</v>
          </cell>
          <cell r="AB230" t="str">
            <v/>
          </cell>
          <cell r="AC230" t="e">
            <v>#N/A</v>
          </cell>
          <cell r="AD230">
            <v>143</v>
          </cell>
          <cell r="AE230" t="e">
            <v>#N/A</v>
          </cell>
          <cell r="AF230" t="str">
            <v/>
          </cell>
        </row>
        <row r="231">
          <cell r="Y231">
            <v>215</v>
          </cell>
          <cell r="Z231">
            <v>0.82229475490748882</v>
          </cell>
          <cell r="AA231">
            <v>0.15620912503383866</v>
          </cell>
          <cell r="AB231" t="str">
            <v/>
          </cell>
          <cell r="AC231" t="e">
            <v>#N/A</v>
          </cell>
          <cell r="AD231">
            <v>144</v>
          </cell>
          <cell r="AE231" t="e">
            <v>#N/A</v>
          </cell>
          <cell r="AF231" t="str">
            <v/>
          </cell>
        </row>
        <row r="232">
          <cell r="Y232">
            <v>216</v>
          </cell>
          <cell r="Z232">
            <v>0.23890670202672482</v>
          </cell>
          <cell r="AA232">
            <v>-0.11998212208163064</v>
          </cell>
          <cell r="AB232" t="str">
            <v/>
          </cell>
          <cell r="AC232" t="e">
            <v>#N/A</v>
          </cell>
          <cell r="AD232">
            <v>145</v>
          </cell>
          <cell r="AE232" t="e">
            <v>#N/A</v>
          </cell>
          <cell r="AF232" t="str">
            <v/>
          </cell>
        </row>
        <row r="233">
          <cell r="Y233">
            <v>217</v>
          </cell>
          <cell r="Z233">
            <v>0.12605437450110912</v>
          </cell>
          <cell r="AA233">
            <v>-0.19358130146757169</v>
          </cell>
          <cell r="AB233" t="str">
            <v/>
          </cell>
          <cell r="AC233" t="e">
            <v>#N/A</v>
          </cell>
          <cell r="AD233">
            <v>146</v>
          </cell>
          <cell r="AE233" t="e">
            <v>#N/A</v>
          </cell>
          <cell r="AF233" t="str">
            <v/>
          </cell>
        </row>
        <row r="234">
          <cell r="Y234">
            <v>218</v>
          </cell>
          <cell r="Z234">
            <v>0.38371795974671841</v>
          </cell>
          <cell r="AA234">
            <v>-4.9987574375181962E-2</v>
          </cell>
          <cell r="AB234" t="str">
            <v/>
          </cell>
          <cell r="AC234" t="e">
            <v>#N/A</v>
          </cell>
          <cell r="AD234">
            <v>147</v>
          </cell>
          <cell r="AE234" t="e">
            <v>#N/A</v>
          </cell>
          <cell r="AF234" t="str">
            <v/>
          </cell>
        </row>
        <row r="235">
          <cell r="Y235">
            <v>219</v>
          </cell>
          <cell r="Z235">
            <v>0.58580066077411175</v>
          </cell>
          <cell r="AA235">
            <v>3.6638413207321613E-2</v>
          </cell>
          <cell r="AB235" t="str">
            <v/>
          </cell>
          <cell r="AC235" t="e">
            <v>#N/A</v>
          </cell>
          <cell r="AD235">
            <v>148</v>
          </cell>
          <cell r="AE235" t="e">
            <v>#N/A</v>
          </cell>
          <cell r="AF235" t="str">
            <v/>
          </cell>
        </row>
        <row r="236">
          <cell r="Y236">
            <v>220</v>
          </cell>
          <cell r="Z236">
            <v>0.22314970754086971</v>
          </cell>
          <cell r="AA236">
            <v>-0.12873371481019355</v>
          </cell>
          <cell r="AB236" t="str">
            <v/>
          </cell>
          <cell r="AC236" t="e">
            <v>#N/A</v>
          </cell>
          <cell r="AD236">
            <v>149</v>
          </cell>
          <cell r="AE236" t="e">
            <v>#N/A</v>
          </cell>
          <cell r="AF236" t="str">
            <v/>
          </cell>
        </row>
        <row r="237">
          <cell r="Y237">
            <v>221</v>
          </cell>
          <cell r="Z237">
            <v>0.97635489515960217</v>
          </cell>
          <cell r="AA237">
            <v>0.33530511080722808</v>
          </cell>
          <cell r="AB237" t="str">
            <v/>
          </cell>
          <cell r="AC237" t="e">
            <v>#N/A</v>
          </cell>
          <cell r="AD237">
            <v>150</v>
          </cell>
          <cell r="AE237" t="e">
            <v>#N/A</v>
          </cell>
          <cell r="AF237" t="str">
            <v/>
          </cell>
        </row>
        <row r="238">
          <cell r="Y238">
            <v>222</v>
          </cell>
          <cell r="Z238">
            <v>0.64420965872704983</v>
          </cell>
          <cell r="AA238">
            <v>6.2496455662757529E-2</v>
          </cell>
          <cell r="AB238" t="str">
            <v/>
          </cell>
          <cell r="AC238" t="e">
            <v>#N/A</v>
          </cell>
          <cell r="AD238">
            <v>151</v>
          </cell>
          <cell r="AE238" t="e">
            <v>#N/A</v>
          </cell>
          <cell r="AF238" t="str">
            <v/>
          </cell>
        </row>
        <row r="239">
          <cell r="Y239">
            <v>223</v>
          </cell>
          <cell r="Z239">
            <v>0.96199606172740459</v>
          </cell>
          <cell r="AA239">
            <v>0.29991723011848281</v>
          </cell>
          <cell r="AB239" t="str">
            <v/>
          </cell>
          <cell r="AC239" t="e">
            <v>#N/A</v>
          </cell>
          <cell r="AD239">
            <v>152</v>
          </cell>
          <cell r="AE239" t="e">
            <v>#N/A</v>
          </cell>
          <cell r="AF239" t="str">
            <v/>
          </cell>
        </row>
        <row r="240">
          <cell r="Y240">
            <v>224</v>
          </cell>
          <cell r="Z240">
            <v>0.12322284840047359</v>
          </cell>
          <cell r="AA240">
            <v>-0.19591110560210656</v>
          </cell>
          <cell r="AB240" t="str">
            <v/>
          </cell>
          <cell r="AC240" t="e">
            <v>#N/A</v>
          </cell>
          <cell r="AD240">
            <v>153</v>
          </cell>
          <cell r="AE240" t="e">
            <v>#N/A</v>
          </cell>
          <cell r="AF240" t="str">
            <v/>
          </cell>
        </row>
        <row r="241">
          <cell r="Y241">
            <v>225</v>
          </cell>
          <cell r="Z241">
            <v>8.5901765152812004E-2</v>
          </cell>
          <cell r="AA241">
            <v>-0.23096909921553629</v>
          </cell>
          <cell r="AB241" t="str">
            <v/>
          </cell>
          <cell r="AC241" t="e">
            <v>#N/A</v>
          </cell>
          <cell r="AD241">
            <v>154</v>
          </cell>
          <cell r="AE241" t="e">
            <v>#N/A</v>
          </cell>
          <cell r="AF241" t="str">
            <v/>
          </cell>
        </row>
        <row r="242">
          <cell r="Y242">
            <v>226</v>
          </cell>
          <cell r="Z242">
            <v>0.76825106702744961</v>
          </cell>
          <cell r="AA242">
            <v>0.12391639881299249</v>
          </cell>
          <cell r="AB242" t="str">
            <v/>
          </cell>
          <cell r="AC242" t="e">
            <v>#N/A</v>
          </cell>
          <cell r="AD242">
            <v>155</v>
          </cell>
          <cell r="AE242" t="e">
            <v>#N/A</v>
          </cell>
          <cell r="AF242" t="str">
            <v/>
          </cell>
        </row>
        <row r="243">
          <cell r="Y243">
            <v>227</v>
          </cell>
          <cell r="Z243">
            <v>0.65753836743533611</v>
          </cell>
          <cell r="AA243">
            <v>6.8584965892536112E-2</v>
          </cell>
          <cell r="AB243" t="str">
            <v/>
          </cell>
          <cell r="AC243" t="e">
            <v>#N/A</v>
          </cell>
          <cell r="AD243">
            <v>156</v>
          </cell>
          <cell r="AE243" t="e">
            <v>#N/A</v>
          </cell>
          <cell r="AF243" t="str">
            <v/>
          </cell>
        </row>
        <row r="244">
          <cell r="Y244">
            <v>228</v>
          </cell>
          <cell r="Z244">
            <v>0.22235213778913021</v>
          </cell>
          <cell r="AA244">
            <v>-0.12918579960120885</v>
          </cell>
          <cell r="AB244" t="str">
            <v/>
          </cell>
          <cell r="AC244" t="e">
            <v>#N/A</v>
          </cell>
          <cell r="AD244">
            <v>157</v>
          </cell>
          <cell r="AE244" t="e">
            <v>#N/A</v>
          </cell>
          <cell r="AF244" t="str">
            <v/>
          </cell>
        </row>
        <row r="245">
          <cell r="Y245">
            <v>229</v>
          </cell>
          <cell r="Z245">
            <v>0.26846909336745739</v>
          </cell>
          <cell r="AA245">
            <v>-0.10436803852400081</v>
          </cell>
          <cell r="AB245" t="str">
            <v/>
          </cell>
          <cell r="AC245" t="e">
            <v>#N/A</v>
          </cell>
          <cell r="AD245">
            <v>158</v>
          </cell>
          <cell r="AE245" t="e">
            <v>#N/A</v>
          </cell>
          <cell r="AF245" t="str">
            <v/>
          </cell>
        </row>
        <row r="246">
          <cell r="Y246">
            <v>230</v>
          </cell>
          <cell r="Z246">
            <v>0.4237727876752615</v>
          </cell>
          <cell r="AA246">
            <v>-3.2496355161169103E-2</v>
          </cell>
          <cell r="AB246" t="str">
            <v/>
          </cell>
          <cell r="AC246" t="e">
            <v>#N/A</v>
          </cell>
          <cell r="AD246">
            <v>159</v>
          </cell>
          <cell r="AE246" t="e">
            <v>#N/A</v>
          </cell>
          <cell r="AF246" t="str">
            <v/>
          </cell>
        </row>
        <row r="247">
          <cell r="Y247">
            <v>231</v>
          </cell>
          <cell r="Z247">
            <v>0.38579885475337505</v>
          </cell>
          <cell r="AA247">
            <v>-4.9067231889754891E-2</v>
          </cell>
          <cell r="AB247" t="str">
            <v/>
          </cell>
          <cell r="AC247" t="e">
            <v>#N/A</v>
          </cell>
          <cell r="AD247">
            <v>160</v>
          </cell>
          <cell r="AE247" t="e">
            <v>#N/A</v>
          </cell>
          <cell r="AF247" t="str">
            <v/>
          </cell>
        </row>
        <row r="248">
          <cell r="Y248">
            <v>232</v>
          </cell>
          <cell r="Z248">
            <v>0.56291886232793331</v>
          </cell>
          <cell r="AA248">
            <v>2.67700544138804E-2</v>
          </cell>
          <cell r="AB248" t="str">
            <v/>
          </cell>
          <cell r="AC248" t="e">
            <v>#N/A</v>
          </cell>
          <cell r="AD248">
            <v>161</v>
          </cell>
          <cell r="AE248" t="e">
            <v>#N/A</v>
          </cell>
          <cell r="AF248" t="str">
            <v/>
          </cell>
        </row>
        <row r="249">
          <cell r="Y249">
            <v>233</v>
          </cell>
          <cell r="Z249">
            <v>0.94122454337775707</v>
          </cell>
          <cell r="AA249">
            <v>0.26455634980349424</v>
          </cell>
          <cell r="AB249" t="str">
            <v/>
          </cell>
          <cell r="AC249" t="e">
            <v>#N/A</v>
          </cell>
          <cell r="AD249">
            <v>162</v>
          </cell>
          <cell r="AE249" t="e">
            <v>#N/A</v>
          </cell>
          <cell r="AF249" t="str">
            <v/>
          </cell>
        </row>
        <row r="250">
          <cell r="Y250">
            <v>234</v>
          </cell>
          <cell r="Z250">
            <v>0.66969663463532925</v>
          </cell>
          <cell r="AA250">
            <v>7.421732874633305E-2</v>
          </cell>
          <cell r="AB250" t="str">
            <v/>
          </cell>
          <cell r="AC250" t="e">
            <v>#N/A</v>
          </cell>
          <cell r="AD250">
            <v>163</v>
          </cell>
          <cell r="AE250" t="e">
            <v>#N/A</v>
          </cell>
          <cell r="AF250" t="str">
            <v/>
          </cell>
        </row>
        <row r="251">
          <cell r="Y251">
            <v>235</v>
          </cell>
          <cell r="Z251">
            <v>5.2409542724490166E-2</v>
          </cell>
          <cell r="AA251">
            <v>-0.27415561742321953</v>
          </cell>
          <cell r="AB251" t="str">
            <v/>
          </cell>
          <cell r="AC251" t="e">
            <v>#N/A</v>
          </cell>
          <cell r="AD251">
            <v>164</v>
          </cell>
          <cell r="AE251" t="e">
            <v>#N/A</v>
          </cell>
          <cell r="AF251" t="str">
            <v/>
          </cell>
        </row>
        <row r="252">
          <cell r="Y252">
            <v>236</v>
          </cell>
          <cell r="Z252">
            <v>0.10856895707547665</v>
          </cell>
          <cell r="AA252">
            <v>-0.20861355377312454</v>
          </cell>
          <cell r="AB252" t="str">
            <v/>
          </cell>
          <cell r="AC252" t="e">
            <v>#N/A</v>
          </cell>
          <cell r="AD252">
            <v>165</v>
          </cell>
          <cell r="AE252" t="e">
            <v>#N/A</v>
          </cell>
          <cell r="AF252" t="str">
            <v/>
          </cell>
        </row>
        <row r="253">
          <cell r="Y253">
            <v>237</v>
          </cell>
          <cell r="Z253">
            <v>0.9821512084454298</v>
          </cell>
          <cell r="AA253">
            <v>0.3550248723589719</v>
          </cell>
          <cell r="AB253" t="str">
            <v/>
          </cell>
          <cell r="AC253" t="e">
            <v>#N/A</v>
          </cell>
          <cell r="AD253">
            <v>166</v>
          </cell>
          <cell r="AE253" t="e">
            <v>#N/A</v>
          </cell>
          <cell r="AF253" t="str">
            <v/>
          </cell>
        </row>
        <row r="254">
          <cell r="Y254">
            <v>238</v>
          </cell>
          <cell r="Z254">
            <v>0.8524200078099966</v>
          </cell>
          <cell r="AA254">
            <v>0.17695316406383327</v>
          </cell>
          <cell r="AB254" t="str">
            <v/>
          </cell>
          <cell r="AC254" t="e">
            <v>#N/A</v>
          </cell>
          <cell r="AD254">
            <v>167</v>
          </cell>
          <cell r="AE254" t="e">
            <v>#N/A</v>
          </cell>
          <cell r="AF254" t="str">
            <v/>
          </cell>
        </row>
        <row r="255">
          <cell r="Y255">
            <v>239</v>
          </cell>
          <cell r="Z255">
            <v>0.1595600675791502</v>
          </cell>
          <cell r="AA255">
            <v>-0.16839996249754377</v>
          </cell>
          <cell r="AB255" t="str">
            <v/>
          </cell>
          <cell r="AC255" t="e">
            <v>#N/A</v>
          </cell>
          <cell r="AD255">
            <v>168</v>
          </cell>
          <cell r="AE255" t="e">
            <v>#N/A</v>
          </cell>
          <cell r="AF255" t="str">
            <v/>
          </cell>
        </row>
        <row r="256">
          <cell r="Y256">
            <v>240</v>
          </cell>
          <cell r="Z256">
            <v>0.75007238052785397</v>
          </cell>
          <cell r="AA256">
            <v>0.11404807984151451</v>
          </cell>
          <cell r="AB256" t="str">
            <v/>
          </cell>
          <cell r="AC256" t="e">
            <v>#N/A</v>
          </cell>
          <cell r="AD256">
            <v>169</v>
          </cell>
          <cell r="AE256" t="e">
            <v>#N/A</v>
          </cell>
          <cell r="AF256" t="str">
            <v/>
          </cell>
        </row>
        <row r="257">
          <cell r="Y257">
            <v>241</v>
          </cell>
          <cell r="Z257">
            <v>0.55621948651969433</v>
          </cell>
          <cell r="AA257">
            <v>2.3899448930029217E-2</v>
          </cell>
          <cell r="AB257" t="str">
            <v/>
          </cell>
          <cell r="AC257" t="e">
            <v>#N/A</v>
          </cell>
          <cell r="AD257">
            <v>170</v>
          </cell>
          <cell r="AE257" t="e">
            <v>#N/A</v>
          </cell>
          <cell r="AF257" t="str">
            <v/>
          </cell>
        </row>
        <row r="258">
          <cell r="Y258">
            <v>242</v>
          </cell>
          <cell r="Z258">
            <v>9.6050268039107323E-2</v>
          </cell>
          <cell r="AA258">
            <v>-0.22048220470483898</v>
          </cell>
          <cell r="AB258" t="str">
            <v/>
          </cell>
          <cell r="AC258" t="e">
            <v>#N/A</v>
          </cell>
          <cell r="AD258">
            <v>171</v>
          </cell>
          <cell r="AE258" t="e">
            <v>#N/A</v>
          </cell>
          <cell r="AF258" t="str">
            <v/>
          </cell>
        </row>
        <row r="259">
          <cell r="Y259">
            <v>243</v>
          </cell>
          <cell r="Z259">
            <v>0.92904455773532391</v>
          </cell>
          <cell r="AA259">
            <v>0.24825766203398572</v>
          </cell>
          <cell r="AB259" t="str">
            <v/>
          </cell>
          <cell r="AC259" t="e">
            <v>#N/A</v>
          </cell>
          <cell r="AD259">
            <v>172</v>
          </cell>
          <cell r="AE259" t="e">
            <v>#N/A</v>
          </cell>
          <cell r="AF259" t="str">
            <v/>
          </cell>
        </row>
        <row r="260">
          <cell r="Y260">
            <v>244</v>
          </cell>
          <cell r="Z260">
            <v>0.65493248961865902</v>
          </cell>
          <cell r="AA260">
            <v>6.7387840126302376E-2</v>
          </cell>
          <cell r="AB260" t="str">
            <v/>
          </cell>
          <cell r="AC260" t="e">
            <v>#N/A</v>
          </cell>
          <cell r="AD260">
            <v>173</v>
          </cell>
          <cell r="AE260" t="e">
            <v>#N/A</v>
          </cell>
          <cell r="AF260" t="str">
            <v/>
          </cell>
        </row>
        <row r="261">
          <cell r="Y261">
            <v>245</v>
          </cell>
          <cell r="Z261">
            <v>0.4103089552372694</v>
          </cell>
          <cell r="AA261">
            <v>-3.8327796470792791E-2</v>
          </cell>
          <cell r="AB261" t="str">
            <v/>
          </cell>
          <cell r="AC261" t="e">
            <v>#N/A</v>
          </cell>
          <cell r="AD261">
            <v>174</v>
          </cell>
          <cell r="AE261" t="e">
            <v>#N/A</v>
          </cell>
          <cell r="AF261" t="str">
            <v/>
          </cell>
        </row>
        <row r="262">
          <cell r="Y262">
            <v>246</v>
          </cell>
          <cell r="Z262">
            <v>0.88638911210000515</v>
          </cell>
          <cell r="AA262">
            <v>0.20411260049371757</v>
          </cell>
          <cell r="AB262" t="str">
            <v/>
          </cell>
          <cell r="AC262" t="e">
            <v>#N/A</v>
          </cell>
          <cell r="AD262">
            <v>175</v>
          </cell>
          <cell r="AE262" t="e">
            <v>#N/A</v>
          </cell>
          <cell r="AF262" t="str">
            <v/>
          </cell>
        </row>
        <row r="263">
          <cell r="Y263">
            <v>247</v>
          </cell>
          <cell r="Z263">
            <v>0.64405850879848003</v>
          </cell>
          <cell r="AA263">
            <v>6.2427888522942801E-2</v>
          </cell>
          <cell r="AB263" t="str">
            <v/>
          </cell>
          <cell r="AC263" t="e">
            <v>#N/A</v>
          </cell>
          <cell r="AD263">
            <v>176</v>
          </cell>
          <cell r="AE263" t="e">
            <v>#N/A</v>
          </cell>
          <cell r="AF263" t="str">
            <v/>
          </cell>
        </row>
        <row r="264">
          <cell r="Y264">
            <v>248</v>
          </cell>
          <cell r="Z264">
            <v>0.46074541471898556</v>
          </cell>
          <cell r="AA264">
            <v>-1.6658999722075261E-2</v>
          </cell>
          <cell r="AB264" t="str">
            <v/>
          </cell>
          <cell r="AC264" t="e">
            <v>#N/A</v>
          </cell>
          <cell r="AD264">
            <v>177</v>
          </cell>
          <cell r="AE264" t="e">
            <v>#N/A</v>
          </cell>
          <cell r="AF264" t="str">
            <v/>
          </cell>
        </row>
        <row r="265">
          <cell r="Y265">
            <v>249</v>
          </cell>
          <cell r="Z265">
            <v>0.13688024692237377</v>
          </cell>
          <cell r="AA265">
            <v>-0.1849947240617868</v>
          </cell>
          <cell r="AB265" t="str">
            <v/>
          </cell>
          <cell r="AC265" t="e">
            <v>#N/A</v>
          </cell>
          <cell r="AD265">
            <v>178</v>
          </cell>
          <cell r="AE265" t="e">
            <v>#N/A</v>
          </cell>
          <cell r="AF265" t="str">
            <v/>
          </cell>
        </row>
        <row r="266">
          <cell r="Y266">
            <v>250</v>
          </cell>
          <cell r="Z266">
            <v>0.24866694770753384</v>
          </cell>
          <cell r="AA266">
            <v>-0.11471965710966009</v>
          </cell>
          <cell r="AB266" t="str">
            <v/>
          </cell>
          <cell r="AC266" t="e">
            <v>#N/A</v>
          </cell>
          <cell r="AD266">
            <v>179</v>
          </cell>
          <cell r="AE266" t="e">
            <v>#N/A</v>
          </cell>
          <cell r="AF266" t="str">
            <v/>
          </cell>
        </row>
        <row r="267">
          <cell r="Y267">
            <v>251</v>
          </cell>
          <cell r="Z267">
            <v>0.70974565856158733</v>
          </cell>
          <cell r="AA267">
            <v>9.341352122700991E-2</v>
          </cell>
          <cell r="AB267" t="str">
            <v/>
          </cell>
          <cell r="AC267" t="e">
            <v>#N/A</v>
          </cell>
          <cell r="AD267">
            <v>180</v>
          </cell>
          <cell r="AE267" t="e">
            <v>#N/A</v>
          </cell>
          <cell r="AF267" t="str">
            <v/>
          </cell>
        </row>
        <row r="268">
          <cell r="Y268">
            <v>252</v>
          </cell>
          <cell r="Z268">
            <v>0.81230943463742733</v>
          </cell>
          <cell r="AA268">
            <v>0.14983550099823223</v>
          </cell>
          <cell r="AB268" t="str">
            <v/>
          </cell>
          <cell r="AC268" t="e">
            <v>#N/A</v>
          </cell>
          <cell r="AD268">
            <v>181</v>
          </cell>
          <cell r="AE268" t="e">
            <v>#N/A</v>
          </cell>
          <cell r="AF268" t="str">
            <v/>
          </cell>
        </row>
        <row r="269">
          <cell r="Y269">
            <v>253</v>
          </cell>
          <cell r="Z269">
            <v>0.90639692358672619</v>
          </cell>
          <cell r="AA269">
            <v>0.22293296602473231</v>
          </cell>
          <cell r="AB269" t="str">
            <v/>
          </cell>
          <cell r="AC269" t="e">
            <v>#N/A</v>
          </cell>
          <cell r="AD269">
            <v>182</v>
          </cell>
          <cell r="AE269" t="e">
            <v>#N/A</v>
          </cell>
          <cell r="AF269" t="str">
            <v/>
          </cell>
        </row>
        <row r="270">
          <cell r="Y270">
            <v>254</v>
          </cell>
          <cell r="Z270">
            <v>1.9027268514037132E-2</v>
          </cell>
          <cell r="AA270">
            <v>-0.35061508656173618</v>
          </cell>
          <cell r="AB270" t="str">
            <v/>
          </cell>
          <cell r="AC270" t="e">
            <v>#N/A</v>
          </cell>
          <cell r="AD270">
            <v>183</v>
          </cell>
          <cell r="AE270" t="e">
            <v>#N/A</v>
          </cell>
          <cell r="AF270" t="str">
            <v/>
          </cell>
        </row>
        <row r="271">
          <cell r="Y271">
            <v>255</v>
          </cell>
          <cell r="Z271">
            <v>0.93249486200511456</v>
          </cell>
          <cell r="AA271">
            <v>0.25263907024977833</v>
          </cell>
          <cell r="AB271" t="str">
            <v/>
          </cell>
          <cell r="AC271" t="e">
            <v>#N/A</v>
          </cell>
          <cell r="AD271">
            <v>184</v>
          </cell>
          <cell r="AE271" t="e">
            <v>#N/A</v>
          </cell>
          <cell r="AF271" t="str">
            <v/>
          </cell>
        </row>
        <row r="272">
          <cell r="Y272">
            <v>256</v>
          </cell>
          <cell r="Z272">
            <v>0.74248435162007809</v>
          </cell>
          <cell r="AA272">
            <v>0.11004306153589045</v>
          </cell>
          <cell r="AB272" t="str">
            <v/>
          </cell>
          <cell r="AC272" t="e">
            <v>#N/A</v>
          </cell>
          <cell r="AD272">
            <v>185</v>
          </cell>
          <cell r="AE272" t="e">
            <v>#N/A</v>
          </cell>
          <cell r="AF272" t="str">
            <v/>
          </cell>
        </row>
        <row r="273">
          <cell r="Y273">
            <v>257</v>
          </cell>
          <cell r="Z273">
            <v>0.1684973519295454</v>
          </cell>
          <cell r="AA273">
            <v>-0.16228994088721946</v>
          </cell>
          <cell r="AB273" t="str">
            <v/>
          </cell>
          <cell r="AC273" t="e">
            <v>#N/A</v>
          </cell>
          <cell r="AD273">
            <v>186</v>
          </cell>
          <cell r="AE273" t="e">
            <v>#N/A</v>
          </cell>
          <cell r="AF273" t="str">
            <v/>
          </cell>
        </row>
        <row r="274">
          <cell r="Y274">
            <v>258</v>
          </cell>
          <cell r="Z274">
            <v>0.70976102910935879</v>
          </cell>
          <cell r="AA274">
            <v>9.3421108229659128E-2</v>
          </cell>
          <cell r="AB274" t="str">
            <v/>
          </cell>
          <cell r="AC274" t="e">
            <v>#N/A</v>
          </cell>
          <cell r="AD274">
            <v>187</v>
          </cell>
          <cell r="AE274" t="e">
            <v>#N/A</v>
          </cell>
          <cell r="AF274" t="str">
            <v/>
          </cell>
        </row>
        <row r="275">
          <cell r="Y275">
            <v>259</v>
          </cell>
          <cell r="Z275">
            <v>0.51798696629703045</v>
          </cell>
          <cell r="AA275">
            <v>7.6236166881654714E-3</v>
          </cell>
          <cell r="AB275" t="str">
            <v/>
          </cell>
          <cell r="AC275" t="e">
            <v>#N/A</v>
          </cell>
          <cell r="AD275">
            <v>188</v>
          </cell>
          <cell r="AE275" t="e">
            <v>#N/A</v>
          </cell>
          <cell r="AF275" t="str">
            <v/>
          </cell>
        </row>
        <row r="276">
          <cell r="Y276">
            <v>260</v>
          </cell>
          <cell r="Z276">
            <v>0.39680086635053158</v>
          </cell>
          <cell r="AA276">
            <v>-4.4224633286235111E-2</v>
          </cell>
          <cell r="AB276" t="str">
            <v/>
          </cell>
          <cell r="AC276" t="e">
            <v>#N/A</v>
          </cell>
          <cell r="AD276">
            <v>189</v>
          </cell>
          <cell r="AE276" t="e">
            <v>#N/A</v>
          </cell>
          <cell r="AF276" t="str">
            <v/>
          </cell>
        </row>
        <row r="277">
          <cell r="Y277">
            <v>261</v>
          </cell>
          <cell r="Z277">
            <v>0.82191657833755016</v>
          </cell>
          <cell r="AA277">
            <v>0.1559637034037637</v>
          </cell>
          <cell r="AB277" t="str">
            <v/>
          </cell>
          <cell r="AC277" t="e">
            <v>#N/A</v>
          </cell>
          <cell r="AD277">
            <v>190</v>
          </cell>
          <cell r="AE277" t="e">
            <v>#N/A</v>
          </cell>
          <cell r="AF277" t="str">
            <v/>
          </cell>
        </row>
        <row r="278">
          <cell r="Y278">
            <v>262</v>
          </cell>
          <cell r="Z278">
            <v>0.46829102002084255</v>
          </cell>
          <cell r="AA278">
            <v>-1.3449193158999E-2</v>
          </cell>
          <cell r="AB278" t="str">
            <v/>
          </cell>
          <cell r="AC278" t="e">
            <v>#N/A</v>
          </cell>
          <cell r="AD278">
            <v>191</v>
          </cell>
          <cell r="AE278" t="e">
            <v>#N/A</v>
          </cell>
          <cell r="AF278" t="str">
            <v/>
          </cell>
        </row>
        <row r="279">
          <cell r="Y279">
            <v>263</v>
          </cell>
          <cell r="Z279">
            <v>0.28799168579280376</v>
          </cell>
          <cell r="AA279">
            <v>-9.4532421204649109E-2</v>
          </cell>
          <cell r="AB279" t="str">
            <v/>
          </cell>
          <cell r="AC279" t="e">
            <v>#N/A</v>
          </cell>
          <cell r="AD279">
            <v>192</v>
          </cell>
          <cell r="AE279" t="e">
            <v>#N/A</v>
          </cell>
          <cell r="AF279" t="str">
            <v/>
          </cell>
        </row>
        <row r="280">
          <cell r="Y280">
            <v>264</v>
          </cell>
          <cell r="Z280">
            <v>0.60181995294988155</v>
          </cell>
          <cell r="AA280">
            <v>4.362021254809538E-2</v>
          </cell>
          <cell r="AB280" t="str">
            <v/>
          </cell>
          <cell r="AC280" t="e">
            <v>#N/A</v>
          </cell>
          <cell r="AD280">
            <v>193</v>
          </cell>
          <cell r="AE280" t="e">
            <v>#N/A</v>
          </cell>
          <cell r="AF280" t="str">
            <v/>
          </cell>
        </row>
        <row r="281">
          <cell r="Y281">
            <v>265</v>
          </cell>
          <cell r="Z281">
            <v>0.35315820388495922</v>
          </cell>
          <cell r="AA281">
            <v>-6.3692151256516366E-2</v>
          </cell>
          <cell r="AB281" t="str">
            <v/>
          </cell>
          <cell r="AC281" t="e">
            <v>#N/A</v>
          </cell>
          <cell r="AD281">
            <v>194</v>
          </cell>
          <cell r="AE281" t="e">
            <v>#N/A</v>
          </cell>
          <cell r="AF281" t="str">
            <v/>
          </cell>
        </row>
        <row r="282">
          <cell r="Y282">
            <v>266</v>
          </cell>
          <cell r="Z282">
            <v>0.62990624271333218</v>
          </cell>
          <cell r="AA282">
            <v>5.6051481819013378E-2</v>
          </cell>
          <cell r="AB282" t="str">
            <v/>
          </cell>
          <cell r="AC282" t="e">
            <v>#N/A</v>
          </cell>
          <cell r="AD282">
            <v>195</v>
          </cell>
          <cell r="AE282" t="e">
            <v>#N/A</v>
          </cell>
          <cell r="AF282" t="str">
            <v/>
          </cell>
        </row>
        <row r="283">
          <cell r="Y283">
            <v>267</v>
          </cell>
          <cell r="Z283">
            <v>0.61591447703540325</v>
          </cell>
          <cell r="AA283">
            <v>4.9824900743731415E-2</v>
          </cell>
          <cell r="AB283" t="str">
            <v/>
          </cell>
          <cell r="AC283" t="e">
            <v>#N/A</v>
          </cell>
          <cell r="AD283">
            <v>196</v>
          </cell>
          <cell r="AE283" t="e">
            <v>#N/A</v>
          </cell>
          <cell r="AF283" t="str">
            <v/>
          </cell>
        </row>
        <row r="284">
          <cell r="Y284">
            <v>268</v>
          </cell>
          <cell r="Z284">
            <v>0.77724223397672176</v>
          </cell>
          <cell r="AA284">
            <v>0.12895576292444885</v>
          </cell>
          <cell r="AB284" t="str">
            <v/>
          </cell>
          <cell r="AC284" t="e">
            <v>#N/A</v>
          </cell>
          <cell r="AD284">
            <v>197</v>
          </cell>
          <cell r="AE284" t="e">
            <v>#N/A</v>
          </cell>
          <cell r="AF284" t="str">
            <v/>
          </cell>
        </row>
        <row r="285">
          <cell r="Y285">
            <v>269</v>
          </cell>
          <cell r="Z285">
            <v>0.44391625933349133</v>
          </cell>
          <cell r="AA285">
            <v>-2.3841357372106825E-2</v>
          </cell>
          <cell r="AB285" t="str">
            <v/>
          </cell>
          <cell r="AC285" t="e">
            <v>#N/A</v>
          </cell>
          <cell r="AD285">
            <v>198</v>
          </cell>
          <cell r="AE285" t="e">
            <v>#N/A</v>
          </cell>
          <cell r="AF285" t="str">
            <v/>
          </cell>
        </row>
        <row r="286">
          <cell r="Y286">
            <v>270</v>
          </cell>
          <cell r="Z286">
            <v>0.36424628458917141</v>
          </cell>
          <cell r="AA286">
            <v>-5.8675923925644274E-2</v>
          </cell>
          <cell r="AB286" t="str">
            <v/>
          </cell>
          <cell r="AC286" t="e">
            <v>#N/A</v>
          </cell>
          <cell r="AD286">
            <v>199</v>
          </cell>
          <cell r="AE286" t="e">
            <v>#N/A</v>
          </cell>
          <cell r="AF286" t="str">
            <v/>
          </cell>
        </row>
        <row r="287">
          <cell r="Y287">
            <v>271</v>
          </cell>
          <cell r="Z287">
            <v>0.58109341375529766</v>
          </cell>
          <cell r="AA287">
            <v>3.4599176118122896E-2</v>
          </cell>
          <cell r="AB287" t="str">
            <v/>
          </cell>
          <cell r="AC287" t="e">
            <v>#N/A</v>
          </cell>
          <cell r="AD287">
            <v>200</v>
          </cell>
          <cell r="AE287" t="e">
            <v>#N/A</v>
          </cell>
          <cell r="AF287" t="str">
            <v/>
          </cell>
        </row>
        <row r="288">
          <cell r="Y288">
            <v>272</v>
          </cell>
          <cell r="Z288">
            <v>0.69176735542714596</v>
          </cell>
          <cell r="AA288">
            <v>8.4661840588919374E-2</v>
          </cell>
          <cell r="AB288" t="str">
            <v/>
          </cell>
          <cell r="AC288" t="e">
            <v>#N/A</v>
          </cell>
          <cell r="AD288">
            <v>201</v>
          </cell>
          <cell r="AE288" t="e">
            <v>#N/A</v>
          </cell>
          <cell r="AF288" t="str">
            <v/>
          </cell>
        </row>
        <row r="289">
          <cell r="Y289">
            <v>273</v>
          </cell>
          <cell r="Z289">
            <v>0.54724708013236523</v>
          </cell>
          <cell r="AA289">
            <v>2.0065497422783581E-2</v>
          </cell>
          <cell r="AB289" t="str">
            <v/>
          </cell>
          <cell r="AC289" t="e">
            <v>#N/A</v>
          </cell>
          <cell r="AD289">
            <v>202</v>
          </cell>
          <cell r="AE289" t="e">
            <v>#N/A</v>
          </cell>
          <cell r="AF289" t="str">
            <v/>
          </cell>
        </row>
        <row r="290">
          <cell r="Y290">
            <v>274</v>
          </cell>
          <cell r="Z290">
            <v>0.915535693988204</v>
          </cell>
          <cell r="AA290">
            <v>0.23252805778974373</v>
          </cell>
          <cell r="AB290" t="str">
            <v/>
          </cell>
          <cell r="AC290" t="e">
            <v>#N/A</v>
          </cell>
          <cell r="AD290">
            <v>203</v>
          </cell>
          <cell r="AE290" t="e">
            <v>#N/A</v>
          </cell>
          <cell r="AF290" t="str">
            <v/>
          </cell>
        </row>
        <row r="291">
          <cell r="Y291">
            <v>275</v>
          </cell>
          <cell r="Z291">
            <v>0.84184606187045574</v>
          </cell>
          <cell r="AA291">
            <v>0.16938141318460759</v>
          </cell>
          <cell r="AB291" t="str">
            <v/>
          </cell>
          <cell r="AC291" t="e">
            <v>#N/A</v>
          </cell>
          <cell r="AD291">
            <v>204</v>
          </cell>
          <cell r="AE291" t="e">
            <v>#N/A</v>
          </cell>
          <cell r="AF291" t="str">
            <v/>
          </cell>
        </row>
        <row r="292">
          <cell r="Y292">
            <v>276</v>
          </cell>
          <cell r="Z292">
            <v>0.56270336173474789</v>
          </cell>
          <cell r="AA292">
            <v>2.6677599045158984E-2</v>
          </cell>
          <cell r="AB292" t="str">
            <v/>
          </cell>
          <cell r="AC292" t="e">
            <v>#N/A</v>
          </cell>
          <cell r="AD292">
            <v>205</v>
          </cell>
          <cell r="AE292" t="e">
            <v>#N/A</v>
          </cell>
          <cell r="AF292" t="str">
            <v/>
          </cell>
        </row>
        <row r="293">
          <cell r="Y293">
            <v>277</v>
          </cell>
          <cell r="Z293">
            <v>0.93249118141829967</v>
          </cell>
          <cell r="AA293">
            <v>0.25263430533628317</v>
          </cell>
          <cell r="AB293" t="str">
            <v/>
          </cell>
          <cell r="AC293" t="e">
            <v>#N/A</v>
          </cell>
          <cell r="AD293">
            <v>206</v>
          </cell>
          <cell r="AE293" t="e">
            <v>#N/A</v>
          </cell>
          <cell r="AF293" t="str">
            <v/>
          </cell>
        </row>
        <row r="294">
          <cell r="Y294">
            <v>278</v>
          </cell>
          <cell r="Z294">
            <v>0.9365683551877737</v>
          </cell>
          <cell r="AA294">
            <v>0.25804060673826501</v>
          </cell>
          <cell r="AB294" t="str">
            <v/>
          </cell>
          <cell r="AC294" t="e">
            <v>#N/A</v>
          </cell>
          <cell r="AD294">
            <v>207</v>
          </cell>
          <cell r="AE294" t="e">
            <v>#N/A</v>
          </cell>
          <cell r="AF294" t="str">
            <v/>
          </cell>
        </row>
        <row r="295">
          <cell r="Y295">
            <v>279</v>
          </cell>
          <cell r="Z295">
            <v>0.72726635448634624</v>
          </cell>
          <cell r="AA295">
            <v>0.10219033403407612</v>
          </cell>
          <cell r="AB295" t="str">
            <v/>
          </cell>
          <cell r="AC295" t="e">
            <v>#N/A</v>
          </cell>
          <cell r="AD295">
            <v>208</v>
          </cell>
          <cell r="AE295" t="e">
            <v>#N/A</v>
          </cell>
          <cell r="AF295" t="str">
            <v/>
          </cell>
        </row>
        <row r="296">
          <cell r="Y296">
            <v>280</v>
          </cell>
          <cell r="Z296">
            <v>0.9993260707706213</v>
          </cell>
          <cell r="AA296">
            <v>0.54184362089858418</v>
          </cell>
          <cell r="AB296" t="str">
            <v/>
          </cell>
          <cell r="AC296" t="e">
            <v>#N/A</v>
          </cell>
          <cell r="AD296">
            <v>209</v>
          </cell>
          <cell r="AE296" t="e">
            <v>#N/A</v>
          </cell>
          <cell r="AF296" t="str">
            <v/>
          </cell>
        </row>
        <row r="297">
          <cell r="Y297">
            <v>281</v>
          </cell>
          <cell r="Z297">
            <v>0.69894513301551342</v>
          </cell>
          <cell r="AA297">
            <v>8.8127447782415561E-2</v>
          </cell>
          <cell r="AB297" t="str">
            <v/>
          </cell>
          <cell r="AC297" t="e">
            <v>#N/A</v>
          </cell>
          <cell r="AD297">
            <v>210</v>
          </cell>
          <cell r="AE297" t="e">
            <v>#N/A</v>
          </cell>
          <cell r="AF297" t="str">
            <v/>
          </cell>
        </row>
        <row r="298">
          <cell r="Y298">
            <v>282</v>
          </cell>
          <cell r="Z298">
            <v>0.41644186340272427</v>
          </cell>
          <cell r="AA298">
            <v>-3.5666277361375252E-2</v>
          </cell>
          <cell r="AB298" t="str">
            <v/>
          </cell>
          <cell r="AC298" t="e">
            <v>#N/A</v>
          </cell>
          <cell r="AD298">
            <v>211</v>
          </cell>
          <cell r="AE298" t="e">
            <v>#N/A</v>
          </cell>
          <cell r="AF298" t="str">
            <v/>
          </cell>
        </row>
        <row r="299">
          <cell r="Y299">
            <v>283</v>
          </cell>
          <cell r="Z299">
            <v>4.777146689593792E-2</v>
          </cell>
          <cell r="AA299">
            <v>-0.28175017988643469</v>
          </cell>
          <cell r="AB299" t="str">
            <v/>
          </cell>
          <cell r="AC299" t="e">
            <v>#N/A</v>
          </cell>
          <cell r="AD299">
            <v>212</v>
          </cell>
          <cell r="AE299" t="e">
            <v>#N/A</v>
          </cell>
          <cell r="AF299" t="str">
            <v/>
          </cell>
        </row>
        <row r="300">
          <cell r="Y300">
            <v>284</v>
          </cell>
          <cell r="Z300">
            <v>0.28998844884335995</v>
          </cell>
          <cell r="AA300">
            <v>-9.3544794098492159E-2</v>
          </cell>
          <cell r="AB300" t="str">
            <v/>
          </cell>
          <cell r="AC300" t="e">
            <v>#N/A</v>
          </cell>
          <cell r="AD300">
            <v>213</v>
          </cell>
          <cell r="AE300" t="e">
            <v>#N/A</v>
          </cell>
          <cell r="AF300" t="str">
            <v/>
          </cell>
        </row>
        <row r="301">
          <cell r="Y301">
            <v>285</v>
          </cell>
          <cell r="Z301">
            <v>0.25828343443572521</v>
          </cell>
          <cell r="AA301">
            <v>-0.10964127596311456</v>
          </cell>
          <cell r="AB301" t="str">
            <v/>
          </cell>
          <cell r="AC301" t="e">
            <v>#N/A</v>
          </cell>
          <cell r="AD301">
            <v>214</v>
          </cell>
          <cell r="AE301" t="e">
            <v>#N/A</v>
          </cell>
          <cell r="AF301" t="str">
            <v/>
          </cell>
        </row>
        <row r="302">
          <cell r="Y302">
            <v>286</v>
          </cell>
          <cell r="Z302">
            <v>0.70204189978539944</v>
          </cell>
          <cell r="AA302">
            <v>8.963407241153154E-2</v>
          </cell>
          <cell r="AB302" t="str">
            <v/>
          </cell>
          <cell r="AC302" t="e">
            <v>#N/A</v>
          </cell>
          <cell r="AD302">
            <v>215</v>
          </cell>
          <cell r="AE302" t="e">
            <v>#N/A</v>
          </cell>
          <cell r="AF302" t="str">
            <v/>
          </cell>
        </row>
        <row r="303">
          <cell r="Y303">
            <v>287</v>
          </cell>
          <cell r="Z303">
            <v>0.12439869157969952</v>
          </cell>
          <cell r="AA303">
            <v>-0.19493911431049118</v>
          </cell>
          <cell r="AB303" t="str">
            <v/>
          </cell>
          <cell r="AC303" t="e">
            <v>#N/A</v>
          </cell>
          <cell r="AD303">
            <v>216</v>
          </cell>
          <cell r="AE303" t="e">
            <v>#N/A</v>
          </cell>
          <cell r="AF303" t="str">
            <v/>
          </cell>
        </row>
        <row r="304">
          <cell r="Y304">
            <v>288</v>
          </cell>
          <cell r="Z304">
            <v>0.53297998569905758</v>
          </cell>
          <cell r="AA304">
            <v>1.3989492085075474E-2</v>
          </cell>
          <cell r="AB304" t="str">
            <v/>
          </cell>
          <cell r="AC304" t="e">
            <v>#N/A</v>
          </cell>
          <cell r="AD304">
            <v>217</v>
          </cell>
          <cell r="AE304" t="e">
            <v>#N/A</v>
          </cell>
          <cell r="AF304" t="str">
            <v/>
          </cell>
        </row>
        <row r="305">
          <cell r="Y305">
            <v>289</v>
          </cell>
          <cell r="Z305">
            <v>0.7857303898781538</v>
          </cell>
          <cell r="AA305">
            <v>0.1338206819416318</v>
          </cell>
          <cell r="AB305" t="str">
            <v/>
          </cell>
          <cell r="AC305" t="e">
            <v>#N/A</v>
          </cell>
          <cell r="AD305">
            <v>218</v>
          </cell>
          <cell r="AE305" t="e">
            <v>#N/A</v>
          </cell>
          <cell r="AF305" t="str">
            <v/>
          </cell>
        </row>
        <row r="306">
          <cell r="Y306">
            <v>290</v>
          </cell>
          <cell r="Z306">
            <v>0.11327660642564297</v>
          </cell>
          <cell r="AA306">
            <v>-0.20440654245567738</v>
          </cell>
          <cell r="AB306" t="str">
            <v/>
          </cell>
          <cell r="AC306" t="e">
            <v>#N/A</v>
          </cell>
          <cell r="AD306">
            <v>219</v>
          </cell>
          <cell r="AE306" t="e">
            <v>#N/A</v>
          </cell>
          <cell r="AF306" t="str">
            <v/>
          </cell>
        </row>
        <row r="307">
          <cell r="Y307">
            <v>291</v>
          </cell>
          <cell r="Z307">
            <v>0.53685231320559978</v>
          </cell>
          <cell r="AA307">
            <v>1.5636506352315446E-2</v>
          </cell>
          <cell r="AB307" t="str">
            <v/>
          </cell>
          <cell r="AC307" t="e">
            <v>#N/A</v>
          </cell>
          <cell r="AD307">
            <v>220</v>
          </cell>
          <cell r="AE307" t="e">
            <v>#N/A</v>
          </cell>
          <cell r="AF307" t="str">
            <v/>
          </cell>
        </row>
        <row r="308">
          <cell r="Y308">
            <v>292</v>
          </cell>
          <cell r="Z308">
            <v>0.11113606952130795</v>
          </cell>
          <cell r="AA308">
            <v>-0.2063036038380795</v>
          </cell>
          <cell r="AB308" t="str">
            <v/>
          </cell>
          <cell r="AC308" t="e">
            <v>#N/A</v>
          </cell>
          <cell r="AD308">
            <v>221</v>
          </cell>
          <cell r="AE308" t="e">
            <v>#N/A</v>
          </cell>
          <cell r="AF308" t="str">
            <v/>
          </cell>
        </row>
        <row r="309">
          <cell r="Y309">
            <v>293</v>
          </cell>
          <cell r="Z309">
            <v>0.13998198322951794</v>
          </cell>
          <cell r="AA309">
            <v>-0.18262098049841044</v>
          </cell>
          <cell r="AB309" t="str">
            <v/>
          </cell>
          <cell r="AC309" t="e">
            <v>#N/A</v>
          </cell>
          <cell r="AD309">
            <v>222</v>
          </cell>
          <cell r="AE309" t="e">
            <v>#N/A</v>
          </cell>
          <cell r="AF309" t="str">
            <v/>
          </cell>
        </row>
        <row r="310">
          <cell r="Y310">
            <v>294</v>
          </cell>
          <cell r="Z310">
            <v>0.65206096135079861</v>
          </cell>
          <cell r="AA310">
            <v>6.6072576489371079E-2</v>
          </cell>
          <cell r="AB310" t="str">
            <v/>
          </cell>
          <cell r="AC310" t="e">
            <v>#N/A</v>
          </cell>
          <cell r="AD310">
            <v>223</v>
          </cell>
          <cell r="AE310" t="e">
            <v>#N/A</v>
          </cell>
          <cell r="AF310" t="str">
            <v/>
          </cell>
        </row>
        <row r="311">
          <cell r="Y311">
            <v>295</v>
          </cell>
          <cell r="Z311">
            <v>9.0300483629107475E-2</v>
          </cell>
          <cell r="AA311">
            <v>-0.22631658087754286</v>
          </cell>
          <cell r="AB311" t="str">
            <v/>
          </cell>
          <cell r="AC311" t="e">
            <v>#N/A</v>
          </cell>
          <cell r="AD311">
            <v>224</v>
          </cell>
          <cell r="AE311" t="e">
            <v>#N/A</v>
          </cell>
          <cell r="AF311" t="str">
            <v/>
          </cell>
        </row>
        <row r="312">
          <cell r="Y312">
            <v>296</v>
          </cell>
          <cell r="Z312">
            <v>1.0197361931204796E-2</v>
          </cell>
          <cell r="AA312">
            <v>-0.39198351742727067</v>
          </cell>
          <cell r="AB312" t="str">
            <v/>
          </cell>
          <cell r="AC312" t="e">
            <v>#N/A</v>
          </cell>
          <cell r="AD312">
            <v>225</v>
          </cell>
          <cell r="AE312" t="e">
            <v>#N/A</v>
          </cell>
          <cell r="AF312" t="str">
            <v/>
          </cell>
        </row>
        <row r="313">
          <cell r="Y313">
            <v>297</v>
          </cell>
          <cell r="Z313">
            <v>0.75187775306403637</v>
          </cell>
          <cell r="AA313">
            <v>0.11501038731361166</v>
          </cell>
          <cell r="AB313" t="str">
            <v/>
          </cell>
          <cell r="AC313" t="e">
            <v>#N/A</v>
          </cell>
          <cell r="AD313">
            <v>226</v>
          </cell>
          <cell r="AE313" t="e">
            <v>#N/A</v>
          </cell>
          <cell r="AF313" t="str">
            <v/>
          </cell>
        </row>
        <row r="314">
          <cell r="Y314">
            <v>298</v>
          </cell>
          <cell r="Z314">
            <v>0.30505115352571011</v>
          </cell>
          <cell r="AA314">
            <v>-8.6193466701171784E-2</v>
          </cell>
          <cell r="AB314" t="str">
            <v/>
          </cell>
          <cell r="AC314" t="e">
            <v>#N/A</v>
          </cell>
          <cell r="AD314">
            <v>227</v>
          </cell>
          <cell r="AE314" t="e">
            <v>#N/A</v>
          </cell>
          <cell r="AF314" t="str">
            <v/>
          </cell>
        </row>
        <row r="315">
          <cell r="Y315">
            <v>299</v>
          </cell>
          <cell r="Z315">
            <v>0.50092209689319134</v>
          </cell>
          <cell r="AA315">
            <v>3.9069050573707279E-4</v>
          </cell>
          <cell r="AB315" t="str">
            <v/>
          </cell>
          <cell r="AC315" t="e">
            <v>#N/A</v>
          </cell>
          <cell r="AD315">
            <v>228</v>
          </cell>
          <cell r="AE315" t="e">
            <v>#N/A</v>
          </cell>
          <cell r="AF315" t="str">
            <v/>
          </cell>
        </row>
        <row r="316">
          <cell r="Y316">
            <v>300</v>
          </cell>
          <cell r="Z316">
            <v>0.48091917298734188</v>
          </cell>
          <cell r="AA316">
            <v>-8.0875836779201286E-3</v>
          </cell>
          <cell r="AB316" t="str">
            <v/>
          </cell>
          <cell r="AC316" t="e">
            <v>#N/A</v>
          </cell>
          <cell r="AD316">
            <v>229</v>
          </cell>
          <cell r="AE316" t="e">
            <v>#N/A</v>
          </cell>
          <cell r="AF316" t="str">
            <v/>
          </cell>
        </row>
        <row r="317">
          <cell r="Y317">
            <v>301</v>
          </cell>
          <cell r="Z317">
            <v>0.98182266764342785</v>
          </cell>
          <cell r="AA317">
            <v>0.35377113806492971</v>
          </cell>
          <cell r="AB317" t="str">
            <v/>
          </cell>
          <cell r="AC317" t="e">
            <v>#N/A</v>
          </cell>
          <cell r="AD317">
            <v>230</v>
          </cell>
          <cell r="AE317" t="e">
            <v>#N/A</v>
          </cell>
          <cell r="AF317" t="str">
            <v/>
          </cell>
        </row>
        <row r="318">
          <cell r="Y318">
            <v>302</v>
          </cell>
          <cell r="Z318">
            <v>0.44012895785272121</v>
          </cell>
          <cell r="AA318">
            <v>-2.5463190983097159E-2</v>
          </cell>
          <cell r="AB318" t="str">
            <v/>
          </cell>
          <cell r="AC318" t="e">
            <v>#N/A</v>
          </cell>
          <cell r="AD318">
            <v>231</v>
          </cell>
          <cell r="AE318" t="e">
            <v>#N/A</v>
          </cell>
          <cell r="AF318" t="str">
            <v/>
          </cell>
        </row>
        <row r="319">
          <cell r="Y319">
            <v>303</v>
          </cell>
          <cell r="Z319">
            <v>0.30020366422832012</v>
          </cell>
          <cell r="AA319">
            <v>-8.8540868682128543E-2</v>
          </cell>
          <cell r="AB319" t="str">
            <v/>
          </cell>
          <cell r="AC319" t="e">
            <v>#N/A</v>
          </cell>
          <cell r="AD319">
            <v>232</v>
          </cell>
          <cell r="AE319" t="e">
            <v>#N/A</v>
          </cell>
          <cell r="AF319" t="str">
            <v/>
          </cell>
        </row>
        <row r="320">
          <cell r="Y320">
            <v>304</v>
          </cell>
          <cell r="Z320">
            <v>0.54493083618581295</v>
          </cell>
          <cell r="AA320">
            <v>1.9077508647823913E-2</v>
          </cell>
          <cell r="AB320" t="str">
            <v/>
          </cell>
          <cell r="AC320" t="e">
            <v>#N/A</v>
          </cell>
          <cell r="AD320">
            <v>233</v>
          </cell>
          <cell r="AE320" t="e">
            <v>#N/A</v>
          </cell>
          <cell r="AF320" t="str">
            <v/>
          </cell>
        </row>
        <row r="321">
          <cell r="Y321">
            <v>305</v>
          </cell>
          <cell r="Z321">
            <v>0.44595899991691113</v>
          </cell>
          <cell r="AA321">
            <v>-2.2967515760266687E-2</v>
          </cell>
          <cell r="AB321" t="str">
            <v/>
          </cell>
          <cell r="AC321" t="e">
            <v>#N/A</v>
          </cell>
          <cell r="AD321">
            <v>234</v>
          </cell>
          <cell r="AE321" t="e">
            <v>#N/A</v>
          </cell>
          <cell r="AF321" t="str">
            <v/>
          </cell>
        </row>
        <row r="322">
          <cell r="Y322">
            <v>306</v>
          </cell>
          <cell r="Z322">
            <v>0.79663611017167568</v>
          </cell>
          <cell r="AA322">
            <v>0.14023911115234855</v>
          </cell>
          <cell r="AB322" t="str">
            <v/>
          </cell>
          <cell r="AC322" t="e">
            <v>#N/A</v>
          </cell>
          <cell r="AD322">
            <v>235</v>
          </cell>
          <cell r="AE322" t="e">
            <v>#N/A</v>
          </cell>
          <cell r="AF322" t="str">
            <v/>
          </cell>
        </row>
        <row r="323">
          <cell r="Y323">
            <v>307</v>
          </cell>
          <cell r="Z323">
            <v>0.45798618905246258</v>
          </cell>
          <cell r="AA323">
            <v>-1.783418035445895E-2</v>
          </cell>
          <cell r="AB323" t="str">
            <v/>
          </cell>
          <cell r="AC323" t="e">
            <v>#N/A</v>
          </cell>
          <cell r="AD323">
            <v>236</v>
          </cell>
          <cell r="AE323" t="e">
            <v>#N/A</v>
          </cell>
          <cell r="AF323" t="str">
            <v/>
          </cell>
        </row>
        <row r="324">
          <cell r="Y324">
            <v>308</v>
          </cell>
          <cell r="Z324">
            <v>0.84434508346021175</v>
          </cell>
          <cell r="AA324">
            <v>0.17113992147515752</v>
          </cell>
          <cell r="AB324" t="str">
            <v/>
          </cell>
          <cell r="AC324" t="e">
            <v>#N/A</v>
          </cell>
          <cell r="AD324">
            <v>237</v>
          </cell>
          <cell r="AE324" t="e">
            <v>#N/A</v>
          </cell>
          <cell r="AF324" t="str">
            <v/>
          </cell>
        </row>
        <row r="325">
          <cell r="Y325">
            <v>309</v>
          </cell>
          <cell r="Z325">
            <v>0.81108820252120495</v>
          </cell>
          <cell r="AA325">
            <v>0.14907058657440828</v>
          </cell>
          <cell r="AB325" t="str">
            <v/>
          </cell>
          <cell r="AC325" t="e">
            <v>#N/A</v>
          </cell>
          <cell r="AD325">
            <v>238</v>
          </cell>
          <cell r="AE325" t="e">
            <v>#N/A</v>
          </cell>
          <cell r="AF325" t="str">
            <v/>
          </cell>
        </row>
        <row r="326">
          <cell r="Y326">
            <v>310</v>
          </cell>
          <cell r="Z326">
            <v>0.56935868225991726</v>
          </cell>
          <cell r="AA326">
            <v>2.9536730610876971E-2</v>
          </cell>
          <cell r="AB326" t="str">
            <v/>
          </cell>
          <cell r="AC326" t="e">
            <v>#N/A</v>
          </cell>
          <cell r="AD326">
            <v>239</v>
          </cell>
          <cell r="AE326" t="e">
            <v>#N/A</v>
          </cell>
          <cell r="AF326" t="str">
            <v/>
          </cell>
        </row>
        <row r="327">
          <cell r="Y327">
            <v>311</v>
          </cell>
          <cell r="Z327">
            <v>0.22426204197108746</v>
          </cell>
          <cell r="AA327">
            <v>-0.12810474569767119</v>
          </cell>
          <cell r="AB327" t="str">
            <v/>
          </cell>
          <cell r="AC327" t="e">
            <v>#N/A</v>
          </cell>
          <cell r="AD327">
            <v>240</v>
          </cell>
          <cell r="AE327" t="e">
            <v>#N/A</v>
          </cell>
          <cell r="AF327" t="str">
            <v/>
          </cell>
        </row>
        <row r="328">
          <cell r="Y328">
            <v>312</v>
          </cell>
          <cell r="Z328">
            <v>0.33511742018163204</v>
          </cell>
          <cell r="AA328">
            <v>-7.1977684640951139E-2</v>
          </cell>
          <cell r="AB328" t="str">
            <v/>
          </cell>
          <cell r="AC328" t="e">
            <v>#N/A</v>
          </cell>
          <cell r="AD328">
            <v>241</v>
          </cell>
          <cell r="AE328" t="e">
            <v>#N/A</v>
          </cell>
          <cell r="AF328" t="str">
            <v/>
          </cell>
        </row>
        <row r="329">
          <cell r="Y329">
            <v>313</v>
          </cell>
          <cell r="Z329">
            <v>0.55834278278052807</v>
          </cell>
          <cell r="AA329">
            <v>2.4808471753228836E-2</v>
          </cell>
          <cell r="AB329" t="str">
            <v/>
          </cell>
          <cell r="AC329" t="e">
            <v>#N/A</v>
          </cell>
          <cell r="AD329">
            <v>242</v>
          </cell>
          <cell r="AE329" t="e">
            <v>#N/A</v>
          </cell>
          <cell r="AF329" t="str">
            <v/>
          </cell>
        </row>
        <row r="330">
          <cell r="Y330">
            <v>314</v>
          </cell>
          <cell r="Z330">
            <v>8.6261456832289696E-2</v>
          </cell>
          <cell r="AA330">
            <v>-0.23058206407501994</v>
          </cell>
          <cell r="AB330" t="str">
            <v/>
          </cell>
          <cell r="AC330" t="e">
            <v>#N/A</v>
          </cell>
          <cell r="AD330">
            <v>243</v>
          </cell>
          <cell r="AE330" t="e">
            <v>#N/A</v>
          </cell>
          <cell r="AF330" t="str">
            <v/>
          </cell>
        </row>
        <row r="331">
          <cell r="Y331">
            <v>315</v>
          </cell>
          <cell r="Z331">
            <v>0.68972183577716351</v>
          </cell>
          <cell r="AA331">
            <v>8.3680757813125714E-2</v>
          </cell>
          <cell r="AB331" t="str">
            <v/>
          </cell>
          <cell r="AC331" t="e">
            <v>#N/A</v>
          </cell>
          <cell r="AD331">
            <v>244</v>
          </cell>
          <cell r="AE331" t="e">
            <v>#N/A</v>
          </cell>
          <cell r="AF331" t="str">
            <v/>
          </cell>
        </row>
        <row r="332">
          <cell r="Y332">
            <v>316</v>
          </cell>
          <cell r="Z332">
            <v>0.32415550015866756</v>
          </cell>
          <cell r="AA332">
            <v>-7.7096633037190679E-2</v>
          </cell>
          <cell r="AB332" t="str">
            <v/>
          </cell>
          <cell r="AC332" t="e">
            <v>#N/A</v>
          </cell>
          <cell r="AD332">
            <v>245</v>
          </cell>
          <cell r="AE332" t="e">
            <v>#N/A</v>
          </cell>
          <cell r="AF332" t="str">
            <v/>
          </cell>
        </row>
        <row r="333">
          <cell r="Y333">
            <v>317</v>
          </cell>
          <cell r="Z333">
            <v>0.21560817770659924</v>
          </cell>
          <cell r="AA333">
            <v>-0.13304619667671103</v>
          </cell>
          <cell r="AB333" t="str">
            <v/>
          </cell>
          <cell r="AC333" t="e">
            <v>#N/A</v>
          </cell>
          <cell r="AD333">
            <v>246</v>
          </cell>
          <cell r="AE333" t="e">
            <v>#N/A</v>
          </cell>
          <cell r="AF333" t="str">
            <v/>
          </cell>
        </row>
        <row r="334">
          <cell r="Y334">
            <v>318</v>
          </cell>
          <cell r="Z334">
            <v>0.57997230254113674</v>
          </cell>
          <cell r="AA334">
            <v>3.4114249695118164E-2</v>
          </cell>
          <cell r="AB334" t="str">
            <v/>
          </cell>
          <cell r="AC334" t="e">
            <v>#N/A</v>
          </cell>
          <cell r="AD334">
            <v>247</v>
          </cell>
          <cell r="AE334" t="e">
            <v>#N/A</v>
          </cell>
          <cell r="AF334" t="str">
            <v/>
          </cell>
        </row>
        <row r="335">
          <cell r="Y335">
            <v>319</v>
          </cell>
          <cell r="Z335">
            <v>0.56505130045115948</v>
          </cell>
          <cell r="AA335">
            <v>2.7685362346662943E-2</v>
          </cell>
          <cell r="AB335" t="str">
            <v/>
          </cell>
          <cell r="AC335" t="e">
            <v>#N/A</v>
          </cell>
          <cell r="AD335">
            <v>248</v>
          </cell>
          <cell r="AE335" t="e">
            <v>#N/A</v>
          </cell>
          <cell r="AF335" t="str">
            <v/>
          </cell>
        </row>
        <row r="336">
          <cell r="Y336">
            <v>320</v>
          </cell>
          <cell r="Z336">
            <v>0.35017850063741207</v>
          </cell>
          <cell r="AA336">
            <v>-6.5049595470831223E-2</v>
          </cell>
          <cell r="AB336" t="str">
            <v/>
          </cell>
          <cell r="AC336" t="e">
            <v>#N/A</v>
          </cell>
          <cell r="AD336">
            <v>249</v>
          </cell>
          <cell r="AE336" t="e">
            <v>#N/A</v>
          </cell>
          <cell r="AF336" t="str">
            <v/>
          </cell>
        </row>
        <row r="337">
          <cell r="Y337">
            <v>321</v>
          </cell>
          <cell r="Z337">
            <v>0.5586946289986372</v>
          </cell>
          <cell r="AA337">
            <v>2.4959172312248121E-2</v>
          </cell>
          <cell r="AB337" t="str">
            <v/>
          </cell>
          <cell r="AC337" t="e">
            <v>#N/A</v>
          </cell>
          <cell r="AD337">
            <v>250</v>
          </cell>
          <cell r="AE337" t="e">
            <v>#N/A</v>
          </cell>
          <cell r="AF337" t="str">
            <v/>
          </cell>
        </row>
        <row r="338">
          <cell r="Y338">
            <v>322</v>
          </cell>
          <cell r="Z338">
            <v>0.55301654897630215</v>
          </cell>
          <cell r="AA338">
            <v>2.2529509510472147E-2</v>
          </cell>
          <cell r="AB338" t="str">
            <v/>
          </cell>
          <cell r="AC338" t="e">
            <v>#N/A</v>
          </cell>
          <cell r="AD338">
            <v>251</v>
          </cell>
          <cell r="AE338" t="e">
            <v>#N/A</v>
          </cell>
          <cell r="AF338" t="str">
            <v/>
          </cell>
        </row>
        <row r="339">
          <cell r="Y339">
            <v>323</v>
          </cell>
          <cell r="Z339">
            <v>0.67897815816104412</v>
          </cell>
          <cell r="AA339">
            <v>7.8572857002591034E-2</v>
          </cell>
          <cell r="AB339" t="str">
            <v/>
          </cell>
          <cell r="AC339" t="e">
            <v>#N/A</v>
          </cell>
          <cell r="AD339">
            <v>252</v>
          </cell>
          <cell r="AE339" t="e">
            <v>#N/A</v>
          </cell>
          <cell r="AF339" t="str">
            <v/>
          </cell>
        </row>
        <row r="340">
          <cell r="Y340">
            <v>324</v>
          </cell>
          <cell r="Z340">
            <v>0.40832649730145931</v>
          </cell>
          <cell r="AA340">
            <v>-3.9190134871867774E-2</v>
          </cell>
          <cell r="AB340" t="str">
            <v/>
          </cell>
          <cell r="AC340" t="e">
            <v>#N/A</v>
          </cell>
          <cell r="AD340">
            <v>253</v>
          </cell>
          <cell r="AE340" t="e">
            <v>#N/A</v>
          </cell>
          <cell r="AF340" t="str">
            <v/>
          </cell>
        </row>
        <row r="341">
          <cell r="Y341">
            <v>325</v>
          </cell>
          <cell r="Z341">
            <v>0.28125905804336071</v>
          </cell>
          <cell r="AA341">
            <v>-9.7886663649201455E-2</v>
          </cell>
          <cell r="AB341" t="str">
            <v/>
          </cell>
          <cell r="AC341" t="e">
            <v>#N/A</v>
          </cell>
          <cell r="AD341">
            <v>254</v>
          </cell>
          <cell r="AE341" t="e">
            <v>#N/A</v>
          </cell>
          <cell r="AF341" t="str">
            <v/>
          </cell>
        </row>
        <row r="342">
          <cell r="Y342">
            <v>326</v>
          </cell>
          <cell r="Z342">
            <v>0.23680136166512966</v>
          </cell>
          <cell r="AA342">
            <v>-0.12113249795358201</v>
          </cell>
          <cell r="AB342" t="str">
            <v/>
          </cell>
          <cell r="AC342" t="e">
            <v>#N/A</v>
          </cell>
          <cell r="AD342">
            <v>255</v>
          </cell>
          <cell r="AE342" t="e">
            <v>#N/A</v>
          </cell>
          <cell r="AF342" t="str">
            <v/>
          </cell>
        </row>
        <row r="343">
          <cell r="Y343">
            <v>327</v>
          </cell>
          <cell r="Z343">
            <v>0.69506899826228619</v>
          </cell>
          <cell r="AA343">
            <v>8.6251448016678056E-2</v>
          </cell>
          <cell r="AB343" t="str">
            <v/>
          </cell>
          <cell r="AC343" t="e">
            <v>#N/A</v>
          </cell>
          <cell r="AD343">
            <v>256</v>
          </cell>
          <cell r="AE343" t="e">
            <v>#N/A</v>
          </cell>
          <cell r="AF343" t="str">
            <v/>
          </cell>
        </row>
        <row r="344">
          <cell r="Y344">
            <v>328</v>
          </cell>
          <cell r="Z344">
            <v>1.8519839271903038E-2</v>
          </cell>
          <cell r="AA344">
            <v>-0.35248450347946569</v>
          </cell>
          <cell r="AB344" t="str">
            <v/>
          </cell>
          <cell r="AC344" t="e">
            <v>#N/A</v>
          </cell>
          <cell r="AD344">
            <v>257</v>
          </cell>
          <cell r="AE344" t="e">
            <v>#N/A</v>
          </cell>
          <cell r="AF344" t="str">
            <v/>
          </cell>
        </row>
        <row r="345">
          <cell r="Y345">
            <v>329</v>
          </cell>
          <cell r="Z345">
            <v>0.63347694091498852</v>
          </cell>
          <cell r="AA345">
            <v>5.7652422683981526E-2</v>
          </cell>
          <cell r="AB345" t="str">
            <v/>
          </cell>
          <cell r="AC345" t="e">
            <v>#N/A</v>
          </cell>
          <cell r="AD345">
            <v>258</v>
          </cell>
          <cell r="AE345" t="e">
            <v>#N/A</v>
          </cell>
          <cell r="AF345" t="str">
            <v/>
          </cell>
        </row>
        <row r="346">
          <cell r="Y346">
            <v>330</v>
          </cell>
          <cell r="Z346">
            <v>0.64435011707246304</v>
          </cell>
          <cell r="AA346">
            <v>6.2560181928641628E-2</v>
          </cell>
          <cell r="AB346" t="str">
            <v/>
          </cell>
          <cell r="AC346" t="e">
            <v>#N/A</v>
          </cell>
          <cell r="AD346">
            <v>259</v>
          </cell>
          <cell r="AE346" t="e">
            <v>#N/A</v>
          </cell>
          <cell r="AF346" t="str">
            <v/>
          </cell>
        </row>
        <row r="347">
          <cell r="Y347">
            <v>331</v>
          </cell>
          <cell r="Z347">
            <v>0.54727615229785442</v>
          </cell>
          <cell r="AA347">
            <v>2.0077902377746832E-2</v>
          </cell>
          <cell r="AB347" t="str">
            <v/>
          </cell>
          <cell r="AC347" t="e">
            <v>#N/A</v>
          </cell>
          <cell r="AD347">
            <v>260</v>
          </cell>
          <cell r="AE347" t="e">
            <v>#N/A</v>
          </cell>
          <cell r="AF347" t="str">
            <v/>
          </cell>
        </row>
        <row r="348">
          <cell r="Y348">
            <v>332</v>
          </cell>
          <cell r="Z348">
            <v>0.637568524107337</v>
          </cell>
          <cell r="AA348">
            <v>5.9493294883987219E-2</v>
          </cell>
          <cell r="AB348" t="str">
            <v/>
          </cell>
          <cell r="AC348" t="e">
            <v>#N/A</v>
          </cell>
          <cell r="AD348">
            <v>261</v>
          </cell>
          <cell r="AE348" t="e">
            <v>#N/A</v>
          </cell>
          <cell r="AF348" t="str">
            <v/>
          </cell>
        </row>
        <row r="349">
          <cell r="Y349">
            <v>333</v>
          </cell>
          <cell r="Z349">
            <v>0.52946418337523937</v>
          </cell>
          <cell r="AA349">
            <v>1.249527212207612E-2</v>
          </cell>
          <cell r="AB349" t="str">
            <v/>
          </cell>
          <cell r="AC349" t="e">
            <v>#N/A</v>
          </cell>
          <cell r="AD349">
            <v>262</v>
          </cell>
          <cell r="AE349" t="e">
            <v>#N/A</v>
          </cell>
          <cell r="AF349" t="str">
            <v/>
          </cell>
        </row>
        <row r="350">
          <cell r="Y350">
            <v>334</v>
          </cell>
          <cell r="Z350">
            <v>0.71678677760064602</v>
          </cell>
          <cell r="AA350">
            <v>9.6909167288480549E-2</v>
          </cell>
          <cell r="AB350" t="str">
            <v/>
          </cell>
          <cell r="AC350" t="e">
            <v>#N/A</v>
          </cell>
          <cell r="AD350">
            <v>263</v>
          </cell>
          <cell r="AE350" t="e">
            <v>#N/A</v>
          </cell>
          <cell r="AF350" t="str">
            <v/>
          </cell>
        </row>
        <row r="351">
          <cell r="Y351">
            <v>335</v>
          </cell>
          <cell r="Z351">
            <v>9.4234568998217583E-2</v>
          </cell>
          <cell r="AA351">
            <v>-0.22229607300793386</v>
          </cell>
          <cell r="AB351" t="str">
            <v/>
          </cell>
          <cell r="AC351" t="e">
            <v>#N/A</v>
          </cell>
          <cell r="AD351">
            <v>264</v>
          </cell>
          <cell r="AE351" t="e">
            <v>#N/A</v>
          </cell>
          <cell r="AF351" t="str">
            <v/>
          </cell>
        </row>
        <row r="352">
          <cell r="Y352">
            <v>336</v>
          </cell>
          <cell r="Z352">
            <v>0.91503157280385494</v>
          </cell>
          <cell r="AA352">
            <v>0.23197907840259196</v>
          </cell>
          <cell r="AB352" t="str">
            <v/>
          </cell>
          <cell r="AC352" t="e">
            <v>#N/A</v>
          </cell>
          <cell r="AD352">
            <v>265</v>
          </cell>
          <cell r="AE352" t="e">
            <v>#N/A</v>
          </cell>
          <cell r="AF352" t="str">
            <v/>
          </cell>
        </row>
        <row r="353">
          <cell r="Y353">
            <v>337</v>
          </cell>
          <cell r="Z353">
            <v>0.62344899587333202</v>
          </cell>
          <cell r="AA353">
            <v>5.3168952274645263E-2</v>
          </cell>
          <cell r="AB353" t="str">
            <v/>
          </cell>
          <cell r="AC353" t="e">
            <v>#N/A</v>
          </cell>
          <cell r="AD353">
            <v>266</v>
          </cell>
          <cell r="AE353" t="e">
            <v>#N/A</v>
          </cell>
          <cell r="AF353" t="str">
            <v/>
          </cell>
        </row>
        <row r="354">
          <cell r="Y354">
            <v>338</v>
          </cell>
          <cell r="Z354">
            <v>6.3570266589522362E-2</v>
          </cell>
          <cell r="AA354">
            <v>-0.2578524264042984</v>
          </cell>
          <cell r="AB354" t="str">
            <v/>
          </cell>
          <cell r="AC354" t="e">
            <v>#N/A</v>
          </cell>
          <cell r="AD354">
            <v>267</v>
          </cell>
          <cell r="AE354" t="e">
            <v>#N/A</v>
          </cell>
          <cell r="AF354" t="str">
            <v/>
          </cell>
        </row>
        <row r="355">
          <cell r="Y355">
            <v>339</v>
          </cell>
          <cell r="Z355">
            <v>0.49230868928134441</v>
          </cell>
          <cell r="AA355">
            <v>-3.2589911048613602E-3</v>
          </cell>
          <cell r="AB355" t="str">
            <v/>
          </cell>
          <cell r="AC355" t="e">
            <v>#N/A</v>
          </cell>
          <cell r="AD355">
            <v>268</v>
          </cell>
          <cell r="AE355" t="e">
            <v>#N/A</v>
          </cell>
          <cell r="AF355" t="str">
            <v/>
          </cell>
        </row>
        <row r="356">
          <cell r="Y356">
            <v>340</v>
          </cell>
          <cell r="Z356">
            <v>0.29282640479505062</v>
          </cell>
          <cell r="AA356">
            <v>-9.2146565490377016E-2</v>
          </cell>
          <cell r="AB356" t="str">
            <v/>
          </cell>
          <cell r="AC356" t="e">
            <v>#N/A</v>
          </cell>
          <cell r="AD356">
            <v>269</v>
          </cell>
          <cell r="AE356" t="e">
            <v>#N/A</v>
          </cell>
          <cell r="AF356" t="str">
            <v/>
          </cell>
        </row>
        <row r="357">
          <cell r="Y357">
            <v>341</v>
          </cell>
          <cell r="Z357">
            <v>0.85469376854598522</v>
          </cell>
          <cell r="AA357">
            <v>0.17862825276514357</v>
          </cell>
          <cell r="AB357" t="str">
            <v/>
          </cell>
          <cell r="AC357" t="e">
            <v>#N/A</v>
          </cell>
          <cell r="AD357">
            <v>270</v>
          </cell>
          <cell r="AE357" t="e">
            <v>#N/A</v>
          </cell>
          <cell r="AF357" t="str">
            <v/>
          </cell>
        </row>
        <row r="358">
          <cell r="Y358">
            <v>342</v>
          </cell>
          <cell r="Z358">
            <v>0.79647884331643581</v>
          </cell>
          <cell r="AA358">
            <v>0.14014512470378954</v>
          </cell>
          <cell r="AB358" t="str">
            <v/>
          </cell>
          <cell r="AC358" t="e">
            <v>#N/A</v>
          </cell>
          <cell r="AD358">
            <v>271</v>
          </cell>
          <cell r="AE358" t="e">
            <v>#N/A</v>
          </cell>
          <cell r="AF358" t="str">
            <v/>
          </cell>
        </row>
        <row r="359">
          <cell r="Y359">
            <v>343</v>
          </cell>
          <cell r="Z359">
            <v>0.78738932125270367</v>
          </cell>
          <cell r="AA359">
            <v>0.13478444410751089</v>
          </cell>
          <cell r="AB359" t="str">
            <v/>
          </cell>
          <cell r="AC359" t="e">
            <v>#N/A</v>
          </cell>
          <cell r="AD359">
            <v>272</v>
          </cell>
          <cell r="AE359" t="e">
            <v>#N/A</v>
          </cell>
          <cell r="AF359" t="str">
            <v/>
          </cell>
        </row>
        <row r="360">
          <cell r="Y360">
            <v>344</v>
          </cell>
          <cell r="Z360">
            <v>0.44858821295201778</v>
          </cell>
          <cell r="AA360">
            <v>-2.18436929673133E-2</v>
          </cell>
          <cell r="AB360" t="str">
            <v/>
          </cell>
          <cell r="AC360" t="e">
            <v>#N/A</v>
          </cell>
          <cell r="AD360">
            <v>273</v>
          </cell>
          <cell r="AE360" t="e">
            <v>#N/A</v>
          </cell>
          <cell r="AF360" t="str">
            <v/>
          </cell>
        </row>
        <row r="361">
          <cell r="Y361">
            <v>345</v>
          </cell>
          <cell r="Z361">
            <v>0.96116694621741772</v>
          </cell>
          <cell r="AA361">
            <v>0.29823657725100799</v>
          </cell>
          <cell r="AB361" t="str">
            <v/>
          </cell>
          <cell r="AC361" t="e">
            <v>#N/A</v>
          </cell>
          <cell r="AD361">
            <v>274</v>
          </cell>
          <cell r="AE361" t="e">
            <v>#N/A</v>
          </cell>
          <cell r="AF361" t="str">
            <v/>
          </cell>
        </row>
        <row r="362">
          <cell r="Y362">
            <v>346</v>
          </cell>
          <cell r="Z362">
            <v>0.95734447799623013</v>
          </cell>
          <cell r="AA362">
            <v>0.290846015623906</v>
          </cell>
          <cell r="AB362" t="str">
            <v/>
          </cell>
          <cell r="AC362" t="e">
            <v>#N/A</v>
          </cell>
          <cell r="AD362">
            <v>275</v>
          </cell>
          <cell r="AE362" t="e">
            <v>#N/A</v>
          </cell>
          <cell r="AF362" t="str">
            <v/>
          </cell>
        </row>
        <row r="363">
          <cell r="Y363">
            <v>347</v>
          </cell>
          <cell r="Z363">
            <v>0.22544051520526409</v>
          </cell>
          <cell r="AA363">
            <v>-0.12744030766893799</v>
          </cell>
          <cell r="AB363" t="str">
            <v/>
          </cell>
          <cell r="AC363" t="e">
            <v>#N/A</v>
          </cell>
          <cell r="AD363">
            <v>276</v>
          </cell>
          <cell r="AE363" t="e">
            <v>#N/A</v>
          </cell>
          <cell r="AF363" t="str">
            <v/>
          </cell>
        </row>
        <row r="364">
          <cell r="Y364">
            <v>348</v>
          </cell>
          <cell r="Z364">
            <v>8.2779338583350182E-2</v>
          </cell>
          <cell r="AA364">
            <v>-0.23438099856357617</v>
          </cell>
          <cell r="AB364" t="str">
            <v/>
          </cell>
          <cell r="AC364" t="e">
            <v>#N/A</v>
          </cell>
          <cell r="AD364">
            <v>277</v>
          </cell>
          <cell r="AE364" t="e">
            <v>#N/A</v>
          </cell>
          <cell r="AF364" t="str">
            <v/>
          </cell>
        </row>
        <row r="365">
          <cell r="Y365">
            <v>349</v>
          </cell>
          <cell r="Z365">
            <v>0.46196490339934826</v>
          </cell>
          <cell r="AA365">
            <v>-1.6139867661828688E-2</v>
          </cell>
          <cell r="AB365" t="str">
            <v/>
          </cell>
          <cell r="AC365" t="e">
            <v>#N/A</v>
          </cell>
          <cell r="AD365">
            <v>278</v>
          </cell>
          <cell r="AE365" t="e">
            <v>#N/A</v>
          </cell>
          <cell r="AF365" t="str">
            <v/>
          </cell>
        </row>
        <row r="366">
          <cell r="Y366">
            <v>350</v>
          </cell>
          <cell r="Z366">
            <v>3.9537226781249046E-2</v>
          </cell>
          <cell r="AA366">
            <v>-0.29683198981238795</v>
          </cell>
          <cell r="AB366" t="str">
            <v/>
          </cell>
          <cell r="AC366" t="e">
            <v>#N/A</v>
          </cell>
          <cell r="AD366">
            <v>279</v>
          </cell>
          <cell r="AE366" t="e">
            <v>#N/A</v>
          </cell>
          <cell r="AF366" t="str">
            <v/>
          </cell>
        </row>
        <row r="367">
          <cell r="Y367">
            <v>351</v>
          </cell>
          <cell r="Z367">
            <v>0.78179643861949444</v>
          </cell>
          <cell r="AA367">
            <v>0.13155242461949546</v>
          </cell>
          <cell r="AB367" t="str">
            <v/>
          </cell>
          <cell r="AC367" t="e">
            <v>#N/A</v>
          </cell>
          <cell r="AD367">
            <v>280</v>
          </cell>
          <cell r="AE367" t="e">
            <v>#N/A</v>
          </cell>
          <cell r="AF367" t="str">
            <v/>
          </cell>
        </row>
        <row r="368">
          <cell r="Y368">
            <v>352</v>
          </cell>
          <cell r="Z368">
            <v>0.54954864643514156</v>
          </cell>
          <cell r="AA368">
            <v>2.1047904906164785E-2</v>
          </cell>
          <cell r="AB368" t="str">
            <v/>
          </cell>
          <cell r="AC368" t="e">
            <v>#N/A</v>
          </cell>
          <cell r="AD368">
            <v>281</v>
          </cell>
          <cell r="AE368" t="e">
            <v>#N/A</v>
          </cell>
          <cell r="AF368" t="str">
            <v/>
          </cell>
        </row>
        <row r="369">
          <cell r="Y369">
            <v>353</v>
          </cell>
          <cell r="Z369">
            <v>0.6084838192909956</v>
          </cell>
          <cell r="AA369">
            <v>4.6545943695042072E-2</v>
          </cell>
          <cell r="AB369" t="str">
            <v/>
          </cell>
          <cell r="AC369" t="e">
            <v>#N/A</v>
          </cell>
          <cell r="AD369">
            <v>282</v>
          </cell>
          <cell r="AE369" t="e">
            <v>#N/A</v>
          </cell>
          <cell r="AF369" t="str">
            <v/>
          </cell>
        </row>
        <row r="370">
          <cell r="Y370">
            <v>354</v>
          </cell>
          <cell r="Z370">
            <v>0.10319960676133633</v>
          </cell>
          <cell r="AA370">
            <v>-0.21357534339952616</v>
          </cell>
          <cell r="AB370" t="str">
            <v/>
          </cell>
          <cell r="AC370" t="e">
            <v>#N/A</v>
          </cell>
          <cell r="AD370">
            <v>283</v>
          </cell>
          <cell r="AE370" t="e">
            <v>#N/A</v>
          </cell>
          <cell r="AF370" t="str">
            <v/>
          </cell>
        </row>
        <row r="371">
          <cell r="Y371">
            <v>355</v>
          </cell>
          <cell r="Z371">
            <v>0.40920825116336346</v>
          </cell>
          <cell r="AA371">
            <v>-3.8806461026220686E-2</v>
          </cell>
          <cell r="AB371" t="str">
            <v/>
          </cell>
          <cell r="AC371" t="e">
            <v>#N/A</v>
          </cell>
          <cell r="AD371">
            <v>284</v>
          </cell>
          <cell r="AE371" t="e">
            <v>#N/A</v>
          </cell>
          <cell r="AF371" t="str">
            <v/>
          </cell>
        </row>
        <row r="372">
          <cell r="Y372">
            <v>356</v>
          </cell>
          <cell r="Z372">
            <v>0.83134089969098568</v>
          </cell>
          <cell r="AA372">
            <v>0.16218131460372634</v>
          </cell>
          <cell r="AB372" t="str">
            <v/>
          </cell>
          <cell r="AC372" t="e">
            <v>#N/A</v>
          </cell>
          <cell r="AD372">
            <v>285</v>
          </cell>
          <cell r="AE372" t="e">
            <v>#N/A</v>
          </cell>
          <cell r="AF372" t="str">
            <v/>
          </cell>
        </row>
        <row r="373">
          <cell r="Y373">
            <v>357</v>
          </cell>
          <cell r="Z373">
            <v>0.80434155277907848</v>
          </cell>
          <cell r="AA373">
            <v>0.14489858903332528</v>
          </cell>
          <cell r="AB373" t="str">
            <v/>
          </cell>
          <cell r="AC373" t="e">
            <v>#N/A</v>
          </cell>
          <cell r="AD373">
            <v>286</v>
          </cell>
          <cell r="AE373" t="e">
            <v>#N/A</v>
          </cell>
          <cell r="AF373" t="str">
            <v/>
          </cell>
        </row>
        <row r="374">
          <cell r="Y374">
            <v>358</v>
          </cell>
          <cell r="Z374">
            <v>0.98423097096383572</v>
          </cell>
          <cell r="AA374">
            <v>0.36345300066642933</v>
          </cell>
          <cell r="AB374" t="str">
            <v/>
          </cell>
          <cell r="AC374" t="e">
            <v>#N/A</v>
          </cell>
          <cell r="AD374">
            <v>287</v>
          </cell>
          <cell r="AE374" t="e">
            <v>#N/A</v>
          </cell>
          <cell r="AF374" t="str">
            <v/>
          </cell>
        </row>
        <row r="375">
          <cell r="Y375">
            <v>359</v>
          </cell>
          <cell r="Z375">
            <v>0.5046409796923399</v>
          </cell>
          <cell r="AA375">
            <v>1.9664158949710044E-3</v>
          </cell>
          <cell r="AB375" t="str">
            <v/>
          </cell>
          <cell r="AC375" t="e">
            <v>#N/A</v>
          </cell>
          <cell r="AD375">
            <v>288</v>
          </cell>
          <cell r="AE375" t="e">
            <v>#N/A</v>
          </cell>
          <cell r="AF375" t="str">
            <v/>
          </cell>
        </row>
        <row r="376">
          <cell r="Y376">
            <v>360</v>
          </cell>
          <cell r="Z376">
            <v>0.35725613497197628</v>
          </cell>
          <cell r="AA376">
            <v>-6.1831949601464861E-2</v>
          </cell>
          <cell r="AB376" t="str">
            <v/>
          </cell>
          <cell r="AC376" t="e">
            <v>#N/A</v>
          </cell>
          <cell r="AD376">
            <v>289</v>
          </cell>
          <cell r="AE376" t="e">
            <v>#N/A</v>
          </cell>
          <cell r="AF376" t="str">
            <v/>
          </cell>
        </row>
        <row r="377">
          <cell r="Y377">
            <v>361</v>
          </cell>
          <cell r="Z377">
            <v>0.99404951743781567</v>
          </cell>
          <cell r="AA377">
            <v>0.42512397205924968</v>
          </cell>
          <cell r="AB377" t="str">
            <v/>
          </cell>
          <cell r="AC377" t="e">
            <v>#N/A</v>
          </cell>
          <cell r="AD377">
            <v>290</v>
          </cell>
          <cell r="AE377" t="e">
            <v>#N/A</v>
          </cell>
          <cell r="AF377" t="str">
            <v/>
          </cell>
        </row>
        <row r="378">
          <cell r="Y378">
            <v>362</v>
          </cell>
          <cell r="Z378">
            <v>9.7021883353590965E-2</v>
          </cell>
          <cell r="AA378">
            <v>-0.21952191081479974</v>
          </cell>
          <cell r="AB378" t="str">
            <v/>
          </cell>
          <cell r="AC378" t="e">
            <v>#N/A</v>
          </cell>
          <cell r="AD378">
            <v>291</v>
          </cell>
          <cell r="AE378" t="e">
            <v>#N/A</v>
          </cell>
          <cell r="AF378" t="str">
            <v/>
          </cell>
        </row>
        <row r="379">
          <cell r="Y379">
            <v>363</v>
          </cell>
          <cell r="Z379">
            <v>9.4820393249392509E-2</v>
          </cell>
          <cell r="AA379">
            <v>-0.22170804770577135</v>
          </cell>
          <cell r="AB379" t="str">
            <v/>
          </cell>
          <cell r="AC379" t="e">
            <v>#N/A</v>
          </cell>
          <cell r="AD379">
            <v>292</v>
          </cell>
          <cell r="AE379" t="e">
            <v>#N/A</v>
          </cell>
          <cell r="AF379" t="str">
            <v/>
          </cell>
        </row>
        <row r="380">
          <cell r="Y380">
            <v>364</v>
          </cell>
          <cell r="Z380">
            <v>0.16515903733670712</v>
          </cell>
          <cell r="AA380">
            <v>-0.16454703703948859</v>
          </cell>
          <cell r="AB380" t="str">
            <v/>
          </cell>
          <cell r="AC380" t="e">
            <v>#N/A</v>
          </cell>
          <cell r="AD380">
            <v>293</v>
          </cell>
          <cell r="AE380" t="e">
            <v>#N/A</v>
          </cell>
          <cell r="AF380" t="str">
            <v/>
          </cell>
        </row>
        <row r="381">
          <cell r="Y381">
            <v>365</v>
          </cell>
          <cell r="Z381">
            <v>0.5204345565289259</v>
          </cell>
          <cell r="AA381">
            <v>8.6618602015252916E-3</v>
          </cell>
          <cell r="AB381" t="str">
            <v/>
          </cell>
          <cell r="AC381" t="e">
            <v>#N/A</v>
          </cell>
          <cell r="AD381">
            <v>294</v>
          </cell>
          <cell r="AE381" t="e">
            <v>#N/A</v>
          </cell>
          <cell r="AF381" t="str">
            <v/>
          </cell>
        </row>
        <row r="382">
          <cell r="Y382">
            <v>366</v>
          </cell>
          <cell r="Z382">
            <v>0.33093849383294582</v>
          </cell>
          <cell r="AA382">
            <v>-7.3921109091170306E-2</v>
          </cell>
          <cell r="AB382" t="str">
            <v/>
          </cell>
          <cell r="AC382" t="e">
            <v>#N/A</v>
          </cell>
          <cell r="AD382">
            <v>295</v>
          </cell>
          <cell r="AE382" t="e">
            <v>#N/A</v>
          </cell>
          <cell r="AF382" t="str">
            <v/>
          </cell>
        </row>
        <row r="383">
          <cell r="Y383">
            <v>367</v>
          </cell>
          <cell r="Z383">
            <v>0.24052987806499004</v>
          </cell>
          <cell r="AA383">
            <v>-0.11909898616144568</v>
          </cell>
          <cell r="AB383" t="str">
            <v/>
          </cell>
          <cell r="AC383" t="e">
            <v>#N/A</v>
          </cell>
          <cell r="AD383">
            <v>296</v>
          </cell>
          <cell r="AE383" t="e">
            <v>#N/A</v>
          </cell>
          <cell r="AF383" t="str">
            <v/>
          </cell>
        </row>
        <row r="384">
          <cell r="Y384">
            <v>368</v>
          </cell>
          <cell r="Z384">
            <v>0.90753831528127193</v>
          </cell>
          <cell r="AA384">
            <v>0.22409221714830055</v>
          </cell>
          <cell r="AB384" t="str">
            <v/>
          </cell>
          <cell r="AC384" t="e">
            <v>#N/A</v>
          </cell>
          <cell r="AD384">
            <v>297</v>
          </cell>
          <cell r="AE384" t="e">
            <v>#N/A</v>
          </cell>
          <cell r="AF384" t="str">
            <v/>
          </cell>
        </row>
        <row r="385">
          <cell r="Y385">
            <v>369</v>
          </cell>
          <cell r="Z385">
            <v>0.95081081800162792</v>
          </cell>
          <cell r="AA385">
            <v>0.27936855317549497</v>
          </cell>
          <cell r="AB385" t="str">
            <v/>
          </cell>
          <cell r="AC385" t="e">
            <v>#N/A</v>
          </cell>
          <cell r="AD385">
            <v>298</v>
          </cell>
          <cell r="AE385" t="e">
            <v>#N/A</v>
          </cell>
          <cell r="AF385" t="str">
            <v/>
          </cell>
        </row>
        <row r="386">
          <cell r="Y386">
            <v>370</v>
          </cell>
          <cell r="Z386">
            <v>0.54055691324174404</v>
          </cell>
          <cell r="AA386">
            <v>1.7213569860324688E-2</v>
          </cell>
          <cell r="AB386" t="str">
            <v/>
          </cell>
          <cell r="AC386" t="e">
            <v>#N/A</v>
          </cell>
          <cell r="AD386">
            <v>299</v>
          </cell>
          <cell r="AE386" t="e">
            <v>#N/A</v>
          </cell>
          <cell r="AF386" t="str">
            <v/>
          </cell>
        </row>
        <row r="387">
          <cell r="Y387">
            <v>371</v>
          </cell>
          <cell r="Z387">
            <v>0.15965731255710125</v>
          </cell>
          <cell r="AA387">
            <v>-0.16833229722870807</v>
          </cell>
          <cell r="AB387" t="str">
            <v/>
          </cell>
          <cell r="AC387" t="e">
            <v>#N/A</v>
          </cell>
          <cell r="AD387">
            <v>300</v>
          </cell>
          <cell r="AE387" t="e">
            <v>#N/A</v>
          </cell>
          <cell r="AF387" t="str">
            <v/>
          </cell>
        </row>
        <row r="388">
          <cell r="Y388">
            <v>372</v>
          </cell>
          <cell r="Z388">
            <v>0.20111607573926449</v>
          </cell>
          <cell r="AA388">
            <v>-0.14158723337224907</v>
          </cell>
          <cell r="AB388" t="str">
            <v/>
          </cell>
          <cell r="AC388" t="e">
            <v>#N/A</v>
          </cell>
          <cell r="AD388">
            <v>301</v>
          </cell>
          <cell r="AE388" t="e">
            <v>#N/A</v>
          </cell>
          <cell r="AF388" t="str">
            <v/>
          </cell>
        </row>
        <row r="389">
          <cell r="Y389">
            <v>373</v>
          </cell>
          <cell r="Z389">
            <v>0.3719016294926405</v>
          </cell>
          <cell r="AA389">
            <v>-5.5242835354744772E-2</v>
          </cell>
          <cell r="AB389" t="str">
            <v/>
          </cell>
          <cell r="AC389" t="e">
            <v>#N/A</v>
          </cell>
          <cell r="AD389">
            <v>302</v>
          </cell>
          <cell r="AE389" t="e">
            <v>#N/A</v>
          </cell>
          <cell r="AF389" t="str">
            <v/>
          </cell>
        </row>
        <row r="390">
          <cell r="Y390">
            <v>374</v>
          </cell>
          <cell r="Z390">
            <v>0.12964758835732937</v>
          </cell>
          <cell r="AA390">
            <v>-0.19067670310490439</v>
          </cell>
          <cell r="AB390" t="str">
            <v/>
          </cell>
          <cell r="AC390" t="e">
            <v>#N/A</v>
          </cell>
          <cell r="AD390">
            <v>303</v>
          </cell>
          <cell r="AE390" t="e">
            <v>#N/A</v>
          </cell>
          <cell r="AF390" t="str">
            <v/>
          </cell>
        </row>
        <row r="391">
          <cell r="Y391">
            <v>375</v>
          </cell>
          <cell r="Z391">
            <v>0.56899194233119488</v>
          </cell>
          <cell r="AA391">
            <v>2.9378966116688717E-2</v>
          </cell>
          <cell r="AB391" t="str">
            <v/>
          </cell>
          <cell r="AC391" t="e">
            <v>#N/A</v>
          </cell>
          <cell r="AD391">
            <v>304</v>
          </cell>
          <cell r="AE391" t="e">
            <v>#N/A</v>
          </cell>
          <cell r="AF391" t="str">
            <v/>
          </cell>
        </row>
        <row r="392">
          <cell r="Y392">
            <v>376</v>
          </cell>
          <cell r="Z392">
            <v>0.82020719908177853</v>
          </cell>
          <cell r="AA392">
            <v>0.15485845992927608</v>
          </cell>
          <cell r="AB392" t="str">
            <v/>
          </cell>
          <cell r="AC392" t="e">
            <v>#N/A</v>
          </cell>
          <cell r="AD392">
            <v>305</v>
          </cell>
          <cell r="AE392" t="e">
            <v>#N/A</v>
          </cell>
          <cell r="AF392" t="str">
            <v/>
          </cell>
        </row>
        <row r="393">
          <cell r="Y393">
            <v>377</v>
          </cell>
          <cell r="Z393">
            <v>0.65351137332618237</v>
          </cell>
          <cell r="AA393">
            <v>6.6736412540176926E-2</v>
          </cell>
          <cell r="AB393" t="str">
            <v/>
          </cell>
          <cell r="AC393" t="e">
            <v>#N/A</v>
          </cell>
          <cell r="AD393">
            <v>306</v>
          </cell>
          <cell r="AE393" t="e">
            <v>#N/A</v>
          </cell>
          <cell r="AF393" t="str">
            <v/>
          </cell>
        </row>
        <row r="394">
          <cell r="Y394">
            <v>378</v>
          </cell>
          <cell r="Z394">
            <v>0.22890967689454556</v>
          </cell>
          <cell r="AA394">
            <v>-0.1254956663228568</v>
          </cell>
          <cell r="AB394" t="str">
            <v/>
          </cell>
          <cell r="AC394" t="e">
            <v>#N/A</v>
          </cell>
          <cell r="AD394">
            <v>307</v>
          </cell>
          <cell r="AE394" t="e">
            <v>#N/A</v>
          </cell>
          <cell r="AF394" t="str">
            <v/>
          </cell>
        </row>
        <row r="395">
          <cell r="Y395">
            <v>379</v>
          </cell>
          <cell r="Z395">
            <v>0.74477125518023968</v>
          </cell>
          <cell r="AA395">
            <v>0.11124351377091866</v>
          </cell>
          <cell r="AB395" t="str">
            <v/>
          </cell>
          <cell r="AC395" t="e">
            <v>#N/A</v>
          </cell>
          <cell r="AD395">
            <v>308</v>
          </cell>
          <cell r="AE395" t="e">
            <v>#N/A</v>
          </cell>
          <cell r="AF395" t="str">
            <v/>
          </cell>
        </row>
        <row r="396">
          <cell r="Y396">
            <v>380</v>
          </cell>
          <cell r="Z396">
            <v>0.2338287141174078</v>
          </cell>
          <cell r="AA396">
            <v>-0.12276640409822454</v>
          </cell>
          <cell r="AB396" t="str">
            <v/>
          </cell>
          <cell r="AC396" t="e">
            <v>#N/A</v>
          </cell>
          <cell r="AD396">
            <v>309</v>
          </cell>
          <cell r="AE396" t="e">
            <v>#N/A</v>
          </cell>
          <cell r="AF396" t="str">
            <v/>
          </cell>
        </row>
        <row r="397">
          <cell r="Y397">
            <v>381</v>
          </cell>
          <cell r="Z397">
            <v>0.18094736151397228</v>
          </cell>
          <cell r="AA397">
            <v>-0.15411568044554544</v>
          </cell>
          <cell r="AB397" t="str">
            <v/>
          </cell>
          <cell r="AC397" t="e">
            <v>#N/A</v>
          </cell>
          <cell r="AD397">
            <v>310</v>
          </cell>
          <cell r="AE397" t="e">
            <v>#N/A</v>
          </cell>
          <cell r="AF397" t="str">
            <v/>
          </cell>
        </row>
        <row r="398">
          <cell r="Y398">
            <v>382</v>
          </cell>
          <cell r="Z398">
            <v>0.96745542250573635</v>
          </cell>
          <cell r="AA398">
            <v>0.31180196215791128</v>
          </cell>
          <cell r="AB398" t="str">
            <v/>
          </cell>
          <cell r="AC398" t="e">
            <v>#N/A</v>
          </cell>
          <cell r="AD398">
            <v>311</v>
          </cell>
          <cell r="AE398" t="e">
            <v>#N/A</v>
          </cell>
          <cell r="AF398" t="str">
            <v/>
          </cell>
        </row>
        <row r="399">
          <cell r="Y399">
            <v>383</v>
          </cell>
          <cell r="Z399">
            <v>0.8019778560847044</v>
          </cell>
          <cell r="AA399">
            <v>0.14345768533714193</v>
          </cell>
          <cell r="AB399" t="str">
            <v/>
          </cell>
          <cell r="AC399" t="e">
            <v>#N/A</v>
          </cell>
          <cell r="AD399">
            <v>312</v>
          </cell>
          <cell r="AE399" t="e">
            <v>#N/A</v>
          </cell>
          <cell r="AF399" t="str">
            <v/>
          </cell>
        </row>
        <row r="400">
          <cell r="Y400">
            <v>384</v>
          </cell>
          <cell r="Z400">
            <v>0.98655917309224606</v>
          </cell>
          <cell r="AA400">
            <v>0.3741044911777453</v>
          </cell>
          <cell r="AB400" t="str">
            <v/>
          </cell>
          <cell r="AC400" t="e">
            <v>#N/A</v>
          </cell>
          <cell r="AD400">
            <v>313</v>
          </cell>
          <cell r="AE400" t="e">
            <v>#N/A</v>
          </cell>
          <cell r="AF400" t="str">
            <v/>
          </cell>
        </row>
        <row r="401">
          <cell r="Y401">
            <v>385</v>
          </cell>
          <cell r="Z401">
            <v>0.556191710755229</v>
          </cell>
          <cell r="AA401">
            <v>2.3887562242195865E-2</v>
          </cell>
          <cell r="AB401" t="str">
            <v/>
          </cell>
          <cell r="AC401" t="e">
            <v>#N/A</v>
          </cell>
          <cell r="AD401">
            <v>314</v>
          </cell>
          <cell r="AE401" t="e">
            <v>#N/A</v>
          </cell>
          <cell r="AF401" t="str">
            <v/>
          </cell>
        </row>
        <row r="402">
          <cell r="Y402">
            <v>386</v>
          </cell>
          <cell r="Z402">
            <v>0.33804452978074551</v>
          </cell>
          <cell r="AA402">
            <v>-7.0622081551198729E-2</v>
          </cell>
          <cell r="AB402" t="str">
            <v/>
          </cell>
          <cell r="AC402" t="e">
            <v>#N/A</v>
          </cell>
          <cell r="AD402">
            <v>315</v>
          </cell>
          <cell r="AE402" t="e">
            <v>#N/A</v>
          </cell>
          <cell r="AF402" t="str">
            <v/>
          </cell>
        </row>
        <row r="403">
          <cell r="Y403">
            <v>387</v>
          </cell>
          <cell r="Z403">
            <v>0.69238634221255779</v>
          </cell>
          <cell r="AA403">
            <v>8.4959283726819906E-2</v>
          </cell>
          <cell r="AB403" t="str">
            <v/>
          </cell>
          <cell r="AC403" t="e">
            <v>#N/A</v>
          </cell>
          <cell r="AD403">
            <v>316</v>
          </cell>
          <cell r="AE403" t="e">
            <v>#N/A</v>
          </cell>
          <cell r="AF403" t="str">
            <v/>
          </cell>
        </row>
        <row r="404">
          <cell r="Y404">
            <v>388</v>
          </cell>
          <cell r="Z404">
            <v>0.42314802668988705</v>
          </cell>
          <cell r="AA404">
            <v>-3.2766043683843678E-2</v>
          </cell>
          <cell r="AB404" t="str">
            <v/>
          </cell>
          <cell r="AC404" t="e">
            <v>#N/A</v>
          </cell>
          <cell r="AD404">
            <v>317</v>
          </cell>
          <cell r="AE404" t="e">
            <v>#N/A</v>
          </cell>
          <cell r="AF404" t="str">
            <v/>
          </cell>
        </row>
        <row r="405">
          <cell r="Y405">
            <v>389</v>
          </cell>
          <cell r="Z405">
            <v>0.76782321743667126</v>
          </cell>
          <cell r="AA405">
            <v>0.12367935624086018</v>
          </cell>
          <cell r="AB405" t="str">
            <v/>
          </cell>
          <cell r="AC405" t="e">
            <v>#N/A</v>
          </cell>
          <cell r="AD405">
            <v>318</v>
          </cell>
          <cell r="AE405" t="e">
            <v>#N/A</v>
          </cell>
          <cell r="AF405" t="str">
            <v/>
          </cell>
        </row>
        <row r="406">
          <cell r="Y406">
            <v>390</v>
          </cell>
          <cell r="Z406">
            <v>0.15606853924691677</v>
          </cell>
          <cell r="AA406">
            <v>-0.17084758693205768</v>
          </cell>
          <cell r="AB406" t="str">
            <v/>
          </cell>
          <cell r="AC406" t="e">
            <v>#N/A</v>
          </cell>
          <cell r="AD406">
            <v>319</v>
          </cell>
          <cell r="AE406" t="e">
            <v>#N/A</v>
          </cell>
          <cell r="AF406" t="str">
            <v/>
          </cell>
        </row>
        <row r="407">
          <cell r="Y407">
            <v>391</v>
          </cell>
          <cell r="Z407">
            <v>0.42136017791926861</v>
          </cell>
          <cell r="AA407">
            <v>-3.3538262038070837E-2</v>
          </cell>
          <cell r="AB407" t="str">
            <v/>
          </cell>
          <cell r="AC407" t="e">
            <v>#N/A</v>
          </cell>
          <cell r="AD407">
            <v>320</v>
          </cell>
          <cell r="AE407" t="e">
            <v>#N/A</v>
          </cell>
          <cell r="AF407" t="str">
            <v/>
          </cell>
        </row>
        <row r="408">
          <cell r="Y408">
            <v>392</v>
          </cell>
          <cell r="Z408">
            <v>0.25687499903142452</v>
          </cell>
          <cell r="AA408">
            <v>-0.11037879235769008</v>
          </cell>
          <cell r="AB408" t="str">
            <v/>
          </cell>
          <cell r="AC408" t="e">
            <v>#N/A</v>
          </cell>
          <cell r="AD408">
            <v>321</v>
          </cell>
          <cell r="AE408" t="e">
            <v>#N/A</v>
          </cell>
          <cell r="AF408" t="str">
            <v/>
          </cell>
        </row>
        <row r="409">
          <cell r="Y409">
            <v>393</v>
          </cell>
          <cell r="Z409">
            <v>0.32968923263251781</v>
          </cell>
          <cell r="AA409">
            <v>-7.4503973037092247E-2</v>
          </cell>
          <cell r="AB409" t="str">
            <v/>
          </cell>
          <cell r="AC409" t="e">
            <v>#N/A</v>
          </cell>
          <cell r="AD409">
            <v>322</v>
          </cell>
          <cell r="AE409" t="e">
            <v>#N/A</v>
          </cell>
          <cell r="AF409" t="str">
            <v/>
          </cell>
        </row>
        <row r="410">
          <cell r="Y410">
            <v>394</v>
          </cell>
          <cell r="Z410">
            <v>0.61228520236909389</v>
          </cell>
          <cell r="AA410">
            <v>4.8221129745320793E-2</v>
          </cell>
          <cell r="AB410" t="str">
            <v/>
          </cell>
          <cell r="AC410" t="e">
            <v>#N/A</v>
          </cell>
          <cell r="AD410">
            <v>323</v>
          </cell>
          <cell r="AE410" t="e">
            <v>#N/A</v>
          </cell>
          <cell r="AF410" t="str">
            <v/>
          </cell>
        </row>
        <row r="411">
          <cell r="Y411">
            <v>395</v>
          </cell>
          <cell r="Z411">
            <v>0.9833985697478056</v>
          </cell>
          <cell r="AA411">
            <v>0.35997176311348095</v>
          </cell>
          <cell r="AB411" t="str">
            <v/>
          </cell>
          <cell r="AC411" t="e">
            <v>#N/A</v>
          </cell>
          <cell r="AD411">
            <v>324</v>
          </cell>
          <cell r="AE411" t="e">
            <v>#N/A</v>
          </cell>
          <cell r="AF411" t="str">
            <v/>
          </cell>
        </row>
        <row r="412">
          <cell r="Y412">
            <v>396</v>
          </cell>
          <cell r="Z412">
            <v>0.48165946267545223</v>
          </cell>
          <cell r="AA412">
            <v>-7.7735793173126146E-3</v>
          </cell>
          <cell r="AB412" t="str">
            <v/>
          </cell>
          <cell r="AC412" t="e">
            <v>#N/A</v>
          </cell>
          <cell r="AD412">
            <v>325</v>
          </cell>
          <cell r="AE412" t="e">
            <v>#N/A</v>
          </cell>
          <cell r="AF412" t="str">
            <v/>
          </cell>
        </row>
        <row r="413">
          <cell r="Y413">
            <v>397</v>
          </cell>
          <cell r="Z413">
            <v>0.88832753710448742</v>
          </cell>
          <cell r="AA413">
            <v>0.20582578643158073</v>
          </cell>
          <cell r="AB413" t="str">
            <v/>
          </cell>
          <cell r="AC413" t="e">
            <v>#N/A</v>
          </cell>
          <cell r="AD413">
            <v>326</v>
          </cell>
          <cell r="AE413" t="e">
            <v>#N/A</v>
          </cell>
          <cell r="AF413" t="str">
            <v/>
          </cell>
        </row>
        <row r="414">
          <cell r="Y414">
            <v>398</v>
          </cell>
          <cell r="Z414">
            <v>0.91930285654962063</v>
          </cell>
          <cell r="AA414">
            <v>0.23671039879274888</v>
          </cell>
          <cell r="AB414" t="str">
            <v/>
          </cell>
          <cell r="AC414" t="e">
            <v>#N/A</v>
          </cell>
          <cell r="AD414">
            <v>327</v>
          </cell>
          <cell r="AE414" t="e">
            <v>#N/A</v>
          </cell>
          <cell r="AF414" t="str">
            <v/>
          </cell>
        </row>
        <row r="415">
          <cell r="Y415">
            <v>399</v>
          </cell>
          <cell r="Z415">
            <v>0.5164333414286375</v>
          </cell>
          <cell r="AA415">
            <v>6.9647360934892502E-3</v>
          </cell>
          <cell r="AB415" t="str">
            <v/>
          </cell>
          <cell r="AC415" t="e">
            <v>#N/A</v>
          </cell>
          <cell r="AD415">
            <v>328</v>
          </cell>
          <cell r="AE415" t="e">
            <v>#N/A</v>
          </cell>
          <cell r="AF415" t="str">
            <v/>
          </cell>
        </row>
        <row r="416">
          <cell r="Y416">
            <v>400</v>
          </cell>
          <cell r="Z416">
            <v>0.12791981361806393</v>
          </cell>
          <cell r="AA416">
            <v>-0.19206628284649047</v>
          </cell>
          <cell r="AB416" t="str">
            <v/>
          </cell>
          <cell r="AC416" t="e">
            <v>#N/A</v>
          </cell>
          <cell r="AD416">
            <v>329</v>
          </cell>
          <cell r="AE416" t="e">
            <v>#N/A</v>
          </cell>
          <cell r="AF416" t="str">
            <v/>
          </cell>
        </row>
        <row r="417">
          <cell r="Y417">
            <v>401</v>
          </cell>
          <cell r="Z417">
            <v>0.79913821630179882</v>
          </cell>
          <cell r="AA417">
            <v>0.14174031155888778</v>
          </cell>
          <cell r="AB417" t="str">
            <v/>
          </cell>
          <cell r="AC417" t="e">
            <v>#N/A</v>
          </cell>
          <cell r="AD417">
            <v>330</v>
          </cell>
          <cell r="AE417" t="e">
            <v>#N/A</v>
          </cell>
          <cell r="AF417" t="str">
            <v/>
          </cell>
        </row>
        <row r="418">
          <cell r="Y418">
            <v>402</v>
          </cell>
          <cell r="Z418">
            <v>0.55181480012834072</v>
          </cell>
          <cell r="AA418">
            <v>2.2015891761615586E-2</v>
          </cell>
          <cell r="AB418" t="str">
            <v/>
          </cell>
          <cell r="AC418" t="e">
            <v>#N/A</v>
          </cell>
          <cell r="AD418">
            <v>331</v>
          </cell>
          <cell r="AE418" t="e">
            <v>#N/A</v>
          </cell>
          <cell r="AF418" t="str">
            <v/>
          </cell>
        </row>
        <row r="419">
          <cell r="Y419">
            <v>403</v>
          </cell>
          <cell r="Z419">
            <v>0.17487580887973309</v>
          </cell>
          <cell r="AA419">
            <v>-0.15805587727839082</v>
          </cell>
          <cell r="AB419" t="str">
            <v/>
          </cell>
          <cell r="AC419" t="e">
            <v>#N/A</v>
          </cell>
          <cell r="AD419">
            <v>332</v>
          </cell>
          <cell r="AE419" t="e">
            <v>#N/A</v>
          </cell>
          <cell r="AF419" t="str">
            <v/>
          </cell>
        </row>
        <row r="420">
          <cell r="Y420">
            <v>404</v>
          </cell>
          <cell r="Z420">
            <v>0.36218284629285336</v>
          </cell>
          <cell r="AA420">
            <v>-5.9605383068423223E-2</v>
          </cell>
          <cell r="AB420" t="str">
            <v/>
          </cell>
          <cell r="AC420" t="e">
            <v>#N/A</v>
          </cell>
          <cell r="AD420">
            <v>333</v>
          </cell>
          <cell r="AE420" t="e">
            <v>#N/A</v>
          </cell>
          <cell r="AF420" t="str">
            <v/>
          </cell>
        </row>
        <row r="421">
          <cell r="Y421">
            <v>405</v>
          </cell>
          <cell r="Z421">
            <v>0.17130553536117077</v>
          </cell>
          <cell r="AA421">
            <v>-0.1604134485959107</v>
          </cell>
          <cell r="AB421" t="str">
            <v/>
          </cell>
          <cell r="AC421" t="e">
            <v>#N/A</v>
          </cell>
          <cell r="AD421">
            <v>334</v>
          </cell>
          <cell r="AE421" t="e">
            <v>#N/A</v>
          </cell>
          <cell r="AF421" t="str">
            <v/>
          </cell>
        </row>
        <row r="422">
          <cell r="Y422">
            <v>406</v>
          </cell>
          <cell r="Z422">
            <v>0.58058366738259792</v>
          </cell>
          <cell r="AA422">
            <v>3.4378654913434878E-2</v>
          </cell>
          <cell r="AB422" t="str">
            <v/>
          </cell>
          <cell r="AC422" t="e">
            <v>#N/A</v>
          </cell>
          <cell r="AD422">
            <v>335</v>
          </cell>
          <cell r="AE422" t="e">
            <v>#N/A</v>
          </cell>
          <cell r="AF422" t="str">
            <v/>
          </cell>
        </row>
        <row r="423">
          <cell r="Y423">
            <v>407</v>
          </cell>
          <cell r="Z423">
            <v>0.22141365520656109</v>
          </cell>
          <cell r="AA423">
            <v>-0.12971894411010126</v>
          </cell>
          <cell r="AB423" t="str">
            <v/>
          </cell>
          <cell r="AC423" t="e">
            <v>#N/A</v>
          </cell>
          <cell r="AD423">
            <v>336</v>
          </cell>
          <cell r="AE423" t="e">
            <v>#N/A</v>
          </cell>
          <cell r="AF423" t="str">
            <v/>
          </cell>
        </row>
        <row r="424">
          <cell r="Y424">
            <v>408</v>
          </cell>
          <cell r="Z424">
            <v>0.43044312857091427</v>
          </cell>
          <cell r="AA424">
            <v>-2.9621998498214976E-2</v>
          </cell>
          <cell r="AB424" t="str">
            <v/>
          </cell>
          <cell r="AC424" t="e">
            <v>#N/A</v>
          </cell>
          <cell r="AD424">
            <v>337</v>
          </cell>
          <cell r="AE424" t="e">
            <v>#N/A</v>
          </cell>
          <cell r="AF424" t="str">
            <v/>
          </cell>
        </row>
        <row r="425">
          <cell r="Y425">
            <v>409</v>
          </cell>
          <cell r="Z425">
            <v>0.88146981410682201</v>
          </cell>
          <cell r="AA425">
            <v>0.19985638911502157</v>
          </cell>
          <cell r="AB425" t="str">
            <v/>
          </cell>
          <cell r="AC425" t="e">
            <v>#N/A</v>
          </cell>
          <cell r="AD425">
            <v>338</v>
          </cell>
          <cell r="AE425" t="e">
            <v>#N/A</v>
          </cell>
          <cell r="AF425" t="str">
            <v/>
          </cell>
        </row>
        <row r="426">
          <cell r="Y426">
            <v>410</v>
          </cell>
          <cell r="Z426">
            <v>0.60017580352723598</v>
          </cell>
          <cell r="AA426">
            <v>4.2900397634371382E-2</v>
          </cell>
          <cell r="AB426" t="str">
            <v/>
          </cell>
          <cell r="AC426" t="e">
            <v>#N/A</v>
          </cell>
          <cell r="AD426">
            <v>339</v>
          </cell>
          <cell r="AE426" t="e">
            <v>#N/A</v>
          </cell>
          <cell r="AF426" t="str">
            <v/>
          </cell>
        </row>
        <row r="427">
          <cell r="Y427">
            <v>411</v>
          </cell>
          <cell r="Z427">
            <v>0.83755780570209026</v>
          </cell>
          <cell r="AA427">
            <v>0.166405831524359</v>
          </cell>
          <cell r="AB427" t="str">
            <v/>
          </cell>
          <cell r="AC427" t="e">
            <v>#N/A</v>
          </cell>
          <cell r="AD427">
            <v>340</v>
          </cell>
          <cell r="AE427" t="e">
            <v>#N/A</v>
          </cell>
          <cell r="AF427" t="str">
            <v/>
          </cell>
        </row>
        <row r="428">
          <cell r="Y428">
            <v>412</v>
          </cell>
          <cell r="Z428">
            <v>0.94527237676084042</v>
          </cell>
          <cell r="AA428">
            <v>0.27055863266892338</v>
          </cell>
          <cell r="AB428" t="str">
            <v/>
          </cell>
          <cell r="AC428" t="e">
            <v>#N/A</v>
          </cell>
          <cell r="AD428">
            <v>341</v>
          </cell>
          <cell r="AE428" t="e">
            <v>#N/A</v>
          </cell>
          <cell r="AF428" t="str">
            <v/>
          </cell>
        </row>
        <row r="429">
          <cell r="Y429">
            <v>413</v>
          </cell>
          <cell r="Z429">
            <v>5.6149302050471306E-2</v>
          </cell>
          <cell r="AA429">
            <v>-0.268411823531293</v>
          </cell>
          <cell r="AB429" t="str">
            <v/>
          </cell>
          <cell r="AC429" t="e">
            <v>#N/A</v>
          </cell>
          <cell r="AD429">
            <v>342</v>
          </cell>
          <cell r="AE429" t="e">
            <v>#N/A</v>
          </cell>
          <cell r="AF429" t="str">
            <v/>
          </cell>
        </row>
        <row r="430">
          <cell r="Y430">
            <v>414</v>
          </cell>
          <cell r="Z430">
            <v>0.75044563971459866</v>
          </cell>
          <cell r="AA430">
            <v>0.11424673215195508</v>
          </cell>
          <cell r="AB430" t="str">
            <v/>
          </cell>
          <cell r="AC430" t="e">
            <v>#N/A</v>
          </cell>
          <cell r="AD430">
            <v>343</v>
          </cell>
          <cell r="AE430" t="e">
            <v>#N/A</v>
          </cell>
          <cell r="AF430" t="str">
            <v/>
          </cell>
        </row>
        <row r="431">
          <cell r="Y431">
            <v>415</v>
          </cell>
          <cell r="Z431">
            <v>0.15293930284678936</v>
          </cell>
          <cell r="AA431">
            <v>-0.1730720854510753</v>
          </cell>
          <cell r="AB431" t="str">
            <v/>
          </cell>
          <cell r="AC431" t="e">
            <v>#N/A</v>
          </cell>
          <cell r="AD431">
            <v>344</v>
          </cell>
          <cell r="AE431" t="e">
            <v>#N/A</v>
          </cell>
          <cell r="AF431" t="str">
            <v/>
          </cell>
        </row>
        <row r="432">
          <cell r="Y432">
            <v>416</v>
          </cell>
          <cell r="Z432">
            <v>1.6678830608725548E-2</v>
          </cell>
          <cell r="AA432">
            <v>-0.35965571038398531</v>
          </cell>
          <cell r="AB432" t="str">
            <v/>
          </cell>
          <cell r="AC432" t="e">
            <v>#N/A</v>
          </cell>
          <cell r="AD432">
            <v>345</v>
          </cell>
          <cell r="AE432" t="e">
            <v>#N/A</v>
          </cell>
          <cell r="AF432" t="str">
            <v/>
          </cell>
        </row>
        <row r="433">
          <cell r="Y433">
            <v>417</v>
          </cell>
          <cell r="Z433">
            <v>0.52291205339133739</v>
          </cell>
          <cell r="AA433">
            <v>9.7131228932154159E-3</v>
          </cell>
          <cell r="AB433" t="str">
            <v/>
          </cell>
          <cell r="AC433" t="e">
            <v>#N/A</v>
          </cell>
          <cell r="AD433">
            <v>346</v>
          </cell>
          <cell r="AE433" t="e">
            <v>#N/A</v>
          </cell>
          <cell r="AF433" t="str">
            <v/>
          </cell>
        </row>
        <row r="434">
          <cell r="Y434">
            <v>418</v>
          </cell>
          <cell r="Z434">
            <v>0.33177006803452969</v>
          </cell>
          <cell r="AA434">
            <v>-7.3533611211770322E-2</v>
          </cell>
          <cell r="AB434" t="str">
            <v/>
          </cell>
          <cell r="AC434" t="e">
            <v>#N/A</v>
          </cell>
          <cell r="AD434">
            <v>347</v>
          </cell>
          <cell r="AE434" t="e">
            <v>#N/A</v>
          </cell>
          <cell r="AF434" t="str">
            <v/>
          </cell>
        </row>
        <row r="435">
          <cell r="Y435">
            <v>419</v>
          </cell>
          <cell r="Z435">
            <v>0.99335618130862713</v>
          </cell>
          <cell r="AA435">
            <v>0.41851457519741075</v>
          </cell>
          <cell r="AB435" t="str">
            <v/>
          </cell>
          <cell r="AC435" t="e">
            <v>#N/A</v>
          </cell>
          <cell r="AD435">
            <v>348</v>
          </cell>
          <cell r="AE435" t="e">
            <v>#N/A</v>
          </cell>
          <cell r="AF435" t="str">
            <v/>
          </cell>
        </row>
        <row r="436">
          <cell r="Y436">
            <v>420</v>
          </cell>
          <cell r="Z436">
            <v>0.72671662829816341</v>
          </cell>
          <cell r="AA436">
            <v>0.1019108526872998</v>
          </cell>
          <cell r="AB436" t="str">
            <v/>
          </cell>
          <cell r="AC436" t="e">
            <v>#N/A</v>
          </cell>
          <cell r="AD436">
            <v>349</v>
          </cell>
          <cell r="AE436" t="e">
            <v>#N/A</v>
          </cell>
          <cell r="AF436" t="str">
            <v/>
          </cell>
        </row>
        <row r="437">
          <cell r="Y437">
            <v>421</v>
          </cell>
          <cell r="Z437">
            <v>0.73029780201613903</v>
          </cell>
          <cell r="AA437">
            <v>0.10373658416111502</v>
          </cell>
          <cell r="AB437" t="str">
            <v/>
          </cell>
          <cell r="AC437" t="e">
            <v>#N/A</v>
          </cell>
          <cell r="AD437">
            <v>350</v>
          </cell>
          <cell r="AE437" t="e">
            <v>#N/A</v>
          </cell>
          <cell r="AF437" t="str">
            <v/>
          </cell>
        </row>
        <row r="438">
          <cell r="Y438">
            <v>422</v>
          </cell>
          <cell r="Z438">
            <v>0.51403281651437283</v>
          </cell>
          <cell r="AA438">
            <v>5.9468960311279588E-3</v>
          </cell>
          <cell r="AB438" t="str">
            <v/>
          </cell>
          <cell r="AC438" t="e">
            <v>#N/A</v>
          </cell>
          <cell r="AD438">
            <v>351</v>
          </cell>
          <cell r="AE438" t="e">
            <v>#N/A</v>
          </cell>
          <cell r="AF438" t="str">
            <v/>
          </cell>
        </row>
        <row r="439">
          <cell r="Y439">
            <v>423</v>
          </cell>
          <cell r="Z439">
            <v>0.84757034294307232</v>
          </cell>
          <cell r="AA439">
            <v>0.17343722551661547</v>
          </cell>
          <cell r="AB439" t="str">
            <v/>
          </cell>
          <cell r="AC439" t="e">
            <v>#N/A</v>
          </cell>
          <cell r="AD439">
            <v>352</v>
          </cell>
          <cell r="AE439" t="e">
            <v>#N/A</v>
          </cell>
          <cell r="AF439" t="str">
            <v/>
          </cell>
        </row>
        <row r="440">
          <cell r="Y440">
            <v>424</v>
          </cell>
          <cell r="Z440">
            <v>0.44784518145024776</v>
          </cell>
          <cell r="AA440">
            <v>-2.2161192062877748E-2</v>
          </cell>
          <cell r="AB440" t="str">
            <v/>
          </cell>
          <cell r="AC440" t="e">
            <v>#N/A</v>
          </cell>
          <cell r="AD440">
            <v>353</v>
          </cell>
          <cell r="AE440" t="e">
            <v>#N/A</v>
          </cell>
          <cell r="AF440" t="str">
            <v/>
          </cell>
        </row>
        <row r="441">
          <cell r="Y441">
            <v>425</v>
          </cell>
          <cell r="Z441">
            <v>0.63648983649909496</v>
          </cell>
          <cell r="AA441">
            <v>5.9007298750783144E-2</v>
          </cell>
          <cell r="AB441" t="str">
            <v/>
          </cell>
          <cell r="AC441" t="e">
            <v>#N/A</v>
          </cell>
          <cell r="AD441">
            <v>354</v>
          </cell>
          <cell r="AE441" t="e">
            <v>#N/A</v>
          </cell>
          <cell r="AF441" t="str">
            <v/>
          </cell>
        </row>
        <row r="442">
          <cell r="Y442">
            <v>426</v>
          </cell>
          <cell r="Z442">
            <v>0.63935882411897182</v>
          </cell>
          <cell r="AA442">
            <v>6.0300992709741166E-2</v>
          </cell>
          <cell r="AB442" t="str">
            <v/>
          </cell>
          <cell r="AC442" t="e">
            <v>#N/A</v>
          </cell>
          <cell r="AD442">
            <v>355</v>
          </cell>
          <cell r="AE442" t="e">
            <v>#N/A</v>
          </cell>
          <cell r="AF442" t="str">
            <v/>
          </cell>
        </row>
        <row r="443">
          <cell r="Y443">
            <v>427</v>
          </cell>
          <cell r="Z443">
            <v>0.55285443179309368</v>
          </cell>
          <cell r="AA443">
            <v>2.2460209901496171E-2</v>
          </cell>
          <cell r="AB443" t="str">
            <v/>
          </cell>
          <cell r="AC443" t="e">
            <v>#N/A</v>
          </cell>
          <cell r="AD443">
            <v>356</v>
          </cell>
          <cell r="AE443" t="e">
            <v>#N/A</v>
          </cell>
          <cell r="AF443" t="str">
            <v/>
          </cell>
        </row>
        <row r="444">
          <cell r="Y444">
            <v>428</v>
          </cell>
          <cell r="Z444">
            <v>0.50503855012357235</v>
          </cell>
          <cell r="AA444">
            <v>2.1348779005017568E-3</v>
          </cell>
          <cell r="AB444" t="str">
            <v/>
          </cell>
          <cell r="AC444" t="e">
            <v>#N/A</v>
          </cell>
          <cell r="AD444">
            <v>357</v>
          </cell>
          <cell r="AE444" t="e">
            <v>#N/A</v>
          </cell>
          <cell r="AF444" t="str">
            <v/>
          </cell>
        </row>
        <row r="445">
          <cell r="Y445">
            <v>429</v>
          </cell>
          <cell r="Z445">
            <v>6.6736875101923943E-2</v>
          </cell>
          <cell r="AA445">
            <v>-0.25363809510901414</v>
          </cell>
          <cell r="AB445" t="str">
            <v/>
          </cell>
          <cell r="AC445" t="e">
            <v>#N/A</v>
          </cell>
          <cell r="AD445">
            <v>358</v>
          </cell>
          <cell r="AE445" t="e">
            <v>#N/A</v>
          </cell>
          <cell r="AF445" t="str">
            <v/>
          </cell>
        </row>
        <row r="446">
          <cell r="Y446">
            <v>430</v>
          </cell>
          <cell r="Z446">
            <v>0.61859861575067043</v>
          </cell>
          <cell r="AA446">
            <v>5.1013901568045916E-2</v>
          </cell>
          <cell r="AB446" t="str">
            <v/>
          </cell>
          <cell r="AC446" t="e">
            <v>#N/A</v>
          </cell>
          <cell r="AD446">
            <v>359</v>
          </cell>
          <cell r="AE446" t="e">
            <v>#N/A</v>
          </cell>
          <cell r="AF446" t="str">
            <v/>
          </cell>
        </row>
        <row r="447">
          <cell r="Y447">
            <v>431</v>
          </cell>
          <cell r="Z447">
            <v>0.19928870908915997</v>
          </cell>
          <cell r="AA447">
            <v>-0.14268986519589308</v>
          </cell>
          <cell r="AB447" t="str">
            <v/>
          </cell>
          <cell r="AC447" t="e">
            <v>#N/A</v>
          </cell>
          <cell r="AD447">
            <v>360</v>
          </cell>
          <cell r="AE447" t="e">
            <v>#N/A</v>
          </cell>
          <cell r="AF447" t="str">
            <v/>
          </cell>
        </row>
        <row r="448">
          <cell r="Y448">
            <v>432</v>
          </cell>
          <cell r="Z448">
            <v>0.68164481781423092</v>
          </cell>
          <cell r="AA448">
            <v>7.9833817065523616E-2</v>
          </cell>
          <cell r="AB448" t="str">
            <v/>
          </cell>
          <cell r="AC448" t="e">
            <v>#N/A</v>
          </cell>
          <cell r="AD448">
            <v>361</v>
          </cell>
          <cell r="AE448" t="e">
            <v>#N/A</v>
          </cell>
          <cell r="AF448" t="str">
            <v/>
          </cell>
        </row>
        <row r="449">
          <cell r="Y449">
            <v>433</v>
          </cell>
          <cell r="Z449">
            <v>3.9524940773844719E-2</v>
          </cell>
          <cell r="AA449">
            <v>-0.29685632110848881</v>
          </cell>
          <cell r="AB449" t="str">
            <v/>
          </cell>
          <cell r="AC449" t="e">
            <v>#N/A</v>
          </cell>
          <cell r="AD449">
            <v>362</v>
          </cell>
          <cell r="AE449" t="e">
            <v>#N/A</v>
          </cell>
          <cell r="AF449" t="str">
            <v/>
          </cell>
        </row>
        <row r="450">
          <cell r="Y450">
            <v>434</v>
          </cell>
          <cell r="Z450">
            <v>0.9215626772493124</v>
          </cell>
          <cell r="AA450">
            <v>0.23929046232783518</v>
          </cell>
          <cell r="AB450" t="str">
            <v/>
          </cell>
          <cell r="AC450" t="e">
            <v>#N/A</v>
          </cell>
          <cell r="AD450">
            <v>363</v>
          </cell>
          <cell r="AE450" t="e">
            <v>#N/A</v>
          </cell>
          <cell r="AF450" t="str">
            <v/>
          </cell>
        </row>
        <row r="451">
          <cell r="Y451">
            <v>435</v>
          </cell>
          <cell r="Z451">
            <v>0.75280792824923992</v>
          </cell>
          <cell r="AA451">
            <v>0.11550765021337224</v>
          </cell>
          <cell r="AB451" t="str">
            <v/>
          </cell>
          <cell r="AC451" t="e">
            <v>#N/A</v>
          </cell>
          <cell r="AD451">
            <v>364</v>
          </cell>
          <cell r="AE451" t="e">
            <v>#N/A</v>
          </cell>
          <cell r="AF451" t="str">
            <v/>
          </cell>
        </row>
        <row r="452">
          <cell r="Y452">
            <v>436</v>
          </cell>
          <cell r="Z452">
            <v>6.8995466455817223E-2</v>
          </cell>
          <cell r="AA452">
            <v>-0.25072587316304012</v>
          </cell>
          <cell r="AB452" t="str">
            <v/>
          </cell>
          <cell r="AC452" t="e">
            <v>#N/A</v>
          </cell>
          <cell r="AD452">
            <v>365</v>
          </cell>
          <cell r="AE452" t="e">
            <v>#N/A</v>
          </cell>
          <cell r="AF452" t="str">
            <v/>
          </cell>
        </row>
        <row r="453">
          <cell r="Y453">
            <v>437</v>
          </cell>
          <cell r="Z453">
            <v>0.56149923615157604</v>
          </cell>
          <cell r="AA453">
            <v>2.6161143862732862E-2</v>
          </cell>
          <cell r="AB453" t="str">
            <v/>
          </cell>
          <cell r="AC453" t="e">
            <v>#N/A</v>
          </cell>
          <cell r="AD453">
            <v>366</v>
          </cell>
          <cell r="AE453" t="e">
            <v>#N/A</v>
          </cell>
          <cell r="AF453" t="str">
            <v/>
          </cell>
        </row>
        <row r="454">
          <cell r="Y454">
            <v>438</v>
          </cell>
          <cell r="Z454">
            <v>0.66100583039224148</v>
          </cell>
          <cell r="AA454">
            <v>7.0183262606242108E-2</v>
          </cell>
          <cell r="AB454" t="str">
            <v/>
          </cell>
          <cell r="AC454" t="e">
            <v>#N/A</v>
          </cell>
          <cell r="AD454">
            <v>367</v>
          </cell>
          <cell r="AE454" t="e">
            <v>#N/A</v>
          </cell>
          <cell r="AF454" t="str">
            <v/>
          </cell>
        </row>
        <row r="455">
          <cell r="Y455">
            <v>439</v>
          </cell>
          <cell r="Z455">
            <v>0.8969982098788023</v>
          </cell>
          <cell r="AA455">
            <v>0.21376167988277645</v>
          </cell>
          <cell r="AB455" t="str">
            <v/>
          </cell>
          <cell r="AC455" t="e">
            <v>#N/A</v>
          </cell>
          <cell r="AD455">
            <v>368</v>
          </cell>
          <cell r="AE455" t="e">
            <v>#N/A</v>
          </cell>
          <cell r="AF455" t="str">
            <v/>
          </cell>
        </row>
        <row r="456">
          <cell r="Y456">
            <v>440</v>
          </cell>
          <cell r="Z456">
            <v>0.75976475141942501</v>
          </cell>
          <cell r="AA456">
            <v>0.11925904584463516</v>
          </cell>
          <cell r="AB456" t="str">
            <v/>
          </cell>
          <cell r="AC456" t="e">
            <v>#N/A</v>
          </cell>
          <cell r="AD456">
            <v>369</v>
          </cell>
          <cell r="AE456" t="e">
            <v>#N/A</v>
          </cell>
          <cell r="AF456" t="str">
            <v/>
          </cell>
        </row>
        <row r="457">
          <cell r="Y457">
            <v>441</v>
          </cell>
          <cell r="Z457">
            <v>0.39113601855933666</v>
          </cell>
          <cell r="AA457">
            <v>-4.6713264508987606E-2</v>
          </cell>
          <cell r="AB457" t="str">
            <v/>
          </cell>
          <cell r="AC457" t="e">
            <v>#N/A</v>
          </cell>
          <cell r="AD457">
            <v>370</v>
          </cell>
          <cell r="AE457" t="e">
            <v>#N/A</v>
          </cell>
          <cell r="AF457" t="str">
            <v/>
          </cell>
        </row>
        <row r="458">
          <cell r="Y458">
            <v>442</v>
          </cell>
          <cell r="Z458">
            <v>0.27036160789430141</v>
          </cell>
          <cell r="AA458">
            <v>-0.10339950395189798</v>
          </cell>
          <cell r="AB458" t="str">
            <v/>
          </cell>
          <cell r="AC458" t="e">
            <v>#N/A</v>
          </cell>
          <cell r="AD458">
            <v>371</v>
          </cell>
          <cell r="AE458" t="e">
            <v>#N/A</v>
          </cell>
          <cell r="AF458" t="str">
            <v/>
          </cell>
        </row>
        <row r="459">
          <cell r="Y459">
            <v>443</v>
          </cell>
          <cell r="Z459">
            <v>0.59364391677081585</v>
          </cell>
          <cell r="AA459">
            <v>4.0048246256944905E-2</v>
          </cell>
          <cell r="AB459" t="str">
            <v/>
          </cell>
          <cell r="AC459" t="e">
            <v>#N/A</v>
          </cell>
          <cell r="AD459">
            <v>372</v>
          </cell>
          <cell r="AE459" t="e">
            <v>#N/A</v>
          </cell>
          <cell r="AF459" t="str">
            <v/>
          </cell>
        </row>
        <row r="460">
          <cell r="Y460">
            <v>444</v>
          </cell>
          <cell r="Z460">
            <v>0.88507907651364803</v>
          </cell>
          <cell r="AA460">
            <v>0.20296655851303352</v>
          </cell>
          <cell r="AB460" t="str">
            <v/>
          </cell>
          <cell r="AC460" t="e">
            <v>#N/A</v>
          </cell>
          <cell r="AD460">
            <v>373</v>
          </cell>
          <cell r="AE460" t="e">
            <v>#N/A</v>
          </cell>
          <cell r="AF460" t="str">
            <v/>
          </cell>
        </row>
        <row r="461">
          <cell r="Y461">
            <v>445</v>
          </cell>
          <cell r="Z461">
            <v>0.27116447500884533</v>
          </cell>
          <cell r="AA461">
            <v>-0.10298964483908195</v>
          </cell>
          <cell r="AB461" t="str">
            <v/>
          </cell>
          <cell r="AC461" t="e">
            <v>#N/A</v>
          </cell>
          <cell r="AD461">
            <v>374</v>
          </cell>
          <cell r="AE461" t="e">
            <v>#N/A</v>
          </cell>
          <cell r="AF461" t="str">
            <v/>
          </cell>
        </row>
        <row r="462">
          <cell r="Y462">
            <v>446</v>
          </cell>
          <cell r="Z462">
            <v>0.27522662840783596</v>
          </cell>
          <cell r="AA462">
            <v>-0.10092512108443684</v>
          </cell>
          <cell r="AB462" t="str">
            <v/>
          </cell>
          <cell r="AC462" t="e">
            <v>#N/A</v>
          </cell>
          <cell r="AD462">
            <v>375</v>
          </cell>
          <cell r="AE462" t="e">
            <v>#N/A</v>
          </cell>
          <cell r="AF462" t="str">
            <v/>
          </cell>
        </row>
        <row r="463">
          <cell r="Y463">
            <v>447</v>
          </cell>
          <cell r="Z463">
            <v>0.86202452890574932</v>
          </cell>
          <cell r="AA463">
            <v>0.18415240560073945</v>
          </cell>
          <cell r="AB463" t="str">
            <v/>
          </cell>
          <cell r="AC463" t="e">
            <v>#N/A</v>
          </cell>
          <cell r="AD463">
            <v>376</v>
          </cell>
          <cell r="AE463" t="e">
            <v>#N/A</v>
          </cell>
          <cell r="AF463" t="str">
            <v/>
          </cell>
        </row>
        <row r="464">
          <cell r="Y464">
            <v>448</v>
          </cell>
          <cell r="Z464">
            <v>0.49537636898458004</v>
          </cell>
          <cell r="AA464">
            <v>-1.9590648081880546E-3</v>
          </cell>
          <cell r="AB464" t="str">
            <v/>
          </cell>
          <cell r="AC464" t="e">
            <v>#N/A</v>
          </cell>
          <cell r="AD464">
            <v>377</v>
          </cell>
          <cell r="AE464" t="e">
            <v>#N/A</v>
          </cell>
          <cell r="AF464" t="str">
            <v/>
          </cell>
        </row>
        <row r="465">
          <cell r="Y465">
            <v>449</v>
          </cell>
          <cell r="Z465">
            <v>0.12973859719932079</v>
          </cell>
          <cell r="AA465">
            <v>-0.19060386521897635</v>
          </cell>
          <cell r="AB465" t="str">
            <v/>
          </cell>
          <cell r="AC465" t="e">
            <v>#N/A</v>
          </cell>
          <cell r="AD465">
            <v>378</v>
          </cell>
          <cell r="AE465" t="e">
            <v>#N/A</v>
          </cell>
          <cell r="AF465" t="str">
            <v/>
          </cell>
        </row>
        <row r="466">
          <cell r="Y466">
            <v>450</v>
          </cell>
          <cell r="Z466">
            <v>0.65859497152268887</v>
          </cell>
          <cell r="AA466">
            <v>6.907134245924583E-2</v>
          </cell>
          <cell r="AB466" t="str">
            <v/>
          </cell>
          <cell r="AC466" t="e">
            <v>#N/A</v>
          </cell>
          <cell r="AD466">
            <v>379</v>
          </cell>
          <cell r="AE466" t="e">
            <v>#N/A</v>
          </cell>
          <cell r="AF466" t="str">
            <v/>
          </cell>
        </row>
        <row r="467">
          <cell r="Y467">
            <v>451</v>
          </cell>
          <cell r="Z467">
            <v>0.27696151845157146</v>
          </cell>
          <cell r="AA467">
            <v>-0.10004797670565832</v>
          </cell>
          <cell r="AB467" t="str">
            <v/>
          </cell>
          <cell r="AC467" t="e">
            <v>#N/A</v>
          </cell>
          <cell r="AD467">
            <v>380</v>
          </cell>
          <cell r="AE467" t="e">
            <v>#N/A</v>
          </cell>
          <cell r="AF467" t="str">
            <v/>
          </cell>
        </row>
        <row r="468">
          <cell r="Y468">
            <v>452</v>
          </cell>
          <cell r="Z468">
            <v>0.78501545451581478</v>
          </cell>
          <cell r="AA468">
            <v>0.13340667716919083</v>
          </cell>
          <cell r="AB468" t="str">
            <v/>
          </cell>
          <cell r="AC468" t="e">
            <v>#N/A</v>
          </cell>
          <cell r="AD468">
            <v>381</v>
          </cell>
          <cell r="AE468" t="e">
            <v>#N/A</v>
          </cell>
          <cell r="AF468" t="str">
            <v/>
          </cell>
        </row>
        <row r="469">
          <cell r="Y469">
            <v>453</v>
          </cell>
          <cell r="Z469">
            <v>0.7503590565174818</v>
          </cell>
          <cell r="AA469">
            <v>0.11420063765133036</v>
          </cell>
          <cell r="AB469" t="str">
            <v/>
          </cell>
          <cell r="AC469" t="e">
            <v>#N/A</v>
          </cell>
          <cell r="AD469">
            <v>382</v>
          </cell>
          <cell r="AE469" t="e">
            <v>#N/A</v>
          </cell>
          <cell r="AF469" t="str">
            <v/>
          </cell>
        </row>
        <row r="470">
          <cell r="Y470">
            <v>454</v>
          </cell>
          <cell r="Z470">
            <v>0.31984255276620388</v>
          </cell>
          <cell r="AA470">
            <v>-7.9129953758609595E-2</v>
          </cell>
          <cell r="AB470" t="str">
            <v/>
          </cell>
          <cell r="AC470" t="e">
            <v>#N/A</v>
          </cell>
          <cell r="AD470">
            <v>383</v>
          </cell>
          <cell r="AE470" t="e">
            <v>#N/A</v>
          </cell>
          <cell r="AF470" t="str">
            <v/>
          </cell>
        </row>
        <row r="471">
          <cell r="Y471">
            <v>455</v>
          </cell>
          <cell r="Z471">
            <v>0.68561522476375103</v>
          </cell>
          <cell r="AA471">
            <v>8.1719560966919333E-2</v>
          </cell>
          <cell r="AB471" t="str">
            <v/>
          </cell>
          <cell r="AC471" t="e">
            <v>#N/A</v>
          </cell>
          <cell r="AD471">
            <v>384</v>
          </cell>
          <cell r="AE471" t="e">
            <v>#N/A</v>
          </cell>
          <cell r="AF471" t="str">
            <v/>
          </cell>
        </row>
        <row r="472">
          <cell r="Y472">
            <v>456</v>
          </cell>
          <cell r="Z472">
            <v>0.16063543222844601</v>
          </cell>
          <cell r="AA472">
            <v>-0.16765319350170746</v>
          </cell>
          <cell r="AB472" t="str">
            <v/>
          </cell>
          <cell r="AC472" t="e">
            <v>#N/A</v>
          </cell>
          <cell r="AD472">
            <v>385</v>
          </cell>
          <cell r="AE472" t="e">
            <v>#N/A</v>
          </cell>
          <cell r="AF472" t="str">
            <v/>
          </cell>
        </row>
        <row r="473">
          <cell r="Y473">
            <v>457</v>
          </cell>
          <cell r="Z473">
            <v>0.41054507903754711</v>
          </cell>
          <cell r="AA473">
            <v>-3.8225153176935443E-2</v>
          </cell>
          <cell r="AB473" t="str">
            <v/>
          </cell>
          <cell r="AC473" t="e">
            <v>#N/A</v>
          </cell>
          <cell r="AD473">
            <v>386</v>
          </cell>
          <cell r="AE473" t="e">
            <v>#N/A</v>
          </cell>
          <cell r="AF473" t="str">
            <v/>
          </cell>
        </row>
        <row r="474">
          <cell r="Y474">
            <v>458</v>
          </cell>
          <cell r="Z474">
            <v>0.12746149860322475</v>
          </cell>
          <cell r="AA474">
            <v>-0.19243707199839935</v>
          </cell>
          <cell r="AB474" t="str">
            <v/>
          </cell>
          <cell r="AC474" t="e">
            <v>#N/A</v>
          </cell>
          <cell r="AD474">
            <v>387</v>
          </cell>
          <cell r="AE474" t="e">
            <v>#N/A</v>
          </cell>
          <cell r="AF474" t="str">
            <v/>
          </cell>
        </row>
        <row r="475">
          <cell r="Y475">
            <v>459</v>
          </cell>
          <cell r="Z475">
            <v>0.64303172938525677</v>
          </cell>
          <cell r="AA475">
            <v>6.1962374939212715E-2</v>
          </cell>
          <cell r="AB475" t="str">
            <v/>
          </cell>
          <cell r="AC475" t="e">
            <v>#N/A</v>
          </cell>
          <cell r="AD475">
            <v>388</v>
          </cell>
          <cell r="AE475" t="e">
            <v>#N/A</v>
          </cell>
          <cell r="AF475" t="str">
            <v/>
          </cell>
        </row>
        <row r="476">
          <cell r="Y476">
            <v>460</v>
          </cell>
          <cell r="Z476">
            <v>0.65326504968106747</v>
          </cell>
          <cell r="AA476">
            <v>6.6623600877348865E-2</v>
          </cell>
          <cell r="AB476" t="str">
            <v/>
          </cell>
          <cell r="AC476" t="e">
            <v>#N/A</v>
          </cell>
          <cell r="AD476">
            <v>389</v>
          </cell>
          <cell r="AE476" t="e">
            <v>#N/A</v>
          </cell>
          <cell r="AF476" t="str">
            <v/>
          </cell>
        </row>
        <row r="477">
          <cell r="Y477">
            <v>461</v>
          </cell>
          <cell r="Z477">
            <v>0.98925632052123547</v>
          </cell>
          <cell r="AA477">
            <v>0.38865427652928353</v>
          </cell>
          <cell r="AB477" t="str">
            <v/>
          </cell>
          <cell r="AC477" t="e">
            <v>#N/A</v>
          </cell>
          <cell r="AD477">
            <v>390</v>
          </cell>
          <cell r="AE477" t="e">
            <v>#N/A</v>
          </cell>
          <cell r="AF477" t="str">
            <v/>
          </cell>
        </row>
        <row r="478">
          <cell r="Y478">
            <v>462</v>
          </cell>
          <cell r="Z478">
            <v>6.5544521436095238E-2</v>
          </cell>
          <cell r="AA478">
            <v>-0.25520636958145076</v>
          </cell>
          <cell r="AB478" t="str">
            <v/>
          </cell>
          <cell r="AC478" t="e">
            <v>#N/A</v>
          </cell>
          <cell r="AD478">
            <v>391</v>
          </cell>
          <cell r="AE478" t="e">
            <v>#N/A</v>
          </cell>
          <cell r="AF478" t="str">
            <v/>
          </cell>
        </row>
        <row r="479">
          <cell r="Y479">
            <v>463</v>
          </cell>
          <cell r="Z479">
            <v>6.6439731046557426E-2</v>
          </cell>
          <cell r="AA479">
            <v>-0.25402687858866141</v>
          </cell>
          <cell r="AB479" t="str">
            <v/>
          </cell>
          <cell r="AC479" t="e">
            <v>#N/A</v>
          </cell>
          <cell r="AD479">
            <v>392</v>
          </cell>
          <cell r="AE479" t="e">
            <v>#N/A</v>
          </cell>
          <cell r="AF479" t="str">
            <v/>
          </cell>
        </row>
        <row r="480">
          <cell r="Y480">
            <v>464</v>
          </cell>
          <cell r="Z480">
            <v>0.17418207786977291</v>
          </cell>
          <cell r="AA480">
            <v>-0.15851155654283161</v>
          </cell>
          <cell r="AB480" t="str">
            <v/>
          </cell>
          <cell r="AC480" t="e">
            <v>#N/A</v>
          </cell>
          <cell r="AD480">
            <v>393</v>
          </cell>
          <cell r="AE480" t="e">
            <v>#N/A</v>
          </cell>
          <cell r="AF480" t="str">
            <v/>
          </cell>
        </row>
        <row r="481">
          <cell r="Y481">
            <v>465</v>
          </cell>
          <cell r="Z481">
            <v>4.3064741417765617E-2</v>
          </cell>
          <cell r="AA481">
            <v>-0.29008701448729274</v>
          </cell>
          <cell r="AB481" t="str">
            <v/>
          </cell>
          <cell r="AC481" t="e">
            <v>#N/A</v>
          </cell>
          <cell r="AD481">
            <v>394</v>
          </cell>
          <cell r="AE481" t="e">
            <v>#N/A</v>
          </cell>
          <cell r="AF481" t="str">
            <v/>
          </cell>
        </row>
        <row r="482">
          <cell r="Y482">
            <v>466</v>
          </cell>
          <cell r="Z482">
            <v>0.97401929460465908</v>
          </cell>
          <cell r="AA482">
            <v>0.32850356769775518</v>
          </cell>
          <cell r="AB482" t="str">
            <v/>
          </cell>
          <cell r="AC482" t="e">
            <v>#N/A</v>
          </cell>
          <cell r="AD482">
            <v>395</v>
          </cell>
          <cell r="AE482" t="e">
            <v>#N/A</v>
          </cell>
          <cell r="AF482" t="str">
            <v/>
          </cell>
        </row>
        <row r="483">
          <cell r="Y483">
            <v>467</v>
          </cell>
          <cell r="Z483">
            <v>0.60829742066562176</v>
          </cell>
          <cell r="AA483">
            <v>4.6463920715875941E-2</v>
          </cell>
          <cell r="AB483" t="str">
            <v/>
          </cell>
          <cell r="AC483" t="e">
            <v>#N/A</v>
          </cell>
          <cell r="AD483">
            <v>396</v>
          </cell>
          <cell r="AE483" t="e">
            <v>#N/A</v>
          </cell>
          <cell r="AF483" t="str">
            <v/>
          </cell>
        </row>
        <row r="484">
          <cell r="Y484">
            <v>468</v>
          </cell>
          <cell r="Z484">
            <v>0.11452268622815609</v>
          </cell>
          <cell r="AA484">
            <v>-0.20331395500179916</v>
          </cell>
          <cell r="AB484" t="str">
            <v/>
          </cell>
          <cell r="AC484" t="e">
            <v>#N/A</v>
          </cell>
          <cell r="AD484">
            <v>397</v>
          </cell>
          <cell r="AE484" t="e">
            <v>#N/A</v>
          </cell>
          <cell r="AF484" t="str">
            <v/>
          </cell>
        </row>
        <row r="485">
          <cell r="Y485">
            <v>469</v>
          </cell>
          <cell r="Z485">
            <v>0.35107648186385632</v>
          </cell>
          <cell r="AA485">
            <v>-6.4640070127798058E-2</v>
          </cell>
          <cell r="AB485" t="str">
            <v/>
          </cell>
          <cell r="AC485" t="e">
            <v>#N/A</v>
          </cell>
          <cell r="AD485">
            <v>398</v>
          </cell>
          <cell r="AE485" t="e">
            <v>#N/A</v>
          </cell>
          <cell r="AF485" t="str">
            <v/>
          </cell>
        </row>
        <row r="486">
          <cell r="Y486">
            <v>470</v>
          </cell>
          <cell r="Z486">
            <v>0.38263282738626003</v>
          </cell>
          <cell r="AA486">
            <v>-5.0468095734139615E-2</v>
          </cell>
          <cell r="AB486" t="str">
            <v/>
          </cell>
          <cell r="AC486" t="e">
            <v>#N/A</v>
          </cell>
          <cell r="AD486">
            <v>399</v>
          </cell>
          <cell r="AE486" t="e">
            <v>#N/A</v>
          </cell>
          <cell r="AF486" t="str">
            <v/>
          </cell>
        </row>
        <row r="487">
          <cell r="Y487">
            <v>471</v>
          </cell>
          <cell r="Z487">
            <v>0.24808935634791851</v>
          </cell>
          <cell r="AA487">
            <v>-0.11502795332227796</v>
          </cell>
          <cell r="AB487" t="str">
            <v/>
          </cell>
          <cell r="AC487" t="e">
            <v>#N/A</v>
          </cell>
          <cell r="AD487">
            <v>400</v>
          </cell>
          <cell r="AE487" t="e">
            <v>#N/A</v>
          </cell>
          <cell r="AF487" t="str">
            <v/>
          </cell>
        </row>
        <row r="488">
          <cell r="Y488">
            <v>472</v>
          </cell>
          <cell r="Z488">
            <v>0.78864081762731075</v>
          </cell>
          <cell r="AA488">
            <v>0.13551441447508442</v>
          </cell>
          <cell r="AB488" t="str">
            <v/>
          </cell>
          <cell r="AC488" t="e">
            <v>#N/A</v>
          </cell>
          <cell r="AD488">
            <v>401</v>
          </cell>
          <cell r="AE488" t="e">
            <v>#N/A</v>
          </cell>
          <cell r="AF488" t="str">
            <v/>
          </cell>
        </row>
        <row r="489">
          <cell r="Y489">
            <v>473</v>
          </cell>
          <cell r="Z489">
            <v>0.42860373668372631</v>
          </cell>
          <cell r="AA489">
            <v>-3.0413731686509196E-2</v>
          </cell>
          <cell r="AB489" t="str">
            <v/>
          </cell>
          <cell r="AC489" t="e">
            <v>#N/A</v>
          </cell>
          <cell r="AD489">
            <v>402</v>
          </cell>
          <cell r="AE489" t="e">
            <v>#N/A</v>
          </cell>
          <cell r="AF489" t="str">
            <v/>
          </cell>
        </row>
        <row r="490">
          <cell r="Y490">
            <v>474</v>
          </cell>
          <cell r="Z490">
            <v>0.93868583999574184</v>
          </cell>
          <cell r="AA490">
            <v>0.26095573678081296</v>
          </cell>
          <cell r="AB490" t="str">
            <v/>
          </cell>
          <cell r="AC490" t="e">
            <v>#N/A</v>
          </cell>
          <cell r="AD490">
            <v>403</v>
          </cell>
          <cell r="AE490" t="e">
            <v>#N/A</v>
          </cell>
          <cell r="AF490" t="str">
            <v/>
          </cell>
        </row>
        <row r="491">
          <cell r="Y491">
            <v>475</v>
          </cell>
          <cell r="Z491">
            <v>0.60287333838641644</v>
          </cell>
          <cell r="AA491">
            <v>4.4081804008598957E-2</v>
          </cell>
          <cell r="AB491" t="str">
            <v/>
          </cell>
          <cell r="AC491" t="e">
            <v>#N/A</v>
          </cell>
          <cell r="AD491">
            <v>404</v>
          </cell>
          <cell r="AE491" t="e">
            <v>#N/A</v>
          </cell>
          <cell r="AF491" t="str">
            <v/>
          </cell>
        </row>
        <row r="492">
          <cell r="Y492">
            <v>476</v>
          </cell>
          <cell r="Z492">
            <v>0.22121756337583065</v>
          </cell>
          <cell r="AA492">
            <v>-0.12983050532682266</v>
          </cell>
          <cell r="AB492" t="str">
            <v/>
          </cell>
          <cell r="AC492" t="e">
            <v>#N/A</v>
          </cell>
          <cell r="AD492">
            <v>405</v>
          </cell>
          <cell r="AE492" t="e">
            <v>#N/A</v>
          </cell>
          <cell r="AF492" t="str">
            <v/>
          </cell>
        </row>
        <row r="493">
          <cell r="Y493">
            <v>477</v>
          </cell>
          <cell r="Z493">
            <v>0.50958663038909435</v>
          </cell>
          <cell r="AA493">
            <v>4.0622224218511771E-3</v>
          </cell>
          <cell r="AB493" t="str">
            <v/>
          </cell>
          <cell r="AC493" t="e">
            <v>#N/A</v>
          </cell>
          <cell r="AD493">
            <v>406</v>
          </cell>
          <cell r="AE493" t="e">
            <v>#N/A</v>
          </cell>
          <cell r="AF493" t="str">
            <v/>
          </cell>
        </row>
        <row r="494">
          <cell r="Y494">
            <v>478</v>
          </cell>
          <cell r="Z494">
            <v>0.92851713858544827</v>
          </cell>
          <cell r="AA494">
            <v>0.2476024412205674</v>
          </cell>
          <cell r="AB494" t="str">
            <v/>
          </cell>
          <cell r="AC494" t="e">
            <v>#N/A</v>
          </cell>
          <cell r="AD494">
            <v>407</v>
          </cell>
          <cell r="AE494" t="e">
            <v>#N/A</v>
          </cell>
          <cell r="AF494" t="str">
            <v/>
          </cell>
        </row>
        <row r="495">
          <cell r="Y495">
            <v>479</v>
          </cell>
          <cell r="Z495">
            <v>0.45657728426158428</v>
          </cell>
          <cell r="AA495">
            <v>-1.8434575451563073E-2</v>
          </cell>
          <cell r="AB495" t="str">
            <v/>
          </cell>
          <cell r="AC495" t="e">
            <v>#N/A</v>
          </cell>
          <cell r="AD495">
            <v>408</v>
          </cell>
          <cell r="AE495" t="e">
            <v>#N/A</v>
          </cell>
          <cell r="AF495" t="str">
            <v/>
          </cell>
        </row>
        <row r="496">
          <cell r="Y496">
            <v>480</v>
          </cell>
          <cell r="Z496">
            <v>0.77812053821980953</v>
          </cell>
          <cell r="AA496">
            <v>0.12945416211627517</v>
          </cell>
          <cell r="AB496" t="str">
            <v/>
          </cell>
          <cell r="AC496" t="e">
            <v>#N/A</v>
          </cell>
          <cell r="AD496">
            <v>409</v>
          </cell>
          <cell r="AE496" t="e">
            <v>#N/A</v>
          </cell>
          <cell r="AF496" t="str">
            <v/>
          </cell>
        </row>
        <row r="497">
          <cell r="Y497">
            <v>481</v>
          </cell>
          <cell r="Z497">
            <v>0.49776509217917919</v>
          </cell>
          <cell r="AA497">
            <v>-9.4692983235248316E-4</v>
          </cell>
          <cell r="AB497" t="str">
            <v/>
          </cell>
          <cell r="AC497" t="e">
            <v>#N/A</v>
          </cell>
          <cell r="AD497">
            <v>410</v>
          </cell>
          <cell r="AE497" t="e">
            <v>#N/A</v>
          </cell>
          <cell r="AF497" t="str">
            <v/>
          </cell>
        </row>
        <row r="498">
          <cell r="Y498">
            <v>482</v>
          </cell>
          <cell r="Z498">
            <v>0.39273799024522305</v>
          </cell>
          <cell r="AA498">
            <v>-4.6008496331732589E-2</v>
          </cell>
          <cell r="AB498" t="str">
            <v/>
          </cell>
          <cell r="AC498" t="e">
            <v>#N/A</v>
          </cell>
          <cell r="AD498">
            <v>411</v>
          </cell>
          <cell r="AE498" t="e">
            <v>#N/A</v>
          </cell>
          <cell r="AF498" t="str">
            <v/>
          </cell>
        </row>
        <row r="499">
          <cell r="Y499">
            <v>483</v>
          </cell>
          <cell r="Z499">
            <v>8.0461036413908005E-3</v>
          </cell>
          <cell r="AA499">
            <v>-0.40682641768056399</v>
          </cell>
          <cell r="AB499" t="str">
            <v/>
          </cell>
          <cell r="AC499" t="e">
            <v>#N/A</v>
          </cell>
          <cell r="AD499">
            <v>412</v>
          </cell>
          <cell r="AE499" t="e">
            <v>#N/A</v>
          </cell>
          <cell r="AF499" t="str">
            <v/>
          </cell>
        </row>
        <row r="500">
          <cell r="Y500">
            <v>484</v>
          </cell>
          <cell r="Z500">
            <v>0.14101325534284115</v>
          </cell>
          <cell r="AA500">
            <v>-0.18183968698784256</v>
          </cell>
          <cell r="AB500" t="str">
            <v/>
          </cell>
          <cell r="AC500" t="e">
            <v>#N/A</v>
          </cell>
          <cell r="AD500">
            <v>413</v>
          </cell>
          <cell r="AE500" t="e">
            <v>#N/A</v>
          </cell>
          <cell r="AF500" t="str">
            <v/>
          </cell>
        </row>
        <row r="501">
          <cell r="Y501">
            <v>485</v>
          </cell>
          <cell r="Z501">
            <v>0.38660073094069958</v>
          </cell>
          <cell r="AA501">
            <v>-4.8712965863617716E-2</v>
          </cell>
          <cell r="AB501" t="str">
            <v/>
          </cell>
          <cell r="AC501" t="e">
            <v>#N/A</v>
          </cell>
          <cell r="AD501">
            <v>414</v>
          </cell>
          <cell r="AE501" t="e">
            <v>#N/A</v>
          </cell>
          <cell r="AF501" t="str">
            <v/>
          </cell>
        </row>
        <row r="502">
          <cell r="Y502">
            <v>486</v>
          </cell>
          <cell r="Z502">
            <v>0.33521649800240993</v>
          </cell>
          <cell r="AA502">
            <v>-7.193172443168809E-2</v>
          </cell>
          <cell r="AB502" t="str">
            <v/>
          </cell>
          <cell r="AC502" t="e">
            <v>#N/A</v>
          </cell>
          <cell r="AD502">
            <v>415</v>
          </cell>
          <cell r="AE502" t="e">
            <v>#N/A</v>
          </cell>
          <cell r="AF502" t="str">
            <v/>
          </cell>
        </row>
        <row r="503">
          <cell r="Y503">
            <v>487</v>
          </cell>
          <cell r="Z503">
            <v>0.33783857338130474</v>
          </cell>
          <cell r="AA503">
            <v>-7.0717314655497979E-2</v>
          </cell>
          <cell r="AB503" t="str">
            <v/>
          </cell>
          <cell r="AC503" t="e">
            <v>#N/A</v>
          </cell>
          <cell r="AD503">
            <v>416</v>
          </cell>
          <cell r="AE503" t="e">
            <v>#N/A</v>
          </cell>
          <cell r="AF503" t="str">
            <v/>
          </cell>
        </row>
        <row r="504">
          <cell r="Y504">
            <v>488</v>
          </cell>
          <cell r="Z504">
            <v>0.12571450136601925</v>
          </cell>
          <cell r="AA504">
            <v>-0.19385900888584653</v>
          </cell>
          <cell r="AB504" t="str">
            <v/>
          </cell>
          <cell r="AC504" t="e">
            <v>#N/A</v>
          </cell>
          <cell r="AD504">
            <v>417</v>
          </cell>
          <cell r="AE504" t="e">
            <v>#N/A</v>
          </cell>
          <cell r="AF504" t="str">
            <v/>
          </cell>
        </row>
        <row r="505">
          <cell r="Y505">
            <v>489</v>
          </cell>
          <cell r="Z505">
            <v>0.64794871024787426</v>
          </cell>
          <cell r="AA505">
            <v>6.4195936914286975E-2</v>
          </cell>
          <cell r="AB505" t="str">
            <v/>
          </cell>
          <cell r="AC505" t="e">
            <v>#N/A</v>
          </cell>
          <cell r="AD505">
            <v>418</v>
          </cell>
          <cell r="AE505" t="e">
            <v>#N/A</v>
          </cell>
          <cell r="AF505" t="str">
            <v/>
          </cell>
        </row>
        <row r="506">
          <cell r="Y506">
            <v>490</v>
          </cell>
          <cell r="Z506">
            <v>0.52581197582185268</v>
          </cell>
          <cell r="AA506">
            <v>1.094411150803706E-2</v>
          </cell>
          <cell r="AB506" t="str">
            <v/>
          </cell>
          <cell r="AC506" t="e">
            <v>#N/A</v>
          </cell>
          <cell r="AD506">
            <v>419</v>
          </cell>
          <cell r="AE506" t="e">
            <v>#N/A</v>
          </cell>
          <cell r="AF506" t="str">
            <v/>
          </cell>
        </row>
        <row r="507">
          <cell r="Y507">
            <v>491</v>
          </cell>
          <cell r="Z507">
            <v>0.59377421252429485</v>
          </cell>
          <cell r="AA507">
            <v>4.0105025952743491E-2</v>
          </cell>
          <cell r="AB507" t="str">
            <v/>
          </cell>
          <cell r="AC507" t="e">
            <v>#N/A</v>
          </cell>
          <cell r="AD507">
            <v>420</v>
          </cell>
          <cell r="AE507" t="e">
            <v>#N/A</v>
          </cell>
          <cell r="AF507" t="str">
            <v/>
          </cell>
        </row>
        <row r="508">
          <cell r="Y508">
            <v>492</v>
          </cell>
          <cell r="Z508">
            <v>0.84430771134793758</v>
          </cell>
          <cell r="AA508">
            <v>0.17111348709679569</v>
          </cell>
          <cell r="AB508" t="str">
            <v/>
          </cell>
          <cell r="AC508" t="e">
            <v>#N/A</v>
          </cell>
          <cell r="AD508">
            <v>421</v>
          </cell>
          <cell r="AE508" t="e">
            <v>#N/A</v>
          </cell>
          <cell r="AF508" t="str">
            <v/>
          </cell>
        </row>
        <row r="509">
          <cell r="Y509">
            <v>493</v>
          </cell>
          <cell r="Z509">
            <v>8.9479623362421989E-2</v>
          </cell>
          <cell r="AA509">
            <v>-0.22717178718334913</v>
          </cell>
          <cell r="AB509" t="str">
            <v/>
          </cell>
          <cell r="AC509" t="e">
            <v>#N/A</v>
          </cell>
          <cell r="AD509">
            <v>422</v>
          </cell>
          <cell r="AE509" t="e">
            <v>#N/A</v>
          </cell>
          <cell r="AF509" t="str">
            <v/>
          </cell>
        </row>
        <row r="510">
          <cell r="Y510">
            <v>494</v>
          </cell>
          <cell r="Z510">
            <v>0.39685932360589504</v>
          </cell>
          <cell r="AA510">
            <v>-4.4199003189921253E-2</v>
          </cell>
          <cell r="AB510" t="str">
            <v/>
          </cell>
          <cell r="AC510" t="e">
            <v>#N/A</v>
          </cell>
          <cell r="AD510">
            <v>423</v>
          </cell>
          <cell r="AE510" t="e">
            <v>#N/A</v>
          </cell>
          <cell r="AF510" t="str">
            <v/>
          </cell>
        </row>
        <row r="511">
          <cell r="Y511">
            <v>495</v>
          </cell>
          <cell r="Z511">
            <v>0.39523015730082989</v>
          </cell>
          <cell r="AA511">
            <v>-4.4913680461362605E-2</v>
          </cell>
          <cell r="AB511" t="str">
            <v/>
          </cell>
          <cell r="AC511" t="e">
            <v>#N/A</v>
          </cell>
          <cell r="AD511">
            <v>424</v>
          </cell>
          <cell r="AE511" t="e">
            <v>#N/A</v>
          </cell>
          <cell r="AF511" t="str">
            <v/>
          </cell>
        </row>
        <row r="512">
          <cell r="Y512">
            <v>496</v>
          </cell>
          <cell r="Z512">
            <v>0.7110003437846899</v>
          </cell>
          <cell r="AA512">
            <v>9.4033463596018024E-2</v>
          </cell>
          <cell r="AB512" t="str">
            <v/>
          </cell>
          <cell r="AC512" t="e">
            <v>#N/A</v>
          </cell>
          <cell r="AD512">
            <v>425</v>
          </cell>
          <cell r="AE512" t="e">
            <v>#N/A</v>
          </cell>
          <cell r="AF512" t="str">
            <v/>
          </cell>
        </row>
        <row r="513">
          <cell r="Y513">
            <v>497</v>
          </cell>
          <cell r="Z513">
            <v>0.68085136823356152</v>
          </cell>
          <cell r="AA513">
            <v>7.9458164147421725E-2</v>
          </cell>
          <cell r="AB513" t="str">
            <v/>
          </cell>
          <cell r="AC513" t="e">
            <v>#N/A</v>
          </cell>
          <cell r="AD513">
            <v>426</v>
          </cell>
          <cell r="AE513" t="e">
            <v>#N/A</v>
          </cell>
          <cell r="AF513" t="str">
            <v/>
          </cell>
        </row>
        <row r="514">
          <cell r="Y514">
            <v>498</v>
          </cell>
          <cell r="Z514">
            <v>0.53340340219438076</v>
          </cell>
          <cell r="AA514">
            <v>1.4169516041654196E-2</v>
          </cell>
          <cell r="AB514" t="str">
            <v/>
          </cell>
          <cell r="AC514" t="e">
            <v>#N/A</v>
          </cell>
          <cell r="AD514">
            <v>427</v>
          </cell>
          <cell r="AE514" t="e">
            <v>#N/A</v>
          </cell>
          <cell r="AF514" t="str">
            <v/>
          </cell>
        </row>
        <row r="515">
          <cell r="Y515">
            <v>499</v>
          </cell>
          <cell r="Z515">
            <v>0.95618803612887859</v>
          </cell>
          <cell r="AA515">
            <v>0.28871600345132237</v>
          </cell>
          <cell r="AB515" t="str">
            <v/>
          </cell>
          <cell r="AC515" t="e">
            <v>#N/A</v>
          </cell>
          <cell r="AD515">
            <v>428</v>
          </cell>
          <cell r="AE515" t="e">
            <v>#N/A</v>
          </cell>
          <cell r="AF515" t="str">
            <v/>
          </cell>
        </row>
        <row r="516">
          <cell r="Y516">
            <v>500</v>
          </cell>
          <cell r="Z516">
            <v>0.79173325560986996</v>
          </cell>
          <cell r="AA516">
            <v>0.13732910808639387</v>
          </cell>
          <cell r="AB516" t="str">
            <v/>
          </cell>
          <cell r="AC516" t="e">
            <v>#N/A</v>
          </cell>
          <cell r="AD516">
            <v>429</v>
          </cell>
          <cell r="AE516" t="e">
            <v>#N/A</v>
          </cell>
          <cell r="AF516" t="str">
            <v/>
          </cell>
        </row>
        <row r="517">
          <cell r="Y517">
            <v>501</v>
          </cell>
          <cell r="Z517">
            <v>0.84863102249801159</v>
          </cell>
          <cell r="AA517">
            <v>0.17419976534319093</v>
          </cell>
          <cell r="AB517" t="str">
            <v/>
          </cell>
          <cell r="AC517" t="e">
            <v>#N/A</v>
          </cell>
          <cell r="AD517">
            <v>430</v>
          </cell>
          <cell r="AE517" t="e">
            <v>#N/A</v>
          </cell>
          <cell r="AF517" t="str">
            <v/>
          </cell>
        </row>
        <row r="518">
          <cell r="Y518">
            <v>502</v>
          </cell>
          <cell r="Z518">
            <v>0.25718340836465359</v>
          </cell>
          <cell r="AA518">
            <v>-0.11021711687904844</v>
          </cell>
          <cell r="AB518" t="str">
            <v/>
          </cell>
          <cell r="AC518" t="e">
            <v>#N/A</v>
          </cell>
          <cell r="AD518">
            <v>431</v>
          </cell>
          <cell r="AE518" t="e">
            <v>#N/A</v>
          </cell>
          <cell r="AF518" t="str">
            <v/>
          </cell>
        </row>
        <row r="519">
          <cell r="Y519">
            <v>503</v>
          </cell>
          <cell r="Z519">
            <v>0.42703084461390972</v>
          </cell>
          <cell r="AA519">
            <v>-3.1091283806102064E-2</v>
          </cell>
          <cell r="AB519" t="str">
            <v/>
          </cell>
          <cell r="AC519" t="e">
            <v>#N/A</v>
          </cell>
          <cell r="AD519">
            <v>432</v>
          </cell>
          <cell r="AE519" t="e">
            <v>#N/A</v>
          </cell>
          <cell r="AF519" t="str">
            <v/>
          </cell>
        </row>
        <row r="520">
          <cell r="Y520">
            <v>504</v>
          </cell>
          <cell r="Z520">
            <v>0.9975400771945715</v>
          </cell>
          <cell r="AA520">
            <v>0.4753545726874589</v>
          </cell>
          <cell r="AB520" t="str">
            <v/>
          </cell>
          <cell r="AC520" t="e">
            <v>#N/A</v>
          </cell>
          <cell r="AD520">
            <v>433</v>
          </cell>
          <cell r="AE520" t="e">
            <v>#N/A</v>
          </cell>
          <cell r="AF520" t="str">
            <v/>
          </cell>
        </row>
        <row r="521">
          <cell r="Y521">
            <v>505</v>
          </cell>
          <cell r="Z521">
            <v>0.73996671847999096</v>
          </cell>
          <cell r="AA521">
            <v>0.10872787847339255</v>
          </cell>
          <cell r="AB521" t="str">
            <v/>
          </cell>
          <cell r="AC521" t="e">
            <v>#N/A</v>
          </cell>
          <cell r="AD521">
            <v>434</v>
          </cell>
          <cell r="AE521" t="e">
            <v>#N/A</v>
          </cell>
          <cell r="AF521" t="str">
            <v/>
          </cell>
        </row>
        <row r="522">
          <cell r="Y522">
            <v>506</v>
          </cell>
          <cell r="Z522">
            <v>0.80436724983155727</v>
          </cell>
          <cell r="AA522">
            <v>0.14491431170438193</v>
          </cell>
          <cell r="AB522" t="str">
            <v/>
          </cell>
          <cell r="AC522" t="e">
            <v>#N/A</v>
          </cell>
          <cell r="AD522">
            <v>435</v>
          </cell>
          <cell r="AE522" t="e">
            <v>#N/A</v>
          </cell>
          <cell r="AF522" t="str">
            <v/>
          </cell>
        </row>
        <row r="523">
          <cell r="Y523">
            <v>507</v>
          </cell>
          <cell r="Z523">
            <v>0.95508982054889202</v>
          </cell>
          <cell r="AA523">
            <v>0.2867348211680853</v>
          </cell>
          <cell r="AB523" t="str">
            <v/>
          </cell>
          <cell r="AC523" t="e">
            <v>#N/A</v>
          </cell>
          <cell r="AD523">
            <v>436</v>
          </cell>
          <cell r="AE523" t="e">
            <v>#N/A</v>
          </cell>
          <cell r="AF523" t="str">
            <v/>
          </cell>
        </row>
        <row r="524">
          <cell r="Y524">
            <v>508</v>
          </cell>
          <cell r="Z524">
            <v>0.62165658734738827</v>
          </cell>
          <cell r="AA524">
            <v>5.2371586787346693E-2</v>
          </cell>
          <cell r="AB524" t="str">
            <v/>
          </cell>
          <cell r="AC524" t="e">
            <v>#N/A</v>
          </cell>
          <cell r="AD524">
            <v>437</v>
          </cell>
          <cell r="AE524" t="e">
            <v>#N/A</v>
          </cell>
          <cell r="AF524" t="str">
            <v/>
          </cell>
        </row>
        <row r="525">
          <cell r="Y525">
            <v>509</v>
          </cell>
          <cell r="Z525">
            <v>0.95500951819121838</v>
          </cell>
          <cell r="AA525">
            <v>0.28659149265005041</v>
          </cell>
          <cell r="AB525" t="str">
            <v/>
          </cell>
          <cell r="AC525" t="e">
            <v>#N/A</v>
          </cell>
          <cell r="AD525">
            <v>438</v>
          </cell>
          <cell r="AE525" t="e">
            <v>#N/A</v>
          </cell>
          <cell r="AF525" t="str">
            <v/>
          </cell>
        </row>
        <row r="526">
          <cell r="Y526">
            <v>510</v>
          </cell>
          <cell r="Z526">
            <v>0.59703592024743557</v>
          </cell>
          <cell r="AA526">
            <v>4.1527891586899818E-2</v>
          </cell>
          <cell r="AB526" t="str">
            <v/>
          </cell>
          <cell r="AC526" t="e">
            <v>#N/A</v>
          </cell>
          <cell r="AD526">
            <v>439</v>
          </cell>
          <cell r="AE526" t="e">
            <v>#N/A</v>
          </cell>
          <cell r="AF526" t="str">
            <v/>
          </cell>
        </row>
        <row r="527">
          <cell r="Y527">
            <v>511</v>
          </cell>
          <cell r="Z527">
            <v>0.96394131891429424</v>
          </cell>
          <cell r="AA527">
            <v>0.30398111229128644</v>
          </cell>
          <cell r="AB527" t="str">
            <v/>
          </cell>
          <cell r="AC527" t="e">
            <v>#N/A</v>
          </cell>
          <cell r="AD527">
            <v>440</v>
          </cell>
          <cell r="AE527" t="e">
            <v>#N/A</v>
          </cell>
          <cell r="AF527" t="str">
            <v/>
          </cell>
        </row>
        <row r="528">
          <cell r="Y528">
            <v>512</v>
          </cell>
          <cell r="Z528">
            <v>0.72038008831441402</v>
          </cell>
          <cell r="AA528">
            <v>9.8709115006123754E-2</v>
          </cell>
          <cell r="AB528" t="str">
            <v/>
          </cell>
          <cell r="AC528" t="e">
            <v>#N/A</v>
          </cell>
          <cell r="AD528">
            <v>441</v>
          </cell>
          <cell r="AE528" t="e">
            <v>#N/A</v>
          </cell>
          <cell r="AF528" t="str">
            <v/>
          </cell>
        </row>
        <row r="529">
          <cell r="Y529">
            <v>513</v>
          </cell>
          <cell r="Z529">
            <v>0.24808528833091259</v>
          </cell>
          <cell r="AA529">
            <v>-0.1150301260308097</v>
          </cell>
          <cell r="AB529" t="str">
            <v/>
          </cell>
          <cell r="AC529" t="e">
            <v>#N/A</v>
          </cell>
          <cell r="AD529">
            <v>442</v>
          </cell>
          <cell r="AE529" t="e">
            <v>#N/A</v>
          </cell>
          <cell r="AF529" t="str">
            <v/>
          </cell>
        </row>
        <row r="530">
          <cell r="Y530">
            <v>514</v>
          </cell>
          <cell r="Z530">
            <v>0.10841787420213223</v>
          </cell>
          <cell r="AA530">
            <v>-0.20875071911877852</v>
          </cell>
          <cell r="AB530" t="str">
            <v/>
          </cell>
          <cell r="AC530" t="e">
            <v>#N/A</v>
          </cell>
          <cell r="AD530">
            <v>443</v>
          </cell>
          <cell r="AE530" t="e">
            <v>#N/A</v>
          </cell>
          <cell r="AF530" t="str">
            <v/>
          </cell>
        </row>
        <row r="531">
          <cell r="Y531">
            <v>515</v>
          </cell>
          <cell r="Z531">
            <v>0.15145368687808514</v>
          </cell>
          <cell r="AA531">
            <v>-0.17413873616787043</v>
          </cell>
          <cell r="AB531" t="str">
            <v/>
          </cell>
          <cell r="AC531" t="e">
            <v>#N/A</v>
          </cell>
          <cell r="AD531">
            <v>444</v>
          </cell>
          <cell r="AE531" t="e">
            <v>#N/A</v>
          </cell>
          <cell r="AF531" t="str">
            <v/>
          </cell>
        </row>
        <row r="532">
          <cell r="Y532">
            <v>516</v>
          </cell>
          <cell r="Z532">
            <v>0.83767878077924252</v>
          </cell>
          <cell r="AA532">
            <v>0.16648906771518895</v>
          </cell>
          <cell r="AB532" t="str">
            <v/>
          </cell>
          <cell r="AC532" t="e">
            <v>#N/A</v>
          </cell>
          <cell r="AD532">
            <v>445</v>
          </cell>
          <cell r="AE532" t="e">
            <v>#N/A</v>
          </cell>
          <cell r="AF532" t="str">
            <v/>
          </cell>
        </row>
        <row r="533">
          <cell r="Y533">
            <v>517</v>
          </cell>
          <cell r="Z533">
            <v>0.69761657528579235</v>
          </cell>
          <cell r="AA533">
            <v>8.7483231010443183E-2</v>
          </cell>
          <cell r="AB533" t="str">
            <v/>
          </cell>
          <cell r="AC533" t="e">
            <v>#N/A</v>
          </cell>
          <cell r="AD533">
            <v>446</v>
          </cell>
          <cell r="AE533" t="e">
            <v>#N/A</v>
          </cell>
          <cell r="AF533" t="str">
            <v/>
          </cell>
        </row>
        <row r="534">
          <cell r="Y534">
            <v>518</v>
          </cell>
          <cell r="Z534">
            <v>0.82187340222299099</v>
          </cell>
          <cell r="AA534">
            <v>0.15593570472366558</v>
          </cell>
          <cell r="AB534" t="str">
            <v/>
          </cell>
          <cell r="AC534" t="e">
            <v>#N/A</v>
          </cell>
          <cell r="AD534">
            <v>447</v>
          </cell>
          <cell r="AE534" t="e">
            <v>#N/A</v>
          </cell>
          <cell r="AF534" t="str">
            <v/>
          </cell>
        </row>
        <row r="535">
          <cell r="Y535">
            <v>519</v>
          </cell>
          <cell r="Z535">
            <v>0.70658413879573345</v>
          </cell>
          <cell r="AA535">
            <v>9.1856939325937914E-2</v>
          </cell>
          <cell r="AB535" t="str">
            <v/>
          </cell>
          <cell r="AC535" t="e">
            <v>#N/A</v>
          </cell>
          <cell r="AD535">
            <v>448</v>
          </cell>
          <cell r="AE535" t="e">
            <v>#N/A</v>
          </cell>
          <cell r="AF535" t="str">
            <v/>
          </cell>
        </row>
        <row r="536">
          <cell r="Y536">
            <v>520</v>
          </cell>
          <cell r="Z536">
            <v>0.57355113886296749</v>
          </cell>
          <cell r="AA536">
            <v>3.1342109960207282E-2</v>
          </cell>
          <cell r="AB536" t="str">
            <v/>
          </cell>
          <cell r="AC536" t="e">
            <v>#N/A</v>
          </cell>
          <cell r="AD536">
            <v>449</v>
          </cell>
          <cell r="AE536" t="e">
            <v>#N/A</v>
          </cell>
          <cell r="AF536" t="str">
            <v/>
          </cell>
        </row>
        <row r="537">
          <cell r="Y537">
            <v>521</v>
          </cell>
          <cell r="Z537">
            <v>0.84479448013007641</v>
          </cell>
          <cell r="AA537">
            <v>0.17145812116951537</v>
          </cell>
          <cell r="AB537" t="str">
            <v/>
          </cell>
          <cell r="AC537" t="e">
            <v>#N/A</v>
          </cell>
          <cell r="AD537">
            <v>450</v>
          </cell>
          <cell r="AE537" t="e">
            <v>#N/A</v>
          </cell>
          <cell r="AF537" t="str">
            <v/>
          </cell>
        </row>
        <row r="538">
          <cell r="Y538">
            <v>522</v>
          </cell>
          <cell r="Z538">
            <v>0.78362900577485561</v>
          </cell>
          <cell r="AA538">
            <v>0.13260608396753779</v>
          </cell>
          <cell r="AB538" t="str">
            <v/>
          </cell>
          <cell r="AC538" t="e">
            <v>#N/A</v>
          </cell>
          <cell r="AD538">
            <v>451</v>
          </cell>
          <cell r="AE538" t="e">
            <v>#N/A</v>
          </cell>
          <cell r="AF538" t="str">
            <v/>
          </cell>
        </row>
        <row r="539">
          <cell r="Y539">
            <v>523</v>
          </cell>
          <cell r="Z539">
            <v>0.24492563121020794</v>
          </cell>
          <cell r="AA539">
            <v>-0.11672347857437737</v>
          </cell>
          <cell r="AB539" t="str">
            <v/>
          </cell>
          <cell r="AC539" t="e">
            <v>#N/A</v>
          </cell>
          <cell r="AD539">
            <v>452</v>
          </cell>
          <cell r="AE539" t="e">
            <v>#N/A</v>
          </cell>
          <cell r="AF539" t="str">
            <v/>
          </cell>
        </row>
        <row r="540">
          <cell r="Y540">
            <v>524</v>
          </cell>
          <cell r="Z540">
            <v>0.4961352851241827</v>
          </cell>
          <cell r="AA540">
            <v>-1.6374956832224477E-3</v>
          </cell>
          <cell r="AB540" t="str">
            <v/>
          </cell>
          <cell r="AC540" t="e">
            <v>#N/A</v>
          </cell>
          <cell r="AD540">
            <v>453</v>
          </cell>
          <cell r="AE540" t="e">
            <v>#N/A</v>
          </cell>
          <cell r="AF540" t="str">
            <v/>
          </cell>
        </row>
        <row r="541">
          <cell r="Y541">
            <v>525</v>
          </cell>
          <cell r="Z541">
            <v>0.30100053362548351</v>
          </cell>
          <cell r="AA541">
            <v>-8.8153821194591683E-2</v>
          </cell>
          <cell r="AB541" t="str">
            <v/>
          </cell>
          <cell r="AC541" t="e">
            <v>#N/A</v>
          </cell>
          <cell r="AD541">
            <v>454</v>
          </cell>
          <cell r="AE541" t="e">
            <v>#N/A</v>
          </cell>
          <cell r="AF541" t="str">
            <v/>
          </cell>
        </row>
        <row r="542">
          <cell r="Y542">
            <v>526</v>
          </cell>
          <cell r="Z542">
            <v>0.24926177226006985</v>
          </cell>
          <cell r="AA542">
            <v>-0.11440256084281117</v>
          </cell>
          <cell r="AB542" t="str">
            <v/>
          </cell>
          <cell r="AC542" t="e">
            <v>#N/A</v>
          </cell>
          <cell r="AD542">
            <v>455</v>
          </cell>
          <cell r="AE542" t="e">
            <v>#N/A</v>
          </cell>
          <cell r="AF542" t="str">
            <v/>
          </cell>
        </row>
        <row r="543">
          <cell r="Y543">
            <v>527</v>
          </cell>
          <cell r="Z543">
            <v>0.96300373785197735</v>
          </cell>
          <cell r="AA543">
            <v>0.30200059064869084</v>
          </cell>
          <cell r="AB543" t="str">
            <v/>
          </cell>
          <cell r="AC543" t="e">
            <v>#N/A</v>
          </cell>
          <cell r="AD543">
            <v>456</v>
          </cell>
          <cell r="AE543" t="e">
            <v>#N/A</v>
          </cell>
          <cell r="AF543" t="str">
            <v/>
          </cell>
        </row>
        <row r="544">
          <cell r="Y544">
            <v>528</v>
          </cell>
          <cell r="Z544">
            <v>0.8975683655589819</v>
          </cell>
          <cell r="AA544">
            <v>0.21430020571830527</v>
          </cell>
          <cell r="AB544" t="str">
            <v/>
          </cell>
          <cell r="AC544" t="e">
            <v>#N/A</v>
          </cell>
          <cell r="AD544">
            <v>457</v>
          </cell>
          <cell r="AE544" t="e">
            <v>#N/A</v>
          </cell>
          <cell r="AF544" t="str">
            <v/>
          </cell>
        </row>
        <row r="545">
          <cell r="Y545">
            <v>529</v>
          </cell>
          <cell r="Z545">
            <v>0.32397857122123241</v>
          </cell>
          <cell r="AA545">
            <v>-7.7179824359207852E-2</v>
          </cell>
          <cell r="AB545" t="str">
            <v/>
          </cell>
          <cell r="AC545" t="e">
            <v>#N/A</v>
          </cell>
          <cell r="AD545">
            <v>458</v>
          </cell>
          <cell r="AE545" t="e">
            <v>#N/A</v>
          </cell>
          <cell r="AF545" t="str">
            <v/>
          </cell>
        </row>
        <row r="546">
          <cell r="Y546">
            <v>530</v>
          </cell>
          <cell r="Z546">
            <v>0.92393375001847744</v>
          </cell>
          <cell r="AA546">
            <v>0.24205886544054803</v>
          </cell>
          <cell r="AB546" t="str">
            <v/>
          </cell>
          <cell r="AC546" t="e">
            <v>#N/A</v>
          </cell>
          <cell r="AD546">
            <v>459</v>
          </cell>
          <cell r="AE546" t="e">
            <v>#N/A</v>
          </cell>
          <cell r="AF546" t="str">
            <v/>
          </cell>
        </row>
        <row r="547">
          <cell r="Y547">
            <v>531</v>
          </cell>
          <cell r="Z547">
            <v>0.51132352463901043</v>
          </cell>
          <cell r="AA547">
            <v>4.7983935915951598E-3</v>
          </cell>
          <cell r="AB547" t="str">
            <v/>
          </cell>
          <cell r="AC547" t="e">
            <v>#N/A</v>
          </cell>
          <cell r="AD547">
            <v>460</v>
          </cell>
          <cell r="AE547" t="e">
            <v>#N/A</v>
          </cell>
          <cell r="AF547" t="str">
            <v/>
          </cell>
        </row>
        <row r="548">
          <cell r="Y548">
            <v>532</v>
          </cell>
          <cell r="Z548">
            <v>0.89359592460095882</v>
          </cell>
          <cell r="AA548">
            <v>0.2105922959854063</v>
          </cell>
          <cell r="AB548" t="str">
            <v/>
          </cell>
          <cell r="AC548" t="e">
            <v>#N/A</v>
          </cell>
          <cell r="AD548">
            <v>461</v>
          </cell>
          <cell r="AE548" t="e">
            <v>#N/A</v>
          </cell>
          <cell r="AF548" t="str">
            <v/>
          </cell>
        </row>
        <row r="549">
          <cell r="Y549">
            <v>533</v>
          </cell>
          <cell r="Z549">
            <v>0.86275660805404186</v>
          </cell>
          <cell r="AA549">
            <v>0.18471492698556152</v>
          </cell>
          <cell r="AB549" t="str">
            <v/>
          </cell>
          <cell r="AC549" t="e">
            <v>#N/A</v>
          </cell>
          <cell r="AD549">
            <v>462</v>
          </cell>
          <cell r="AE549" t="e">
            <v>#N/A</v>
          </cell>
          <cell r="AF549" t="str">
            <v/>
          </cell>
        </row>
        <row r="550">
          <cell r="Y550">
            <v>534</v>
          </cell>
          <cell r="Z550">
            <v>0.29637632332742214</v>
          </cell>
          <cell r="AA550">
            <v>-9.0406380038832418E-2</v>
          </cell>
          <cell r="AB550" t="str">
            <v/>
          </cell>
          <cell r="AC550" t="e">
            <v>#N/A</v>
          </cell>
          <cell r="AD550">
            <v>463</v>
          </cell>
          <cell r="AE550" t="e">
            <v>#N/A</v>
          </cell>
          <cell r="AF550" t="str">
            <v/>
          </cell>
        </row>
        <row r="551">
          <cell r="Y551">
            <v>535</v>
          </cell>
          <cell r="Z551">
            <v>8.6166424676775932E-2</v>
          </cell>
          <cell r="AA551">
            <v>-0.23068420296388559</v>
          </cell>
          <cell r="AB551" t="str">
            <v/>
          </cell>
          <cell r="AC551" t="e">
            <v>#N/A</v>
          </cell>
          <cell r="AD551">
            <v>464</v>
          </cell>
          <cell r="AE551" t="e">
            <v>#N/A</v>
          </cell>
          <cell r="AF551" t="str">
            <v/>
          </cell>
        </row>
        <row r="552">
          <cell r="Y552">
            <v>536</v>
          </cell>
          <cell r="Z552">
            <v>0.36693128012120724</v>
          </cell>
          <cell r="AA552">
            <v>-5.7469135343813982E-2</v>
          </cell>
          <cell r="AB552" t="str">
            <v/>
          </cell>
          <cell r="AC552" t="e">
            <v>#N/A</v>
          </cell>
          <cell r="AD552">
            <v>465</v>
          </cell>
          <cell r="AE552" t="e">
            <v>#N/A</v>
          </cell>
          <cell r="AF552" t="str">
            <v/>
          </cell>
        </row>
        <row r="553">
          <cell r="Y553">
            <v>537</v>
          </cell>
          <cell r="Z553">
            <v>0.57131871394813061</v>
          </cell>
          <cell r="AA553">
            <v>3.0380338599879108E-2</v>
          </cell>
          <cell r="AB553" t="str">
            <v/>
          </cell>
          <cell r="AC553" t="e">
            <v>#N/A</v>
          </cell>
          <cell r="AD553">
            <v>466</v>
          </cell>
          <cell r="AE553" t="e">
            <v>#N/A</v>
          </cell>
          <cell r="AF553" t="str">
            <v/>
          </cell>
        </row>
        <row r="554">
          <cell r="Y554">
            <v>538</v>
          </cell>
          <cell r="Z554">
            <v>0.5666245874017477</v>
          </cell>
          <cell r="AA554">
            <v>2.836118471763811E-2</v>
          </cell>
          <cell r="AB554" t="str">
            <v/>
          </cell>
          <cell r="AC554" t="e">
            <v>#N/A</v>
          </cell>
          <cell r="AD554">
            <v>467</v>
          </cell>
          <cell r="AE554" t="e">
            <v>#N/A</v>
          </cell>
          <cell r="AF554" t="str">
            <v/>
          </cell>
        </row>
        <row r="555">
          <cell r="Y555">
            <v>539</v>
          </cell>
          <cell r="Z555">
            <v>0.24013711325824261</v>
          </cell>
          <cell r="AA555">
            <v>-0.11931238233923849</v>
          </cell>
          <cell r="AB555" t="str">
            <v/>
          </cell>
          <cell r="AC555" t="e">
            <v>#N/A</v>
          </cell>
          <cell r="AD555">
            <v>468</v>
          </cell>
          <cell r="AE555" t="e">
            <v>#N/A</v>
          </cell>
          <cell r="AF555" t="str">
            <v/>
          </cell>
        </row>
        <row r="556">
          <cell r="Y556">
            <v>540</v>
          </cell>
          <cell r="Z556">
            <v>0.25436489842832088</v>
          </cell>
          <cell r="AA556">
            <v>-0.11169842884155556</v>
          </cell>
          <cell r="AB556" t="str">
            <v/>
          </cell>
          <cell r="AC556" t="e">
            <v>#N/A</v>
          </cell>
          <cell r="AD556">
            <v>469</v>
          </cell>
          <cell r="AE556" t="e">
            <v>#N/A</v>
          </cell>
          <cell r="AF556" t="str">
            <v/>
          </cell>
        </row>
        <row r="557">
          <cell r="Y557">
            <v>541</v>
          </cell>
          <cell r="Z557">
            <v>0.2910268884152174</v>
          </cell>
          <cell r="AA557">
            <v>-9.3032428919740062E-2</v>
          </cell>
          <cell r="AB557" t="str">
            <v/>
          </cell>
          <cell r="AC557" t="e">
            <v>#N/A</v>
          </cell>
          <cell r="AD557">
            <v>470</v>
          </cell>
          <cell r="AE557" t="e">
            <v>#N/A</v>
          </cell>
          <cell r="AF557" t="str">
            <v/>
          </cell>
        </row>
        <row r="558">
          <cell r="Y558">
            <v>542</v>
          </cell>
          <cell r="Z558">
            <v>0.66750172339379787</v>
          </cell>
          <cell r="AA558">
            <v>7.3194596924745794E-2</v>
          </cell>
          <cell r="AB558" t="str">
            <v/>
          </cell>
          <cell r="AC558" t="e">
            <v>#N/A</v>
          </cell>
          <cell r="AD558">
            <v>471</v>
          </cell>
          <cell r="AE558" t="e">
            <v>#N/A</v>
          </cell>
          <cell r="AF558" t="str">
            <v/>
          </cell>
        </row>
        <row r="559">
          <cell r="Y559">
            <v>543</v>
          </cell>
          <cell r="Z559">
            <v>0.9114603828638792</v>
          </cell>
          <cell r="AA559">
            <v>0.22815832232382183</v>
          </cell>
          <cell r="AB559" t="str">
            <v/>
          </cell>
          <cell r="AC559" t="e">
            <v>#N/A</v>
          </cell>
          <cell r="AD559">
            <v>472</v>
          </cell>
          <cell r="AE559" t="e">
            <v>#N/A</v>
          </cell>
          <cell r="AF559" t="str">
            <v/>
          </cell>
        </row>
        <row r="560">
          <cell r="Y560">
            <v>544</v>
          </cell>
          <cell r="Z560">
            <v>0.67762376926839352</v>
          </cell>
          <cell r="AA560">
            <v>7.7934093862991632E-2</v>
          </cell>
          <cell r="AB560" t="str">
            <v/>
          </cell>
          <cell r="AC560" t="e">
            <v>#N/A</v>
          </cell>
          <cell r="AD560">
            <v>473</v>
          </cell>
          <cell r="AE560" t="e">
            <v>#N/A</v>
          </cell>
          <cell r="AF560" t="str">
            <v/>
          </cell>
        </row>
        <row r="561">
          <cell r="Y561">
            <v>545</v>
          </cell>
          <cell r="Z561">
            <v>0.50179293565452099</v>
          </cell>
          <cell r="AA561">
            <v>7.596649301868458E-4</v>
          </cell>
          <cell r="AB561" t="str">
            <v/>
          </cell>
          <cell r="AC561" t="e">
            <v>#N/A</v>
          </cell>
          <cell r="AD561">
            <v>474</v>
          </cell>
          <cell r="AE561" t="e">
            <v>#N/A</v>
          </cell>
          <cell r="AF561" t="str">
            <v/>
          </cell>
        </row>
        <row r="562">
          <cell r="Y562">
            <v>546</v>
          </cell>
          <cell r="Z562">
            <v>0.8798533733934164</v>
          </cell>
          <cell r="AA562">
            <v>0.19848517360288376</v>
          </cell>
          <cell r="AB562" t="str">
            <v/>
          </cell>
          <cell r="AC562" t="e">
            <v>#N/A</v>
          </cell>
          <cell r="AD562">
            <v>475</v>
          </cell>
          <cell r="AE562" t="e">
            <v>#N/A</v>
          </cell>
          <cell r="AF562" t="str">
            <v/>
          </cell>
        </row>
        <row r="563">
          <cell r="Y563">
            <v>547</v>
          </cell>
          <cell r="Z563">
            <v>0.17202801816165447</v>
          </cell>
          <cell r="AA563">
            <v>-0.15993385880354899</v>
          </cell>
          <cell r="AB563" t="str">
            <v/>
          </cell>
          <cell r="AC563" t="e">
            <v>#N/A</v>
          </cell>
          <cell r="AD563">
            <v>476</v>
          </cell>
          <cell r="AE563" t="e">
            <v>#N/A</v>
          </cell>
          <cell r="AF563" t="str">
            <v/>
          </cell>
        </row>
        <row r="564">
          <cell r="Y564">
            <v>548</v>
          </cell>
          <cell r="Z564">
            <v>0.41798078082501888</v>
          </cell>
          <cell r="AA564">
            <v>-3.4999839412518566E-2</v>
          </cell>
          <cell r="AB564" t="str">
            <v/>
          </cell>
          <cell r="AC564" t="e">
            <v>#N/A</v>
          </cell>
          <cell r="AD564">
            <v>477</v>
          </cell>
          <cell r="AE564" t="e">
            <v>#N/A</v>
          </cell>
          <cell r="AF564" t="str">
            <v/>
          </cell>
        </row>
        <row r="565">
          <cell r="Y565">
            <v>549</v>
          </cell>
          <cell r="Z565">
            <v>0.24200033955276012</v>
          </cell>
          <cell r="AA565">
            <v>-0.11830173671095633</v>
          </cell>
          <cell r="AB565" t="str">
            <v/>
          </cell>
          <cell r="AC565" t="e">
            <v>#N/A</v>
          </cell>
          <cell r="AD565">
            <v>478</v>
          </cell>
          <cell r="AE565" t="e">
            <v>#N/A</v>
          </cell>
          <cell r="AF565" t="str">
            <v/>
          </cell>
        </row>
        <row r="566">
          <cell r="Y566">
            <v>550</v>
          </cell>
          <cell r="Z566">
            <v>0.54153201542794704</v>
          </cell>
          <cell r="AA566">
            <v>1.7628918502364428E-2</v>
          </cell>
          <cell r="AB566" t="str">
            <v/>
          </cell>
          <cell r="AC566" t="e">
            <v>#N/A</v>
          </cell>
          <cell r="AD566">
            <v>479</v>
          </cell>
          <cell r="AE566" t="e">
            <v>#N/A</v>
          </cell>
          <cell r="AF566" t="str">
            <v/>
          </cell>
        </row>
        <row r="567">
          <cell r="Y567">
            <v>551</v>
          </cell>
          <cell r="Z567">
            <v>0.19419567100703716</v>
          </cell>
          <cell r="AA567">
            <v>-0.14579559034300649</v>
          </cell>
          <cell r="AB567" t="str">
            <v/>
          </cell>
          <cell r="AC567" t="e">
            <v>#N/A</v>
          </cell>
          <cell r="AD567">
            <v>480</v>
          </cell>
          <cell r="AE567" t="e">
            <v>#N/A</v>
          </cell>
          <cell r="AF567" t="str">
            <v/>
          </cell>
        </row>
        <row r="568">
          <cell r="Y568">
            <v>552</v>
          </cell>
          <cell r="Z568">
            <v>0.23461409471929073</v>
          </cell>
          <cell r="AA568">
            <v>-0.12233361224485137</v>
          </cell>
          <cell r="AB568" t="str">
            <v/>
          </cell>
          <cell r="AC568" t="e">
            <v>#N/A</v>
          </cell>
          <cell r="AD568">
            <v>481</v>
          </cell>
          <cell r="AE568" t="e">
            <v>#N/A</v>
          </cell>
          <cell r="AF568" t="str">
            <v/>
          </cell>
        </row>
        <row r="569">
          <cell r="Y569">
            <v>553</v>
          </cell>
          <cell r="Z569">
            <v>0.99717613868415356</v>
          </cell>
          <cell r="AA569">
            <v>0.46780343355526988</v>
          </cell>
          <cell r="AB569" t="str">
            <v/>
          </cell>
          <cell r="AC569" t="e">
            <v>#N/A</v>
          </cell>
          <cell r="AD569">
            <v>482</v>
          </cell>
          <cell r="AE569" t="e">
            <v>#N/A</v>
          </cell>
          <cell r="AF569" t="str">
            <v/>
          </cell>
        </row>
        <row r="570">
          <cell r="Y570">
            <v>554</v>
          </cell>
          <cell r="Z570">
            <v>0.35013133846223354</v>
          </cell>
          <cell r="AA570">
            <v>-6.5071114369829833E-2</v>
          </cell>
          <cell r="AB570" t="str">
            <v/>
          </cell>
          <cell r="AC570" t="e">
            <v>#N/A</v>
          </cell>
          <cell r="AD570">
            <v>483</v>
          </cell>
          <cell r="AE570" t="e">
            <v>#N/A</v>
          </cell>
          <cell r="AF570" t="str">
            <v/>
          </cell>
        </row>
        <row r="571">
          <cell r="Y571">
            <v>555</v>
          </cell>
          <cell r="Z571">
            <v>0.93632973544299603</v>
          </cell>
          <cell r="AA571">
            <v>0.25771687640899454</v>
          </cell>
          <cell r="AB571" t="str">
            <v/>
          </cell>
          <cell r="AC571" t="e">
            <v>#N/A</v>
          </cell>
          <cell r="AD571">
            <v>484</v>
          </cell>
          <cell r="AE571" t="e">
            <v>#N/A</v>
          </cell>
          <cell r="AF571" t="str">
            <v/>
          </cell>
        </row>
        <row r="572">
          <cell r="Y572">
            <v>556</v>
          </cell>
          <cell r="Z572">
            <v>0.52671652100980282</v>
          </cell>
          <cell r="AA572">
            <v>1.1328197791261818E-2</v>
          </cell>
          <cell r="AB572" t="str">
            <v/>
          </cell>
          <cell r="AC572" t="e">
            <v>#N/A</v>
          </cell>
          <cell r="AD572">
            <v>485</v>
          </cell>
          <cell r="AE572" t="e">
            <v>#N/A</v>
          </cell>
          <cell r="AF572" t="str">
            <v/>
          </cell>
        </row>
        <row r="573">
          <cell r="Y573">
            <v>557</v>
          </cell>
          <cell r="Z573">
            <v>5.7412801310420036E-2</v>
          </cell>
          <cell r="AA573">
            <v>-0.26653955901218768</v>
          </cell>
          <cell r="AB573" t="str">
            <v/>
          </cell>
          <cell r="AC573" t="e">
            <v>#N/A</v>
          </cell>
          <cell r="AD573">
            <v>486</v>
          </cell>
          <cell r="AE573" t="e">
            <v>#N/A</v>
          </cell>
          <cell r="AF573" t="str">
            <v/>
          </cell>
        </row>
        <row r="574">
          <cell r="Y574">
            <v>558</v>
          </cell>
          <cell r="Z574">
            <v>0.75947061739861965</v>
          </cell>
          <cell r="AA574">
            <v>0.11909925523611468</v>
          </cell>
          <cell r="AB574" t="str">
            <v/>
          </cell>
          <cell r="AC574" t="e">
            <v>#N/A</v>
          </cell>
          <cell r="AD574">
            <v>487</v>
          </cell>
          <cell r="AE574" t="e">
            <v>#N/A</v>
          </cell>
          <cell r="AF574" t="str">
            <v/>
          </cell>
        </row>
        <row r="575">
          <cell r="Y575">
            <v>559</v>
          </cell>
          <cell r="Z575">
            <v>4.7104222699999809E-2</v>
          </cell>
          <cell r="AA575">
            <v>-0.2828907138316083</v>
          </cell>
          <cell r="AB575" t="str">
            <v/>
          </cell>
          <cell r="AC575" t="e">
            <v>#N/A</v>
          </cell>
          <cell r="AD575">
            <v>488</v>
          </cell>
          <cell r="AE575" t="e">
            <v>#N/A</v>
          </cell>
          <cell r="AF575" t="str">
            <v/>
          </cell>
        </row>
        <row r="576">
          <cell r="Y576">
            <v>560</v>
          </cell>
          <cell r="Z576">
            <v>0.83935489319264889</v>
          </cell>
          <cell r="AA576">
            <v>0.16764649000402981</v>
          </cell>
          <cell r="AB576" t="str">
            <v/>
          </cell>
          <cell r="AC576" t="e">
            <v>#N/A</v>
          </cell>
          <cell r="AD576">
            <v>489</v>
          </cell>
          <cell r="AE576" t="e">
            <v>#N/A</v>
          </cell>
          <cell r="AF576" t="str">
            <v/>
          </cell>
        </row>
        <row r="577">
          <cell r="Y577">
            <v>561</v>
          </cell>
          <cell r="Z577">
            <v>0.84354010038077831</v>
          </cell>
          <cell r="AA577">
            <v>0.17057145638022408</v>
          </cell>
          <cell r="AB577" t="str">
            <v/>
          </cell>
          <cell r="AC577" t="e">
            <v>#N/A</v>
          </cell>
          <cell r="AD577">
            <v>490</v>
          </cell>
          <cell r="AE577" t="e">
            <v>#N/A</v>
          </cell>
          <cell r="AF577" t="str">
            <v/>
          </cell>
        </row>
        <row r="578">
          <cell r="Y578">
            <v>562</v>
          </cell>
          <cell r="Z578">
            <v>0.96982908807694912</v>
          </cell>
          <cell r="AA578">
            <v>0.31748856137371939</v>
          </cell>
          <cell r="AB578" t="str">
            <v/>
          </cell>
          <cell r="AC578" t="e">
            <v>#N/A</v>
          </cell>
          <cell r="AD578">
            <v>491</v>
          </cell>
          <cell r="AE578" t="e">
            <v>#N/A</v>
          </cell>
          <cell r="AF578" t="str">
            <v/>
          </cell>
        </row>
        <row r="579">
          <cell r="Y579">
            <v>563</v>
          </cell>
          <cell r="Z579">
            <v>0.48854763619601727</v>
          </cell>
          <cell r="AA579">
            <v>-4.8530046763230151E-3</v>
          </cell>
          <cell r="AB579" t="str">
            <v/>
          </cell>
          <cell r="AC579" t="e">
            <v>#N/A</v>
          </cell>
          <cell r="AD579">
            <v>492</v>
          </cell>
          <cell r="AE579" t="e">
            <v>#N/A</v>
          </cell>
          <cell r="AF579" t="str">
            <v/>
          </cell>
        </row>
        <row r="580">
          <cell r="Y580">
            <v>564</v>
          </cell>
          <cell r="Z580">
            <v>0.71307944320142269</v>
          </cell>
          <cell r="AA580">
            <v>9.5063547481540653E-2</v>
          </cell>
          <cell r="AB580" t="str">
            <v/>
          </cell>
          <cell r="AC580" t="e">
            <v>#N/A</v>
          </cell>
          <cell r="AD580">
            <v>493</v>
          </cell>
          <cell r="AE580" t="e">
            <v>#N/A</v>
          </cell>
          <cell r="AF580" t="str">
            <v/>
          </cell>
        </row>
        <row r="581">
          <cell r="Y581">
            <v>565</v>
          </cell>
          <cell r="Z581">
            <v>0.70204698853194714</v>
          </cell>
          <cell r="AA581">
            <v>8.9636554001842131E-2</v>
          </cell>
          <cell r="AB581" t="str">
            <v/>
          </cell>
          <cell r="AC581" t="e">
            <v>#N/A</v>
          </cell>
          <cell r="AD581">
            <v>494</v>
          </cell>
          <cell r="AE581" t="e">
            <v>#N/A</v>
          </cell>
          <cell r="AF581" t="str">
            <v/>
          </cell>
        </row>
        <row r="582">
          <cell r="Y582">
            <v>566</v>
          </cell>
          <cell r="Z582">
            <v>1.1930322274565697E-2</v>
          </cell>
          <cell r="AA582">
            <v>-0.38190251128719072</v>
          </cell>
          <cell r="AB582" t="str">
            <v/>
          </cell>
          <cell r="AC582" t="e">
            <v>#N/A</v>
          </cell>
          <cell r="AD582">
            <v>495</v>
          </cell>
          <cell r="AE582" t="e">
            <v>#N/A</v>
          </cell>
          <cell r="AF582" t="str">
            <v/>
          </cell>
        </row>
        <row r="583">
          <cell r="Y583">
            <v>567</v>
          </cell>
          <cell r="Z583">
            <v>0.37783984653651714</v>
          </cell>
          <cell r="AA583">
            <v>-5.259548324679636E-2</v>
          </cell>
          <cell r="AB583" t="str">
            <v/>
          </cell>
          <cell r="AC583" t="e">
            <v>#N/A</v>
          </cell>
          <cell r="AD583">
            <v>496</v>
          </cell>
          <cell r="AE583" t="e">
            <v>#N/A</v>
          </cell>
          <cell r="AF583" t="str">
            <v/>
          </cell>
        </row>
        <row r="584">
          <cell r="Y584">
            <v>568</v>
          </cell>
          <cell r="Z584">
            <v>0.37728317640721798</v>
          </cell>
          <cell r="AA584">
            <v>-5.2843098361452123E-2</v>
          </cell>
          <cell r="AB584" t="str">
            <v/>
          </cell>
          <cell r="AC584" t="e">
            <v>#N/A</v>
          </cell>
          <cell r="AD584">
            <v>497</v>
          </cell>
          <cell r="AE584" t="e">
            <v>#N/A</v>
          </cell>
          <cell r="AF584" t="str">
            <v/>
          </cell>
        </row>
        <row r="585">
          <cell r="Y585">
            <v>569</v>
          </cell>
          <cell r="Z585">
            <v>0.66875347308814526</v>
          </cell>
          <cell r="AA585">
            <v>7.3777526296779458E-2</v>
          </cell>
          <cell r="AB585" t="str">
            <v/>
          </cell>
          <cell r="AC585" t="e">
            <v>#N/A</v>
          </cell>
          <cell r="AD585">
            <v>498</v>
          </cell>
          <cell r="AE585" t="e">
            <v>#N/A</v>
          </cell>
          <cell r="AF585" t="str">
            <v/>
          </cell>
        </row>
        <row r="586">
          <cell r="Y586">
            <v>570</v>
          </cell>
          <cell r="Z586">
            <v>0.42467660270631313</v>
          </cell>
          <cell r="AA586">
            <v>-3.210635445469142E-2</v>
          </cell>
          <cell r="AB586" t="str">
            <v/>
          </cell>
          <cell r="AC586" t="e">
            <v>#N/A</v>
          </cell>
          <cell r="AD586">
            <v>499</v>
          </cell>
          <cell r="AE586" t="e">
            <v>#N/A</v>
          </cell>
          <cell r="AF586" t="str">
            <v/>
          </cell>
        </row>
        <row r="587">
          <cell r="Y587">
            <v>571</v>
          </cell>
          <cell r="Z587">
            <v>0.54785896651446819</v>
          </cell>
          <cell r="AA587">
            <v>2.0326609342243604E-2</v>
          </cell>
          <cell r="AB587" t="str">
            <v/>
          </cell>
          <cell r="AC587" t="e">
            <v>#N/A</v>
          </cell>
          <cell r="AD587">
            <v>500</v>
          </cell>
          <cell r="AE587" t="e">
            <v>#N/A</v>
          </cell>
          <cell r="AF587" t="str">
            <v/>
          </cell>
        </row>
        <row r="588">
          <cell r="Y588">
            <v>572</v>
          </cell>
          <cell r="Z588">
            <v>0.7873112466186285</v>
          </cell>
          <cell r="AA588">
            <v>0.13473898822127442</v>
          </cell>
          <cell r="AB588" t="str">
            <v/>
          </cell>
          <cell r="AC588" t="e">
            <v>#N/A</v>
          </cell>
          <cell r="AD588">
            <v>501</v>
          </cell>
          <cell r="AE588" t="e">
            <v>#N/A</v>
          </cell>
          <cell r="AF588" t="str">
            <v/>
          </cell>
        </row>
        <row r="589">
          <cell r="Y589">
            <v>573</v>
          </cell>
          <cell r="Z589">
            <v>0.70123249106109142</v>
          </cell>
          <cell r="AA589">
            <v>8.9239599583648313E-2</v>
          </cell>
          <cell r="AB589" t="str">
            <v/>
          </cell>
          <cell r="AC589" t="e">
            <v>#N/A</v>
          </cell>
          <cell r="AD589">
            <v>502</v>
          </cell>
          <cell r="AE589" t="e">
            <v>#N/A</v>
          </cell>
          <cell r="AF589" t="str">
            <v/>
          </cell>
        </row>
        <row r="590">
          <cell r="Y590">
            <v>574</v>
          </cell>
          <cell r="Z590">
            <v>2.6633298024535179E-2</v>
          </cell>
          <cell r="AA590">
            <v>-0.32669493457670434</v>
          </cell>
          <cell r="AB590" t="str">
            <v/>
          </cell>
          <cell r="AC590" t="e">
            <v>#N/A</v>
          </cell>
          <cell r="AD590">
            <v>503</v>
          </cell>
          <cell r="AE590" t="e">
            <v>#N/A</v>
          </cell>
          <cell r="AF590" t="str">
            <v/>
          </cell>
        </row>
        <row r="591">
          <cell r="Y591">
            <v>575</v>
          </cell>
          <cell r="Z591">
            <v>0.32647822611033916</v>
          </cell>
          <cell r="AA591">
            <v>-7.6006216827163908E-2</v>
          </cell>
          <cell r="AB591" t="str">
            <v/>
          </cell>
          <cell r="AC591" t="e">
            <v>#N/A</v>
          </cell>
          <cell r="AD591">
            <v>504</v>
          </cell>
          <cell r="AE591" t="e">
            <v>#N/A</v>
          </cell>
          <cell r="AF591" t="str">
            <v/>
          </cell>
        </row>
        <row r="592">
          <cell r="Y592">
            <v>576</v>
          </cell>
          <cell r="Z592">
            <v>0.50532033108174801</v>
          </cell>
          <cell r="AA592">
            <v>2.2542778563664858E-3</v>
          </cell>
          <cell r="AB592" t="str">
            <v/>
          </cell>
          <cell r="AC592" t="e">
            <v>#N/A</v>
          </cell>
          <cell r="AD592">
            <v>505</v>
          </cell>
          <cell r="AE592" t="e">
            <v>#N/A</v>
          </cell>
          <cell r="AF592" t="str">
            <v/>
          </cell>
        </row>
        <row r="593">
          <cell r="Y593">
            <v>577</v>
          </cell>
          <cell r="Z593">
            <v>0.87998178415000439</v>
          </cell>
          <cell r="AA593">
            <v>0.19859362604877623</v>
          </cell>
          <cell r="AB593" t="str">
            <v/>
          </cell>
          <cell r="AC593" t="e">
            <v>#N/A</v>
          </cell>
          <cell r="AD593">
            <v>506</v>
          </cell>
          <cell r="AE593" t="e">
            <v>#N/A</v>
          </cell>
          <cell r="AF593" t="str">
            <v/>
          </cell>
        </row>
        <row r="594">
          <cell r="Y594">
            <v>578</v>
          </cell>
          <cell r="Z594">
            <v>0.28126323781907558</v>
          </cell>
          <cell r="AA594">
            <v>-9.7884569389797393E-2</v>
          </cell>
          <cell r="AB594" t="str">
            <v/>
          </cell>
          <cell r="AC594" t="e">
            <v>#N/A</v>
          </cell>
          <cell r="AD594">
            <v>507</v>
          </cell>
          <cell r="AE594" t="e">
            <v>#N/A</v>
          </cell>
          <cell r="AF594" t="str">
            <v/>
          </cell>
        </row>
        <row r="595">
          <cell r="Y595">
            <v>579</v>
          </cell>
          <cell r="Z595">
            <v>3.4612847492098808E-2</v>
          </cell>
          <cell r="AA595">
            <v>-0.30711958326194633</v>
          </cell>
          <cell r="AB595" t="str">
            <v/>
          </cell>
          <cell r="AC595" t="e">
            <v>#N/A</v>
          </cell>
          <cell r="AD595">
            <v>508</v>
          </cell>
          <cell r="AE595" t="e">
            <v>#N/A</v>
          </cell>
          <cell r="AF595" t="str">
            <v/>
          </cell>
        </row>
        <row r="596">
          <cell r="Y596">
            <v>580</v>
          </cell>
          <cell r="Z596">
            <v>0.92488800548017025</v>
          </cell>
          <cell r="AA596">
            <v>0.24319157330177829</v>
          </cell>
          <cell r="AB596" t="str">
            <v/>
          </cell>
          <cell r="AC596" t="e">
            <v>#N/A</v>
          </cell>
          <cell r="AD596">
            <v>509</v>
          </cell>
          <cell r="AE596" t="e">
            <v>#N/A</v>
          </cell>
          <cell r="AF596" t="str">
            <v/>
          </cell>
        </row>
        <row r="597">
          <cell r="Y597">
            <v>581</v>
          </cell>
          <cell r="Z597">
            <v>7.8345773741602898E-2</v>
          </cell>
          <cell r="AA597">
            <v>-0.23939616501497457</v>
          </cell>
          <cell r="AB597" t="str">
            <v/>
          </cell>
          <cell r="AC597" t="e">
            <v>#N/A</v>
          </cell>
          <cell r="AD597">
            <v>510</v>
          </cell>
          <cell r="AE597" t="e">
            <v>#N/A</v>
          </cell>
          <cell r="AF597" t="str">
            <v/>
          </cell>
        </row>
        <row r="598">
          <cell r="Y598">
            <v>582</v>
          </cell>
          <cell r="Z598">
            <v>0.7559110876172781</v>
          </cell>
          <cell r="AA598">
            <v>0.11717386236777032</v>
          </cell>
          <cell r="AB598" t="str">
            <v/>
          </cell>
          <cell r="AC598" t="e">
            <v>#N/A</v>
          </cell>
          <cell r="AD598">
            <v>511</v>
          </cell>
          <cell r="AE598" t="e">
            <v>#N/A</v>
          </cell>
          <cell r="AF598" t="str">
            <v/>
          </cell>
        </row>
        <row r="599">
          <cell r="Y599">
            <v>583</v>
          </cell>
          <cell r="Z599">
            <v>0.70301692001521587</v>
          </cell>
          <cell r="AA599">
            <v>9.0109906867781114E-2</v>
          </cell>
          <cell r="AB599" t="str">
            <v/>
          </cell>
          <cell r="AC599" t="e">
            <v>#N/A</v>
          </cell>
          <cell r="AD599">
            <v>512</v>
          </cell>
          <cell r="AE599" t="e">
            <v>#N/A</v>
          </cell>
          <cell r="AF599" t="str">
            <v/>
          </cell>
        </row>
        <row r="600">
          <cell r="Y600">
            <v>584</v>
          </cell>
          <cell r="Z600">
            <v>0.33937211893498898</v>
          </cell>
          <cell r="AA600">
            <v>-7.0008747720193887E-2</v>
          </cell>
          <cell r="AB600" t="str">
            <v/>
          </cell>
          <cell r="AC600" t="e">
            <v>#N/A</v>
          </cell>
          <cell r="AD600">
            <v>513</v>
          </cell>
          <cell r="AE600" t="e">
            <v>#N/A</v>
          </cell>
          <cell r="AF600" t="str">
            <v/>
          </cell>
        </row>
        <row r="601">
          <cell r="Y601">
            <v>585</v>
          </cell>
          <cell r="Z601">
            <v>0.60118743591010571</v>
          </cell>
          <cell r="AA601">
            <v>4.3343201248764035E-2</v>
          </cell>
          <cell r="AB601" t="str">
            <v/>
          </cell>
          <cell r="AC601" t="e">
            <v>#N/A</v>
          </cell>
          <cell r="AD601">
            <v>514</v>
          </cell>
          <cell r="AE601" t="e">
            <v>#N/A</v>
          </cell>
          <cell r="AF601" t="str">
            <v/>
          </cell>
        </row>
        <row r="602">
          <cell r="Y602">
            <v>586</v>
          </cell>
          <cell r="Z602">
            <v>0.17453772388398647</v>
          </cell>
          <cell r="AA602">
            <v>-0.15827780571284447</v>
          </cell>
          <cell r="AB602" t="str">
            <v/>
          </cell>
          <cell r="AC602" t="e">
            <v>#N/A</v>
          </cell>
          <cell r="AD602">
            <v>515</v>
          </cell>
          <cell r="AE602" t="e">
            <v>#N/A</v>
          </cell>
          <cell r="AF602" t="str">
            <v/>
          </cell>
        </row>
        <row r="603">
          <cell r="Y603">
            <v>587</v>
          </cell>
          <cell r="Z603">
            <v>0.50783027522265911</v>
          </cell>
          <cell r="AA603">
            <v>3.3178811629216189E-3</v>
          </cell>
          <cell r="AB603" t="str">
            <v/>
          </cell>
          <cell r="AC603" t="e">
            <v>#N/A</v>
          </cell>
          <cell r="AD603">
            <v>516</v>
          </cell>
          <cell r="AE603" t="e">
            <v>#N/A</v>
          </cell>
          <cell r="AF603" t="str">
            <v/>
          </cell>
        </row>
        <row r="604">
          <cell r="Y604">
            <v>588</v>
          </cell>
          <cell r="Z604">
            <v>0.35402016900479794</v>
          </cell>
          <cell r="AA604">
            <v>-6.3300240002828981E-2</v>
          </cell>
          <cell r="AB604" t="str">
            <v/>
          </cell>
          <cell r="AC604" t="e">
            <v>#N/A</v>
          </cell>
          <cell r="AD604">
            <v>517</v>
          </cell>
          <cell r="AE604" t="e">
            <v>#N/A</v>
          </cell>
          <cell r="AF604" t="str">
            <v/>
          </cell>
        </row>
        <row r="605">
          <cell r="Y605">
            <v>589</v>
          </cell>
          <cell r="Z605">
            <v>0.29231017641723156</v>
          </cell>
          <cell r="AA605">
            <v>-9.2400433835569951E-2</v>
          </cell>
          <cell r="AB605" t="str">
            <v/>
          </cell>
          <cell r="AC605" t="e">
            <v>#N/A</v>
          </cell>
          <cell r="AD605">
            <v>518</v>
          </cell>
          <cell r="AE605" t="e">
            <v>#N/A</v>
          </cell>
          <cell r="AF605" t="str">
            <v/>
          </cell>
        </row>
        <row r="606">
          <cell r="Y606">
            <v>590</v>
          </cell>
          <cell r="Z606">
            <v>0.56420460902154446</v>
          </cell>
          <cell r="AA606">
            <v>2.7321840698398905E-2</v>
          </cell>
          <cell r="AB606" t="str">
            <v/>
          </cell>
          <cell r="AC606" t="e">
            <v>#N/A</v>
          </cell>
          <cell r="AD606">
            <v>519</v>
          </cell>
          <cell r="AE606" t="e">
            <v>#N/A</v>
          </cell>
          <cell r="AF606" t="str">
            <v/>
          </cell>
        </row>
        <row r="607">
          <cell r="Y607">
            <v>591</v>
          </cell>
          <cell r="Z607">
            <v>0.42487536184489727</v>
          </cell>
          <cell r="AA607">
            <v>-3.2020611886218769E-2</v>
          </cell>
          <cell r="AB607" t="str">
            <v/>
          </cell>
          <cell r="AC607" t="e">
            <v>#N/A</v>
          </cell>
          <cell r="AD607">
            <v>520</v>
          </cell>
          <cell r="AE607" t="e">
            <v>#N/A</v>
          </cell>
          <cell r="AF607" t="str">
            <v/>
          </cell>
        </row>
        <row r="608">
          <cell r="Y608">
            <v>592</v>
          </cell>
          <cell r="Z608">
            <v>0.14182867668569088</v>
          </cell>
          <cell r="AA608">
            <v>-0.1812246618363792</v>
          </cell>
          <cell r="AB608" t="str">
            <v/>
          </cell>
          <cell r="AC608" t="e">
            <v>#N/A</v>
          </cell>
          <cell r="AD608">
            <v>521</v>
          </cell>
          <cell r="AE608" t="e">
            <v>#N/A</v>
          </cell>
          <cell r="AF608" t="str">
            <v/>
          </cell>
        </row>
        <row r="609">
          <cell r="Y609">
            <v>593</v>
          </cell>
          <cell r="Z609">
            <v>0.61062970571219921</v>
          </cell>
          <cell r="AA609">
            <v>4.7491016158664086E-2</v>
          </cell>
          <cell r="AB609" t="str">
            <v/>
          </cell>
          <cell r="AC609" t="e">
            <v>#N/A</v>
          </cell>
          <cell r="AD609">
            <v>522</v>
          </cell>
          <cell r="AE609" t="e">
            <v>#N/A</v>
          </cell>
          <cell r="AF609" t="str">
            <v/>
          </cell>
        </row>
        <row r="610">
          <cell r="Y610">
            <v>594</v>
          </cell>
          <cell r="Z610">
            <v>0.9953081663697958</v>
          </cell>
          <cell r="AA610">
            <v>0.43909996252257416</v>
          </cell>
          <cell r="AB610" t="str">
            <v/>
          </cell>
          <cell r="AC610" t="e">
            <v>#N/A</v>
          </cell>
          <cell r="AD610">
            <v>523</v>
          </cell>
          <cell r="AE610" t="e">
            <v>#N/A</v>
          </cell>
          <cell r="AF610" t="str">
            <v/>
          </cell>
        </row>
        <row r="611">
          <cell r="Y611">
            <v>595</v>
          </cell>
          <cell r="Z611">
            <v>0.6027041207998991</v>
          </cell>
          <cell r="AA611">
            <v>4.4007631113299729E-2</v>
          </cell>
          <cell r="AB611" t="str">
            <v/>
          </cell>
          <cell r="AC611" t="e">
            <v>#N/A</v>
          </cell>
          <cell r="AD611">
            <v>524</v>
          </cell>
          <cell r="AE611" t="e">
            <v>#N/A</v>
          </cell>
          <cell r="AF611" t="str">
            <v/>
          </cell>
        </row>
        <row r="612">
          <cell r="Y612">
            <v>596</v>
          </cell>
          <cell r="Z612">
            <v>4.3152561411261559E-2</v>
          </cell>
          <cell r="AA612">
            <v>-0.28992489007213273</v>
          </cell>
          <cell r="AB612" t="str">
            <v/>
          </cell>
          <cell r="AC612" t="e">
            <v>#N/A</v>
          </cell>
          <cell r="AD612">
            <v>525</v>
          </cell>
          <cell r="AE612" t="e">
            <v>#N/A</v>
          </cell>
          <cell r="AF612" t="str">
            <v/>
          </cell>
        </row>
        <row r="613">
          <cell r="Y613">
            <v>597</v>
          </cell>
          <cell r="Z613">
            <v>0.17509591393172741</v>
          </cell>
          <cell r="AA613">
            <v>-0.15791154049210193</v>
          </cell>
          <cell r="AB613" t="str">
            <v/>
          </cell>
          <cell r="AC613" t="e">
            <v>#N/A</v>
          </cell>
          <cell r="AD613">
            <v>526</v>
          </cell>
          <cell r="AE613" t="e">
            <v>#N/A</v>
          </cell>
          <cell r="AF613" t="str">
            <v/>
          </cell>
        </row>
        <row r="614">
          <cell r="Y614">
            <v>598</v>
          </cell>
          <cell r="Z614">
            <v>0.41556415520608425</v>
          </cell>
          <cell r="AA614">
            <v>-3.6046622225989658E-2</v>
          </cell>
          <cell r="AB614" t="str">
            <v/>
          </cell>
          <cell r="AC614" t="e">
            <v>#N/A</v>
          </cell>
          <cell r="AD614">
            <v>527</v>
          </cell>
          <cell r="AE614" t="e">
            <v>#N/A</v>
          </cell>
          <cell r="AF614" t="str">
            <v/>
          </cell>
        </row>
        <row r="615">
          <cell r="Y615">
            <v>599</v>
          </cell>
          <cell r="Z615">
            <v>0.95439486019313335</v>
          </cell>
          <cell r="AA615">
            <v>0.28550117850466283</v>
          </cell>
          <cell r="AB615" t="str">
            <v/>
          </cell>
          <cell r="AC615" t="e">
            <v>#N/A</v>
          </cell>
          <cell r="AD615">
            <v>528</v>
          </cell>
          <cell r="AE615" t="e">
            <v>#N/A</v>
          </cell>
          <cell r="AF615" t="str">
            <v/>
          </cell>
        </row>
        <row r="616">
          <cell r="Y616">
            <v>600</v>
          </cell>
          <cell r="Z616">
            <v>9.0645160526037216E-3</v>
          </cell>
          <cell r="AA616">
            <v>-0.39941519264483777</v>
          </cell>
          <cell r="AB616" t="str">
            <v/>
          </cell>
          <cell r="AC616" t="e">
            <v>#N/A</v>
          </cell>
          <cell r="AD616">
            <v>529</v>
          </cell>
          <cell r="AE616" t="e">
            <v>#N/A</v>
          </cell>
          <cell r="AF616" t="str">
            <v/>
          </cell>
        </row>
        <row r="617">
          <cell r="Y617">
            <v>601</v>
          </cell>
          <cell r="Z617">
            <v>0.2783647459000349</v>
          </cell>
          <cell r="AA617">
            <v>-9.9340484505789237E-2</v>
          </cell>
          <cell r="AB617" t="str">
            <v/>
          </cell>
          <cell r="AC617" t="e">
            <v>#N/A</v>
          </cell>
          <cell r="AD617">
            <v>530</v>
          </cell>
          <cell r="AE617" t="e">
            <v>#N/A</v>
          </cell>
          <cell r="AF617" t="str">
            <v/>
          </cell>
        </row>
        <row r="618">
          <cell r="Y618">
            <v>602</v>
          </cell>
          <cell r="Z618">
            <v>7.7742045745253563E-2</v>
          </cell>
          <cell r="AA618">
            <v>-0.24009558683891041</v>
          </cell>
          <cell r="AB618" t="str">
            <v/>
          </cell>
          <cell r="AC618" t="e">
            <v>#N/A</v>
          </cell>
          <cell r="AD618">
            <v>531</v>
          </cell>
          <cell r="AE618" t="e">
            <v>#N/A</v>
          </cell>
          <cell r="AF618" t="str">
            <v/>
          </cell>
        </row>
        <row r="619">
          <cell r="Y619">
            <v>603</v>
          </cell>
          <cell r="Z619">
            <v>0.46809913031756878</v>
          </cell>
          <cell r="AA619">
            <v>-1.353075568339443E-2</v>
          </cell>
          <cell r="AB619" t="str">
            <v/>
          </cell>
          <cell r="AC619" t="e">
            <v>#N/A</v>
          </cell>
          <cell r="AD619">
            <v>532</v>
          </cell>
          <cell r="AE619" t="e">
            <v>#N/A</v>
          </cell>
          <cell r="AF619" t="str">
            <v/>
          </cell>
        </row>
        <row r="620">
          <cell r="Y620">
            <v>604</v>
          </cell>
          <cell r="Z620">
            <v>0.38846438191831112</v>
          </cell>
          <cell r="AA620">
            <v>-4.7890434518313311E-2</v>
          </cell>
          <cell r="AB620" t="str">
            <v/>
          </cell>
          <cell r="AC620" t="e">
            <v>#N/A</v>
          </cell>
          <cell r="AD620">
            <v>533</v>
          </cell>
          <cell r="AE620" t="e">
            <v>#N/A</v>
          </cell>
          <cell r="AF620" t="str">
            <v/>
          </cell>
        </row>
        <row r="621">
          <cell r="Y621">
            <v>605</v>
          </cell>
          <cell r="Z621">
            <v>0.86922007612884045</v>
          </cell>
          <cell r="AA621">
            <v>0.18977295760269303</v>
          </cell>
          <cell r="AB621" t="str">
            <v/>
          </cell>
          <cell r="AC621" t="e">
            <v>#N/A</v>
          </cell>
          <cell r="AD621">
            <v>534</v>
          </cell>
          <cell r="AE621" t="e">
            <v>#N/A</v>
          </cell>
          <cell r="AF621" t="str">
            <v/>
          </cell>
        </row>
        <row r="622">
          <cell r="Y622">
            <v>606</v>
          </cell>
          <cell r="Z622">
            <v>6.1149394139647484E-2</v>
          </cell>
          <cell r="AA622">
            <v>-0.26118584601476236</v>
          </cell>
          <cell r="AB622" t="str">
            <v/>
          </cell>
          <cell r="AC622" t="e">
            <v>#N/A</v>
          </cell>
          <cell r="AD622">
            <v>535</v>
          </cell>
          <cell r="AE622" t="e">
            <v>#N/A</v>
          </cell>
          <cell r="AF622" t="str">
            <v/>
          </cell>
        </row>
        <row r="623">
          <cell r="Y623">
            <v>607</v>
          </cell>
          <cell r="Z623">
            <v>0.73633859865367413</v>
          </cell>
          <cell r="AA623">
            <v>0.10684407299209643</v>
          </cell>
          <cell r="AB623" t="str">
            <v/>
          </cell>
          <cell r="AC623" t="e">
            <v>#N/A</v>
          </cell>
          <cell r="AD623">
            <v>536</v>
          </cell>
          <cell r="AE623" t="e">
            <v>#N/A</v>
          </cell>
          <cell r="AF623" t="str">
            <v/>
          </cell>
        </row>
        <row r="624">
          <cell r="Y624">
            <v>608</v>
          </cell>
          <cell r="Z624">
            <v>0.5589385237544775</v>
          </cell>
          <cell r="AA624">
            <v>2.5063647416652738E-2</v>
          </cell>
          <cell r="AB624" t="str">
            <v/>
          </cell>
          <cell r="AC624" t="e">
            <v>#N/A</v>
          </cell>
          <cell r="AD624">
            <v>537</v>
          </cell>
          <cell r="AE624" t="e">
            <v>#N/A</v>
          </cell>
          <cell r="AF624" t="str">
            <v/>
          </cell>
        </row>
        <row r="625">
          <cell r="Y625">
            <v>609</v>
          </cell>
          <cell r="Z625">
            <v>0.50374558381736279</v>
          </cell>
          <cell r="AA625">
            <v>1.587017854038241E-3</v>
          </cell>
          <cell r="AB625" t="str">
            <v/>
          </cell>
          <cell r="AC625" t="e">
            <v>#N/A</v>
          </cell>
          <cell r="AD625">
            <v>538</v>
          </cell>
          <cell r="AE625" t="e">
            <v>#N/A</v>
          </cell>
          <cell r="AF625" t="str">
            <v/>
          </cell>
        </row>
        <row r="626">
          <cell r="Y626">
            <v>610</v>
          </cell>
          <cell r="Z626">
            <v>0.38686621747910976</v>
          </cell>
          <cell r="AA626">
            <v>-4.8595722072907618E-2</v>
          </cell>
          <cell r="AB626" t="str">
            <v/>
          </cell>
          <cell r="AC626" t="e">
            <v>#N/A</v>
          </cell>
          <cell r="AD626">
            <v>539</v>
          </cell>
          <cell r="AE626" t="e">
            <v>#N/A</v>
          </cell>
          <cell r="AF626" t="str">
            <v/>
          </cell>
        </row>
        <row r="627">
          <cell r="Y627">
            <v>611</v>
          </cell>
          <cell r="Z627">
            <v>0.20405192486941814</v>
          </cell>
          <cell r="AA627">
            <v>-0.13982824422322129</v>
          </cell>
          <cell r="AB627" t="str">
            <v/>
          </cell>
          <cell r="AC627" t="e">
            <v>#N/A</v>
          </cell>
          <cell r="AD627">
            <v>540</v>
          </cell>
          <cell r="AE627" t="e">
            <v>#N/A</v>
          </cell>
          <cell r="AF627" t="str">
            <v/>
          </cell>
        </row>
        <row r="628">
          <cell r="Y628">
            <v>612</v>
          </cell>
          <cell r="Z628">
            <v>0.90136920474469662</v>
          </cell>
          <cell r="AA628">
            <v>0.21794714892348024</v>
          </cell>
          <cell r="AB628" t="str">
            <v/>
          </cell>
          <cell r="AC628" t="e">
            <v>#N/A</v>
          </cell>
          <cell r="AD628">
            <v>541</v>
          </cell>
          <cell r="AE628" t="e">
            <v>#N/A</v>
          </cell>
          <cell r="AF628" t="str">
            <v/>
          </cell>
        </row>
        <row r="629">
          <cell r="Y629">
            <v>613</v>
          </cell>
          <cell r="Z629">
            <v>0.76524662785232067</v>
          </cell>
          <cell r="AA629">
            <v>0.12225694575565849</v>
          </cell>
          <cell r="AB629" t="str">
            <v/>
          </cell>
          <cell r="AC629" t="e">
            <v>#N/A</v>
          </cell>
          <cell r="AD629">
            <v>542</v>
          </cell>
          <cell r="AE629" t="e">
            <v>#N/A</v>
          </cell>
          <cell r="AF629" t="str">
            <v/>
          </cell>
        </row>
        <row r="630">
          <cell r="Y630">
            <v>614</v>
          </cell>
          <cell r="Z630">
            <v>0.22672936879098415</v>
          </cell>
          <cell r="AA630">
            <v>-0.12671588285175622</v>
          </cell>
          <cell r="AB630" t="str">
            <v/>
          </cell>
          <cell r="AC630" t="e">
            <v>#N/A</v>
          </cell>
          <cell r="AD630">
            <v>543</v>
          </cell>
          <cell r="AE630" t="e">
            <v>#N/A</v>
          </cell>
          <cell r="AF630" t="str">
            <v/>
          </cell>
        </row>
        <row r="631">
          <cell r="Y631">
            <v>615</v>
          </cell>
          <cell r="Z631">
            <v>0.63539163582026958</v>
          </cell>
          <cell r="AA631">
            <v>5.8513011703448539E-2</v>
          </cell>
          <cell r="AB631" t="str">
            <v/>
          </cell>
          <cell r="AC631" t="e">
            <v>#N/A</v>
          </cell>
          <cell r="AD631">
            <v>544</v>
          </cell>
          <cell r="AE631" t="e">
            <v>#N/A</v>
          </cell>
          <cell r="AF631" t="str">
            <v/>
          </cell>
        </row>
        <row r="632">
          <cell r="Y632">
            <v>616</v>
          </cell>
          <cell r="Z632">
            <v>0.61829396151006222</v>
          </cell>
          <cell r="AA632">
            <v>5.0878822022792987E-2</v>
          </cell>
          <cell r="AB632" t="str">
            <v/>
          </cell>
          <cell r="AC632" t="e">
            <v>#N/A</v>
          </cell>
          <cell r="AD632">
            <v>545</v>
          </cell>
          <cell r="AE632" t="e">
            <v>#N/A</v>
          </cell>
          <cell r="AF632" t="str">
            <v/>
          </cell>
        </row>
        <row r="633">
          <cell r="Y633">
            <v>617</v>
          </cell>
          <cell r="Z633">
            <v>0.65292212180793285</v>
          </cell>
          <cell r="AA633">
            <v>6.6466595657491551E-2</v>
          </cell>
          <cell r="AB633" t="str">
            <v/>
          </cell>
          <cell r="AC633" t="e">
            <v>#N/A</v>
          </cell>
          <cell r="AD633">
            <v>546</v>
          </cell>
          <cell r="AE633" t="e">
            <v>#N/A</v>
          </cell>
          <cell r="AF633" t="str">
            <v/>
          </cell>
        </row>
        <row r="634">
          <cell r="Y634">
            <v>618</v>
          </cell>
          <cell r="Z634">
            <v>0.7060669120401144</v>
          </cell>
          <cell r="AA634">
            <v>9.1603024783285802E-2</v>
          </cell>
          <cell r="AB634" t="str">
            <v/>
          </cell>
          <cell r="AC634" t="e">
            <v>#N/A</v>
          </cell>
          <cell r="AD634">
            <v>547</v>
          </cell>
          <cell r="AE634" t="e">
            <v>#N/A</v>
          </cell>
          <cell r="AF634" t="str">
            <v/>
          </cell>
        </row>
        <row r="635">
          <cell r="Y635">
            <v>619</v>
          </cell>
          <cell r="Z635">
            <v>0.2992710005491972</v>
          </cell>
          <cell r="AA635">
            <v>-8.8994463399997045E-2</v>
          </cell>
          <cell r="AB635" t="str">
            <v/>
          </cell>
          <cell r="AC635" t="e">
            <v>#N/A</v>
          </cell>
          <cell r="AD635">
            <v>548</v>
          </cell>
          <cell r="AE635" t="e">
            <v>#N/A</v>
          </cell>
          <cell r="AF635" t="str">
            <v/>
          </cell>
        </row>
        <row r="636">
          <cell r="Y636">
            <v>620</v>
          </cell>
          <cell r="Z636">
            <v>0.89601497910916805</v>
          </cell>
          <cell r="AA636">
            <v>0.21283805851074294</v>
          </cell>
          <cell r="AB636" t="str">
            <v/>
          </cell>
          <cell r="AC636" t="e">
            <v>#N/A</v>
          </cell>
          <cell r="AD636">
            <v>549</v>
          </cell>
          <cell r="AE636" t="e">
            <v>#N/A</v>
          </cell>
          <cell r="AF636" t="str">
            <v/>
          </cell>
        </row>
        <row r="637">
          <cell r="Y637">
            <v>621</v>
          </cell>
          <cell r="Z637">
            <v>0.43928640894591808</v>
          </cell>
          <cell r="AA637">
            <v>-2.5824308859275166E-2</v>
          </cell>
          <cell r="AB637" t="str">
            <v/>
          </cell>
          <cell r="AC637" t="e">
            <v>#N/A</v>
          </cell>
          <cell r="AD637">
            <v>550</v>
          </cell>
          <cell r="AE637" t="e">
            <v>#N/A</v>
          </cell>
          <cell r="AF637" t="str">
            <v/>
          </cell>
        </row>
        <row r="638">
          <cell r="Y638">
            <v>622</v>
          </cell>
          <cell r="Z638">
            <v>0.80018249712884426</v>
          </cell>
          <cell r="AA638">
            <v>0.14237016867438268</v>
          </cell>
          <cell r="AB638" t="str">
            <v/>
          </cell>
          <cell r="AC638" t="e">
            <v>#N/A</v>
          </cell>
          <cell r="AD638">
            <v>551</v>
          </cell>
          <cell r="AE638" t="e">
            <v>#N/A</v>
          </cell>
          <cell r="AF638" t="str">
            <v/>
          </cell>
        </row>
        <row r="639">
          <cell r="Y639">
            <v>623</v>
          </cell>
          <cell r="Z639">
            <v>0.37366090528666973</v>
          </cell>
          <cell r="AA639">
            <v>-5.4457137783816223E-2</v>
          </cell>
          <cell r="AB639" t="str">
            <v/>
          </cell>
          <cell r="AC639" t="e">
            <v>#N/A</v>
          </cell>
          <cell r="AD639">
            <v>552</v>
          </cell>
          <cell r="AE639" t="e">
            <v>#N/A</v>
          </cell>
          <cell r="AF639" t="str">
            <v/>
          </cell>
        </row>
        <row r="640">
          <cell r="Y640">
            <v>624</v>
          </cell>
          <cell r="Z640">
            <v>0.91045846603810787</v>
          </cell>
          <cell r="AA640">
            <v>0.22710708327861234</v>
          </cell>
          <cell r="AB640" t="str">
            <v/>
          </cell>
          <cell r="AC640" t="e">
            <v>#N/A</v>
          </cell>
          <cell r="AD640">
            <v>553</v>
          </cell>
          <cell r="AE640" t="e">
            <v>#N/A</v>
          </cell>
          <cell r="AF640" t="str">
            <v/>
          </cell>
        </row>
        <row r="641">
          <cell r="Y641">
            <v>625</v>
          </cell>
          <cell r="Z641">
            <v>0.49634113721549511</v>
          </cell>
          <cell r="AA641">
            <v>-1.5502727859985172E-3</v>
          </cell>
          <cell r="AB641" t="str">
            <v/>
          </cell>
          <cell r="AC641" t="e">
            <v>#N/A</v>
          </cell>
          <cell r="AD641">
            <v>554</v>
          </cell>
          <cell r="AE641" t="e">
            <v>#N/A</v>
          </cell>
          <cell r="AF641" t="str">
            <v/>
          </cell>
        </row>
        <row r="642">
          <cell r="Y642">
            <v>626</v>
          </cell>
          <cell r="Z642">
            <v>0.82458973489701748</v>
          </cell>
          <cell r="AA642">
            <v>0.1577055999933788</v>
          </cell>
          <cell r="AB642" t="str">
            <v/>
          </cell>
          <cell r="AC642" t="e">
            <v>#N/A</v>
          </cell>
          <cell r="AD642">
            <v>555</v>
          </cell>
          <cell r="AE642" t="e">
            <v>#N/A</v>
          </cell>
          <cell r="AF642" t="str">
            <v/>
          </cell>
        </row>
        <row r="643">
          <cell r="Y643">
            <v>627</v>
          </cell>
          <cell r="Z643">
            <v>6.8636728450655937E-2</v>
          </cell>
          <cell r="AA643">
            <v>-0.25118346416041964</v>
          </cell>
          <cell r="AB643" t="str">
            <v/>
          </cell>
          <cell r="AC643" t="e">
            <v>#N/A</v>
          </cell>
          <cell r="AD643">
            <v>556</v>
          </cell>
          <cell r="AE643" t="e">
            <v>#N/A</v>
          </cell>
          <cell r="AF643" t="str">
            <v/>
          </cell>
        </row>
        <row r="644">
          <cell r="Y644">
            <v>628</v>
          </cell>
          <cell r="Z644">
            <v>0.17678402923047543</v>
          </cell>
          <cell r="AA644">
            <v>-0.15680834045840372</v>
          </cell>
          <cell r="AB644" t="str">
            <v/>
          </cell>
          <cell r="AC644" t="e">
            <v>#N/A</v>
          </cell>
          <cell r="AD644">
            <v>557</v>
          </cell>
          <cell r="AE644" t="e">
            <v>#N/A</v>
          </cell>
          <cell r="AF644" t="str">
            <v/>
          </cell>
        </row>
        <row r="645">
          <cell r="Y645">
            <v>629</v>
          </cell>
          <cell r="Z645">
            <v>0.59049713425338268</v>
          </cell>
          <cell r="AA645">
            <v>3.8678311270281755E-2</v>
          </cell>
          <cell r="AB645" t="str">
            <v/>
          </cell>
          <cell r="AC645" t="e">
            <v>#N/A</v>
          </cell>
          <cell r="AD645">
            <v>558</v>
          </cell>
          <cell r="AE645" t="e">
            <v>#N/A</v>
          </cell>
          <cell r="AF645" t="str">
            <v/>
          </cell>
        </row>
        <row r="646">
          <cell r="Y646">
            <v>630</v>
          </cell>
          <cell r="Z646">
            <v>1.8996572121977806E-2</v>
          </cell>
          <cell r="AA646">
            <v>-0.35072696215679439</v>
          </cell>
          <cell r="AB646" t="str">
            <v/>
          </cell>
          <cell r="AC646" t="e">
            <v>#N/A</v>
          </cell>
          <cell r="AD646">
            <v>559</v>
          </cell>
          <cell r="AE646" t="e">
            <v>#N/A</v>
          </cell>
          <cell r="AF646" t="str">
            <v/>
          </cell>
        </row>
        <row r="647">
          <cell r="Y647">
            <v>631</v>
          </cell>
          <cell r="Z647">
            <v>0.96817521564662457</v>
          </cell>
          <cell r="AA647">
            <v>0.31348911025581738</v>
          </cell>
          <cell r="AB647" t="str">
            <v/>
          </cell>
          <cell r="AC647" t="e">
            <v>#N/A</v>
          </cell>
          <cell r="AD647">
            <v>560</v>
          </cell>
          <cell r="AE647" t="e">
            <v>#N/A</v>
          </cell>
          <cell r="AF647" t="str">
            <v/>
          </cell>
        </row>
        <row r="648">
          <cell r="Y648">
            <v>632</v>
          </cell>
          <cell r="Z648">
            <v>0.74274404905736446</v>
          </cell>
          <cell r="AA648">
            <v>0.11017910299032237</v>
          </cell>
          <cell r="AB648" t="str">
            <v/>
          </cell>
          <cell r="AC648" t="e">
            <v>#N/A</v>
          </cell>
          <cell r="AD648">
            <v>561</v>
          </cell>
          <cell r="AE648" t="e">
            <v>#N/A</v>
          </cell>
          <cell r="AF648" t="str">
            <v/>
          </cell>
        </row>
        <row r="649">
          <cell r="Y649">
            <v>633</v>
          </cell>
          <cell r="Z649">
            <v>0.14624628238379955</v>
          </cell>
          <cell r="AA649">
            <v>-0.1779335945046866</v>
          </cell>
          <cell r="AB649" t="str">
            <v/>
          </cell>
          <cell r="AC649" t="e">
            <v>#N/A</v>
          </cell>
          <cell r="AD649">
            <v>562</v>
          </cell>
          <cell r="AE649" t="e">
            <v>#N/A</v>
          </cell>
          <cell r="AF649" t="str">
            <v/>
          </cell>
        </row>
        <row r="650">
          <cell r="Y650">
            <v>634</v>
          </cell>
          <cell r="Z650">
            <v>0.72503966651856899</v>
          </cell>
          <cell r="AA650">
            <v>0.10105999766717222</v>
          </cell>
          <cell r="AB650" t="str">
            <v/>
          </cell>
          <cell r="AC650" t="e">
            <v>#N/A</v>
          </cell>
          <cell r="AD650">
            <v>563</v>
          </cell>
          <cell r="AE650" t="e">
            <v>#N/A</v>
          </cell>
          <cell r="AF650" t="str">
            <v/>
          </cell>
        </row>
        <row r="651">
          <cell r="Y651">
            <v>635</v>
          </cell>
          <cell r="Z651">
            <v>9.0701354667544365E-2</v>
          </cell>
          <cell r="AA651">
            <v>-0.22590103419770891</v>
          </cell>
          <cell r="AB651" t="str">
            <v/>
          </cell>
          <cell r="AC651" t="e">
            <v>#N/A</v>
          </cell>
          <cell r="AD651">
            <v>564</v>
          </cell>
          <cell r="AE651" t="e">
            <v>#N/A</v>
          </cell>
          <cell r="AF651" t="str">
            <v/>
          </cell>
        </row>
        <row r="652">
          <cell r="Y652">
            <v>636</v>
          </cell>
          <cell r="Z652">
            <v>0.72579305432736874</v>
          </cell>
          <cell r="AA652">
            <v>0.10144193269752959</v>
          </cell>
          <cell r="AB652" t="str">
            <v/>
          </cell>
          <cell r="AC652" t="e">
            <v>#N/A</v>
          </cell>
          <cell r="AD652">
            <v>565</v>
          </cell>
          <cell r="AE652" t="e">
            <v>#N/A</v>
          </cell>
          <cell r="AF652" t="str">
            <v/>
          </cell>
        </row>
        <row r="653">
          <cell r="Y653">
            <v>637</v>
          </cell>
          <cell r="Z653">
            <v>0.97858339361846447</v>
          </cell>
          <cell r="AA653">
            <v>0.34234371001149783</v>
          </cell>
          <cell r="AB653" t="str">
            <v/>
          </cell>
          <cell r="AC653" t="e">
            <v>#N/A</v>
          </cell>
          <cell r="AD653">
            <v>566</v>
          </cell>
          <cell r="AE653" t="e">
            <v>#N/A</v>
          </cell>
          <cell r="AF653" t="str">
            <v/>
          </cell>
        </row>
        <row r="654">
          <cell r="Y654">
            <v>638</v>
          </cell>
          <cell r="Z654">
            <v>0.65776876173913479</v>
          </cell>
          <cell r="AA654">
            <v>6.8690972583130477E-2</v>
          </cell>
          <cell r="AB654" t="str">
            <v/>
          </cell>
          <cell r="AC654" t="e">
            <v>#N/A</v>
          </cell>
          <cell r="AD654">
            <v>567</v>
          </cell>
          <cell r="AE654" t="e">
            <v>#N/A</v>
          </cell>
          <cell r="AF654" t="str">
            <v/>
          </cell>
        </row>
        <row r="655">
          <cell r="Y655">
            <v>639</v>
          </cell>
          <cell r="Z655">
            <v>0.16838525049388409</v>
          </cell>
          <cell r="AA655">
            <v>-0.16236526482826424</v>
          </cell>
          <cell r="AB655" t="str">
            <v/>
          </cell>
          <cell r="AC655" t="e">
            <v>#N/A</v>
          </cell>
          <cell r="AD655">
            <v>568</v>
          </cell>
          <cell r="AE655" t="e">
            <v>#N/A</v>
          </cell>
          <cell r="AF655" t="str">
            <v/>
          </cell>
        </row>
        <row r="656">
          <cell r="Y656">
            <v>640</v>
          </cell>
          <cell r="Z656">
            <v>0.69394709728658199</v>
          </cell>
          <cell r="AA656">
            <v>8.5710449084217405E-2</v>
          </cell>
          <cell r="AB656" t="str">
            <v/>
          </cell>
          <cell r="AC656" t="e">
            <v>#N/A</v>
          </cell>
          <cell r="AD656">
            <v>569</v>
          </cell>
          <cell r="AE656" t="e">
            <v>#N/A</v>
          </cell>
          <cell r="AF656" t="str">
            <v/>
          </cell>
        </row>
        <row r="657">
          <cell r="Y657">
            <v>641</v>
          </cell>
          <cell r="Z657">
            <v>0.99417808465659618</v>
          </cell>
          <cell r="AA657">
            <v>0.42642403044131721</v>
          </cell>
          <cell r="AB657" t="str">
            <v/>
          </cell>
          <cell r="AC657" t="e">
            <v>#N/A</v>
          </cell>
          <cell r="AD657">
            <v>570</v>
          </cell>
          <cell r="AE657" t="e">
            <v>#N/A</v>
          </cell>
          <cell r="AF657" t="str">
            <v/>
          </cell>
        </row>
        <row r="658">
          <cell r="Y658">
            <v>642</v>
          </cell>
          <cell r="Z658">
            <v>0.77088106237351894</v>
          </cell>
          <cell r="AA658">
            <v>0.12537889710839403</v>
          </cell>
          <cell r="AB658" t="str">
            <v/>
          </cell>
          <cell r="AC658" t="e">
            <v>#N/A</v>
          </cell>
          <cell r="AD658">
            <v>571</v>
          </cell>
          <cell r="AE658" t="e">
            <v>#N/A</v>
          </cell>
          <cell r="AF658" t="str">
            <v/>
          </cell>
        </row>
        <row r="659">
          <cell r="Y659">
            <v>643</v>
          </cell>
          <cell r="Z659">
            <v>0.64518900029361248</v>
          </cell>
          <cell r="AA659">
            <v>6.2940970695198883E-2</v>
          </cell>
          <cell r="AB659" t="str">
            <v/>
          </cell>
          <cell r="AC659" t="e">
            <v>#N/A</v>
          </cell>
          <cell r="AD659">
            <v>572</v>
          </cell>
          <cell r="AE659" t="e">
            <v>#N/A</v>
          </cell>
          <cell r="AF659" t="str">
            <v/>
          </cell>
        </row>
        <row r="660">
          <cell r="Y660">
            <v>644</v>
          </cell>
          <cell r="Z660">
            <v>0.39039312861859798</v>
          </cell>
          <cell r="AA660">
            <v>-4.7040365079245992E-2</v>
          </cell>
          <cell r="AB660" t="str">
            <v/>
          </cell>
          <cell r="AC660" t="e">
            <v>#N/A</v>
          </cell>
          <cell r="AD660">
            <v>573</v>
          </cell>
          <cell r="AE660" t="e">
            <v>#N/A</v>
          </cell>
          <cell r="AF660" t="str">
            <v/>
          </cell>
        </row>
        <row r="661">
          <cell r="Y661">
            <v>645</v>
          </cell>
          <cell r="Z661">
            <v>0.36129665188491344</v>
          </cell>
          <cell r="AA661">
            <v>-6.0005114436232541E-2</v>
          </cell>
          <cell r="AB661" t="str">
            <v/>
          </cell>
          <cell r="AC661" t="e">
            <v>#N/A</v>
          </cell>
          <cell r="AD661">
            <v>574</v>
          </cell>
          <cell r="AE661" t="e">
            <v>#N/A</v>
          </cell>
          <cell r="AF661" t="str">
            <v/>
          </cell>
        </row>
        <row r="662">
          <cell r="Y662">
            <v>646</v>
          </cell>
          <cell r="Z662">
            <v>0.21570560894906521</v>
          </cell>
          <cell r="AA662">
            <v>-0.1329899327821501</v>
          </cell>
          <cell r="AB662" t="str">
            <v/>
          </cell>
          <cell r="AC662" t="e">
            <v>#N/A</v>
          </cell>
          <cell r="AD662">
            <v>575</v>
          </cell>
          <cell r="AE662" t="e">
            <v>#N/A</v>
          </cell>
          <cell r="AF662" t="str">
            <v/>
          </cell>
        </row>
        <row r="663">
          <cell r="Y663">
            <v>647</v>
          </cell>
          <cell r="Z663">
            <v>0.8936635684221983</v>
          </cell>
          <cell r="AA663">
            <v>0.2106545896433622</v>
          </cell>
          <cell r="AB663" t="str">
            <v/>
          </cell>
          <cell r="AC663" t="e">
            <v>#N/A</v>
          </cell>
          <cell r="AD663">
            <v>576</v>
          </cell>
          <cell r="AE663" t="e">
            <v>#N/A</v>
          </cell>
          <cell r="AF663" t="str">
            <v/>
          </cell>
        </row>
        <row r="664">
          <cell r="Y664">
            <v>648</v>
          </cell>
          <cell r="Z664">
            <v>0.30184837244451046</v>
          </cell>
          <cell r="AA664">
            <v>-8.7742524167529728E-2</v>
          </cell>
          <cell r="AB664" t="str">
            <v/>
          </cell>
          <cell r="AC664" t="e">
            <v>#N/A</v>
          </cell>
          <cell r="AD664">
            <v>577</v>
          </cell>
          <cell r="AE664" t="e">
            <v>#N/A</v>
          </cell>
          <cell r="AF664" t="str">
            <v/>
          </cell>
        </row>
        <row r="665">
          <cell r="Y665">
            <v>649</v>
          </cell>
          <cell r="Z665">
            <v>0.648473946377635</v>
          </cell>
          <cell r="AA665">
            <v>6.4435185018275581E-2</v>
          </cell>
          <cell r="AB665" t="str">
            <v/>
          </cell>
          <cell r="AC665" t="e">
            <v>#N/A</v>
          </cell>
          <cell r="AD665">
            <v>578</v>
          </cell>
          <cell r="AE665" t="e">
            <v>#N/A</v>
          </cell>
          <cell r="AF665" t="str">
            <v/>
          </cell>
        </row>
        <row r="666">
          <cell r="Y666">
            <v>650</v>
          </cell>
          <cell r="Z666">
            <v>0.89393765293061733</v>
          </cell>
          <cell r="AA666">
            <v>0.21090728926374372</v>
          </cell>
          <cell r="AB666" t="str">
            <v/>
          </cell>
          <cell r="AC666" t="e">
            <v>#N/A</v>
          </cell>
          <cell r="AD666">
            <v>579</v>
          </cell>
          <cell r="AE666" t="e">
            <v>#N/A</v>
          </cell>
          <cell r="AF666" t="str">
            <v/>
          </cell>
        </row>
        <row r="667">
          <cell r="Y667">
            <v>651</v>
          </cell>
          <cell r="Z667">
            <v>0.15049566142261028</v>
          </cell>
          <cell r="AA667">
            <v>-0.17483027794317474</v>
          </cell>
          <cell r="AB667" t="str">
            <v/>
          </cell>
          <cell r="AC667" t="e">
            <v>#N/A</v>
          </cell>
          <cell r="AD667">
            <v>580</v>
          </cell>
          <cell r="AE667" t="e">
            <v>#N/A</v>
          </cell>
          <cell r="AF667" t="str">
            <v/>
          </cell>
        </row>
        <row r="668">
          <cell r="Y668">
            <v>652</v>
          </cell>
          <cell r="Z668">
            <v>0.57066970132291317</v>
          </cell>
          <cell r="AA668">
            <v>3.0100917362333272E-2</v>
          </cell>
          <cell r="AB668" t="str">
            <v/>
          </cell>
          <cell r="AC668" t="e">
            <v>#N/A</v>
          </cell>
          <cell r="AD668">
            <v>581</v>
          </cell>
          <cell r="AE668" t="e">
            <v>#N/A</v>
          </cell>
          <cell r="AF668" t="str">
            <v/>
          </cell>
        </row>
        <row r="669">
          <cell r="Y669">
            <v>653</v>
          </cell>
          <cell r="Z669">
            <v>0.43193524889647961</v>
          </cell>
          <cell r="AA669">
            <v>-2.8980220002246985E-2</v>
          </cell>
          <cell r="AB669" t="str">
            <v/>
          </cell>
          <cell r="AC669" t="e">
            <v>#N/A</v>
          </cell>
          <cell r="AD669">
            <v>582</v>
          </cell>
          <cell r="AE669" t="e">
            <v>#N/A</v>
          </cell>
          <cell r="AF669" t="str">
            <v/>
          </cell>
        </row>
        <row r="670">
          <cell r="Y670">
            <v>654</v>
          </cell>
          <cell r="Z670">
            <v>0.10412303172051907</v>
          </cell>
          <cell r="AA670">
            <v>-0.21270892247158762</v>
          </cell>
          <cell r="AB670" t="str">
            <v/>
          </cell>
          <cell r="AC670" t="e">
            <v>#N/A</v>
          </cell>
          <cell r="AD670">
            <v>583</v>
          </cell>
          <cell r="AE670" t="e">
            <v>#N/A</v>
          </cell>
          <cell r="AF670" t="str">
            <v/>
          </cell>
        </row>
        <row r="671">
          <cell r="Y671">
            <v>655</v>
          </cell>
          <cell r="Z671">
            <v>0.67080460302531719</v>
          </cell>
          <cell r="AA671">
            <v>7.4734624567691171E-2</v>
          </cell>
          <cell r="AB671" t="str">
            <v/>
          </cell>
          <cell r="AC671" t="e">
            <v>#N/A</v>
          </cell>
          <cell r="AD671">
            <v>584</v>
          </cell>
          <cell r="AE671" t="e">
            <v>#N/A</v>
          </cell>
          <cell r="AF671" t="str">
            <v/>
          </cell>
        </row>
        <row r="672">
          <cell r="Y672">
            <v>656</v>
          </cell>
          <cell r="Z672">
            <v>0.75071301124989986</v>
          </cell>
          <cell r="AA672">
            <v>0.11438912703085914</v>
          </cell>
          <cell r="AB672" t="str">
            <v/>
          </cell>
          <cell r="AC672" t="e">
            <v>#N/A</v>
          </cell>
          <cell r="AD672">
            <v>585</v>
          </cell>
          <cell r="AE672" t="e">
            <v>#N/A</v>
          </cell>
          <cell r="AF672" t="str">
            <v/>
          </cell>
        </row>
        <row r="673">
          <cell r="Y673">
            <v>657</v>
          </cell>
          <cell r="Z673">
            <v>0.87176814489066601</v>
          </cell>
          <cell r="AA673">
            <v>0.19181436080902992</v>
          </cell>
          <cell r="AB673" t="str">
            <v/>
          </cell>
          <cell r="AC673" t="e">
            <v>#N/A</v>
          </cell>
          <cell r="AD673">
            <v>586</v>
          </cell>
          <cell r="AE673" t="e">
            <v>#N/A</v>
          </cell>
          <cell r="AF673" t="str">
            <v/>
          </cell>
        </row>
        <row r="674">
          <cell r="Y674">
            <v>658</v>
          </cell>
          <cell r="Z674">
            <v>0.78189254365861416</v>
          </cell>
          <cell r="AA674">
            <v>0.13160755433618077</v>
          </cell>
          <cell r="AB674" t="str">
            <v/>
          </cell>
          <cell r="AC674" t="e">
            <v>#N/A</v>
          </cell>
          <cell r="AD674">
            <v>587</v>
          </cell>
          <cell r="AE674" t="e">
            <v>#N/A</v>
          </cell>
          <cell r="AF674" t="str">
            <v/>
          </cell>
        </row>
        <row r="675">
          <cell r="Y675">
            <v>659</v>
          </cell>
          <cell r="Z675">
            <v>0.60118920914828777</v>
          </cell>
          <cell r="AA675">
            <v>4.3343977676679794E-2</v>
          </cell>
          <cell r="AB675" t="str">
            <v/>
          </cell>
          <cell r="AC675" t="e">
            <v>#N/A</v>
          </cell>
          <cell r="AD675">
            <v>588</v>
          </cell>
          <cell r="AE675" t="e">
            <v>#N/A</v>
          </cell>
          <cell r="AF675" t="str">
            <v/>
          </cell>
        </row>
        <row r="676">
          <cell r="Y676">
            <v>660</v>
          </cell>
          <cell r="Z676">
            <v>0.90694259665906429</v>
          </cell>
          <cell r="AA676">
            <v>0.22348586591660896</v>
          </cell>
          <cell r="AB676" t="str">
            <v/>
          </cell>
          <cell r="AC676" t="e">
            <v>#N/A</v>
          </cell>
          <cell r="AD676">
            <v>589</v>
          </cell>
          <cell r="AE676" t="e">
            <v>#N/A</v>
          </cell>
          <cell r="AF676" t="str">
            <v/>
          </cell>
        </row>
        <row r="677">
          <cell r="Y677">
            <v>661</v>
          </cell>
          <cell r="Z677">
            <v>0.75684439949691296</v>
          </cell>
          <cell r="AA677">
            <v>0.11767722325455135</v>
          </cell>
          <cell r="AB677" t="str">
            <v/>
          </cell>
          <cell r="AC677" t="e">
            <v>#N/A</v>
          </cell>
          <cell r="AD677">
            <v>590</v>
          </cell>
          <cell r="AE677" t="e">
            <v>#N/A</v>
          </cell>
          <cell r="AF677" t="str">
            <v/>
          </cell>
        </row>
        <row r="678">
          <cell r="Y678">
            <v>662</v>
          </cell>
          <cell r="Z678">
            <v>0.83394632302224636</v>
          </cell>
          <cell r="AA678">
            <v>0.16393928782473843</v>
          </cell>
          <cell r="AB678" t="str">
            <v/>
          </cell>
          <cell r="AC678" t="e">
            <v>#N/A</v>
          </cell>
          <cell r="AD678">
            <v>591</v>
          </cell>
          <cell r="AE678" t="e">
            <v>#N/A</v>
          </cell>
          <cell r="AF678" t="str">
            <v/>
          </cell>
        </row>
        <row r="679">
          <cell r="Y679">
            <v>663</v>
          </cell>
          <cell r="Z679">
            <v>7.1524662896990776E-2</v>
          </cell>
          <cell r="AA679">
            <v>-0.24755066950646462</v>
          </cell>
          <cell r="AB679" t="str">
            <v/>
          </cell>
          <cell r="AC679" t="e">
            <v>#N/A</v>
          </cell>
          <cell r="AD679">
            <v>592</v>
          </cell>
          <cell r="AE679" t="e">
            <v>#N/A</v>
          </cell>
          <cell r="AF679" t="str">
            <v/>
          </cell>
        </row>
        <row r="680">
          <cell r="Y680">
            <v>664</v>
          </cell>
          <cell r="Z680">
            <v>0.55879052542150021</v>
          </cell>
          <cell r="AA680">
            <v>2.5000249500605202E-2</v>
          </cell>
          <cell r="AB680" t="str">
            <v/>
          </cell>
          <cell r="AC680" t="e">
            <v>#N/A</v>
          </cell>
          <cell r="AD680">
            <v>593</v>
          </cell>
          <cell r="AE680" t="e">
            <v>#N/A</v>
          </cell>
          <cell r="AF680" t="str">
            <v/>
          </cell>
        </row>
        <row r="681">
          <cell r="Y681">
            <v>665</v>
          </cell>
          <cell r="Z681">
            <v>0.5184918325394392</v>
          </cell>
          <cell r="AA681">
            <v>7.8377511100884596E-3</v>
          </cell>
          <cell r="AB681" t="str">
            <v/>
          </cell>
          <cell r="AC681" t="e">
            <v>#N/A</v>
          </cell>
          <cell r="AD681">
            <v>594</v>
          </cell>
          <cell r="AE681" t="e">
            <v>#N/A</v>
          </cell>
          <cell r="AF681" t="str">
            <v/>
          </cell>
        </row>
        <row r="682">
          <cell r="Y682">
            <v>666</v>
          </cell>
          <cell r="Z682">
            <v>6.5788215026259422E-2</v>
          </cell>
          <cell r="AA682">
            <v>-0.25488405854260593</v>
          </cell>
          <cell r="AB682" t="str">
            <v/>
          </cell>
          <cell r="AC682" t="e">
            <v>#N/A</v>
          </cell>
          <cell r="AD682">
            <v>595</v>
          </cell>
          <cell r="AE682" t="e">
            <v>#N/A</v>
          </cell>
          <cell r="AF682" t="str">
            <v/>
          </cell>
        </row>
        <row r="683">
          <cell r="Y683">
            <v>667</v>
          </cell>
          <cell r="Z683">
            <v>5.5093895643949509E-3</v>
          </cell>
          <cell r="AA683">
            <v>-0.42969378285583931</v>
          </cell>
          <cell r="AB683" t="str">
            <v/>
          </cell>
          <cell r="AC683" t="e">
            <v>#N/A</v>
          </cell>
          <cell r="AD683">
            <v>596</v>
          </cell>
          <cell r="AE683" t="e">
            <v>#N/A</v>
          </cell>
          <cell r="AF683" t="str">
            <v/>
          </cell>
        </row>
        <row r="684">
          <cell r="Y684">
            <v>668</v>
          </cell>
          <cell r="Z684">
            <v>0.96726601384580135</v>
          </cell>
          <cell r="AA684">
            <v>0.31136312204414274</v>
          </cell>
          <cell r="AB684" t="str">
            <v/>
          </cell>
          <cell r="AC684" t="e">
            <v>#N/A</v>
          </cell>
          <cell r="AD684">
            <v>597</v>
          </cell>
          <cell r="AE684" t="e">
            <v>#N/A</v>
          </cell>
          <cell r="AF684" t="str">
            <v/>
          </cell>
        </row>
        <row r="685">
          <cell r="Y685">
            <v>669</v>
          </cell>
          <cell r="Z685">
            <v>0.71291619352996349</v>
          </cell>
          <cell r="AA685">
            <v>9.4982538551826395E-2</v>
          </cell>
          <cell r="AB685" t="str">
            <v/>
          </cell>
          <cell r="AC685" t="e">
            <v>#N/A</v>
          </cell>
          <cell r="AD685">
            <v>598</v>
          </cell>
          <cell r="AE685" t="e">
            <v>#N/A</v>
          </cell>
          <cell r="AF685" t="str">
            <v/>
          </cell>
        </row>
        <row r="686">
          <cell r="Y686">
            <v>670</v>
          </cell>
          <cell r="Z686">
            <v>0.20321015082299709</v>
          </cell>
          <cell r="AA686">
            <v>-0.14033103120177709</v>
          </cell>
          <cell r="AB686" t="str">
            <v/>
          </cell>
          <cell r="AC686" t="e">
            <v>#N/A</v>
          </cell>
          <cell r="AD686">
            <v>599</v>
          </cell>
          <cell r="AE686" t="e">
            <v>#N/A</v>
          </cell>
          <cell r="AF686" t="str">
            <v/>
          </cell>
        </row>
        <row r="687">
          <cell r="Y687">
            <v>671</v>
          </cell>
          <cell r="Z687">
            <v>0.14996193163096905</v>
          </cell>
          <cell r="AA687">
            <v>-0.17521681816560852</v>
          </cell>
          <cell r="AB687" t="str">
            <v/>
          </cell>
          <cell r="AC687" t="e">
            <v>#N/A</v>
          </cell>
          <cell r="AD687">
            <v>600</v>
          </cell>
          <cell r="AE687" t="e">
            <v>#N/A</v>
          </cell>
          <cell r="AF687" t="str">
            <v/>
          </cell>
        </row>
        <row r="688">
          <cell r="Y688">
            <v>672</v>
          </cell>
          <cell r="Z688">
            <v>0.26581480167806149</v>
          </cell>
          <cell r="AA688">
            <v>-0.10573223528336995</v>
          </cell>
          <cell r="AB688" t="str">
            <v/>
          </cell>
          <cell r="AC688" t="e">
            <v>#N/A</v>
          </cell>
          <cell r="AD688">
            <v>601</v>
          </cell>
          <cell r="AE688" t="e">
            <v>#N/A</v>
          </cell>
          <cell r="AF688" t="str">
            <v/>
          </cell>
        </row>
        <row r="689">
          <cell r="Y689">
            <v>673</v>
          </cell>
          <cell r="Z689">
            <v>0.47237303666770458</v>
          </cell>
          <cell r="AA689">
            <v>-1.1714847182059576E-2</v>
          </cell>
          <cell r="AB689" t="str">
            <v/>
          </cell>
          <cell r="AC689" t="e">
            <v>#N/A</v>
          </cell>
          <cell r="AD689">
            <v>602</v>
          </cell>
          <cell r="AE689" t="e">
            <v>#N/A</v>
          </cell>
          <cell r="AF689" t="str">
            <v/>
          </cell>
        </row>
        <row r="690">
          <cell r="Y690">
            <v>674</v>
          </cell>
          <cell r="Z690">
            <v>0.50752652250230312</v>
          </cell>
          <cell r="AA690">
            <v>3.1891580454435574E-3</v>
          </cell>
          <cell r="AB690" t="str">
            <v/>
          </cell>
          <cell r="AC690" t="e">
            <v>#N/A</v>
          </cell>
          <cell r="AD690">
            <v>603</v>
          </cell>
          <cell r="AE690" t="e">
            <v>#N/A</v>
          </cell>
          <cell r="AF690" t="str">
            <v/>
          </cell>
        </row>
        <row r="691">
          <cell r="Y691">
            <v>675</v>
          </cell>
          <cell r="Z691">
            <v>0.82286782376468182</v>
          </cell>
          <cell r="AA691">
            <v>0.15658165294727394</v>
          </cell>
          <cell r="AB691" t="str">
            <v/>
          </cell>
          <cell r="AC691" t="e">
            <v>#N/A</v>
          </cell>
          <cell r="AD691">
            <v>604</v>
          </cell>
          <cell r="AE691" t="e">
            <v>#N/A</v>
          </cell>
          <cell r="AF691" t="str">
            <v/>
          </cell>
        </row>
        <row r="692">
          <cell r="Y692">
            <v>676</v>
          </cell>
          <cell r="Z692">
            <v>0.93492852710187435</v>
          </cell>
          <cell r="AA692">
            <v>0.25583468966989859</v>
          </cell>
          <cell r="AB692" t="str">
            <v/>
          </cell>
          <cell r="AC692" t="e">
            <v>#N/A</v>
          </cell>
          <cell r="AD692">
            <v>605</v>
          </cell>
          <cell r="AE692" t="e">
            <v>#N/A</v>
          </cell>
          <cell r="AF692" t="str">
            <v/>
          </cell>
        </row>
        <row r="693">
          <cell r="Y693">
            <v>677</v>
          </cell>
          <cell r="Z693">
            <v>0.42508959583938122</v>
          </cell>
          <cell r="AA693">
            <v>-3.1928202855214471E-2</v>
          </cell>
          <cell r="AB693" t="str">
            <v/>
          </cell>
          <cell r="AC693" t="e">
            <v>#N/A</v>
          </cell>
          <cell r="AD693">
            <v>606</v>
          </cell>
          <cell r="AE693" t="e">
            <v>#N/A</v>
          </cell>
          <cell r="AF693" t="str">
            <v/>
          </cell>
        </row>
        <row r="694">
          <cell r="Y694">
            <v>678</v>
          </cell>
          <cell r="Z694">
            <v>0.48455855809152126</v>
          </cell>
          <cell r="AA694">
            <v>-6.5441349575541454E-3</v>
          </cell>
          <cell r="AB694" t="str">
            <v/>
          </cell>
          <cell r="AC694" t="e">
            <v>#N/A</v>
          </cell>
          <cell r="AD694">
            <v>607</v>
          </cell>
          <cell r="AE694" t="e">
            <v>#N/A</v>
          </cell>
          <cell r="AF694" t="str">
            <v/>
          </cell>
        </row>
        <row r="695">
          <cell r="Y695">
            <v>679</v>
          </cell>
          <cell r="Z695">
            <v>0.88017646782100201</v>
          </cell>
          <cell r="AA695">
            <v>0.19875820701177496</v>
          </cell>
          <cell r="AB695" t="str">
            <v/>
          </cell>
          <cell r="AC695" t="e">
            <v>#N/A</v>
          </cell>
          <cell r="AD695">
            <v>608</v>
          </cell>
          <cell r="AE695" t="e">
            <v>#N/A</v>
          </cell>
          <cell r="AF695" t="str">
            <v/>
          </cell>
        </row>
        <row r="696">
          <cell r="Y696">
            <v>680</v>
          </cell>
          <cell r="Z696">
            <v>0.1205041017383337</v>
          </cell>
          <cell r="AA696">
            <v>-0.19818368873786119</v>
          </cell>
          <cell r="AB696" t="str">
            <v/>
          </cell>
          <cell r="AC696" t="e">
            <v>#N/A</v>
          </cell>
          <cell r="AD696">
            <v>609</v>
          </cell>
          <cell r="AE696" t="e">
            <v>#N/A</v>
          </cell>
          <cell r="AF696" t="str">
            <v/>
          </cell>
        </row>
        <row r="697">
          <cell r="Y697">
            <v>681</v>
          </cell>
          <cell r="Z697">
            <v>0.58393665961921215</v>
          </cell>
          <cell r="AA697">
            <v>3.5830283749237364E-2</v>
          </cell>
          <cell r="AB697" t="str">
            <v/>
          </cell>
          <cell r="AC697" t="e">
            <v>#N/A</v>
          </cell>
          <cell r="AD697">
            <v>610</v>
          </cell>
          <cell r="AE697" t="e">
            <v>#N/A</v>
          </cell>
          <cell r="AF697" t="str">
            <v/>
          </cell>
        </row>
        <row r="698">
          <cell r="Y698">
            <v>682</v>
          </cell>
          <cell r="Z698">
            <v>0.18736869655549526</v>
          </cell>
          <cell r="AA698">
            <v>-0.15003761371443936</v>
          </cell>
          <cell r="AB698" t="str">
            <v/>
          </cell>
          <cell r="AC698" t="e">
            <v>#N/A</v>
          </cell>
          <cell r="AD698">
            <v>611</v>
          </cell>
          <cell r="AE698" t="e">
            <v>#N/A</v>
          </cell>
          <cell r="AF698" t="str">
            <v/>
          </cell>
        </row>
        <row r="699">
          <cell r="Y699">
            <v>683</v>
          </cell>
          <cell r="Z699">
            <v>0.40134800784289837</v>
          </cell>
          <cell r="AA699">
            <v>-4.2233961409577338E-2</v>
          </cell>
          <cell r="AB699" t="str">
            <v/>
          </cell>
          <cell r="AC699" t="e">
            <v>#N/A</v>
          </cell>
          <cell r="AD699">
            <v>612</v>
          </cell>
          <cell r="AE699" t="e">
            <v>#N/A</v>
          </cell>
          <cell r="AF699" t="str">
            <v/>
          </cell>
        </row>
        <row r="700">
          <cell r="Y700">
            <v>684</v>
          </cell>
          <cell r="Z700">
            <v>0.29595308564603329</v>
          </cell>
          <cell r="AA700">
            <v>-9.0613346981274906E-2</v>
          </cell>
          <cell r="AB700" t="str">
            <v/>
          </cell>
          <cell r="AC700" t="e">
            <v>#N/A</v>
          </cell>
          <cell r="AD700">
            <v>613</v>
          </cell>
          <cell r="AE700" t="e">
            <v>#N/A</v>
          </cell>
          <cell r="AF700" t="str">
            <v/>
          </cell>
        </row>
        <row r="701">
          <cell r="Y701">
            <v>685</v>
          </cell>
          <cell r="Z701">
            <v>0.70385044626891613</v>
          </cell>
          <cell r="AA701">
            <v>9.0517255486859322E-2</v>
          </cell>
          <cell r="AB701" t="str">
            <v/>
          </cell>
          <cell r="AC701" t="e">
            <v>#N/A</v>
          </cell>
          <cell r="AD701">
            <v>614</v>
          </cell>
          <cell r="AE701" t="e">
            <v>#N/A</v>
          </cell>
          <cell r="AF701" t="str">
            <v/>
          </cell>
        </row>
        <row r="702">
          <cell r="Y702">
            <v>686</v>
          </cell>
          <cell r="Z702">
            <v>0.61274496279656887</v>
          </cell>
          <cell r="AA702">
            <v>4.842405422271151E-2</v>
          </cell>
          <cell r="AB702" t="str">
            <v/>
          </cell>
          <cell r="AC702" t="e">
            <v>#N/A</v>
          </cell>
          <cell r="AD702">
            <v>615</v>
          </cell>
          <cell r="AE702" t="e">
            <v>#N/A</v>
          </cell>
          <cell r="AF702" t="str">
            <v/>
          </cell>
        </row>
        <row r="703">
          <cell r="Y703">
            <v>687</v>
          </cell>
          <cell r="Z703">
            <v>0.59365020506083965</v>
          </cell>
          <cell r="AA703">
            <v>4.0050986435778139E-2</v>
          </cell>
          <cell r="AB703" t="str">
            <v/>
          </cell>
          <cell r="AC703" t="e">
            <v>#N/A</v>
          </cell>
          <cell r="AD703">
            <v>616</v>
          </cell>
          <cell r="AE703" t="e">
            <v>#N/A</v>
          </cell>
          <cell r="AF703" t="str">
            <v/>
          </cell>
        </row>
        <row r="704">
          <cell r="Y704">
            <v>688</v>
          </cell>
          <cell r="Z704">
            <v>0.76806106232106686</v>
          </cell>
          <cell r="AA704">
            <v>0.12381109997862043</v>
          </cell>
          <cell r="AB704" t="str">
            <v/>
          </cell>
          <cell r="AC704" t="e">
            <v>#N/A</v>
          </cell>
          <cell r="AD704">
            <v>617</v>
          </cell>
          <cell r="AE704" t="e">
            <v>#N/A</v>
          </cell>
          <cell r="AF704" t="str">
            <v/>
          </cell>
        </row>
        <row r="705">
          <cell r="Y705">
            <v>689</v>
          </cell>
          <cell r="Z705">
            <v>0.60800447873771191</v>
          </cell>
          <cell r="AA705">
            <v>4.6335036445969063E-2</v>
          </cell>
          <cell r="AB705" t="str">
            <v/>
          </cell>
          <cell r="AC705" t="e">
            <v>#N/A</v>
          </cell>
          <cell r="AD705">
            <v>618</v>
          </cell>
          <cell r="AE705" t="e">
            <v>#N/A</v>
          </cell>
          <cell r="AF705" t="str">
            <v/>
          </cell>
        </row>
        <row r="706">
          <cell r="Y706">
            <v>690</v>
          </cell>
          <cell r="Z706">
            <v>0.69143534265458584</v>
          </cell>
          <cell r="AA706">
            <v>8.450240574410918E-2</v>
          </cell>
          <cell r="AB706" t="str">
            <v/>
          </cell>
          <cell r="AC706" t="e">
            <v>#N/A</v>
          </cell>
          <cell r="AD706">
            <v>619</v>
          </cell>
          <cell r="AE706" t="e">
            <v>#N/A</v>
          </cell>
          <cell r="AF706" t="str">
            <v/>
          </cell>
        </row>
        <row r="707">
          <cell r="Y707">
            <v>691</v>
          </cell>
          <cell r="Z707">
            <v>0.41520531289279461</v>
          </cell>
          <cell r="AA707">
            <v>-3.6202174929325773E-2</v>
          </cell>
          <cell r="AB707" t="str">
            <v/>
          </cell>
          <cell r="AC707" t="e">
            <v>#N/A</v>
          </cell>
          <cell r="AD707">
            <v>620</v>
          </cell>
          <cell r="AE707" t="e">
            <v>#N/A</v>
          </cell>
          <cell r="AF707" t="str">
            <v/>
          </cell>
        </row>
        <row r="708">
          <cell r="Y708">
            <v>692</v>
          </cell>
          <cell r="Z708">
            <v>0.52659701369702816</v>
          </cell>
          <cell r="AA708">
            <v>1.1277449509402579E-2</v>
          </cell>
          <cell r="AB708" t="str">
            <v/>
          </cell>
          <cell r="AC708" t="e">
            <v>#N/A</v>
          </cell>
          <cell r="AD708">
            <v>621</v>
          </cell>
          <cell r="AE708" t="e">
            <v>#N/A</v>
          </cell>
          <cell r="AF708" t="str">
            <v/>
          </cell>
        </row>
        <row r="709">
          <cell r="Y709">
            <v>693</v>
          </cell>
          <cell r="Z709">
            <v>0.98273145966231823</v>
          </cell>
          <cell r="AA709">
            <v>0.357288060895596</v>
          </cell>
          <cell r="AB709" t="str">
            <v/>
          </cell>
          <cell r="AC709" t="e">
            <v>#N/A</v>
          </cell>
          <cell r="AD709">
            <v>622</v>
          </cell>
          <cell r="AE709" t="e">
            <v>#N/A</v>
          </cell>
          <cell r="AF709" t="str">
            <v/>
          </cell>
        </row>
        <row r="710">
          <cell r="Y710">
            <v>694</v>
          </cell>
          <cell r="Z710">
            <v>0.37213215790688992</v>
          </cell>
          <cell r="AA710">
            <v>-5.5139813094570278E-2</v>
          </cell>
          <cell r="AB710" t="str">
            <v/>
          </cell>
          <cell r="AC710" t="e">
            <v>#N/A</v>
          </cell>
          <cell r="AD710">
            <v>623</v>
          </cell>
          <cell r="AE710" t="e">
            <v>#N/A</v>
          </cell>
          <cell r="AF710" t="str">
            <v/>
          </cell>
        </row>
        <row r="711">
          <cell r="Y711">
            <v>695</v>
          </cell>
          <cell r="Z711">
            <v>0.41678695194423199</v>
          </cell>
          <cell r="AA711">
            <v>-3.5516786717225149E-2</v>
          </cell>
          <cell r="AB711" t="str">
            <v/>
          </cell>
          <cell r="AC711" t="e">
            <v>#N/A</v>
          </cell>
          <cell r="AD711">
            <v>624</v>
          </cell>
          <cell r="AE711" t="e">
            <v>#N/A</v>
          </cell>
          <cell r="AF711" t="str">
            <v/>
          </cell>
        </row>
        <row r="712">
          <cell r="Y712">
            <v>696</v>
          </cell>
          <cell r="Z712">
            <v>0.93767269514501095</v>
          </cell>
          <cell r="AA712">
            <v>0.25955131178598995</v>
          </cell>
          <cell r="AB712" t="str">
            <v/>
          </cell>
          <cell r="AC712" t="e">
            <v>#N/A</v>
          </cell>
          <cell r="AD712">
            <v>625</v>
          </cell>
          <cell r="AE712" t="e">
            <v>#N/A</v>
          </cell>
          <cell r="AF712" t="str">
            <v/>
          </cell>
        </row>
        <row r="713">
          <cell r="Y713">
            <v>697</v>
          </cell>
          <cell r="Z713">
            <v>0.14119514636695385</v>
          </cell>
          <cell r="AA713">
            <v>-0.18170228864107196</v>
          </cell>
          <cell r="AB713" t="str">
            <v/>
          </cell>
          <cell r="AC713" t="e">
            <v>#N/A</v>
          </cell>
          <cell r="AD713">
            <v>626</v>
          </cell>
          <cell r="AE713" t="e">
            <v>#N/A</v>
          </cell>
          <cell r="AF713" t="str">
            <v/>
          </cell>
        </row>
        <row r="714">
          <cell r="Y714">
            <v>698</v>
          </cell>
          <cell r="Z714">
            <v>0.29920644126832485</v>
          </cell>
          <cell r="AA714">
            <v>-8.9025885063736737E-2</v>
          </cell>
          <cell r="AB714" t="str">
            <v/>
          </cell>
          <cell r="AC714" t="e">
            <v>#N/A</v>
          </cell>
          <cell r="AD714">
            <v>627</v>
          </cell>
          <cell r="AE714" t="e">
            <v>#N/A</v>
          </cell>
          <cell r="AF714" t="str">
            <v/>
          </cell>
        </row>
        <row r="715">
          <cell r="Y715">
            <v>699</v>
          </cell>
          <cell r="Z715">
            <v>0.30236698500812054</v>
          </cell>
          <cell r="AA715">
            <v>-8.7491194834005276E-2</v>
          </cell>
          <cell r="AB715" t="str">
            <v/>
          </cell>
          <cell r="AC715" t="e">
            <v>#N/A</v>
          </cell>
          <cell r="AD715">
            <v>628</v>
          </cell>
          <cell r="AE715" t="e">
            <v>#N/A</v>
          </cell>
          <cell r="AF715" t="str">
            <v/>
          </cell>
        </row>
        <row r="716">
          <cell r="Y716">
            <v>700</v>
          </cell>
          <cell r="Z716">
            <v>0.78085201047360897</v>
          </cell>
          <cell r="AA716">
            <v>0.13101140488851279</v>
          </cell>
          <cell r="AB716" t="str">
            <v/>
          </cell>
          <cell r="AC716" t="e">
            <v>#N/A</v>
          </cell>
          <cell r="AD716">
            <v>629</v>
          </cell>
          <cell r="AE716" t="e">
            <v>#N/A</v>
          </cell>
          <cell r="AF716" t="str">
            <v/>
          </cell>
        </row>
        <row r="717">
          <cell r="Y717">
            <v>701</v>
          </cell>
          <cell r="Z717">
            <v>0.25581222586333752</v>
          </cell>
          <cell r="AA717">
            <v>-0.11093669898891453</v>
          </cell>
          <cell r="AB717" t="str">
            <v/>
          </cell>
          <cell r="AC717" t="e">
            <v>#N/A</v>
          </cell>
          <cell r="AD717">
            <v>630</v>
          </cell>
          <cell r="AE717" t="e">
            <v>#N/A</v>
          </cell>
          <cell r="AF717" t="str">
            <v/>
          </cell>
        </row>
        <row r="718">
          <cell r="Y718">
            <v>702</v>
          </cell>
          <cell r="Z718">
            <v>0.5841923113912344</v>
          </cell>
          <cell r="AA718">
            <v>3.5941071581933305E-2</v>
          </cell>
          <cell r="AB718" t="str">
            <v/>
          </cell>
          <cell r="AC718" t="e">
            <v>#N/A</v>
          </cell>
          <cell r="AD718">
            <v>631</v>
          </cell>
          <cell r="AE718" t="e">
            <v>#N/A</v>
          </cell>
          <cell r="AF718" t="str">
            <v/>
          </cell>
        </row>
        <row r="719">
          <cell r="Y719">
            <v>703</v>
          </cell>
          <cell r="Z719">
            <v>0.70841239206492901</v>
          </cell>
          <cell r="AA719">
            <v>9.2756125678076021E-2</v>
          </cell>
          <cell r="AB719" t="str">
            <v/>
          </cell>
          <cell r="AC719" t="e">
            <v>#N/A</v>
          </cell>
          <cell r="AD719">
            <v>632</v>
          </cell>
          <cell r="AE719" t="e">
            <v>#N/A</v>
          </cell>
          <cell r="AF719" t="str">
            <v/>
          </cell>
        </row>
        <row r="720">
          <cell r="Y720">
            <v>704</v>
          </cell>
          <cell r="Z720">
            <v>0.13001038692891598</v>
          </cell>
          <cell r="AA720">
            <v>-0.19038655180265113</v>
          </cell>
          <cell r="AB720" t="str">
            <v/>
          </cell>
          <cell r="AC720" t="e">
            <v>#N/A</v>
          </cell>
          <cell r="AD720">
            <v>633</v>
          </cell>
          <cell r="AE720" t="e">
            <v>#N/A</v>
          </cell>
          <cell r="AF720" t="str">
            <v/>
          </cell>
        </row>
        <row r="721">
          <cell r="Y721">
            <v>705</v>
          </cell>
          <cell r="Z721">
            <v>0.55942418985068798</v>
          </cell>
          <cell r="AA721">
            <v>2.527171659673362E-2</v>
          </cell>
          <cell r="AB721" t="str">
            <v/>
          </cell>
          <cell r="AC721" t="e">
            <v>#N/A</v>
          </cell>
          <cell r="AD721">
            <v>634</v>
          </cell>
          <cell r="AE721" t="e">
            <v>#N/A</v>
          </cell>
          <cell r="AF721" t="str">
            <v/>
          </cell>
        </row>
        <row r="722">
          <cell r="Y722">
            <v>706</v>
          </cell>
          <cell r="Z722">
            <v>0.1710213478654623</v>
          </cell>
          <cell r="AA722">
            <v>-0.16060244873515456</v>
          </cell>
          <cell r="AB722" t="str">
            <v/>
          </cell>
          <cell r="AC722" t="e">
            <v>#N/A</v>
          </cell>
          <cell r="AD722">
            <v>635</v>
          </cell>
          <cell r="AE722" t="e">
            <v>#N/A</v>
          </cell>
          <cell r="AF722" t="str">
            <v/>
          </cell>
        </row>
        <row r="723">
          <cell r="Y723">
            <v>707</v>
          </cell>
          <cell r="Z723">
            <v>0.70193214528262615</v>
          </cell>
          <cell r="AA723">
            <v>8.9580553968758692E-2</v>
          </cell>
          <cell r="AB723" t="str">
            <v/>
          </cell>
          <cell r="AC723" t="e">
            <v>#N/A</v>
          </cell>
          <cell r="AD723">
            <v>636</v>
          </cell>
          <cell r="AE723" t="e">
            <v>#N/A</v>
          </cell>
          <cell r="AF723" t="str">
            <v/>
          </cell>
        </row>
        <row r="724">
          <cell r="Y724">
            <v>708</v>
          </cell>
          <cell r="Z724">
            <v>0.57794415019452572</v>
          </cell>
          <cell r="AA724">
            <v>3.3237700955450214E-2</v>
          </cell>
          <cell r="AB724" t="str">
            <v/>
          </cell>
          <cell r="AC724" t="e">
            <v>#N/A</v>
          </cell>
          <cell r="AD724">
            <v>637</v>
          </cell>
          <cell r="AE724" t="e">
            <v>#N/A</v>
          </cell>
          <cell r="AF724" t="str">
            <v/>
          </cell>
        </row>
        <row r="725">
          <cell r="Y725">
            <v>709</v>
          </cell>
          <cell r="Z725">
            <v>1.5219209715723991E-2</v>
          </cell>
          <cell r="AA725">
            <v>-0.36583989151378249</v>
          </cell>
          <cell r="AB725" t="str">
            <v/>
          </cell>
          <cell r="AC725" t="e">
            <v>#N/A</v>
          </cell>
          <cell r="AD725">
            <v>638</v>
          </cell>
          <cell r="AE725" t="e">
            <v>#N/A</v>
          </cell>
          <cell r="AF725" t="str">
            <v/>
          </cell>
        </row>
        <row r="726">
          <cell r="Y726">
            <v>710</v>
          </cell>
          <cell r="Z726">
            <v>0.29500696621835232</v>
          </cell>
          <cell r="AA726">
            <v>-9.1076500018352685E-2</v>
          </cell>
          <cell r="AB726" t="str">
            <v/>
          </cell>
          <cell r="AC726" t="e">
            <v>#N/A</v>
          </cell>
          <cell r="AD726">
            <v>639</v>
          </cell>
          <cell r="AE726" t="e">
            <v>#N/A</v>
          </cell>
          <cell r="AF726" t="str">
            <v/>
          </cell>
        </row>
        <row r="727">
          <cell r="Y727">
            <v>711</v>
          </cell>
          <cell r="Z727">
            <v>0.49727408401668072</v>
          </cell>
          <cell r="AA727">
            <v>-1.1549728026207442E-3</v>
          </cell>
          <cell r="AB727" t="str">
            <v/>
          </cell>
          <cell r="AC727" t="e">
            <v>#N/A</v>
          </cell>
          <cell r="AD727">
            <v>640</v>
          </cell>
          <cell r="AE727" t="e">
            <v>#N/A</v>
          </cell>
          <cell r="AF727" t="str">
            <v/>
          </cell>
        </row>
        <row r="728">
          <cell r="Y728">
            <v>712</v>
          </cell>
          <cell r="Z728">
            <v>0.30472989939153194</v>
          </cell>
          <cell r="AA728">
            <v>-8.634851613637376E-2</v>
          </cell>
          <cell r="AB728" t="str">
            <v/>
          </cell>
          <cell r="AC728" t="e">
            <v>#N/A</v>
          </cell>
          <cell r="AD728">
            <v>641</v>
          </cell>
          <cell r="AE728" t="e">
            <v>#N/A</v>
          </cell>
          <cell r="AF728" t="str">
            <v/>
          </cell>
        </row>
        <row r="729">
          <cell r="Y729">
            <v>713</v>
          </cell>
          <cell r="Z729">
            <v>0.9554040115326643</v>
          </cell>
          <cell r="AA729">
            <v>0.28729759903474406</v>
          </cell>
          <cell r="AB729" t="str">
            <v/>
          </cell>
          <cell r="AC729" t="e">
            <v>#N/A</v>
          </cell>
          <cell r="AD729">
            <v>642</v>
          </cell>
          <cell r="AE729" t="e">
            <v>#N/A</v>
          </cell>
          <cell r="AF729" t="str">
            <v/>
          </cell>
        </row>
        <row r="730">
          <cell r="Y730">
            <v>714</v>
          </cell>
          <cell r="Z730">
            <v>0.53557879291474819</v>
          </cell>
          <cell r="AA730">
            <v>1.509468467905677E-2</v>
          </cell>
          <cell r="AB730" t="str">
            <v/>
          </cell>
          <cell r="AC730" t="e">
            <v>#N/A</v>
          </cell>
          <cell r="AD730">
            <v>643</v>
          </cell>
          <cell r="AE730" t="e">
            <v>#N/A</v>
          </cell>
          <cell r="AF730" t="str">
            <v/>
          </cell>
        </row>
        <row r="731">
          <cell r="Y731">
            <v>715</v>
          </cell>
          <cell r="Z731">
            <v>0.89167178981006145</v>
          </cell>
          <cell r="AA731">
            <v>0.20883218845686302</v>
          </cell>
          <cell r="AB731" t="str">
            <v/>
          </cell>
          <cell r="AC731" t="e">
            <v>#N/A</v>
          </cell>
          <cell r="AD731">
            <v>644</v>
          </cell>
          <cell r="AE731" t="e">
            <v>#N/A</v>
          </cell>
          <cell r="AF731" t="str">
            <v/>
          </cell>
        </row>
        <row r="732">
          <cell r="Y732">
            <v>716</v>
          </cell>
          <cell r="Z732">
            <v>0.4898338820785284</v>
          </cell>
          <cell r="AA732">
            <v>-4.3078251344251884E-3</v>
          </cell>
          <cell r="AB732" t="str">
            <v/>
          </cell>
          <cell r="AC732" t="e">
            <v>#N/A</v>
          </cell>
          <cell r="AD732">
            <v>645</v>
          </cell>
          <cell r="AE732" t="e">
            <v>#N/A</v>
          </cell>
          <cell r="AF732" t="str">
            <v/>
          </cell>
        </row>
        <row r="733">
          <cell r="Y733">
            <v>717</v>
          </cell>
          <cell r="Z733">
            <v>0.18862575106322765</v>
          </cell>
          <cell r="AA733">
            <v>-0.14924947657864426</v>
          </cell>
          <cell r="AB733" t="str">
            <v/>
          </cell>
          <cell r="AC733" t="e">
            <v>#N/A</v>
          </cell>
          <cell r="AD733">
            <v>646</v>
          </cell>
          <cell r="AE733" t="e">
            <v>#N/A</v>
          </cell>
          <cell r="AF733" t="str">
            <v/>
          </cell>
        </row>
        <row r="734">
          <cell r="Y734">
            <v>718</v>
          </cell>
          <cell r="Z734">
            <v>0.96276704035699368</v>
          </cell>
          <cell r="AA734">
            <v>0.30150709411570431</v>
          </cell>
          <cell r="AB734" t="str">
            <v/>
          </cell>
          <cell r="AC734" t="e">
            <v>#N/A</v>
          </cell>
          <cell r="AD734">
            <v>647</v>
          </cell>
          <cell r="AE734" t="e">
            <v>#N/A</v>
          </cell>
          <cell r="AF734" t="str">
            <v/>
          </cell>
        </row>
        <row r="735">
          <cell r="Y735">
            <v>719</v>
          </cell>
          <cell r="Z735">
            <v>0.91954146139323711</v>
          </cell>
          <cell r="AA735">
            <v>0.23698021687353321</v>
          </cell>
          <cell r="AB735" t="str">
            <v/>
          </cell>
          <cell r="AC735" t="e">
            <v>#N/A</v>
          </cell>
          <cell r="AD735">
            <v>648</v>
          </cell>
          <cell r="AE735" t="e">
            <v>#N/A</v>
          </cell>
          <cell r="AF735" t="str">
            <v/>
          </cell>
        </row>
        <row r="736">
          <cell r="Y736">
            <v>720</v>
          </cell>
          <cell r="Z736">
            <v>0.56797136925160885</v>
          </cell>
          <cell r="AA736">
            <v>2.894006935340426E-2</v>
          </cell>
          <cell r="AB736" t="str">
            <v/>
          </cell>
          <cell r="AC736" t="e">
            <v>#N/A</v>
          </cell>
          <cell r="AD736">
            <v>649</v>
          </cell>
          <cell r="AE736" t="e">
            <v>#N/A</v>
          </cell>
          <cell r="AF736" t="str">
            <v/>
          </cell>
        </row>
        <row r="737">
          <cell r="Y737">
            <v>721</v>
          </cell>
          <cell r="Z737">
            <v>7.6143888756632805E-2</v>
          </cell>
          <cell r="AA737">
            <v>-0.2419671847489307</v>
          </cell>
          <cell r="AB737" t="str">
            <v/>
          </cell>
          <cell r="AC737" t="e">
            <v>#N/A</v>
          </cell>
          <cell r="AD737">
            <v>650</v>
          </cell>
          <cell r="AE737" t="e">
            <v>#N/A</v>
          </cell>
          <cell r="AF737" t="str">
            <v/>
          </cell>
        </row>
        <row r="738">
          <cell r="Y738">
            <v>722</v>
          </cell>
          <cell r="Z738">
            <v>0.87743688188493252</v>
          </cell>
          <cell r="AA738">
            <v>0.19645930910083995</v>
          </cell>
          <cell r="AB738" t="str">
            <v/>
          </cell>
          <cell r="AC738" t="e">
            <v>#N/A</v>
          </cell>
          <cell r="AD738">
            <v>651</v>
          </cell>
          <cell r="AE738" t="e">
            <v>#N/A</v>
          </cell>
          <cell r="AF738" t="str">
            <v/>
          </cell>
        </row>
        <row r="739">
          <cell r="Y739">
            <v>723</v>
          </cell>
          <cell r="Z739">
            <v>0.22552878968417645</v>
          </cell>
          <cell r="AA739">
            <v>-0.12739061672048077</v>
          </cell>
          <cell r="AB739" t="str">
            <v/>
          </cell>
          <cell r="AC739" t="e">
            <v>#N/A</v>
          </cell>
          <cell r="AD739">
            <v>652</v>
          </cell>
          <cell r="AE739" t="e">
            <v>#N/A</v>
          </cell>
          <cell r="AF739" t="str">
            <v/>
          </cell>
        </row>
        <row r="740">
          <cell r="Y740">
            <v>724</v>
          </cell>
          <cell r="Z740">
            <v>0.82871603034436703</v>
          </cell>
          <cell r="AA740">
            <v>0.16042778392987214</v>
          </cell>
          <cell r="AB740" t="str">
            <v/>
          </cell>
          <cell r="AC740" t="e">
            <v>#N/A</v>
          </cell>
          <cell r="AD740">
            <v>653</v>
          </cell>
          <cell r="AE740" t="e">
            <v>#N/A</v>
          </cell>
          <cell r="AF740" t="str">
            <v/>
          </cell>
        </row>
        <row r="741">
          <cell r="Y741">
            <v>725</v>
          </cell>
          <cell r="Z741">
            <v>7.6752064749598503E-2</v>
          </cell>
          <cell r="AA741">
            <v>-0.24125146285944105</v>
          </cell>
          <cell r="AB741" t="str">
            <v/>
          </cell>
          <cell r="AC741" t="e">
            <v>#N/A</v>
          </cell>
          <cell r="AD741">
            <v>654</v>
          </cell>
          <cell r="AE741" t="e">
            <v>#N/A</v>
          </cell>
          <cell r="AF741" t="str">
            <v/>
          </cell>
        </row>
        <row r="742">
          <cell r="Y742">
            <v>726</v>
          </cell>
          <cell r="Z742">
            <v>0.64527282677590847</v>
          </cell>
          <cell r="AA742">
            <v>6.2979039029597353E-2</v>
          </cell>
          <cell r="AB742" t="str">
            <v/>
          </cell>
          <cell r="AC742" t="e">
            <v>#N/A</v>
          </cell>
          <cell r="AD742">
            <v>655</v>
          </cell>
          <cell r="AE742" t="e">
            <v>#N/A</v>
          </cell>
          <cell r="AF742" t="str">
            <v/>
          </cell>
        </row>
        <row r="743">
          <cell r="Y743">
            <v>727</v>
          </cell>
          <cell r="Z743">
            <v>0.6563058327883482</v>
          </cell>
          <cell r="AA743">
            <v>6.801832122711203E-2</v>
          </cell>
          <cell r="AB743" t="str">
            <v/>
          </cell>
          <cell r="AC743" t="e">
            <v>#N/A</v>
          </cell>
          <cell r="AD743">
            <v>656</v>
          </cell>
          <cell r="AE743" t="e">
            <v>#N/A</v>
          </cell>
          <cell r="AF743" t="str">
            <v/>
          </cell>
        </row>
        <row r="744">
          <cell r="Y744">
            <v>728</v>
          </cell>
          <cell r="Z744">
            <v>0.85985930822789669</v>
          </cell>
          <cell r="AA744">
            <v>0.18250048874243197</v>
          </cell>
          <cell r="AB744" t="str">
            <v/>
          </cell>
          <cell r="AC744" t="e">
            <v>#N/A</v>
          </cell>
          <cell r="AD744">
            <v>657</v>
          </cell>
          <cell r="AE744" t="e">
            <v>#N/A</v>
          </cell>
          <cell r="AF744" t="str">
            <v/>
          </cell>
        </row>
        <row r="745">
          <cell r="Y745">
            <v>729</v>
          </cell>
          <cell r="Z745">
            <v>0.2604499738663435</v>
          </cell>
          <cell r="AA745">
            <v>-0.10851083870477321</v>
          </cell>
          <cell r="AB745" t="str">
            <v/>
          </cell>
          <cell r="AC745" t="e">
            <v>#N/A</v>
          </cell>
          <cell r="AD745">
            <v>658</v>
          </cell>
          <cell r="AE745" t="e">
            <v>#N/A</v>
          </cell>
          <cell r="AF745" t="str">
            <v/>
          </cell>
        </row>
        <row r="746">
          <cell r="Y746">
            <v>730</v>
          </cell>
          <cell r="Z746">
            <v>0.12451309524476528</v>
          </cell>
          <cell r="AA746">
            <v>-0.19484488811503656</v>
          </cell>
          <cell r="AB746" t="str">
            <v/>
          </cell>
          <cell r="AC746" t="e">
            <v>#N/A</v>
          </cell>
          <cell r="AD746">
            <v>659</v>
          </cell>
          <cell r="AE746" t="e">
            <v>#N/A</v>
          </cell>
          <cell r="AF746" t="str">
            <v/>
          </cell>
        </row>
        <row r="747">
          <cell r="Y747">
            <v>731</v>
          </cell>
          <cell r="Z747">
            <v>0.57111789099872112</v>
          </cell>
          <cell r="AA747">
            <v>3.0293868893977706E-2</v>
          </cell>
          <cell r="AB747" t="str">
            <v/>
          </cell>
          <cell r="AC747" t="e">
            <v>#N/A</v>
          </cell>
          <cell r="AD747">
            <v>660</v>
          </cell>
          <cell r="AE747" t="e">
            <v>#N/A</v>
          </cell>
          <cell r="AF747" t="str">
            <v/>
          </cell>
        </row>
        <row r="748">
          <cell r="Y748">
            <v>732</v>
          </cell>
          <cell r="Z748">
            <v>0.33451979421079159</v>
          </cell>
          <cell r="AA748">
            <v>-7.2255024348517882E-2</v>
          </cell>
          <cell r="AB748" t="str">
            <v/>
          </cell>
          <cell r="AC748" t="e">
            <v>#N/A</v>
          </cell>
          <cell r="AD748">
            <v>661</v>
          </cell>
          <cell r="AE748" t="e">
            <v>#N/A</v>
          </cell>
          <cell r="AF748" t="str">
            <v/>
          </cell>
        </row>
        <row r="749">
          <cell r="Y749">
            <v>733</v>
          </cell>
          <cell r="Z749">
            <v>0.29086524061858654</v>
          </cell>
          <cell r="AA749">
            <v>-9.3112129530005819E-2</v>
          </cell>
          <cell r="AB749" t="str">
            <v/>
          </cell>
          <cell r="AC749" t="e">
            <v>#N/A</v>
          </cell>
          <cell r="AD749">
            <v>662</v>
          </cell>
          <cell r="AE749" t="e">
            <v>#N/A</v>
          </cell>
          <cell r="AF749" t="str">
            <v/>
          </cell>
        </row>
        <row r="750">
          <cell r="Y750">
            <v>734</v>
          </cell>
          <cell r="Z750">
            <v>0.1874339934438467</v>
          </cell>
          <cell r="AA750">
            <v>-0.14999659416833505</v>
          </cell>
          <cell r="AB750" t="str">
            <v/>
          </cell>
          <cell r="AC750" t="e">
            <v>#N/A</v>
          </cell>
          <cell r="AD750">
            <v>663</v>
          </cell>
          <cell r="AE750" t="e">
            <v>#N/A</v>
          </cell>
          <cell r="AF750" t="str">
            <v/>
          </cell>
        </row>
        <row r="751">
          <cell r="Y751">
            <v>735</v>
          </cell>
          <cell r="Z751">
            <v>0.37108038179576397</v>
          </cell>
          <cell r="AA751">
            <v>-5.5610014915172007E-2</v>
          </cell>
          <cell r="AB751" t="str">
            <v/>
          </cell>
          <cell r="AC751" t="e">
            <v>#N/A</v>
          </cell>
          <cell r="AD751">
            <v>664</v>
          </cell>
          <cell r="AE751" t="e">
            <v>#N/A</v>
          </cell>
          <cell r="AF751" t="str">
            <v/>
          </cell>
        </row>
        <row r="752">
          <cell r="Y752">
            <v>736</v>
          </cell>
          <cell r="Z752">
            <v>0.64200260303914547</v>
          </cell>
          <cell r="AA752">
            <v>6.1496268414933504E-2</v>
          </cell>
          <cell r="AB752" t="str">
            <v/>
          </cell>
          <cell r="AC752" t="e">
            <v>#N/A</v>
          </cell>
          <cell r="AD752">
            <v>665</v>
          </cell>
          <cell r="AE752" t="e">
            <v>#N/A</v>
          </cell>
          <cell r="AF752" t="str">
            <v/>
          </cell>
        </row>
        <row r="753">
          <cell r="Y753">
            <v>737</v>
          </cell>
          <cell r="Z753">
            <v>0.37642529420554638</v>
          </cell>
          <cell r="AA753">
            <v>-5.3224919431881339E-2</v>
          </cell>
          <cell r="AB753" t="str">
            <v/>
          </cell>
          <cell r="AC753" t="e">
            <v>#N/A</v>
          </cell>
          <cell r="AD753">
            <v>666</v>
          </cell>
          <cell r="AE753" t="e">
            <v>#N/A</v>
          </cell>
          <cell r="AF753" t="str">
            <v/>
          </cell>
        </row>
        <row r="754">
          <cell r="Y754">
            <v>738</v>
          </cell>
          <cell r="Z754">
            <v>0.83558428846299648</v>
          </cell>
          <cell r="AA754">
            <v>0.16505361794770684</v>
          </cell>
          <cell r="AB754" t="str">
            <v/>
          </cell>
          <cell r="AC754" t="e">
            <v>#N/A</v>
          </cell>
          <cell r="AD754">
            <v>667</v>
          </cell>
          <cell r="AE754" t="e">
            <v>#N/A</v>
          </cell>
          <cell r="AF754" t="str">
            <v/>
          </cell>
        </row>
        <row r="755">
          <cell r="Y755">
            <v>739</v>
          </cell>
          <cell r="Z755">
            <v>0.74722571484744549</v>
          </cell>
          <cell r="AA755">
            <v>0.11253819547500021</v>
          </cell>
          <cell r="AB755" t="str">
            <v/>
          </cell>
          <cell r="AC755" t="e">
            <v>#N/A</v>
          </cell>
          <cell r="AD755">
            <v>668</v>
          </cell>
          <cell r="AE755" t="e">
            <v>#N/A</v>
          </cell>
          <cell r="AF755" t="str">
            <v/>
          </cell>
        </row>
        <row r="756">
          <cell r="Y756">
            <v>740</v>
          </cell>
          <cell r="Z756">
            <v>0.86240874789655209</v>
          </cell>
          <cell r="AA756">
            <v>0.18444738043408052</v>
          </cell>
          <cell r="AB756" t="str">
            <v/>
          </cell>
          <cell r="AC756" t="e">
            <v>#N/A</v>
          </cell>
          <cell r="AD756">
            <v>669</v>
          </cell>
          <cell r="AE756" t="e">
            <v>#N/A</v>
          </cell>
          <cell r="AF756" t="str">
            <v/>
          </cell>
        </row>
        <row r="757">
          <cell r="Y757">
            <v>741</v>
          </cell>
          <cell r="Z757">
            <v>0.69027924351394176</v>
          </cell>
          <cell r="AA757">
            <v>8.3947823913484404E-2</v>
          </cell>
          <cell r="AB757" t="str">
            <v/>
          </cell>
          <cell r="AC757" t="e">
            <v>#N/A</v>
          </cell>
          <cell r="AD757">
            <v>670</v>
          </cell>
          <cell r="AE757" t="e">
            <v>#N/A</v>
          </cell>
          <cell r="AF757" t="str">
            <v/>
          </cell>
        </row>
        <row r="758">
          <cell r="Y758">
            <v>742</v>
          </cell>
          <cell r="Z758">
            <v>0.40876958332955837</v>
          </cell>
          <cell r="AA758">
            <v>-3.899731159890775E-2</v>
          </cell>
          <cell r="AB758" t="str">
            <v/>
          </cell>
          <cell r="AC758" t="e">
            <v>#N/A</v>
          </cell>
          <cell r="AD758">
            <v>671</v>
          </cell>
          <cell r="AE758" t="e">
            <v>#N/A</v>
          </cell>
          <cell r="AF758" t="str">
            <v/>
          </cell>
        </row>
        <row r="759">
          <cell r="Y759">
            <v>743</v>
          </cell>
          <cell r="Z759">
            <v>0.14730016700923443</v>
          </cell>
          <cell r="AA759">
            <v>-0.17715837380695215</v>
          </cell>
          <cell r="AB759" t="str">
            <v/>
          </cell>
          <cell r="AC759" t="e">
            <v>#N/A</v>
          </cell>
          <cell r="AD759">
            <v>672</v>
          </cell>
          <cell r="AE759" t="e">
            <v>#N/A</v>
          </cell>
          <cell r="AF759" t="str">
            <v/>
          </cell>
        </row>
        <row r="760">
          <cell r="Y760">
            <v>744</v>
          </cell>
          <cell r="Z760">
            <v>0.58499451540410519</v>
          </cell>
          <cell r="AA760">
            <v>3.6288810750620543E-2</v>
          </cell>
          <cell r="AB760" t="str">
            <v/>
          </cell>
          <cell r="AC760" t="e">
            <v>#N/A</v>
          </cell>
          <cell r="AD760">
            <v>673</v>
          </cell>
          <cell r="AE760" t="e">
            <v>#N/A</v>
          </cell>
          <cell r="AF760" t="str">
            <v/>
          </cell>
        </row>
        <row r="761">
          <cell r="Y761">
            <v>745</v>
          </cell>
          <cell r="Z761">
            <v>0.75896975211799145</v>
          </cell>
          <cell r="AA761">
            <v>0.11882740086959295</v>
          </cell>
          <cell r="AB761" t="str">
            <v/>
          </cell>
          <cell r="AC761" t="e">
            <v>#N/A</v>
          </cell>
          <cell r="AD761">
            <v>674</v>
          </cell>
          <cell r="AE761" t="e">
            <v>#N/A</v>
          </cell>
          <cell r="AF761" t="str">
            <v/>
          </cell>
        </row>
        <row r="762">
          <cell r="Y762">
            <v>746</v>
          </cell>
          <cell r="Z762">
            <v>0.38778669200837612</v>
          </cell>
          <cell r="AA762">
            <v>-4.8189404011250381E-2</v>
          </cell>
          <cell r="AB762" t="str">
            <v/>
          </cell>
          <cell r="AC762" t="e">
            <v>#N/A</v>
          </cell>
          <cell r="AD762">
            <v>675</v>
          </cell>
          <cell r="AE762" t="e">
            <v>#N/A</v>
          </cell>
          <cell r="AF762" t="str">
            <v/>
          </cell>
        </row>
        <row r="763">
          <cell r="Y763">
            <v>747</v>
          </cell>
          <cell r="Z763">
            <v>0.96131075732409954</v>
          </cell>
          <cell r="AA763">
            <v>0.2985259785190113</v>
          </cell>
          <cell r="AB763" t="str">
            <v/>
          </cell>
          <cell r="AC763" t="e">
            <v>#N/A</v>
          </cell>
          <cell r="AD763">
            <v>676</v>
          </cell>
          <cell r="AE763" t="e">
            <v>#N/A</v>
          </cell>
          <cell r="AF763" t="str">
            <v/>
          </cell>
        </row>
        <row r="764">
          <cell r="Y764">
            <v>748</v>
          </cell>
          <cell r="Z764">
            <v>7.0280840620398521E-2</v>
          </cell>
          <cell r="AA764">
            <v>-0.24910120531930119</v>
          </cell>
          <cell r="AB764" t="str">
            <v/>
          </cell>
          <cell r="AC764" t="e">
            <v>#N/A</v>
          </cell>
          <cell r="AD764">
            <v>677</v>
          </cell>
          <cell r="AE764" t="e">
            <v>#N/A</v>
          </cell>
          <cell r="AF764" t="str">
            <v/>
          </cell>
        </row>
        <row r="765">
          <cell r="Y765">
            <v>749</v>
          </cell>
          <cell r="Z765">
            <v>0.31985491327941418</v>
          </cell>
          <cell r="AA765">
            <v>-7.912411019684952E-2</v>
          </cell>
          <cell r="AB765" t="str">
            <v/>
          </cell>
          <cell r="AC765" t="e">
            <v>#N/A</v>
          </cell>
          <cell r="AD765">
            <v>678</v>
          </cell>
          <cell r="AE765" t="e">
            <v>#N/A</v>
          </cell>
          <cell r="AF765" t="str">
            <v/>
          </cell>
        </row>
        <row r="766">
          <cell r="Y766">
            <v>750</v>
          </cell>
          <cell r="Z766">
            <v>0.29090801440179348</v>
          </cell>
          <cell r="AA766">
            <v>-9.3091037859254225E-2</v>
          </cell>
          <cell r="AB766" t="str">
            <v/>
          </cell>
          <cell r="AC766" t="e">
            <v>#N/A</v>
          </cell>
          <cell r="AD766">
            <v>679</v>
          </cell>
          <cell r="AE766" t="e">
            <v>#N/A</v>
          </cell>
          <cell r="AF766" t="str">
            <v/>
          </cell>
        </row>
        <row r="767">
          <cell r="Y767">
            <v>751</v>
          </cell>
          <cell r="Z767">
            <v>0.92582212202250957</v>
          </cell>
          <cell r="AA767">
            <v>0.24431105494939198</v>
          </cell>
          <cell r="AB767" t="str">
            <v/>
          </cell>
          <cell r="AC767" t="e">
            <v>#N/A</v>
          </cell>
          <cell r="AD767">
            <v>680</v>
          </cell>
          <cell r="AE767" t="e">
            <v>#N/A</v>
          </cell>
          <cell r="AF767" t="str">
            <v/>
          </cell>
        </row>
        <row r="768">
          <cell r="Y768">
            <v>752</v>
          </cell>
          <cell r="Z768">
            <v>0.25591268204152584</v>
          </cell>
          <cell r="AA768">
            <v>-0.11088391249938438</v>
          </cell>
          <cell r="AB768" t="str">
            <v/>
          </cell>
          <cell r="AC768" t="e">
            <v>#N/A</v>
          </cell>
          <cell r="AD768">
            <v>681</v>
          </cell>
          <cell r="AE768" t="e">
            <v>#N/A</v>
          </cell>
          <cell r="AF768" t="str">
            <v/>
          </cell>
        </row>
        <row r="769">
          <cell r="Y769">
            <v>753</v>
          </cell>
          <cell r="Z769">
            <v>0.1472801249474287</v>
          </cell>
          <cell r="AA769">
            <v>-0.17717308167102772</v>
          </cell>
          <cell r="AB769" t="str">
            <v/>
          </cell>
          <cell r="AC769" t="e">
            <v>#N/A</v>
          </cell>
          <cell r="AD769">
            <v>682</v>
          </cell>
          <cell r="AE769" t="e">
            <v>#N/A</v>
          </cell>
          <cell r="AF769" t="str">
            <v/>
          </cell>
        </row>
        <row r="770">
          <cell r="Y770">
            <v>754</v>
          </cell>
          <cell r="Z770">
            <v>0.1641159113496542</v>
          </cell>
          <cell r="AA770">
            <v>-0.16525835356178434</v>
          </cell>
          <cell r="AB770" t="str">
            <v/>
          </cell>
          <cell r="AC770" t="e">
            <v>#N/A</v>
          </cell>
          <cell r="AD770">
            <v>683</v>
          </cell>
          <cell r="AE770" t="e">
            <v>#N/A</v>
          </cell>
          <cell r="AF770" t="str">
            <v/>
          </cell>
        </row>
        <row r="771">
          <cell r="Y771">
            <v>755</v>
          </cell>
          <cell r="Z771">
            <v>0.24700338952243328</v>
          </cell>
          <cell r="AA771">
            <v>-0.11560863988639788</v>
          </cell>
          <cell r="AB771" t="str">
            <v/>
          </cell>
          <cell r="AC771" t="e">
            <v>#N/A</v>
          </cell>
          <cell r="AD771">
            <v>684</v>
          </cell>
          <cell r="AE771" t="e">
            <v>#N/A</v>
          </cell>
          <cell r="AF771" t="str">
            <v/>
          </cell>
        </row>
        <row r="772">
          <cell r="Y772">
            <v>756</v>
          </cell>
          <cell r="Z772">
            <v>0.10626839660108089</v>
          </cell>
          <cell r="AA772">
            <v>-0.2107172723916291</v>
          </cell>
          <cell r="AB772" t="str">
            <v/>
          </cell>
          <cell r="AC772" t="e">
            <v>#N/A</v>
          </cell>
          <cell r="AD772">
            <v>685</v>
          </cell>
          <cell r="AE772" t="e">
            <v>#N/A</v>
          </cell>
          <cell r="AF772" t="str">
            <v/>
          </cell>
        </row>
        <row r="773">
          <cell r="Y773">
            <v>757</v>
          </cell>
          <cell r="Z773">
            <v>0.34749996475875378</v>
          </cell>
          <cell r="AA773">
            <v>-6.6273427305607785E-2</v>
          </cell>
          <cell r="AB773" t="str">
            <v/>
          </cell>
          <cell r="AC773" t="e">
            <v>#N/A</v>
          </cell>
          <cell r="AD773">
            <v>686</v>
          </cell>
          <cell r="AE773" t="e">
            <v>#N/A</v>
          </cell>
          <cell r="AF773" t="str">
            <v/>
          </cell>
        </row>
        <row r="774">
          <cell r="Y774">
            <v>758</v>
          </cell>
          <cell r="Z774">
            <v>0.16508707962930202</v>
          </cell>
          <cell r="AA774">
            <v>-0.16459601200790278</v>
          </cell>
          <cell r="AB774" t="str">
            <v/>
          </cell>
          <cell r="AC774" t="e">
            <v>#N/A</v>
          </cell>
          <cell r="AD774">
            <v>687</v>
          </cell>
          <cell r="AE774" t="e">
            <v>#N/A</v>
          </cell>
          <cell r="AF774" t="str">
            <v/>
          </cell>
        </row>
        <row r="775">
          <cell r="Y775">
            <v>759</v>
          </cell>
          <cell r="Z775">
            <v>0.94242505542933941</v>
          </cell>
          <cell r="AA775">
            <v>0.26630164874716233</v>
          </cell>
          <cell r="AB775" t="str">
            <v/>
          </cell>
          <cell r="AC775" t="e">
            <v>#N/A</v>
          </cell>
          <cell r="AD775">
            <v>688</v>
          </cell>
          <cell r="AE775" t="e">
            <v>#N/A</v>
          </cell>
          <cell r="AF775" t="str">
            <v/>
          </cell>
        </row>
        <row r="776">
          <cell r="Y776">
            <v>760</v>
          </cell>
          <cell r="Z776">
            <v>0.80581911467015743</v>
          </cell>
          <cell r="AA776">
            <v>0.14580467814289655</v>
          </cell>
          <cell r="AB776" t="str">
            <v/>
          </cell>
          <cell r="AC776" t="e">
            <v>#N/A</v>
          </cell>
          <cell r="AD776">
            <v>689</v>
          </cell>
          <cell r="AE776" t="e">
            <v>#N/A</v>
          </cell>
          <cell r="AF776" t="str">
            <v/>
          </cell>
        </row>
        <row r="777">
          <cell r="Y777">
            <v>761</v>
          </cell>
          <cell r="Z777">
            <v>0.62235006503760815</v>
          </cell>
          <cell r="AA777">
            <v>5.2679946015809179E-2</v>
          </cell>
          <cell r="AB777" t="str">
            <v/>
          </cell>
          <cell r="AC777" t="e">
            <v>#N/A</v>
          </cell>
          <cell r="AD777">
            <v>690</v>
          </cell>
          <cell r="AE777" t="e">
            <v>#N/A</v>
          </cell>
          <cell r="AF777" t="str">
            <v/>
          </cell>
        </row>
        <row r="778">
          <cell r="Y778">
            <v>762</v>
          </cell>
          <cell r="Z778">
            <v>0.74092692695558071</v>
          </cell>
          <cell r="AA778">
            <v>0.10922870000879327</v>
          </cell>
          <cell r="AB778" t="str">
            <v/>
          </cell>
          <cell r="AC778" t="e">
            <v>#N/A</v>
          </cell>
          <cell r="AD778">
            <v>691</v>
          </cell>
          <cell r="AE778" t="e">
            <v>#N/A</v>
          </cell>
          <cell r="AF778" t="str">
            <v/>
          </cell>
        </row>
        <row r="779">
          <cell r="Y779">
            <v>763</v>
          </cell>
          <cell r="Z779">
            <v>0.90160585753619671</v>
          </cell>
          <cell r="AA779">
            <v>0.21817759213434926</v>
          </cell>
          <cell r="AB779" t="str">
            <v/>
          </cell>
          <cell r="AC779" t="e">
            <v>#N/A</v>
          </cell>
          <cell r="AD779">
            <v>692</v>
          </cell>
          <cell r="AE779" t="e">
            <v>#N/A</v>
          </cell>
          <cell r="AF779" t="str">
            <v/>
          </cell>
        </row>
        <row r="780">
          <cell r="Y780">
            <v>764</v>
          </cell>
          <cell r="Z780">
            <v>0.29623811505734921</v>
          </cell>
          <cell r="AA780">
            <v>-9.0473950178781168E-2</v>
          </cell>
          <cell r="AB780" t="str">
            <v/>
          </cell>
          <cell r="AC780" t="e">
            <v>#N/A</v>
          </cell>
          <cell r="AD780">
            <v>693</v>
          </cell>
          <cell r="AE780" t="e">
            <v>#N/A</v>
          </cell>
          <cell r="AF780" t="str">
            <v/>
          </cell>
        </row>
        <row r="781">
          <cell r="Y781">
            <v>765</v>
          </cell>
          <cell r="Z781">
            <v>1.6689877957105637E-3</v>
          </cell>
          <cell r="AA781">
            <v>-0.49606626954296934</v>
          </cell>
          <cell r="AB781" t="str">
            <v/>
          </cell>
          <cell r="AC781" t="e">
            <v>#N/A</v>
          </cell>
          <cell r="AD781">
            <v>694</v>
          </cell>
          <cell r="AE781" t="e">
            <v>#N/A</v>
          </cell>
          <cell r="AF781" t="str">
            <v/>
          </cell>
        </row>
        <row r="782">
          <cell r="Y782">
            <v>766</v>
          </cell>
          <cell r="Z782">
            <v>0.89965394698083401</v>
          </cell>
          <cell r="AA782">
            <v>0.21628887161613602</v>
          </cell>
          <cell r="AB782" t="str">
            <v/>
          </cell>
          <cell r="AC782" t="e">
            <v>#N/A</v>
          </cell>
          <cell r="AD782">
            <v>695</v>
          </cell>
          <cell r="AE782" t="e">
            <v>#N/A</v>
          </cell>
          <cell r="AF782" t="str">
            <v/>
          </cell>
        </row>
        <row r="783">
          <cell r="Y783">
            <v>767</v>
          </cell>
          <cell r="Z783">
            <v>0.16530965082347393</v>
          </cell>
          <cell r="AA783">
            <v>-0.16444457303194532</v>
          </cell>
          <cell r="AB783" t="str">
            <v/>
          </cell>
          <cell r="AC783" t="e">
            <v>#N/A</v>
          </cell>
          <cell r="AD783">
            <v>696</v>
          </cell>
          <cell r="AE783" t="e">
            <v>#N/A</v>
          </cell>
          <cell r="AF783" t="str">
            <v/>
          </cell>
        </row>
        <row r="784">
          <cell r="Y784">
            <v>768</v>
          </cell>
          <cell r="Z784">
            <v>0.65726020000874996</v>
          </cell>
          <cell r="AA784">
            <v>6.8457014248044901E-2</v>
          </cell>
          <cell r="AB784" t="str">
            <v/>
          </cell>
          <cell r="AC784" t="e">
            <v>#N/A</v>
          </cell>
          <cell r="AD784">
            <v>697</v>
          </cell>
          <cell r="AE784" t="e">
            <v>#N/A</v>
          </cell>
          <cell r="AF784" t="str">
            <v/>
          </cell>
        </row>
        <row r="785">
          <cell r="Y785">
            <v>769</v>
          </cell>
          <cell r="Z785">
            <v>0.54447009973227978</v>
          </cell>
          <cell r="AA785">
            <v>1.888106129216988E-2</v>
          </cell>
          <cell r="AB785" t="str">
            <v/>
          </cell>
          <cell r="AC785" t="e">
            <v>#N/A</v>
          </cell>
          <cell r="AD785">
            <v>698</v>
          </cell>
          <cell r="AE785" t="e">
            <v>#N/A</v>
          </cell>
          <cell r="AF785" t="str">
            <v/>
          </cell>
        </row>
        <row r="786">
          <cell r="Y786">
            <v>770</v>
          </cell>
          <cell r="Z786">
            <v>7.5434094294905663E-2</v>
          </cell>
          <cell r="AA786">
            <v>-0.24280801892652784</v>
          </cell>
          <cell r="AB786" t="str">
            <v/>
          </cell>
          <cell r="AC786" t="e">
            <v>#N/A</v>
          </cell>
          <cell r="AD786">
            <v>699</v>
          </cell>
          <cell r="AE786" t="e">
            <v>#N/A</v>
          </cell>
          <cell r="AF786" t="str">
            <v/>
          </cell>
        </row>
        <row r="787">
          <cell r="Y787">
            <v>771</v>
          </cell>
          <cell r="Z787">
            <v>0.92359228245913982</v>
          </cell>
          <cell r="AA787">
            <v>0.24165617003238898</v>
          </cell>
          <cell r="AB787" t="str">
            <v/>
          </cell>
          <cell r="AC787" t="e">
            <v>#N/A</v>
          </cell>
          <cell r="AD787">
            <v>700</v>
          </cell>
          <cell r="AE787" t="e">
            <v>#N/A</v>
          </cell>
          <cell r="AF787" t="str">
            <v/>
          </cell>
        </row>
        <row r="788">
          <cell r="Y788">
            <v>772</v>
          </cell>
          <cell r="Z788">
            <v>0.83129107020795345</v>
          </cell>
          <cell r="AA788">
            <v>0.16214786382605348</v>
          </cell>
          <cell r="AB788" t="str">
            <v/>
          </cell>
          <cell r="AC788" t="e">
            <v>#N/A</v>
          </cell>
          <cell r="AD788">
            <v>701</v>
          </cell>
          <cell r="AE788" t="e">
            <v>#N/A</v>
          </cell>
          <cell r="AF788" t="str">
            <v/>
          </cell>
        </row>
        <row r="789">
          <cell r="Y789">
            <v>773</v>
          </cell>
          <cell r="Z789">
            <v>0.50886344723403454</v>
          </cell>
          <cell r="AA789">
            <v>3.7557295318909043E-3</v>
          </cell>
          <cell r="AB789" t="str">
            <v/>
          </cell>
          <cell r="AC789" t="e">
            <v>#N/A</v>
          </cell>
          <cell r="AD789">
            <v>702</v>
          </cell>
          <cell r="AE789" t="e">
            <v>#N/A</v>
          </cell>
          <cell r="AF789" t="str">
            <v/>
          </cell>
        </row>
        <row r="790">
          <cell r="Y790">
            <v>774</v>
          </cell>
          <cell r="Z790">
            <v>8.7565159425139427E-2</v>
          </cell>
          <cell r="AA790">
            <v>-0.22918928598827165</v>
          </cell>
          <cell r="AB790" t="str">
            <v/>
          </cell>
          <cell r="AC790" t="e">
            <v>#N/A</v>
          </cell>
          <cell r="AD790">
            <v>703</v>
          </cell>
          <cell r="AE790" t="e">
            <v>#N/A</v>
          </cell>
          <cell r="AF790" t="str">
            <v/>
          </cell>
        </row>
        <row r="791">
          <cell r="Y791">
            <v>775</v>
          </cell>
          <cell r="Z791">
            <v>0.73259846679866314</v>
          </cell>
          <cell r="AA791">
            <v>0.10491589856533885</v>
          </cell>
          <cell r="AB791" t="str">
            <v/>
          </cell>
          <cell r="AC791" t="e">
            <v>#N/A</v>
          </cell>
          <cell r="AD791">
            <v>704</v>
          </cell>
          <cell r="AE791" t="e">
            <v>#N/A</v>
          </cell>
          <cell r="AF791" t="str">
            <v/>
          </cell>
        </row>
        <row r="792">
          <cell r="Y792">
            <v>776</v>
          </cell>
          <cell r="Z792">
            <v>0.19176669977605343</v>
          </cell>
          <cell r="AA792">
            <v>-0.14729422248963633</v>
          </cell>
          <cell r="AB792" t="str">
            <v/>
          </cell>
          <cell r="AC792" t="e">
            <v>#N/A</v>
          </cell>
          <cell r="AD792">
            <v>705</v>
          </cell>
          <cell r="AE792" t="e">
            <v>#N/A</v>
          </cell>
          <cell r="AF792" t="str">
            <v/>
          </cell>
        </row>
        <row r="793">
          <cell r="Y793">
            <v>777</v>
          </cell>
          <cell r="Z793">
            <v>0.4907276313751936</v>
          </cell>
          <cell r="AA793">
            <v>-3.9290332850281124E-3</v>
          </cell>
          <cell r="AB793" t="str">
            <v/>
          </cell>
          <cell r="AC793" t="e">
            <v>#N/A</v>
          </cell>
          <cell r="AD793">
            <v>706</v>
          </cell>
          <cell r="AE793" t="e">
            <v>#N/A</v>
          </cell>
          <cell r="AF793" t="str">
            <v/>
          </cell>
        </row>
        <row r="794">
          <cell r="Y794">
            <v>778</v>
          </cell>
          <cell r="Z794">
            <v>0.69321114383637905</v>
          </cell>
          <cell r="AA794">
            <v>8.5356036976348443E-2</v>
          </cell>
          <cell r="AB794" t="str">
            <v/>
          </cell>
          <cell r="AC794" t="e">
            <v>#N/A</v>
          </cell>
          <cell r="AD794">
            <v>707</v>
          </cell>
          <cell r="AE794" t="e">
            <v>#N/A</v>
          </cell>
          <cell r="AF794" t="str">
            <v/>
          </cell>
        </row>
        <row r="795">
          <cell r="Y795">
            <v>779</v>
          </cell>
          <cell r="Z795">
            <v>0.45010866038501263</v>
          </cell>
          <cell r="AA795">
            <v>-2.1194241119575831E-2</v>
          </cell>
          <cell r="AB795" t="str">
            <v/>
          </cell>
          <cell r="AC795" t="e">
            <v>#N/A</v>
          </cell>
          <cell r="AD795">
            <v>708</v>
          </cell>
          <cell r="AE795" t="e">
            <v>#N/A</v>
          </cell>
          <cell r="AF795" t="str">
            <v/>
          </cell>
        </row>
        <row r="796">
          <cell r="Y796">
            <v>780</v>
          </cell>
          <cell r="Z796">
            <v>0.45526271127164364</v>
          </cell>
          <cell r="AA796">
            <v>-1.8994981370018316E-2</v>
          </cell>
          <cell r="AB796" t="str">
            <v/>
          </cell>
          <cell r="AC796" t="e">
            <v>#N/A</v>
          </cell>
          <cell r="AD796">
            <v>709</v>
          </cell>
          <cell r="AE796" t="e">
            <v>#N/A</v>
          </cell>
          <cell r="AF796" t="str">
            <v/>
          </cell>
        </row>
        <row r="797">
          <cell r="Y797">
            <v>781</v>
          </cell>
          <cell r="Z797">
            <v>3.11316829174757E-2</v>
          </cell>
          <cell r="AA797">
            <v>-0.31514375297619596</v>
          </cell>
          <cell r="AB797" t="str">
            <v/>
          </cell>
          <cell r="AC797" t="e">
            <v>#N/A</v>
          </cell>
          <cell r="AD797">
            <v>710</v>
          </cell>
          <cell r="AE797" t="e">
            <v>#N/A</v>
          </cell>
          <cell r="AF797" t="str">
            <v/>
          </cell>
        </row>
        <row r="798">
          <cell r="Y798">
            <v>782</v>
          </cell>
          <cell r="Z798">
            <v>0.23388663493096828</v>
          </cell>
          <cell r="AA798">
            <v>-0.12273445878450073</v>
          </cell>
          <cell r="AB798" t="str">
            <v/>
          </cell>
          <cell r="AC798" t="e">
            <v>#N/A</v>
          </cell>
          <cell r="AD798">
            <v>711</v>
          </cell>
          <cell r="AE798" t="e">
            <v>#N/A</v>
          </cell>
          <cell r="AF798" t="str">
            <v/>
          </cell>
        </row>
        <row r="799">
          <cell r="Y799">
            <v>783</v>
          </cell>
          <cell r="Z799">
            <v>0.38983593694865704</v>
          </cell>
          <cell r="AA799">
            <v>-4.7285816764255501E-2</v>
          </cell>
          <cell r="AB799" t="str">
            <v/>
          </cell>
          <cell r="AC799" t="e">
            <v>#N/A</v>
          </cell>
          <cell r="AD799">
            <v>712</v>
          </cell>
          <cell r="AE799" t="e">
            <v>#N/A</v>
          </cell>
          <cell r="AF799" t="str">
            <v/>
          </cell>
        </row>
        <row r="800">
          <cell r="Y800">
            <v>784</v>
          </cell>
          <cell r="Z800">
            <v>0.43735375069081783</v>
          </cell>
          <cell r="AA800">
            <v>-2.6653097665686659E-2</v>
          </cell>
          <cell r="AB800" t="str">
            <v/>
          </cell>
          <cell r="AC800" t="e">
            <v>#N/A</v>
          </cell>
          <cell r="AD800">
            <v>713</v>
          </cell>
          <cell r="AE800" t="e">
            <v>#N/A</v>
          </cell>
          <cell r="AF800" t="str">
            <v/>
          </cell>
        </row>
        <row r="801">
          <cell r="Y801">
            <v>785</v>
          </cell>
          <cell r="Z801">
            <v>0.1925069373100996</v>
          </cell>
          <cell r="AA801">
            <v>-0.14683628668360366</v>
          </cell>
          <cell r="AB801" t="str">
            <v/>
          </cell>
          <cell r="AC801" t="e">
            <v>#N/A</v>
          </cell>
          <cell r="AD801">
            <v>714</v>
          </cell>
          <cell r="AE801" t="e">
            <v>#N/A</v>
          </cell>
          <cell r="AF801" t="str">
            <v/>
          </cell>
        </row>
        <row r="802">
          <cell r="Y802">
            <v>786</v>
          </cell>
          <cell r="Z802">
            <v>0.87569118104875088</v>
          </cell>
          <cell r="AA802">
            <v>0.19501317853663239</v>
          </cell>
          <cell r="AB802" t="str">
            <v/>
          </cell>
          <cell r="AC802" t="e">
            <v>#N/A</v>
          </cell>
          <cell r="AD802">
            <v>715</v>
          </cell>
          <cell r="AE802" t="e">
            <v>#N/A</v>
          </cell>
          <cell r="AF802" t="str">
            <v/>
          </cell>
        </row>
        <row r="803">
          <cell r="Y803">
            <v>787</v>
          </cell>
          <cell r="Z803">
            <v>0.19447286240756512</v>
          </cell>
          <cell r="AA803">
            <v>-0.14562529664341667</v>
          </cell>
          <cell r="AB803" t="str">
            <v/>
          </cell>
          <cell r="AC803" t="e">
            <v>#N/A</v>
          </cell>
          <cell r="AD803">
            <v>716</v>
          </cell>
          <cell r="AE803" t="e">
            <v>#N/A</v>
          </cell>
          <cell r="AF803" t="str">
            <v/>
          </cell>
        </row>
        <row r="804">
          <cell r="Y804">
            <v>788</v>
          </cell>
          <cell r="Z804">
            <v>0.15222286246716976</v>
          </cell>
          <cell r="AA804">
            <v>-0.17358561629849059</v>
          </cell>
          <cell r="AB804" t="str">
            <v/>
          </cell>
          <cell r="AC804" t="e">
            <v>#N/A</v>
          </cell>
          <cell r="AD804">
            <v>717</v>
          </cell>
          <cell r="AE804" t="e">
            <v>#N/A</v>
          </cell>
          <cell r="AF804" t="str">
            <v/>
          </cell>
        </row>
        <row r="805">
          <cell r="Y805">
            <v>789</v>
          </cell>
          <cell r="Z805">
            <v>0.60356890968978405</v>
          </cell>
          <cell r="AA805">
            <v>4.4386782095521431E-2</v>
          </cell>
          <cell r="AB805" t="str">
            <v/>
          </cell>
          <cell r="AC805" t="e">
            <v>#N/A</v>
          </cell>
          <cell r="AD805">
            <v>718</v>
          </cell>
          <cell r="AE805" t="e">
            <v>#N/A</v>
          </cell>
          <cell r="AF805" t="str">
            <v/>
          </cell>
        </row>
        <row r="806">
          <cell r="Y806">
            <v>790</v>
          </cell>
          <cell r="Z806">
            <v>0.94329366646707058</v>
          </cell>
          <cell r="AA806">
            <v>0.26758236138781188</v>
          </cell>
          <cell r="AB806" t="str">
            <v/>
          </cell>
          <cell r="AC806" t="e">
            <v>#N/A</v>
          </cell>
          <cell r="AD806">
            <v>719</v>
          </cell>
          <cell r="AE806" t="e">
            <v>#N/A</v>
          </cell>
          <cell r="AF806" t="str">
            <v/>
          </cell>
        </row>
        <row r="807">
          <cell r="Y807">
            <v>791</v>
          </cell>
          <cell r="Z807">
            <v>0.92748836986720562</v>
          </cell>
          <cell r="AA807">
            <v>0.2463349854562612</v>
          </cell>
          <cell r="AB807" t="str">
            <v/>
          </cell>
          <cell r="AC807" t="e">
            <v>#N/A</v>
          </cell>
          <cell r="AD807">
            <v>720</v>
          </cell>
          <cell r="AE807" t="e">
            <v>#N/A</v>
          </cell>
          <cell r="AF807" t="str">
            <v/>
          </cell>
        </row>
        <row r="808">
          <cell r="Y808">
            <v>792</v>
          </cell>
          <cell r="Z808">
            <v>0.75602086447179317</v>
          </cell>
          <cell r="AA808">
            <v>0.11723301407892017</v>
          </cell>
          <cell r="AB808" t="str">
            <v/>
          </cell>
          <cell r="AC808" t="e">
            <v>#N/A</v>
          </cell>
          <cell r="AD808">
            <v>721</v>
          </cell>
          <cell r="AE808" t="e">
            <v>#N/A</v>
          </cell>
          <cell r="AF808" t="str">
            <v/>
          </cell>
        </row>
        <row r="809">
          <cell r="Y809">
            <v>793</v>
          </cell>
          <cell r="Z809">
            <v>0.4729891698807478</v>
          </cell>
          <cell r="AA809">
            <v>-1.1453179290353201E-2</v>
          </cell>
          <cell r="AB809" t="str">
            <v/>
          </cell>
          <cell r="AC809" t="e">
            <v>#N/A</v>
          </cell>
          <cell r="AD809">
            <v>722</v>
          </cell>
          <cell r="AE809" t="e">
            <v>#N/A</v>
          </cell>
          <cell r="AF809" t="str">
            <v/>
          </cell>
        </row>
        <row r="810">
          <cell r="Y810">
            <v>794</v>
          </cell>
          <cell r="Z810">
            <v>0.84766668640077114</v>
          </cell>
          <cell r="AA810">
            <v>0.17350634260785722</v>
          </cell>
          <cell r="AB810" t="str">
            <v/>
          </cell>
          <cell r="AC810" t="e">
            <v>#N/A</v>
          </cell>
          <cell r="AD810">
            <v>723</v>
          </cell>
          <cell r="AE810" t="e">
            <v>#N/A</v>
          </cell>
          <cell r="AF810" t="str">
            <v/>
          </cell>
        </row>
        <row r="811">
          <cell r="Y811">
            <v>795</v>
          </cell>
          <cell r="Z811">
            <v>0.88367463462054729</v>
          </cell>
          <cell r="AA811">
            <v>0.20174820243321584</v>
          </cell>
          <cell r="AB811" t="str">
            <v/>
          </cell>
          <cell r="AC811" t="e">
            <v>#N/A</v>
          </cell>
          <cell r="AD811">
            <v>724</v>
          </cell>
          <cell r="AE811" t="e">
            <v>#N/A</v>
          </cell>
          <cell r="AF811" t="str">
            <v/>
          </cell>
        </row>
        <row r="812">
          <cell r="Y812">
            <v>796</v>
          </cell>
          <cell r="Z812">
            <v>0.83397572301328182</v>
          </cell>
          <cell r="AA812">
            <v>0.16395922622736472</v>
          </cell>
          <cell r="AB812" t="str">
            <v/>
          </cell>
          <cell r="AC812" t="e">
            <v>#N/A</v>
          </cell>
          <cell r="AD812">
            <v>725</v>
          </cell>
          <cell r="AE812" t="e">
            <v>#N/A</v>
          </cell>
          <cell r="AF812" t="str">
            <v/>
          </cell>
        </row>
        <row r="813">
          <cell r="Y813">
            <v>797</v>
          </cell>
          <cell r="Z813">
            <v>7.1817217394709587E-2</v>
          </cell>
          <cell r="AA813">
            <v>-0.24718898500059455</v>
          </cell>
          <cell r="AB813" t="str">
            <v/>
          </cell>
          <cell r="AC813" t="e">
            <v>#N/A</v>
          </cell>
          <cell r="AD813">
            <v>726</v>
          </cell>
          <cell r="AE813" t="e">
            <v>#N/A</v>
          </cell>
          <cell r="AF813" t="str">
            <v/>
          </cell>
        </row>
        <row r="814">
          <cell r="Y814">
            <v>798</v>
          </cell>
          <cell r="Z814">
            <v>0.10757092200219631</v>
          </cell>
          <cell r="AA814">
            <v>-0.20952220962257637</v>
          </cell>
          <cell r="AB814" t="str">
            <v/>
          </cell>
          <cell r="AC814" t="e">
            <v>#N/A</v>
          </cell>
          <cell r="AD814">
            <v>727</v>
          </cell>
          <cell r="AE814" t="e">
            <v>#N/A</v>
          </cell>
          <cell r="AF814" t="str">
            <v/>
          </cell>
        </row>
        <row r="815">
          <cell r="Y815">
            <v>799</v>
          </cell>
          <cell r="Z815">
            <v>0.61844394914805889</v>
          </cell>
          <cell r="AA815">
            <v>5.0945320434821889E-2</v>
          </cell>
          <cell r="AB815" t="str">
            <v/>
          </cell>
          <cell r="AC815" t="e">
            <v>#N/A</v>
          </cell>
          <cell r="AD815">
            <v>728</v>
          </cell>
          <cell r="AE815" t="e">
            <v>#N/A</v>
          </cell>
          <cell r="AF815" t="str">
            <v/>
          </cell>
        </row>
        <row r="816">
          <cell r="Y816">
            <v>800</v>
          </cell>
          <cell r="Z816">
            <v>0.53125192783772945</v>
          </cell>
          <cell r="AA816">
            <v>1.3254936184161036E-2</v>
          </cell>
          <cell r="AB816" t="str">
            <v/>
          </cell>
          <cell r="AC816" t="e">
            <v>#N/A</v>
          </cell>
          <cell r="AD816">
            <v>729</v>
          </cell>
          <cell r="AE816" t="e">
            <v>#N/A</v>
          </cell>
          <cell r="AF816" t="str">
            <v/>
          </cell>
        </row>
        <row r="817">
          <cell r="Y817">
            <v>801</v>
          </cell>
          <cell r="Z817">
            <v>0.18465235643088818</v>
          </cell>
          <cell r="AA817">
            <v>-0.15175192661412015</v>
          </cell>
          <cell r="AB817" t="str">
            <v/>
          </cell>
          <cell r="AC817" t="e">
            <v>#N/A</v>
          </cell>
          <cell r="AD817">
            <v>730</v>
          </cell>
          <cell r="AE817" t="e">
            <v>#N/A</v>
          </cell>
          <cell r="AF817" t="str">
            <v/>
          </cell>
        </row>
        <row r="818">
          <cell r="Y818">
            <v>802</v>
          </cell>
          <cell r="Z818">
            <v>0.96478951536118984</v>
          </cell>
          <cell r="AA818">
            <v>0.30580949269681656</v>
          </cell>
          <cell r="AB818" t="str">
            <v/>
          </cell>
          <cell r="AC818" t="e">
            <v>#N/A</v>
          </cell>
          <cell r="AD818">
            <v>731</v>
          </cell>
          <cell r="AE818" t="e">
            <v>#N/A</v>
          </cell>
          <cell r="AF818" t="str">
            <v/>
          </cell>
        </row>
        <row r="819">
          <cell r="Y819">
            <v>803</v>
          </cell>
          <cell r="Z819">
            <v>0.69587559811770916</v>
          </cell>
          <cell r="AA819">
            <v>8.6640949982431215E-2</v>
          </cell>
          <cell r="AB819" t="str">
            <v/>
          </cell>
          <cell r="AC819" t="e">
            <v>#N/A</v>
          </cell>
          <cell r="AD819">
            <v>732</v>
          </cell>
          <cell r="AE819" t="e">
            <v>#N/A</v>
          </cell>
          <cell r="AF819" t="str">
            <v/>
          </cell>
        </row>
        <row r="820">
          <cell r="Y820">
            <v>804</v>
          </cell>
          <cell r="Z820">
            <v>2.755986712872982E-2</v>
          </cell>
          <cell r="AA820">
            <v>-0.32418954442673487</v>
          </cell>
          <cell r="AB820" t="str">
            <v/>
          </cell>
          <cell r="AC820" t="e">
            <v>#N/A</v>
          </cell>
          <cell r="AD820">
            <v>733</v>
          </cell>
          <cell r="AE820" t="e">
            <v>#N/A</v>
          </cell>
          <cell r="AF820" t="str">
            <v/>
          </cell>
        </row>
        <row r="821">
          <cell r="Y821">
            <v>805</v>
          </cell>
          <cell r="Z821">
            <v>2.9565570876002312E-2</v>
          </cell>
          <cell r="AA821">
            <v>-0.31899789911172594</v>
          </cell>
          <cell r="AB821" t="str">
            <v/>
          </cell>
          <cell r="AC821" t="e">
            <v>#N/A</v>
          </cell>
          <cell r="AD821">
            <v>734</v>
          </cell>
          <cell r="AE821" t="e">
            <v>#N/A</v>
          </cell>
          <cell r="AF821" t="str">
            <v/>
          </cell>
        </row>
        <row r="822">
          <cell r="Y822">
            <v>806</v>
          </cell>
          <cell r="Z822">
            <v>9.3112444505095482E-2</v>
          </cell>
          <cell r="AA822">
            <v>-0.22342998733615332</v>
          </cell>
          <cell r="AB822" t="str">
            <v/>
          </cell>
          <cell r="AC822" t="e">
            <v>#N/A</v>
          </cell>
          <cell r="AD822">
            <v>735</v>
          </cell>
          <cell r="AE822" t="e">
            <v>#N/A</v>
          </cell>
          <cell r="AF822" t="str">
            <v/>
          </cell>
        </row>
        <row r="823">
          <cell r="Y823">
            <v>807</v>
          </cell>
          <cell r="Z823">
            <v>0.65551273338496685</v>
          </cell>
          <cell r="AA823">
            <v>6.765410639636274E-2</v>
          </cell>
          <cell r="AB823" t="str">
            <v/>
          </cell>
          <cell r="AC823" t="e">
            <v>#N/A</v>
          </cell>
          <cell r="AD823">
            <v>736</v>
          </cell>
          <cell r="AE823" t="e">
            <v>#N/A</v>
          </cell>
          <cell r="AF823" t="str">
            <v/>
          </cell>
        </row>
        <row r="824">
          <cell r="Y824">
            <v>808</v>
          </cell>
          <cell r="Z824">
            <v>0.85551520250737667</v>
          </cell>
          <cell r="AA824">
            <v>0.17923773742266716</v>
          </cell>
          <cell r="AB824" t="str">
            <v/>
          </cell>
          <cell r="AC824" t="e">
            <v>#N/A</v>
          </cell>
          <cell r="AD824">
            <v>737</v>
          </cell>
          <cell r="AE824" t="e">
            <v>#N/A</v>
          </cell>
          <cell r="AF824" t="str">
            <v/>
          </cell>
        </row>
        <row r="825">
          <cell r="Y825">
            <v>809</v>
          </cell>
          <cell r="Z825">
            <v>0.14677139930427074</v>
          </cell>
          <cell r="AA825">
            <v>-0.17754686007865383</v>
          </cell>
          <cell r="AB825" t="str">
            <v/>
          </cell>
          <cell r="AC825" t="e">
            <v>#N/A</v>
          </cell>
          <cell r="AD825">
            <v>738</v>
          </cell>
          <cell r="AE825" t="e">
            <v>#N/A</v>
          </cell>
          <cell r="AF825" t="str">
            <v/>
          </cell>
        </row>
        <row r="826">
          <cell r="Y826">
            <v>810</v>
          </cell>
          <cell r="Z826">
            <v>0.90107089839875698</v>
          </cell>
          <cell r="AA826">
            <v>0.21765724579221821</v>
          </cell>
          <cell r="AB826" t="str">
            <v/>
          </cell>
          <cell r="AC826" t="e">
            <v>#N/A</v>
          </cell>
          <cell r="AD826">
            <v>739</v>
          </cell>
          <cell r="AE826" t="e">
            <v>#N/A</v>
          </cell>
          <cell r="AF826" t="str">
            <v/>
          </cell>
        </row>
        <row r="827">
          <cell r="Y827">
            <v>811</v>
          </cell>
          <cell r="Z827">
            <v>0.69790924899280071</v>
          </cell>
          <cell r="AA827">
            <v>8.7625038878418493E-2</v>
          </cell>
          <cell r="AB827" t="str">
            <v/>
          </cell>
          <cell r="AC827" t="e">
            <v>#N/A</v>
          </cell>
          <cell r="AD827">
            <v>740</v>
          </cell>
          <cell r="AE827" t="e">
            <v>#N/A</v>
          </cell>
          <cell r="AF827" t="str">
            <v/>
          </cell>
        </row>
        <row r="828">
          <cell r="Y828">
            <v>812</v>
          </cell>
          <cell r="Z828">
            <v>0.56274824403226376</v>
          </cell>
          <cell r="AA828">
            <v>2.6696854061123598E-2</v>
          </cell>
          <cell r="AB828" t="str">
            <v/>
          </cell>
          <cell r="AC828" t="e">
            <v>#N/A</v>
          </cell>
          <cell r="AD828">
            <v>741</v>
          </cell>
          <cell r="AE828" t="e">
            <v>#N/A</v>
          </cell>
          <cell r="AF828" t="str">
            <v/>
          </cell>
        </row>
        <row r="829">
          <cell r="Y829">
            <v>813</v>
          </cell>
          <cell r="Z829">
            <v>0.75604980997741222</v>
          </cell>
          <cell r="AA829">
            <v>0.11724861334856147</v>
          </cell>
          <cell r="AB829" t="str">
            <v/>
          </cell>
          <cell r="AC829" t="e">
            <v>#N/A</v>
          </cell>
          <cell r="AD829">
            <v>742</v>
          </cell>
          <cell r="AE829" t="e">
            <v>#N/A</v>
          </cell>
          <cell r="AF829" t="str">
            <v/>
          </cell>
        </row>
        <row r="830">
          <cell r="Y830">
            <v>814</v>
          </cell>
          <cell r="Z830">
            <v>0.92842165194451809</v>
          </cell>
          <cell r="AA830">
            <v>0.24748421374078361</v>
          </cell>
          <cell r="AB830" t="str">
            <v/>
          </cell>
          <cell r="AC830" t="e">
            <v>#N/A</v>
          </cell>
          <cell r="AD830">
            <v>743</v>
          </cell>
          <cell r="AE830" t="e">
            <v>#N/A</v>
          </cell>
          <cell r="AF830" t="str">
            <v/>
          </cell>
        </row>
        <row r="831">
          <cell r="Y831">
            <v>815</v>
          </cell>
          <cell r="Z831">
            <v>0.5889266561716795</v>
          </cell>
          <cell r="AA831">
            <v>3.799556682427753E-2</v>
          </cell>
          <cell r="AB831" t="str">
            <v/>
          </cell>
          <cell r="AC831" t="e">
            <v>#N/A</v>
          </cell>
          <cell r="AD831">
            <v>744</v>
          </cell>
          <cell r="AE831" t="e">
            <v>#N/A</v>
          </cell>
          <cell r="AF831" t="str">
            <v/>
          </cell>
        </row>
        <row r="832">
          <cell r="Y832">
            <v>816</v>
          </cell>
          <cell r="Z832">
            <v>0.21776332519948483</v>
          </cell>
          <cell r="AA832">
            <v>-0.13180507674162023</v>
          </cell>
          <cell r="AB832" t="str">
            <v/>
          </cell>
          <cell r="AC832" t="e">
            <v>#N/A</v>
          </cell>
          <cell r="AD832">
            <v>745</v>
          </cell>
          <cell r="AE832" t="e">
            <v>#N/A</v>
          </cell>
          <cell r="AF832" t="str">
            <v/>
          </cell>
        </row>
        <row r="833">
          <cell r="Y833">
            <v>817</v>
          </cell>
          <cell r="Z833">
            <v>8.29180758446455E-2</v>
          </cell>
          <cell r="AA833">
            <v>-0.23422736515860826</v>
          </cell>
          <cell r="AB833" t="str">
            <v/>
          </cell>
          <cell r="AC833" t="e">
            <v>#N/A</v>
          </cell>
          <cell r="AD833">
            <v>746</v>
          </cell>
          <cell r="AE833" t="e">
            <v>#N/A</v>
          </cell>
          <cell r="AF833" t="str">
            <v/>
          </cell>
        </row>
        <row r="834">
          <cell r="Y834">
            <v>818</v>
          </cell>
          <cell r="Z834">
            <v>0.83638144098222256</v>
          </cell>
          <cell r="AA834">
            <v>0.16559853468086211</v>
          </cell>
          <cell r="AB834" t="str">
            <v/>
          </cell>
          <cell r="AC834" t="e">
            <v>#N/A</v>
          </cell>
          <cell r="AD834">
            <v>747</v>
          </cell>
          <cell r="AE834" t="e">
            <v>#N/A</v>
          </cell>
          <cell r="AF834" t="str">
            <v/>
          </cell>
        </row>
        <row r="835">
          <cell r="Y835">
            <v>819</v>
          </cell>
          <cell r="Z835">
            <v>0.28278095833957195</v>
          </cell>
          <cell r="AA835">
            <v>-9.7125110808321591E-2</v>
          </cell>
          <cell r="AB835" t="str">
            <v/>
          </cell>
          <cell r="AC835" t="e">
            <v>#N/A</v>
          </cell>
          <cell r="AD835">
            <v>748</v>
          </cell>
          <cell r="AE835" t="e">
            <v>#N/A</v>
          </cell>
          <cell r="AF835" t="str">
            <v/>
          </cell>
        </row>
        <row r="836">
          <cell r="Y836">
            <v>820</v>
          </cell>
          <cell r="Z836">
            <v>0.25954817794263363</v>
          </cell>
          <cell r="AA836">
            <v>-0.10898077720008548</v>
          </cell>
          <cell r="AB836" t="str">
            <v/>
          </cell>
          <cell r="AC836" t="e">
            <v>#N/A</v>
          </cell>
          <cell r="AD836">
            <v>749</v>
          </cell>
          <cell r="AE836" t="e">
            <v>#N/A</v>
          </cell>
          <cell r="AF836" t="str">
            <v/>
          </cell>
        </row>
        <row r="837">
          <cell r="Y837">
            <v>821</v>
          </cell>
          <cell r="Z837">
            <v>0.15355264954268932</v>
          </cell>
          <cell r="AA837">
            <v>-0.17263371600864369</v>
          </cell>
          <cell r="AB837" t="str">
            <v/>
          </cell>
          <cell r="AC837" t="e">
            <v>#N/A</v>
          </cell>
          <cell r="AD837">
            <v>750</v>
          </cell>
          <cell r="AE837" t="e">
            <v>#N/A</v>
          </cell>
          <cell r="AF837" t="str">
            <v/>
          </cell>
        </row>
        <row r="838">
          <cell r="Y838">
            <v>822</v>
          </cell>
          <cell r="Z838">
            <v>0.49161133728921413</v>
          </cell>
          <cell r="AA838">
            <v>-3.5545174619774386E-3</v>
          </cell>
          <cell r="AB838" t="str">
            <v/>
          </cell>
          <cell r="AC838" t="e">
            <v>#N/A</v>
          </cell>
          <cell r="AD838">
            <v>751</v>
          </cell>
          <cell r="AE838" t="e">
            <v>#N/A</v>
          </cell>
          <cell r="AF838" t="str">
            <v/>
          </cell>
        </row>
        <row r="839">
          <cell r="Y839">
            <v>823</v>
          </cell>
          <cell r="Z839">
            <v>0.76383952610194683</v>
          </cell>
          <cell r="AA839">
            <v>0.1214837988500642</v>
          </cell>
          <cell r="AB839" t="str">
            <v/>
          </cell>
          <cell r="AC839" t="e">
            <v>#N/A</v>
          </cell>
          <cell r="AD839">
            <v>752</v>
          </cell>
          <cell r="AE839" t="e">
            <v>#N/A</v>
          </cell>
          <cell r="AF839" t="str">
            <v/>
          </cell>
        </row>
        <row r="840">
          <cell r="Y840">
            <v>824</v>
          </cell>
          <cell r="Z840">
            <v>0.19093330763280392</v>
          </cell>
          <cell r="AA840">
            <v>-0.147811084085748</v>
          </cell>
          <cell r="AB840" t="str">
            <v/>
          </cell>
          <cell r="AC840" t="e">
            <v>#N/A</v>
          </cell>
          <cell r="AD840">
            <v>753</v>
          </cell>
          <cell r="AE840" t="e">
            <v>#N/A</v>
          </cell>
          <cell r="AF840" t="str">
            <v/>
          </cell>
        </row>
        <row r="841">
          <cell r="Y841">
            <v>825</v>
          </cell>
          <cell r="Z841">
            <v>0.55846103839576244</v>
          </cell>
          <cell r="AA841">
            <v>2.4859120048511516E-2</v>
          </cell>
          <cell r="AB841" t="str">
            <v/>
          </cell>
          <cell r="AC841" t="e">
            <v>#N/A</v>
          </cell>
          <cell r="AD841">
            <v>754</v>
          </cell>
          <cell r="AE841" t="e">
            <v>#N/A</v>
          </cell>
          <cell r="AF841" t="str">
            <v/>
          </cell>
        </row>
        <row r="842">
          <cell r="Y842">
            <v>826</v>
          </cell>
          <cell r="Z842">
            <v>0.64395112358033657</v>
          </cell>
          <cell r="AA842">
            <v>6.2379180899124927E-2</v>
          </cell>
          <cell r="AB842" t="str">
            <v/>
          </cell>
          <cell r="AC842" t="e">
            <v>#N/A</v>
          </cell>
          <cell r="AD842">
            <v>755</v>
          </cell>
          <cell r="AE842" t="e">
            <v>#N/A</v>
          </cell>
          <cell r="AF842" t="str">
            <v/>
          </cell>
        </row>
        <row r="843">
          <cell r="Y843">
            <v>827</v>
          </cell>
          <cell r="Z843">
            <v>0.60716797225177288</v>
          </cell>
          <cell r="AA843">
            <v>4.5967150625602637E-2</v>
          </cell>
          <cell r="AB843" t="str">
            <v/>
          </cell>
          <cell r="AC843" t="e">
            <v>#N/A</v>
          </cell>
          <cell r="AD843">
            <v>756</v>
          </cell>
          <cell r="AE843" t="e">
            <v>#N/A</v>
          </cell>
          <cell r="AF843" t="str">
            <v/>
          </cell>
        </row>
        <row r="844">
          <cell r="Y844">
            <v>828</v>
          </cell>
          <cell r="Z844">
            <v>0.61570136807858944</v>
          </cell>
          <cell r="AA844">
            <v>4.9730605569284728E-2</v>
          </cell>
          <cell r="AB844" t="str">
            <v/>
          </cell>
          <cell r="AC844" t="e">
            <v>#N/A</v>
          </cell>
          <cell r="AD844">
            <v>757</v>
          </cell>
          <cell r="AE844" t="e">
            <v>#N/A</v>
          </cell>
          <cell r="AF844" t="str">
            <v/>
          </cell>
        </row>
        <row r="845">
          <cell r="Y845">
            <v>829</v>
          </cell>
          <cell r="Z845">
            <v>0.68490367941558361</v>
          </cell>
          <cell r="AA845">
            <v>8.1380870558063256E-2</v>
          </cell>
          <cell r="AB845" t="str">
            <v/>
          </cell>
          <cell r="AC845" t="e">
            <v>#N/A</v>
          </cell>
          <cell r="AD845">
            <v>758</v>
          </cell>
          <cell r="AE845" t="e">
            <v>#N/A</v>
          </cell>
          <cell r="AF845" t="str">
            <v/>
          </cell>
        </row>
        <row r="846">
          <cell r="Y846">
            <v>830</v>
          </cell>
          <cell r="Z846">
            <v>0.69790366850793362</v>
          </cell>
          <cell r="AA846">
            <v>8.7622334414794931E-2</v>
          </cell>
          <cell r="AB846" t="str">
            <v/>
          </cell>
          <cell r="AC846" t="e">
            <v>#N/A</v>
          </cell>
          <cell r="AD846">
            <v>759</v>
          </cell>
          <cell r="AE846" t="e">
            <v>#N/A</v>
          </cell>
          <cell r="AF846" t="str">
            <v/>
          </cell>
        </row>
        <row r="847">
          <cell r="Y847">
            <v>831</v>
          </cell>
          <cell r="Z847">
            <v>0.75782702676951885</v>
          </cell>
          <cell r="AA847">
            <v>0.11820831154269285</v>
          </cell>
          <cell r="AB847" t="str">
            <v/>
          </cell>
          <cell r="AC847" t="e">
            <v>#N/A</v>
          </cell>
          <cell r="AD847">
            <v>760</v>
          </cell>
          <cell r="AE847" t="e">
            <v>#N/A</v>
          </cell>
          <cell r="AF847" t="str">
            <v/>
          </cell>
        </row>
        <row r="848">
          <cell r="Y848">
            <v>832</v>
          </cell>
          <cell r="Z848">
            <v>0.11944653652608395</v>
          </cell>
          <cell r="AA848">
            <v>-0.19907744708023281</v>
          </cell>
          <cell r="AB848" t="str">
            <v/>
          </cell>
          <cell r="AC848" t="e">
            <v>#N/A</v>
          </cell>
          <cell r="AD848">
            <v>761</v>
          </cell>
          <cell r="AE848" t="e">
            <v>#N/A</v>
          </cell>
          <cell r="AF848" t="str">
            <v/>
          </cell>
        </row>
        <row r="849">
          <cell r="Y849">
            <v>833</v>
          </cell>
          <cell r="Z849">
            <v>0.91806581430137157</v>
          </cell>
          <cell r="AA849">
            <v>0.23532110550299778</v>
          </cell>
          <cell r="AB849" t="str">
            <v/>
          </cell>
          <cell r="AC849" t="e">
            <v>#N/A</v>
          </cell>
          <cell r="AD849">
            <v>762</v>
          </cell>
          <cell r="AE849" t="e">
            <v>#N/A</v>
          </cell>
          <cell r="AF849" t="str">
            <v/>
          </cell>
        </row>
        <row r="850">
          <cell r="Y850">
            <v>834</v>
          </cell>
          <cell r="Z850">
            <v>7.7869301661849022E-2</v>
          </cell>
          <cell r="AA850">
            <v>-0.23994781832852563</v>
          </cell>
          <cell r="AB850" t="str">
            <v/>
          </cell>
          <cell r="AC850" t="e">
            <v>#N/A</v>
          </cell>
          <cell r="AD850">
            <v>763</v>
          </cell>
          <cell r="AE850" t="e">
            <v>#N/A</v>
          </cell>
          <cell r="AF850" t="str">
            <v/>
          </cell>
        </row>
        <row r="851">
          <cell r="Y851">
            <v>835</v>
          </cell>
          <cell r="Z851">
            <v>2.8919411823153496E-2</v>
          </cell>
          <cell r="AA851">
            <v>-0.32063758399689768</v>
          </cell>
          <cell r="AB851" t="str">
            <v/>
          </cell>
          <cell r="AC851" t="e">
            <v>#N/A</v>
          </cell>
          <cell r="AD851">
            <v>764</v>
          </cell>
          <cell r="AE851" t="e">
            <v>#N/A</v>
          </cell>
          <cell r="AF851" t="str">
            <v/>
          </cell>
        </row>
        <row r="852">
          <cell r="Y852">
            <v>836</v>
          </cell>
          <cell r="Z852">
            <v>0.49418388865888119</v>
          </cell>
          <cell r="AA852">
            <v>-2.4643591948055334E-3</v>
          </cell>
          <cell r="AB852" t="str">
            <v/>
          </cell>
          <cell r="AC852" t="e">
            <v>#N/A</v>
          </cell>
          <cell r="AD852">
            <v>765</v>
          </cell>
          <cell r="AE852" t="e">
            <v>#N/A</v>
          </cell>
          <cell r="AF852" t="str">
            <v/>
          </cell>
        </row>
        <row r="853">
          <cell r="Y853">
            <v>837</v>
          </cell>
          <cell r="Z853">
            <v>0.31097936443984509</v>
          </cell>
          <cell r="AA853">
            <v>-8.3345093952970781E-2</v>
          </cell>
          <cell r="AB853" t="str">
            <v/>
          </cell>
          <cell r="AC853" t="e">
            <v>#N/A</v>
          </cell>
          <cell r="AD853">
            <v>766</v>
          </cell>
          <cell r="AE853" t="e">
            <v>#N/A</v>
          </cell>
          <cell r="AF853" t="str">
            <v/>
          </cell>
        </row>
        <row r="854">
          <cell r="Y854">
            <v>838</v>
          </cell>
          <cell r="Z854">
            <v>0.68713018856942654</v>
          </cell>
          <cell r="AA854">
            <v>8.2441769217811448E-2</v>
          </cell>
          <cell r="AB854" t="str">
            <v/>
          </cell>
          <cell r="AC854" t="e">
            <v>#N/A</v>
          </cell>
          <cell r="AD854">
            <v>767</v>
          </cell>
          <cell r="AE854" t="e">
            <v>#N/A</v>
          </cell>
          <cell r="AF854" t="str">
            <v/>
          </cell>
        </row>
        <row r="855">
          <cell r="Y855">
            <v>839</v>
          </cell>
          <cell r="Z855">
            <v>0.81838671676814556</v>
          </cell>
          <cell r="AA855">
            <v>0.15368861408503676</v>
          </cell>
          <cell r="AB855" t="str">
            <v/>
          </cell>
          <cell r="AC855" t="e">
            <v>#N/A</v>
          </cell>
          <cell r="AD855">
            <v>768</v>
          </cell>
          <cell r="AE855" t="e">
            <v>#N/A</v>
          </cell>
          <cell r="AF855" t="str">
            <v/>
          </cell>
        </row>
        <row r="856">
          <cell r="Y856">
            <v>840</v>
          </cell>
          <cell r="Z856">
            <v>0.80670877359807491</v>
          </cell>
          <cell r="AA856">
            <v>0.14635227200836837</v>
          </cell>
          <cell r="AB856" t="str">
            <v/>
          </cell>
          <cell r="AC856" t="e">
            <v>#N/A</v>
          </cell>
          <cell r="AD856">
            <v>769</v>
          </cell>
          <cell r="AE856" t="e">
            <v>#N/A</v>
          </cell>
          <cell r="AF856" t="str">
            <v/>
          </cell>
        </row>
        <row r="857">
          <cell r="Y857">
            <v>841</v>
          </cell>
          <cell r="Z857">
            <v>0.22319480590522289</v>
          </cell>
          <cell r="AA857">
            <v>-0.12870817931582554</v>
          </cell>
          <cell r="AB857" t="str">
            <v/>
          </cell>
          <cell r="AC857" t="e">
            <v>#N/A</v>
          </cell>
          <cell r="AD857">
            <v>770</v>
          </cell>
          <cell r="AE857" t="e">
            <v>#N/A</v>
          </cell>
          <cell r="AF857" t="str">
            <v/>
          </cell>
        </row>
        <row r="858">
          <cell r="Y858">
            <v>842</v>
          </cell>
          <cell r="Z858">
            <v>0.96058470569550991</v>
          </cell>
          <cell r="AA858">
            <v>0.29707373864598935</v>
          </cell>
          <cell r="AB858" t="str">
            <v/>
          </cell>
          <cell r="AC858" t="e">
            <v>#N/A</v>
          </cell>
          <cell r="AD858">
            <v>771</v>
          </cell>
          <cell r="AE858" t="e">
            <v>#N/A</v>
          </cell>
          <cell r="AF858" t="str">
            <v/>
          </cell>
        </row>
        <row r="859">
          <cell r="Y859">
            <v>843</v>
          </cell>
          <cell r="Z859">
            <v>0.5445562731474638</v>
          </cell>
          <cell r="AA859">
            <v>1.8917801694295761E-2</v>
          </cell>
          <cell r="AB859" t="str">
            <v/>
          </cell>
          <cell r="AC859" t="e">
            <v>#N/A</v>
          </cell>
          <cell r="AD859">
            <v>772</v>
          </cell>
          <cell r="AE859" t="e">
            <v>#N/A</v>
          </cell>
          <cell r="AF859" t="str">
            <v/>
          </cell>
        </row>
        <row r="860">
          <cell r="Y860">
            <v>844</v>
          </cell>
          <cell r="Z860">
            <v>0.81070618890225887</v>
          </cell>
          <cell r="AA860">
            <v>0.14883193988767107</v>
          </cell>
          <cell r="AB860" t="str">
            <v/>
          </cell>
          <cell r="AC860" t="e">
            <v>#N/A</v>
          </cell>
          <cell r="AD860">
            <v>773</v>
          </cell>
          <cell r="AE860" t="e">
            <v>#N/A</v>
          </cell>
          <cell r="AF860" t="str">
            <v/>
          </cell>
        </row>
        <row r="861">
          <cell r="Y861">
            <v>845</v>
          </cell>
          <cell r="Z861">
            <v>0.42820304445922375</v>
          </cell>
          <cell r="AA861">
            <v>-3.0586290399535004E-2</v>
          </cell>
          <cell r="AB861" t="str">
            <v/>
          </cell>
          <cell r="AC861" t="e">
            <v>#N/A</v>
          </cell>
          <cell r="AD861">
            <v>774</v>
          </cell>
          <cell r="AE861" t="e">
            <v>#N/A</v>
          </cell>
          <cell r="AF861" t="str">
            <v/>
          </cell>
        </row>
        <row r="862">
          <cell r="Y862">
            <v>846</v>
          </cell>
          <cell r="Z862">
            <v>1.1231815442442894E-2</v>
          </cell>
          <cell r="AA862">
            <v>-0.38580204506999732</v>
          </cell>
          <cell r="AB862" t="str">
            <v/>
          </cell>
          <cell r="AC862" t="e">
            <v>#N/A</v>
          </cell>
          <cell r="AD862">
            <v>775</v>
          </cell>
          <cell r="AE862" t="e">
            <v>#N/A</v>
          </cell>
          <cell r="AF862" t="str">
            <v/>
          </cell>
        </row>
        <row r="863">
          <cell r="Y863">
            <v>847</v>
          </cell>
          <cell r="Z863">
            <v>0.30043802969157696</v>
          </cell>
          <cell r="AA863">
            <v>-8.8426986910660893E-2</v>
          </cell>
          <cell r="AB863" t="str">
            <v/>
          </cell>
          <cell r="AC863" t="e">
            <v>#N/A</v>
          </cell>
          <cell r="AD863">
            <v>776</v>
          </cell>
          <cell r="AE863" t="e">
            <v>#N/A</v>
          </cell>
          <cell r="AF863" t="str">
            <v/>
          </cell>
        </row>
        <row r="864">
          <cell r="Y864">
            <v>848</v>
          </cell>
          <cell r="Z864">
            <v>0.20261015556752682</v>
          </cell>
          <cell r="AA864">
            <v>-0.14069016420391911</v>
          </cell>
          <cell r="AB864" t="str">
            <v/>
          </cell>
          <cell r="AC864" t="e">
            <v>#N/A</v>
          </cell>
          <cell r="AD864">
            <v>777</v>
          </cell>
          <cell r="AE864" t="e">
            <v>#N/A</v>
          </cell>
          <cell r="AF864" t="str">
            <v/>
          </cell>
        </row>
        <row r="865">
          <cell r="Y865">
            <v>849</v>
          </cell>
          <cell r="Z865">
            <v>0.1896072905510664</v>
          </cell>
          <cell r="AA865">
            <v>-0.14863632838170213</v>
          </cell>
          <cell r="AB865" t="str">
            <v/>
          </cell>
          <cell r="AC865" t="e">
            <v>#N/A</v>
          </cell>
          <cell r="AD865">
            <v>778</v>
          </cell>
          <cell r="AE865" t="e">
            <v>#N/A</v>
          </cell>
          <cell r="AF865" t="str">
            <v/>
          </cell>
        </row>
        <row r="866">
          <cell r="Y866">
            <v>850</v>
          </cell>
          <cell r="Z866">
            <v>0.37040544115006924</v>
          </cell>
          <cell r="AA866">
            <v>-5.5911977140401262E-2</v>
          </cell>
          <cell r="AB866" t="str">
            <v/>
          </cell>
          <cell r="AC866" t="e">
            <v>#N/A</v>
          </cell>
          <cell r="AD866">
            <v>779</v>
          </cell>
          <cell r="AE866" t="e">
            <v>#N/A</v>
          </cell>
          <cell r="AF866" t="str">
            <v/>
          </cell>
        </row>
        <row r="867">
          <cell r="Y867">
            <v>851</v>
          </cell>
          <cell r="Z867">
            <v>0.22677142731845379</v>
          </cell>
          <cell r="AA867">
            <v>-0.1266922822940893</v>
          </cell>
          <cell r="AB867" t="str">
            <v/>
          </cell>
          <cell r="AC867" t="e">
            <v>#N/A</v>
          </cell>
          <cell r="AD867">
            <v>780</v>
          </cell>
          <cell r="AE867" t="e">
            <v>#N/A</v>
          </cell>
          <cell r="AF867" t="str">
            <v/>
          </cell>
        </row>
        <row r="868">
          <cell r="Y868">
            <v>852</v>
          </cell>
          <cell r="Z868">
            <v>0.2212130930274725</v>
          </cell>
          <cell r="AA868">
            <v>-0.12983304927155992</v>
          </cell>
          <cell r="AB868" t="str">
            <v/>
          </cell>
          <cell r="AC868" t="e">
            <v>#N/A</v>
          </cell>
          <cell r="AD868">
            <v>781</v>
          </cell>
          <cell r="AE868" t="e">
            <v>#N/A</v>
          </cell>
          <cell r="AF868" t="str">
            <v/>
          </cell>
        </row>
        <row r="869">
          <cell r="Y869">
            <v>853</v>
          </cell>
          <cell r="Z869">
            <v>0.8060449343174696</v>
          </cell>
          <cell r="AA869">
            <v>0.14594352729564991</v>
          </cell>
          <cell r="AB869" t="str">
            <v/>
          </cell>
          <cell r="AC869" t="e">
            <v>#N/A</v>
          </cell>
          <cell r="AD869">
            <v>782</v>
          </cell>
          <cell r="AE869" t="e">
            <v>#N/A</v>
          </cell>
          <cell r="AF869" t="str">
            <v/>
          </cell>
        </row>
        <row r="870">
          <cell r="Y870">
            <v>854</v>
          </cell>
          <cell r="Z870">
            <v>0.82175884209573269</v>
          </cell>
          <cell r="AA870">
            <v>0.15586143594241941</v>
          </cell>
          <cell r="AB870" t="str">
            <v/>
          </cell>
          <cell r="AC870" t="e">
            <v>#N/A</v>
          </cell>
          <cell r="AD870">
            <v>783</v>
          </cell>
          <cell r="AE870" t="e">
            <v>#N/A</v>
          </cell>
          <cell r="AF870" t="str">
            <v/>
          </cell>
        </row>
        <row r="871">
          <cell r="Y871">
            <v>855</v>
          </cell>
          <cell r="Z871">
            <v>0.10382227413356304</v>
          </cell>
          <cell r="AA871">
            <v>-0.21299049962994782</v>
          </cell>
          <cell r="AB871" t="str">
            <v/>
          </cell>
          <cell r="AC871" t="e">
            <v>#N/A</v>
          </cell>
          <cell r="AD871">
            <v>784</v>
          </cell>
          <cell r="AE871" t="e">
            <v>#N/A</v>
          </cell>
          <cell r="AF871" t="str">
            <v/>
          </cell>
        </row>
        <row r="872">
          <cell r="Y872">
            <v>856</v>
          </cell>
          <cell r="Z872">
            <v>9.1025194153189659E-2</v>
          </cell>
          <cell r="AA872">
            <v>-0.22556633338620105</v>
          </cell>
          <cell r="AB872" t="str">
            <v/>
          </cell>
          <cell r="AC872" t="e">
            <v>#N/A</v>
          </cell>
          <cell r="AD872">
            <v>785</v>
          </cell>
          <cell r="AE872" t="e">
            <v>#N/A</v>
          </cell>
          <cell r="AF872" t="str">
            <v/>
          </cell>
        </row>
        <row r="873">
          <cell r="Y873">
            <v>857</v>
          </cell>
          <cell r="Z873">
            <v>0.12485942058265209</v>
          </cell>
          <cell r="AA873">
            <v>-0.19456001286822799</v>
          </cell>
          <cell r="AB873" t="str">
            <v/>
          </cell>
          <cell r="AC873" t="e">
            <v>#N/A</v>
          </cell>
          <cell r="AD873">
            <v>786</v>
          </cell>
          <cell r="AE873" t="e">
            <v>#N/A</v>
          </cell>
          <cell r="AF873" t="str">
            <v/>
          </cell>
        </row>
        <row r="874">
          <cell r="Y874">
            <v>858</v>
          </cell>
          <cell r="Z874">
            <v>0.828998988494277</v>
          </cell>
          <cell r="AA874">
            <v>0.16061598121899312</v>
          </cell>
          <cell r="AB874" t="str">
            <v/>
          </cell>
          <cell r="AC874" t="e">
            <v>#N/A</v>
          </cell>
          <cell r="AD874">
            <v>787</v>
          </cell>
          <cell r="AE874" t="e">
            <v>#N/A</v>
          </cell>
          <cell r="AF874" t="str">
            <v/>
          </cell>
        </row>
        <row r="875">
          <cell r="Y875">
            <v>859</v>
          </cell>
          <cell r="Z875">
            <v>0.66192962042987347</v>
          </cell>
          <cell r="AA875">
            <v>7.0610130334868612E-2</v>
          </cell>
          <cell r="AB875" t="str">
            <v/>
          </cell>
          <cell r="AC875" t="e">
            <v>#N/A</v>
          </cell>
          <cell r="AD875">
            <v>788</v>
          </cell>
          <cell r="AE875" t="e">
            <v>#N/A</v>
          </cell>
          <cell r="AF875" t="str">
            <v/>
          </cell>
        </row>
        <row r="876">
          <cell r="Y876">
            <v>860</v>
          </cell>
          <cell r="Z876">
            <v>0.80938380025327206</v>
          </cell>
          <cell r="AA876">
            <v>0.14800811456501178</v>
          </cell>
          <cell r="AB876" t="str">
            <v/>
          </cell>
          <cell r="AC876" t="e">
            <v>#N/A</v>
          </cell>
          <cell r="AD876">
            <v>789</v>
          </cell>
          <cell r="AE876" t="e">
            <v>#N/A</v>
          </cell>
          <cell r="AF876" t="str">
            <v/>
          </cell>
        </row>
        <row r="877">
          <cell r="Y877">
            <v>861</v>
          </cell>
          <cell r="Z877">
            <v>0.52452212385833263</v>
          </cell>
          <cell r="AA877">
            <v>1.0396514218101253E-2</v>
          </cell>
          <cell r="AB877" t="str">
            <v/>
          </cell>
          <cell r="AC877" t="e">
            <v>#N/A</v>
          </cell>
          <cell r="AD877">
            <v>790</v>
          </cell>
          <cell r="AE877" t="e">
            <v>#N/A</v>
          </cell>
          <cell r="AF877" t="str">
            <v/>
          </cell>
        </row>
        <row r="878">
          <cell r="Y878">
            <v>862</v>
          </cell>
          <cell r="Z878">
            <v>5.7370936498045921E-2</v>
          </cell>
          <cell r="AA878">
            <v>-0.26660107244063264</v>
          </cell>
          <cell r="AB878" t="str">
            <v/>
          </cell>
          <cell r="AC878" t="e">
            <v>#N/A</v>
          </cell>
          <cell r="AD878">
            <v>791</v>
          </cell>
          <cell r="AE878" t="e">
            <v>#N/A</v>
          </cell>
          <cell r="AF878" t="str">
            <v/>
          </cell>
        </row>
        <row r="879">
          <cell r="Y879">
            <v>863</v>
          </cell>
          <cell r="Z879">
            <v>0.11080263368785381</v>
          </cell>
          <cell r="AA879">
            <v>-0.20660146015781186</v>
          </cell>
          <cell r="AB879" t="str">
            <v/>
          </cell>
          <cell r="AC879" t="e">
            <v>#N/A</v>
          </cell>
          <cell r="AD879">
            <v>792</v>
          </cell>
          <cell r="AE879" t="e">
            <v>#N/A</v>
          </cell>
          <cell r="AF879" t="str">
            <v/>
          </cell>
        </row>
        <row r="880">
          <cell r="Y880">
            <v>864</v>
          </cell>
          <cell r="Z880">
            <v>0.77731277607381344</v>
          </cell>
          <cell r="AA880">
            <v>0.12899575103644978</v>
          </cell>
          <cell r="AB880" t="str">
            <v/>
          </cell>
          <cell r="AC880" t="e">
            <v>#N/A</v>
          </cell>
          <cell r="AD880">
            <v>793</v>
          </cell>
          <cell r="AE880" t="e">
            <v>#N/A</v>
          </cell>
          <cell r="AF880" t="str">
            <v/>
          </cell>
        </row>
        <row r="881">
          <cell r="Y881">
            <v>865</v>
          </cell>
          <cell r="Z881">
            <v>0.86580422334372997</v>
          </cell>
          <cell r="AA881">
            <v>0.18707898961402711</v>
          </cell>
          <cell r="AB881" t="str">
            <v/>
          </cell>
          <cell r="AC881" t="e">
            <v>#N/A</v>
          </cell>
          <cell r="AD881">
            <v>794</v>
          </cell>
          <cell r="AE881" t="e">
            <v>#N/A</v>
          </cell>
          <cell r="AF881" t="str">
            <v/>
          </cell>
        </row>
        <row r="882">
          <cell r="Y882">
            <v>866</v>
          </cell>
          <cell r="Z882">
            <v>0.4888922031968832</v>
          </cell>
          <cell r="AA882">
            <v>-4.7069541056930881E-3</v>
          </cell>
          <cell r="AB882" t="str">
            <v/>
          </cell>
          <cell r="AC882" t="e">
            <v>#N/A</v>
          </cell>
          <cell r="AD882">
            <v>795</v>
          </cell>
          <cell r="AE882" t="e">
            <v>#N/A</v>
          </cell>
          <cell r="AF882" t="str">
            <v/>
          </cell>
        </row>
        <row r="883">
          <cell r="Y883">
            <v>867</v>
          </cell>
          <cell r="Z883">
            <v>0.38756747357547283</v>
          </cell>
          <cell r="AA883">
            <v>-4.8286146588704913E-2</v>
          </cell>
          <cell r="AB883" t="str">
            <v/>
          </cell>
          <cell r="AC883" t="e">
            <v>#N/A</v>
          </cell>
          <cell r="AD883">
            <v>796</v>
          </cell>
          <cell r="AE883" t="e">
            <v>#N/A</v>
          </cell>
          <cell r="AF883" t="str">
            <v/>
          </cell>
        </row>
        <row r="884">
          <cell r="Y884">
            <v>868</v>
          </cell>
          <cell r="Z884">
            <v>0.77413188479840755</v>
          </cell>
          <cell r="AA884">
            <v>0.12719970799785851</v>
          </cell>
          <cell r="AB884" t="str">
            <v/>
          </cell>
          <cell r="AC884" t="e">
            <v>#N/A</v>
          </cell>
          <cell r="AD884">
            <v>797</v>
          </cell>
          <cell r="AE884" t="e">
            <v>#N/A</v>
          </cell>
          <cell r="AF884" t="str">
            <v/>
          </cell>
        </row>
        <row r="885">
          <cell r="Y885">
            <v>869</v>
          </cell>
          <cell r="Z885">
            <v>0.91169857792556286</v>
          </cell>
          <cell r="AA885">
            <v>0.22840954546548919</v>
          </cell>
          <cell r="AB885" t="str">
            <v/>
          </cell>
          <cell r="AC885" t="e">
            <v>#N/A</v>
          </cell>
          <cell r="AD885">
            <v>798</v>
          </cell>
          <cell r="AE885" t="e">
            <v>#N/A</v>
          </cell>
          <cell r="AF885" t="str">
            <v/>
          </cell>
        </row>
        <row r="886">
          <cell r="Y886">
            <v>870</v>
          </cell>
          <cell r="Z886">
            <v>0.63133714161813259</v>
          </cell>
          <cell r="AA886">
            <v>5.6692421025860751E-2</v>
          </cell>
          <cell r="AB886" t="str">
            <v/>
          </cell>
          <cell r="AC886" t="e">
            <v>#N/A</v>
          </cell>
          <cell r="AD886">
            <v>799</v>
          </cell>
          <cell r="AE886" t="e">
            <v>#N/A</v>
          </cell>
          <cell r="AF886" t="str">
            <v/>
          </cell>
        </row>
        <row r="887">
          <cell r="Y887">
            <v>871</v>
          </cell>
          <cell r="Z887">
            <v>0.62356416694819927</v>
          </cell>
          <cell r="AA887">
            <v>5.3220227221272683E-2</v>
          </cell>
          <cell r="AB887" t="str">
            <v/>
          </cell>
          <cell r="AC887" t="e">
            <v>#N/A</v>
          </cell>
          <cell r="AD887">
            <v>800</v>
          </cell>
          <cell r="AE887" t="e">
            <v>#N/A</v>
          </cell>
          <cell r="AF887" t="str">
            <v/>
          </cell>
        </row>
        <row r="888">
          <cell r="Y888">
            <v>872</v>
          </cell>
          <cell r="Z888">
            <v>0.77581616304814816</v>
          </cell>
          <cell r="AA888">
            <v>0.12814890867411449</v>
          </cell>
          <cell r="AB888" t="str">
            <v/>
          </cell>
          <cell r="AC888" t="e">
            <v>#N/A</v>
          </cell>
          <cell r="AD888">
            <v>801</v>
          </cell>
          <cell r="AE888" t="e">
            <v>#N/A</v>
          </cell>
          <cell r="AF888" t="str">
            <v/>
          </cell>
        </row>
        <row r="889">
          <cell r="Y889">
            <v>873</v>
          </cell>
          <cell r="Z889">
            <v>0.71609160117805004</v>
          </cell>
          <cell r="AA889">
            <v>9.6562213474310418E-2</v>
          </cell>
          <cell r="AB889" t="str">
            <v/>
          </cell>
          <cell r="AC889" t="e">
            <v>#N/A</v>
          </cell>
          <cell r="AD889">
            <v>802</v>
          </cell>
          <cell r="AE889" t="e">
            <v>#N/A</v>
          </cell>
          <cell r="AF889" t="str">
            <v/>
          </cell>
        </row>
        <row r="890">
          <cell r="Y890">
            <v>874</v>
          </cell>
          <cell r="Z890">
            <v>0.32097131572663784</v>
          </cell>
          <cell r="AA890">
            <v>-7.8596708028277104E-2</v>
          </cell>
          <cell r="AB890" t="str">
            <v/>
          </cell>
          <cell r="AC890" t="e">
            <v>#N/A</v>
          </cell>
          <cell r="AD890">
            <v>803</v>
          </cell>
          <cell r="AE890" t="e">
            <v>#N/A</v>
          </cell>
          <cell r="AF890" t="str">
            <v/>
          </cell>
        </row>
        <row r="891">
          <cell r="Y891">
            <v>875</v>
          </cell>
          <cell r="Z891">
            <v>0.32989348284900188</v>
          </cell>
          <cell r="AA891">
            <v>-7.4408616226816743E-2</v>
          </cell>
          <cell r="AB891" t="str">
            <v/>
          </cell>
          <cell r="AC891" t="e">
            <v>#N/A</v>
          </cell>
          <cell r="AD891">
            <v>804</v>
          </cell>
          <cell r="AE891" t="e">
            <v>#N/A</v>
          </cell>
          <cell r="AF891" t="str">
            <v/>
          </cell>
        </row>
        <row r="892">
          <cell r="Y892">
            <v>876</v>
          </cell>
          <cell r="Z892">
            <v>0.11710529588162899</v>
          </cell>
          <cell r="AA892">
            <v>-0.20107611459085686</v>
          </cell>
          <cell r="AB892" t="str">
            <v/>
          </cell>
          <cell r="AC892" t="e">
            <v>#N/A</v>
          </cell>
          <cell r="AD892">
            <v>805</v>
          </cell>
          <cell r="AE892" t="e">
            <v>#N/A</v>
          </cell>
          <cell r="AF892" t="str">
            <v/>
          </cell>
        </row>
        <row r="893">
          <cell r="Y893">
            <v>877</v>
          </cell>
          <cell r="Z893">
            <v>0.48118513636291027</v>
          </cell>
          <cell r="AA893">
            <v>-7.9747683877821971E-3</v>
          </cell>
          <cell r="AB893" t="str">
            <v/>
          </cell>
          <cell r="AC893" t="e">
            <v>#N/A</v>
          </cell>
          <cell r="AD893">
            <v>806</v>
          </cell>
          <cell r="AE893" t="e">
            <v>#N/A</v>
          </cell>
          <cell r="AF893" t="str">
            <v/>
          </cell>
        </row>
        <row r="894">
          <cell r="Y894">
            <v>878</v>
          </cell>
          <cell r="Z894">
            <v>0.6190358754247427</v>
          </cell>
          <cell r="AA894">
            <v>5.120783353358057E-2</v>
          </cell>
          <cell r="AB894" t="str">
            <v/>
          </cell>
          <cell r="AC894" t="e">
            <v>#N/A</v>
          </cell>
          <cell r="AD894">
            <v>807</v>
          </cell>
          <cell r="AE894" t="e">
            <v>#N/A</v>
          </cell>
          <cell r="AF894" t="str">
            <v/>
          </cell>
        </row>
        <row r="895">
          <cell r="Y895">
            <v>879</v>
          </cell>
          <cell r="Z895">
            <v>0.80171380750834942</v>
          </cell>
          <cell r="AA895">
            <v>0.14329736929682324</v>
          </cell>
          <cell r="AB895" t="str">
            <v/>
          </cell>
          <cell r="AC895" t="e">
            <v>#N/A</v>
          </cell>
          <cell r="AD895">
            <v>808</v>
          </cell>
          <cell r="AE895" t="e">
            <v>#N/A</v>
          </cell>
          <cell r="AF895" t="str">
            <v/>
          </cell>
        </row>
        <row r="896">
          <cell r="Y896">
            <v>880</v>
          </cell>
          <cell r="Z896">
            <v>0.49736299179494381</v>
          </cell>
          <cell r="AA896">
            <v>-1.1173019473067829E-3</v>
          </cell>
          <cell r="AB896" t="str">
            <v/>
          </cell>
          <cell r="AC896" t="e">
            <v>#N/A</v>
          </cell>
          <cell r="AD896">
            <v>809</v>
          </cell>
          <cell r="AE896" t="e">
            <v>#N/A</v>
          </cell>
          <cell r="AF896" t="str">
            <v/>
          </cell>
        </row>
        <row r="897">
          <cell r="Y897">
            <v>881</v>
          </cell>
          <cell r="Z897">
            <v>0.3836683314293623</v>
          </cell>
          <cell r="AA897">
            <v>-5.0009542083366984E-2</v>
          </cell>
          <cell r="AB897" t="str">
            <v/>
          </cell>
          <cell r="AC897" t="e">
            <v>#N/A</v>
          </cell>
          <cell r="AD897">
            <v>810</v>
          </cell>
          <cell r="AE897" t="e">
            <v>#N/A</v>
          </cell>
          <cell r="AF897" t="str">
            <v/>
          </cell>
        </row>
        <row r="898">
          <cell r="Y898">
            <v>882</v>
          </cell>
          <cell r="Z898">
            <v>0.30198193155229092</v>
          </cell>
          <cell r="AA898">
            <v>-8.7677780403926431E-2</v>
          </cell>
          <cell r="AB898" t="str">
            <v/>
          </cell>
          <cell r="AC898" t="e">
            <v>#N/A</v>
          </cell>
          <cell r="AD898">
            <v>811</v>
          </cell>
          <cell r="AE898" t="e">
            <v>#N/A</v>
          </cell>
          <cell r="AF898" t="str">
            <v/>
          </cell>
        </row>
        <row r="899">
          <cell r="Y899">
            <v>883</v>
          </cell>
          <cell r="Z899">
            <v>0.24128801934421062</v>
          </cell>
          <cell r="AA899">
            <v>-0.11868761015011088</v>
          </cell>
          <cell r="AB899" t="str">
            <v/>
          </cell>
          <cell r="AC899" t="e">
            <v>#N/A</v>
          </cell>
          <cell r="AD899">
            <v>812</v>
          </cell>
          <cell r="AE899" t="e">
            <v>#N/A</v>
          </cell>
          <cell r="AF899" t="str">
            <v/>
          </cell>
        </row>
        <row r="900">
          <cell r="Y900">
            <v>884</v>
          </cell>
          <cell r="Z900">
            <v>0.33018635772168636</v>
          </cell>
          <cell r="AA900">
            <v>-7.4271925170783473E-2</v>
          </cell>
          <cell r="AB900" t="str">
            <v/>
          </cell>
          <cell r="AC900" t="e">
            <v>#N/A</v>
          </cell>
          <cell r="AD900">
            <v>813</v>
          </cell>
          <cell r="AE900" t="e">
            <v>#N/A</v>
          </cell>
          <cell r="AF900" t="str">
            <v/>
          </cell>
        </row>
        <row r="901">
          <cell r="Y901">
            <v>885</v>
          </cell>
          <cell r="Z901">
            <v>0.86963951401412487</v>
          </cell>
          <cell r="AA901">
            <v>0.1901070879307169</v>
          </cell>
          <cell r="AB901" t="str">
            <v/>
          </cell>
          <cell r="AC901" t="e">
            <v>#N/A</v>
          </cell>
          <cell r="AD901">
            <v>814</v>
          </cell>
          <cell r="AE901" t="e">
            <v>#N/A</v>
          </cell>
          <cell r="AF901" t="str">
            <v/>
          </cell>
        </row>
        <row r="902">
          <cell r="Y902">
            <v>886</v>
          </cell>
          <cell r="Z902">
            <v>0.44545493088662624</v>
          </cell>
          <cell r="AA902">
            <v>-2.3183087986462129E-2</v>
          </cell>
          <cell r="AB902" t="str">
            <v/>
          </cell>
          <cell r="AC902" t="e">
            <v>#N/A</v>
          </cell>
          <cell r="AD902">
            <v>815</v>
          </cell>
          <cell r="AE902" t="e">
            <v>#N/A</v>
          </cell>
          <cell r="AF902" t="str">
            <v/>
          </cell>
        </row>
        <row r="903">
          <cell r="Y903">
            <v>887</v>
          </cell>
          <cell r="Z903">
            <v>9.9780363962054253E-2</v>
          </cell>
          <cell r="AA903">
            <v>-0.21683346352382368</v>
          </cell>
          <cell r="AB903" t="str">
            <v/>
          </cell>
          <cell r="AC903" t="e">
            <v>#N/A</v>
          </cell>
          <cell r="AD903">
            <v>816</v>
          </cell>
          <cell r="AE903" t="e">
            <v>#N/A</v>
          </cell>
          <cell r="AF903" t="str">
            <v/>
          </cell>
        </row>
        <row r="904">
          <cell r="Y904">
            <v>888</v>
          </cell>
          <cell r="Z904">
            <v>0.9367652740329504</v>
          </cell>
          <cell r="AA904">
            <v>0.25830847698239212</v>
          </cell>
          <cell r="AB904" t="str">
            <v/>
          </cell>
          <cell r="AC904" t="e">
            <v>#N/A</v>
          </cell>
          <cell r="AD904">
            <v>817</v>
          </cell>
          <cell r="AE904" t="e">
            <v>#N/A</v>
          </cell>
          <cell r="AF904" t="str">
            <v/>
          </cell>
        </row>
        <row r="905">
          <cell r="Y905">
            <v>889</v>
          </cell>
          <cell r="Z905">
            <v>0.91827806644141674</v>
          </cell>
          <cell r="AA905">
            <v>0.23555835136202077</v>
          </cell>
          <cell r="AB905" t="str">
            <v/>
          </cell>
          <cell r="AC905" t="e">
            <v>#N/A</v>
          </cell>
          <cell r="AD905">
            <v>818</v>
          </cell>
          <cell r="AE905" t="e">
            <v>#N/A</v>
          </cell>
          <cell r="AF905" t="str">
            <v/>
          </cell>
        </row>
        <row r="906">
          <cell r="Y906">
            <v>890</v>
          </cell>
          <cell r="Z906">
            <v>0.60202903114259243</v>
          </cell>
          <cell r="AA906">
            <v>4.3711804227258746E-2</v>
          </cell>
          <cell r="AB906" t="str">
            <v/>
          </cell>
          <cell r="AC906" t="e">
            <v>#N/A</v>
          </cell>
          <cell r="AD906">
            <v>819</v>
          </cell>
          <cell r="AE906" t="e">
            <v>#N/A</v>
          </cell>
          <cell r="AF906" t="str">
            <v/>
          </cell>
        </row>
        <row r="907">
          <cell r="Y907">
            <v>891</v>
          </cell>
          <cell r="Z907">
            <v>0.13780332915484905</v>
          </cell>
          <cell r="AA907">
            <v>-0.18428449401655383</v>
          </cell>
          <cell r="AB907" t="str">
            <v/>
          </cell>
          <cell r="AC907" t="e">
            <v>#N/A</v>
          </cell>
          <cell r="AD907">
            <v>820</v>
          </cell>
          <cell r="AE907" t="e">
            <v>#N/A</v>
          </cell>
          <cell r="AF907" t="str">
            <v/>
          </cell>
        </row>
        <row r="908">
          <cell r="Y908">
            <v>892</v>
          </cell>
          <cell r="Z908">
            <v>8.2991769537329674E-2</v>
          </cell>
          <cell r="AA908">
            <v>-0.23414583764260358</v>
          </cell>
          <cell r="AB908" t="str">
            <v/>
          </cell>
          <cell r="AC908" t="e">
            <v>#N/A</v>
          </cell>
          <cell r="AD908">
            <v>821</v>
          </cell>
          <cell r="AE908" t="e">
            <v>#N/A</v>
          </cell>
          <cell r="AF908" t="str">
            <v/>
          </cell>
        </row>
        <row r="909">
          <cell r="Y909">
            <v>893</v>
          </cell>
          <cell r="Z909">
            <v>0.77426630072295666</v>
          </cell>
          <cell r="AA909">
            <v>0.12727531263611674</v>
          </cell>
          <cell r="AB909" t="str">
            <v/>
          </cell>
          <cell r="AC909" t="e">
            <v>#N/A</v>
          </cell>
          <cell r="AD909">
            <v>822</v>
          </cell>
          <cell r="AE909" t="e">
            <v>#N/A</v>
          </cell>
          <cell r="AF909" t="str">
            <v/>
          </cell>
        </row>
        <row r="910">
          <cell r="Y910">
            <v>894</v>
          </cell>
          <cell r="Z910">
            <v>7.2691475972533226E-2</v>
          </cell>
          <cell r="AA910">
            <v>-0.24611483046502008</v>
          </cell>
          <cell r="AB910" t="str">
            <v/>
          </cell>
          <cell r="AC910" t="e">
            <v>#N/A</v>
          </cell>
          <cell r="AD910">
            <v>823</v>
          </cell>
          <cell r="AE910" t="e">
            <v>#N/A</v>
          </cell>
          <cell r="AF910" t="str">
            <v/>
          </cell>
        </row>
        <row r="911">
          <cell r="Y911">
            <v>895</v>
          </cell>
          <cell r="Z911">
            <v>0.70471451990306377</v>
          </cell>
          <cell r="AA911">
            <v>9.0940088480311085E-2</v>
          </cell>
          <cell r="AB911" t="str">
            <v/>
          </cell>
          <cell r="AC911" t="e">
            <v>#N/A</v>
          </cell>
          <cell r="AD911">
            <v>824</v>
          </cell>
          <cell r="AE911" t="e">
            <v>#N/A</v>
          </cell>
          <cell r="AF911" t="str">
            <v/>
          </cell>
        </row>
        <row r="912">
          <cell r="Y912">
            <v>896</v>
          </cell>
          <cell r="Z912">
            <v>0.36031939648091793</v>
          </cell>
          <cell r="AA912">
            <v>-6.0446309752620025E-2</v>
          </cell>
          <cell r="AB912" t="str">
            <v/>
          </cell>
          <cell r="AC912" t="e">
            <v>#N/A</v>
          </cell>
          <cell r="AD912">
            <v>825</v>
          </cell>
          <cell r="AE912" t="e">
            <v>#N/A</v>
          </cell>
          <cell r="AF912" t="str">
            <v/>
          </cell>
        </row>
        <row r="913">
          <cell r="Y913">
            <v>897</v>
          </cell>
          <cell r="Z913">
            <v>0.64896133355796337</v>
          </cell>
          <cell r="AA913">
            <v>6.4657308225803026E-2</v>
          </cell>
          <cell r="AB913" t="str">
            <v/>
          </cell>
          <cell r="AC913" t="e">
            <v>#N/A</v>
          </cell>
          <cell r="AD913">
            <v>826</v>
          </cell>
          <cell r="AE913" t="e">
            <v>#N/A</v>
          </cell>
          <cell r="AF913" t="str">
            <v/>
          </cell>
        </row>
        <row r="914">
          <cell r="Y914">
            <v>898</v>
          </cell>
          <cell r="Z914">
            <v>0.77207696996629238</v>
          </cell>
          <cell r="AA914">
            <v>0.12604703266251993</v>
          </cell>
          <cell r="AB914" t="str">
            <v/>
          </cell>
          <cell r="AC914" t="e">
            <v>#N/A</v>
          </cell>
          <cell r="AD914">
            <v>827</v>
          </cell>
          <cell r="AE914" t="e">
            <v>#N/A</v>
          </cell>
          <cell r="AF914" t="str">
            <v/>
          </cell>
        </row>
        <row r="915">
          <cell r="Y915">
            <v>899</v>
          </cell>
          <cell r="Z915">
            <v>0.73666353337466717</v>
          </cell>
          <cell r="AA915">
            <v>0.10701224332859961</v>
          </cell>
          <cell r="AB915" t="str">
            <v/>
          </cell>
          <cell r="AC915" t="e">
            <v>#N/A</v>
          </cell>
          <cell r="AD915">
            <v>828</v>
          </cell>
          <cell r="AE915" t="e">
            <v>#N/A</v>
          </cell>
          <cell r="AF915" t="str">
            <v/>
          </cell>
        </row>
        <row r="916">
          <cell r="Y916">
            <v>900</v>
          </cell>
          <cell r="Z916">
            <v>0.91037260554730892</v>
          </cell>
          <cell r="AA916">
            <v>0.22701740394344355</v>
          </cell>
          <cell r="AB916" t="str">
            <v/>
          </cell>
          <cell r="AC916" t="e">
            <v>#N/A</v>
          </cell>
          <cell r="AD916">
            <v>829</v>
          </cell>
          <cell r="AE916" t="e">
            <v>#N/A</v>
          </cell>
          <cell r="AF916" t="str">
            <v/>
          </cell>
        </row>
        <row r="917">
          <cell r="Y917">
            <v>901</v>
          </cell>
          <cell r="Z917">
            <v>0.89031696133315563</v>
          </cell>
          <cell r="AA917">
            <v>0.20760631303828661</v>
          </cell>
          <cell r="AB917" t="str">
            <v/>
          </cell>
          <cell r="AC917" t="e">
            <v>#N/A</v>
          </cell>
          <cell r="AD917">
            <v>830</v>
          </cell>
          <cell r="AE917" t="e">
            <v>#N/A</v>
          </cell>
          <cell r="AF917" t="str">
            <v/>
          </cell>
        </row>
        <row r="918">
          <cell r="Y918">
            <v>902</v>
          </cell>
          <cell r="Z918">
            <v>0.18745205365121365</v>
          </cell>
          <cell r="AA918">
            <v>-0.14998525029418591</v>
          </cell>
          <cell r="AB918" t="str">
            <v/>
          </cell>
          <cell r="AC918" t="e">
            <v>#N/A</v>
          </cell>
          <cell r="AD918">
            <v>831</v>
          </cell>
          <cell r="AE918" t="e">
            <v>#N/A</v>
          </cell>
          <cell r="AF918" t="str">
            <v/>
          </cell>
        </row>
        <row r="919">
          <cell r="Y919">
            <v>903</v>
          </cell>
          <cell r="Z919">
            <v>0.97338883392512798</v>
          </cell>
          <cell r="AA919">
            <v>0.32675566237771719</v>
          </cell>
          <cell r="AB919" t="str">
            <v/>
          </cell>
          <cell r="AC919" t="e">
            <v>#N/A</v>
          </cell>
          <cell r="AD919">
            <v>832</v>
          </cell>
          <cell r="AE919" t="e">
            <v>#N/A</v>
          </cell>
          <cell r="AF919" t="str">
            <v/>
          </cell>
        </row>
        <row r="920">
          <cell r="Y920">
            <v>904</v>
          </cell>
          <cell r="Z920">
            <v>0.9933061208575964</v>
          </cell>
          <cell r="AA920">
            <v>0.41806135475175155</v>
          </cell>
          <cell r="AB920" t="str">
            <v/>
          </cell>
          <cell r="AC920" t="e">
            <v>#N/A</v>
          </cell>
          <cell r="AD920">
            <v>833</v>
          </cell>
          <cell r="AE920" t="e">
            <v>#N/A</v>
          </cell>
          <cell r="AF920" t="str">
            <v/>
          </cell>
        </row>
        <row r="921">
          <cell r="Y921">
            <v>905</v>
          </cell>
          <cell r="Z921">
            <v>0.12155553512275219</v>
          </cell>
          <cell r="AA921">
            <v>-0.19730057160132003</v>
          </cell>
          <cell r="AB921" t="str">
            <v/>
          </cell>
          <cell r="AC921" t="e">
            <v>#N/A</v>
          </cell>
          <cell r="AD921">
            <v>834</v>
          </cell>
          <cell r="AE921" t="e">
            <v>#N/A</v>
          </cell>
          <cell r="AF921" t="str">
            <v/>
          </cell>
        </row>
        <row r="922">
          <cell r="Y922">
            <v>906</v>
          </cell>
          <cell r="Z922">
            <v>0.93144947849214077</v>
          </cell>
          <cell r="AA922">
            <v>0.25129370083501895</v>
          </cell>
          <cell r="AB922" t="str">
            <v/>
          </cell>
          <cell r="AC922" t="e">
            <v>#N/A</v>
          </cell>
          <cell r="AD922">
            <v>835</v>
          </cell>
          <cell r="AE922" t="e">
            <v>#N/A</v>
          </cell>
          <cell r="AF922" t="str">
            <v/>
          </cell>
        </row>
        <row r="923">
          <cell r="Y923">
            <v>907</v>
          </cell>
          <cell r="Z923">
            <v>0.89376462809741497</v>
          </cell>
          <cell r="AA923">
            <v>0.21074770952698121</v>
          </cell>
          <cell r="AB923" t="str">
            <v/>
          </cell>
          <cell r="AC923" t="e">
            <v>#N/A</v>
          </cell>
          <cell r="AD923">
            <v>836</v>
          </cell>
          <cell r="AE923" t="e">
            <v>#N/A</v>
          </cell>
          <cell r="AF923" t="str">
            <v/>
          </cell>
        </row>
        <row r="924">
          <cell r="Y924">
            <v>908</v>
          </cell>
          <cell r="Z924">
            <v>0.89991431497037411</v>
          </cell>
          <cell r="AA924">
            <v>0.21653925010267938</v>
          </cell>
          <cell r="AB924" t="str">
            <v/>
          </cell>
          <cell r="AC924" t="e">
            <v>#N/A</v>
          </cell>
          <cell r="AD924">
            <v>837</v>
          </cell>
          <cell r="AE924" t="e">
            <v>#N/A</v>
          </cell>
          <cell r="AF924" t="str">
            <v/>
          </cell>
        </row>
        <row r="925">
          <cell r="Y925">
            <v>909</v>
          </cell>
          <cell r="Z925">
            <v>0.84858983568847179</v>
          </cell>
          <cell r="AA925">
            <v>0.17417008932187558</v>
          </cell>
          <cell r="AB925" t="str">
            <v/>
          </cell>
          <cell r="AC925" t="e">
            <v>#N/A</v>
          </cell>
          <cell r="AD925">
            <v>838</v>
          </cell>
          <cell r="AE925" t="e">
            <v>#N/A</v>
          </cell>
          <cell r="AF925" t="str">
            <v/>
          </cell>
        </row>
        <row r="926">
          <cell r="Y926">
            <v>910</v>
          </cell>
          <cell r="Z926">
            <v>0.3885525818914175</v>
          </cell>
          <cell r="AA926">
            <v>-4.7851535278494499E-2</v>
          </cell>
          <cell r="AB926" t="str">
            <v/>
          </cell>
          <cell r="AC926" t="e">
            <v>#N/A</v>
          </cell>
          <cell r="AD926">
            <v>839</v>
          </cell>
          <cell r="AE926" t="e">
            <v>#N/A</v>
          </cell>
          <cell r="AF926" t="str">
            <v/>
          </cell>
        </row>
        <row r="927">
          <cell r="Y927">
            <v>911</v>
          </cell>
          <cell r="Z927">
            <v>0.87009773962199688</v>
          </cell>
          <cell r="AA927">
            <v>0.19047296824344467</v>
          </cell>
          <cell r="AB927" t="str">
            <v/>
          </cell>
          <cell r="AC927" t="e">
            <v>#N/A</v>
          </cell>
          <cell r="AD927">
            <v>840</v>
          </cell>
          <cell r="AE927" t="e">
            <v>#N/A</v>
          </cell>
          <cell r="AF927" t="str">
            <v/>
          </cell>
        </row>
        <row r="928">
          <cell r="Y928">
            <v>912</v>
          </cell>
          <cell r="Z928">
            <v>0.7074905838817358</v>
          </cell>
          <cell r="AA928">
            <v>9.2302428011240292E-2</v>
          </cell>
          <cell r="AB928" t="str">
            <v/>
          </cell>
          <cell r="AC928" t="e">
            <v>#N/A</v>
          </cell>
          <cell r="AD928">
            <v>841</v>
          </cell>
          <cell r="AE928" t="e">
            <v>#N/A</v>
          </cell>
          <cell r="AF928" t="str">
            <v/>
          </cell>
        </row>
        <row r="929">
          <cell r="Y929">
            <v>913</v>
          </cell>
          <cell r="Z929">
            <v>3.6194948479533195E-2</v>
          </cell>
          <cell r="AA929">
            <v>-0.30369066629845975</v>
          </cell>
          <cell r="AB929" t="str">
            <v/>
          </cell>
          <cell r="AC929" t="e">
            <v>#N/A</v>
          </cell>
          <cell r="AD929">
            <v>842</v>
          </cell>
          <cell r="AE929" t="e">
            <v>#N/A</v>
          </cell>
          <cell r="AF929" t="str">
            <v/>
          </cell>
        </row>
        <row r="930">
          <cell r="Y930">
            <v>914</v>
          </cell>
          <cell r="Z930">
            <v>0.9553296621888876</v>
          </cell>
          <cell r="AA930">
            <v>0.28716413703351806</v>
          </cell>
          <cell r="AB930" t="str">
            <v/>
          </cell>
          <cell r="AC930" t="e">
            <v>#N/A</v>
          </cell>
          <cell r="AD930">
            <v>843</v>
          </cell>
          <cell r="AE930" t="e">
            <v>#N/A</v>
          </cell>
          <cell r="AF930" t="str">
            <v/>
          </cell>
        </row>
        <row r="931">
          <cell r="Y931">
            <v>915</v>
          </cell>
          <cell r="Z931">
            <v>4.1174484416842461E-2</v>
          </cell>
          <cell r="AA931">
            <v>-0.29364317822688585</v>
          </cell>
          <cell r="AB931" t="str">
            <v/>
          </cell>
          <cell r="AC931" t="e">
            <v>#N/A</v>
          </cell>
          <cell r="AD931">
            <v>844</v>
          </cell>
          <cell r="AE931" t="e">
            <v>#N/A</v>
          </cell>
          <cell r="AF931" t="str">
            <v/>
          </cell>
        </row>
        <row r="932">
          <cell r="Y932">
            <v>916</v>
          </cell>
          <cell r="Z932">
            <v>0.37943672202527523</v>
          </cell>
          <cell r="AA932">
            <v>-5.1885793199791537E-2</v>
          </cell>
          <cell r="AB932" t="str">
            <v/>
          </cell>
          <cell r="AC932" t="e">
            <v>#N/A</v>
          </cell>
          <cell r="AD932">
            <v>845</v>
          </cell>
          <cell r="AE932" t="e">
            <v>#N/A</v>
          </cell>
          <cell r="AF932" t="str">
            <v/>
          </cell>
        </row>
        <row r="933">
          <cell r="Y933">
            <v>917</v>
          </cell>
          <cell r="Z933">
            <v>0.15293013863265514</v>
          </cell>
          <cell r="AA933">
            <v>-0.17307864409961726</v>
          </cell>
          <cell r="AB933" t="str">
            <v/>
          </cell>
          <cell r="AC933" t="e">
            <v>#N/A</v>
          </cell>
          <cell r="AD933">
            <v>846</v>
          </cell>
          <cell r="AE933" t="e">
            <v>#N/A</v>
          </cell>
          <cell r="AF933" t="str">
            <v/>
          </cell>
        </row>
        <row r="934">
          <cell r="Y934">
            <v>918</v>
          </cell>
          <cell r="Z934">
            <v>0.3744183536618948</v>
          </cell>
          <cell r="AA934">
            <v>-5.4119222187635832E-2</v>
          </cell>
          <cell r="AB934" t="str">
            <v/>
          </cell>
          <cell r="AC934" t="e">
            <v>#N/A</v>
          </cell>
          <cell r="AD934">
            <v>847</v>
          </cell>
          <cell r="AE934" t="e">
            <v>#N/A</v>
          </cell>
          <cell r="AF934" t="str">
            <v/>
          </cell>
        </row>
        <row r="935">
          <cell r="Y935">
            <v>919</v>
          </cell>
          <cell r="Z935">
            <v>0.40405754558742046</v>
          </cell>
          <cell r="AA935">
            <v>-4.1050562379392662E-2</v>
          </cell>
          <cell r="AB935" t="str">
            <v/>
          </cell>
          <cell r="AC935" t="e">
            <v>#N/A</v>
          </cell>
          <cell r="AD935">
            <v>848</v>
          </cell>
          <cell r="AE935" t="e">
            <v>#N/A</v>
          </cell>
          <cell r="AF935" t="str">
            <v/>
          </cell>
        </row>
        <row r="936">
          <cell r="Y936">
            <v>920</v>
          </cell>
          <cell r="Z936">
            <v>0.70862229727208614</v>
          </cell>
          <cell r="AA936">
            <v>9.2859530663375697E-2</v>
          </cell>
          <cell r="AB936" t="str">
            <v/>
          </cell>
          <cell r="AC936" t="e">
            <v>#N/A</v>
          </cell>
          <cell r="AD936">
            <v>849</v>
          </cell>
          <cell r="AE936" t="e">
            <v>#N/A</v>
          </cell>
          <cell r="AF936" t="str">
            <v/>
          </cell>
        </row>
        <row r="937">
          <cell r="Y937">
            <v>921</v>
          </cell>
          <cell r="Z937">
            <v>0.18481072597205639</v>
          </cell>
          <cell r="AA937">
            <v>-0.15165154987685434</v>
          </cell>
          <cell r="AB937" t="str">
            <v/>
          </cell>
          <cell r="AC937" t="e">
            <v>#N/A</v>
          </cell>
          <cell r="AD937">
            <v>850</v>
          </cell>
          <cell r="AE937" t="e">
            <v>#N/A</v>
          </cell>
          <cell r="AF937" t="str">
            <v/>
          </cell>
        </row>
        <row r="938">
          <cell r="Y938">
            <v>922</v>
          </cell>
          <cell r="Z938">
            <v>0.66226000152528286</v>
          </cell>
          <cell r="AA938">
            <v>7.0762903091579399E-2</v>
          </cell>
          <cell r="AB938" t="str">
            <v/>
          </cell>
          <cell r="AC938" t="e">
            <v>#N/A</v>
          </cell>
          <cell r="AD938">
            <v>851</v>
          </cell>
          <cell r="AE938" t="e">
            <v>#N/A</v>
          </cell>
          <cell r="AF938" t="str">
            <v/>
          </cell>
        </row>
        <row r="939">
          <cell r="Y939">
            <v>923</v>
          </cell>
          <cell r="Z939">
            <v>0.62463284842669964</v>
          </cell>
          <cell r="AA939">
            <v>5.3696245811119273E-2</v>
          </cell>
          <cell r="AB939" t="str">
            <v/>
          </cell>
          <cell r="AC939" t="e">
            <v>#N/A</v>
          </cell>
          <cell r="AD939">
            <v>852</v>
          </cell>
          <cell r="AE939" t="e">
            <v>#N/A</v>
          </cell>
          <cell r="AF939" t="str">
            <v/>
          </cell>
        </row>
        <row r="940">
          <cell r="Y940">
            <v>924</v>
          </cell>
          <cell r="Z940">
            <v>0.60449402593076229</v>
          </cell>
          <cell r="AA940">
            <v>4.4792629953142683E-2</v>
          </cell>
          <cell r="AB940" t="str">
            <v/>
          </cell>
          <cell r="AC940" t="e">
            <v>#N/A</v>
          </cell>
          <cell r="AD940">
            <v>853</v>
          </cell>
          <cell r="AE940" t="e">
            <v>#N/A</v>
          </cell>
          <cell r="AF940" t="str">
            <v/>
          </cell>
        </row>
        <row r="941">
          <cell r="Y941">
            <v>925</v>
          </cell>
          <cell r="Z941">
            <v>0.11772996000945568</v>
          </cell>
          <cell r="AA941">
            <v>-0.20054010789840745</v>
          </cell>
          <cell r="AB941" t="str">
            <v/>
          </cell>
          <cell r="AC941" t="e">
            <v>#N/A</v>
          </cell>
          <cell r="AD941">
            <v>854</v>
          </cell>
          <cell r="AE941" t="e">
            <v>#N/A</v>
          </cell>
          <cell r="AF941" t="str">
            <v/>
          </cell>
        </row>
        <row r="942">
          <cell r="Y942">
            <v>926</v>
          </cell>
          <cell r="Z942">
            <v>0.13058403693139553</v>
          </cell>
          <cell r="AA942">
            <v>-0.18992891162766426</v>
          </cell>
          <cell r="AB942" t="str">
            <v/>
          </cell>
          <cell r="AC942" t="e">
            <v>#N/A</v>
          </cell>
          <cell r="AD942">
            <v>855</v>
          </cell>
          <cell r="AE942" t="e">
            <v>#N/A</v>
          </cell>
          <cell r="AF942" t="str">
            <v/>
          </cell>
        </row>
        <row r="943">
          <cell r="Y943">
            <v>927</v>
          </cell>
          <cell r="Z943">
            <v>6.6906435415148735E-2</v>
          </cell>
          <cell r="AA943">
            <v>-0.2534168422488573</v>
          </cell>
          <cell r="AB943" t="str">
            <v/>
          </cell>
          <cell r="AC943" t="e">
            <v>#N/A</v>
          </cell>
          <cell r="AD943">
            <v>856</v>
          </cell>
          <cell r="AE943" t="e">
            <v>#N/A</v>
          </cell>
          <cell r="AF943" t="str">
            <v/>
          </cell>
        </row>
        <row r="944">
          <cell r="Y944">
            <v>928</v>
          </cell>
          <cell r="Z944">
            <v>0.22393514774739742</v>
          </cell>
          <cell r="AA944">
            <v>-0.12828940356391344</v>
          </cell>
          <cell r="AB944" t="str">
            <v/>
          </cell>
          <cell r="AC944" t="e">
            <v>#N/A</v>
          </cell>
          <cell r="AD944">
            <v>857</v>
          </cell>
          <cell r="AE944" t="e">
            <v>#N/A</v>
          </cell>
          <cell r="AF944" t="str">
            <v/>
          </cell>
        </row>
        <row r="945">
          <cell r="Y945">
            <v>929</v>
          </cell>
          <cell r="Z945">
            <v>0.38863089494407177</v>
          </cell>
          <cell r="AA945">
            <v>-4.7816998636649226E-2</v>
          </cell>
          <cell r="AB945" t="str">
            <v/>
          </cell>
          <cell r="AC945" t="e">
            <v>#N/A</v>
          </cell>
          <cell r="AD945">
            <v>858</v>
          </cell>
          <cell r="AE945" t="e">
            <v>#N/A</v>
          </cell>
          <cell r="AF945" t="str">
            <v/>
          </cell>
        </row>
        <row r="946">
          <cell r="Y946">
            <v>930</v>
          </cell>
          <cell r="Z946">
            <v>1.642351970076561E-3</v>
          </cell>
          <cell r="AA946">
            <v>-0.49690952317182047</v>
          </cell>
          <cell r="AB946" t="str">
            <v/>
          </cell>
          <cell r="AC946" t="e">
            <v>#N/A</v>
          </cell>
          <cell r="AD946">
            <v>859</v>
          </cell>
          <cell r="AE946" t="e">
            <v>#N/A</v>
          </cell>
          <cell r="AF946" t="str">
            <v/>
          </cell>
        </row>
        <row r="947">
          <cell r="Y947">
            <v>931</v>
          </cell>
          <cell r="Z947">
            <v>0.5410513412207365</v>
          </cell>
          <cell r="AA947">
            <v>1.7424160271321983E-2</v>
          </cell>
          <cell r="AB947" t="str">
            <v/>
          </cell>
          <cell r="AC947" t="e">
            <v>#N/A</v>
          </cell>
          <cell r="AD947">
            <v>860</v>
          </cell>
          <cell r="AE947" t="e">
            <v>#N/A</v>
          </cell>
          <cell r="AF947" t="str">
            <v/>
          </cell>
        </row>
        <row r="948">
          <cell r="Y948">
            <v>932</v>
          </cell>
          <cell r="Z948">
            <v>0.44587480090558529</v>
          </cell>
          <cell r="AA948">
            <v>-2.3003522046107679E-2</v>
          </cell>
          <cell r="AB948" t="str">
            <v/>
          </cell>
          <cell r="AC948" t="e">
            <v>#N/A</v>
          </cell>
          <cell r="AD948">
            <v>861</v>
          </cell>
          <cell r="AE948" t="e">
            <v>#N/A</v>
          </cell>
          <cell r="AF948" t="str">
            <v/>
          </cell>
        </row>
        <row r="949">
          <cell r="Y949">
            <v>933</v>
          </cell>
          <cell r="Z949">
            <v>0.80542826466262341</v>
          </cell>
          <cell r="AA949">
            <v>0.14556458939999917</v>
          </cell>
          <cell r="AB949" t="str">
            <v/>
          </cell>
          <cell r="AC949" t="e">
            <v>#N/A</v>
          </cell>
          <cell r="AD949">
            <v>862</v>
          </cell>
          <cell r="AE949" t="e">
            <v>#N/A</v>
          </cell>
          <cell r="AF949" t="str">
            <v/>
          </cell>
        </row>
        <row r="950">
          <cell r="Y950">
            <v>934</v>
          </cell>
          <cell r="Z950">
            <v>0.1171936746686697</v>
          </cell>
          <cell r="AA950">
            <v>-0.20100015645966698</v>
          </cell>
          <cell r="AB950" t="str">
            <v/>
          </cell>
          <cell r="AC950" t="e">
            <v>#N/A</v>
          </cell>
          <cell r="AD950">
            <v>863</v>
          </cell>
          <cell r="AE950" t="e">
            <v>#N/A</v>
          </cell>
          <cell r="AF950" t="str">
            <v/>
          </cell>
        </row>
        <row r="951">
          <cell r="Y951">
            <v>935</v>
          </cell>
          <cell r="Z951">
            <v>0.27020446769893169</v>
          </cell>
          <cell r="AA951">
            <v>-0.10347979424228886</v>
          </cell>
          <cell r="AB951" t="str">
            <v/>
          </cell>
          <cell r="AC951" t="e">
            <v>#N/A</v>
          </cell>
          <cell r="AD951">
            <v>864</v>
          </cell>
          <cell r="AE951" t="e">
            <v>#N/A</v>
          </cell>
          <cell r="AF951" t="str">
            <v/>
          </cell>
        </row>
        <row r="952">
          <cell r="Y952">
            <v>936</v>
          </cell>
          <cell r="Z952">
            <v>0.18964739702641964</v>
          </cell>
          <cell r="AA952">
            <v>-0.14861131626153931</v>
          </cell>
          <cell r="AB952" t="str">
            <v/>
          </cell>
          <cell r="AC952" t="e">
            <v>#N/A</v>
          </cell>
          <cell r="AD952">
            <v>865</v>
          </cell>
          <cell r="AE952" t="e">
            <v>#N/A</v>
          </cell>
          <cell r="AF952" t="str">
            <v/>
          </cell>
        </row>
        <row r="953">
          <cell r="Y953">
            <v>937</v>
          </cell>
          <cell r="Z953">
            <v>0.43568035773932934</v>
          </cell>
          <cell r="AA953">
            <v>-2.7371222042447081E-2</v>
          </cell>
          <cell r="AB953" t="str">
            <v/>
          </cell>
          <cell r="AC953" t="e">
            <v>#N/A</v>
          </cell>
          <cell r="AD953">
            <v>866</v>
          </cell>
          <cell r="AE953" t="e">
            <v>#N/A</v>
          </cell>
          <cell r="AF953" t="str">
            <v/>
          </cell>
        </row>
        <row r="954">
          <cell r="Y954">
            <v>938</v>
          </cell>
          <cell r="Z954">
            <v>0.2412379439920187</v>
          </cell>
          <cell r="AA954">
            <v>-0.11871475990222329</v>
          </cell>
          <cell r="AB954" t="str">
            <v/>
          </cell>
          <cell r="AC954" t="e">
            <v>#N/A</v>
          </cell>
          <cell r="AD954">
            <v>867</v>
          </cell>
          <cell r="AE954" t="e">
            <v>#N/A</v>
          </cell>
          <cell r="AF954" t="str">
            <v/>
          </cell>
        </row>
        <row r="955">
          <cell r="Y955">
            <v>939</v>
          </cell>
          <cell r="Z955">
            <v>0.57601345889270306</v>
          </cell>
          <cell r="AA955">
            <v>3.2404103943465469E-2</v>
          </cell>
          <cell r="AB955" t="str">
            <v/>
          </cell>
          <cell r="AC955" t="e">
            <v>#N/A</v>
          </cell>
          <cell r="AD955">
            <v>868</v>
          </cell>
          <cell r="AE955" t="e">
            <v>#N/A</v>
          </cell>
          <cell r="AF955" t="str">
            <v/>
          </cell>
        </row>
        <row r="956">
          <cell r="Y956">
            <v>940</v>
          </cell>
          <cell r="Z956">
            <v>7.7101996168494225E-2</v>
          </cell>
          <cell r="AA956">
            <v>-0.24084160456024006</v>
          </cell>
          <cell r="AB956" t="str">
            <v/>
          </cell>
          <cell r="AC956" t="e">
            <v>#N/A</v>
          </cell>
          <cell r="AD956">
            <v>869</v>
          </cell>
          <cell r="AE956" t="e">
            <v>#N/A</v>
          </cell>
          <cell r="AF956" t="str">
            <v/>
          </cell>
        </row>
        <row r="957">
          <cell r="Y957">
            <v>941</v>
          </cell>
          <cell r="Z957">
            <v>0.96401089243590832</v>
          </cell>
          <cell r="AA957">
            <v>0.30412975096245359</v>
          </cell>
          <cell r="AB957" t="str">
            <v/>
          </cell>
          <cell r="AC957" t="e">
            <v>#N/A</v>
          </cell>
          <cell r="AD957">
            <v>870</v>
          </cell>
          <cell r="AE957" t="e">
            <v>#N/A</v>
          </cell>
          <cell r="AF957" t="str">
            <v/>
          </cell>
        </row>
        <row r="958">
          <cell r="Y958">
            <v>942</v>
          </cell>
          <cell r="Z958">
            <v>0.45650068484246731</v>
          </cell>
          <cell r="AA958">
            <v>-1.8467224366508717E-2</v>
          </cell>
          <cell r="AB958" t="str">
            <v/>
          </cell>
          <cell r="AC958" t="e">
            <v>#N/A</v>
          </cell>
          <cell r="AD958">
            <v>871</v>
          </cell>
          <cell r="AE958" t="e">
            <v>#N/A</v>
          </cell>
          <cell r="AF958" t="str">
            <v/>
          </cell>
        </row>
        <row r="959">
          <cell r="Y959">
            <v>943</v>
          </cell>
          <cell r="Z959">
            <v>0.78293357603251934</v>
          </cell>
          <cell r="AA959">
            <v>0.13220563252009701</v>
          </cell>
          <cell r="AB959" t="str">
            <v/>
          </cell>
          <cell r="AC959" t="e">
            <v>#N/A</v>
          </cell>
          <cell r="AD959">
            <v>872</v>
          </cell>
          <cell r="AE959" t="e">
            <v>#N/A</v>
          </cell>
          <cell r="AF959" t="str">
            <v/>
          </cell>
        </row>
        <row r="960">
          <cell r="Y960">
            <v>944</v>
          </cell>
          <cell r="Z960">
            <v>0.93846168182790279</v>
          </cell>
          <cell r="AA960">
            <v>0.26064345568521102</v>
          </cell>
          <cell r="AB960" t="str">
            <v/>
          </cell>
          <cell r="AC960" t="e">
            <v>#N/A</v>
          </cell>
          <cell r="AD960">
            <v>873</v>
          </cell>
          <cell r="AE960" t="e">
            <v>#N/A</v>
          </cell>
          <cell r="AF960" t="str">
            <v/>
          </cell>
        </row>
        <row r="961">
          <cell r="Y961">
            <v>945</v>
          </cell>
          <cell r="Z961">
            <v>1.8280891701579094E-2</v>
          </cell>
          <cell r="AA961">
            <v>-0.35337995222678364</v>
          </cell>
          <cell r="AB961" t="str">
            <v/>
          </cell>
          <cell r="AC961" t="e">
            <v>#N/A</v>
          </cell>
          <cell r="AD961">
            <v>874</v>
          </cell>
          <cell r="AE961" t="e">
            <v>#N/A</v>
          </cell>
          <cell r="AF961" t="str">
            <v/>
          </cell>
        </row>
        <row r="962">
          <cell r="Y962">
            <v>946</v>
          </cell>
          <cell r="Z962">
            <v>0.15466738305985928</v>
          </cell>
          <cell r="AA962">
            <v>-0.17183995544612768</v>
          </cell>
          <cell r="AB962" t="str">
            <v/>
          </cell>
          <cell r="AC962" t="e">
            <v>#N/A</v>
          </cell>
          <cell r="AD962">
            <v>875</v>
          </cell>
          <cell r="AE962" t="e">
            <v>#N/A</v>
          </cell>
          <cell r="AF962" t="str">
            <v/>
          </cell>
        </row>
        <row r="963">
          <cell r="Y963">
            <v>947</v>
          </cell>
          <cell r="Z963">
            <v>0.8412745725363493</v>
          </cell>
          <cell r="AA963">
            <v>0.1689818376924806</v>
          </cell>
          <cell r="AB963" t="str">
            <v/>
          </cell>
          <cell r="AC963" t="e">
            <v>#N/A</v>
          </cell>
          <cell r="AD963">
            <v>876</v>
          </cell>
          <cell r="AE963" t="e">
            <v>#N/A</v>
          </cell>
          <cell r="AF963" t="str">
            <v/>
          </cell>
        </row>
        <row r="964">
          <cell r="Y964">
            <v>948</v>
          </cell>
          <cell r="Z964">
            <v>0.6619329359382391</v>
          </cell>
          <cell r="AA964">
            <v>7.061166318478844E-2</v>
          </cell>
          <cell r="AB964" t="str">
            <v/>
          </cell>
          <cell r="AC964" t="e">
            <v>#N/A</v>
          </cell>
          <cell r="AD964">
            <v>877</v>
          </cell>
          <cell r="AE964" t="e">
            <v>#N/A</v>
          </cell>
          <cell r="AF964" t="str">
            <v/>
          </cell>
        </row>
        <row r="965">
          <cell r="Y965">
            <v>949</v>
          </cell>
          <cell r="Z965">
            <v>0.96451055817306042</v>
          </cell>
          <cell r="AA965">
            <v>0.30520422289216775</v>
          </cell>
          <cell r="AB965" t="str">
            <v/>
          </cell>
          <cell r="AC965" t="e">
            <v>#N/A</v>
          </cell>
          <cell r="AD965">
            <v>878</v>
          </cell>
          <cell r="AE965" t="e">
            <v>#N/A</v>
          </cell>
          <cell r="AF965" t="str">
            <v/>
          </cell>
        </row>
        <row r="966">
          <cell r="Y966">
            <v>950</v>
          </cell>
          <cell r="Z966">
            <v>0.12036786042153835</v>
          </cell>
          <cell r="AA966">
            <v>-0.1982985165884659</v>
          </cell>
          <cell r="AB966" t="str">
            <v/>
          </cell>
          <cell r="AC966" t="e">
            <v>#N/A</v>
          </cell>
          <cell r="AD966">
            <v>879</v>
          </cell>
          <cell r="AE966" t="e">
            <v>#N/A</v>
          </cell>
          <cell r="AF966" t="str">
            <v/>
          </cell>
        </row>
        <row r="967">
          <cell r="Y967">
            <v>951</v>
          </cell>
          <cell r="Z967">
            <v>0.16899756900966167</v>
          </cell>
          <cell r="AA967">
            <v>-0.161954223684352</v>
          </cell>
          <cell r="AB967" t="str">
            <v/>
          </cell>
          <cell r="AC967" t="e">
            <v>#N/A</v>
          </cell>
          <cell r="AD967">
            <v>880</v>
          </cell>
          <cell r="AE967" t="e">
            <v>#N/A</v>
          </cell>
          <cell r="AF967" t="str">
            <v/>
          </cell>
        </row>
        <row r="968">
          <cell r="Y968">
            <v>952</v>
          </cell>
          <cell r="Z968">
            <v>0.88706501387059689</v>
          </cell>
          <cell r="AA968">
            <v>0.20470757764191527</v>
          </cell>
          <cell r="AB968" t="str">
            <v/>
          </cell>
          <cell r="AC968" t="e">
            <v>#N/A</v>
          </cell>
          <cell r="AD968">
            <v>881</v>
          </cell>
          <cell r="AE968" t="e">
            <v>#N/A</v>
          </cell>
          <cell r="AF968" t="str">
            <v/>
          </cell>
        </row>
        <row r="969">
          <cell r="Y969">
            <v>953</v>
          </cell>
          <cell r="Z969">
            <v>0.67055114917457104</v>
          </cell>
          <cell r="AA969">
            <v>7.4616228724273356E-2</v>
          </cell>
          <cell r="AB969" t="str">
            <v/>
          </cell>
          <cell r="AC969" t="e">
            <v>#N/A</v>
          </cell>
          <cell r="AD969">
            <v>882</v>
          </cell>
          <cell r="AE969" t="e">
            <v>#N/A</v>
          </cell>
          <cell r="AF969" t="str">
            <v/>
          </cell>
        </row>
        <row r="970">
          <cell r="Y970">
            <v>954</v>
          </cell>
          <cell r="Z970">
            <v>0.20891064964234829</v>
          </cell>
          <cell r="AA970">
            <v>-0.13694995385806219</v>
          </cell>
          <cell r="AB970" t="str">
            <v/>
          </cell>
          <cell r="AC970" t="e">
            <v>#N/A</v>
          </cell>
          <cell r="AD970">
            <v>883</v>
          </cell>
          <cell r="AE970" t="e">
            <v>#N/A</v>
          </cell>
          <cell r="AF970" t="str">
            <v/>
          </cell>
        </row>
        <row r="971">
          <cell r="Y971">
            <v>955</v>
          </cell>
          <cell r="Z971">
            <v>0.21226192824542522</v>
          </cell>
          <cell r="AA971">
            <v>-0.13498760952273278</v>
          </cell>
          <cell r="AB971" t="str">
            <v/>
          </cell>
          <cell r="AC971" t="e">
            <v>#N/A</v>
          </cell>
          <cell r="AD971">
            <v>884</v>
          </cell>
          <cell r="AE971" t="e">
            <v>#N/A</v>
          </cell>
          <cell r="AF971" t="str">
            <v/>
          </cell>
        </row>
        <row r="972">
          <cell r="Y972">
            <v>956</v>
          </cell>
          <cell r="Z972">
            <v>4.1859319433569908E-2</v>
          </cell>
          <cell r="AA972">
            <v>-0.29233980918284463</v>
          </cell>
          <cell r="AB972" t="str">
            <v/>
          </cell>
          <cell r="AC972" t="e">
            <v>#N/A</v>
          </cell>
          <cell r="AD972">
            <v>885</v>
          </cell>
          <cell r="AE972" t="e">
            <v>#N/A</v>
          </cell>
          <cell r="AF972" t="str">
            <v/>
          </cell>
        </row>
        <row r="973">
          <cell r="Y973">
            <v>957</v>
          </cell>
          <cell r="Z973">
            <v>0.7385068517178297</v>
          </cell>
          <cell r="AA973">
            <v>0.10796826988104673</v>
          </cell>
          <cell r="AB973" t="str">
            <v/>
          </cell>
          <cell r="AC973" t="e">
            <v>#N/A</v>
          </cell>
          <cell r="AD973">
            <v>886</v>
          </cell>
          <cell r="AE973" t="e">
            <v>#N/A</v>
          </cell>
          <cell r="AF973" t="str">
            <v/>
          </cell>
        </row>
        <row r="974">
          <cell r="Y974">
            <v>958</v>
          </cell>
          <cell r="Z974">
            <v>0.11776736937463284</v>
          </cell>
          <cell r="AA974">
            <v>-0.2005080719385669</v>
          </cell>
          <cell r="AB974" t="str">
            <v/>
          </cell>
          <cell r="AC974" t="e">
            <v>#N/A</v>
          </cell>
          <cell r="AD974">
            <v>887</v>
          </cell>
          <cell r="AE974" t="e">
            <v>#N/A</v>
          </cell>
          <cell r="AF974" t="str">
            <v/>
          </cell>
        </row>
        <row r="975">
          <cell r="Y975">
            <v>959</v>
          </cell>
          <cell r="Z975">
            <v>0.2247221302241087</v>
          </cell>
          <cell r="AA975">
            <v>-0.12784510712697081</v>
          </cell>
          <cell r="AB975" t="str">
            <v/>
          </cell>
          <cell r="AC975" t="e">
            <v>#N/A</v>
          </cell>
          <cell r="AD975">
            <v>888</v>
          </cell>
          <cell r="AE975" t="e">
            <v>#N/A</v>
          </cell>
          <cell r="AF975" t="str">
            <v/>
          </cell>
        </row>
        <row r="976">
          <cell r="Y976">
            <v>960</v>
          </cell>
          <cell r="Z976">
            <v>0.22362877987325191</v>
          </cell>
          <cell r="AA976">
            <v>-0.12846260548336549</v>
          </cell>
          <cell r="AB976" t="str">
            <v/>
          </cell>
          <cell r="AC976" t="e">
            <v>#N/A</v>
          </cell>
          <cell r="AD976">
            <v>889</v>
          </cell>
          <cell r="AE976" t="e">
            <v>#N/A</v>
          </cell>
          <cell r="AF976" t="str">
            <v/>
          </cell>
        </row>
        <row r="977">
          <cell r="Y977">
            <v>961</v>
          </cell>
          <cell r="Z977">
            <v>0.70590665750205517</v>
          </cell>
          <cell r="AA977">
            <v>9.1524395326276611E-2</v>
          </cell>
          <cell r="AB977" t="str">
            <v/>
          </cell>
          <cell r="AC977" t="e">
            <v>#N/A</v>
          </cell>
          <cell r="AD977">
            <v>890</v>
          </cell>
          <cell r="AE977" t="e">
            <v>#N/A</v>
          </cell>
          <cell r="AF977" t="str">
            <v/>
          </cell>
        </row>
        <row r="978">
          <cell r="Y978">
            <v>962</v>
          </cell>
          <cell r="Z978">
            <v>0.75180709920823574</v>
          </cell>
          <cell r="AA978">
            <v>0.11497265712377207</v>
          </cell>
          <cell r="AB978" t="str">
            <v/>
          </cell>
          <cell r="AC978" t="e">
            <v>#N/A</v>
          </cell>
          <cell r="AD978">
            <v>891</v>
          </cell>
          <cell r="AE978" t="e">
            <v>#N/A</v>
          </cell>
          <cell r="AF978" t="str">
            <v/>
          </cell>
        </row>
        <row r="979">
          <cell r="Y979">
            <v>963</v>
          </cell>
          <cell r="Z979">
            <v>0.76557464711368084</v>
          </cell>
          <cell r="AA979">
            <v>0.12243754703190798</v>
          </cell>
          <cell r="AB979" t="str">
            <v/>
          </cell>
          <cell r="AC979" t="e">
            <v>#N/A</v>
          </cell>
          <cell r="AD979">
            <v>892</v>
          </cell>
          <cell r="AE979" t="e">
            <v>#N/A</v>
          </cell>
          <cell r="AF979" t="str">
            <v/>
          </cell>
        </row>
        <row r="980">
          <cell r="Y980">
            <v>964</v>
          </cell>
          <cell r="Z980">
            <v>0.42360722087323666</v>
          </cell>
          <cell r="AA980">
            <v>-3.2567816754660507E-2</v>
          </cell>
          <cell r="AB980" t="str">
            <v/>
          </cell>
          <cell r="AC980" t="e">
            <v>#N/A</v>
          </cell>
          <cell r="AD980">
            <v>893</v>
          </cell>
          <cell r="AE980" t="e">
            <v>#N/A</v>
          </cell>
          <cell r="AF980" t="str">
            <v/>
          </cell>
        </row>
        <row r="981">
          <cell r="Y981">
            <v>965</v>
          </cell>
          <cell r="Z981">
            <v>0.71562623791396618</v>
          </cell>
          <cell r="AA981">
            <v>9.6330183727948257E-2</v>
          </cell>
          <cell r="AB981" t="str">
            <v/>
          </cell>
          <cell r="AC981" t="e">
            <v>#N/A</v>
          </cell>
          <cell r="AD981">
            <v>894</v>
          </cell>
          <cell r="AE981" t="e">
            <v>#N/A</v>
          </cell>
          <cell r="AF981" t="str">
            <v/>
          </cell>
        </row>
        <row r="982">
          <cell r="Y982">
            <v>966</v>
          </cell>
          <cell r="Z982">
            <v>0.68228075467050076</v>
          </cell>
          <cell r="AA982">
            <v>8.0135181561838117E-2</v>
          </cell>
          <cell r="AB982" t="str">
            <v/>
          </cell>
          <cell r="AC982" t="e">
            <v>#N/A</v>
          </cell>
          <cell r="AD982">
            <v>895</v>
          </cell>
          <cell r="AE982" t="e">
            <v>#N/A</v>
          </cell>
          <cell r="AF982" t="str">
            <v/>
          </cell>
        </row>
        <row r="983">
          <cell r="Y983">
            <v>967</v>
          </cell>
          <cell r="Z983">
            <v>0.4163548182696104</v>
          </cell>
          <cell r="AA983">
            <v>-3.5703989282812355E-2</v>
          </cell>
          <cell r="AB983" t="str">
            <v/>
          </cell>
          <cell r="AC983" t="e">
            <v>#N/A</v>
          </cell>
          <cell r="AD983">
            <v>896</v>
          </cell>
          <cell r="AE983" t="e">
            <v>#N/A</v>
          </cell>
          <cell r="AF983" t="str">
            <v/>
          </cell>
        </row>
        <row r="984">
          <cell r="Y984">
            <v>968</v>
          </cell>
          <cell r="Z984">
            <v>0.59530874155461788</v>
          </cell>
          <cell r="AA984">
            <v>4.0774078541102036E-2</v>
          </cell>
          <cell r="AB984" t="str">
            <v/>
          </cell>
          <cell r="AC984" t="e">
            <v>#N/A</v>
          </cell>
          <cell r="AD984">
            <v>897</v>
          </cell>
          <cell r="AE984" t="e">
            <v>#N/A</v>
          </cell>
          <cell r="AF984" t="str">
            <v/>
          </cell>
        </row>
        <row r="985">
          <cell r="Y985">
            <v>969</v>
          </cell>
          <cell r="Z985">
            <v>0.15455981902778149</v>
          </cell>
          <cell r="AA985">
            <v>-0.17191638256993508</v>
          </cell>
          <cell r="AB985" t="str">
            <v/>
          </cell>
          <cell r="AC985" t="e">
            <v>#N/A</v>
          </cell>
          <cell r="AD985">
            <v>898</v>
          </cell>
          <cell r="AE985" t="e">
            <v>#N/A</v>
          </cell>
          <cell r="AF985" t="str">
            <v/>
          </cell>
        </row>
        <row r="986">
          <cell r="Y986">
            <v>970</v>
          </cell>
          <cell r="Z986">
            <v>0.19955546222627163</v>
          </cell>
          <cell r="AA986">
            <v>-0.14252852867630059</v>
          </cell>
          <cell r="AB986" t="str">
            <v/>
          </cell>
          <cell r="AC986" t="e">
            <v>#N/A</v>
          </cell>
          <cell r="AD986">
            <v>899</v>
          </cell>
          <cell r="AE986" t="e">
            <v>#N/A</v>
          </cell>
          <cell r="AF986" t="str">
            <v/>
          </cell>
        </row>
        <row r="987">
          <cell r="Y987">
            <v>971</v>
          </cell>
          <cell r="Z987">
            <v>0.21648372523486614</v>
          </cell>
          <cell r="AA987">
            <v>-0.13254111921604891</v>
          </cell>
          <cell r="AB987" t="str">
            <v/>
          </cell>
          <cell r="AC987" t="e">
            <v>#N/A</v>
          </cell>
          <cell r="AD987">
            <v>900</v>
          </cell>
          <cell r="AE987" t="e">
            <v>#N/A</v>
          </cell>
          <cell r="AF987" t="str">
            <v/>
          </cell>
        </row>
        <row r="988">
          <cell r="Y988">
            <v>972</v>
          </cell>
          <cell r="Z988">
            <v>6.6637089475989342E-2</v>
          </cell>
          <cell r="AA988">
            <v>-0.25376850499946657</v>
          </cell>
          <cell r="AB988" t="str">
            <v/>
          </cell>
          <cell r="AC988" t="e">
            <v>#N/A</v>
          </cell>
          <cell r="AD988">
            <v>901</v>
          </cell>
          <cell r="AE988" t="e">
            <v>#N/A</v>
          </cell>
          <cell r="AF988" t="str">
            <v/>
          </cell>
        </row>
        <row r="989">
          <cell r="Y989">
            <v>973</v>
          </cell>
          <cell r="Z989">
            <v>0.76104205660521984</v>
          </cell>
          <cell r="AA989">
            <v>0.11995419273581129</v>
          </cell>
          <cell r="AB989" t="str">
            <v/>
          </cell>
          <cell r="AC989" t="e">
            <v>#N/A</v>
          </cell>
          <cell r="AD989">
            <v>902</v>
          </cell>
          <cell r="AE989" t="e">
            <v>#N/A</v>
          </cell>
          <cell r="AF989" t="str">
            <v/>
          </cell>
        </row>
        <row r="990">
          <cell r="Y990">
            <v>974</v>
          </cell>
          <cell r="Z990">
            <v>0.45959893427789211</v>
          </cell>
          <cell r="AA990">
            <v>-1.714719568884971E-2</v>
          </cell>
          <cell r="AB990" t="str">
            <v/>
          </cell>
          <cell r="AC990" t="e">
            <v>#N/A</v>
          </cell>
          <cell r="AD990">
            <v>903</v>
          </cell>
          <cell r="AE990" t="e">
            <v>#N/A</v>
          </cell>
          <cell r="AF990" t="str">
            <v/>
          </cell>
        </row>
        <row r="991">
          <cell r="Y991">
            <v>975</v>
          </cell>
          <cell r="Z991">
            <v>0.3175650667399168</v>
          </cell>
          <cell r="AA991">
            <v>-8.02082836899808E-2</v>
          </cell>
          <cell r="AB991" t="str">
            <v/>
          </cell>
          <cell r="AC991" t="e">
            <v>#N/A</v>
          </cell>
          <cell r="AD991">
            <v>904</v>
          </cell>
          <cell r="AE991" t="e">
            <v>#N/A</v>
          </cell>
          <cell r="AF991" t="str">
            <v/>
          </cell>
        </row>
        <row r="992">
          <cell r="Y992">
            <v>976</v>
          </cell>
          <cell r="Z992">
            <v>0.79574503563344479</v>
          </cell>
          <cell r="AA992">
            <v>0.13970715499357012</v>
          </cell>
          <cell r="AB992" t="str">
            <v/>
          </cell>
          <cell r="AC992" t="e">
            <v>#N/A</v>
          </cell>
          <cell r="AD992">
            <v>905</v>
          </cell>
          <cell r="AE992" t="e">
            <v>#N/A</v>
          </cell>
          <cell r="AF992" t="str">
            <v/>
          </cell>
        </row>
        <row r="993">
          <cell r="Y993">
            <v>977</v>
          </cell>
          <cell r="Z993">
            <v>0.70101991109549999</v>
          </cell>
          <cell r="AA993">
            <v>8.9136077394841737E-2</v>
          </cell>
          <cell r="AB993" t="str">
            <v/>
          </cell>
          <cell r="AC993" t="e">
            <v>#N/A</v>
          </cell>
          <cell r="AD993">
            <v>906</v>
          </cell>
          <cell r="AE993" t="e">
            <v>#N/A</v>
          </cell>
          <cell r="AF993" t="str">
            <v/>
          </cell>
        </row>
        <row r="994">
          <cell r="Y994">
            <v>978</v>
          </cell>
          <cell r="Z994">
            <v>0.22421384416520596</v>
          </cell>
          <cell r="AA994">
            <v>-0.12813196233554777</v>
          </cell>
          <cell r="AB994" t="str">
            <v/>
          </cell>
          <cell r="AC994" t="e">
            <v>#N/A</v>
          </cell>
          <cell r="AD994">
            <v>907</v>
          </cell>
          <cell r="AE994" t="e">
            <v>#N/A</v>
          </cell>
          <cell r="AF994" t="str">
            <v/>
          </cell>
        </row>
        <row r="995">
          <cell r="Y995">
            <v>979</v>
          </cell>
          <cell r="Z995">
            <v>0.35643203370273113</v>
          </cell>
          <cell r="AA995">
            <v>-6.2205431173468495E-2</v>
          </cell>
          <cell r="AB995" t="str">
            <v/>
          </cell>
          <cell r="AC995" t="e">
            <v>#N/A</v>
          </cell>
          <cell r="AD995">
            <v>908</v>
          </cell>
          <cell r="AE995" t="e">
            <v>#N/A</v>
          </cell>
          <cell r="AF995" t="str">
            <v/>
          </cell>
        </row>
        <row r="996">
          <cell r="Y996">
            <v>980</v>
          </cell>
          <cell r="Z996">
            <v>0.97064374946057796</v>
          </cell>
          <cell r="AA996">
            <v>0.31952578038074309</v>
          </cell>
          <cell r="AB996" t="str">
            <v/>
          </cell>
          <cell r="AC996" t="e">
            <v>#N/A</v>
          </cell>
          <cell r="AD996">
            <v>909</v>
          </cell>
          <cell r="AE996" t="e">
            <v>#N/A</v>
          </cell>
          <cell r="AF996" t="str">
            <v/>
          </cell>
        </row>
        <row r="997">
          <cell r="Y997">
            <v>981</v>
          </cell>
          <cell r="Z997">
            <v>0.11297452263534069</v>
          </cell>
          <cell r="AA997">
            <v>-0.20467270492087164</v>
          </cell>
          <cell r="AB997" t="str">
            <v/>
          </cell>
          <cell r="AC997" t="e">
            <v>#N/A</v>
          </cell>
          <cell r="AD997">
            <v>910</v>
          </cell>
          <cell r="AE997" t="e">
            <v>#N/A</v>
          </cell>
          <cell r="AF997" t="str">
            <v/>
          </cell>
        </row>
        <row r="998">
          <cell r="Y998">
            <v>982</v>
          </cell>
          <cell r="Z998">
            <v>0.69502220116555691</v>
          </cell>
          <cell r="AA998">
            <v>8.6228864065090116E-2</v>
          </cell>
          <cell r="AB998" t="str">
            <v/>
          </cell>
          <cell r="AC998" t="e">
            <v>#N/A</v>
          </cell>
          <cell r="AD998">
            <v>911</v>
          </cell>
          <cell r="AE998" t="e">
            <v>#N/A</v>
          </cell>
          <cell r="AF998" t="str">
            <v/>
          </cell>
        </row>
        <row r="999">
          <cell r="Y999">
            <v>983</v>
          </cell>
          <cell r="Z999">
            <v>4.6944184228777885E-2</v>
          </cell>
          <cell r="AA999">
            <v>-0.28316619461862941</v>
          </cell>
          <cell r="AB999" t="str">
            <v/>
          </cell>
          <cell r="AC999" t="e">
            <v>#N/A</v>
          </cell>
          <cell r="AD999">
            <v>912</v>
          </cell>
          <cell r="AE999" t="e">
            <v>#N/A</v>
          </cell>
          <cell r="AF999" t="str">
            <v/>
          </cell>
        </row>
        <row r="1000">
          <cell r="Y1000">
            <v>984</v>
          </cell>
          <cell r="Z1000">
            <v>0.45256217382848263</v>
          </cell>
          <cell r="AA1000">
            <v>-2.0146889826662892E-2</v>
          </cell>
          <cell r="AB1000" t="str">
            <v/>
          </cell>
          <cell r="AC1000" t="e">
            <v>#N/A</v>
          </cell>
          <cell r="AD1000">
            <v>913</v>
          </cell>
          <cell r="AE1000" t="e">
            <v>#N/A</v>
          </cell>
          <cell r="AF1000" t="str">
            <v/>
          </cell>
        </row>
        <row r="1001">
          <cell r="Y1001">
            <v>985</v>
          </cell>
          <cell r="Z1001">
            <v>0.62159308604896069</v>
          </cell>
          <cell r="AA1001">
            <v>5.2343359258724582E-2</v>
          </cell>
          <cell r="AB1001" t="str">
            <v/>
          </cell>
          <cell r="AC1001" t="e">
            <v>#N/A</v>
          </cell>
          <cell r="AD1001">
            <v>914</v>
          </cell>
          <cell r="AE1001" t="e">
            <v>#N/A</v>
          </cell>
          <cell r="AF1001" t="str">
            <v/>
          </cell>
        </row>
        <row r="1002">
          <cell r="Y1002">
            <v>986</v>
          </cell>
          <cell r="Z1002">
            <v>0.94119972549378872</v>
          </cell>
          <cell r="AA1002">
            <v>0.2645205662121255</v>
          </cell>
          <cell r="AB1002" t="str">
            <v/>
          </cell>
          <cell r="AC1002" t="e">
            <v>#N/A</v>
          </cell>
          <cell r="AD1002">
            <v>915</v>
          </cell>
          <cell r="AE1002" t="e">
            <v>#N/A</v>
          </cell>
          <cell r="AF1002" t="str">
            <v/>
          </cell>
        </row>
        <row r="1003">
          <cell r="Y1003">
            <v>987</v>
          </cell>
          <cell r="Z1003">
            <v>0.49053431861102581</v>
          </cell>
          <cell r="AA1003">
            <v>-4.0109620168016693E-3</v>
          </cell>
          <cell r="AB1003" t="str">
            <v/>
          </cell>
          <cell r="AC1003" t="e">
            <v>#N/A</v>
          </cell>
          <cell r="AD1003">
            <v>916</v>
          </cell>
          <cell r="AE1003" t="e">
            <v>#N/A</v>
          </cell>
          <cell r="AF1003" t="str">
            <v/>
          </cell>
        </row>
        <row r="1004">
          <cell r="Y1004">
            <v>988</v>
          </cell>
          <cell r="Z1004">
            <v>0.56305640004575253</v>
          </cell>
          <cell r="AA1004">
            <v>2.6829065863458651E-2</v>
          </cell>
          <cell r="AB1004" t="str">
            <v/>
          </cell>
          <cell r="AC1004" t="e">
            <v>#N/A</v>
          </cell>
          <cell r="AD1004">
            <v>917</v>
          </cell>
          <cell r="AE1004" t="e">
            <v>#N/A</v>
          </cell>
          <cell r="AF1004" t="str">
            <v/>
          </cell>
        </row>
        <row r="1005">
          <cell r="Y1005">
            <v>989</v>
          </cell>
          <cell r="Z1005">
            <v>0.32019072584807873</v>
          </cell>
          <cell r="AA1005">
            <v>-7.8965387446822993E-2</v>
          </cell>
          <cell r="AB1005" t="str">
            <v/>
          </cell>
          <cell r="AC1005" t="e">
            <v>#N/A</v>
          </cell>
          <cell r="AD1005">
            <v>918</v>
          </cell>
          <cell r="AE1005" t="e">
            <v>#N/A</v>
          </cell>
          <cell r="AF1005" t="str">
            <v/>
          </cell>
        </row>
        <row r="1006">
          <cell r="Y1006">
            <v>990</v>
          </cell>
          <cell r="Z1006">
            <v>0.42096022330224514</v>
          </cell>
          <cell r="AA1006">
            <v>-3.3711108114676258E-2</v>
          </cell>
          <cell r="AB1006" t="str">
            <v/>
          </cell>
          <cell r="AC1006" t="e">
            <v>#N/A</v>
          </cell>
          <cell r="AD1006">
            <v>919</v>
          </cell>
          <cell r="AE1006" t="e">
            <v>#N/A</v>
          </cell>
          <cell r="AF1006" t="str">
            <v/>
          </cell>
        </row>
        <row r="1007">
          <cell r="Y1007">
            <v>991</v>
          </cell>
          <cell r="Z1007">
            <v>0.70550535432994366</v>
          </cell>
          <cell r="AA1007">
            <v>9.1327581315960984E-2</v>
          </cell>
          <cell r="AB1007" t="str">
            <v/>
          </cell>
          <cell r="AC1007" t="e">
            <v>#N/A</v>
          </cell>
          <cell r="AD1007">
            <v>920</v>
          </cell>
          <cell r="AE1007" t="e">
            <v>#N/A</v>
          </cell>
          <cell r="AF1007" t="str">
            <v/>
          </cell>
        </row>
        <row r="1008">
          <cell r="Y1008">
            <v>992</v>
          </cell>
          <cell r="Z1008">
            <v>0.71486904285848141</v>
          </cell>
          <cell r="AA1008">
            <v>9.5953034217156716E-2</v>
          </cell>
          <cell r="AB1008" t="str">
            <v/>
          </cell>
          <cell r="AC1008" t="e">
            <v>#N/A</v>
          </cell>
          <cell r="AD1008">
            <v>921</v>
          </cell>
          <cell r="AE1008" t="e">
            <v>#N/A</v>
          </cell>
          <cell r="AF1008" t="str">
            <v/>
          </cell>
        </row>
        <row r="1009">
          <cell r="Y1009">
            <v>993</v>
          </cell>
          <cell r="Z1009">
            <v>0.72188237123191357</v>
          </cell>
          <cell r="AA1009">
            <v>9.9464951766656373E-2</v>
          </cell>
          <cell r="AB1009" t="str">
            <v/>
          </cell>
          <cell r="AC1009" t="e">
            <v>#N/A</v>
          </cell>
          <cell r="AD1009">
            <v>922</v>
          </cell>
          <cell r="AE1009" t="e">
            <v>#N/A</v>
          </cell>
          <cell r="AF1009" t="str">
            <v/>
          </cell>
        </row>
        <row r="1010">
          <cell r="Y1010">
            <v>994</v>
          </cell>
          <cell r="Z1010">
            <v>9.678996168076992E-2</v>
          </cell>
          <cell r="AA1010">
            <v>-0.21975048599934105</v>
          </cell>
          <cell r="AB1010" t="str">
            <v/>
          </cell>
          <cell r="AC1010" t="e">
            <v>#N/A</v>
          </cell>
          <cell r="AD1010">
            <v>923</v>
          </cell>
          <cell r="AE1010" t="e">
            <v>#N/A</v>
          </cell>
          <cell r="AF1010" t="str">
            <v/>
          </cell>
        </row>
        <row r="1011">
          <cell r="Y1011">
            <v>995</v>
          </cell>
          <cell r="Z1011">
            <v>0.87507720105350018</v>
          </cell>
          <cell r="AA1011">
            <v>0.19450793980839567</v>
          </cell>
          <cell r="AB1011" t="str">
            <v/>
          </cell>
          <cell r="AC1011" t="e">
            <v>#N/A</v>
          </cell>
          <cell r="AD1011">
            <v>924</v>
          </cell>
          <cell r="AE1011" t="e">
            <v>#N/A</v>
          </cell>
          <cell r="AF1011" t="str">
            <v/>
          </cell>
        </row>
        <row r="1012">
          <cell r="Y1012">
            <v>996</v>
          </cell>
          <cell r="Z1012">
            <v>0.38653861545026302</v>
          </cell>
          <cell r="AA1012">
            <v>-4.8740400600331885E-2</v>
          </cell>
          <cell r="AB1012" t="str">
            <v/>
          </cell>
          <cell r="AC1012" t="e">
            <v>#N/A</v>
          </cell>
          <cell r="AD1012">
            <v>925</v>
          </cell>
          <cell r="AE1012" t="e">
            <v>#N/A</v>
          </cell>
          <cell r="AF1012" t="str">
            <v/>
          </cell>
        </row>
        <row r="1013">
          <cell r="Y1013">
            <v>997</v>
          </cell>
          <cell r="Z1013">
            <v>0.17950463108718395</v>
          </cell>
          <cell r="AA1013">
            <v>-0.15504431893210771</v>
          </cell>
          <cell r="AB1013" t="str">
            <v/>
          </cell>
          <cell r="AC1013" t="e">
            <v>#N/A</v>
          </cell>
          <cell r="AD1013">
            <v>926</v>
          </cell>
          <cell r="AE1013" t="e">
            <v>#N/A</v>
          </cell>
          <cell r="AF1013" t="str">
            <v/>
          </cell>
        </row>
        <row r="1014">
          <cell r="Y1014">
            <v>998</v>
          </cell>
          <cell r="Z1014">
            <v>0.64443204365670681</v>
          </cell>
          <cell r="AA1014">
            <v>6.2597356309125871E-2</v>
          </cell>
          <cell r="AB1014" t="str">
            <v/>
          </cell>
          <cell r="AC1014" t="e">
            <v>#N/A</v>
          </cell>
          <cell r="AD1014">
            <v>927</v>
          </cell>
          <cell r="AE1014" t="e">
            <v>#N/A</v>
          </cell>
          <cell r="AF1014" t="str">
            <v/>
          </cell>
        </row>
        <row r="1015">
          <cell r="Y1015">
            <v>999</v>
          </cell>
          <cell r="Z1015">
            <v>0.81418363563716412</v>
          </cell>
          <cell r="AA1015">
            <v>0.15101540627250015</v>
          </cell>
          <cell r="AB1015" t="str">
            <v/>
          </cell>
          <cell r="AC1015" t="e">
            <v>#N/A</v>
          </cell>
          <cell r="AD1015">
            <v>928</v>
          </cell>
          <cell r="AE1015" t="e">
            <v>#N/A</v>
          </cell>
          <cell r="AF1015" t="str">
            <v/>
          </cell>
        </row>
        <row r="1016">
          <cell r="Y1016">
            <v>1000</v>
          </cell>
          <cell r="Z1016">
            <v>0.94075890444219112</v>
          </cell>
          <cell r="AA1016">
            <v>0.26388693566137</v>
          </cell>
          <cell r="AB1016" t="str">
            <v/>
          </cell>
          <cell r="AC1016" t="e">
            <v>#N/A</v>
          </cell>
          <cell r="AD1016">
            <v>929</v>
          </cell>
          <cell r="AE1016" t="e">
            <v>#N/A</v>
          </cell>
          <cell r="AF1016" t="str">
            <v/>
          </cell>
        </row>
      </sheetData>
      <sheetData sheetId="2"/>
      <sheetData sheetId="3"/>
    </sheetDataSet>
  </externalBook>
</externalLink>
</file>

<file path=xl/externalLinks/externalLink33.xml><?xml version="1.0" encoding="utf-8"?>
<externalLink xmlns="http://schemas.openxmlformats.org/spreadsheetml/2006/main">
  <externalBook xmlns:r="http://schemas.openxmlformats.org/officeDocument/2006/relationships" r:id="rId1">
    <sheetNames>
      <sheetName val="Intro"/>
      <sheetName val="Two proportions"/>
    </sheetNames>
    <sheetDataSet>
      <sheetData sheetId="0" refreshError="1"/>
      <sheetData sheetId="1">
        <row r="4">
          <cell r="G4" t="str">
            <v>Probe duration</v>
          </cell>
        </row>
        <row r="6">
          <cell r="G6" t="str">
            <v>20 ms</v>
          </cell>
          <cell r="I6" t="str">
            <v>10 ms</v>
          </cell>
        </row>
        <row r="8">
          <cell r="E8" t="str">
            <v>Error</v>
          </cell>
        </row>
        <row r="9">
          <cell r="B9" t="str">
            <v>Accuracy</v>
          </cell>
        </row>
        <row r="11">
          <cell r="E11" t="str">
            <v>Correct</v>
          </cell>
        </row>
      </sheetData>
    </sheetDataSet>
  </externalBook>
</externalLink>
</file>

<file path=xl/externalLinks/externalLink34.xml><?xml version="1.0" encoding="utf-8"?>
<externalLink xmlns="http://schemas.openxmlformats.org/spreadsheetml/2006/main">
  <externalBook xmlns:r="http://schemas.openxmlformats.org/officeDocument/2006/relationships" r:id="rId1">
    <sheetNames>
      <sheetName val="Intro"/>
      <sheetName val="Two proportions"/>
    </sheetNames>
    <sheetDataSet>
      <sheetData sheetId="0" refreshError="1"/>
      <sheetData sheetId="1">
        <row r="4">
          <cell r="G4" t="str">
            <v>Probe duration</v>
          </cell>
        </row>
        <row r="6">
          <cell r="G6" t="str">
            <v>20 ms</v>
          </cell>
          <cell r="I6" t="str">
            <v>10 ms</v>
          </cell>
        </row>
        <row r="8">
          <cell r="E8" t="str">
            <v>Error</v>
          </cell>
        </row>
        <row r="9">
          <cell r="B9" t="str">
            <v>Accuracy</v>
          </cell>
        </row>
        <row r="11">
          <cell r="E11" t="str">
            <v>Correct</v>
          </cell>
        </row>
      </sheetData>
    </sheetDataSet>
  </externalBook>
</externalLink>
</file>

<file path=xl/externalLinks/externalLink35.xml><?xml version="1.0" encoding="utf-8"?>
<externalLink xmlns="http://schemas.openxmlformats.org/spreadsheetml/2006/main">
  <externalBook xmlns:r="http://schemas.openxmlformats.org/officeDocument/2006/relationships" r:id="rId1">
    <sheetNames>
      <sheetName val="Intro"/>
      <sheetName val="Two proportions"/>
    </sheetNames>
    <sheetDataSet>
      <sheetData sheetId="0"/>
      <sheetData sheetId="1">
        <row r="4">
          <cell r="G4" t="str">
            <v>Probe duration</v>
          </cell>
        </row>
        <row r="6">
          <cell r="G6" t="str">
            <v>20 ms</v>
          </cell>
          <cell r="I6" t="str">
            <v>10 ms</v>
          </cell>
        </row>
        <row r="8">
          <cell r="E8" t="str">
            <v>Error</v>
          </cell>
        </row>
        <row r="9">
          <cell r="B9" t="str">
            <v>Accuracy</v>
          </cell>
        </row>
        <row r="11">
          <cell r="E11" t="str">
            <v>Correct</v>
          </cell>
        </row>
      </sheetData>
    </sheetDataSet>
  </externalBook>
</externalLink>
</file>

<file path=xl/externalLinks/externalLink36.xml><?xml version="1.0" encoding="utf-8"?>
<externalLink xmlns="http://schemas.openxmlformats.org/spreadsheetml/2006/main">
  <externalBook xmlns:r="http://schemas.openxmlformats.org/officeDocument/2006/relationships" r:id="rId1">
    <sheetNames>
      <sheetName val="Intro"/>
      <sheetName val="CIjumping"/>
      <sheetName val="Simulate One"/>
      <sheetName val="Data One"/>
      <sheetName val="Simulate Two"/>
      <sheetName val="Data Two"/>
      <sheetName val="Simulate Paired"/>
      <sheetName val="Data Paired"/>
      <sheetName val="Two proportions"/>
      <sheetName val="Helen Lab Data"/>
      <sheetName val="MA Original units"/>
      <sheetName val="MA  Standardised units"/>
    </sheetNames>
    <sheetDataSet>
      <sheetData sheetId="0" refreshError="1"/>
      <sheetData sheetId="1">
        <row r="27">
          <cell r="G27">
            <v>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7.xml><?xml version="1.0" encoding="utf-8"?>
<externalLink xmlns="http://schemas.openxmlformats.org/spreadsheetml/2006/main">
  <externalBook xmlns:r="http://schemas.openxmlformats.org/officeDocument/2006/relationships" r:id="rId1">
    <sheetNames>
      <sheetName val="Intro"/>
      <sheetName val="CIjumping"/>
      <sheetName val="Simulate One"/>
      <sheetName val="Data One"/>
      <sheetName val="Simulate Two"/>
      <sheetName val="Data Two"/>
      <sheetName val="Simulate Paired"/>
      <sheetName val="Data Paired"/>
      <sheetName val="Two proportions"/>
      <sheetName val="Helen Lab Data"/>
      <sheetName val="MA Original units"/>
      <sheetName val="MA  Standardised units"/>
    </sheetNames>
    <sheetDataSet>
      <sheetData sheetId="0" refreshError="1"/>
      <sheetData sheetId="1">
        <row r="27">
          <cell r="G27">
            <v>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8.xml><?xml version="1.0" encoding="utf-8"?>
<externalLink xmlns="http://schemas.openxmlformats.org/spreadsheetml/2006/main">
  <externalBook xmlns:r="http://schemas.openxmlformats.org/officeDocument/2006/relationships" r:id="rId1">
    <sheetNames>
      <sheetName val="Intro"/>
      <sheetName val="CIjumping"/>
      <sheetName val="Simulate One"/>
      <sheetName val="Data One"/>
      <sheetName val="Simulate Two"/>
      <sheetName val="Data Two"/>
      <sheetName val="Simulate Paired"/>
      <sheetName val="Data Paired"/>
      <sheetName val="Two proportions"/>
      <sheetName val="Helen Lab Data"/>
      <sheetName val="MA Original units"/>
      <sheetName val="MA  Standardised units"/>
    </sheetNames>
    <sheetDataSet>
      <sheetData sheetId="0" refreshError="1"/>
      <sheetData sheetId="1">
        <row r="27">
          <cell r="G27">
            <v>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9.xml><?xml version="1.0" encoding="utf-8"?>
<externalLink xmlns="http://schemas.openxmlformats.org/spreadsheetml/2006/main">
  <externalBook xmlns:r="http://schemas.openxmlformats.org/officeDocument/2006/relationships" r:id="rId1">
    <sheetNames>
      <sheetName val="Title"/>
      <sheetName val="Two Independent Groups"/>
      <sheetName val="Star Games"/>
      <sheetName val="Two Independent Groups Repeated"/>
      <sheetName val="Paired Data"/>
      <sheetName val="IBITwo-18.4.1b"/>
    </sheetNames>
    <sheetDataSet>
      <sheetData sheetId="0"/>
      <sheetData sheetId="1"/>
      <sheetData sheetId="2"/>
      <sheetData sheetId="3"/>
      <sheetData sheetId="4">
        <row r="3">
          <cell r="K3">
            <v>40</v>
          </cell>
        </row>
        <row r="5">
          <cell r="K5">
            <v>30</v>
          </cell>
        </row>
        <row r="6">
          <cell r="K6">
            <v>15</v>
          </cell>
        </row>
        <row r="8">
          <cell r="K8">
            <v>10</v>
          </cell>
        </row>
        <row r="11">
          <cell r="H11">
            <v>15</v>
          </cell>
        </row>
      </sheetData>
      <sheetData sheetId="5" refreshError="1"/>
    </sheetDataSet>
  </externalBook>
</externalLink>
</file>

<file path=xl/externalLinks/externalLink40.xml><?xml version="1.0" encoding="utf-8"?>
<externalLink xmlns="http://schemas.openxmlformats.org/spreadsheetml/2006/main">
  <externalBook xmlns:r="http://schemas.openxmlformats.org/officeDocument/2006/relationships" r:id="rId1">
    <sheetNames>
      <sheetName val="Intro"/>
      <sheetName val="Data two"/>
      <sheetName val="Data paired"/>
      <sheetName val="Summary two"/>
      <sheetName val="Summary paired"/>
      <sheetName val="d picture"/>
      <sheetName val="See r"/>
      <sheetName val="Scatterplots"/>
      <sheetName val="One correlation"/>
      <sheetName val="Two correlations"/>
      <sheetName val="One proportion"/>
      <sheetName val="Two proportions"/>
      <sheetName val="ESCI intro chapters 6, 8-10 Nov"/>
    </sheetNames>
    <definedNames>
      <definedName name="ShiftDataTwo"/>
    </definedNames>
    <sheetDataSet>
      <sheetData sheetId="0" refreshError="1"/>
      <sheetData sheetId="1" refreshError="1"/>
      <sheetData sheetId="2"/>
      <sheetData sheetId="3" refreshError="1"/>
      <sheetData sheetId="4" refreshError="1"/>
      <sheetData sheetId="5" refreshError="1"/>
      <sheetData sheetId="6"/>
      <sheetData sheetId="7"/>
      <sheetData sheetId="8" refreshError="1"/>
      <sheetData sheetId="9" refreshError="1"/>
      <sheetData sheetId="10"/>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oleObject" Target="../embeddings/oleObject2.bin"/><Relationship Id="rId4" Type="http://schemas.openxmlformats.org/officeDocument/2006/relationships/oleObject" Target="../embeddings/oleObject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oleObject" Target="../embeddings/oleObject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oleObject" Target="../embeddings/oleObject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9.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1.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sheetPr codeName="Sheet11"/>
  <dimension ref="A2:S759"/>
  <sheetViews>
    <sheetView showGridLines="0" showRowColHeaders="0" tabSelected="1" zoomScale="120" workbookViewId="0">
      <selection activeCell="B2" sqref="B2"/>
    </sheetView>
  </sheetViews>
  <sheetFormatPr defaultRowHeight="11.25"/>
  <cols>
    <col min="1" max="1" width="4.28515625" style="1" customWidth="1"/>
    <col min="2" max="2" width="5.7109375" style="1" customWidth="1"/>
    <col min="3" max="3" width="3.7109375" style="1" customWidth="1"/>
    <col min="4" max="4" width="6" style="1" customWidth="1"/>
    <col min="5" max="5" width="4.28515625" style="1" customWidth="1"/>
    <col min="6" max="7" width="2.85546875" style="1" customWidth="1"/>
    <col min="8" max="8" width="5.5703125" style="1" customWidth="1"/>
    <col min="9" max="9" width="5.7109375" style="1" customWidth="1"/>
    <col min="10" max="10" width="7" style="1" customWidth="1"/>
    <col min="11" max="11" width="5.7109375" style="1" customWidth="1"/>
    <col min="12" max="12" width="3.5703125" style="1" customWidth="1"/>
    <col min="13" max="13" width="7" style="1" customWidth="1"/>
    <col min="14" max="14" width="9.140625" style="1"/>
    <col min="15" max="15" width="25.85546875" style="1" customWidth="1"/>
    <col min="16" max="16" width="18.28515625" style="1" customWidth="1"/>
    <col min="17" max="17" width="11.28515625" style="1" customWidth="1"/>
    <col min="18" max="18" width="14" style="1" customWidth="1"/>
    <col min="19" max="19" width="12.28515625" style="1" customWidth="1"/>
    <col min="20" max="16384" width="9.140625" style="1"/>
  </cols>
  <sheetData>
    <row r="2" spans="1:19" ht="20.25">
      <c r="F2" s="2" t="s">
        <v>1174</v>
      </c>
    </row>
    <row r="3" spans="1:19" ht="15.75">
      <c r="F3" s="3" t="s">
        <v>1330</v>
      </c>
      <c r="M3" s="4" t="s">
        <v>1273</v>
      </c>
    </row>
    <row r="4" spans="1:19" ht="12" customHeight="1"/>
    <row r="5" spans="1:19" s="5" customFormat="1" ht="12" customHeight="1">
      <c r="G5" s="5" t="s">
        <v>1175</v>
      </c>
      <c r="L5" s="6"/>
      <c r="N5" s="5" t="s">
        <v>1255</v>
      </c>
    </row>
    <row r="6" spans="1:19" s="5" customFormat="1" ht="12" customHeight="1">
      <c r="H6" s="5" t="s">
        <v>1176</v>
      </c>
      <c r="L6" s="6"/>
      <c r="M6" s="6"/>
      <c r="N6" s="5" t="s">
        <v>1274</v>
      </c>
      <c r="O6" s="6"/>
    </row>
    <row r="7" spans="1:19" s="5" customFormat="1" ht="12" customHeight="1">
      <c r="H7" s="5" t="s">
        <v>1276</v>
      </c>
      <c r="L7" s="6"/>
      <c r="M7" s="6"/>
      <c r="N7" s="5" t="s">
        <v>1277</v>
      </c>
    </row>
    <row r="8" spans="1:19" s="5" customFormat="1" ht="12" customHeight="1">
      <c r="H8" s="5" t="s">
        <v>1278</v>
      </c>
      <c r="L8" s="6"/>
      <c r="M8" s="6"/>
      <c r="N8" s="5" t="s">
        <v>1279</v>
      </c>
    </row>
    <row r="9" spans="1:19" s="5" customFormat="1" ht="12" customHeight="1">
      <c r="H9" s="7" t="s">
        <v>1177</v>
      </c>
      <c r="L9" s="6"/>
      <c r="M9" s="6"/>
      <c r="N9" s="5" t="s">
        <v>1281</v>
      </c>
    </row>
    <row r="10" spans="1:19" s="5" customFormat="1" ht="12" customHeight="1">
      <c r="L10" s="6"/>
      <c r="M10" s="6"/>
    </row>
    <row r="11" spans="1:19" s="5" customFormat="1" ht="6" customHeight="1">
      <c r="B11" s="8"/>
      <c r="C11" s="9"/>
      <c r="D11" s="9"/>
      <c r="E11" s="9"/>
      <c r="F11" s="9"/>
      <c r="G11" s="9"/>
      <c r="H11" s="9"/>
      <c r="I11" s="9"/>
      <c r="J11" s="9"/>
      <c r="K11" s="9"/>
      <c r="L11" s="9"/>
      <c r="M11" s="9"/>
      <c r="N11" s="9"/>
      <c r="O11" s="9"/>
      <c r="P11" s="9"/>
      <c r="Q11" s="9"/>
      <c r="R11" s="9"/>
      <c r="S11" s="10"/>
    </row>
    <row r="12" spans="1:19" s="5" customFormat="1" ht="12" customHeight="1">
      <c r="B12" s="11" t="s">
        <v>1331</v>
      </c>
      <c r="C12" s="12"/>
      <c r="D12" s="12"/>
      <c r="E12" s="12"/>
      <c r="F12" s="12"/>
      <c r="G12" s="12"/>
      <c r="H12" s="12"/>
      <c r="I12" s="12"/>
      <c r="J12" s="12"/>
      <c r="K12" s="12"/>
      <c r="L12" s="12"/>
      <c r="M12" s="12"/>
      <c r="N12" s="12"/>
      <c r="O12" s="12"/>
      <c r="P12" s="12"/>
      <c r="Q12" s="12"/>
      <c r="R12" s="12"/>
      <c r="S12" s="13"/>
    </row>
    <row r="13" spans="1:19" s="5" customFormat="1" ht="12" customHeight="1">
      <c r="A13" s="14"/>
      <c r="B13" s="11" t="s">
        <v>1180</v>
      </c>
      <c r="C13" s="12"/>
      <c r="D13" s="12"/>
      <c r="E13" s="12"/>
      <c r="F13" s="12"/>
      <c r="G13" s="12"/>
      <c r="H13" s="12"/>
      <c r="I13" s="12"/>
      <c r="J13" s="12"/>
      <c r="K13" s="12"/>
      <c r="L13" s="12"/>
      <c r="M13" s="12"/>
      <c r="N13" s="12"/>
      <c r="O13" s="12"/>
      <c r="P13" s="12"/>
      <c r="Q13" s="12"/>
      <c r="R13" s="12"/>
      <c r="S13" s="13"/>
    </row>
    <row r="14" spans="1:19" s="5" customFormat="1" ht="12" customHeight="1">
      <c r="A14" s="14"/>
      <c r="B14" s="11" t="s">
        <v>1179</v>
      </c>
      <c r="C14" s="12"/>
      <c r="D14" s="12"/>
      <c r="E14" s="12"/>
      <c r="F14" s="12"/>
      <c r="G14" s="12"/>
      <c r="H14" s="12"/>
      <c r="I14" s="12"/>
      <c r="J14" s="12"/>
      <c r="K14" s="12"/>
      <c r="L14" s="12"/>
      <c r="M14" s="12"/>
      <c r="N14" s="12"/>
      <c r="O14" s="12"/>
      <c r="P14" s="12"/>
      <c r="Q14" s="12"/>
      <c r="R14" s="12"/>
      <c r="S14" s="13"/>
    </row>
    <row r="15" spans="1:19" s="5" customFormat="1" ht="12" customHeight="1">
      <c r="A15" s="14"/>
      <c r="B15" s="11" t="s">
        <v>1183</v>
      </c>
      <c r="C15" s="12"/>
      <c r="D15" s="12"/>
      <c r="E15" s="12"/>
      <c r="F15" s="12"/>
      <c r="G15" s="12"/>
      <c r="H15" s="12"/>
      <c r="I15" s="12"/>
      <c r="J15" s="12"/>
      <c r="K15" s="12"/>
      <c r="L15" s="12"/>
      <c r="M15" s="12"/>
      <c r="N15" s="12"/>
      <c r="O15" s="12"/>
      <c r="P15" s="12"/>
      <c r="Q15" s="12"/>
      <c r="R15" s="12"/>
      <c r="S15" s="13"/>
    </row>
    <row r="16" spans="1:19" s="5" customFormat="1" ht="6" customHeight="1">
      <c r="B16" s="15"/>
      <c r="C16" s="16"/>
      <c r="D16" s="16"/>
      <c r="E16" s="16"/>
      <c r="F16" s="16"/>
      <c r="G16" s="16"/>
      <c r="H16" s="16"/>
      <c r="I16" s="16"/>
      <c r="J16" s="16"/>
      <c r="K16" s="16"/>
      <c r="L16" s="16"/>
      <c r="M16" s="16"/>
      <c r="N16" s="16"/>
      <c r="O16" s="16"/>
      <c r="P16" s="16"/>
      <c r="Q16" s="16"/>
      <c r="R16" s="16"/>
      <c r="S16" s="17"/>
    </row>
    <row r="17" spans="1:12" s="5" customFormat="1" ht="7.5" customHeight="1">
      <c r="B17" s="18"/>
      <c r="C17" s="19"/>
      <c r="D17" s="19"/>
      <c r="E17" s="19"/>
      <c r="F17" s="19"/>
      <c r="G17" s="19"/>
      <c r="H17" s="19"/>
      <c r="I17" s="19"/>
      <c r="J17" s="19"/>
      <c r="K17" s="19"/>
      <c r="L17" s="19"/>
    </row>
    <row r="18" spans="1:12" s="5" customFormat="1" ht="7.5" customHeight="1">
      <c r="B18" s="20"/>
    </row>
    <row r="19" spans="1:12" s="5" customFormat="1" ht="12" customHeight="1">
      <c r="A19" s="21"/>
      <c r="B19" s="22" t="s">
        <v>1178</v>
      </c>
    </row>
    <row r="20" spans="1:12" s="5" customFormat="1" ht="3" customHeight="1"/>
    <row r="21" spans="1:12" s="5" customFormat="1" ht="12" customHeight="1">
      <c r="B21" s="23"/>
      <c r="C21" s="32" t="s">
        <v>1332</v>
      </c>
    </row>
    <row r="22" spans="1:12" s="5" customFormat="1" ht="3" customHeight="1"/>
    <row r="23" spans="1:12" s="5" customFormat="1" ht="12" customHeight="1">
      <c r="B23" s="23"/>
      <c r="C23" s="32" t="s">
        <v>1333</v>
      </c>
    </row>
    <row r="24" spans="1:12" s="5" customFormat="1" ht="3" customHeight="1">
      <c r="B24" s="14"/>
      <c r="C24" s="25"/>
    </row>
    <row r="25" spans="1:12" s="5" customFormat="1" ht="12" customHeight="1">
      <c r="B25" s="23"/>
      <c r="C25" s="7" t="s">
        <v>1334</v>
      </c>
    </row>
    <row r="26" spans="1:12" s="1313" customFormat="1" ht="3" customHeight="1"/>
    <row r="27" spans="1:12" s="5" customFormat="1" ht="12.75" customHeight="1">
      <c r="B27" s="23"/>
      <c r="C27" s="7" t="s">
        <v>1335</v>
      </c>
    </row>
    <row r="28" spans="1:12" s="1313" customFormat="1" ht="3" customHeight="1">
      <c r="C28" s="5"/>
    </row>
    <row r="29" spans="1:12" s="1313" customFormat="1" ht="12" customHeight="1">
      <c r="B29" s="23"/>
      <c r="C29" s="7" t="s">
        <v>1336</v>
      </c>
    </row>
    <row r="30" spans="1:12" s="1313" customFormat="1" ht="3" customHeight="1">
      <c r="C30" s="5"/>
    </row>
    <row r="31" spans="1:12" s="1313" customFormat="1" ht="12" customHeight="1">
      <c r="B31" s="1314"/>
      <c r="C31" s="7" t="s">
        <v>1337</v>
      </c>
    </row>
    <row r="32" spans="1:12" s="1315" customFormat="1" ht="3" customHeight="1">
      <c r="C32" s="38"/>
    </row>
    <row r="33" spans="2:3" s="1313" customFormat="1" ht="12" customHeight="1">
      <c r="B33" s="1314"/>
      <c r="C33" s="7" t="s">
        <v>1338</v>
      </c>
    </row>
    <row r="34" spans="2:3" s="1313" customFormat="1" ht="3" customHeight="1">
      <c r="C34" s="5"/>
    </row>
    <row r="35" spans="2:3" s="1313" customFormat="1" ht="12" customHeight="1">
      <c r="B35" s="1314"/>
      <c r="C35" s="7" t="s">
        <v>1339</v>
      </c>
    </row>
    <row r="36" spans="2:3" s="5" customFormat="1" ht="3" customHeight="1">
      <c r="B36" s="14"/>
      <c r="C36" s="25"/>
    </row>
    <row r="37" spans="2:3" s="40" customFormat="1" ht="13.5" customHeight="1">
      <c r="B37" s="41"/>
      <c r="C37" s="7" t="s">
        <v>1340</v>
      </c>
    </row>
    <row r="38" spans="2:3" s="5" customFormat="1" ht="3" customHeight="1"/>
    <row r="39" spans="2:3" s="5" customFormat="1" ht="13.5" customHeight="1">
      <c r="B39" s="23"/>
      <c r="C39" s="7" t="s">
        <v>1341</v>
      </c>
    </row>
    <row r="40" spans="2:3" s="5" customFormat="1" ht="3" customHeight="1"/>
    <row r="41" spans="2:3" s="5" customFormat="1" ht="12" customHeight="1">
      <c r="B41" s="23"/>
      <c r="C41" s="7" t="s">
        <v>1342</v>
      </c>
    </row>
    <row r="42" spans="2:3" s="5" customFormat="1" ht="3" customHeight="1"/>
    <row r="43" spans="2:3" s="5" customFormat="1" ht="12" customHeight="1">
      <c r="B43" s="23"/>
      <c r="C43" s="32" t="s">
        <v>1343</v>
      </c>
    </row>
    <row r="44" spans="2:3" s="5" customFormat="1" ht="3" customHeight="1"/>
    <row r="45" spans="2:3" customFormat="1" ht="12" customHeight="1"/>
    <row r="46" spans="2:3" customFormat="1" ht="12" customHeight="1"/>
    <row r="47" spans="2:3" customFormat="1" ht="12" customHeight="1"/>
    <row r="48" spans="2:3" customFormat="1" ht="12" customHeight="1"/>
    <row r="49" spans="1:2" customFormat="1" ht="12" customHeight="1"/>
    <row r="50" spans="1:2" customFormat="1" ht="12" customHeight="1"/>
    <row r="51" spans="1:2" customFormat="1" ht="12" customHeight="1"/>
    <row r="52" spans="1:2" customFormat="1" ht="12" customHeight="1"/>
    <row r="53" spans="1:2" customFormat="1" ht="12" customHeight="1"/>
    <row r="54" spans="1:2" customFormat="1" ht="12" customHeight="1"/>
    <row r="55" spans="1:2" s="5" customFormat="1" ht="12" customHeight="1"/>
    <row r="56" spans="1:2" s="5" customFormat="1" ht="12" customHeight="1"/>
    <row r="57" spans="1:2" s="5" customFormat="1" ht="12" customHeight="1"/>
    <row r="58" spans="1:2" s="5" customFormat="1" ht="12" customHeight="1">
      <c r="A58" s="21"/>
      <c r="B58" s="5" t="s">
        <v>1282</v>
      </c>
    </row>
    <row r="59" spans="1:2" s="5" customFormat="1" ht="7.5" customHeight="1"/>
    <row r="60" spans="1:2" s="5" customFormat="1" ht="12" customHeight="1">
      <c r="A60" s="26"/>
    </row>
    <row r="61" spans="1:2" s="5" customFormat="1" ht="12" customHeight="1">
      <c r="A61" s="26"/>
    </row>
    <row r="62" spans="1:2" s="5" customFormat="1" ht="12" customHeight="1">
      <c r="A62" s="26"/>
    </row>
    <row r="63" spans="1:2" s="5" customFormat="1" ht="12" customHeight="1">
      <c r="A63" s="26"/>
    </row>
    <row r="64" spans="1:2" s="5" customFormat="1" ht="12" customHeight="1">
      <c r="A64" s="26"/>
    </row>
    <row r="65" spans="1:1" s="5" customFormat="1" ht="12" customHeight="1">
      <c r="A65" s="26"/>
    </row>
    <row r="66" spans="1:1" s="5" customFormat="1" ht="12" customHeight="1">
      <c r="A66" s="26"/>
    </row>
    <row r="67" spans="1:1" s="5" customFormat="1" ht="12" customHeight="1">
      <c r="A67" s="26"/>
    </row>
    <row r="68" spans="1:1" s="5" customFormat="1" ht="12" customHeight="1">
      <c r="A68" s="26"/>
    </row>
    <row r="69" spans="1:1" s="5" customFormat="1" ht="12" customHeight="1">
      <c r="A69" s="26"/>
    </row>
    <row r="70" spans="1:1" s="5" customFormat="1" ht="12" customHeight="1">
      <c r="A70" s="26"/>
    </row>
    <row r="71" spans="1:1" s="5" customFormat="1" ht="12" customHeight="1">
      <c r="A71" s="26"/>
    </row>
    <row r="72" spans="1:1" s="5" customFormat="1" ht="12" customHeight="1">
      <c r="A72" s="26"/>
    </row>
    <row r="73" spans="1:1" s="5" customFormat="1" ht="12" customHeight="1">
      <c r="A73" s="26"/>
    </row>
    <row r="74" spans="1:1" s="5" customFormat="1" ht="12" customHeight="1">
      <c r="A74" s="26"/>
    </row>
    <row r="75" spans="1:1" s="5" customFormat="1" ht="12" customHeight="1">
      <c r="A75" s="26"/>
    </row>
    <row r="76" spans="1:1" s="5" customFormat="1" ht="12" customHeight="1">
      <c r="A76" s="26"/>
    </row>
    <row r="77" spans="1:1" s="5" customFormat="1" ht="12" customHeight="1">
      <c r="A77" s="26"/>
    </row>
    <row r="78" spans="1:1" s="5" customFormat="1" ht="12" customHeight="1">
      <c r="A78" s="26"/>
    </row>
    <row r="79" spans="1:1" s="5" customFormat="1" ht="12" customHeight="1">
      <c r="A79" s="26"/>
    </row>
    <row r="80" spans="1:1" s="5" customFormat="1" ht="12" customHeight="1">
      <c r="A80" s="26"/>
    </row>
    <row r="81" spans="1:10" s="5" customFormat="1" ht="12" customHeight="1">
      <c r="A81" s="26"/>
    </row>
    <row r="82" spans="1:10" s="5" customFormat="1" ht="12" customHeight="1">
      <c r="A82" s="26"/>
    </row>
    <row r="83" spans="1:10" s="5" customFormat="1" ht="12" customHeight="1">
      <c r="A83" s="26"/>
    </row>
    <row r="84" spans="1:10" s="5" customFormat="1" ht="12" customHeight="1"/>
    <row r="85" spans="1:10" s="5" customFormat="1" ht="12" customHeight="1">
      <c r="A85" s="26"/>
      <c r="B85" s="42" t="s">
        <v>1283</v>
      </c>
    </row>
    <row r="86" spans="1:10" s="5" customFormat="1" ht="12" customHeight="1">
      <c r="A86" s="26"/>
      <c r="B86" s="42" t="s">
        <v>1284</v>
      </c>
    </row>
    <row r="87" spans="1:10" s="5" customFormat="1" ht="12" customHeight="1">
      <c r="A87" s="26"/>
      <c r="B87" s="42"/>
    </row>
    <row r="88" spans="1:10" s="5" customFormat="1" ht="12" customHeight="1">
      <c r="A88" s="26"/>
      <c r="B88" s="42" t="s">
        <v>1285</v>
      </c>
    </row>
    <row r="89" spans="1:10" s="5" customFormat="1" ht="12" customHeight="1">
      <c r="A89" s="26"/>
      <c r="B89" s="42" t="s">
        <v>1286</v>
      </c>
    </row>
    <row r="90" spans="1:10" s="5" customFormat="1" ht="12" customHeight="1">
      <c r="A90" s="26"/>
      <c r="B90" s="42" t="s">
        <v>1287</v>
      </c>
    </row>
    <row r="91" spans="1:10" s="5" customFormat="1" ht="12" customHeight="1">
      <c r="B91" s="42"/>
    </row>
    <row r="92" spans="1:10" s="5" customFormat="1" ht="12" customHeight="1">
      <c r="A92" s="14"/>
      <c r="B92" s="42" t="s">
        <v>1288</v>
      </c>
      <c r="C92" s="14"/>
      <c r="D92" s="14"/>
      <c r="E92" s="14"/>
      <c r="F92" s="14"/>
      <c r="G92" s="14"/>
      <c r="H92" s="14"/>
      <c r="I92" s="14"/>
      <c r="J92" s="14"/>
    </row>
    <row r="93" spans="1:10" s="5" customFormat="1" ht="12" customHeight="1">
      <c r="A93" s="14"/>
      <c r="B93" s="42"/>
      <c r="C93" s="14"/>
      <c r="D93" s="14"/>
      <c r="E93" s="14"/>
      <c r="F93" s="14"/>
      <c r="G93" s="14"/>
      <c r="H93" s="14"/>
      <c r="I93" s="14"/>
      <c r="J93" s="14"/>
    </row>
    <row r="94" spans="1:10" s="5" customFormat="1" ht="12" customHeight="1">
      <c r="A94" s="14"/>
      <c r="B94" s="42" t="s">
        <v>1289</v>
      </c>
      <c r="C94" s="14"/>
      <c r="D94" s="14"/>
      <c r="E94" s="14"/>
      <c r="F94" s="14"/>
      <c r="G94" s="14"/>
      <c r="H94" s="14"/>
      <c r="I94" s="14"/>
      <c r="J94" s="14"/>
    </row>
    <row r="95" spans="1:10" s="5" customFormat="1" ht="12" customHeight="1">
      <c r="A95" s="14"/>
      <c r="B95" s="42" t="s">
        <v>1290</v>
      </c>
      <c r="C95" s="14"/>
      <c r="D95" s="14"/>
      <c r="E95" s="14"/>
      <c r="F95" s="14"/>
      <c r="G95" s="14"/>
      <c r="H95" s="14"/>
      <c r="I95" s="14"/>
      <c r="J95" s="14"/>
    </row>
    <row r="96" spans="1:10" s="5" customFormat="1" ht="12" customHeight="1">
      <c r="A96" s="14"/>
      <c r="B96" s="42"/>
      <c r="C96" s="14"/>
      <c r="D96" s="14"/>
      <c r="E96" s="14"/>
      <c r="F96" s="14"/>
      <c r="G96" s="14"/>
      <c r="H96" s="14"/>
      <c r="I96" s="14"/>
      <c r="J96" s="14"/>
    </row>
    <row r="97" spans="1:10" s="5" customFormat="1" ht="12" customHeight="1">
      <c r="A97" s="14"/>
      <c r="B97" s="42" t="s">
        <v>1291</v>
      </c>
      <c r="C97" s="14"/>
      <c r="D97" s="14"/>
      <c r="E97" s="14"/>
      <c r="F97" s="14"/>
      <c r="G97" s="14"/>
      <c r="H97" s="14"/>
      <c r="I97" s="14"/>
      <c r="J97" s="14"/>
    </row>
    <row r="98" spans="1:10" s="5" customFormat="1" ht="12" customHeight="1">
      <c r="A98" s="14"/>
      <c r="B98" s="42" t="s">
        <v>1292</v>
      </c>
      <c r="C98" s="14"/>
      <c r="D98" s="14"/>
      <c r="E98" s="14"/>
      <c r="F98" s="14"/>
      <c r="G98" s="14"/>
      <c r="H98" s="14"/>
      <c r="I98" s="14"/>
      <c r="J98" s="14"/>
    </row>
    <row r="99" spans="1:10" s="5" customFormat="1" ht="12" customHeight="1">
      <c r="A99" s="14"/>
      <c r="B99" s="42" t="s">
        <v>1293</v>
      </c>
      <c r="C99" s="14"/>
      <c r="D99" s="14"/>
      <c r="E99" s="14"/>
      <c r="F99" s="14"/>
      <c r="G99" s="14"/>
      <c r="H99" s="14"/>
      <c r="I99" s="14"/>
      <c r="J99" s="14"/>
    </row>
    <row r="100" spans="1:10" s="5" customFormat="1" ht="12" customHeight="1">
      <c r="A100" s="14"/>
      <c r="B100" s="42" t="s">
        <v>1294</v>
      </c>
      <c r="C100" s="14"/>
      <c r="D100" s="14"/>
      <c r="E100" s="14"/>
      <c r="F100" s="14"/>
      <c r="G100" s="14"/>
      <c r="H100" s="14"/>
      <c r="I100" s="14"/>
      <c r="J100" s="14"/>
    </row>
    <row r="101" spans="1:10" s="5" customFormat="1" ht="12" customHeight="1">
      <c r="A101" s="14"/>
      <c r="B101" s="42" t="s">
        <v>1295</v>
      </c>
      <c r="C101" s="14"/>
      <c r="D101" s="38"/>
      <c r="E101" s="14"/>
      <c r="F101" s="14"/>
      <c r="G101" s="14"/>
      <c r="H101" s="14"/>
      <c r="I101" s="14"/>
      <c r="J101" s="14"/>
    </row>
    <row r="102" spans="1:10" s="5" customFormat="1" ht="12" customHeight="1">
      <c r="A102" s="14"/>
      <c r="B102" s="42" t="s">
        <v>1296</v>
      </c>
      <c r="C102" s="14"/>
      <c r="D102" s="14"/>
      <c r="E102" s="14"/>
      <c r="F102" s="14"/>
      <c r="G102" s="14"/>
      <c r="H102" s="14"/>
      <c r="I102" s="14"/>
      <c r="J102" s="14"/>
    </row>
    <row r="103" spans="1:10" s="5" customFormat="1" ht="12" customHeight="1">
      <c r="A103" s="14"/>
      <c r="B103" s="42" t="s">
        <v>1297</v>
      </c>
      <c r="C103" s="14"/>
      <c r="D103" s="38"/>
      <c r="E103" s="14"/>
      <c r="F103" s="14"/>
      <c r="G103" s="14"/>
      <c r="H103" s="14"/>
      <c r="I103" s="14"/>
      <c r="J103" s="14"/>
    </row>
    <row r="104" spans="1:10" s="5" customFormat="1" ht="12" customHeight="1">
      <c r="A104" s="14"/>
      <c r="B104" s="42" t="s">
        <v>1298</v>
      </c>
      <c r="C104" s="14"/>
      <c r="D104" s="14"/>
      <c r="E104" s="14"/>
      <c r="F104" s="14"/>
      <c r="G104" s="14"/>
      <c r="H104" s="14"/>
      <c r="I104" s="14"/>
      <c r="J104" s="14"/>
    </row>
    <row r="105" spans="1:10" s="5" customFormat="1" ht="12" customHeight="1">
      <c r="A105" s="14"/>
      <c r="B105" s="42"/>
      <c r="C105" s="14"/>
      <c r="D105" s="38"/>
      <c r="E105" s="14"/>
      <c r="F105" s="14"/>
      <c r="G105" s="14"/>
      <c r="H105" s="14"/>
      <c r="I105" s="14"/>
      <c r="J105" s="14"/>
    </row>
    <row r="106" spans="1:10" s="5" customFormat="1" ht="12" customHeight="1">
      <c r="A106" s="14"/>
      <c r="B106" s="42" t="s">
        <v>1299</v>
      </c>
      <c r="C106" s="14"/>
      <c r="D106" s="14"/>
      <c r="E106" s="14"/>
      <c r="F106" s="14"/>
      <c r="G106" s="14"/>
      <c r="H106" s="14"/>
      <c r="I106" s="14"/>
      <c r="J106" s="14"/>
    </row>
    <row r="107" spans="1:10" s="5" customFormat="1" ht="12" customHeight="1">
      <c r="A107" s="14"/>
      <c r="B107" s="42" t="s">
        <v>1300</v>
      </c>
      <c r="C107" s="14"/>
      <c r="D107" s="38"/>
      <c r="E107" s="14"/>
      <c r="F107" s="14"/>
      <c r="G107" s="14"/>
      <c r="H107" s="14"/>
      <c r="I107" s="14"/>
      <c r="J107" s="14"/>
    </row>
    <row r="108" spans="1:10" s="5" customFormat="1" ht="12" customHeight="1">
      <c r="A108" s="14"/>
      <c r="B108" s="42" t="s">
        <v>1301</v>
      </c>
      <c r="C108" s="14"/>
      <c r="D108" s="14"/>
      <c r="E108" s="14"/>
      <c r="F108" s="14"/>
      <c r="G108" s="14"/>
      <c r="H108" s="14"/>
      <c r="I108" s="14"/>
      <c r="J108" s="14"/>
    </row>
    <row r="109" spans="1:10" s="5" customFormat="1" ht="12" customHeight="1">
      <c r="A109" s="14"/>
      <c r="B109" s="42" t="s">
        <v>1302</v>
      </c>
      <c r="C109" s="14"/>
      <c r="D109" s="38"/>
      <c r="E109" s="14"/>
      <c r="F109" s="14"/>
      <c r="G109" s="14"/>
      <c r="H109" s="14"/>
      <c r="I109" s="14"/>
      <c r="J109" s="14"/>
    </row>
    <row r="110" spans="1:10" s="5" customFormat="1" ht="12" customHeight="1">
      <c r="A110" s="14"/>
      <c r="B110" s="42" t="s">
        <v>1303</v>
      </c>
      <c r="C110" s="14"/>
      <c r="D110" s="14"/>
      <c r="E110" s="14"/>
      <c r="F110" s="14"/>
      <c r="G110" s="14"/>
      <c r="H110" s="14"/>
      <c r="I110" s="14"/>
      <c r="J110" s="14"/>
    </row>
    <row r="111" spans="1:10" s="5" customFormat="1" ht="12" customHeight="1">
      <c r="A111" s="14"/>
      <c r="B111" s="42" t="s">
        <v>1304</v>
      </c>
      <c r="C111" s="14"/>
      <c r="D111" s="14"/>
      <c r="E111" s="14"/>
      <c r="F111" s="14"/>
      <c r="G111" s="14"/>
      <c r="H111" s="14"/>
      <c r="I111" s="14"/>
      <c r="J111" s="14"/>
    </row>
    <row r="112" spans="1:10" s="5" customFormat="1" ht="12" customHeight="1">
      <c r="A112" s="14"/>
      <c r="B112" s="42"/>
      <c r="C112" s="14"/>
      <c r="D112" s="38"/>
      <c r="E112" s="14"/>
      <c r="F112" s="14"/>
      <c r="G112" s="14"/>
      <c r="H112" s="14"/>
      <c r="I112" s="14"/>
      <c r="J112" s="14"/>
    </row>
    <row r="113" spans="1:10" s="5" customFormat="1" ht="12" customHeight="1">
      <c r="A113" s="14"/>
      <c r="B113" s="42" t="s">
        <v>1309</v>
      </c>
      <c r="C113" s="14"/>
      <c r="D113" s="14"/>
      <c r="E113" s="14"/>
      <c r="F113" s="14"/>
      <c r="G113" s="14"/>
      <c r="H113" s="14"/>
      <c r="I113" s="14"/>
      <c r="J113" s="14"/>
    </row>
    <row r="114" spans="1:10" s="5" customFormat="1" ht="12" customHeight="1">
      <c r="A114" s="14"/>
      <c r="B114" s="42" t="s">
        <v>1310</v>
      </c>
      <c r="C114" s="14"/>
      <c r="D114" s="14"/>
      <c r="E114" s="14"/>
      <c r="F114" s="14"/>
      <c r="G114" s="14"/>
      <c r="H114" s="14"/>
      <c r="I114" s="14"/>
      <c r="J114" s="14"/>
    </row>
    <row r="115" spans="1:10" s="5" customFormat="1" ht="12" customHeight="1">
      <c r="A115" s="14"/>
      <c r="B115" s="42" t="s">
        <v>1311</v>
      </c>
      <c r="C115" s="14"/>
      <c r="D115" s="14"/>
      <c r="E115" s="14"/>
      <c r="F115" s="14"/>
      <c r="G115" s="14"/>
      <c r="H115" s="14"/>
      <c r="I115" s="14"/>
      <c r="J115" s="14"/>
    </row>
    <row r="116" spans="1:10" s="5" customFormat="1" ht="12" customHeight="1">
      <c r="A116" s="14"/>
      <c r="B116" s="42" t="s">
        <v>1312</v>
      </c>
      <c r="C116" s="39"/>
      <c r="D116" s="14"/>
      <c r="E116" s="14"/>
      <c r="F116" s="14"/>
      <c r="G116" s="14"/>
      <c r="H116" s="14"/>
      <c r="I116" s="14"/>
      <c r="J116" s="14"/>
    </row>
    <row r="117" spans="1:10" s="5" customFormat="1" ht="12" customHeight="1">
      <c r="A117" s="14"/>
      <c r="B117" s="42"/>
      <c r="C117" s="14"/>
      <c r="D117" s="14"/>
      <c r="E117" s="14"/>
      <c r="F117" s="14"/>
      <c r="G117" s="14"/>
      <c r="H117" s="14"/>
      <c r="I117" s="14"/>
      <c r="J117" s="14"/>
    </row>
    <row r="118" spans="1:10" s="5" customFormat="1" ht="12" customHeight="1">
      <c r="A118" s="14"/>
      <c r="B118" s="42" t="s">
        <v>1313</v>
      </c>
      <c r="C118" s="14"/>
      <c r="D118" s="14"/>
      <c r="E118" s="14"/>
      <c r="F118" s="14"/>
      <c r="G118" s="14"/>
      <c r="H118" s="14"/>
      <c r="I118" s="14"/>
      <c r="J118" s="14"/>
    </row>
    <row r="119" spans="1:10" s="5" customFormat="1" ht="12" customHeight="1">
      <c r="A119" s="14"/>
      <c r="B119" s="42" t="s">
        <v>1314</v>
      </c>
      <c r="C119" s="14"/>
      <c r="D119" s="14"/>
      <c r="E119" s="14"/>
      <c r="F119" s="14"/>
      <c r="G119" s="14"/>
      <c r="H119" s="14"/>
      <c r="I119" s="14"/>
      <c r="J119" s="14"/>
    </row>
    <row r="120" spans="1:10" s="5" customFormat="1" ht="12" customHeight="1">
      <c r="A120" s="14"/>
      <c r="B120" s="42" t="s">
        <v>1315</v>
      </c>
      <c r="C120" s="14"/>
      <c r="D120" s="14"/>
      <c r="E120" s="14"/>
      <c r="F120" s="14"/>
      <c r="G120" s="14"/>
      <c r="H120" s="14"/>
      <c r="I120" s="14"/>
      <c r="J120" s="14"/>
    </row>
    <row r="121" spans="1:10" s="5" customFormat="1" ht="12" customHeight="1">
      <c r="A121" s="14"/>
      <c r="B121" s="42" t="s">
        <v>1316</v>
      </c>
      <c r="C121" s="14"/>
      <c r="D121" s="14"/>
      <c r="E121" s="14"/>
      <c r="F121" s="14"/>
      <c r="G121" s="14"/>
      <c r="H121" s="14"/>
      <c r="I121" s="14"/>
      <c r="J121" s="14"/>
    </row>
    <row r="122" spans="1:10" s="5" customFormat="1" ht="12" customHeight="1">
      <c r="A122" s="14"/>
      <c r="B122" s="42" t="s">
        <v>1317</v>
      </c>
      <c r="C122" s="14"/>
      <c r="D122" s="14"/>
      <c r="E122" s="14"/>
      <c r="F122" s="14"/>
      <c r="G122" s="14"/>
      <c r="H122" s="14"/>
      <c r="I122" s="14"/>
      <c r="J122" s="14"/>
    </row>
    <row r="123" spans="1:10" s="5" customFormat="1" ht="12" customHeight="1">
      <c r="A123" s="14"/>
      <c r="B123" s="42"/>
      <c r="C123" s="14"/>
      <c r="D123" s="14"/>
      <c r="E123" s="14"/>
      <c r="F123" s="14"/>
      <c r="G123" s="14"/>
      <c r="H123" s="14"/>
      <c r="I123" s="14"/>
      <c r="J123" s="14"/>
    </row>
    <row r="124" spans="1:10" s="5" customFormat="1" ht="12" customHeight="1">
      <c r="A124" s="14"/>
      <c r="B124" s="42" t="s">
        <v>1318</v>
      </c>
      <c r="C124" s="14"/>
      <c r="D124" s="14"/>
      <c r="E124" s="14"/>
      <c r="F124" s="14"/>
      <c r="G124" s="14"/>
      <c r="H124" s="14"/>
      <c r="I124" s="14"/>
      <c r="J124" s="14"/>
    </row>
    <row r="125" spans="1:10" s="5" customFormat="1" ht="12" customHeight="1">
      <c r="A125" s="14"/>
      <c r="B125" s="42" t="s">
        <v>1319</v>
      </c>
      <c r="C125" s="14"/>
      <c r="D125" s="14"/>
      <c r="E125" s="14"/>
      <c r="F125" s="14"/>
      <c r="G125" s="14"/>
      <c r="H125" s="14"/>
      <c r="I125" s="14"/>
      <c r="J125" s="14"/>
    </row>
    <row r="126" spans="1:10" s="5" customFormat="1" ht="12" customHeight="1">
      <c r="A126" s="14"/>
      <c r="B126" s="42" t="s">
        <v>1320</v>
      </c>
      <c r="C126" s="14"/>
      <c r="D126" s="14"/>
      <c r="E126" s="14"/>
      <c r="F126" s="14"/>
      <c r="G126" s="14"/>
      <c r="H126" s="14"/>
      <c r="I126" s="14"/>
      <c r="J126" s="14"/>
    </row>
    <row r="127" spans="1:10" s="5" customFormat="1" ht="12" customHeight="1">
      <c r="A127" s="14"/>
      <c r="B127" s="42"/>
      <c r="C127" s="14"/>
      <c r="D127" s="14"/>
      <c r="E127" s="14"/>
      <c r="F127" s="14"/>
      <c r="G127" s="14"/>
      <c r="H127" s="14"/>
      <c r="I127" s="14"/>
      <c r="J127" s="14"/>
    </row>
    <row r="128" spans="1:10" s="5" customFormat="1" ht="12" customHeight="1">
      <c r="A128" s="14"/>
      <c r="B128" s="42" t="s">
        <v>1321</v>
      </c>
      <c r="C128" s="14"/>
      <c r="D128" s="14"/>
      <c r="E128" s="14"/>
      <c r="F128" s="14"/>
      <c r="G128" s="14"/>
      <c r="H128" s="14"/>
      <c r="I128" s="14"/>
      <c r="J128" s="14"/>
    </row>
    <row r="129" spans="1:10" s="5" customFormat="1" ht="12" customHeight="1">
      <c r="A129" s="14"/>
      <c r="B129" s="42" t="s">
        <v>1323</v>
      </c>
      <c r="C129" s="14"/>
      <c r="D129" s="14"/>
      <c r="E129" s="14"/>
      <c r="F129" s="14"/>
      <c r="G129" s="14"/>
      <c r="H129" s="14"/>
      <c r="I129" s="14"/>
      <c r="J129" s="14"/>
    </row>
    <row r="130" spans="1:10" s="5" customFormat="1" ht="12" customHeight="1">
      <c r="A130" s="14"/>
      <c r="B130" s="42" t="s">
        <v>1324</v>
      </c>
      <c r="C130" s="14"/>
      <c r="D130" s="14"/>
      <c r="E130" s="14"/>
      <c r="F130" s="14"/>
      <c r="G130" s="14"/>
      <c r="H130" s="14"/>
      <c r="I130" s="14"/>
      <c r="J130" s="14"/>
    </row>
    <row r="131" spans="1:10" s="5" customFormat="1" ht="12" customHeight="1">
      <c r="A131" s="14"/>
      <c r="B131" s="42" t="s">
        <v>1325</v>
      </c>
      <c r="C131" s="14"/>
      <c r="D131" s="14"/>
      <c r="E131" s="14"/>
      <c r="F131" s="14"/>
      <c r="G131" s="14"/>
      <c r="H131" s="14"/>
      <c r="I131" s="14"/>
      <c r="J131" s="14"/>
    </row>
    <row r="132" spans="1:10" s="5" customFormat="1" ht="12" customHeight="1">
      <c r="A132" s="14"/>
      <c r="B132" s="42" t="s">
        <v>1326</v>
      </c>
      <c r="C132" s="14"/>
      <c r="D132" s="14"/>
      <c r="E132" s="14"/>
      <c r="F132" s="14"/>
      <c r="G132" s="14"/>
      <c r="H132" s="14"/>
      <c r="I132" s="14"/>
      <c r="J132" s="14"/>
    </row>
    <row r="133" spans="1:10" s="5" customFormat="1" ht="12" customHeight="1">
      <c r="A133" s="14"/>
      <c r="B133" s="42"/>
      <c r="C133" s="14"/>
      <c r="D133" s="14"/>
      <c r="E133" s="14"/>
      <c r="F133" s="14"/>
      <c r="G133" s="14"/>
      <c r="H133" s="14"/>
      <c r="I133" s="14"/>
      <c r="J133" s="14"/>
    </row>
    <row r="134" spans="1:10" s="5" customFormat="1" ht="12" customHeight="1">
      <c r="A134" s="14"/>
      <c r="B134" s="42" t="s">
        <v>1327</v>
      </c>
      <c r="C134" s="14"/>
      <c r="D134" s="14"/>
      <c r="E134" s="14"/>
      <c r="F134" s="14"/>
      <c r="G134" s="14"/>
      <c r="H134" s="14"/>
      <c r="I134" s="14"/>
      <c r="J134" s="14"/>
    </row>
    <row r="135" spans="1:10" s="5" customFormat="1" ht="12" customHeight="1">
      <c r="A135" s="14"/>
      <c r="B135" s="42" t="s">
        <v>1328</v>
      </c>
      <c r="C135" s="14"/>
      <c r="D135" s="14"/>
      <c r="E135" s="14"/>
      <c r="F135" s="14"/>
      <c r="G135" s="14"/>
      <c r="H135" s="14"/>
      <c r="I135" s="14"/>
      <c r="J135" s="14"/>
    </row>
    <row r="136" spans="1:10" s="5" customFormat="1" ht="12" customHeight="1">
      <c r="A136" s="14"/>
      <c r="B136" s="42" t="s">
        <v>1329</v>
      </c>
      <c r="C136" s="14"/>
      <c r="D136" s="14"/>
      <c r="E136" s="14"/>
      <c r="F136" s="14"/>
      <c r="G136" s="14"/>
      <c r="H136" s="14"/>
      <c r="I136" s="14"/>
      <c r="J136" s="14"/>
    </row>
    <row r="137" spans="1:10" s="5" customFormat="1" ht="12" customHeight="1">
      <c r="A137" s="14"/>
      <c r="B137" s="42" t="s">
        <v>1344</v>
      </c>
      <c r="C137" s="14"/>
      <c r="D137" s="14"/>
      <c r="E137" s="14"/>
      <c r="F137" s="14"/>
      <c r="G137" s="14"/>
      <c r="H137" s="14"/>
      <c r="I137" s="14"/>
      <c r="J137" s="14"/>
    </row>
    <row r="138" spans="1:10" s="5" customFormat="1" ht="12" customHeight="1">
      <c r="A138" s="14"/>
      <c r="B138" s="42" t="s">
        <v>1345</v>
      </c>
      <c r="C138" s="14"/>
      <c r="D138" s="14"/>
      <c r="E138" s="14"/>
      <c r="F138" s="14"/>
      <c r="G138" s="14"/>
      <c r="H138" s="14"/>
      <c r="I138" s="14"/>
      <c r="J138" s="14"/>
    </row>
    <row r="139" spans="1:10" s="5" customFormat="1" ht="12" customHeight="1">
      <c r="A139" s="14"/>
      <c r="B139" s="42" t="s">
        <v>1346</v>
      </c>
      <c r="C139" s="14"/>
      <c r="D139" s="14"/>
      <c r="E139" s="14"/>
      <c r="F139" s="14"/>
      <c r="G139" s="14"/>
      <c r="H139" s="14"/>
      <c r="I139" s="14"/>
      <c r="J139" s="14"/>
    </row>
    <row r="140" spans="1:10" s="5" customFormat="1" ht="12" customHeight="1">
      <c r="A140" s="14"/>
      <c r="B140" s="42" t="s">
        <v>1347</v>
      </c>
      <c r="C140" s="14"/>
      <c r="D140" s="14"/>
      <c r="E140" s="14"/>
      <c r="F140" s="14"/>
      <c r="G140" s="14"/>
      <c r="H140" s="14"/>
      <c r="I140" s="14"/>
      <c r="J140" s="14"/>
    </row>
    <row r="141" spans="1:10" s="5" customFormat="1" ht="12" customHeight="1">
      <c r="A141" s="14"/>
      <c r="B141" s="42" t="s">
        <v>1348</v>
      </c>
      <c r="C141" s="14"/>
      <c r="D141" s="14"/>
      <c r="E141" s="14"/>
      <c r="F141" s="14"/>
      <c r="G141" s="14"/>
      <c r="H141" s="14"/>
      <c r="I141" s="14"/>
      <c r="J141" s="14"/>
    </row>
    <row r="142" spans="1:10" s="5" customFormat="1" ht="12" customHeight="1">
      <c r="A142" s="14"/>
      <c r="B142" s="42" t="s">
        <v>1349</v>
      </c>
      <c r="C142" s="14"/>
      <c r="D142" s="14"/>
      <c r="E142" s="14"/>
      <c r="F142" s="14"/>
      <c r="G142" s="14"/>
      <c r="H142" s="14"/>
      <c r="I142" s="14"/>
      <c r="J142" s="14"/>
    </row>
    <row r="143" spans="1:10" s="5" customFormat="1" ht="12" customHeight="1">
      <c r="A143" s="14"/>
      <c r="B143" s="42" t="s">
        <v>1351</v>
      </c>
      <c r="C143" s="14"/>
      <c r="D143" s="14"/>
      <c r="E143" s="14"/>
      <c r="F143" s="14"/>
      <c r="G143" s="14"/>
      <c r="H143" s="14"/>
      <c r="I143" s="14"/>
      <c r="J143" s="14"/>
    </row>
    <row r="144" spans="1:10" s="5" customFormat="1" ht="12" customHeight="1">
      <c r="A144" s="14"/>
      <c r="B144" s="42"/>
      <c r="C144" s="14"/>
      <c r="D144" s="14"/>
      <c r="E144" s="14"/>
      <c r="F144" s="14"/>
      <c r="G144" s="14"/>
      <c r="H144" s="14"/>
      <c r="I144" s="14"/>
      <c r="J144" s="14"/>
    </row>
    <row r="145" spans="1:10" s="5" customFormat="1" ht="12" customHeight="1">
      <c r="A145" s="14"/>
      <c r="B145" s="42" t="s">
        <v>1352</v>
      </c>
      <c r="C145" s="14"/>
      <c r="D145" s="14"/>
      <c r="E145" s="14"/>
      <c r="F145" s="14"/>
      <c r="G145" s="14"/>
      <c r="H145" s="14"/>
      <c r="I145" s="14"/>
      <c r="J145" s="14"/>
    </row>
    <row r="146" spans="1:10" s="5" customFormat="1" ht="12" customHeight="1">
      <c r="A146" s="14"/>
      <c r="B146" s="42" t="s">
        <v>1353</v>
      </c>
      <c r="C146" s="14"/>
      <c r="D146" s="14"/>
      <c r="E146" s="14"/>
      <c r="F146" s="14"/>
      <c r="G146" s="14"/>
      <c r="H146" s="14"/>
      <c r="I146" s="14"/>
      <c r="J146" s="14"/>
    </row>
    <row r="147" spans="1:10" s="5" customFormat="1" ht="12" customHeight="1">
      <c r="A147" s="14"/>
      <c r="B147" s="42" t="s">
        <v>1354</v>
      </c>
      <c r="C147" s="14"/>
      <c r="D147" s="14"/>
      <c r="E147" s="14"/>
      <c r="F147" s="14"/>
      <c r="G147" s="14"/>
      <c r="H147" s="14"/>
      <c r="I147" s="14"/>
      <c r="J147" s="14"/>
    </row>
    <row r="148" spans="1:10" s="5" customFormat="1" ht="12" customHeight="1">
      <c r="A148" s="14"/>
      <c r="B148" s="42" t="s">
        <v>1355</v>
      </c>
      <c r="C148" s="14"/>
      <c r="D148" s="14"/>
      <c r="E148" s="14"/>
      <c r="F148" s="14"/>
      <c r="G148" s="14"/>
      <c r="H148" s="14"/>
      <c r="I148" s="14"/>
      <c r="J148" s="14"/>
    </row>
    <row r="149" spans="1:10" s="5" customFormat="1" ht="12" customHeight="1">
      <c r="A149" s="14"/>
      <c r="B149" s="42" t="s">
        <v>1356</v>
      </c>
      <c r="C149" s="14"/>
      <c r="D149" s="14"/>
      <c r="E149" s="14"/>
      <c r="F149" s="14"/>
      <c r="G149" s="14"/>
      <c r="H149" s="14"/>
      <c r="I149" s="14"/>
      <c r="J149" s="14"/>
    </row>
    <row r="150" spans="1:10" s="5" customFormat="1" ht="12" customHeight="1">
      <c r="A150" s="14"/>
      <c r="B150" s="42" t="s">
        <v>1357</v>
      </c>
      <c r="C150" s="14"/>
      <c r="D150" s="14"/>
      <c r="E150" s="14"/>
      <c r="F150" s="14"/>
      <c r="G150" s="14"/>
      <c r="H150" s="14"/>
      <c r="I150" s="14"/>
      <c r="J150" s="14"/>
    </row>
    <row r="151" spans="1:10" s="5" customFormat="1" ht="12" customHeight="1">
      <c r="A151" s="14"/>
      <c r="B151" s="42"/>
      <c r="C151" s="14"/>
      <c r="D151" s="14"/>
      <c r="E151" s="14"/>
      <c r="F151" s="14"/>
      <c r="G151" s="14"/>
      <c r="H151" s="14"/>
      <c r="I151" s="14"/>
      <c r="J151" s="14"/>
    </row>
    <row r="152" spans="1:10" s="5" customFormat="1" ht="12" customHeight="1">
      <c r="A152" s="14"/>
      <c r="B152" s="42" t="s">
        <v>1358</v>
      </c>
      <c r="C152" s="14"/>
      <c r="D152" s="14"/>
      <c r="E152" s="14"/>
      <c r="F152" s="14"/>
      <c r="G152" s="14"/>
      <c r="H152" s="14"/>
      <c r="I152" s="14"/>
      <c r="J152" s="14"/>
    </row>
    <row r="153" spans="1:10" s="5" customFormat="1" ht="12" customHeight="1">
      <c r="A153" s="14"/>
      <c r="B153" s="42" t="s">
        <v>1359</v>
      </c>
      <c r="C153" s="14"/>
      <c r="D153" s="14"/>
      <c r="E153" s="14"/>
      <c r="F153" s="14"/>
      <c r="G153" s="14"/>
      <c r="H153" s="14"/>
      <c r="I153" s="14"/>
      <c r="J153" s="14"/>
    </row>
    <row r="154" spans="1:10" s="5" customFormat="1" ht="12" customHeight="1">
      <c r="A154" s="14"/>
      <c r="B154" s="42"/>
      <c r="C154" s="14"/>
      <c r="D154" s="14"/>
      <c r="E154" s="14"/>
      <c r="F154" s="14"/>
      <c r="G154" s="14"/>
      <c r="H154" s="14"/>
      <c r="I154" s="14"/>
      <c r="J154" s="14"/>
    </row>
    <row r="155" spans="1:10" s="5" customFormat="1" ht="12" customHeight="1">
      <c r="A155" s="14"/>
      <c r="B155" s="42" t="s">
        <v>1360</v>
      </c>
      <c r="C155" s="14"/>
      <c r="D155" s="14"/>
      <c r="E155" s="14"/>
      <c r="F155" s="14"/>
      <c r="G155" s="14"/>
      <c r="H155" s="14"/>
      <c r="I155" s="14"/>
      <c r="J155" s="14"/>
    </row>
    <row r="156" spans="1:10" s="5" customFormat="1" ht="12" customHeight="1">
      <c r="A156" s="14"/>
      <c r="B156" s="42"/>
      <c r="C156" s="14"/>
      <c r="D156" s="14"/>
      <c r="E156" s="14"/>
      <c r="F156" s="14"/>
      <c r="G156" s="14"/>
      <c r="H156" s="14"/>
      <c r="I156" s="14"/>
      <c r="J156" s="14"/>
    </row>
    <row r="157" spans="1:10" s="5" customFormat="1" ht="12" customHeight="1">
      <c r="A157" s="14"/>
      <c r="B157" s="42" t="s">
        <v>1361</v>
      </c>
      <c r="C157" s="14"/>
      <c r="D157" s="14"/>
      <c r="E157" s="14"/>
      <c r="F157" s="14"/>
      <c r="G157" s="14"/>
      <c r="H157" s="14"/>
      <c r="I157" s="14"/>
      <c r="J157" s="14"/>
    </row>
    <row r="158" spans="1:10" s="5" customFormat="1" ht="12" customHeight="1">
      <c r="A158" s="14"/>
      <c r="B158" s="42"/>
      <c r="C158" s="14"/>
      <c r="D158" s="14"/>
      <c r="E158" s="14"/>
      <c r="F158" s="14"/>
      <c r="G158" s="14"/>
      <c r="H158" s="14"/>
      <c r="I158" s="14"/>
      <c r="J158" s="14"/>
    </row>
    <row r="159" spans="1:10" s="5" customFormat="1" ht="12" customHeight="1">
      <c r="A159" s="14"/>
      <c r="B159" s="42" t="s">
        <v>1362</v>
      </c>
      <c r="C159" s="14"/>
      <c r="D159" s="14"/>
      <c r="E159" s="14"/>
      <c r="F159" s="14"/>
      <c r="G159" s="14"/>
      <c r="H159" s="14"/>
      <c r="I159" s="14"/>
      <c r="J159" s="14"/>
    </row>
    <row r="160" spans="1:10" s="5" customFormat="1" ht="12" customHeight="1">
      <c r="A160" s="14"/>
      <c r="B160" s="42"/>
      <c r="C160" s="14"/>
      <c r="D160" s="14"/>
      <c r="E160" s="14"/>
      <c r="F160" s="14"/>
      <c r="G160" s="14"/>
      <c r="H160" s="14"/>
      <c r="I160" s="14"/>
      <c r="J160" s="14"/>
    </row>
    <row r="161" spans="1:10" s="5" customFormat="1" ht="12" customHeight="1">
      <c r="A161" s="14"/>
      <c r="B161" s="42" t="s">
        <v>1363</v>
      </c>
      <c r="C161" s="14"/>
      <c r="D161" s="14"/>
      <c r="E161" s="14"/>
      <c r="F161" s="14"/>
      <c r="G161" s="14"/>
      <c r="H161" s="14"/>
      <c r="I161" s="14"/>
      <c r="J161" s="14"/>
    </row>
    <row r="162" spans="1:10" s="5" customFormat="1" ht="12" customHeight="1">
      <c r="A162" s="14"/>
      <c r="B162" s="42" t="s">
        <v>1364</v>
      </c>
      <c r="C162" s="14"/>
      <c r="D162" s="14"/>
      <c r="E162" s="14"/>
      <c r="F162" s="14"/>
      <c r="G162" s="14"/>
      <c r="H162" s="14"/>
      <c r="I162" s="14"/>
      <c r="J162" s="14"/>
    </row>
    <row r="163" spans="1:10" s="5" customFormat="1" ht="12" customHeight="1">
      <c r="A163" s="14"/>
      <c r="B163" s="42"/>
      <c r="C163" s="14"/>
      <c r="D163" s="14"/>
      <c r="E163" s="14"/>
      <c r="F163" s="14"/>
      <c r="G163" s="14"/>
      <c r="H163" s="14"/>
      <c r="I163" s="14"/>
      <c r="J163" s="14"/>
    </row>
    <row r="164" spans="1:10" s="5" customFormat="1" ht="12" customHeight="1">
      <c r="A164" s="14"/>
      <c r="B164" s="42" t="s">
        <v>1365</v>
      </c>
      <c r="C164" s="14"/>
      <c r="D164" s="14"/>
      <c r="E164" s="14"/>
      <c r="F164" s="14"/>
      <c r="G164" s="14"/>
      <c r="H164" s="14"/>
      <c r="I164" s="14"/>
      <c r="J164" s="14"/>
    </row>
    <row r="165" spans="1:10" s="5" customFormat="1" ht="12" customHeight="1">
      <c r="A165" s="14"/>
      <c r="B165" s="42" t="s">
        <v>1373</v>
      </c>
      <c r="C165" s="14"/>
      <c r="D165" s="14"/>
      <c r="E165" s="14"/>
      <c r="F165" s="14"/>
      <c r="G165" s="14"/>
      <c r="H165" s="14"/>
      <c r="I165" s="14"/>
      <c r="J165" s="14"/>
    </row>
    <row r="166" spans="1:10" s="5" customFormat="1" ht="12" customHeight="1">
      <c r="A166" s="14"/>
      <c r="B166" s="42" t="s">
        <v>1392</v>
      </c>
      <c r="C166" s="14"/>
      <c r="D166" s="14"/>
      <c r="E166" s="14"/>
      <c r="F166" s="14"/>
      <c r="G166" s="14"/>
      <c r="H166" s="14"/>
      <c r="I166" s="14"/>
      <c r="J166" s="14"/>
    </row>
    <row r="167" spans="1:10" s="5" customFormat="1" ht="12" customHeight="1">
      <c r="A167" s="14"/>
      <c r="B167" s="42"/>
      <c r="C167" s="14"/>
      <c r="D167" s="14"/>
      <c r="E167" s="14"/>
      <c r="F167" s="14"/>
      <c r="G167" s="14"/>
      <c r="H167" s="14"/>
      <c r="I167" s="14"/>
      <c r="J167" s="14"/>
    </row>
    <row r="168" spans="1:10" s="5" customFormat="1" ht="12" customHeight="1">
      <c r="A168" s="14"/>
      <c r="B168" s="42" t="s">
        <v>1393</v>
      </c>
      <c r="C168" s="14"/>
      <c r="D168" s="14"/>
      <c r="E168" s="14"/>
      <c r="F168" s="14"/>
      <c r="G168" s="14"/>
      <c r="H168" s="14"/>
      <c r="I168" s="14"/>
      <c r="J168" s="14"/>
    </row>
    <row r="169" spans="1:10" s="5" customFormat="1" ht="12" customHeight="1">
      <c r="A169" s="14"/>
      <c r="B169" s="42" t="s">
        <v>1394</v>
      </c>
      <c r="C169" s="14"/>
      <c r="D169" s="14"/>
      <c r="E169" s="14"/>
      <c r="F169" s="14"/>
      <c r="G169" s="14"/>
      <c r="H169" s="14"/>
      <c r="I169" s="14"/>
      <c r="J169" s="14"/>
    </row>
    <row r="170" spans="1:10" s="5" customFormat="1" ht="12" customHeight="1">
      <c r="A170" s="14"/>
      <c r="B170" s="42" t="s">
        <v>1395</v>
      </c>
      <c r="C170" s="14"/>
      <c r="D170" s="14"/>
      <c r="E170" s="14"/>
      <c r="F170" s="14"/>
      <c r="G170" s="14"/>
      <c r="H170" s="14"/>
      <c r="I170" s="14"/>
      <c r="J170" s="14"/>
    </row>
    <row r="171" spans="1:10" s="5" customFormat="1" ht="12" customHeight="1">
      <c r="A171" s="14"/>
      <c r="B171" s="42" t="s">
        <v>1396</v>
      </c>
      <c r="C171" s="14"/>
      <c r="D171" s="14"/>
      <c r="E171" s="14"/>
      <c r="F171" s="14"/>
      <c r="G171" s="14"/>
      <c r="H171" s="14"/>
      <c r="I171" s="14"/>
      <c r="J171" s="14"/>
    </row>
    <row r="172" spans="1:10" s="5" customFormat="1" ht="12" customHeight="1">
      <c r="A172" s="14"/>
      <c r="B172" s="42"/>
      <c r="C172" s="14"/>
      <c r="D172" s="14"/>
      <c r="E172" s="14"/>
      <c r="F172" s="14"/>
      <c r="G172" s="14"/>
      <c r="H172" s="14"/>
      <c r="I172" s="14"/>
      <c r="J172" s="14"/>
    </row>
    <row r="173" spans="1:10" s="5" customFormat="1" ht="12" customHeight="1">
      <c r="A173" s="14"/>
      <c r="B173" s="42" t="s">
        <v>1397</v>
      </c>
      <c r="C173" s="14"/>
      <c r="D173" s="14"/>
      <c r="E173" s="14"/>
      <c r="F173" s="14"/>
      <c r="G173" s="14"/>
      <c r="H173" s="14"/>
      <c r="I173" s="14"/>
      <c r="J173" s="14"/>
    </row>
    <row r="174" spans="1:10" s="5" customFormat="1" ht="12" customHeight="1">
      <c r="A174" s="14"/>
      <c r="B174" s="42" t="s">
        <v>1398</v>
      </c>
      <c r="C174" s="14"/>
      <c r="D174" s="14"/>
      <c r="E174" s="14"/>
      <c r="F174" s="14"/>
      <c r="G174" s="14"/>
      <c r="H174" s="14"/>
      <c r="I174" s="14"/>
      <c r="J174" s="14"/>
    </row>
    <row r="175" spans="1:10" s="5" customFormat="1" ht="12" customHeight="1">
      <c r="A175" s="14"/>
      <c r="B175" s="42"/>
      <c r="C175" s="14"/>
      <c r="D175" s="14"/>
      <c r="E175" s="14"/>
      <c r="F175" s="14"/>
      <c r="G175" s="14"/>
      <c r="H175" s="14"/>
      <c r="I175" s="14"/>
      <c r="J175" s="14"/>
    </row>
    <row r="176" spans="1:10" s="5" customFormat="1" ht="12" customHeight="1">
      <c r="A176" s="14"/>
      <c r="B176" s="42" t="s">
        <v>1399</v>
      </c>
      <c r="C176" s="14"/>
      <c r="D176" s="14"/>
      <c r="E176" s="14"/>
      <c r="F176" s="14"/>
      <c r="G176" s="14"/>
      <c r="H176" s="14"/>
      <c r="I176" s="14"/>
      <c r="J176" s="14"/>
    </row>
    <row r="177" spans="1:10" s="5" customFormat="1" ht="12" customHeight="1">
      <c r="A177" s="14"/>
      <c r="B177" s="42" t="s">
        <v>1400</v>
      </c>
      <c r="C177" s="14"/>
      <c r="D177" s="14"/>
      <c r="E177" s="14"/>
      <c r="F177" s="14"/>
      <c r="G177" s="14"/>
      <c r="H177" s="14"/>
      <c r="I177" s="14"/>
      <c r="J177" s="14"/>
    </row>
    <row r="178" spans="1:10" s="5" customFormat="1" ht="12" customHeight="1">
      <c r="A178" s="14"/>
      <c r="B178" s="42" t="s">
        <v>1401</v>
      </c>
      <c r="C178" s="14"/>
      <c r="D178" s="14"/>
      <c r="E178" s="14"/>
      <c r="F178" s="14"/>
      <c r="G178" s="14"/>
      <c r="H178" s="14"/>
      <c r="I178" s="14"/>
      <c r="J178" s="14"/>
    </row>
    <row r="179" spans="1:10" s="5" customFormat="1" ht="12" customHeight="1">
      <c r="A179" s="14"/>
      <c r="B179" s="42" t="s">
        <v>1402</v>
      </c>
      <c r="C179" s="14"/>
      <c r="D179" s="14"/>
      <c r="E179" s="14"/>
      <c r="F179" s="14"/>
      <c r="G179" s="14"/>
      <c r="H179" s="14"/>
      <c r="I179" s="14"/>
      <c r="J179" s="14"/>
    </row>
    <row r="180" spans="1:10" s="5" customFormat="1" ht="12" customHeight="1">
      <c r="A180" s="14"/>
      <c r="B180" s="42" t="s">
        <v>1407</v>
      </c>
      <c r="C180" s="14"/>
      <c r="D180" s="14"/>
      <c r="E180" s="14"/>
      <c r="F180" s="14"/>
      <c r="G180" s="14"/>
      <c r="H180" s="14"/>
      <c r="I180" s="14"/>
      <c r="J180" s="14"/>
    </row>
    <row r="181" spans="1:10" s="5" customFormat="1" ht="12" customHeight="1">
      <c r="A181" s="14"/>
      <c r="B181" s="42" t="s">
        <v>1408</v>
      </c>
      <c r="C181" s="14"/>
      <c r="D181" s="14"/>
      <c r="E181" s="14"/>
      <c r="F181" s="14"/>
      <c r="G181" s="14"/>
      <c r="H181" s="14"/>
      <c r="I181" s="14"/>
      <c r="J181" s="14"/>
    </row>
    <row r="182" spans="1:10" s="5" customFormat="1" ht="12" customHeight="1">
      <c r="A182" s="14"/>
      <c r="B182" s="42"/>
      <c r="C182" s="14"/>
      <c r="D182" s="14"/>
      <c r="E182" s="14"/>
      <c r="F182" s="14"/>
      <c r="G182" s="14"/>
      <c r="H182" s="14"/>
      <c r="I182" s="14"/>
      <c r="J182" s="14"/>
    </row>
    <row r="183" spans="1:10" s="5" customFormat="1" ht="12" customHeight="1">
      <c r="A183" s="14"/>
      <c r="B183" s="42" t="s">
        <v>1412</v>
      </c>
      <c r="C183" s="14"/>
      <c r="D183" s="14"/>
      <c r="E183" s="14"/>
      <c r="F183" s="14"/>
      <c r="G183" s="14"/>
      <c r="H183" s="14"/>
      <c r="I183" s="14"/>
      <c r="J183" s="14"/>
    </row>
    <row r="184" spans="1:10" s="5" customFormat="1" ht="12" customHeight="1">
      <c r="A184" s="14"/>
      <c r="B184" s="42" t="s">
        <v>1413</v>
      </c>
      <c r="C184" s="14"/>
      <c r="D184" s="14"/>
      <c r="E184" s="14"/>
      <c r="F184" s="14"/>
      <c r="G184" s="14"/>
      <c r="H184" s="14"/>
      <c r="I184" s="14"/>
      <c r="J184" s="14"/>
    </row>
    <row r="185" spans="1:10" s="5" customFormat="1" ht="12" customHeight="1">
      <c r="A185" s="14"/>
      <c r="B185" s="42" t="s">
        <v>1414</v>
      </c>
      <c r="C185" s="14"/>
      <c r="D185" s="14"/>
      <c r="E185" s="14"/>
      <c r="F185" s="14"/>
      <c r="G185" s="14"/>
      <c r="H185" s="14"/>
      <c r="I185" s="14"/>
      <c r="J185" s="14"/>
    </row>
    <row r="186" spans="1:10" s="5" customFormat="1" ht="12" customHeight="1">
      <c r="A186" s="14"/>
      <c r="B186" s="42"/>
      <c r="C186" s="14"/>
      <c r="D186" s="14"/>
      <c r="E186" s="14"/>
      <c r="F186" s="14"/>
      <c r="G186" s="14"/>
      <c r="H186" s="14"/>
      <c r="I186" s="14"/>
      <c r="J186" s="14"/>
    </row>
    <row r="187" spans="1:10" s="5" customFormat="1" ht="12" customHeight="1">
      <c r="A187" s="14"/>
      <c r="B187" s="42" t="s">
        <v>1415</v>
      </c>
      <c r="C187" s="14"/>
      <c r="D187" s="14"/>
      <c r="E187" s="14"/>
      <c r="F187" s="14"/>
      <c r="G187" s="14"/>
      <c r="H187" s="14"/>
      <c r="I187" s="14"/>
      <c r="J187" s="14"/>
    </row>
    <row r="188" spans="1:10" s="5" customFormat="1" ht="12" customHeight="1">
      <c r="A188" s="14"/>
      <c r="B188" s="42" t="s">
        <v>1416</v>
      </c>
      <c r="C188" s="14"/>
      <c r="D188" s="14"/>
      <c r="E188" s="14"/>
      <c r="F188" s="14"/>
      <c r="G188" s="14"/>
      <c r="H188" s="14"/>
      <c r="I188" s="14"/>
      <c r="J188" s="14"/>
    </row>
    <row r="189" spans="1:10" s="5" customFormat="1" ht="12" customHeight="1">
      <c r="A189" s="14"/>
      <c r="B189" s="42" t="s">
        <v>1417</v>
      </c>
      <c r="C189" s="14"/>
      <c r="D189" s="14"/>
      <c r="E189" s="14"/>
      <c r="F189" s="14"/>
      <c r="G189" s="14"/>
      <c r="H189" s="14"/>
      <c r="I189" s="14"/>
      <c r="J189" s="14"/>
    </row>
    <row r="190" spans="1:10" s="5" customFormat="1" ht="12" customHeight="1">
      <c r="A190" s="14"/>
      <c r="B190" s="42" t="s">
        <v>1418</v>
      </c>
      <c r="C190" s="14"/>
      <c r="D190" s="14"/>
      <c r="E190" s="14"/>
      <c r="F190" s="14"/>
      <c r="G190" s="14"/>
      <c r="H190" s="14"/>
      <c r="I190" s="14"/>
      <c r="J190" s="14"/>
    </row>
    <row r="191" spans="1:10" s="5" customFormat="1" ht="12" customHeight="1">
      <c r="A191" s="14"/>
      <c r="B191" s="42" t="s">
        <v>1419</v>
      </c>
      <c r="C191" s="14"/>
      <c r="D191" s="14"/>
      <c r="E191" s="14"/>
      <c r="F191" s="14"/>
      <c r="G191" s="14"/>
      <c r="H191" s="14"/>
      <c r="I191" s="14"/>
      <c r="J191" s="14"/>
    </row>
    <row r="192" spans="1:10" s="5" customFormat="1" ht="12" customHeight="1">
      <c r="A192" s="14"/>
      <c r="B192" s="42" t="s">
        <v>1420</v>
      </c>
      <c r="C192" s="14"/>
      <c r="D192" s="14"/>
      <c r="E192" s="14"/>
      <c r="F192" s="14"/>
      <c r="G192" s="14"/>
      <c r="H192" s="14"/>
      <c r="I192" s="14"/>
      <c r="J192" s="14"/>
    </row>
    <row r="193" spans="1:10" s="5" customFormat="1" ht="12">
      <c r="A193" s="14"/>
      <c r="B193" s="42" t="s">
        <v>1421</v>
      </c>
      <c r="C193" s="14"/>
      <c r="D193" s="14"/>
      <c r="E193" s="14"/>
      <c r="F193" s="14"/>
      <c r="G193" s="14"/>
      <c r="H193" s="14"/>
      <c r="I193" s="14"/>
      <c r="J193" s="14"/>
    </row>
    <row r="194" spans="1:10" s="5" customFormat="1" ht="12">
      <c r="A194" s="14"/>
      <c r="B194" s="42" t="s">
        <v>1422</v>
      </c>
      <c r="C194" s="14"/>
      <c r="D194" s="14"/>
      <c r="E194" s="14"/>
      <c r="F194" s="14"/>
      <c r="G194" s="14"/>
      <c r="H194" s="14"/>
      <c r="I194" s="14"/>
      <c r="J194" s="14"/>
    </row>
    <row r="195" spans="1:10" s="5" customFormat="1" ht="12">
      <c r="A195" s="14"/>
      <c r="B195" s="42"/>
      <c r="C195" s="14"/>
      <c r="D195" s="14"/>
      <c r="E195" s="14"/>
      <c r="F195" s="14"/>
      <c r="G195" s="14"/>
      <c r="H195" s="14"/>
      <c r="I195" s="14"/>
      <c r="J195" s="14"/>
    </row>
    <row r="196" spans="1:10" s="5" customFormat="1" ht="12">
      <c r="A196" s="14"/>
      <c r="B196" s="42" t="s">
        <v>1423</v>
      </c>
      <c r="C196" s="14"/>
      <c r="D196" s="14"/>
      <c r="E196" s="14"/>
      <c r="F196" s="14"/>
      <c r="G196" s="14"/>
      <c r="H196" s="14"/>
      <c r="I196" s="14"/>
      <c r="J196" s="14"/>
    </row>
    <row r="197" spans="1:10" s="5" customFormat="1" ht="12">
      <c r="A197" s="14"/>
      <c r="B197" s="42"/>
      <c r="C197" s="14"/>
      <c r="D197" s="14"/>
      <c r="E197" s="14"/>
      <c r="F197" s="14"/>
      <c r="G197" s="14"/>
      <c r="H197" s="14"/>
      <c r="I197" s="14"/>
      <c r="J197" s="14"/>
    </row>
    <row r="198" spans="1:10" s="5" customFormat="1" ht="12">
      <c r="A198" s="14"/>
      <c r="B198" s="42" t="s">
        <v>1424</v>
      </c>
      <c r="C198" s="14"/>
      <c r="D198" s="14"/>
      <c r="E198" s="14"/>
      <c r="F198" s="14"/>
      <c r="G198" s="14"/>
      <c r="H198" s="14"/>
      <c r="I198" s="14"/>
      <c r="J198" s="14"/>
    </row>
    <row r="199" spans="1:10" s="5" customFormat="1" ht="12">
      <c r="A199" s="14"/>
      <c r="B199" s="42" t="s">
        <v>1425</v>
      </c>
      <c r="C199" s="14"/>
      <c r="D199" s="14"/>
      <c r="E199" s="14"/>
      <c r="F199" s="14"/>
      <c r="G199" s="14"/>
      <c r="H199" s="14"/>
      <c r="I199" s="14"/>
      <c r="J199" s="14"/>
    </row>
    <row r="200" spans="1:10" s="5" customFormat="1" ht="12">
      <c r="A200" s="14"/>
      <c r="B200" s="42" t="s">
        <v>1426</v>
      </c>
      <c r="C200" s="14"/>
      <c r="D200" s="14"/>
      <c r="E200" s="14"/>
      <c r="F200" s="14"/>
      <c r="G200" s="14"/>
      <c r="H200" s="14"/>
      <c r="I200" s="14"/>
      <c r="J200" s="14"/>
    </row>
    <row r="201" spans="1:10" s="5" customFormat="1" ht="12">
      <c r="A201" s="14"/>
      <c r="B201" s="42"/>
      <c r="C201" s="14"/>
      <c r="D201" s="14"/>
      <c r="E201" s="14"/>
      <c r="F201" s="14"/>
      <c r="G201" s="14"/>
      <c r="H201" s="14"/>
      <c r="I201" s="14"/>
      <c r="J201" s="14"/>
    </row>
    <row r="202" spans="1:10" s="5" customFormat="1" ht="12">
      <c r="B202" s="42" t="s">
        <v>1427</v>
      </c>
    </row>
    <row r="203" spans="1:10" s="5" customFormat="1" ht="12">
      <c r="B203" s="42" t="s">
        <v>1428</v>
      </c>
    </row>
    <row r="204" spans="1:10" s="5" customFormat="1" ht="12">
      <c r="B204" s="42" t="s">
        <v>1429</v>
      </c>
    </row>
    <row r="205" spans="1:10" s="5" customFormat="1" ht="12">
      <c r="B205" s="42" t="s">
        <v>1430</v>
      </c>
    </row>
    <row r="206" spans="1:10" s="5" customFormat="1" ht="12">
      <c r="B206" s="42"/>
    </row>
    <row r="207" spans="1:10" s="5" customFormat="1" ht="12">
      <c r="B207" s="42" t="s">
        <v>1431</v>
      </c>
    </row>
    <row r="208" spans="1:10" s="5" customFormat="1" ht="12">
      <c r="B208" s="42" t="s">
        <v>1432</v>
      </c>
    </row>
    <row r="209" spans="2:2" s="5" customFormat="1" ht="12">
      <c r="B209" s="42" t="s">
        <v>1433</v>
      </c>
    </row>
    <row r="210" spans="2:2" s="5" customFormat="1" ht="12">
      <c r="B210" s="42" t="s">
        <v>1439</v>
      </c>
    </row>
    <row r="211" spans="2:2" s="5" customFormat="1" ht="12">
      <c r="B211" s="42" t="s">
        <v>1440</v>
      </c>
    </row>
    <row r="212" spans="2:2" s="5" customFormat="1" ht="12">
      <c r="B212" s="42" t="s">
        <v>1441</v>
      </c>
    </row>
    <row r="213" spans="2:2" s="5" customFormat="1" ht="12">
      <c r="B213" s="42" t="s">
        <v>1442</v>
      </c>
    </row>
    <row r="214" spans="2:2" s="5" customFormat="1" ht="12">
      <c r="B214" s="42" t="s">
        <v>1443</v>
      </c>
    </row>
    <row r="215" spans="2:2" s="5" customFormat="1" ht="12">
      <c r="B215" s="42" t="s">
        <v>1444</v>
      </c>
    </row>
    <row r="216" spans="2:2" s="5" customFormat="1" ht="12">
      <c r="B216" s="42" t="s">
        <v>1445</v>
      </c>
    </row>
    <row r="217" spans="2:2" s="5" customFormat="1" ht="12">
      <c r="B217" s="42"/>
    </row>
    <row r="218" spans="2:2" s="5" customFormat="1" ht="12">
      <c r="B218" s="42" t="s">
        <v>1446</v>
      </c>
    </row>
    <row r="219" spans="2:2" s="5" customFormat="1" ht="12">
      <c r="B219" s="42" t="s">
        <v>1447</v>
      </c>
    </row>
    <row r="220" spans="2:2" s="5" customFormat="1" ht="12">
      <c r="B220" s="42" t="s">
        <v>1448</v>
      </c>
    </row>
    <row r="221" spans="2:2" s="5" customFormat="1" ht="12">
      <c r="B221" s="42" t="s">
        <v>1449</v>
      </c>
    </row>
    <row r="222" spans="2:2" s="5" customFormat="1" ht="12">
      <c r="B222" s="42" t="s">
        <v>1450</v>
      </c>
    </row>
    <row r="223" spans="2:2" s="5" customFormat="1" ht="12">
      <c r="B223" s="42" t="s">
        <v>1451</v>
      </c>
    </row>
    <row r="224" spans="2:2" s="5" customFormat="1" ht="12">
      <c r="B224" s="42" t="s">
        <v>1452</v>
      </c>
    </row>
    <row r="225" spans="2:2" s="5" customFormat="1" ht="12">
      <c r="B225" s="42" t="s">
        <v>1453</v>
      </c>
    </row>
    <row r="226" spans="2:2" s="5" customFormat="1" ht="12">
      <c r="B226" s="42" t="s">
        <v>1454</v>
      </c>
    </row>
    <row r="227" spans="2:2" s="5" customFormat="1" ht="12">
      <c r="B227" s="42" t="s">
        <v>1455</v>
      </c>
    </row>
    <row r="228" spans="2:2" s="5" customFormat="1" ht="12">
      <c r="B228" s="42" t="s">
        <v>1456</v>
      </c>
    </row>
    <row r="229" spans="2:2" s="5" customFormat="1" ht="12">
      <c r="B229" s="42" t="s">
        <v>1457</v>
      </c>
    </row>
    <row r="230" spans="2:2" s="5" customFormat="1" ht="12">
      <c r="B230" s="42"/>
    </row>
    <row r="231" spans="2:2" s="5" customFormat="1" ht="12">
      <c r="B231" s="42" t="s">
        <v>1458</v>
      </c>
    </row>
    <row r="232" spans="2:2" s="5" customFormat="1" ht="12">
      <c r="B232" s="42" t="s">
        <v>1459</v>
      </c>
    </row>
    <row r="233" spans="2:2" s="5" customFormat="1" ht="12">
      <c r="B233" s="42" t="s">
        <v>1460</v>
      </c>
    </row>
    <row r="234" spans="2:2" s="5" customFormat="1" ht="12">
      <c r="B234" s="42"/>
    </row>
    <row r="235" spans="2:2" s="5" customFormat="1" ht="12">
      <c r="B235" s="42" t="s">
        <v>1461</v>
      </c>
    </row>
    <row r="236" spans="2:2" s="5" customFormat="1" ht="12">
      <c r="B236" s="42" t="s">
        <v>1462</v>
      </c>
    </row>
    <row r="237" spans="2:2" s="5" customFormat="1" ht="12">
      <c r="B237" s="42"/>
    </row>
    <row r="238" spans="2:2" s="5" customFormat="1" ht="12">
      <c r="B238" s="42" t="s">
        <v>1463</v>
      </c>
    </row>
    <row r="239" spans="2:2" s="5" customFormat="1" ht="12">
      <c r="B239" s="42"/>
    </row>
    <row r="240" spans="2:2" s="5" customFormat="1" ht="12">
      <c r="B240" s="42" t="s">
        <v>1464</v>
      </c>
    </row>
    <row r="241" spans="2:2" s="5" customFormat="1" ht="12">
      <c r="B241" s="42" t="s">
        <v>1471</v>
      </c>
    </row>
    <row r="242" spans="2:2" s="5" customFormat="1" ht="12">
      <c r="B242" s="42" t="s">
        <v>1472</v>
      </c>
    </row>
    <row r="243" spans="2:2" s="5" customFormat="1" ht="12">
      <c r="B243" s="42" t="s">
        <v>1473</v>
      </c>
    </row>
    <row r="244" spans="2:2" s="5" customFormat="1" ht="12">
      <c r="B244" s="42" t="s">
        <v>1474</v>
      </c>
    </row>
    <row r="245" spans="2:2" s="5" customFormat="1" ht="12">
      <c r="B245" s="42" t="s">
        <v>1475</v>
      </c>
    </row>
    <row r="246" spans="2:2" s="5" customFormat="1" ht="12">
      <c r="B246" s="42" t="s">
        <v>1476</v>
      </c>
    </row>
    <row r="247" spans="2:2" s="5" customFormat="1" ht="12">
      <c r="B247" s="42"/>
    </row>
    <row r="248" spans="2:2" s="5" customFormat="1" ht="12">
      <c r="B248" s="42" t="s">
        <v>1477</v>
      </c>
    </row>
    <row r="249" spans="2:2" s="5" customFormat="1" ht="12">
      <c r="B249" s="42" t="s">
        <v>1478</v>
      </c>
    </row>
    <row r="250" spans="2:2" s="5" customFormat="1" ht="12">
      <c r="B250" s="42" t="s">
        <v>1479</v>
      </c>
    </row>
    <row r="251" spans="2:2" s="5" customFormat="1" ht="12">
      <c r="B251" s="42" t="s">
        <v>1480</v>
      </c>
    </row>
    <row r="252" spans="2:2" s="5" customFormat="1" ht="12">
      <c r="B252" s="42" t="s">
        <v>1481</v>
      </c>
    </row>
    <row r="253" spans="2:2" s="5" customFormat="1" ht="12">
      <c r="B253" s="42" t="s">
        <v>1482</v>
      </c>
    </row>
    <row r="254" spans="2:2" s="5" customFormat="1" ht="12">
      <c r="B254" s="42" t="s">
        <v>1483</v>
      </c>
    </row>
    <row r="255" spans="2:2" s="5" customFormat="1" ht="12">
      <c r="B255" s="42" t="s">
        <v>1484</v>
      </c>
    </row>
    <row r="256" spans="2:2" s="5" customFormat="1" ht="12">
      <c r="B256" s="42" t="s">
        <v>1485</v>
      </c>
    </row>
    <row r="257" spans="2:2" s="5" customFormat="1" ht="12">
      <c r="B257" s="42" t="s">
        <v>1486</v>
      </c>
    </row>
    <row r="258" spans="2:2" s="5" customFormat="1" ht="12">
      <c r="B258" s="42"/>
    </row>
    <row r="259" spans="2:2" s="5" customFormat="1" ht="12">
      <c r="B259" s="42" t="s">
        <v>1488</v>
      </c>
    </row>
    <row r="260" spans="2:2" s="5" customFormat="1" ht="12">
      <c r="B260" s="42" t="s">
        <v>1489</v>
      </c>
    </row>
    <row r="261" spans="2:2" s="5" customFormat="1" ht="12">
      <c r="B261" s="42" t="s">
        <v>1490</v>
      </c>
    </row>
    <row r="262" spans="2:2" s="5" customFormat="1" ht="12">
      <c r="B262" s="42"/>
    </row>
    <row r="263" spans="2:2" s="5" customFormat="1" ht="12">
      <c r="B263" s="42" t="s">
        <v>1491</v>
      </c>
    </row>
    <row r="264" spans="2:2" s="5" customFormat="1" ht="12">
      <c r="B264" s="42"/>
    </row>
    <row r="265" spans="2:2" s="5" customFormat="1" ht="12">
      <c r="B265" s="42" t="s">
        <v>1494</v>
      </c>
    </row>
    <row r="266" spans="2:2" s="5" customFormat="1" ht="12">
      <c r="B266" s="42" t="s">
        <v>1495</v>
      </c>
    </row>
    <row r="267" spans="2:2" s="5" customFormat="1" ht="12">
      <c r="B267" s="42" t="s">
        <v>1496</v>
      </c>
    </row>
    <row r="268" spans="2:2" s="5" customFormat="1" ht="12">
      <c r="B268" s="42" t="s">
        <v>1497</v>
      </c>
    </row>
    <row r="269" spans="2:2" s="5" customFormat="1" ht="12">
      <c r="B269" s="42" t="s">
        <v>1498</v>
      </c>
    </row>
    <row r="270" spans="2:2" s="5" customFormat="1" ht="12">
      <c r="B270" s="42"/>
    </row>
    <row r="271" spans="2:2" s="5" customFormat="1" ht="12">
      <c r="B271" s="42" t="s">
        <v>1499</v>
      </c>
    </row>
    <row r="272" spans="2:2" s="5" customFormat="1" ht="12">
      <c r="B272" s="42" t="s">
        <v>1500</v>
      </c>
    </row>
    <row r="273" spans="2:2" s="5" customFormat="1" ht="12">
      <c r="B273" s="42" t="s">
        <v>1501</v>
      </c>
    </row>
    <row r="274" spans="2:2" s="5" customFormat="1" ht="12">
      <c r="B274" s="42" t="s">
        <v>1502</v>
      </c>
    </row>
    <row r="275" spans="2:2" s="5" customFormat="1" ht="12">
      <c r="B275" s="42" t="s">
        <v>1503</v>
      </c>
    </row>
    <row r="276" spans="2:2" s="5" customFormat="1" ht="12">
      <c r="B276" s="42" t="s">
        <v>1504</v>
      </c>
    </row>
    <row r="277" spans="2:2" s="5" customFormat="1" ht="12">
      <c r="B277" s="42" t="s">
        <v>1505</v>
      </c>
    </row>
    <row r="278" spans="2:2" s="5" customFormat="1" ht="12">
      <c r="B278" s="42"/>
    </row>
    <row r="279" spans="2:2" s="5" customFormat="1" ht="12">
      <c r="B279" s="42" t="s">
        <v>1506</v>
      </c>
    </row>
    <row r="280" spans="2:2" s="5" customFormat="1" ht="12">
      <c r="B280" s="42"/>
    </row>
    <row r="281" spans="2:2" s="5" customFormat="1" ht="12">
      <c r="B281" s="42" t="s">
        <v>1507</v>
      </c>
    </row>
    <row r="282" spans="2:2" s="5" customFormat="1" ht="12">
      <c r="B282" s="42" t="s">
        <v>1508</v>
      </c>
    </row>
    <row r="283" spans="2:2" s="5" customFormat="1" ht="12">
      <c r="B283" s="42" t="s">
        <v>1509</v>
      </c>
    </row>
    <row r="284" spans="2:2" s="5" customFormat="1" ht="12">
      <c r="B284" s="42" t="s">
        <v>1510</v>
      </c>
    </row>
    <row r="285" spans="2:2" s="5" customFormat="1" ht="12">
      <c r="B285" s="42" t="s">
        <v>1511</v>
      </c>
    </row>
    <row r="286" spans="2:2" s="5" customFormat="1" ht="12">
      <c r="B286" s="42" t="s">
        <v>1512</v>
      </c>
    </row>
    <row r="287" spans="2:2" s="5" customFormat="1" ht="12">
      <c r="B287" s="42" t="s">
        <v>1513</v>
      </c>
    </row>
    <row r="288" spans="2:2" s="5" customFormat="1" ht="12">
      <c r="B288" s="42"/>
    </row>
    <row r="289" spans="2:2" s="5" customFormat="1" ht="12">
      <c r="B289" s="42" t="s">
        <v>1514</v>
      </c>
    </row>
    <row r="290" spans="2:2" s="5" customFormat="1" ht="12">
      <c r="B290" s="42" t="s">
        <v>1515</v>
      </c>
    </row>
    <row r="291" spans="2:2" s="5" customFormat="1" ht="12">
      <c r="B291" s="42"/>
    </row>
    <row r="292" spans="2:2" s="5" customFormat="1" ht="12">
      <c r="B292" s="42" t="s">
        <v>1516</v>
      </c>
    </row>
    <row r="293" spans="2:2" s="5" customFormat="1" ht="12">
      <c r="B293" s="42"/>
    </row>
    <row r="294" spans="2:2" s="5" customFormat="1" ht="12">
      <c r="B294" s="42" t="s">
        <v>1517</v>
      </c>
    </row>
    <row r="295" spans="2:2" s="5" customFormat="1" ht="12">
      <c r="B295" s="42" t="s">
        <v>1518</v>
      </c>
    </row>
    <row r="296" spans="2:2" s="5" customFormat="1" ht="12">
      <c r="B296" s="42" t="s">
        <v>1519</v>
      </c>
    </row>
    <row r="297" spans="2:2" s="5" customFormat="1" ht="12">
      <c r="B297" s="42"/>
    </row>
    <row r="298" spans="2:2" s="5" customFormat="1" ht="12">
      <c r="B298" s="42" t="s">
        <v>1556</v>
      </c>
    </row>
    <row r="299" spans="2:2" s="5" customFormat="1" ht="12">
      <c r="B299" s="42" t="s">
        <v>1557</v>
      </c>
    </row>
    <row r="300" spans="2:2" s="5" customFormat="1" ht="12">
      <c r="B300" s="42"/>
    </row>
    <row r="301" spans="2:2" s="5" customFormat="1" ht="12">
      <c r="B301" s="42" t="s">
        <v>1558</v>
      </c>
    </row>
    <row r="302" spans="2:2" s="5" customFormat="1" ht="12">
      <c r="B302" s="42" t="s">
        <v>1559</v>
      </c>
    </row>
    <row r="303" spans="2:2" s="5" customFormat="1" ht="12">
      <c r="B303" s="42" t="s">
        <v>1560</v>
      </c>
    </row>
    <row r="304" spans="2:2" s="5" customFormat="1" ht="12">
      <c r="B304" s="42" t="s">
        <v>1561</v>
      </c>
    </row>
    <row r="305" spans="2:2" s="5" customFormat="1" ht="12">
      <c r="B305" s="42"/>
    </row>
    <row r="306" spans="2:2" s="5" customFormat="1" ht="12">
      <c r="B306" s="42" t="s">
        <v>1562</v>
      </c>
    </row>
    <row r="307" spans="2:2" s="5" customFormat="1" ht="12">
      <c r="B307" s="42" t="s">
        <v>1563</v>
      </c>
    </row>
    <row r="308" spans="2:2" s="5" customFormat="1" ht="12">
      <c r="B308" s="42" t="s">
        <v>1564</v>
      </c>
    </row>
    <row r="309" spans="2:2" s="5" customFormat="1" ht="12">
      <c r="B309" s="42" t="s">
        <v>1565</v>
      </c>
    </row>
    <row r="310" spans="2:2" s="5" customFormat="1" ht="12">
      <c r="B310" s="42" t="s">
        <v>1566</v>
      </c>
    </row>
    <row r="311" spans="2:2" s="5" customFormat="1" ht="12">
      <c r="B311" s="42" t="s">
        <v>0</v>
      </c>
    </row>
    <row r="312" spans="2:2" s="5" customFormat="1" ht="12">
      <c r="B312" s="42" t="s">
        <v>12</v>
      </c>
    </row>
    <row r="313" spans="2:2" s="5" customFormat="1" ht="12">
      <c r="B313" s="42"/>
    </row>
    <row r="314" spans="2:2" s="5" customFormat="1" ht="12">
      <c r="B314" s="42" t="s">
        <v>13</v>
      </c>
    </row>
    <row r="315" spans="2:2" s="5" customFormat="1" ht="12">
      <c r="B315" s="42" t="s">
        <v>14</v>
      </c>
    </row>
    <row r="316" spans="2:2" s="5" customFormat="1" ht="12">
      <c r="B316" s="42" t="s">
        <v>15</v>
      </c>
    </row>
    <row r="317" spans="2:2" s="5" customFormat="1" ht="12">
      <c r="B317" s="42" t="s">
        <v>16</v>
      </c>
    </row>
    <row r="318" spans="2:2" s="5" customFormat="1" ht="12">
      <c r="B318" s="42"/>
    </row>
    <row r="319" spans="2:2" s="5" customFormat="1" ht="12">
      <c r="B319" s="42" t="s">
        <v>22</v>
      </c>
    </row>
    <row r="320" spans="2:2" s="5" customFormat="1" ht="12">
      <c r="B320" s="42" t="s">
        <v>23</v>
      </c>
    </row>
    <row r="321" spans="2:2" s="5" customFormat="1" ht="12">
      <c r="B321" s="42" t="s">
        <v>24</v>
      </c>
    </row>
    <row r="322" spans="2:2" s="5" customFormat="1" ht="12">
      <c r="B322" s="42" t="s">
        <v>25</v>
      </c>
    </row>
    <row r="323" spans="2:2" s="5" customFormat="1" ht="12">
      <c r="B323" s="42" t="s">
        <v>26</v>
      </c>
    </row>
    <row r="324" spans="2:2" s="5" customFormat="1" ht="12">
      <c r="B324" s="42" t="s">
        <v>27</v>
      </c>
    </row>
    <row r="325" spans="2:2" s="5" customFormat="1" ht="12">
      <c r="B325" s="42" t="s">
        <v>28</v>
      </c>
    </row>
    <row r="326" spans="2:2" s="5" customFormat="1" ht="12">
      <c r="B326" s="42" t="s">
        <v>29</v>
      </c>
    </row>
    <row r="327" spans="2:2" s="5" customFormat="1" ht="12">
      <c r="B327" s="42" t="s">
        <v>30</v>
      </c>
    </row>
    <row r="328" spans="2:2" s="5" customFormat="1" ht="12">
      <c r="B328" s="42"/>
    </row>
    <row r="329" spans="2:2" s="5" customFormat="1" ht="12">
      <c r="B329" s="42" t="s">
        <v>31</v>
      </c>
    </row>
    <row r="330" spans="2:2" s="5" customFormat="1" ht="12">
      <c r="B330" s="42"/>
    </row>
    <row r="331" spans="2:2" s="5" customFormat="1" ht="12">
      <c r="B331" s="42" t="s">
        <v>32</v>
      </c>
    </row>
    <row r="332" spans="2:2" s="5" customFormat="1" ht="12">
      <c r="B332" s="42" t="s">
        <v>33</v>
      </c>
    </row>
    <row r="333" spans="2:2" s="5" customFormat="1" ht="12">
      <c r="B333" s="42" t="s">
        <v>34</v>
      </c>
    </row>
    <row r="334" spans="2:2" s="5" customFormat="1" ht="12">
      <c r="B334" s="42" t="s">
        <v>35</v>
      </c>
    </row>
    <row r="335" spans="2:2" s="5" customFormat="1" ht="12">
      <c r="B335" s="42"/>
    </row>
    <row r="336" spans="2:2" s="5" customFormat="1" ht="12">
      <c r="B336" s="42" t="s">
        <v>36</v>
      </c>
    </row>
    <row r="337" spans="2:2" s="5" customFormat="1" ht="12">
      <c r="B337" s="42" t="s">
        <v>37</v>
      </c>
    </row>
    <row r="338" spans="2:2" s="5" customFormat="1" ht="12">
      <c r="B338" s="42" t="s">
        <v>38</v>
      </c>
    </row>
    <row r="339" spans="2:2" s="5" customFormat="1" ht="12">
      <c r="B339" s="42" t="s">
        <v>39</v>
      </c>
    </row>
    <row r="340" spans="2:2" s="5" customFormat="1" ht="12">
      <c r="B340" s="42"/>
    </row>
    <row r="341" spans="2:2" s="5" customFormat="1" ht="12">
      <c r="B341" s="42" t="s">
        <v>40</v>
      </c>
    </row>
    <row r="342" spans="2:2" s="5" customFormat="1" ht="12">
      <c r="B342" s="42" t="s">
        <v>41</v>
      </c>
    </row>
    <row r="343" spans="2:2" s="5" customFormat="1" ht="12">
      <c r="B343" s="42" t="s">
        <v>42</v>
      </c>
    </row>
    <row r="344" spans="2:2" s="5" customFormat="1" ht="12">
      <c r="B344" s="42" t="s">
        <v>43</v>
      </c>
    </row>
    <row r="345" spans="2:2" s="5" customFormat="1" ht="12">
      <c r="B345" s="42" t="s">
        <v>44</v>
      </c>
    </row>
    <row r="346" spans="2:2" s="5" customFormat="1" ht="12">
      <c r="B346" s="42" t="s">
        <v>45</v>
      </c>
    </row>
    <row r="347" spans="2:2" s="5" customFormat="1" ht="12">
      <c r="B347" s="42" t="s">
        <v>46</v>
      </c>
    </row>
    <row r="348" spans="2:2" s="5" customFormat="1" ht="12">
      <c r="B348" s="42" t="s">
        <v>159</v>
      </c>
    </row>
    <row r="349" spans="2:2" s="5" customFormat="1" ht="12">
      <c r="B349" s="42" t="s">
        <v>160</v>
      </c>
    </row>
    <row r="350" spans="2:2" s="5" customFormat="1" ht="12">
      <c r="B350" s="42" t="s">
        <v>161</v>
      </c>
    </row>
    <row r="351" spans="2:2" s="5" customFormat="1" ht="12">
      <c r="B351" s="42" t="s">
        <v>162</v>
      </c>
    </row>
    <row r="352" spans="2:2" s="5" customFormat="1" ht="12">
      <c r="B352" s="42"/>
    </row>
    <row r="353" spans="2:2" s="5" customFormat="1" ht="12">
      <c r="B353" s="42" t="s">
        <v>163</v>
      </c>
    </row>
    <row r="354" spans="2:2" s="5" customFormat="1" ht="12">
      <c r="B354" s="42" t="s">
        <v>164</v>
      </c>
    </row>
    <row r="355" spans="2:2" s="5" customFormat="1" ht="12">
      <c r="B355" s="42" t="s">
        <v>165</v>
      </c>
    </row>
    <row r="356" spans="2:2" s="5" customFormat="1" ht="12">
      <c r="B356" s="42" t="s">
        <v>166</v>
      </c>
    </row>
    <row r="357" spans="2:2" s="5" customFormat="1" ht="12">
      <c r="B357" s="42" t="s">
        <v>167</v>
      </c>
    </row>
    <row r="358" spans="2:2" s="5" customFormat="1" ht="12">
      <c r="B358" s="42"/>
    </row>
    <row r="359" spans="2:2" s="5" customFormat="1" ht="12">
      <c r="B359" s="42" t="s">
        <v>168</v>
      </c>
    </row>
    <row r="360" spans="2:2" s="5" customFormat="1" ht="12">
      <c r="B360" s="42" t="s">
        <v>169</v>
      </c>
    </row>
    <row r="361" spans="2:2" s="5" customFormat="1" ht="12">
      <c r="B361" s="42" t="s">
        <v>170</v>
      </c>
    </row>
    <row r="362" spans="2:2" s="5" customFormat="1" ht="12">
      <c r="B362" s="42" t="s">
        <v>171</v>
      </c>
    </row>
    <row r="363" spans="2:2" s="5" customFormat="1" ht="12">
      <c r="B363" s="42" t="s">
        <v>172</v>
      </c>
    </row>
    <row r="364" spans="2:2" s="5" customFormat="1" ht="12">
      <c r="B364" s="42" t="s">
        <v>173</v>
      </c>
    </row>
    <row r="365" spans="2:2" s="5" customFormat="1" ht="12">
      <c r="B365" s="42" t="s">
        <v>174</v>
      </c>
    </row>
    <row r="366" spans="2:2" s="5" customFormat="1" ht="12">
      <c r="B366" s="42" t="s">
        <v>175</v>
      </c>
    </row>
    <row r="367" spans="2:2" s="5" customFormat="1" ht="12">
      <c r="B367" s="42" t="s">
        <v>181</v>
      </c>
    </row>
    <row r="368" spans="2:2" s="5" customFormat="1" ht="12">
      <c r="B368" s="42" t="s">
        <v>182</v>
      </c>
    </row>
    <row r="369" spans="2:2" s="5" customFormat="1" ht="12">
      <c r="B369" s="42" t="s">
        <v>189</v>
      </c>
    </row>
    <row r="370" spans="2:2" s="5" customFormat="1" ht="12">
      <c r="B370" s="42" t="s">
        <v>190</v>
      </c>
    </row>
    <row r="371" spans="2:2" s="5" customFormat="1" ht="12">
      <c r="B371" s="42"/>
    </row>
    <row r="372" spans="2:2" s="5" customFormat="1" ht="12">
      <c r="B372" s="42" t="s">
        <v>191</v>
      </c>
    </row>
    <row r="373" spans="2:2" s="5" customFormat="1" ht="12">
      <c r="B373" s="42" t="s">
        <v>195</v>
      </c>
    </row>
    <row r="374" spans="2:2" s="5" customFormat="1" ht="12">
      <c r="B374" s="42" t="s">
        <v>196</v>
      </c>
    </row>
    <row r="375" spans="2:2" s="5" customFormat="1" ht="12">
      <c r="B375" s="42" t="s">
        <v>197</v>
      </c>
    </row>
    <row r="376" spans="2:2" s="5" customFormat="1" ht="12">
      <c r="B376" s="42"/>
    </row>
    <row r="377" spans="2:2" s="5" customFormat="1" ht="12">
      <c r="B377" s="42" t="s">
        <v>198</v>
      </c>
    </row>
    <row r="378" spans="2:2" s="5" customFormat="1" ht="12">
      <c r="B378" s="42" t="s">
        <v>199</v>
      </c>
    </row>
    <row r="379" spans="2:2" s="5" customFormat="1" ht="12">
      <c r="B379" s="42" t="s">
        <v>200</v>
      </c>
    </row>
    <row r="380" spans="2:2" s="5" customFormat="1" ht="12">
      <c r="B380" s="42"/>
    </row>
    <row r="381" spans="2:2" s="5" customFormat="1" ht="12">
      <c r="B381" s="42" t="s">
        <v>201</v>
      </c>
    </row>
    <row r="382" spans="2:2" s="5" customFormat="1" ht="12">
      <c r="B382" s="42" t="s">
        <v>202</v>
      </c>
    </row>
    <row r="383" spans="2:2" s="5" customFormat="1" ht="12">
      <c r="B383" s="42" t="s">
        <v>203</v>
      </c>
    </row>
    <row r="384" spans="2:2" s="5" customFormat="1" ht="12">
      <c r="B384" s="42" t="s">
        <v>204</v>
      </c>
    </row>
    <row r="385" spans="2:2" s="5" customFormat="1" ht="12">
      <c r="B385" s="42" t="s">
        <v>205</v>
      </c>
    </row>
    <row r="386" spans="2:2" s="5" customFormat="1" ht="12">
      <c r="B386" s="42" t="s">
        <v>206</v>
      </c>
    </row>
    <row r="387" spans="2:2" s="5" customFormat="1" ht="12">
      <c r="B387" s="42" t="s">
        <v>207</v>
      </c>
    </row>
    <row r="388" spans="2:2" s="5" customFormat="1" ht="12">
      <c r="B388" s="42" t="s">
        <v>208</v>
      </c>
    </row>
    <row r="389" spans="2:2" s="5" customFormat="1" ht="12">
      <c r="B389" s="42" t="s">
        <v>209</v>
      </c>
    </row>
    <row r="390" spans="2:2" s="5" customFormat="1" ht="12">
      <c r="B390" s="42" t="s">
        <v>210</v>
      </c>
    </row>
    <row r="391" spans="2:2" s="5" customFormat="1" ht="12">
      <c r="B391" s="42" t="s">
        <v>211</v>
      </c>
    </row>
    <row r="392" spans="2:2" s="5" customFormat="1" ht="12">
      <c r="B392" s="42" t="s">
        <v>212</v>
      </c>
    </row>
    <row r="393" spans="2:2" s="5" customFormat="1" ht="12">
      <c r="B393" s="42"/>
    </row>
    <row r="394" spans="2:2" s="5" customFormat="1" ht="12">
      <c r="B394" s="42" t="s">
        <v>213</v>
      </c>
    </row>
    <row r="395" spans="2:2" s="5" customFormat="1" ht="12">
      <c r="B395" s="42" t="s">
        <v>214</v>
      </c>
    </row>
    <row r="396" spans="2:2" s="5" customFormat="1" ht="12">
      <c r="B396" s="42" t="s">
        <v>215</v>
      </c>
    </row>
    <row r="397" spans="2:2" s="5" customFormat="1" ht="12">
      <c r="B397" s="42" t="s">
        <v>216</v>
      </c>
    </row>
    <row r="398" spans="2:2" s="5" customFormat="1" ht="12">
      <c r="B398" s="42" t="s">
        <v>217</v>
      </c>
    </row>
    <row r="399" spans="2:2" s="5" customFormat="1" ht="12">
      <c r="B399" s="42" t="s">
        <v>218</v>
      </c>
    </row>
    <row r="400" spans="2:2" s="5" customFormat="1" ht="12">
      <c r="B400" s="42" t="s">
        <v>219</v>
      </c>
    </row>
    <row r="401" spans="2:2" s="5" customFormat="1" ht="12">
      <c r="B401" s="42"/>
    </row>
    <row r="402" spans="2:2" s="5" customFormat="1" ht="12">
      <c r="B402" s="42" t="s">
        <v>220</v>
      </c>
    </row>
    <row r="403" spans="2:2" s="5" customFormat="1" ht="12">
      <c r="B403" s="42" t="s">
        <v>221</v>
      </c>
    </row>
    <row r="404" spans="2:2" s="5" customFormat="1" ht="12">
      <c r="B404" s="42" t="s">
        <v>222</v>
      </c>
    </row>
    <row r="405" spans="2:2" s="5" customFormat="1" ht="12">
      <c r="B405" s="42" t="s">
        <v>223</v>
      </c>
    </row>
    <row r="406" spans="2:2" s="5" customFormat="1" ht="12">
      <c r="B406" s="42" t="s">
        <v>224</v>
      </c>
    </row>
    <row r="407" spans="2:2" s="5" customFormat="1" ht="12">
      <c r="B407" s="42" t="s">
        <v>225</v>
      </c>
    </row>
    <row r="408" spans="2:2" s="5" customFormat="1" ht="12">
      <c r="B408" s="42" t="s">
        <v>226</v>
      </c>
    </row>
    <row r="409" spans="2:2" s="5" customFormat="1" ht="12">
      <c r="B409" s="42" t="s">
        <v>375</v>
      </c>
    </row>
    <row r="410" spans="2:2" s="5" customFormat="1" ht="12">
      <c r="B410" s="42" t="s">
        <v>376</v>
      </c>
    </row>
    <row r="411" spans="2:2" s="5" customFormat="1" ht="12">
      <c r="B411" s="42" t="s">
        <v>377</v>
      </c>
    </row>
    <row r="412" spans="2:2" s="5" customFormat="1" ht="12">
      <c r="B412" s="42"/>
    </row>
    <row r="413" spans="2:2" s="5" customFormat="1" ht="12">
      <c r="B413" s="42" t="s">
        <v>378</v>
      </c>
    </row>
    <row r="414" spans="2:2" s="5" customFormat="1" ht="12">
      <c r="B414" s="42" t="s">
        <v>379</v>
      </c>
    </row>
    <row r="415" spans="2:2" s="5" customFormat="1" ht="12">
      <c r="B415" s="42" t="s">
        <v>380</v>
      </c>
    </row>
    <row r="416" spans="2:2" s="5" customFormat="1" ht="12">
      <c r="B416" s="42" t="s">
        <v>381</v>
      </c>
    </row>
    <row r="417" spans="2:2" s="5" customFormat="1" ht="12">
      <c r="B417" s="42" t="s">
        <v>382</v>
      </c>
    </row>
    <row r="418" spans="2:2" s="5" customFormat="1" ht="12">
      <c r="B418" s="42" t="s">
        <v>383</v>
      </c>
    </row>
    <row r="419" spans="2:2" s="5" customFormat="1" ht="12">
      <c r="B419" s="42" t="s">
        <v>384</v>
      </c>
    </row>
    <row r="420" spans="2:2" s="5" customFormat="1" ht="12">
      <c r="B420" s="42"/>
    </row>
    <row r="421" spans="2:2" s="5" customFormat="1" ht="12">
      <c r="B421" s="42" t="s">
        <v>385</v>
      </c>
    </row>
    <row r="422" spans="2:2" s="5" customFormat="1" ht="12">
      <c r="B422" s="42" t="s">
        <v>387</v>
      </c>
    </row>
    <row r="423" spans="2:2" s="5" customFormat="1" ht="12">
      <c r="B423" s="42" t="s">
        <v>388</v>
      </c>
    </row>
    <row r="424" spans="2:2" s="5" customFormat="1" ht="12">
      <c r="B424" s="42" t="s">
        <v>389</v>
      </c>
    </row>
    <row r="425" spans="2:2" s="5" customFormat="1" ht="12">
      <c r="B425" s="42" t="s">
        <v>390</v>
      </c>
    </row>
    <row r="426" spans="2:2" s="5" customFormat="1" ht="12">
      <c r="B426" s="42"/>
    </row>
    <row r="427" spans="2:2" s="5" customFormat="1" ht="12">
      <c r="B427" s="42" t="s">
        <v>391</v>
      </c>
    </row>
    <row r="428" spans="2:2" s="5" customFormat="1" ht="12">
      <c r="B428" s="42"/>
    </row>
    <row r="429" spans="2:2" s="5" customFormat="1" ht="12">
      <c r="B429" s="42" t="s">
        <v>392</v>
      </c>
    </row>
    <row r="430" spans="2:2" s="5" customFormat="1" ht="12">
      <c r="B430" s="42" t="s">
        <v>393</v>
      </c>
    </row>
    <row r="431" spans="2:2" s="5" customFormat="1" ht="12">
      <c r="B431" s="42" t="s">
        <v>394</v>
      </c>
    </row>
    <row r="432" spans="2:2" s="5" customFormat="1" ht="12">
      <c r="B432" s="42" t="s">
        <v>400</v>
      </c>
    </row>
    <row r="433" spans="2:2" s="5" customFormat="1" ht="12">
      <c r="B433" s="42" t="s">
        <v>401</v>
      </c>
    </row>
    <row r="434" spans="2:2" s="5" customFormat="1" ht="12">
      <c r="B434" s="42" t="s">
        <v>402</v>
      </c>
    </row>
    <row r="435" spans="2:2" s="5" customFormat="1" ht="12">
      <c r="B435" s="42" t="s">
        <v>403</v>
      </c>
    </row>
    <row r="436" spans="2:2" s="5" customFormat="1" ht="12">
      <c r="B436" s="42" t="s">
        <v>404</v>
      </c>
    </row>
    <row r="437" spans="2:2" s="5" customFormat="1" ht="12">
      <c r="B437" s="42"/>
    </row>
    <row r="438" spans="2:2" s="5" customFormat="1" ht="12">
      <c r="B438" s="42" t="s">
        <v>405</v>
      </c>
    </row>
    <row r="439" spans="2:2" s="5" customFormat="1" ht="12">
      <c r="B439" s="42" t="s">
        <v>439</v>
      </c>
    </row>
    <row r="440" spans="2:2" s="5" customFormat="1" ht="12">
      <c r="B440" s="42" t="s">
        <v>440</v>
      </c>
    </row>
    <row r="441" spans="2:2" s="5" customFormat="1" ht="12">
      <c r="B441" s="42" t="s">
        <v>441</v>
      </c>
    </row>
    <row r="442" spans="2:2" s="5" customFormat="1" ht="12">
      <c r="B442" s="42" t="s">
        <v>442</v>
      </c>
    </row>
    <row r="443" spans="2:2" s="5" customFormat="1" ht="12">
      <c r="B443" s="42" t="s">
        <v>443</v>
      </c>
    </row>
    <row r="444" spans="2:2" s="5" customFormat="1" ht="12">
      <c r="B444" s="42"/>
    </row>
    <row r="445" spans="2:2" s="5" customFormat="1" ht="12">
      <c r="B445" s="42" t="s">
        <v>444</v>
      </c>
    </row>
    <row r="446" spans="2:2" s="5" customFormat="1" ht="12">
      <c r="B446" s="42" t="s">
        <v>445</v>
      </c>
    </row>
    <row r="447" spans="2:2" s="5" customFormat="1" ht="12">
      <c r="B447" s="42" t="s">
        <v>449</v>
      </c>
    </row>
    <row r="448" spans="2:2" s="5" customFormat="1" ht="12">
      <c r="B448" s="42"/>
    </row>
    <row r="449" spans="2:2" s="5" customFormat="1" ht="12">
      <c r="B449" s="42" t="s">
        <v>450</v>
      </c>
    </row>
    <row r="450" spans="2:2" s="5" customFormat="1" ht="12">
      <c r="B450" s="42" t="s">
        <v>451</v>
      </c>
    </row>
    <row r="451" spans="2:2" s="5" customFormat="1" ht="12">
      <c r="B451" s="42"/>
    </row>
    <row r="452" spans="2:2" s="5" customFormat="1" ht="12">
      <c r="B452" s="42" t="s">
        <v>452</v>
      </c>
    </row>
    <row r="453" spans="2:2" s="5" customFormat="1" ht="12">
      <c r="B453" s="42" t="s">
        <v>453</v>
      </c>
    </row>
    <row r="454" spans="2:2" s="5" customFormat="1" ht="12">
      <c r="B454" s="42" t="s">
        <v>461</v>
      </c>
    </row>
    <row r="455" spans="2:2" s="5" customFormat="1" ht="12">
      <c r="B455" s="42"/>
    </row>
    <row r="456" spans="2:2" s="5" customFormat="1" ht="12">
      <c r="B456" s="42" t="s">
        <v>462</v>
      </c>
    </row>
    <row r="457" spans="2:2" s="5" customFormat="1" ht="12">
      <c r="B457" s="42" t="s">
        <v>463</v>
      </c>
    </row>
    <row r="458" spans="2:2" s="5" customFormat="1" ht="12">
      <c r="B458" s="42" t="s">
        <v>482</v>
      </c>
    </row>
    <row r="459" spans="2:2" s="5" customFormat="1" ht="12">
      <c r="B459" s="42"/>
    </row>
    <row r="460" spans="2:2" s="5" customFormat="1" ht="12">
      <c r="B460" s="42" t="s">
        <v>483</v>
      </c>
    </row>
    <row r="461" spans="2:2" s="5" customFormat="1" ht="12">
      <c r="B461" s="42" t="s">
        <v>484</v>
      </c>
    </row>
    <row r="462" spans="2:2" s="5" customFormat="1" ht="12">
      <c r="B462" s="42"/>
    </row>
    <row r="463" spans="2:2" s="5" customFormat="1" ht="12">
      <c r="B463" s="42" t="s">
        <v>485</v>
      </c>
    </row>
    <row r="464" spans="2:2" s="5" customFormat="1" ht="12">
      <c r="B464" s="42" t="s">
        <v>490</v>
      </c>
    </row>
    <row r="465" spans="2:2" s="5" customFormat="1" ht="12">
      <c r="B465" s="42"/>
    </row>
    <row r="466" spans="2:2" s="5" customFormat="1" ht="12">
      <c r="B466" s="42" t="s">
        <v>491</v>
      </c>
    </row>
    <row r="467" spans="2:2" s="5" customFormat="1" ht="12">
      <c r="B467" s="42" t="s">
        <v>492</v>
      </c>
    </row>
    <row r="468" spans="2:2" s="5" customFormat="1" ht="12">
      <c r="B468" s="42" t="s">
        <v>493</v>
      </c>
    </row>
    <row r="469" spans="2:2" s="5" customFormat="1" ht="12">
      <c r="B469" s="42" t="s">
        <v>501</v>
      </c>
    </row>
    <row r="470" spans="2:2" s="5" customFormat="1" ht="12">
      <c r="B470" s="42" t="s">
        <v>502</v>
      </c>
    </row>
    <row r="471" spans="2:2" s="5" customFormat="1" ht="12">
      <c r="B471" s="42"/>
    </row>
    <row r="472" spans="2:2" s="5" customFormat="1" ht="12">
      <c r="B472" s="42" t="s">
        <v>503</v>
      </c>
    </row>
    <row r="473" spans="2:2" s="5" customFormat="1" ht="12">
      <c r="B473" s="42" t="s">
        <v>504</v>
      </c>
    </row>
    <row r="474" spans="2:2" s="5" customFormat="1" ht="12">
      <c r="B474" s="42" t="s">
        <v>505</v>
      </c>
    </row>
    <row r="475" spans="2:2" s="5" customFormat="1" ht="12">
      <c r="B475" s="42" t="s">
        <v>506</v>
      </c>
    </row>
    <row r="476" spans="2:2" s="5" customFormat="1" ht="12">
      <c r="B476" s="42" t="s">
        <v>507</v>
      </c>
    </row>
    <row r="477" spans="2:2" s="5" customFormat="1" ht="12">
      <c r="B477" s="42" t="s">
        <v>508</v>
      </c>
    </row>
    <row r="478" spans="2:2" s="5" customFormat="1" ht="12">
      <c r="B478" s="42" t="s">
        <v>509</v>
      </c>
    </row>
    <row r="479" spans="2:2" s="5" customFormat="1" ht="12">
      <c r="B479" s="42" t="s">
        <v>510</v>
      </c>
    </row>
    <row r="480" spans="2:2" s="5" customFormat="1" ht="12">
      <c r="B480" s="42" t="s">
        <v>511</v>
      </c>
    </row>
    <row r="481" spans="2:2" s="5" customFormat="1" ht="12">
      <c r="B481" s="42"/>
    </row>
    <row r="482" spans="2:2" s="5" customFormat="1" ht="12">
      <c r="B482" s="42" t="s">
        <v>512</v>
      </c>
    </row>
    <row r="483" spans="2:2" s="5" customFormat="1" ht="12">
      <c r="B483" s="42" t="s">
        <v>513</v>
      </c>
    </row>
    <row r="484" spans="2:2" s="5" customFormat="1" ht="12">
      <c r="B484" s="42" t="s">
        <v>514</v>
      </c>
    </row>
    <row r="485" spans="2:2" s="5" customFormat="1" ht="12">
      <c r="B485" s="42" t="s">
        <v>515</v>
      </c>
    </row>
    <row r="486" spans="2:2" s="5" customFormat="1" ht="12">
      <c r="B486" s="42"/>
    </row>
    <row r="487" spans="2:2" s="5" customFormat="1" ht="12">
      <c r="B487" s="42" t="s">
        <v>516</v>
      </c>
    </row>
    <row r="488" spans="2:2" s="5" customFormat="1" ht="12">
      <c r="B488" s="42" t="s">
        <v>517</v>
      </c>
    </row>
    <row r="489" spans="2:2" s="5" customFormat="1" ht="12">
      <c r="B489" s="42" t="s">
        <v>518</v>
      </c>
    </row>
    <row r="490" spans="2:2" s="5" customFormat="1" ht="12">
      <c r="B490" s="42"/>
    </row>
    <row r="491" spans="2:2" s="5" customFormat="1" ht="12">
      <c r="B491" s="42" t="s">
        <v>519</v>
      </c>
    </row>
    <row r="492" spans="2:2" s="5" customFormat="1" ht="12">
      <c r="B492" s="42"/>
    </row>
    <row r="493" spans="2:2" s="5" customFormat="1" ht="12">
      <c r="B493" s="42" t="s">
        <v>520</v>
      </c>
    </row>
    <row r="494" spans="2:2" s="5" customFormat="1" ht="12">
      <c r="B494" s="42" t="s">
        <v>521</v>
      </c>
    </row>
    <row r="495" spans="2:2" s="5" customFormat="1" ht="12">
      <c r="B495" s="42" t="s">
        <v>522</v>
      </c>
    </row>
    <row r="496" spans="2:2" s="5" customFormat="1" ht="12">
      <c r="B496" s="42" t="s">
        <v>523</v>
      </c>
    </row>
    <row r="497" spans="2:2" s="5" customFormat="1" ht="12">
      <c r="B497" s="42" t="s">
        <v>524</v>
      </c>
    </row>
    <row r="498" spans="2:2" s="5" customFormat="1" ht="12">
      <c r="B498" s="42"/>
    </row>
    <row r="499" spans="2:2" s="5" customFormat="1" ht="12">
      <c r="B499" s="42" t="s">
        <v>525</v>
      </c>
    </row>
    <row r="500" spans="2:2" s="5" customFormat="1" ht="12">
      <c r="B500" s="42" t="s">
        <v>526</v>
      </c>
    </row>
    <row r="501" spans="2:2" s="5" customFormat="1" ht="12">
      <c r="B501" s="42" t="s">
        <v>527</v>
      </c>
    </row>
    <row r="502" spans="2:2" s="5" customFormat="1" ht="12">
      <c r="B502" s="42" t="s">
        <v>528</v>
      </c>
    </row>
    <row r="503" spans="2:2" s="5" customFormat="1" ht="12">
      <c r="B503" s="42" t="s">
        <v>529</v>
      </c>
    </row>
    <row r="504" spans="2:2" s="5" customFormat="1" ht="12">
      <c r="B504" s="42" t="s">
        <v>530</v>
      </c>
    </row>
    <row r="505" spans="2:2" s="5" customFormat="1" ht="12">
      <c r="B505" s="42"/>
    </row>
    <row r="506" spans="2:2" s="5" customFormat="1" ht="12">
      <c r="B506" s="42" t="s">
        <v>531</v>
      </c>
    </row>
    <row r="507" spans="2:2" s="5" customFormat="1" ht="12">
      <c r="B507" s="42" t="s">
        <v>532</v>
      </c>
    </row>
    <row r="508" spans="2:2" s="5" customFormat="1" ht="12">
      <c r="B508" s="42" t="s">
        <v>533</v>
      </c>
    </row>
    <row r="509" spans="2:2" s="5" customFormat="1" ht="12">
      <c r="B509" s="42" t="s">
        <v>534</v>
      </c>
    </row>
    <row r="510" spans="2:2" s="5" customFormat="1" ht="12">
      <c r="B510" s="42" t="s">
        <v>535</v>
      </c>
    </row>
    <row r="511" spans="2:2" s="5" customFormat="1" ht="12">
      <c r="B511" s="42" t="s">
        <v>536</v>
      </c>
    </row>
    <row r="512" spans="2:2" s="5" customFormat="1" ht="12">
      <c r="B512" s="42"/>
    </row>
    <row r="513" spans="2:2" s="5" customFormat="1" ht="12">
      <c r="B513" s="42" t="s">
        <v>537</v>
      </c>
    </row>
    <row r="514" spans="2:2" s="5" customFormat="1" ht="12">
      <c r="B514" s="42" t="s">
        <v>538</v>
      </c>
    </row>
    <row r="515" spans="2:2" s="5" customFormat="1" ht="12">
      <c r="B515" s="42" t="s">
        <v>539</v>
      </c>
    </row>
    <row r="516" spans="2:2" s="5" customFormat="1" ht="12">
      <c r="B516" s="42" t="s">
        <v>540</v>
      </c>
    </row>
    <row r="517" spans="2:2" s="5" customFormat="1" ht="12">
      <c r="B517" s="42" t="s">
        <v>541</v>
      </c>
    </row>
    <row r="518" spans="2:2" s="5" customFormat="1" ht="12">
      <c r="B518" s="42"/>
    </row>
    <row r="519" spans="2:2" s="5" customFormat="1" ht="12">
      <c r="B519" s="42" t="s">
        <v>542</v>
      </c>
    </row>
    <row r="520" spans="2:2" s="5" customFormat="1" ht="12">
      <c r="B520" s="42"/>
    </row>
    <row r="521" spans="2:2" s="5" customFormat="1" ht="12">
      <c r="B521" s="42" t="s">
        <v>543</v>
      </c>
    </row>
    <row r="522" spans="2:2" s="5" customFormat="1" ht="12">
      <c r="B522" s="42" t="s">
        <v>544</v>
      </c>
    </row>
    <row r="523" spans="2:2" s="5" customFormat="1" ht="12">
      <c r="B523" s="42" t="s">
        <v>545</v>
      </c>
    </row>
    <row r="524" spans="2:2" s="5" customFormat="1" ht="12">
      <c r="B524" s="42" t="s">
        <v>547</v>
      </c>
    </row>
    <row r="525" spans="2:2" s="5" customFormat="1" ht="12">
      <c r="B525" s="42" t="s">
        <v>548</v>
      </c>
    </row>
    <row r="526" spans="2:2" s="5" customFormat="1" ht="12">
      <c r="B526" s="42" t="s">
        <v>549</v>
      </c>
    </row>
    <row r="527" spans="2:2" s="5" customFormat="1" ht="12">
      <c r="B527" s="42" t="s">
        <v>550</v>
      </c>
    </row>
    <row r="528" spans="2:2" s="5" customFormat="1" ht="12">
      <c r="B528" s="42" t="s">
        <v>551</v>
      </c>
    </row>
    <row r="529" spans="2:2" s="5" customFormat="1" ht="12">
      <c r="B529" s="42"/>
    </row>
    <row r="530" spans="2:2" s="5" customFormat="1" ht="12">
      <c r="B530" s="42" t="s">
        <v>552</v>
      </c>
    </row>
    <row r="531" spans="2:2" s="5" customFormat="1" ht="12">
      <c r="B531" s="42"/>
    </row>
    <row r="532" spans="2:2" s="5" customFormat="1" ht="12">
      <c r="B532" s="42" t="s">
        <v>553</v>
      </c>
    </row>
    <row r="533" spans="2:2" s="5" customFormat="1" ht="12">
      <c r="B533" s="42" t="s">
        <v>554</v>
      </c>
    </row>
    <row r="534" spans="2:2" s="5" customFormat="1" ht="12">
      <c r="B534" s="42" t="s">
        <v>555</v>
      </c>
    </row>
    <row r="535" spans="2:2" s="5" customFormat="1" ht="12">
      <c r="B535" s="42" t="s">
        <v>556</v>
      </c>
    </row>
    <row r="536" spans="2:2" s="5" customFormat="1" ht="12">
      <c r="B536" s="42"/>
    </row>
    <row r="537" spans="2:2" s="5" customFormat="1" ht="12">
      <c r="B537" s="42" t="s">
        <v>567</v>
      </c>
    </row>
    <row r="538" spans="2:2" s="5" customFormat="1" ht="12">
      <c r="B538" s="42" t="s">
        <v>568</v>
      </c>
    </row>
    <row r="539" spans="2:2" s="5" customFormat="1" ht="12">
      <c r="B539" s="42" t="s">
        <v>569</v>
      </c>
    </row>
    <row r="540" spans="2:2" s="5" customFormat="1" ht="12">
      <c r="B540" s="42" t="s">
        <v>570</v>
      </c>
    </row>
    <row r="541" spans="2:2" s="5" customFormat="1" ht="12">
      <c r="B541" s="42" t="s">
        <v>571</v>
      </c>
    </row>
    <row r="542" spans="2:2" s="5" customFormat="1" ht="12">
      <c r="B542" s="42" t="s">
        <v>572</v>
      </c>
    </row>
    <row r="543" spans="2:2" s="5" customFormat="1" ht="12">
      <c r="B543" s="42" t="s">
        <v>573</v>
      </c>
    </row>
    <row r="544" spans="2:2" s="5" customFormat="1" ht="12">
      <c r="B544" s="42" t="s">
        <v>574</v>
      </c>
    </row>
    <row r="545" spans="2:2" s="5" customFormat="1" ht="12">
      <c r="B545" s="42" t="s">
        <v>575</v>
      </c>
    </row>
    <row r="546" spans="2:2" s="5" customFormat="1" ht="12">
      <c r="B546" s="42"/>
    </row>
    <row r="547" spans="2:2" s="5" customFormat="1" ht="12">
      <c r="B547" s="42" t="s">
        <v>576</v>
      </c>
    </row>
    <row r="548" spans="2:2" s="5" customFormat="1" ht="12">
      <c r="B548" s="42" t="s">
        <v>577</v>
      </c>
    </row>
    <row r="549" spans="2:2" s="5" customFormat="1" ht="12">
      <c r="B549" s="42" t="s">
        <v>605</v>
      </c>
    </row>
    <row r="550" spans="2:2" s="5" customFormat="1" ht="12">
      <c r="B550" s="42" t="s">
        <v>606</v>
      </c>
    </row>
    <row r="551" spans="2:2" s="5" customFormat="1" ht="12">
      <c r="B551" s="42" t="s">
        <v>607</v>
      </c>
    </row>
    <row r="552" spans="2:2" s="5" customFormat="1" ht="12">
      <c r="B552" s="42" t="s">
        <v>608</v>
      </c>
    </row>
    <row r="553" spans="2:2" s="5" customFormat="1" ht="12">
      <c r="B553" s="42" t="s">
        <v>609</v>
      </c>
    </row>
    <row r="554" spans="2:2" s="5" customFormat="1" ht="12">
      <c r="B554" s="42"/>
    </row>
    <row r="555" spans="2:2" s="5" customFormat="1" ht="12">
      <c r="B555" s="42" t="s">
        <v>610</v>
      </c>
    </row>
    <row r="556" spans="2:2" s="5" customFormat="1" ht="12">
      <c r="B556" s="42"/>
    </row>
    <row r="557" spans="2:2" s="5" customFormat="1" ht="12">
      <c r="B557" s="42" t="s">
        <v>611</v>
      </c>
    </row>
    <row r="558" spans="2:2" s="5" customFormat="1" ht="12">
      <c r="B558" s="42" t="s">
        <v>612</v>
      </c>
    </row>
    <row r="559" spans="2:2" s="5" customFormat="1" ht="12">
      <c r="B559" s="42" t="s">
        <v>613</v>
      </c>
    </row>
    <row r="560" spans="2:2" s="5" customFormat="1" ht="12">
      <c r="B560" s="42"/>
    </row>
    <row r="561" spans="2:2" s="5" customFormat="1" ht="12">
      <c r="B561" s="42" t="s">
        <v>614</v>
      </c>
    </row>
    <row r="562" spans="2:2" s="5" customFormat="1" ht="12">
      <c r="B562" s="42" t="s">
        <v>615</v>
      </c>
    </row>
    <row r="563" spans="2:2" s="5" customFormat="1" ht="12">
      <c r="B563" s="42" t="s">
        <v>616</v>
      </c>
    </row>
    <row r="564" spans="2:2" s="5" customFormat="1" ht="12">
      <c r="B564" s="42" t="s">
        <v>617</v>
      </c>
    </row>
    <row r="565" spans="2:2" s="5" customFormat="1" ht="12">
      <c r="B565" s="42" t="s">
        <v>618</v>
      </c>
    </row>
    <row r="566" spans="2:2" s="5" customFormat="1" ht="12">
      <c r="B566" s="42" t="s">
        <v>619</v>
      </c>
    </row>
    <row r="567" spans="2:2" s="5" customFormat="1" ht="12">
      <c r="B567" s="42" t="s">
        <v>620</v>
      </c>
    </row>
    <row r="568" spans="2:2" s="5" customFormat="1" ht="12">
      <c r="B568" s="42" t="s">
        <v>621</v>
      </c>
    </row>
    <row r="569" spans="2:2" s="5" customFormat="1" ht="12">
      <c r="B569" s="42" t="s">
        <v>622</v>
      </c>
    </row>
    <row r="570" spans="2:2" s="5" customFormat="1" ht="12">
      <c r="B570" s="42"/>
    </row>
    <row r="571" spans="2:2" s="5" customFormat="1" ht="12">
      <c r="B571" s="42" t="s">
        <v>623</v>
      </c>
    </row>
    <row r="572" spans="2:2" s="5" customFormat="1" ht="12">
      <c r="B572" s="42" t="s">
        <v>624</v>
      </c>
    </row>
    <row r="573" spans="2:2" s="5" customFormat="1" ht="12">
      <c r="B573" s="42" t="s">
        <v>638</v>
      </c>
    </row>
    <row r="574" spans="2:2" s="5" customFormat="1" ht="12">
      <c r="B574" s="42" t="s">
        <v>639</v>
      </c>
    </row>
    <row r="575" spans="2:2" s="5" customFormat="1" ht="12">
      <c r="B575" s="42"/>
    </row>
    <row r="576" spans="2:2" s="5" customFormat="1" ht="12">
      <c r="B576" s="42" t="s">
        <v>640</v>
      </c>
    </row>
    <row r="577" spans="2:2" s="5" customFormat="1" ht="12">
      <c r="B577" s="42" t="s">
        <v>954</v>
      </c>
    </row>
    <row r="578" spans="2:2" s="5" customFormat="1" ht="12">
      <c r="B578" s="42" t="s">
        <v>955</v>
      </c>
    </row>
    <row r="579" spans="2:2" s="5" customFormat="1" ht="12">
      <c r="B579" s="42" t="s">
        <v>956</v>
      </c>
    </row>
    <row r="580" spans="2:2" s="5" customFormat="1" ht="12">
      <c r="B580" s="42" t="s">
        <v>957</v>
      </c>
    </row>
    <row r="581" spans="2:2" s="5" customFormat="1" ht="12">
      <c r="B581" s="42" t="s">
        <v>958</v>
      </c>
    </row>
    <row r="582" spans="2:2" s="5" customFormat="1" ht="12">
      <c r="B582" s="42"/>
    </row>
    <row r="583" spans="2:2" s="5" customFormat="1" ht="12">
      <c r="B583" s="42" t="s">
        <v>959</v>
      </c>
    </row>
    <row r="584" spans="2:2" s="5" customFormat="1" ht="12">
      <c r="B584" s="42" t="s">
        <v>960</v>
      </c>
    </row>
    <row r="585" spans="2:2" s="5" customFormat="1" ht="12">
      <c r="B585" s="42" t="s">
        <v>961</v>
      </c>
    </row>
    <row r="586" spans="2:2" s="5" customFormat="1" ht="12">
      <c r="B586" s="42" t="s">
        <v>962</v>
      </c>
    </row>
    <row r="587" spans="2:2" s="5" customFormat="1" ht="12">
      <c r="B587" s="42" t="s">
        <v>963</v>
      </c>
    </row>
    <row r="588" spans="2:2" s="5" customFormat="1" ht="12">
      <c r="B588" s="42" t="s">
        <v>964</v>
      </c>
    </row>
    <row r="589" spans="2:2" s="5" customFormat="1" ht="12">
      <c r="B589" s="42" t="s">
        <v>970</v>
      </c>
    </row>
    <row r="590" spans="2:2" s="5" customFormat="1" ht="12">
      <c r="B590" s="42" t="s">
        <v>971</v>
      </c>
    </row>
    <row r="591" spans="2:2" s="5" customFormat="1" ht="12">
      <c r="B591" s="42" t="s">
        <v>972</v>
      </c>
    </row>
    <row r="592" spans="2:2" s="5" customFormat="1" ht="12">
      <c r="B592" s="42" t="s">
        <v>973</v>
      </c>
    </row>
    <row r="593" spans="2:2" s="5" customFormat="1" ht="12">
      <c r="B593" s="42" t="s">
        <v>974</v>
      </c>
    </row>
    <row r="594" spans="2:2" s="5" customFormat="1" ht="12">
      <c r="B594" s="42" t="s">
        <v>975</v>
      </c>
    </row>
    <row r="595" spans="2:2" s="5" customFormat="1" ht="12">
      <c r="B595" s="42" t="s">
        <v>976</v>
      </c>
    </row>
    <row r="596" spans="2:2" s="5" customFormat="1" ht="12">
      <c r="B596" s="42"/>
    </row>
    <row r="597" spans="2:2" s="5" customFormat="1" ht="12">
      <c r="B597" s="42" t="s">
        <v>977</v>
      </c>
    </row>
    <row r="598" spans="2:2" s="5" customFormat="1" ht="12">
      <c r="B598" s="42" t="s">
        <v>978</v>
      </c>
    </row>
    <row r="599" spans="2:2" s="5" customFormat="1" ht="12">
      <c r="B599" s="42" t="s">
        <v>979</v>
      </c>
    </row>
    <row r="600" spans="2:2" s="5" customFormat="1" ht="12">
      <c r="B600" s="42" t="s">
        <v>980</v>
      </c>
    </row>
    <row r="601" spans="2:2" s="5" customFormat="1" ht="12">
      <c r="B601" s="42" t="s">
        <v>981</v>
      </c>
    </row>
    <row r="602" spans="2:2" s="5" customFormat="1" ht="12">
      <c r="B602" s="42" t="s">
        <v>982</v>
      </c>
    </row>
    <row r="603" spans="2:2" s="5" customFormat="1" ht="12">
      <c r="B603" s="42" t="s">
        <v>983</v>
      </c>
    </row>
    <row r="604" spans="2:2" s="5" customFormat="1" ht="12">
      <c r="B604" s="42"/>
    </row>
    <row r="605" spans="2:2" s="5" customFormat="1" ht="12">
      <c r="B605" s="42" t="s">
        <v>984</v>
      </c>
    </row>
    <row r="606" spans="2:2" s="5" customFormat="1" ht="12">
      <c r="B606" s="42" t="s">
        <v>985</v>
      </c>
    </row>
    <row r="607" spans="2:2" s="5" customFormat="1" ht="12">
      <c r="B607" s="42" t="s">
        <v>986</v>
      </c>
    </row>
    <row r="608" spans="2:2" s="5" customFormat="1" ht="12">
      <c r="B608" s="42" t="s">
        <v>987</v>
      </c>
    </row>
    <row r="609" spans="2:2" s="5" customFormat="1" ht="12">
      <c r="B609" s="42" t="s">
        <v>988</v>
      </c>
    </row>
    <row r="610" spans="2:2" s="5" customFormat="1" ht="12">
      <c r="B610" s="42" t="s">
        <v>989</v>
      </c>
    </row>
    <row r="611" spans="2:2" s="5" customFormat="1" ht="12">
      <c r="B611" s="42" t="s">
        <v>990</v>
      </c>
    </row>
    <row r="612" spans="2:2" s="5" customFormat="1" ht="12">
      <c r="B612" s="42" t="s">
        <v>991</v>
      </c>
    </row>
    <row r="613" spans="2:2" s="5" customFormat="1" ht="12">
      <c r="B613" s="42" t="s">
        <v>992</v>
      </c>
    </row>
    <row r="614" spans="2:2" s="5" customFormat="1" ht="12">
      <c r="B614" s="42" t="s">
        <v>993</v>
      </c>
    </row>
    <row r="615" spans="2:2" s="5" customFormat="1" ht="12">
      <c r="B615" s="42" t="s">
        <v>994</v>
      </c>
    </row>
    <row r="616" spans="2:2" s="5" customFormat="1" ht="12">
      <c r="B616" s="42" t="s">
        <v>995</v>
      </c>
    </row>
    <row r="617" spans="2:2" s="5" customFormat="1" ht="12">
      <c r="B617" s="42" t="s">
        <v>996</v>
      </c>
    </row>
    <row r="618" spans="2:2" s="5" customFormat="1" ht="12">
      <c r="B618" s="42" t="s">
        <v>997</v>
      </c>
    </row>
    <row r="619" spans="2:2" s="5" customFormat="1" ht="12">
      <c r="B619" s="42"/>
    </row>
    <row r="620" spans="2:2" s="5" customFormat="1" ht="12">
      <c r="B620" s="42" t="s">
        <v>998</v>
      </c>
    </row>
    <row r="621" spans="2:2" s="5" customFormat="1" ht="12">
      <c r="B621" s="42" t="s">
        <v>999</v>
      </c>
    </row>
    <row r="622" spans="2:2" s="5" customFormat="1" ht="12">
      <c r="B622" s="42" t="s">
        <v>1000</v>
      </c>
    </row>
    <row r="623" spans="2:2" s="5" customFormat="1" ht="12">
      <c r="B623" s="42"/>
    </row>
    <row r="624" spans="2:2" s="5" customFormat="1" ht="12">
      <c r="B624" s="42" t="s">
        <v>1007</v>
      </c>
    </row>
    <row r="625" spans="2:2" s="5" customFormat="1" ht="12">
      <c r="B625" s="42"/>
    </row>
    <row r="626" spans="2:2" s="5" customFormat="1" ht="12">
      <c r="B626" s="42" t="s">
        <v>1008</v>
      </c>
    </row>
    <row r="627" spans="2:2" s="5" customFormat="1" ht="12">
      <c r="B627" s="42" t="s">
        <v>1009</v>
      </c>
    </row>
    <row r="628" spans="2:2" s="5" customFormat="1" ht="12">
      <c r="B628" s="42" t="s">
        <v>1010</v>
      </c>
    </row>
    <row r="629" spans="2:2" s="5" customFormat="1" ht="12">
      <c r="B629" s="42" t="s">
        <v>1011</v>
      </c>
    </row>
    <row r="630" spans="2:2" s="5" customFormat="1" ht="12">
      <c r="B630" s="42" t="s">
        <v>1012</v>
      </c>
    </row>
    <row r="631" spans="2:2" s="5" customFormat="1" ht="12">
      <c r="B631" s="42" t="s">
        <v>1013</v>
      </c>
    </row>
    <row r="632" spans="2:2" s="5" customFormat="1" ht="12">
      <c r="B632" s="42" t="s">
        <v>1014</v>
      </c>
    </row>
    <row r="633" spans="2:2" s="5" customFormat="1" ht="12">
      <c r="B633" s="42" t="s">
        <v>1017</v>
      </c>
    </row>
    <row r="634" spans="2:2" s="5" customFormat="1" ht="12">
      <c r="B634" s="42" t="s">
        <v>1018</v>
      </c>
    </row>
    <row r="635" spans="2:2" s="5" customFormat="1" ht="12">
      <c r="B635" s="42"/>
    </row>
    <row r="636" spans="2:2" s="5" customFormat="1" ht="12">
      <c r="B636" s="42" t="s">
        <v>1019</v>
      </c>
    </row>
    <row r="637" spans="2:2" s="5" customFormat="1" ht="12">
      <c r="B637" s="42"/>
    </row>
    <row r="638" spans="2:2" s="5" customFormat="1" ht="12">
      <c r="B638" s="42" t="s">
        <v>1020</v>
      </c>
    </row>
    <row r="639" spans="2:2" s="5" customFormat="1" ht="12">
      <c r="B639" s="42" t="s">
        <v>1021</v>
      </c>
    </row>
    <row r="640" spans="2:2" s="5" customFormat="1" ht="12">
      <c r="B640" s="42" t="s">
        <v>1022</v>
      </c>
    </row>
    <row r="641" spans="2:2" s="5" customFormat="1" ht="12">
      <c r="B641" s="42" t="s">
        <v>1023</v>
      </c>
    </row>
    <row r="642" spans="2:2" s="5" customFormat="1" ht="12">
      <c r="B642" s="42" t="s">
        <v>1024</v>
      </c>
    </row>
    <row r="643" spans="2:2" s="5" customFormat="1" ht="12">
      <c r="B643" s="42" t="s">
        <v>1025</v>
      </c>
    </row>
    <row r="644" spans="2:2" s="5" customFormat="1" ht="12">
      <c r="B644" s="42" t="s">
        <v>1026</v>
      </c>
    </row>
    <row r="645" spans="2:2" s="5" customFormat="1" ht="12">
      <c r="B645" s="42" t="s">
        <v>1027</v>
      </c>
    </row>
    <row r="646" spans="2:2" s="5" customFormat="1" ht="12">
      <c r="B646" s="42"/>
    </row>
    <row r="647" spans="2:2" s="5" customFormat="1" ht="12">
      <c r="B647" s="42" t="s">
        <v>1028</v>
      </c>
    </row>
    <row r="648" spans="2:2" s="5" customFormat="1" ht="12">
      <c r="B648" s="42"/>
    </row>
    <row r="649" spans="2:2" s="5" customFormat="1" ht="12">
      <c r="B649" s="42" t="s">
        <v>1029</v>
      </c>
    </row>
    <row r="650" spans="2:2" s="5" customFormat="1" ht="12">
      <c r="B650" s="42" t="s">
        <v>1030</v>
      </c>
    </row>
    <row r="651" spans="2:2" s="5" customFormat="1" ht="12">
      <c r="B651" s="42" t="s">
        <v>1031</v>
      </c>
    </row>
    <row r="652" spans="2:2" s="5" customFormat="1" ht="12">
      <c r="B652" s="42" t="s">
        <v>1032</v>
      </c>
    </row>
    <row r="653" spans="2:2" s="5" customFormat="1" ht="12">
      <c r="B653" s="42"/>
    </row>
    <row r="654" spans="2:2" s="5" customFormat="1" ht="12">
      <c r="B654" s="42" t="s">
        <v>1033</v>
      </c>
    </row>
    <row r="655" spans="2:2" s="5" customFormat="1" ht="12">
      <c r="B655" s="42" t="s">
        <v>1034</v>
      </c>
    </row>
    <row r="656" spans="2:2" s="5" customFormat="1" ht="12">
      <c r="B656" s="42" t="s">
        <v>1035</v>
      </c>
    </row>
    <row r="657" spans="2:2" s="5" customFormat="1" ht="12">
      <c r="B657" s="42" t="s">
        <v>1036</v>
      </c>
    </row>
    <row r="658" spans="2:2" s="5" customFormat="1" ht="12">
      <c r="B658" s="42" t="s">
        <v>1037</v>
      </c>
    </row>
    <row r="659" spans="2:2" s="5" customFormat="1" ht="12">
      <c r="B659" s="42" t="s">
        <v>1038</v>
      </c>
    </row>
    <row r="660" spans="2:2" s="5" customFormat="1" ht="12">
      <c r="B660" s="42" t="s">
        <v>1043</v>
      </c>
    </row>
    <row r="661" spans="2:2" s="5" customFormat="1" ht="12">
      <c r="B661" s="42" t="s">
        <v>1044</v>
      </c>
    </row>
    <row r="662" spans="2:2" s="5" customFormat="1" ht="12">
      <c r="B662" s="42"/>
    </row>
    <row r="663" spans="2:2" s="5" customFormat="1" ht="12">
      <c r="B663" s="42" t="s">
        <v>1055</v>
      </c>
    </row>
    <row r="664" spans="2:2" s="5" customFormat="1" ht="12">
      <c r="B664" s="42" t="s">
        <v>1056</v>
      </c>
    </row>
    <row r="665" spans="2:2" s="5" customFormat="1" ht="12">
      <c r="B665" s="42" t="s">
        <v>1057</v>
      </c>
    </row>
    <row r="666" spans="2:2" s="5" customFormat="1" ht="12">
      <c r="B666" s="42" t="s">
        <v>1058</v>
      </c>
    </row>
    <row r="667" spans="2:2" s="5" customFormat="1" ht="12">
      <c r="B667" s="42"/>
    </row>
    <row r="668" spans="2:2" s="5" customFormat="1" ht="12">
      <c r="B668" s="42" t="s">
        <v>1059</v>
      </c>
    </row>
    <row r="669" spans="2:2" s="5" customFormat="1" ht="12">
      <c r="B669" s="42" t="s">
        <v>1060</v>
      </c>
    </row>
    <row r="670" spans="2:2" s="5" customFormat="1" ht="12">
      <c r="B670" s="42" t="s">
        <v>1061</v>
      </c>
    </row>
    <row r="671" spans="2:2" s="5" customFormat="1" ht="12">
      <c r="B671" s="42" t="s">
        <v>1062</v>
      </c>
    </row>
    <row r="672" spans="2:2" s="5" customFormat="1" ht="12">
      <c r="B672" s="42"/>
    </row>
    <row r="673" spans="2:2" s="5" customFormat="1" ht="12">
      <c r="B673" s="42" t="s">
        <v>1063</v>
      </c>
    </row>
    <row r="674" spans="2:2" s="5" customFormat="1" ht="12">
      <c r="B674" s="42"/>
    </row>
    <row r="675" spans="2:2" s="5" customFormat="1" ht="12">
      <c r="B675" s="42" t="s">
        <v>1064</v>
      </c>
    </row>
    <row r="676" spans="2:2" s="5" customFormat="1" ht="12">
      <c r="B676" s="42" t="s">
        <v>1065</v>
      </c>
    </row>
    <row r="677" spans="2:2" s="5" customFormat="1" ht="12">
      <c r="B677" s="42" t="s">
        <v>1066</v>
      </c>
    </row>
    <row r="678" spans="2:2" s="5" customFormat="1" ht="12">
      <c r="B678" s="42" t="s">
        <v>1067</v>
      </c>
    </row>
    <row r="679" spans="2:2" s="5" customFormat="1" ht="12">
      <c r="B679" s="42" t="s">
        <v>1068</v>
      </c>
    </row>
    <row r="680" spans="2:2" s="5" customFormat="1" ht="12">
      <c r="B680" s="42" t="s">
        <v>1069</v>
      </c>
    </row>
    <row r="681" spans="2:2" s="5" customFormat="1" ht="12">
      <c r="B681" s="42" t="s">
        <v>1070</v>
      </c>
    </row>
    <row r="682" spans="2:2" s="5" customFormat="1" ht="12">
      <c r="B682" s="42" t="s">
        <v>1071</v>
      </c>
    </row>
    <row r="683" spans="2:2" s="5" customFormat="1" ht="12">
      <c r="B683" s="42"/>
    </row>
    <row r="684" spans="2:2" s="5" customFormat="1" ht="12">
      <c r="B684" s="42" t="s">
        <v>1072</v>
      </c>
    </row>
    <row r="685" spans="2:2" s="5" customFormat="1" ht="12">
      <c r="B685" s="42"/>
    </row>
    <row r="686" spans="2:2" s="5" customFormat="1" ht="12">
      <c r="B686" s="42" t="s">
        <v>1073</v>
      </c>
    </row>
    <row r="687" spans="2:2" s="5" customFormat="1" ht="12">
      <c r="B687" s="42" t="s">
        <v>1074</v>
      </c>
    </row>
    <row r="688" spans="2:2" s="5" customFormat="1" ht="12">
      <c r="B688" s="42" t="s">
        <v>1075</v>
      </c>
    </row>
    <row r="689" spans="2:2" s="5" customFormat="1" ht="12">
      <c r="B689" s="42" t="s">
        <v>1076</v>
      </c>
    </row>
    <row r="690" spans="2:2" s="5" customFormat="1" ht="12">
      <c r="B690" s="42" t="s">
        <v>1077</v>
      </c>
    </row>
    <row r="691" spans="2:2" s="5" customFormat="1" ht="12">
      <c r="B691" s="42" t="s">
        <v>1078</v>
      </c>
    </row>
    <row r="692" spans="2:2" s="5" customFormat="1" ht="12">
      <c r="B692" s="42" t="s">
        <v>1079</v>
      </c>
    </row>
    <row r="693" spans="2:2" s="5" customFormat="1" ht="12">
      <c r="B693" s="42" t="s">
        <v>1081</v>
      </c>
    </row>
    <row r="694" spans="2:2" s="5" customFormat="1" ht="12">
      <c r="B694" s="42" t="s">
        <v>1082</v>
      </c>
    </row>
    <row r="695" spans="2:2" s="5" customFormat="1" ht="12">
      <c r="B695" s="42"/>
    </row>
    <row r="696" spans="2:2" s="5" customFormat="1" ht="12">
      <c r="B696" s="42" t="s">
        <v>1083</v>
      </c>
    </row>
    <row r="697" spans="2:2" s="5" customFormat="1" ht="12">
      <c r="B697" s="42"/>
    </row>
    <row r="698" spans="2:2" s="5" customFormat="1" ht="12">
      <c r="B698" s="42" t="s">
        <v>1084</v>
      </c>
    </row>
    <row r="699" spans="2:2" s="5" customFormat="1" ht="12">
      <c r="B699" s="42" t="s">
        <v>1118</v>
      </c>
    </row>
    <row r="700" spans="2:2" s="5" customFormat="1" ht="12">
      <c r="B700" s="42" t="s">
        <v>1119</v>
      </c>
    </row>
    <row r="701" spans="2:2" s="5" customFormat="1" ht="12">
      <c r="B701" s="42" t="s">
        <v>1120</v>
      </c>
    </row>
    <row r="702" spans="2:2" s="5" customFormat="1" ht="12">
      <c r="B702" s="42" t="s">
        <v>1125</v>
      </c>
    </row>
    <row r="703" spans="2:2" s="5" customFormat="1" ht="12">
      <c r="B703" s="42" t="s">
        <v>1126</v>
      </c>
    </row>
    <row r="704" spans="2:2" s="5" customFormat="1" ht="12">
      <c r="B704" s="42"/>
    </row>
    <row r="705" spans="2:2" s="5" customFormat="1" ht="12">
      <c r="B705" s="42" t="s">
        <v>1127</v>
      </c>
    </row>
    <row r="706" spans="2:2" s="5" customFormat="1" ht="12">
      <c r="B706" s="42"/>
    </row>
    <row r="707" spans="2:2" s="5" customFormat="1" ht="12">
      <c r="B707" s="42" t="s">
        <v>1128</v>
      </c>
    </row>
    <row r="708" spans="2:2" s="5" customFormat="1" ht="12">
      <c r="B708" s="42"/>
    </row>
    <row r="709" spans="2:2" s="5" customFormat="1" ht="12">
      <c r="B709" s="42" t="s">
        <v>1129</v>
      </c>
    </row>
    <row r="710" spans="2:2" s="5" customFormat="1" ht="12">
      <c r="B710" s="42" t="s">
        <v>1130</v>
      </c>
    </row>
    <row r="711" spans="2:2" s="5" customFormat="1" ht="12">
      <c r="B711" s="42" t="s">
        <v>1131</v>
      </c>
    </row>
    <row r="712" spans="2:2" s="5" customFormat="1" ht="12">
      <c r="B712" s="42"/>
    </row>
    <row r="713" spans="2:2" s="5" customFormat="1" ht="12">
      <c r="B713" s="42" t="s">
        <v>1132</v>
      </c>
    </row>
    <row r="714" spans="2:2" s="5" customFormat="1" ht="12">
      <c r="B714" s="42" t="s">
        <v>1133</v>
      </c>
    </row>
    <row r="715" spans="2:2" s="5" customFormat="1" ht="12">
      <c r="B715" s="42" t="s">
        <v>1134</v>
      </c>
    </row>
    <row r="716" spans="2:2" s="5" customFormat="1" ht="12">
      <c r="B716" s="42" t="s">
        <v>1135</v>
      </c>
    </row>
    <row r="717" spans="2:2" s="5" customFormat="1" ht="12">
      <c r="B717" s="42"/>
    </row>
    <row r="718" spans="2:2" s="5" customFormat="1" ht="12">
      <c r="B718" s="42" t="s">
        <v>1136</v>
      </c>
    </row>
    <row r="719" spans="2:2" s="5" customFormat="1" ht="12">
      <c r="B719" s="42" t="s">
        <v>1137</v>
      </c>
    </row>
    <row r="720" spans="2:2" s="5" customFormat="1" ht="12">
      <c r="B720" s="42"/>
    </row>
    <row r="721" spans="2:2" s="5" customFormat="1" ht="12">
      <c r="B721" s="42" t="s">
        <v>1138</v>
      </c>
    </row>
    <row r="722" spans="2:2" s="5" customFormat="1" ht="12">
      <c r="B722" s="42" t="s">
        <v>1139</v>
      </c>
    </row>
    <row r="723" spans="2:2" s="5" customFormat="1" ht="12">
      <c r="B723" s="42" t="s">
        <v>1140</v>
      </c>
    </row>
    <row r="724" spans="2:2" s="5" customFormat="1" ht="12">
      <c r="B724" s="42" t="s">
        <v>1141</v>
      </c>
    </row>
    <row r="725" spans="2:2" s="5" customFormat="1" ht="12">
      <c r="B725" s="42"/>
    </row>
    <row r="726" spans="2:2" s="5" customFormat="1" ht="12">
      <c r="B726" s="42" t="s">
        <v>1142</v>
      </c>
    </row>
    <row r="727" spans="2:2" s="5" customFormat="1" ht="12">
      <c r="B727" s="42" t="s">
        <v>1143</v>
      </c>
    </row>
    <row r="728" spans="2:2" s="5" customFormat="1" ht="12">
      <c r="B728" s="42" t="s">
        <v>1144</v>
      </c>
    </row>
    <row r="729" spans="2:2" s="5" customFormat="1" ht="12">
      <c r="B729" s="42" t="s">
        <v>1145</v>
      </c>
    </row>
    <row r="730" spans="2:2" s="5" customFormat="1" ht="12">
      <c r="B730" s="42"/>
    </row>
    <row r="731" spans="2:2" s="5" customFormat="1" ht="12">
      <c r="B731" s="42" t="s">
        <v>1146</v>
      </c>
    </row>
    <row r="732" spans="2:2" s="5" customFormat="1" ht="12">
      <c r="B732" s="42" t="s">
        <v>1147</v>
      </c>
    </row>
    <row r="733" spans="2:2" s="5" customFormat="1" ht="12">
      <c r="B733" s="42"/>
    </row>
    <row r="734" spans="2:2" s="5" customFormat="1" ht="12">
      <c r="B734" s="42" t="s">
        <v>1148</v>
      </c>
    </row>
    <row r="735" spans="2:2" s="5" customFormat="1" ht="12">
      <c r="B735" s="42"/>
    </row>
    <row r="736" spans="2:2" s="5" customFormat="1" ht="12">
      <c r="B736" s="42" t="s">
        <v>1149</v>
      </c>
    </row>
    <row r="737" spans="2:2" s="5" customFormat="1" ht="12">
      <c r="B737" s="42" t="s">
        <v>1150</v>
      </c>
    </row>
    <row r="738" spans="2:2" s="5" customFormat="1" ht="12">
      <c r="B738" s="42"/>
    </row>
    <row r="739" spans="2:2" s="5" customFormat="1" ht="12">
      <c r="B739" s="42" t="s">
        <v>1151</v>
      </c>
    </row>
    <row r="740" spans="2:2" s="5" customFormat="1" ht="12">
      <c r="B740" s="42" t="s">
        <v>1152</v>
      </c>
    </row>
    <row r="741" spans="2:2" s="5" customFormat="1" ht="12">
      <c r="B741" s="42" t="s">
        <v>1153</v>
      </c>
    </row>
    <row r="742" spans="2:2" s="5" customFormat="1" ht="12">
      <c r="B742" s="42" t="s">
        <v>1156</v>
      </c>
    </row>
    <row r="743" spans="2:2" s="5" customFormat="1" ht="12">
      <c r="B743" s="42"/>
    </row>
    <row r="744" spans="2:2" s="5" customFormat="1" ht="12">
      <c r="B744" s="42" t="s">
        <v>1157</v>
      </c>
    </row>
    <row r="745" spans="2:2" s="5" customFormat="1" ht="12">
      <c r="B745" s="42" t="s">
        <v>1158</v>
      </c>
    </row>
    <row r="746" spans="2:2" s="5" customFormat="1" ht="12">
      <c r="B746" s="42" t="s">
        <v>1159</v>
      </c>
    </row>
    <row r="747" spans="2:2" s="5" customFormat="1" ht="12">
      <c r="B747" s="42"/>
    </row>
    <row r="748" spans="2:2" s="5" customFormat="1" ht="12">
      <c r="B748" s="42" t="s">
        <v>1160</v>
      </c>
    </row>
    <row r="749" spans="2:2" s="5" customFormat="1" ht="12">
      <c r="B749" s="42" t="s">
        <v>1164</v>
      </c>
    </row>
    <row r="750" spans="2:2" s="5" customFormat="1" ht="12">
      <c r="B750" s="42" t="s">
        <v>1165</v>
      </c>
    </row>
    <row r="751" spans="2:2" s="5" customFormat="1" ht="12">
      <c r="B751" s="42" t="s">
        <v>1167</v>
      </c>
    </row>
    <row r="752" spans="2:2" s="5" customFormat="1" ht="12">
      <c r="B752" s="42"/>
    </row>
    <row r="753" spans="2:2" s="5" customFormat="1" ht="12">
      <c r="B753" s="42" t="s">
        <v>1168</v>
      </c>
    </row>
    <row r="754" spans="2:2" s="5" customFormat="1" ht="12">
      <c r="B754" s="42" t="s">
        <v>1169</v>
      </c>
    </row>
    <row r="755" spans="2:2" s="5" customFormat="1" ht="12">
      <c r="B755" s="42" t="s">
        <v>1170</v>
      </c>
    </row>
    <row r="756" spans="2:2" s="5" customFormat="1" ht="12">
      <c r="B756" s="42" t="s">
        <v>1171</v>
      </c>
    </row>
    <row r="757" spans="2:2" s="5" customFormat="1" ht="12">
      <c r="B757" s="42" t="s">
        <v>1172</v>
      </c>
    </row>
    <row r="758" spans="2:2" s="5" customFormat="1" ht="12">
      <c r="B758" s="42" t="s">
        <v>1173</v>
      </c>
    </row>
    <row r="759" spans="2:2" s="5" customFormat="1" ht="12"/>
  </sheetData>
  <sheetProtection sheet="1" objects="1" scenarios="1" selectLockedCells="1" selectUnlockedCells="1"/>
  <phoneticPr fontId="26" type="noConversion"/>
  <pageMargins left="0.75" right="0.75" top="1" bottom="1" header="0.5" footer="0.5"/>
  <pageSetup paperSize="9"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sheetPr codeName="Sheet12"/>
  <dimension ref="A1:BF1107"/>
  <sheetViews>
    <sheetView showGridLines="0" showRowColHeaders="0" zoomScale="120" workbookViewId="0">
      <selection activeCell="J2" sqref="J2"/>
    </sheetView>
  </sheetViews>
  <sheetFormatPr defaultColWidth="9.28515625" defaultRowHeight="12.75" customHeight="1"/>
  <cols>
    <col min="1" max="1" width="2.140625" style="96" customWidth="1"/>
    <col min="2" max="2" width="5.7109375" style="96" customWidth="1"/>
    <col min="3" max="4" width="6.85546875" style="96" customWidth="1"/>
    <col min="5" max="6" width="6" style="96" customWidth="1"/>
    <col min="7" max="7" width="6.42578125" style="96" customWidth="1"/>
    <col min="8" max="8" width="0.5703125" style="96" customWidth="1"/>
    <col min="9" max="9" width="5.5703125" style="96" customWidth="1"/>
    <col min="10" max="21" width="7.140625" style="96" customWidth="1"/>
    <col min="22" max="26" width="11.7109375" style="96" customWidth="1"/>
    <col min="27" max="56" width="7.140625" style="96" customWidth="1"/>
    <col min="57" max="61" width="10.42578125" style="96" bestFit="1" customWidth="1"/>
    <col min="62" max="62" width="9.5703125" style="96" bestFit="1" customWidth="1"/>
    <col min="63" max="70" width="10.42578125" style="96" bestFit="1" customWidth="1"/>
    <col min="71" max="71" width="9.5703125" style="96" bestFit="1" customWidth="1"/>
    <col min="72" max="81" width="10.42578125" style="96" bestFit="1" customWidth="1"/>
    <col min="82" max="82" width="9.5703125" style="96" bestFit="1" customWidth="1"/>
    <col min="83" max="83" width="10.42578125" style="96" bestFit="1" customWidth="1"/>
    <col min="84" max="84" width="9.5703125" style="96" bestFit="1" customWidth="1"/>
    <col min="85" max="87" width="10.42578125" style="96" bestFit="1" customWidth="1"/>
    <col min="88" max="88" width="9.5703125" style="96" bestFit="1" customWidth="1"/>
    <col min="89" max="90" width="10.42578125" style="96" bestFit="1" customWidth="1"/>
    <col min="91" max="91" width="9.28515625" style="96" bestFit="1" customWidth="1"/>
    <col min="92" max="96" width="10.42578125" style="96" bestFit="1" customWidth="1"/>
    <col min="97" max="97" width="9.5703125" style="96" bestFit="1" customWidth="1"/>
    <col min="98" max="105" width="10.42578125" style="96" bestFit="1" customWidth="1"/>
    <col min="106" max="107" width="9.5703125" style="96" bestFit="1" customWidth="1"/>
    <col min="108" max="113" width="10.42578125" style="96" bestFit="1" customWidth="1"/>
    <col min="114" max="114" width="9.5703125" style="96" bestFit="1" customWidth="1"/>
    <col min="115" max="120" width="10.42578125" style="96" bestFit="1" customWidth="1"/>
    <col min="121" max="215" width="9.28515625" style="96" bestFit="1" customWidth="1"/>
    <col min="216" max="16384" width="9.28515625" style="96"/>
  </cols>
  <sheetData>
    <row r="1" spans="1:47" ht="12.75" customHeight="1">
      <c r="C1" s="542" t="s">
        <v>6</v>
      </c>
      <c r="I1" s="476">
        <f>($C$84+$C$81)/1000000</f>
        <v>1.2E-5</v>
      </c>
      <c r="J1" s="477">
        <f t="shared" ref="J1:Y1" si="0">$I$1</f>
        <v>1.2E-5</v>
      </c>
      <c r="K1" s="477">
        <f t="shared" si="0"/>
        <v>1.2E-5</v>
      </c>
      <c r="L1" s="477">
        <f t="shared" si="0"/>
        <v>1.2E-5</v>
      </c>
      <c r="M1" s="477">
        <f t="shared" si="0"/>
        <v>1.2E-5</v>
      </c>
      <c r="N1" s="477">
        <f t="shared" si="0"/>
        <v>1.2E-5</v>
      </c>
      <c r="O1" s="477">
        <f t="shared" si="0"/>
        <v>1.2E-5</v>
      </c>
      <c r="P1" s="477">
        <f t="shared" si="0"/>
        <v>1.2E-5</v>
      </c>
      <c r="Q1" s="477">
        <f t="shared" si="0"/>
        <v>1.2E-5</v>
      </c>
      <c r="R1" s="477">
        <f t="shared" si="0"/>
        <v>1.2E-5</v>
      </c>
      <c r="S1" s="477">
        <f t="shared" si="0"/>
        <v>1.2E-5</v>
      </c>
      <c r="T1" s="477"/>
      <c r="U1" s="477"/>
      <c r="V1" s="477">
        <f t="shared" si="0"/>
        <v>1.2E-5</v>
      </c>
      <c r="W1" s="477">
        <f t="shared" si="0"/>
        <v>1.2E-5</v>
      </c>
      <c r="X1" s="477">
        <f t="shared" si="0"/>
        <v>1.2E-5</v>
      </c>
      <c r="Y1" s="478">
        <f t="shared" si="0"/>
        <v>1.2E-5</v>
      </c>
      <c r="AA1" s="477"/>
      <c r="AB1" s="477"/>
      <c r="AC1" s="477"/>
      <c r="AD1" s="477"/>
      <c r="AE1" s="478"/>
    </row>
    <row r="2" spans="1:47" ht="12.75" customHeight="1">
      <c r="C2" s="24" t="s">
        <v>11</v>
      </c>
      <c r="D2" s="5"/>
      <c r="I2" s="477">
        <f t="shared" ref="I2:I35" si="1">$I$1</f>
        <v>1.2E-5</v>
      </c>
      <c r="J2" s="479"/>
      <c r="N2" s="480"/>
      <c r="P2" s="481"/>
      <c r="Y2" s="478">
        <f t="shared" ref="Y2:Y35" si="2">$I$1</f>
        <v>1.2E-5</v>
      </c>
      <c r="AJ2" s="272"/>
      <c r="AT2" s="481"/>
    </row>
    <row r="3" spans="1:47" ht="12.75" customHeight="1">
      <c r="C3" s="96" t="s">
        <v>148</v>
      </c>
      <c r="I3" s="477">
        <f t="shared" si="1"/>
        <v>1.2E-5</v>
      </c>
      <c r="J3" s="479"/>
      <c r="N3" s="482"/>
      <c r="R3" s="272"/>
      <c r="Y3" s="478">
        <f t="shared" si="2"/>
        <v>1.2E-5</v>
      </c>
      <c r="AJ3" s="272"/>
    </row>
    <row r="4" spans="1:47" ht="12.75" customHeight="1">
      <c r="C4" s="543" t="s">
        <v>631</v>
      </c>
      <c r="E4" s="272"/>
      <c r="F4" s="272"/>
      <c r="G4" s="272"/>
      <c r="H4" s="272"/>
      <c r="I4" s="477">
        <f t="shared" si="1"/>
        <v>1.2E-5</v>
      </c>
      <c r="J4" s="479"/>
      <c r="R4" s="272"/>
      <c r="Y4" s="478">
        <f t="shared" si="2"/>
        <v>1.2E-5</v>
      </c>
      <c r="AJ4" s="272"/>
      <c r="AT4" s="272"/>
      <c r="AU4" s="272"/>
    </row>
    <row r="5" spans="1:47" ht="12.75" customHeight="1">
      <c r="H5" s="272"/>
      <c r="I5" s="477">
        <f t="shared" si="1"/>
        <v>1.2E-5</v>
      </c>
      <c r="J5" s="479"/>
      <c r="R5" s="272"/>
      <c r="Y5" s="478">
        <f t="shared" si="2"/>
        <v>1.2E-5</v>
      </c>
      <c r="AJ5" s="272"/>
      <c r="AT5" s="272"/>
      <c r="AU5" s="272"/>
    </row>
    <row r="6" spans="1:47" ht="12.75" customHeight="1">
      <c r="A6" s="29">
        <v>1</v>
      </c>
      <c r="B6" s="483" t="s">
        <v>7</v>
      </c>
      <c r="C6" s="226"/>
      <c r="D6" s="226"/>
      <c r="E6" s="226"/>
      <c r="F6" s="226"/>
      <c r="G6" s="226"/>
      <c r="H6" s="561"/>
      <c r="I6" s="477">
        <f t="shared" si="1"/>
        <v>1.2E-5</v>
      </c>
      <c r="J6" s="596"/>
      <c r="K6" s="272"/>
      <c r="L6" s="272"/>
      <c r="M6" s="272"/>
      <c r="N6" s="272"/>
      <c r="O6" s="272"/>
      <c r="P6" s="272"/>
      <c r="Q6" s="272"/>
      <c r="R6" s="272"/>
      <c r="S6" s="484"/>
      <c r="T6" s="484"/>
      <c r="U6" s="484"/>
      <c r="V6" s="484"/>
      <c r="X6" s="484"/>
      <c r="Y6" s="478">
        <f t="shared" si="2"/>
        <v>1.2E-5</v>
      </c>
      <c r="AB6" s="484"/>
      <c r="AC6" s="484"/>
      <c r="AD6" s="484"/>
      <c r="AG6" s="484"/>
      <c r="AI6" s="484"/>
      <c r="AJ6" s="272"/>
      <c r="AT6" s="272"/>
      <c r="AU6" s="272"/>
    </row>
    <row r="7" spans="1:47" ht="12.75" customHeight="1">
      <c r="A7" s="330"/>
      <c r="B7" s="319"/>
      <c r="C7" s="319"/>
      <c r="D7" s="485" t="s">
        <v>636</v>
      </c>
      <c r="E7" s="498">
        <f>D88</f>
        <v>0.4</v>
      </c>
      <c r="F7" s="319"/>
      <c r="G7" s="319"/>
      <c r="H7" s="562"/>
      <c r="I7" s="477">
        <f t="shared" si="1"/>
        <v>1.2E-5</v>
      </c>
      <c r="J7" s="479"/>
      <c r="R7" s="272"/>
      <c r="Y7" s="478">
        <f t="shared" si="2"/>
        <v>1.2E-5</v>
      </c>
      <c r="AJ7" s="272"/>
      <c r="AL7" s="481"/>
      <c r="AN7" s="481"/>
      <c r="AT7" s="272"/>
      <c r="AU7" s="272"/>
    </row>
    <row r="8" spans="1:47" ht="12.75" customHeight="1">
      <c r="A8" s="330"/>
      <c r="B8" s="319"/>
      <c r="C8" s="319"/>
      <c r="D8" s="319" t="s">
        <v>149</v>
      </c>
      <c r="E8" s="319"/>
      <c r="F8" s="319"/>
      <c r="G8" s="319"/>
      <c r="H8" s="562"/>
      <c r="I8" s="477">
        <f t="shared" si="1"/>
        <v>1.2E-5</v>
      </c>
      <c r="J8" s="7"/>
      <c r="K8" s="7"/>
      <c r="L8" s="7"/>
      <c r="M8" s="7"/>
      <c r="N8" s="7"/>
      <c r="O8" s="7"/>
      <c r="P8" s="7"/>
      <c r="Q8" s="7"/>
      <c r="R8" s="272"/>
      <c r="S8" s="7"/>
      <c r="T8" s="7"/>
      <c r="U8" s="7"/>
      <c r="V8" s="7"/>
      <c r="X8" s="7"/>
      <c r="Y8" s="478">
        <f t="shared" si="2"/>
        <v>1.2E-5</v>
      </c>
      <c r="AB8" s="7"/>
      <c r="AC8" s="7"/>
      <c r="AD8" s="7"/>
      <c r="AG8" s="7"/>
      <c r="AI8" s="7"/>
      <c r="AJ8" s="272"/>
      <c r="AK8" s="487"/>
      <c r="AL8" s="272"/>
      <c r="AO8" s="487"/>
      <c r="AP8" s="272"/>
      <c r="AT8" s="272"/>
      <c r="AU8" s="272"/>
    </row>
    <row r="9" spans="1:47" ht="12.75" customHeight="1">
      <c r="A9" s="331"/>
      <c r="B9" s="332"/>
      <c r="C9" s="332"/>
      <c r="D9" s="332"/>
      <c r="E9" s="332"/>
      <c r="F9" s="332"/>
      <c r="G9" s="332"/>
      <c r="H9" s="563"/>
      <c r="I9" s="477">
        <f t="shared" si="1"/>
        <v>1.2E-5</v>
      </c>
      <c r="R9" s="272"/>
      <c r="Y9" s="478">
        <f t="shared" si="2"/>
        <v>1.2E-5</v>
      </c>
      <c r="AJ9" s="272"/>
      <c r="AK9" s="487"/>
      <c r="AL9" s="272"/>
    </row>
    <row r="10" spans="1:47" ht="12.75" customHeight="1">
      <c r="A10" s="495"/>
      <c r="B10" s="495"/>
      <c r="C10" s="495"/>
      <c r="D10" s="495"/>
      <c r="E10" s="495"/>
      <c r="F10" s="495"/>
      <c r="H10" s="272"/>
      <c r="I10" s="477">
        <f t="shared" si="1"/>
        <v>1.2E-5</v>
      </c>
      <c r="R10" s="272"/>
      <c r="Y10" s="478">
        <f t="shared" si="2"/>
        <v>1.2E-5</v>
      </c>
      <c r="AK10" s="489"/>
    </row>
    <row r="11" spans="1:47" ht="12.75" customHeight="1">
      <c r="A11" s="31">
        <v>2</v>
      </c>
      <c r="B11" s="588" t="s">
        <v>633</v>
      </c>
      <c r="C11" s="549"/>
      <c r="D11" s="549"/>
      <c r="E11" s="549"/>
      <c r="F11" s="549"/>
      <c r="G11" s="549"/>
      <c r="H11" s="607"/>
      <c r="I11" s="477">
        <f t="shared" si="1"/>
        <v>1.2E-5</v>
      </c>
      <c r="R11" s="272"/>
      <c r="Y11" s="478">
        <f t="shared" si="2"/>
        <v>1.2E-5</v>
      </c>
      <c r="AK11" s="487"/>
      <c r="AL11" s="272"/>
      <c r="AT11" s="272"/>
    </row>
    <row r="12" spans="1:47" ht="12.75" customHeight="1">
      <c r="A12" s="550"/>
      <c r="B12" s="551"/>
      <c r="C12" s="551"/>
      <c r="D12" s="551"/>
      <c r="E12" s="551"/>
      <c r="F12" s="551"/>
      <c r="G12" s="551"/>
      <c r="H12" s="608"/>
      <c r="I12" s="490">
        <f t="shared" si="1"/>
        <v>1.2E-5</v>
      </c>
      <c r="R12" s="272"/>
      <c r="Y12" s="478">
        <f t="shared" si="2"/>
        <v>1.2E-5</v>
      </c>
      <c r="AK12" s="487"/>
      <c r="AL12" s="272"/>
      <c r="AR12" s="487"/>
      <c r="AS12" s="272"/>
      <c r="AT12" s="272"/>
    </row>
    <row r="13" spans="1:47" ht="12.75" customHeight="1">
      <c r="A13" s="550"/>
      <c r="B13" s="613" t="s">
        <v>150</v>
      </c>
      <c r="C13" s="551"/>
      <c r="D13" s="551"/>
      <c r="E13" s="551"/>
      <c r="F13" s="551"/>
      <c r="G13" s="551"/>
      <c r="H13" s="608"/>
      <c r="I13" s="490">
        <f t="shared" si="1"/>
        <v>1.2E-5</v>
      </c>
      <c r="R13" s="272"/>
      <c r="Y13" s="478">
        <f t="shared" si="2"/>
        <v>1.2E-5</v>
      </c>
      <c r="AJ13" s="489"/>
      <c r="AK13" s="491"/>
      <c r="AL13" s="491"/>
      <c r="AR13" s="487"/>
      <c r="AS13" s="272"/>
      <c r="AT13" s="272"/>
    </row>
    <row r="14" spans="1:47" ht="12.75" customHeight="1">
      <c r="A14" s="550"/>
      <c r="B14" s="551"/>
      <c r="C14" s="551"/>
      <c r="D14" s="551"/>
      <c r="E14" s="552"/>
      <c r="F14" s="551"/>
      <c r="G14" s="187"/>
      <c r="H14" s="186"/>
      <c r="I14" s="490">
        <f t="shared" si="1"/>
        <v>1.2E-5</v>
      </c>
      <c r="R14" s="272"/>
      <c r="Y14" s="478">
        <f t="shared" si="2"/>
        <v>1.2E-5</v>
      </c>
      <c r="AT14" s="272"/>
    </row>
    <row r="15" spans="1:47" ht="12.75" customHeight="1">
      <c r="A15" s="550"/>
      <c r="B15" s="613" t="s">
        <v>151</v>
      </c>
      <c r="C15" s="551"/>
      <c r="D15" s="551"/>
      <c r="E15" s="551"/>
      <c r="F15" s="551"/>
      <c r="G15" s="551"/>
      <c r="H15" s="608"/>
      <c r="I15" s="490">
        <f t="shared" si="1"/>
        <v>1.2E-5</v>
      </c>
      <c r="R15" s="272"/>
      <c r="Y15" s="478">
        <f t="shared" si="2"/>
        <v>1.2E-5</v>
      </c>
      <c r="AT15" s="272"/>
    </row>
    <row r="16" spans="1:47" ht="12.75" customHeight="1">
      <c r="A16" s="553"/>
      <c r="B16" s="554"/>
      <c r="C16" s="554"/>
      <c r="D16" s="554"/>
      <c r="E16" s="554"/>
      <c r="F16" s="554"/>
      <c r="G16" s="554"/>
      <c r="H16" s="609"/>
      <c r="I16" s="490">
        <f t="shared" si="1"/>
        <v>1.2E-5</v>
      </c>
      <c r="R16" s="272"/>
      <c r="Y16" s="478">
        <f t="shared" si="2"/>
        <v>1.2E-5</v>
      </c>
    </row>
    <row r="17" spans="1:47" ht="12.75" customHeight="1">
      <c r="H17" s="272"/>
      <c r="I17" s="477">
        <f t="shared" si="1"/>
        <v>1.2E-5</v>
      </c>
      <c r="R17" s="272"/>
      <c r="Y17" s="478">
        <f t="shared" si="2"/>
        <v>1.2E-5</v>
      </c>
      <c r="AU17" s="495"/>
    </row>
    <row r="18" spans="1:47" ht="12.75" customHeight="1">
      <c r="A18" s="34">
        <v>3</v>
      </c>
      <c r="B18" s="571" t="s">
        <v>1487</v>
      </c>
      <c r="C18" s="555"/>
      <c r="D18" s="555"/>
      <c r="E18" s="555"/>
      <c r="F18" s="555"/>
      <c r="G18" s="555"/>
      <c r="H18" s="556"/>
      <c r="I18" s="477">
        <f t="shared" si="1"/>
        <v>1.2E-5</v>
      </c>
      <c r="R18" s="272"/>
      <c r="Y18" s="478">
        <f t="shared" si="2"/>
        <v>1.2E-5</v>
      </c>
      <c r="AU18" s="495"/>
    </row>
    <row r="19" spans="1:47" ht="12.75" customHeight="1">
      <c r="A19" s="492"/>
      <c r="B19" s="493"/>
      <c r="C19" s="493" t="s">
        <v>152</v>
      </c>
      <c r="D19" s="493"/>
      <c r="E19" s="493"/>
      <c r="F19" s="493"/>
      <c r="G19" s="493"/>
      <c r="H19" s="494"/>
      <c r="I19" s="477">
        <f t="shared" si="1"/>
        <v>1.2E-5</v>
      </c>
      <c r="R19" s="272"/>
      <c r="Y19" s="478">
        <f t="shared" si="2"/>
        <v>1.2E-5</v>
      </c>
      <c r="AU19" s="482"/>
    </row>
    <row r="20" spans="1:47" ht="12.75" customHeight="1">
      <c r="A20" s="557"/>
      <c r="B20" s="558"/>
      <c r="C20" s="558"/>
      <c r="D20" s="558"/>
      <c r="E20" s="558"/>
      <c r="F20" s="558"/>
      <c r="G20" s="558"/>
      <c r="H20" s="559"/>
      <c r="I20" s="477">
        <f t="shared" si="1"/>
        <v>1.2E-5</v>
      </c>
      <c r="R20" s="272"/>
      <c r="Y20" s="478">
        <f t="shared" si="2"/>
        <v>1.2E-5</v>
      </c>
      <c r="AU20" s="482"/>
    </row>
    <row r="21" spans="1:47" ht="12.75" customHeight="1">
      <c r="H21" s="272"/>
      <c r="I21" s="477">
        <f t="shared" si="1"/>
        <v>1.2E-5</v>
      </c>
      <c r="R21" s="272"/>
      <c r="Y21" s="478">
        <f t="shared" si="2"/>
        <v>1.2E-5</v>
      </c>
      <c r="AU21" s="482"/>
    </row>
    <row r="22" spans="1:47" ht="12.75" customHeight="1">
      <c r="A22" s="30">
        <v>4</v>
      </c>
      <c r="B22" s="548" t="s">
        <v>8</v>
      </c>
      <c r="C22" s="300"/>
      <c r="D22" s="300"/>
      <c r="E22" s="300"/>
      <c r="F22" s="300"/>
      <c r="G22" s="300"/>
      <c r="H22" s="603"/>
      <c r="I22" s="477">
        <f t="shared" si="1"/>
        <v>1.2E-5</v>
      </c>
      <c r="R22" s="272"/>
      <c r="Y22" s="478">
        <f t="shared" si="2"/>
        <v>1.2E-5</v>
      </c>
      <c r="AU22" s="482"/>
    </row>
    <row r="23" spans="1:47" ht="12.75" customHeight="1">
      <c r="A23" s="544"/>
      <c r="B23" s="545"/>
      <c r="C23" s="545"/>
      <c r="D23" s="545"/>
      <c r="E23" s="545"/>
      <c r="F23" s="545"/>
      <c r="G23" s="545"/>
      <c r="H23" s="604"/>
      <c r="I23" s="477">
        <f t="shared" si="1"/>
        <v>1.2E-5</v>
      </c>
      <c r="R23" s="272"/>
      <c r="Y23" s="478">
        <f t="shared" si="2"/>
        <v>1.2E-5</v>
      </c>
      <c r="AU23" s="482"/>
    </row>
    <row r="24" spans="1:47" ht="12.75" customHeight="1">
      <c r="A24" s="544"/>
      <c r="B24" s="545"/>
      <c r="C24" s="545"/>
      <c r="D24" s="545"/>
      <c r="E24" s="589" t="s">
        <v>1409</v>
      </c>
      <c r="F24" s="498">
        <f>VLOOKUP(C84,N79:O107,2)</f>
        <v>0.25</v>
      </c>
      <c r="G24" s="545"/>
      <c r="H24" s="604"/>
      <c r="I24" s="477">
        <f t="shared" si="1"/>
        <v>1.2E-5</v>
      </c>
      <c r="R24" s="272"/>
      <c r="Y24" s="478">
        <f t="shared" si="2"/>
        <v>1.2E-5</v>
      </c>
    </row>
    <row r="25" spans="1:47" ht="12.75" customHeight="1">
      <c r="A25" s="544"/>
      <c r="B25" s="545"/>
      <c r="C25" s="545"/>
      <c r="D25" s="545"/>
      <c r="E25" s="545"/>
      <c r="F25" s="545"/>
      <c r="G25" s="545"/>
      <c r="H25" s="604"/>
      <c r="I25" s="477">
        <f t="shared" si="1"/>
        <v>1.2E-5</v>
      </c>
      <c r="R25" s="272"/>
      <c r="Y25" s="478">
        <f t="shared" si="2"/>
        <v>1.2E-5</v>
      </c>
    </row>
    <row r="26" spans="1:47" ht="12.75" customHeight="1">
      <c r="A26" s="547"/>
      <c r="B26" s="308"/>
      <c r="C26" s="308"/>
      <c r="D26" s="308"/>
      <c r="E26" s="308"/>
      <c r="F26" s="308"/>
      <c r="G26" s="308"/>
      <c r="H26" s="606"/>
      <c r="I26" s="477">
        <f t="shared" si="1"/>
        <v>1.2E-5</v>
      </c>
      <c r="R26" s="272"/>
      <c r="Y26" s="478">
        <f t="shared" si="2"/>
        <v>1.2E-5</v>
      </c>
    </row>
    <row r="27" spans="1:47" ht="12.75" customHeight="1">
      <c r="H27" s="272"/>
      <c r="I27" s="477">
        <f t="shared" si="1"/>
        <v>1.2E-5</v>
      </c>
      <c r="R27" s="272"/>
      <c r="Y27" s="478">
        <f t="shared" si="2"/>
        <v>1.2E-5</v>
      </c>
      <c r="AU27" s="491"/>
    </row>
    <row r="28" spans="1:47" ht="12.75" customHeight="1">
      <c r="I28" s="477">
        <f t="shared" si="1"/>
        <v>1.2E-5</v>
      </c>
      <c r="R28" s="272"/>
      <c r="Y28" s="478">
        <f t="shared" si="2"/>
        <v>1.2E-5</v>
      </c>
    </row>
    <row r="29" spans="1:47" ht="12.75" customHeight="1">
      <c r="I29" s="477">
        <f t="shared" si="1"/>
        <v>1.2E-5</v>
      </c>
      <c r="R29" s="272"/>
      <c r="Y29" s="478">
        <f t="shared" si="2"/>
        <v>1.2E-5</v>
      </c>
    </row>
    <row r="30" spans="1:47" ht="12.75" customHeight="1">
      <c r="I30" s="476">
        <f t="shared" si="1"/>
        <v>1.2E-5</v>
      </c>
      <c r="R30" s="272"/>
      <c r="Y30" s="478">
        <f t="shared" si="2"/>
        <v>1.2E-5</v>
      </c>
    </row>
    <row r="31" spans="1:47" ht="12.75" customHeight="1">
      <c r="I31" s="477">
        <f t="shared" si="1"/>
        <v>1.2E-5</v>
      </c>
      <c r="R31" s="272"/>
      <c r="Y31" s="478">
        <f t="shared" si="2"/>
        <v>1.2E-5</v>
      </c>
    </row>
    <row r="32" spans="1:47" ht="12.75" customHeight="1">
      <c r="I32" s="477">
        <f t="shared" si="1"/>
        <v>1.2E-5</v>
      </c>
      <c r="R32" s="272"/>
      <c r="Y32" s="478">
        <f t="shared" si="2"/>
        <v>1.2E-5</v>
      </c>
    </row>
    <row r="33" spans="7:26" ht="12.75" customHeight="1">
      <c r="I33" s="477">
        <f t="shared" si="1"/>
        <v>1.2E-5</v>
      </c>
      <c r="Y33" s="478">
        <f t="shared" si="2"/>
        <v>1.2E-5</v>
      </c>
    </row>
    <row r="34" spans="7:26" ht="12.75" customHeight="1">
      <c r="I34" s="477">
        <f t="shared" si="1"/>
        <v>1.2E-5</v>
      </c>
      <c r="Y34" s="478">
        <f t="shared" si="2"/>
        <v>1.2E-5</v>
      </c>
    </row>
    <row r="35" spans="7:26" ht="13.5" customHeight="1">
      <c r="I35" s="477">
        <f t="shared" si="1"/>
        <v>1.2E-5</v>
      </c>
      <c r="Y35" s="478">
        <f t="shared" si="2"/>
        <v>1.2E-5</v>
      </c>
    </row>
    <row r="36" spans="7:26" ht="12.75" customHeight="1">
      <c r="G36" s="570"/>
      <c r="H36" s="214"/>
      <c r="I36" s="569">
        <v>5</v>
      </c>
      <c r="J36" s="215"/>
      <c r="K36" s="504"/>
      <c r="L36" s="504"/>
      <c r="M36" s="504"/>
      <c r="N36" s="504"/>
      <c r="O36" s="504"/>
      <c r="P36" s="504"/>
      <c r="Q36" s="504"/>
      <c r="R36" s="504"/>
      <c r="S36" s="504"/>
      <c r="T36" s="504"/>
      <c r="U36" s="504"/>
      <c r="V36" s="504"/>
      <c r="W36" s="504"/>
      <c r="X36" s="504"/>
      <c r="Y36" s="593"/>
      <c r="Z36" s="590"/>
    </row>
    <row r="37" spans="7:26" ht="12.75" customHeight="1">
      <c r="G37" s="497"/>
      <c r="H37" s="213"/>
      <c r="I37" s="395" t="s">
        <v>1410</v>
      </c>
      <c r="J37" s="499"/>
      <c r="K37" s="272"/>
      <c r="L37" s="272"/>
      <c r="M37" s="272"/>
      <c r="N37" s="272"/>
      <c r="O37" s="272"/>
      <c r="P37" s="272"/>
      <c r="Q37" s="272"/>
      <c r="R37" s="272"/>
      <c r="S37" s="272"/>
      <c r="T37" s="272"/>
      <c r="U37" s="272"/>
      <c r="V37" s="272"/>
      <c r="W37" s="272"/>
      <c r="X37" s="272"/>
      <c r="Y37" s="594"/>
      <c r="Z37" s="591"/>
    </row>
    <row r="38" spans="7:26" ht="12.75" customHeight="1">
      <c r="G38" s="500"/>
      <c r="H38" s="219"/>
      <c r="I38" s="219"/>
      <c r="J38" s="501"/>
      <c r="K38" s="273"/>
      <c r="L38" s="273"/>
      <c r="M38" s="273"/>
      <c r="N38" s="273"/>
      <c r="O38" s="273"/>
      <c r="P38" s="273"/>
      <c r="Q38" s="273"/>
      <c r="R38" s="273"/>
      <c r="S38" s="273"/>
      <c r="T38" s="273"/>
      <c r="U38" s="273"/>
      <c r="V38" s="273"/>
      <c r="W38" s="273"/>
      <c r="X38" s="273"/>
      <c r="Y38" s="595"/>
      <c r="Z38" s="592"/>
    </row>
    <row r="39" spans="7:26" ht="12.75" customHeight="1">
      <c r="J39" s="481"/>
    </row>
    <row r="40" spans="7:26" ht="12.75" customHeight="1">
      <c r="J40" s="481"/>
    </row>
    <row r="42" spans="7:26" ht="12.75" customHeight="1">
      <c r="J42" s="481"/>
    </row>
    <row r="43" spans="7:26" ht="12.75" customHeight="1">
      <c r="J43" s="481"/>
    </row>
    <row r="44" spans="7:26" ht="12.75" customHeight="1">
      <c r="J44" s="481"/>
    </row>
    <row r="45" spans="7:26" ht="12.75" customHeight="1">
      <c r="J45" s="481"/>
    </row>
    <row r="46" spans="7:26" ht="12.75" customHeight="1">
      <c r="J46" s="481"/>
    </row>
    <row r="47" spans="7:26" ht="12.75" customHeight="1">
      <c r="J47" s="481"/>
    </row>
    <row r="48" spans="7:26" ht="12.75" customHeight="1">
      <c r="J48" s="481"/>
    </row>
    <row r="49" spans="10:10" ht="12.75" customHeight="1">
      <c r="J49" s="481"/>
    </row>
    <row r="50" spans="10:10" ht="12.75" customHeight="1">
      <c r="J50" s="481"/>
    </row>
    <row r="51" spans="10:10" ht="12.75" customHeight="1">
      <c r="J51" s="481"/>
    </row>
    <row r="52" spans="10:10" ht="12.75" customHeight="1">
      <c r="J52" s="481"/>
    </row>
    <row r="53" spans="10:10" ht="12.75" customHeight="1">
      <c r="J53" s="481"/>
    </row>
    <row r="54" spans="10:10" ht="12.75" customHeight="1">
      <c r="J54" s="481"/>
    </row>
    <row r="55" spans="10:10" ht="12.75" customHeight="1">
      <c r="J55" s="481"/>
    </row>
    <row r="56" spans="10:10" ht="12.75" customHeight="1">
      <c r="J56" s="481"/>
    </row>
    <row r="57" spans="10:10" ht="12.75" customHeight="1">
      <c r="J57" s="481"/>
    </row>
    <row r="58" spans="10:10" ht="12.75" customHeight="1">
      <c r="J58" s="481"/>
    </row>
    <row r="59" spans="10:10" ht="12.75" customHeight="1">
      <c r="J59" s="481"/>
    </row>
    <row r="60" spans="10:10" ht="12.75" customHeight="1">
      <c r="J60" s="481"/>
    </row>
    <row r="61" spans="10:10" ht="12.75" customHeight="1">
      <c r="J61" s="481"/>
    </row>
    <row r="62" spans="10:10" ht="12.75" customHeight="1">
      <c r="J62" s="481"/>
    </row>
    <row r="63" spans="10:10" ht="12.75" customHeight="1">
      <c r="J63" s="481"/>
    </row>
    <row r="64" spans="10:10" ht="12.75" customHeight="1">
      <c r="J64" s="481"/>
    </row>
    <row r="65" spans="2:47" ht="12.75" customHeight="1">
      <c r="J65" s="481"/>
    </row>
    <row r="66" spans="2:47" ht="12.75" customHeight="1">
      <c r="J66" s="481"/>
    </row>
    <row r="67" spans="2:47" ht="12.75" customHeight="1">
      <c r="J67" s="481"/>
    </row>
    <row r="68" spans="2:47" ht="12.75" customHeight="1">
      <c r="J68" s="481"/>
    </row>
    <row r="69" spans="2:47" ht="12.75" customHeight="1">
      <c r="J69" s="481"/>
    </row>
    <row r="70" spans="2:47" ht="12.75" customHeight="1">
      <c r="J70" s="481"/>
    </row>
    <row r="71" spans="2:47" ht="12.75" customHeight="1">
      <c r="J71" s="481"/>
    </row>
    <row r="72" spans="2:47" ht="12.75" customHeight="1">
      <c r="J72" s="481"/>
    </row>
    <row r="73" spans="2:47" ht="12.75" customHeight="1">
      <c r="J73" s="481"/>
    </row>
    <row r="74" spans="2:47" ht="12.75" customHeight="1">
      <c r="J74" s="481"/>
    </row>
    <row r="76" spans="2:47" ht="12.75" customHeight="1">
      <c r="D76" s="587">
        <v>1</v>
      </c>
      <c r="E76" s="96" t="s">
        <v>632</v>
      </c>
      <c r="O76" s="536"/>
      <c r="P76" s="582" t="s">
        <v>630</v>
      </c>
      <c r="Q76" s="537">
        <f>E7</f>
        <v>0.4</v>
      </c>
      <c r="R76" s="537">
        <f>S76*VLOOKUP(C84,X112:Z140,3)</f>
        <v>144.53</v>
      </c>
      <c r="S76" s="538">
        <v>0.97</v>
      </c>
    </row>
    <row r="77" spans="2:47" ht="12.75" customHeight="1">
      <c r="B77" s="481" t="s">
        <v>1222</v>
      </c>
      <c r="C77" s="96">
        <f>1-$C$78/100</f>
        <v>1.0000000000000009E-2</v>
      </c>
      <c r="D77" s="502" t="b">
        <v>1</v>
      </c>
      <c r="E77" s="96" t="s">
        <v>1224</v>
      </c>
      <c r="M77" s="96">
        <f>VLOOKUP(C84,K79:M107,3)</f>
        <v>149</v>
      </c>
      <c r="N77" s="503" t="s">
        <v>4</v>
      </c>
      <c r="O77" s="272">
        <f>IF(ISNUMBER(R77),R77,IF(ISNUMBER(Q77),Q77,IF(ISNUMBER(P77),P77,NA())))</f>
        <v>125</v>
      </c>
      <c r="P77" s="272">
        <f>VLOOKUP(C84,N79:R107,3)</f>
        <v>123</v>
      </c>
      <c r="Q77" s="272">
        <f>VLOOKUP(C84,N79:R107,4)</f>
        <v>125</v>
      </c>
      <c r="R77" s="272" t="e">
        <f>VLOOKUP(C84,N79:R107,5)</f>
        <v>#N/A</v>
      </c>
      <c r="S77" s="272"/>
      <c r="T77" s="504"/>
      <c r="U77" s="505"/>
      <c r="V77" s="584"/>
      <c r="W77" s="585"/>
      <c r="AC77" s="481"/>
    </row>
    <row r="78" spans="2:47" ht="12.75" customHeight="1">
      <c r="B78" s="481" t="s">
        <v>1220</v>
      </c>
      <c r="C78" s="486">
        <v>99</v>
      </c>
      <c r="D78" s="502" t="b">
        <v>1</v>
      </c>
      <c r="E78" s="96" t="s">
        <v>1225</v>
      </c>
      <c r="L78" s="96" t="s">
        <v>3</v>
      </c>
      <c r="M78" s="481"/>
      <c r="N78" s="506" t="s">
        <v>1219</v>
      </c>
      <c r="O78" s="573" t="s">
        <v>1192</v>
      </c>
      <c r="P78" s="507" t="s">
        <v>1194</v>
      </c>
      <c r="Q78" s="573" t="s">
        <v>1195</v>
      </c>
      <c r="R78" s="573" t="s">
        <v>1223</v>
      </c>
      <c r="S78" s="272" t="s">
        <v>1230</v>
      </c>
      <c r="T78" s="272" t="s">
        <v>1231</v>
      </c>
      <c r="U78" s="508" t="s">
        <v>1232</v>
      </c>
      <c r="V78" s="506" t="s">
        <v>627</v>
      </c>
      <c r="W78" s="508" t="s">
        <v>628</v>
      </c>
      <c r="X78" s="583" t="s">
        <v>1216</v>
      </c>
      <c r="Y78" s="510" t="s">
        <v>1192</v>
      </c>
      <c r="Z78" s="511" t="s">
        <v>1195</v>
      </c>
      <c r="AA78" s="512" t="s">
        <v>1194</v>
      </c>
      <c r="AB78" s="513" t="s">
        <v>1206</v>
      </c>
      <c r="AC78" s="514" t="s">
        <v>1196</v>
      </c>
      <c r="AD78" s="514" t="s">
        <v>1207</v>
      </c>
      <c r="AE78" s="514" t="s">
        <v>1197</v>
      </c>
      <c r="AF78" s="514" t="s">
        <v>1208</v>
      </c>
      <c r="AG78" s="514" t="s">
        <v>1198</v>
      </c>
      <c r="AH78" s="514" t="s">
        <v>1209</v>
      </c>
      <c r="AI78" s="514" t="s">
        <v>1199</v>
      </c>
      <c r="AJ78" s="514" t="s">
        <v>1210</v>
      </c>
      <c r="AK78" s="514" t="s">
        <v>1200</v>
      </c>
      <c r="AL78" s="514" t="s">
        <v>1211</v>
      </c>
      <c r="AM78" s="514" t="s">
        <v>1201</v>
      </c>
      <c r="AN78" s="514" t="s">
        <v>1212</v>
      </c>
      <c r="AO78" s="514" t="s">
        <v>1202</v>
      </c>
      <c r="AP78" s="514" t="s">
        <v>1213</v>
      </c>
      <c r="AQ78" s="514" t="s">
        <v>1203</v>
      </c>
      <c r="AR78" s="514" t="s">
        <v>1214</v>
      </c>
      <c r="AS78" s="515" t="s">
        <v>1204</v>
      </c>
      <c r="AU78" s="272"/>
    </row>
    <row r="79" spans="2:47" ht="12.75" customHeight="1">
      <c r="B79" s="481" t="s">
        <v>1215</v>
      </c>
      <c r="C79" s="96">
        <v>3</v>
      </c>
      <c r="D79" s="586" t="b">
        <f>(D76=2)</f>
        <v>0</v>
      </c>
      <c r="E79" s="96" t="s">
        <v>1226</v>
      </c>
      <c r="K79" s="96">
        <f>N79</f>
        <v>1</v>
      </c>
      <c r="L79" s="96" t="e">
        <f>O79</f>
        <v>#N/A</v>
      </c>
      <c r="M79" s="96" t="e">
        <f>IF(AND(N79&gt;=$C$84),Z112,NA())</f>
        <v>#N/A</v>
      </c>
      <c r="N79" s="516">
        <v>1</v>
      </c>
      <c r="O79" s="272" t="e">
        <f t="shared" ref="O79:O107" si="3">IF(N79&gt;=$C$84,Y79,NA())</f>
        <v>#N/A</v>
      </c>
      <c r="P79" s="272" t="e">
        <f t="shared" ref="P79:P107" si="4">IF(AND($D$77,N79&gt;=$C$84),X79,NA())</f>
        <v>#N/A</v>
      </c>
      <c r="Q79" s="272" t="e">
        <f>IF(AND($D$78,N79&gt;=$C$84,NOT($D$79)),Z79,NA())</f>
        <v>#N/A</v>
      </c>
      <c r="R79" s="272" t="e">
        <f t="shared" ref="R79:R107" si="5">IF(AND($D$79,N79&gt;=$C$84),Z112,NA())</f>
        <v>#N/A</v>
      </c>
      <c r="S79" s="272" t="e">
        <f t="shared" ref="S79:S107" si="6">IF(AND($D$77,$D$80,N79&gt;=$C$84),X79,NA())</f>
        <v>#N/A</v>
      </c>
      <c r="T79" s="272" t="e">
        <f>IF(AND($D$78,$D$81,N79&gt;=$C$84,NOT($D$79)),Z79,NA())</f>
        <v>#N/A</v>
      </c>
      <c r="U79" s="508" t="e">
        <f t="shared" ref="U79:U107" si="7">IF(AND($D$79,$D$82,N79&gt;=$C$84),Z112,NA())</f>
        <v>#N/A</v>
      </c>
      <c r="V79" s="516" t="e">
        <f>IF(AND($D$78,N79&gt;=$C$84,$D$79),Z79,NA())</f>
        <v>#N/A</v>
      </c>
      <c r="W79" s="508" t="e">
        <f>IF(AND($D$78,$D$81,N79&gt;=$C$84,$D$79),Z79,NA())</f>
        <v>#N/A</v>
      </c>
      <c r="X79" s="272">
        <f t="shared" ref="X79:X107" si="8">ROUNDUP(AA79,0)</f>
        <v>769</v>
      </c>
      <c r="Y79" s="517">
        <v>0.1</v>
      </c>
      <c r="Z79" s="272">
        <f>(2+MAX(AP79,AR79))/2</f>
        <v>770</v>
      </c>
      <c r="AA79" s="518">
        <f>MAX(2*($C$83/Y79)^2,$C$79)</f>
        <v>768.29176413882522</v>
      </c>
      <c r="AB79" s="492">
        <f>2*ROUNDUP(AA79,0)-2</f>
        <v>1536</v>
      </c>
      <c r="AC79" s="493">
        <f t="shared" ref="AC79:AC107" si="9">MAX(2*(TINV(1-$C$80/100,AB79)/$Y79)^2,$C$79)</f>
        <v>769.50396689765068</v>
      </c>
      <c r="AD79" s="493">
        <f>MAX(MIN(2*ROUNDUP(AC79,0)-2,AB79+2),AB79-2)</f>
        <v>1538</v>
      </c>
      <c r="AE79" s="493">
        <f t="shared" ref="AE79:AE107" si="10">MAX(2*(TINV(1-$C$80/100,AD79)/$Y79)^2,$C$79)</f>
        <v>769.50238866359064</v>
      </c>
      <c r="AF79" s="493">
        <f>MAX(MIN(2*ROUNDUP(AE79,0)-2,AD79+2),AD79-2)</f>
        <v>1538</v>
      </c>
      <c r="AG79" s="493">
        <f t="shared" ref="AG79:AG107" si="11">MAX(2*(TINV(1-$C$80/100,AF79)/$Y79)^2,$C$79)</f>
        <v>769.50238866359064</v>
      </c>
      <c r="AH79" s="493">
        <f>MAX(MIN(2*ROUNDUP(AG79,0)-2,AF79+2),AF79-2)</f>
        <v>1538</v>
      </c>
      <c r="AI79" s="493">
        <f t="shared" ref="AI79:AI107" si="12">MAX(2*(TINV(1-$C$80/100,AH79)/$Y79)^2,$C$79)</f>
        <v>769.50238866359064</v>
      </c>
      <c r="AJ79" s="493">
        <f>MAX(MIN(2*ROUNDUP(AI79,0)-2,AH79+2),AH79-2)</f>
        <v>1538</v>
      </c>
      <c r="AK79" s="493">
        <f t="shared" ref="AK79:AK107" si="13">MAX(2*(TINV(1-$C$80/100,AJ79)/$Y79)^2,$C$79)</f>
        <v>769.50238866359064</v>
      </c>
      <c r="AL79" s="493">
        <f>MAX(MIN(2*ROUNDUP(AK79,0)-2,AJ79+2),AJ79-2)</f>
        <v>1538</v>
      </c>
      <c r="AM79" s="493">
        <f t="shared" ref="AM79:AM107" si="14">MAX(2*(TINV(1-$C$80/100,AL79)/$Y79)^2,$C$79)</f>
        <v>769.50238866359064</v>
      </c>
      <c r="AN79" s="493">
        <f>MAX(MIN(2*ROUNDUP(AM79,0)-2,AL79+2),AL79-2)</f>
        <v>1538</v>
      </c>
      <c r="AO79" s="493">
        <f t="shared" ref="AO79:AO107" si="15">MAX(2*(TINV(1-$C$80/100,AN79)/$Y79)^2,$C$79)</f>
        <v>769.50238866359064</v>
      </c>
      <c r="AP79" s="493">
        <f>MAX(MIN(2*ROUNDUP(AO79,0)-2,AN79+2),AN79-2)</f>
        <v>1538</v>
      </c>
      <c r="AQ79" s="493">
        <f t="shared" ref="AQ79:AQ107" si="16">MAX(2*(TINV(1-$C$80/100,AP79)/$Y79)^2,$C$79)</f>
        <v>769.50238866359064</v>
      </c>
      <c r="AR79" s="493">
        <f>MAX(MIN(2*ROUNDUP(AQ79,0)-2,AP79+2),AP79-2)</f>
        <v>1538</v>
      </c>
      <c r="AS79" s="494">
        <f t="shared" ref="AS79:AS107" si="17">MAX(2*(TINV(1-$C$80/100,AR79)/$Y79)^2,$C$79)</f>
        <v>769.50238866359064</v>
      </c>
    </row>
    <row r="80" spans="2:47" ht="12.75" customHeight="1">
      <c r="B80" s="481" t="s">
        <v>1</v>
      </c>
      <c r="C80" s="486">
        <v>95</v>
      </c>
      <c r="D80" s="502" t="b">
        <v>1</v>
      </c>
      <c r="E80" s="96" t="s">
        <v>1227</v>
      </c>
      <c r="K80" s="96">
        <f t="shared" ref="K80:K107" si="18">N80</f>
        <v>2</v>
      </c>
      <c r="L80" s="96" t="e">
        <f t="shared" ref="L80:L107" si="19">O80</f>
        <v>#N/A</v>
      </c>
      <c r="M80" s="96" t="e">
        <f t="shared" ref="M80:M107" si="20">IF(AND(N80&gt;=$C$84),Z113,NA())</f>
        <v>#N/A</v>
      </c>
      <c r="N80" s="516">
        <v>2</v>
      </c>
      <c r="O80" s="272" t="e">
        <f t="shared" si="3"/>
        <v>#N/A</v>
      </c>
      <c r="P80" s="272" t="e">
        <f t="shared" si="4"/>
        <v>#N/A</v>
      </c>
      <c r="Q80" s="272" t="e">
        <f t="shared" ref="Q80:Q107" si="21">IF(AND($D$78,N80&gt;=$C$84,NOT($D$79)),Z80,NA())</f>
        <v>#N/A</v>
      </c>
      <c r="R80" s="272" t="e">
        <f t="shared" si="5"/>
        <v>#N/A</v>
      </c>
      <c r="S80" s="272" t="e">
        <f t="shared" si="6"/>
        <v>#N/A</v>
      </c>
      <c r="T80" s="272" t="e">
        <f t="shared" ref="T80:T107" si="22">IF(AND($D$78,$D$81,N80&gt;=$C$84,NOT($D$79)),Z80,NA())</f>
        <v>#N/A</v>
      </c>
      <c r="U80" s="508" t="e">
        <f t="shared" si="7"/>
        <v>#N/A</v>
      </c>
      <c r="V80" s="516" t="e">
        <f t="shared" ref="V80:V107" si="23">IF(AND($D$78,N80&gt;=$C$84,$D$79),Z80,NA())</f>
        <v>#N/A</v>
      </c>
      <c r="W80" s="508" t="e">
        <f t="shared" ref="W80:W107" si="24">IF(AND($D$78,$D$81,N80&gt;=$C$84,$D$79),Z80,NA())</f>
        <v>#N/A</v>
      </c>
      <c r="X80" s="272">
        <f t="shared" si="8"/>
        <v>342</v>
      </c>
      <c r="Y80" s="517">
        <v>0.15</v>
      </c>
      <c r="Z80" s="272">
        <f t="shared" ref="Z80:Z107" si="25">(2+MAX(AP80,AR80))/2</f>
        <v>343</v>
      </c>
      <c r="AA80" s="519">
        <f t="shared" ref="AA80:AA107" si="26">MAX(2*($C$83/Y80)^2,$C$79)</f>
        <v>341.46300628392248</v>
      </c>
      <c r="AB80" s="516">
        <f t="shared" ref="AB80:AB107" si="27">2*ROUNDUP(AA80,0)-2</f>
        <v>682</v>
      </c>
      <c r="AC80" s="272">
        <f t="shared" si="9"/>
        <v>342.67819688295981</v>
      </c>
      <c r="AD80" s="272">
        <f t="shared" ref="AD80:AR107" si="28">MAX(MIN(2*ROUNDUP(AC80,0)-2,AB80+2),AB80-2)</f>
        <v>684</v>
      </c>
      <c r="AE80" s="272">
        <f t="shared" si="10"/>
        <v>342.67463430107153</v>
      </c>
      <c r="AF80" s="272">
        <f t="shared" si="28"/>
        <v>684</v>
      </c>
      <c r="AG80" s="272">
        <f t="shared" si="11"/>
        <v>342.67463430107153</v>
      </c>
      <c r="AH80" s="272">
        <f t="shared" si="28"/>
        <v>684</v>
      </c>
      <c r="AI80" s="272">
        <f t="shared" si="12"/>
        <v>342.67463430107153</v>
      </c>
      <c r="AJ80" s="272">
        <f t="shared" si="28"/>
        <v>684</v>
      </c>
      <c r="AK80" s="272">
        <f t="shared" si="13"/>
        <v>342.67463430107153</v>
      </c>
      <c r="AL80" s="272">
        <f t="shared" si="28"/>
        <v>684</v>
      </c>
      <c r="AM80" s="272">
        <f t="shared" si="14"/>
        <v>342.67463430107153</v>
      </c>
      <c r="AN80" s="272">
        <f t="shared" si="28"/>
        <v>684</v>
      </c>
      <c r="AO80" s="272">
        <f t="shared" si="15"/>
        <v>342.67463430107153</v>
      </c>
      <c r="AP80" s="272">
        <f t="shared" si="28"/>
        <v>684</v>
      </c>
      <c r="AQ80" s="272">
        <f t="shared" si="16"/>
        <v>342.67463430107153</v>
      </c>
      <c r="AR80" s="272">
        <f t="shared" si="28"/>
        <v>684</v>
      </c>
      <c r="AS80" s="508">
        <f t="shared" si="17"/>
        <v>342.67463430107153</v>
      </c>
    </row>
    <row r="81" spans="1:58" ht="12.75" customHeight="1">
      <c r="B81" s="109" t="s">
        <v>1233</v>
      </c>
      <c r="C81" s="479">
        <v>8</v>
      </c>
      <c r="D81" s="560" t="b">
        <v>1</v>
      </c>
      <c r="E81" s="96" t="s">
        <v>1228</v>
      </c>
      <c r="K81" s="96">
        <f t="shared" si="18"/>
        <v>3</v>
      </c>
      <c r="L81" s="96" t="e">
        <f t="shared" si="19"/>
        <v>#N/A</v>
      </c>
      <c r="M81" s="520" t="e">
        <f t="shared" si="20"/>
        <v>#N/A</v>
      </c>
      <c r="N81" s="516">
        <v>3</v>
      </c>
      <c r="O81" s="272" t="e">
        <f t="shared" si="3"/>
        <v>#N/A</v>
      </c>
      <c r="P81" s="272" t="e">
        <f t="shared" si="4"/>
        <v>#N/A</v>
      </c>
      <c r="Q81" s="272" t="e">
        <f t="shared" si="21"/>
        <v>#N/A</v>
      </c>
      <c r="R81" s="272" t="e">
        <f t="shared" si="5"/>
        <v>#N/A</v>
      </c>
      <c r="S81" s="272" t="e">
        <f t="shared" si="6"/>
        <v>#N/A</v>
      </c>
      <c r="T81" s="272" t="e">
        <f t="shared" si="22"/>
        <v>#N/A</v>
      </c>
      <c r="U81" s="508" t="e">
        <f t="shared" si="7"/>
        <v>#N/A</v>
      </c>
      <c r="V81" s="516" t="e">
        <f t="shared" si="23"/>
        <v>#N/A</v>
      </c>
      <c r="W81" s="508" t="e">
        <f t="shared" si="24"/>
        <v>#N/A</v>
      </c>
      <c r="X81" s="272">
        <f t="shared" si="8"/>
        <v>193</v>
      </c>
      <c r="Y81" s="517">
        <v>0.2</v>
      </c>
      <c r="Z81" s="272">
        <f t="shared" si="25"/>
        <v>194</v>
      </c>
      <c r="AA81" s="519">
        <f t="shared" si="26"/>
        <v>192.0729410347063</v>
      </c>
      <c r="AB81" s="516">
        <f t="shared" si="27"/>
        <v>384</v>
      </c>
      <c r="AC81" s="272">
        <f t="shared" si="9"/>
        <v>193.28943158973141</v>
      </c>
      <c r="AD81" s="272">
        <f t="shared" si="28"/>
        <v>386</v>
      </c>
      <c r="AE81" s="272">
        <f t="shared" si="10"/>
        <v>193.2830990275917</v>
      </c>
      <c r="AF81" s="272">
        <f t="shared" si="28"/>
        <v>386</v>
      </c>
      <c r="AG81" s="272">
        <f t="shared" si="11"/>
        <v>193.2830990275917</v>
      </c>
      <c r="AH81" s="272">
        <f t="shared" si="28"/>
        <v>386</v>
      </c>
      <c r="AI81" s="272">
        <f t="shared" si="12"/>
        <v>193.2830990275917</v>
      </c>
      <c r="AJ81" s="272">
        <f t="shared" si="28"/>
        <v>386</v>
      </c>
      <c r="AK81" s="272">
        <f t="shared" si="13"/>
        <v>193.2830990275917</v>
      </c>
      <c r="AL81" s="272">
        <f t="shared" si="28"/>
        <v>386</v>
      </c>
      <c r="AM81" s="272">
        <f t="shared" si="14"/>
        <v>193.2830990275917</v>
      </c>
      <c r="AN81" s="272">
        <f t="shared" si="28"/>
        <v>386</v>
      </c>
      <c r="AO81" s="272">
        <f t="shared" si="15"/>
        <v>193.2830990275917</v>
      </c>
      <c r="AP81" s="272">
        <f t="shared" si="28"/>
        <v>386</v>
      </c>
      <c r="AQ81" s="272">
        <f t="shared" si="16"/>
        <v>193.2830990275917</v>
      </c>
      <c r="AR81" s="272">
        <f t="shared" si="28"/>
        <v>386</v>
      </c>
      <c r="AS81" s="508">
        <f t="shared" si="17"/>
        <v>193.2830990275917</v>
      </c>
      <c r="BE81" s="520"/>
      <c r="BF81" s="520"/>
    </row>
    <row r="82" spans="1:58" ht="12.75" customHeight="1">
      <c r="B82" s="481" t="s">
        <v>1205</v>
      </c>
      <c r="C82" s="96">
        <f>1-$C$80/100</f>
        <v>5.0000000000000044E-2</v>
      </c>
      <c r="D82" s="502" t="b">
        <f>D81</f>
        <v>1</v>
      </c>
      <c r="E82" s="96" t="s">
        <v>1229</v>
      </c>
      <c r="K82" s="96">
        <f t="shared" si="18"/>
        <v>4</v>
      </c>
      <c r="L82" s="96">
        <f t="shared" si="19"/>
        <v>0.25</v>
      </c>
      <c r="M82" s="96">
        <f t="shared" si="20"/>
        <v>149</v>
      </c>
      <c r="N82" s="516">
        <v>4</v>
      </c>
      <c r="O82" s="272">
        <f t="shared" si="3"/>
        <v>0.25</v>
      </c>
      <c r="P82" s="272">
        <f t="shared" si="4"/>
        <v>123</v>
      </c>
      <c r="Q82" s="272">
        <f t="shared" si="21"/>
        <v>125</v>
      </c>
      <c r="R82" s="272" t="e">
        <f t="shared" si="5"/>
        <v>#N/A</v>
      </c>
      <c r="S82" s="272">
        <f t="shared" si="6"/>
        <v>123</v>
      </c>
      <c r="T82" s="272">
        <f t="shared" si="22"/>
        <v>125</v>
      </c>
      <c r="U82" s="508" t="e">
        <f t="shared" si="7"/>
        <v>#N/A</v>
      </c>
      <c r="V82" s="516" t="e">
        <f t="shared" si="23"/>
        <v>#N/A</v>
      </c>
      <c r="W82" s="508" t="e">
        <f t="shared" si="24"/>
        <v>#N/A</v>
      </c>
      <c r="X82" s="272">
        <f t="shared" si="8"/>
        <v>123</v>
      </c>
      <c r="Y82" s="517">
        <v>0.25</v>
      </c>
      <c r="Z82" s="272">
        <f t="shared" si="25"/>
        <v>125</v>
      </c>
      <c r="AA82" s="519">
        <f t="shared" si="26"/>
        <v>122.92668226221207</v>
      </c>
      <c r="AB82" s="516">
        <f t="shared" si="27"/>
        <v>244</v>
      </c>
      <c r="AC82" s="272">
        <f t="shared" si="9"/>
        <v>124.15525707376172</v>
      </c>
      <c r="AD82" s="272">
        <f t="shared" si="28"/>
        <v>246</v>
      </c>
      <c r="AE82" s="272">
        <f t="shared" si="10"/>
        <v>124.14519537762362</v>
      </c>
      <c r="AF82" s="272">
        <f t="shared" si="28"/>
        <v>248</v>
      </c>
      <c r="AG82" s="272">
        <f t="shared" si="11"/>
        <v>124.13529714406967</v>
      </c>
      <c r="AH82" s="272">
        <f t="shared" si="28"/>
        <v>248</v>
      </c>
      <c r="AI82" s="272">
        <f t="shared" si="12"/>
        <v>124.13529714406967</v>
      </c>
      <c r="AJ82" s="272">
        <f t="shared" si="28"/>
        <v>248</v>
      </c>
      <c r="AK82" s="272">
        <f t="shared" si="13"/>
        <v>124.13529714406967</v>
      </c>
      <c r="AL82" s="272">
        <f t="shared" si="28"/>
        <v>248</v>
      </c>
      <c r="AM82" s="272">
        <f t="shared" si="14"/>
        <v>124.13529714406967</v>
      </c>
      <c r="AN82" s="272">
        <f t="shared" si="28"/>
        <v>248</v>
      </c>
      <c r="AO82" s="272">
        <f t="shared" si="15"/>
        <v>124.13529714406967</v>
      </c>
      <c r="AP82" s="272">
        <f t="shared" si="28"/>
        <v>248</v>
      </c>
      <c r="AQ82" s="272">
        <f t="shared" si="16"/>
        <v>124.13529714406967</v>
      </c>
      <c r="AR82" s="272">
        <f t="shared" si="28"/>
        <v>248</v>
      </c>
      <c r="AS82" s="508">
        <f t="shared" si="17"/>
        <v>124.13529714406967</v>
      </c>
    </row>
    <row r="83" spans="1:58" ht="12.75" customHeight="1">
      <c r="B83" s="481" t="s">
        <v>1193</v>
      </c>
      <c r="C83" s="96">
        <f>ABS(NORMSINV(C82/2))</f>
        <v>1.9599639845400545</v>
      </c>
      <c r="D83" s="502" t="b">
        <v>1</v>
      </c>
      <c r="E83" s="96" t="s">
        <v>2</v>
      </c>
      <c r="G83" s="79"/>
      <c r="H83" s="79"/>
      <c r="I83" s="79"/>
      <c r="J83" s="79"/>
      <c r="K83" s="96">
        <f t="shared" si="18"/>
        <v>5</v>
      </c>
      <c r="L83" s="96">
        <f t="shared" si="19"/>
        <v>0.3</v>
      </c>
      <c r="M83" s="96">
        <f t="shared" si="20"/>
        <v>108</v>
      </c>
      <c r="N83" s="516">
        <v>5</v>
      </c>
      <c r="O83" s="272">
        <f t="shared" si="3"/>
        <v>0.3</v>
      </c>
      <c r="P83" s="272">
        <f t="shared" si="4"/>
        <v>86</v>
      </c>
      <c r="Q83" s="272">
        <f t="shared" si="21"/>
        <v>87</v>
      </c>
      <c r="R83" s="272" t="e">
        <f t="shared" si="5"/>
        <v>#N/A</v>
      </c>
      <c r="S83" s="272">
        <f t="shared" si="6"/>
        <v>86</v>
      </c>
      <c r="T83" s="272">
        <f t="shared" si="22"/>
        <v>87</v>
      </c>
      <c r="U83" s="508" t="e">
        <f t="shared" si="7"/>
        <v>#N/A</v>
      </c>
      <c r="V83" s="516" t="e">
        <f t="shared" si="23"/>
        <v>#N/A</v>
      </c>
      <c r="W83" s="508" t="e">
        <f t="shared" si="24"/>
        <v>#N/A</v>
      </c>
      <c r="X83" s="272">
        <f t="shared" si="8"/>
        <v>86</v>
      </c>
      <c r="Y83" s="517">
        <v>0.3</v>
      </c>
      <c r="Z83" s="272">
        <f t="shared" si="25"/>
        <v>87</v>
      </c>
      <c r="AA83" s="519">
        <f t="shared" si="26"/>
        <v>85.36575157098062</v>
      </c>
      <c r="AB83" s="516">
        <f t="shared" si="27"/>
        <v>170</v>
      </c>
      <c r="AC83" s="272">
        <f t="shared" si="9"/>
        <v>86.594262425837613</v>
      </c>
      <c r="AD83" s="272">
        <f t="shared" si="28"/>
        <v>172</v>
      </c>
      <c r="AE83" s="272">
        <f t="shared" si="10"/>
        <v>86.579827380619648</v>
      </c>
      <c r="AF83" s="272">
        <f t="shared" si="28"/>
        <v>172</v>
      </c>
      <c r="AG83" s="272">
        <f t="shared" si="11"/>
        <v>86.579827380619648</v>
      </c>
      <c r="AH83" s="272">
        <f t="shared" si="28"/>
        <v>172</v>
      </c>
      <c r="AI83" s="272">
        <f t="shared" si="12"/>
        <v>86.579827380619648</v>
      </c>
      <c r="AJ83" s="272">
        <f t="shared" si="28"/>
        <v>172</v>
      </c>
      <c r="AK83" s="272">
        <f t="shared" si="13"/>
        <v>86.579827380619648</v>
      </c>
      <c r="AL83" s="272">
        <f t="shared" si="28"/>
        <v>172</v>
      </c>
      <c r="AM83" s="272">
        <f t="shared" si="14"/>
        <v>86.579827380619648</v>
      </c>
      <c r="AN83" s="272">
        <f t="shared" si="28"/>
        <v>172</v>
      </c>
      <c r="AO83" s="272">
        <f t="shared" si="15"/>
        <v>86.579827380619648</v>
      </c>
      <c r="AP83" s="272">
        <f t="shared" si="28"/>
        <v>172</v>
      </c>
      <c r="AQ83" s="272">
        <f t="shared" si="16"/>
        <v>86.579827380619648</v>
      </c>
      <c r="AR83" s="272">
        <f t="shared" si="28"/>
        <v>172</v>
      </c>
      <c r="AS83" s="508">
        <f t="shared" si="17"/>
        <v>86.579827380619648</v>
      </c>
    </row>
    <row r="84" spans="1:58" ht="12.75" customHeight="1">
      <c r="B84" s="521" t="s">
        <v>1218</v>
      </c>
      <c r="C84" s="479">
        <v>4</v>
      </c>
      <c r="D84" s="502" t="b">
        <v>1</v>
      </c>
      <c r="E84" s="96" t="s">
        <v>1235</v>
      </c>
      <c r="K84" s="96">
        <f t="shared" si="18"/>
        <v>6</v>
      </c>
      <c r="L84" s="96">
        <f t="shared" si="19"/>
        <v>0.35</v>
      </c>
      <c r="M84" s="96">
        <f t="shared" si="20"/>
        <v>82</v>
      </c>
      <c r="N84" s="516">
        <v>6</v>
      </c>
      <c r="O84" s="272">
        <f t="shared" si="3"/>
        <v>0.35</v>
      </c>
      <c r="P84" s="272">
        <f t="shared" si="4"/>
        <v>63</v>
      </c>
      <c r="Q84" s="272">
        <f t="shared" si="21"/>
        <v>64</v>
      </c>
      <c r="R84" s="272" t="e">
        <f t="shared" si="5"/>
        <v>#N/A</v>
      </c>
      <c r="S84" s="272">
        <f t="shared" si="6"/>
        <v>63</v>
      </c>
      <c r="T84" s="272">
        <f t="shared" si="22"/>
        <v>64</v>
      </c>
      <c r="U84" s="508" t="e">
        <f t="shared" si="7"/>
        <v>#N/A</v>
      </c>
      <c r="V84" s="516" t="e">
        <f t="shared" si="23"/>
        <v>#N/A</v>
      </c>
      <c r="W84" s="508" t="e">
        <f t="shared" si="24"/>
        <v>#N/A</v>
      </c>
      <c r="X84" s="272">
        <f t="shared" si="8"/>
        <v>63</v>
      </c>
      <c r="Y84" s="517">
        <v>0.35</v>
      </c>
      <c r="Z84" s="272">
        <f t="shared" si="25"/>
        <v>64</v>
      </c>
      <c r="AA84" s="519">
        <f t="shared" si="26"/>
        <v>62.71769503174086</v>
      </c>
      <c r="AB84" s="516">
        <f t="shared" si="27"/>
        <v>124</v>
      </c>
      <c r="AC84" s="272">
        <f t="shared" si="9"/>
        <v>63.959994769285984</v>
      </c>
      <c r="AD84" s="272">
        <f t="shared" si="28"/>
        <v>126</v>
      </c>
      <c r="AE84" s="272">
        <f t="shared" si="10"/>
        <v>63.939992501030368</v>
      </c>
      <c r="AF84" s="272">
        <f t="shared" si="28"/>
        <v>126</v>
      </c>
      <c r="AG84" s="272">
        <f t="shared" si="11"/>
        <v>63.939992501030368</v>
      </c>
      <c r="AH84" s="272">
        <f t="shared" si="28"/>
        <v>126</v>
      </c>
      <c r="AI84" s="272">
        <f t="shared" si="12"/>
        <v>63.939992501030368</v>
      </c>
      <c r="AJ84" s="272">
        <f t="shared" si="28"/>
        <v>126</v>
      </c>
      <c r="AK84" s="272">
        <f t="shared" si="13"/>
        <v>63.939992501030368</v>
      </c>
      <c r="AL84" s="272">
        <f t="shared" si="28"/>
        <v>126</v>
      </c>
      <c r="AM84" s="272">
        <f t="shared" si="14"/>
        <v>63.939992501030368</v>
      </c>
      <c r="AN84" s="272">
        <f t="shared" si="28"/>
        <v>126</v>
      </c>
      <c r="AO84" s="272">
        <f t="shared" si="15"/>
        <v>63.939992501030368</v>
      </c>
      <c r="AP84" s="272">
        <f t="shared" si="28"/>
        <v>126</v>
      </c>
      <c r="AQ84" s="272">
        <f t="shared" si="16"/>
        <v>63.939992501030368</v>
      </c>
      <c r="AR84" s="272">
        <f t="shared" si="28"/>
        <v>126</v>
      </c>
      <c r="AS84" s="508">
        <f t="shared" si="17"/>
        <v>63.939992501030368</v>
      </c>
    </row>
    <row r="85" spans="1:58" ht="12.75" customHeight="1">
      <c r="B85" s="522" t="s">
        <v>1237</v>
      </c>
      <c r="C85" s="272">
        <f>(100-$C$80)/200</f>
        <v>2.5000000000000001E-2</v>
      </c>
      <c r="D85" s="475" t="b">
        <v>0</v>
      </c>
      <c r="E85" s="96" t="s">
        <v>1238</v>
      </c>
      <c r="K85" s="96">
        <f t="shared" si="18"/>
        <v>7</v>
      </c>
      <c r="L85" s="96">
        <f t="shared" si="19"/>
        <v>0.4</v>
      </c>
      <c r="M85" s="96">
        <f t="shared" si="20"/>
        <v>65</v>
      </c>
      <c r="N85" s="516">
        <v>7</v>
      </c>
      <c r="O85" s="272">
        <f t="shared" si="3"/>
        <v>0.4</v>
      </c>
      <c r="P85" s="272">
        <f t="shared" si="4"/>
        <v>49</v>
      </c>
      <c r="Q85" s="272">
        <f t="shared" si="21"/>
        <v>50</v>
      </c>
      <c r="R85" s="272" t="e">
        <f t="shared" si="5"/>
        <v>#N/A</v>
      </c>
      <c r="S85" s="272">
        <f t="shared" si="6"/>
        <v>49</v>
      </c>
      <c r="T85" s="272">
        <f t="shared" si="22"/>
        <v>50</v>
      </c>
      <c r="U85" s="508" t="e">
        <f t="shared" si="7"/>
        <v>#N/A</v>
      </c>
      <c r="V85" s="516" t="e">
        <f t="shared" si="23"/>
        <v>#N/A</v>
      </c>
      <c r="W85" s="508" t="e">
        <f t="shared" si="24"/>
        <v>#N/A</v>
      </c>
      <c r="X85" s="272">
        <f t="shared" si="8"/>
        <v>49</v>
      </c>
      <c r="Y85" s="517">
        <v>0.4</v>
      </c>
      <c r="Z85" s="272">
        <f t="shared" si="25"/>
        <v>50</v>
      </c>
      <c r="AA85" s="519">
        <f t="shared" si="26"/>
        <v>48.018235258676576</v>
      </c>
      <c r="AB85" s="516">
        <f t="shared" si="27"/>
        <v>96</v>
      </c>
      <c r="AC85" s="272">
        <f t="shared" si="9"/>
        <v>49.252031543425986</v>
      </c>
      <c r="AD85" s="272">
        <f t="shared" si="28"/>
        <v>98</v>
      </c>
      <c r="AE85" s="272">
        <f t="shared" si="10"/>
        <v>49.226385970078368</v>
      </c>
      <c r="AF85" s="272">
        <f t="shared" si="28"/>
        <v>98</v>
      </c>
      <c r="AG85" s="272">
        <f t="shared" si="11"/>
        <v>49.226385970078368</v>
      </c>
      <c r="AH85" s="272">
        <f t="shared" si="28"/>
        <v>98</v>
      </c>
      <c r="AI85" s="272">
        <f t="shared" si="12"/>
        <v>49.226385970078368</v>
      </c>
      <c r="AJ85" s="272">
        <f t="shared" si="28"/>
        <v>98</v>
      </c>
      <c r="AK85" s="272">
        <f t="shared" si="13"/>
        <v>49.226385970078368</v>
      </c>
      <c r="AL85" s="272">
        <f t="shared" si="28"/>
        <v>98</v>
      </c>
      <c r="AM85" s="272">
        <f t="shared" si="14"/>
        <v>49.226385970078368</v>
      </c>
      <c r="AN85" s="272">
        <f t="shared" si="28"/>
        <v>98</v>
      </c>
      <c r="AO85" s="272">
        <f t="shared" si="15"/>
        <v>49.226385970078368</v>
      </c>
      <c r="AP85" s="272">
        <f t="shared" si="28"/>
        <v>98</v>
      </c>
      <c r="AQ85" s="272">
        <f t="shared" si="16"/>
        <v>49.226385970078368</v>
      </c>
      <c r="AR85" s="272">
        <f t="shared" si="28"/>
        <v>98</v>
      </c>
      <c r="AS85" s="508">
        <f t="shared" si="17"/>
        <v>49.226385970078368</v>
      </c>
    </row>
    <row r="86" spans="1:58" ht="12.75" customHeight="1">
      <c r="B86" s="481" t="s">
        <v>1191</v>
      </c>
      <c r="C86" s="479">
        <v>5</v>
      </c>
      <c r="D86" s="37" t="b">
        <f>IF(D87=2,TRUE,FALSE)</f>
        <v>0</v>
      </c>
      <c r="E86" s="96" t="s">
        <v>1239</v>
      </c>
      <c r="K86" s="96">
        <f t="shared" si="18"/>
        <v>8</v>
      </c>
      <c r="L86" s="96">
        <f t="shared" si="19"/>
        <v>0.45</v>
      </c>
      <c r="M86" s="96">
        <f t="shared" si="20"/>
        <v>53</v>
      </c>
      <c r="N86" s="516">
        <v>8</v>
      </c>
      <c r="O86" s="272">
        <f t="shared" si="3"/>
        <v>0.45</v>
      </c>
      <c r="P86" s="272">
        <f t="shared" si="4"/>
        <v>38</v>
      </c>
      <c r="Q86" s="272">
        <f t="shared" si="21"/>
        <v>40</v>
      </c>
      <c r="R86" s="272" t="e">
        <f t="shared" si="5"/>
        <v>#N/A</v>
      </c>
      <c r="S86" s="272">
        <f t="shared" si="6"/>
        <v>38</v>
      </c>
      <c r="T86" s="272">
        <f t="shared" si="22"/>
        <v>40</v>
      </c>
      <c r="U86" s="508" t="e">
        <f t="shared" si="7"/>
        <v>#N/A</v>
      </c>
      <c r="V86" s="516" t="e">
        <f t="shared" si="23"/>
        <v>#N/A</v>
      </c>
      <c r="W86" s="508" t="e">
        <f t="shared" si="24"/>
        <v>#N/A</v>
      </c>
      <c r="X86" s="272">
        <f t="shared" si="8"/>
        <v>38</v>
      </c>
      <c r="Y86" s="517">
        <v>0.45</v>
      </c>
      <c r="Z86" s="272">
        <f t="shared" si="25"/>
        <v>40</v>
      </c>
      <c r="AA86" s="519">
        <f t="shared" si="26"/>
        <v>37.940334031546925</v>
      </c>
      <c r="AB86" s="516">
        <f t="shared" si="27"/>
        <v>74</v>
      </c>
      <c r="AC86" s="272">
        <f t="shared" si="9"/>
        <v>39.212142846703181</v>
      </c>
      <c r="AD86" s="272">
        <f t="shared" si="28"/>
        <v>76</v>
      </c>
      <c r="AE86" s="272">
        <f t="shared" si="10"/>
        <v>39.177873186668727</v>
      </c>
      <c r="AF86" s="272">
        <f t="shared" si="28"/>
        <v>78</v>
      </c>
      <c r="AG86" s="272">
        <f t="shared" si="11"/>
        <v>39.145401684943394</v>
      </c>
      <c r="AH86" s="272">
        <f t="shared" si="28"/>
        <v>78</v>
      </c>
      <c r="AI86" s="272">
        <f t="shared" si="12"/>
        <v>39.145401684943394</v>
      </c>
      <c r="AJ86" s="272">
        <f t="shared" si="28"/>
        <v>78</v>
      </c>
      <c r="AK86" s="272">
        <f t="shared" si="13"/>
        <v>39.145401684943394</v>
      </c>
      <c r="AL86" s="272">
        <f t="shared" si="28"/>
        <v>78</v>
      </c>
      <c r="AM86" s="272">
        <f t="shared" si="14"/>
        <v>39.145401684943394</v>
      </c>
      <c r="AN86" s="272">
        <f t="shared" si="28"/>
        <v>78</v>
      </c>
      <c r="AO86" s="272">
        <f t="shared" si="15"/>
        <v>39.145401684943394</v>
      </c>
      <c r="AP86" s="272">
        <f t="shared" si="28"/>
        <v>78</v>
      </c>
      <c r="AQ86" s="272">
        <f t="shared" si="16"/>
        <v>39.145401684943394</v>
      </c>
      <c r="AR86" s="272">
        <f t="shared" si="28"/>
        <v>78</v>
      </c>
      <c r="AS86" s="508">
        <f t="shared" si="17"/>
        <v>39.145401684943394</v>
      </c>
    </row>
    <row r="87" spans="1:58" ht="12.75" customHeight="1">
      <c r="B87" s="481" t="s">
        <v>1240</v>
      </c>
      <c r="C87" s="479">
        <v>30</v>
      </c>
      <c r="D87" s="523">
        <v>1</v>
      </c>
      <c r="E87" s="524" t="s">
        <v>1241</v>
      </c>
      <c r="F87" s="524"/>
      <c r="K87" s="96">
        <f t="shared" si="18"/>
        <v>9</v>
      </c>
      <c r="L87" s="96">
        <f t="shared" si="19"/>
        <v>0.5</v>
      </c>
      <c r="M87" s="96">
        <f t="shared" si="20"/>
        <v>44</v>
      </c>
      <c r="N87" s="516">
        <v>9</v>
      </c>
      <c r="O87" s="272">
        <f t="shared" si="3"/>
        <v>0.5</v>
      </c>
      <c r="P87" s="272">
        <f t="shared" si="4"/>
        <v>31</v>
      </c>
      <c r="Q87" s="272">
        <f t="shared" si="21"/>
        <v>32</v>
      </c>
      <c r="R87" s="272" t="e">
        <f t="shared" si="5"/>
        <v>#N/A</v>
      </c>
      <c r="S87" s="272">
        <f t="shared" si="6"/>
        <v>31</v>
      </c>
      <c r="T87" s="272">
        <f t="shared" si="22"/>
        <v>32</v>
      </c>
      <c r="U87" s="508" t="e">
        <f t="shared" si="7"/>
        <v>#N/A</v>
      </c>
      <c r="V87" s="516" t="e">
        <f t="shared" si="23"/>
        <v>#N/A</v>
      </c>
      <c r="W87" s="508" t="e">
        <f t="shared" si="24"/>
        <v>#N/A</v>
      </c>
      <c r="X87" s="272">
        <f t="shared" si="8"/>
        <v>31</v>
      </c>
      <c r="Y87" s="517">
        <v>0.5</v>
      </c>
      <c r="Z87" s="272">
        <f t="shared" si="25"/>
        <v>32</v>
      </c>
      <c r="AA87" s="519">
        <f t="shared" si="26"/>
        <v>30.731670565553017</v>
      </c>
      <c r="AB87" s="516">
        <f t="shared" si="27"/>
        <v>60</v>
      </c>
      <c r="AC87" s="272">
        <f t="shared" si="9"/>
        <v>32.009530448044472</v>
      </c>
      <c r="AD87" s="272">
        <f t="shared" si="28"/>
        <v>62</v>
      </c>
      <c r="AE87" s="272">
        <f t="shared" si="10"/>
        <v>31.967096391062743</v>
      </c>
      <c r="AF87" s="272">
        <f t="shared" si="28"/>
        <v>62</v>
      </c>
      <c r="AG87" s="272">
        <f t="shared" si="11"/>
        <v>31.967096391062743</v>
      </c>
      <c r="AH87" s="272">
        <f t="shared" si="28"/>
        <v>62</v>
      </c>
      <c r="AI87" s="272">
        <f t="shared" si="12"/>
        <v>31.967096391062743</v>
      </c>
      <c r="AJ87" s="272">
        <f t="shared" si="28"/>
        <v>62</v>
      </c>
      <c r="AK87" s="272">
        <f t="shared" si="13"/>
        <v>31.967096391062743</v>
      </c>
      <c r="AL87" s="272">
        <f t="shared" si="28"/>
        <v>62</v>
      </c>
      <c r="AM87" s="272">
        <f t="shared" si="14"/>
        <v>31.967096391062743</v>
      </c>
      <c r="AN87" s="272">
        <f t="shared" si="28"/>
        <v>62</v>
      </c>
      <c r="AO87" s="272">
        <f t="shared" si="15"/>
        <v>31.967096391062743</v>
      </c>
      <c r="AP87" s="272">
        <f t="shared" si="28"/>
        <v>62</v>
      </c>
      <c r="AQ87" s="272">
        <f t="shared" si="16"/>
        <v>31.967096391062743</v>
      </c>
      <c r="AR87" s="272">
        <f t="shared" si="28"/>
        <v>62</v>
      </c>
      <c r="AS87" s="508">
        <f t="shared" si="17"/>
        <v>31.967096391062743</v>
      </c>
    </row>
    <row r="88" spans="1:58" ht="12.75" customHeight="1">
      <c r="B88" s="525"/>
      <c r="C88" s="526" t="s">
        <v>1190</v>
      </c>
      <c r="D88" s="504">
        <f>IF(D83,IF(C81&lt;21,C81/20,INT((C81+1)/2)/10),NA())</f>
        <v>0.4</v>
      </c>
      <c r="E88" s="504">
        <v>0</v>
      </c>
      <c r="F88" s="527"/>
      <c r="G88" s="504"/>
      <c r="H88" s="272"/>
      <c r="I88" s="272"/>
      <c r="J88" s="272"/>
      <c r="K88" s="96">
        <f t="shared" si="18"/>
        <v>10</v>
      </c>
      <c r="L88" s="96">
        <f t="shared" si="19"/>
        <v>0.55000000000000004</v>
      </c>
      <c r="M88" s="96">
        <f t="shared" si="20"/>
        <v>38</v>
      </c>
      <c r="N88" s="516">
        <v>10</v>
      </c>
      <c r="O88" s="272">
        <f t="shared" si="3"/>
        <v>0.55000000000000004</v>
      </c>
      <c r="P88" s="272">
        <f t="shared" si="4"/>
        <v>26</v>
      </c>
      <c r="Q88" s="272">
        <f t="shared" si="21"/>
        <v>27</v>
      </c>
      <c r="R88" s="272" t="e">
        <f t="shared" si="5"/>
        <v>#N/A</v>
      </c>
      <c r="S88" s="272">
        <f t="shared" si="6"/>
        <v>26</v>
      </c>
      <c r="T88" s="272">
        <f t="shared" si="22"/>
        <v>27</v>
      </c>
      <c r="U88" s="508" t="e">
        <f t="shared" si="7"/>
        <v>#N/A</v>
      </c>
      <c r="V88" s="516" t="e">
        <f t="shared" si="23"/>
        <v>#N/A</v>
      </c>
      <c r="W88" s="508" t="e">
        <f t="shared" si="24"/>
        <v>#N/A</v>
      </c>
      <c r="X88" s="272">
        <f t="shared" si="8"/>
        <v>26</v>
      </c>
      <c r="Y88" s="517">
        <v>0.55000000000000004</v>
      </c>
      <c r="Z88" s="272">
        <f t="shared" si="25"/>
        <v>27</v>
      </c>
      <c r="AA88" s="519">
        <f t="shared" si="26"/>
        <v>25.398074847564473</v>
      </c>
      <c r="AB88" s="516">
        <f t="shared" si="27"/>
        <v>50</v>
      </c>
      <c r="AC88" s="272">
        <f t="shared" si="9"/>
        <v>26.673120967199893</v>
      </c>
      <c r="AD88" s="272">
        <f t="shared" si="28"/>
        <v>52</v>
      </c>
      <c r="AE88" s="272">
        <f t="shared" si="10"/>
        <v>26.62235518839142</v>
      </c>
      <c r="AF88" s="272">
        <f t="shared" si="28"/>
        <v>52</v>
      </c>
      <c r="AG88" s="272">
        <f t="shared" si="11"/>
        <v>26.62235518839142</v>
      </c>
      <c r="AH88" s="272">
        <f t="shared" si="28"/>
        <v>52</v>
      </c>
      <c r="AI88" s="272">
        <f t="shared" si="12"/>
        <v>26.62235518839142</v>
      </c>
      <c r="AJ88" s="272">
        <f t="shared" si="28"/>
        <v>52</v>
      </c>
      <c r="AK88" s="272">
        <f t="shared" si="13"/>
        <v>26.62235518839142</v>
      </c>
      <c r="AL88" s="272">
        <f t="shared" si="28"/>
        <v>52</v>
      </c>
      <c r="AM88" s="272">
        <f t="shared" si="14"/>
        <v>26.62235518839142</v>
      </c>
      <c r="AN88" s="272">
        <f t="shared" si="28"/>
        <v>52</v>
      </c>
      <c r="AO88" s="272">
        <f t="shared" si="15"/>
        <v>26.62235518839142</v>
      </c>
      <c r="AP88" s="272">
        <f t="shared" si="28"/>
        <v>52</v>
      </c>
      <c r="AQ88" s="272">
        <f t="shared" si="16"/>
        <v>26.62235518839142</v>
      </c>
      <c r="AR88" s="272">
        <f t="shared" si="28"/>
        <v>52</v>
      </c>
      <c r="AS88" s="508">
        <f t="shared" si="17"/>
        <v>26.62235518839142</v>
      </c>
    </row>
    <row r="89" spans="1:58" ht="12.75" customHeight="1">
      <c r="B89" s="516"/>
      <c r="C89" s="484" t="s">
        <v>1236</v>
      </c>
      <c r="D89" s="272"/>
      <c r="E89" s="272" t="s">
        <v>18</v>
      </c>
      <c r="F89" s="528" t="s">
        <v>1234</v>
      </c>
      <c r="G89" s="529">
        <f>M77</f>
        <v>149</v>
      </c>
      <c r="H89" s="495"/>
      <c r="I89" s="1321" t="s">
        <v>1162</v>
      </c>
      <c r="J89" s="529"/>
      <c r="K89" s="96">
        <f t="shared" si="18"/>
        <v>11</v>
      </c>
      <c r="L89" s="96">
        <f t="shared" si="19"/>
        <v>0.6</v>
      </c>
      <c r="M89" s="96">
        <f t="shared" si="20"/>
        <v>33</v>
      </c>
      <c r="N89" s="516">
        <v>11</v>
      </c>
      <c r="O89" s="272">
        <f t="shared" si="3"/>
        <v>0.6</v>
      </c>
      <c r="P89" s="272">
        <f t="shared" si="4"/>
        <v>22</v>
      </c>
      <c r="Q89" s="272">
        <f t="shared" si="21"/>
        <v>23</v>
      </c>
      <c r="R89" s="272" t="e">
        <f t="shared" si="5"/>
        <v>#N/A</v>
      </c>
      <c r="S89" s="272">
        <f t="shared" si="6"/>
        <v>22</v>
      </c>
      <c r="T89" s="272">
        <f t="shared" si="22"/>
        <v>23</v>
      </c>
      <c r="U89" s="508" t="e">
        <f t="shared" si="7"/>
        <v>#N/A</v>
      </c>
      <c r="V89" s="516" t="e">
        <f t="shared" si="23"/>
        <v>#N/A</v>
      </c>
      <c r="W89" s="508" t="e">
        <f t="shared" si="24"/>
        <v>#N/A</v>
      </c>
      <c r="X89" s="272">
        <f t="shared" si="8"/>
        <v>22</v>
      </c>
      <c r="Y89" s="517">
        <v>0.6</v>
      </c>
      <c r="Z89" s="272">
        <f t="shared" si="25"/>
        <v>23</v>
      </c>
      <c r="AA89" s="519">
        <f t="shared" si="26"/>
        <v>21.341437892745155</v>
      </c>
      <c r="AB89" s="516">
        <f t="shared" si="27"/>
        <v>42</v>
      </c>
      <c r="AC89" s="272">
        <f t="shared" si="9"/>
        <v>22.625853680884344</v>
      </c>
      <c r="AD89" s="272">
        <f t="shared" si="28"/>
        <v>44</v>
      </c>
      <c r="AE89" s="272">
        <f t="shared" si="10"/>
        <v>22.565035269776828</v>
      </c>
      <c r="AF89" s="272">
        <f t="shared" si="28"/>
        <v>44</v>
      </c>
      <c r="AG89" s="272">
        <f t="shared" si="11"/>
        <v>22.565035269776828</v>
      </c>
      <c r="AH89" s="272">
        <f t="shared" si="28"/>
        <v>44</v>
      </c>
      <c r="AI89" s="272">
        <f t="shared" si="12"/>
        <v>22.565035269776828</v>
      </c>
      <c r="AJ89" s="272">
        <f t="shared" si="28"/>
        <v>44</v>
      </c>
      <c r="AK89" s="272">
        <f t="shared" si="13"/>
        <v>22.565035269776828</v>
      </c>
      <c r="AL89" s="272">
        <f t="shared" si="28"/>
        <v>44</v>
      </c>
      <c r="AM89" s="272">
        <f t="shared" si="14"/>
        <v>22.565035269776828</v>
      </c>
      <c r="AN89" s="272">
        <f t="shared" si="28"/>
        <v>44</v>
      </c>
      <c r="AO89" s="272">
        <f t="shared" si="15"/>
        <v>22.565035269776828</v>
      </c>
      <c r="AP89" s="272">
        <f t="shared" si="28"/>
        <v>44</v>
      </c>
      <c r="AQ89" s="272">
        <f t="shared" si="16"/>
        <v>22.565035269776828</v>
      </c>
      <c r="AR89" s="272">
        <f t="shared" si="28"/>
        <v>44</v>
      </c>
      <c r="AS89" s="508">
        <f t="shared" si="17"/>
        <v>22.565035269776828</v>
      </c>
    </row>
    <row r="90" spans="1:58" ht="12.75" customHeight="1">
      <c r="B90" s="579" t="s">
        <v>20</v>
      </c>
      <c r="C90" s="522">
        <f>IF(AND($D$83,$D$84),$D$88,NA())</f>
        <v>0.4</v>
      </c>
      <c r="D90" s="272" t="e">
        <f>VLOOKUP(D88,O79:R107,4)</f>
        <v>#N/A</v>
      </c>
      <c r="E90" s="272">
        <f>VLOOKUP(D88,Y112:Z140,2)</f>
        <v>65</v>
      </c>
      <c r="F90" s="272">
        <f>VLOOKUP(E90,X145:Y545,2)</f>
        <v>0.34799999999999998</v>
      </c>
      <c r="G90" s="272"/>
      <c r="H90" s="272"/>
      <c r="I90" s="580" t="s">
        <v>1161</v>
      </c>
      <c r="J90" s="563">
        <f>SQRT(2/G96)*TINV(0.05,E96)</f>
        <v>0.39689348080341508</v>
      </c>
      <c r="K90" s="96">
        <f t="shared" si="18"/>
        <v>12</v>
      </c>
      <c r="L90" s="96">
        <f t="shared" si="19"/>
        <v>0.65</v>
      </c>
      <c r="M90" s="96">
        <f t="shared" si="20"/>
        <v>29</v>
      </c>
      <c r="N90" s="516">
        <v>12</v>
      </c>
      <c r="O90" s="272">
        <f t="shared" si="3"/>
        <v>0.65</v>
      </c>
      <c r="P90" s="272">
        <f t="shared" si="4"/>
        <v>19</v>
      </c>
      <c r="Q90" s="272">
        <f t="shared" si="21"/>
        <v>20</v>
      </c>
      <c r="R90" s="272" t="e">
        <f t="shared" si="5"/>
        <v>#N/A</v>
      </c>
      <c r="S90" s="272">
        <f t="shared" si="6"/>
        <v>19</v>
      </c>
      <c r="T90" s="272">
        <f t="shared" si="22"/>
        <v>20</v>
      </c>
      <c r="U90" s="508" t="e">
        <f t="shared" si="7"/>
        <v>#N/A</v>
      </c>
      <c r="V90" s="516" t="e">
        <f t="shared" si="23"/>
        <v>#N/A</v>
      </c>
      <c r="W90" s="508" t="e">
        <f t="shared" si="24"/>
        <v>#N/A</v>
      </c>
      <c r="X90" s="272">
        <f t="shared" si="8"/>
        <v>19</v>
      </c>
      <c r="Y90" s="517">
        <v>0.65</v>
      </c>
      <c r="Z90" s="272">
        <f t="shared" si="25"/>
        <v>20</v>
      </c>
      <c r="AA90" s="519">
        <f t="shared" si="26"/>
        <v>18.184420452989947</v>
      </c>
      <c r="AB90" s="516">
        <f t="shared" si="27"/>
        <v>36</v>
      </c>
      <c r="AC90" s="272">
        <f t="shared" si="9"/>
        <v>19.470604588042825</v>
      </c>
      <c r="AD90" s="272">
        <f t="shared" si="28"/>
        <v>38</v>
      </c>
      <c r="AE90" s="272">
        <f t="shared" si="10"/>
        <v>19.399629165710085</v>
      </c>
      <c r="AF90" s="272">
        <f t="shared" si="28"/>
        <v>38</v>
      </c>
      <c r="AG90" s="272">
        <f t="shared" si="11"/>
        <v>19.399629165710085</v>
      </c>
      <c r="AH90" s="272">
        <f t="shared" si="28"/>
        <v>38</v>
      </c>
      <c r="AI90" s="272">
        <f t="shared" si="12"/>
        <v>19.399629165710085</v>
      </c>
      <c r="AJ90" s="272">
        <f t="shared" si="28"/>
        <v>38</v>
      </c>
      <c r="AK90" s="272">
        <f t="shared" si="13"/>
        <v>19.399629165710085</v>
      </c>
      <c r="AL90" s="272">
        <f t="shared" si="28"/>
        <v>38</v>
      </c>
      <c r="AM90" s="272">
        <f t="shared" si="14"/>
        <v>19.399629165710085</v>
      </c>
      <c r="AN90" s="272">
        <f t="shared" si="28"/>
        <v>38</v>
      </c>
      <c r="AO90" s="272">
        <f t="shared" si="15"/>
        <v>19.399629165710085</v>
      </c>
      <c r="AP90" s="272">
        <f t="shared" si="28"/>
        <v>38</v>
      </c>
      <c r="AQ90" s="272">
        <f t="shared" si="16"/>
        <v>19.399629165710085</v>
      </c>
      <c r="AR90" s="272">
        <f t="shared" si="28"/>
        <v>38</v>
      </c>
      <c r="AS90" s="508">
        <f t="shared" si="17"/>
        <v>19.399629165710085</v>
      </c>
    </row>
    <row r="91" spans="1:58" ht="12.75" customHeight="1">
      <c r="B91" s="579" t="s">
        <v>19</v>
      </c>
      <c r="C91" s="522">
        <f>IF(AND($D$83,$D$84),$D$88,NA())</f>
        <v>0.4</v>
      </c>
      <c r="D91" s="272" t="e">
        <f>VLOOKUP(D88,O79:V107,8)</f>
        <v>#N/A</v>
      </c>
      <c r="E91" s="272">
        <f>VLOOKUP(D88,Y79:Z107,2)</f>
        <v>50</v>
      </c>
      <c r="F91" s="272"/>
      <c r="G91" s="272"/>
      <c r="H91" s="272"/>
      <c r="I91" s="272"/>
      <c r="J91" s="272"/>
      <c r="K91" s="96">
        <f t="shared" si="18"/>
        <v>13</v>
      </c>
      <c r="L91" s="96">
        <f t="shared" si="19"/>
        <v>0.7</v>
      </c>
      <c r="M91" s="96">
        <f t="shared" si="20"/>
        <v>26</v>
      </c>
      <c r="N91" s="516">
        <v>13</v>
      </c>
      <c r="O91" s="272">
        <f t="shared" si="3"/>
        <v>0.7</v>
      </c>
      <c r="P91" s="272">
        <f t="shared" si="4"/>
        <v>16</v>
      </c>
      <c r="Q91" s="272">
        <f t="shared" si="21"/>
        <v>17</v>
      </c>
      <c r="R91" s="272" t="e">
        <f t="shared" si="5"/>
        <v>#N/A</v>
      </c>
      <c r="S91" s="272">
        <f t="shared" si="6"/>
        <v>16</v>
      </c>
      <c r="T91" s="272">
        <f t="shared" si="22"/>
        <v>17</v>
      </c>
      <c r="U91" s="508" t="e">
        <f t="shared" si="7"/>
        <v>#N/A</v>
      </c>
      <c r="V91" s="516" t="e">
        <f t="shared" si="23"/>
        <v>#N/A</v>
      </c>
      <c r="W91" s="508" t="e">
        <f t="shared" si="24"/>
        <v>#N/A</v>
      </c>
      <c r="X91" s="272">
        <f t="shared" si="8"/>
        <v>16</v>
      </c>
      <c r="Y91" s="517">
        <v>0.7</v>
      </c>
      <c r="Z91" s="272">
        <f t="shared" si="25"/>
        <v>17</v>
      </c>
      <c r="AA91" s="519">
        <f t="shared" si="26"/>
        <v>15.679423757935215</v>
      </c>
      <c r="AB91" s="516">
        <f t="shared" si="27"/>
        <v>30</v>
      </c>
      <c r="AC91" s="272">
        <f t="shared" si="9"/>
        <v>17.023986765071992</v>
      </c>
      <c r="AD91" s="272">
        <f t="shared" si="28"/>
        <v>32</v>
      </c>
      <c r="AE91" s="272">
        <f t="shared" si="10"/>
        <v>16.935091464565531</v>
      </c>
      <c r="AF91" s="272">
        <f t="shared" si="28"/>
        <v>32</v>
      </c>
      <c r="AG91" s="272">
        <f t="shared" si="11"/>
        <v>16.935091464565531</v>
      </c>
      <c r="AH91" s="272">
        <f t="shared" si="28"/>
        <v>32</v>
      </c>
      <c r="AI91" s="272">
        <f t="shared" si="12"/>
        <v>16.935091464565531</v>
      </c>
      <c r="AJ91" s="272">
        <f t="shared" si="28"/>
        <v>32</v>
      </c>
      <c r="AK91" s="272">
        <f t="shared" si="13"/>
        <v>16.935091464565531</v>
      </c>
      <c r="AL91" s="272">
        <f t="shared" si="28"/>
        <v>32</v>
      </c>
      <c r="AM91" s="272">
        <f t="shared" si="14"/>
        <v>16.935091464565531</v>
      </c>
      <c r="AN91" s="272">
        <f t="shared" si="28"/>
        <v>32</v>
      </c>
      <c r="AO91" s="272">
        <f t="shared" si="15"/>
        <v>16.935091464565531</v>
      </c>
      <c r="AP91" s="272">
        <f t="shared" si="28"/>
        <v>32</v>
      </c>
      <c r="AQ91" s="272">
        <f t="shared" si="16"/>
        <v>16.935091464565531</v>
      </c>
      <c r="AR91" s="272">
        <f t="shared" si="28"/>
        <v>32</v>
      </c>
      <c r="AS91" s="508">
        <f t="shared" si="17"/>
        <v>16.935091464565531</v>
      </c>
    </row>
    <row r="92" spans="1:58" ht="12.75" customHeight="1">
      <c r="B92" s="580" t="s">
        <v>629</v>
      </c>
      <c r="C92" s="531">
        <f>C91</f>
        <v>0.4</v>
      </c>
      <c r="D92" s="273">
        <f>VLOOKUP(D88,O79:Q107,3)</f>
        <v>50</v>
      </c>
      <c r="E92" s="532"/>
      <c r="F92" s="273"/>
      <c r="G92" s="273"/>
      <c r="H92" s="272"/>
      <c r="I92" s="272"/>
      <c r="J92" s="272"/>
      <c r="K92" s="96">
        <f t="shared" si="18"/>
        <v>14</v>
      </c>
      <c r="L92" s="96">
        <f t="shared" si="19"/>
        <v>0.75</v>
      </c>
      <c r="M92" s="96">
        <f t="shared" si="20"/>
        <v>23</v>
      </c>
      <c r="N92" s="516">
        <v>14</v>
      </c>
      <c r="O92" s="272">
        <f t="shared" si="3"/>
        <v>0.75</v>
      </c>
      <c r="P92" s="272">
        <f t="shared" si="4"/>
        <v>14</v>
      </c>
      <c r="Q92" s="272">
        <f t="shared" si="21"/>
        <v>15</v>
      </c>
      <c r="R92" s="272" t="e">
        <f t="shared" si="5"/>
        <v>#N/A</v>
      </c>
      <c r="S92" s="272">
        <f t="shared" si="6"/>
        <v>14</v>
      </c>
      <c r="T92" s="272">
        <f t="shared" si="22"/>
        <v>15</v>
      </c>
      <c r="U92" s="508" t="e">
        <f t="shared" si="7"/>
        <v>#N/A</v>
      </c>
      <c r="V92" s="516" t="e">
        <f t="shared" si="23"/>
        <v>#N/A</v>
      </c>
      <c r="W92" s="508" t="e">
        <f t="shared" si="24"/>
        <v>#N/A</v>
      </c>
      <c r="X92" s="272">
        <f t="shared" si="8"/>
        <v>14</v>
      </c>
      <c r="Y92" s="517">
        <v>0.75</v>
      </c>
      <c r="Z92" s="272">
        <f t="shared" si="25"/>
        <v>15</v>
      </c>
      <c r="AA92" s="519">
        <f t="shared" si="26"/>
        <v>13.658520251356897</v>
      </c>
      <c r="AB92" s="516">
        <f t="shared" si="27"/>
        <v>26</v>
      </c>
      <c r="AC92" s="272">
        <f t="shared" si="9"/>
        <v>15.022937565296216</v>
      </c>
      <c r="AD92" s="272">
        <f t="shared" si="28"/>
        <v>28</v>
      </c>
      <c r="AE92" s="272">
        <f t="shared" si="10"/>
        <v>14.919010515205445</v>
      </c>
      <c r="AF92" s="272">
        <f t="shared" si="28"/>
        <v>28</v>
      </c>
      <c r="AG92" s="272">
        <f t="shared" si="11"/>
        <v>14.919010515205445</v>
      </c>
      <c r="AH92" s="272">
        <f t="shared" si="28"/>
        <v>28</v>
      </c>
      <c r="AI92" s="272">
        <f t="shared" si="12"/>
        <v>14.919010515205445</v>
      </c>
      <c r="AJ92" s="272">
        <f t="shared" si="28"/>
        <v>28</v>
      </c>
      <c r="AK92" s="272">
        <f t="shared" si="13"/>
        <v>14.919010515205445</v>
      </c>
      <c r="AL92" s="272">
        <f t="shared" si="28"/>
        <v>28</v>
      </c>
      <c r="AM92" s="272">
        <f t="shared" si="14"/>
        <v>14.919010515205445</v>
      </c>
      <c r="AN92" s="272">
        <f t="shared" si="28"/>
        <v>28</v>
      </c>
      <c r="AO92" s="272">
        <f t="shared" si="15"/>
        <v>14.919010515205445</v>
      </c>
      <c r="AP92" s="272">
        <f t="shared" si="28"/>
        <v>28</v>
      </c>
      <c r="AQ92" s="272">
        <f t="shared" si="16"/>
        <v>14.919010515205445</v>
      </c>
      <c r="AR92" s="272">
        <f t="shared" si="28"/>
        <v>28</v>
      </c>
      <c r="AS92" s="508">
        <f t="shared" si="17"/>
        <v>14.919010515205445</v>
      </c>
    </row>
    <row r="93" spans="1:58" ht="12.75" customHeight="1">
      <c r="A93" s="96" t="s">
        <v>634</v>
      </c>
      <c r="E93" s="96">
        <v>1.7000000000000001E-2</v>
      </c>
      <c r="K93" s="96">
        <f t="shared" si="18"/>
        <v>15</v>
      </c>
      <c r="L93" s="96">
        <f t="shared" si="19"/>
        <v>0.8</v>
      </c>
      <c r="M93" s="96">
        <f t="shared" si="20"/>
        <v>21</v>
      </c>
      <c r="N93" s="516">
        <v>15</v>
      </c>
      <c r="O93" s="272">
        <f t="shared" si="3"/>
        <v>0.8</v>
      </c>
      <c r="P93" s="272">
        <f t="shared" si="4"/>
        <v>13</v>
      </c>
      <c r="Q93" s="272">
        <f t="shared" si="21"/>
        <v>14</v>
      </c>
      <c r="R93" s="272" t="e">
        <f t="shared" si="5"/>
        <v>#N/A</v>
      </c>
      <c r="S93" s="272">
        <f t="shared" si="6"/>
        <v>13</v>
      </c>
      <c r="T93" s="272">
        <f t="shared" si="22"/>
        <v>14</v>
      </c>
      <c r="U93" s="508" t="e">
        <f t="shared" si="7"/>
        <v>#N/A</v>
      </c>
      <c r="V93" s="516" t="e">
        <f t="shared" si="23"/>
        <v>#N/A</v>
      </c>
      <c r="W93" s="508" t="e">
        <f t="shared" si="24"/>
        <v>#N/A</v>
      </c>
      <c r="X93" s="272">
        <f t="shared" si="8"/>
        <v>13</v>
      </c>
      <c r="Y93" s="517">
        <v>0.8</v>
      </c>
      <c r="Z93" s="272">
        <f t="shared" si="25"/>
        <v>14</v>
      </c>
      <c r="AA93" s="519">
        <f t="shared" si="26"/>
        <v>12.004558814669144</v>
      </c>
      <c r="AB93" s="516">
        <f t="shared" si="27"/>
        <v>24</v>
      </c>
      <c r="AC93" s="272">
        <f t="shared" si="9"/>
        <v>13.311491292567601</v>
      </c>
      <c r="AD93" s="272">
        <f t="shared" si="28"/>
        <v>26</v>
      </c>
      <c r="AE93" s="272">
        <f t="shared" si="10"/>
        <v>13.203753719498623</v>
      </c>
      <c r="AF93" s="272">
        <f t="shared" si="28"/>
        <v>26</v>
      </c>
      <c r="AG93" s="272">
        <f t="shared" si="11"/>
        <v>13.203753719498623</v>
      </c>
      <c r="AH93" s="272">
        <f t="shared" si="28"/>
        <v>26</v>
      </c>
      <c r="AI93" s="272">
        <f t="shared" si="12"/>
        <v>13.203753719498623</v>
      </c>
      <c r="AJ93" s="272">
        <f t="shared" si="28"/>
        <v>26</v>
      </c>
      <c r="AK93" s="272">
        <f t="shared" si="13"/>
        <v>13.203753719498623</v>
      </c>
      <c r="AL93" s="272">
        <f t="shared" si="28"/>
        <v>26</v>
      </c>
      <c r="AM93" s="272">
        <f t="shared" si="14"/>
        <v>13.203753719498623</v>
      </c>
      <c r="AN93" s="272">
        <f t="shared" si="28"/>
        <v>26</v>
      </c>
      <c r="AO93" s="272">
        <f t="shared" si="15"/>
        <v>13.203753719498623</v>
      </c>
      <c r="AP93" s="272">
        <f t="shared" si="28"/>
        <v>26</v>
      </c>
      <c r="AQ93" s="272">
        <f t="shared" si="16"/>
        <v>13.203753719498623</v>
      </c>
      <c r="AR93" s="272">
        <f t="shared" si="28"/>
        <v>26</v>
      </c>
      <c r="AS93" s="508">
        <f t="shared" si="17"/>
        <v>13.203753719498623</v>
      </c>
    </row>
    <row r="94" spans="1:58" ht="12.75" customHeight="1">
      <c r="B94" s="536">
        <f>IF(AND(NOT(ISNA(D92)),D76=1,D81),VLOOKUP(C94,A104:C1103,3),NA())</f>
        <v>0.35250000000000026</v>
      </c>
      <c r="C94" s="538">
        <f>G99/3</f>
        <v>5.3021984806203459</v>
      </c>
      <c r="D94" s="536" t="e">
        <f>IF(AND(NOT(ISNA(D90)),D76=2,D81),VLOOKUP(E94,A104:C1103,3),NA())</f>
        <v>#N/A</v>
      </c>
      <c r="E94" s="538">
        <f>G99/3</f>
        <v>5.3021984806203459</v>
      </c>
      <c r="K94" s="96">
        <f t="shared" si="18"/>
        <v>16</v>
      </c>
      <c r="L94" s="96">
        <f t="shared" si="19"/>
        <v>0.85</v>
      </c>
      <c r="M94" s="96">
        <f t="shared" si="20"/>
        <v>19</v>
      </c>
      <c r="N94" s="516">
        <v>16</v>
      </c>
      <c r="O94" s="272">
        <f t="shared" si="3"/>
        <v>0.85</v>
      </c>
      <c r="P94" s="272">
        <f t="shared" si="4"/>
        <v>11</v>
      </c>
      <c r="Q94" s="272">
        <f t="shared" si="21"/>
        <v>12</v>
      </c>
      <c r="R94" s="272" t="e">
        <f t="shared" si="5"/>
        <v>#N/A</v>
      </c>
      <c r="S94" s="272">
        <f t="shared" si="6"/>
        <v>11</v>
      </c>
      <c r="T94" s="272">
        <f>IF(AND($D$78,$D$81,N94&gt;=$C$84,NOT($D$79)),Z94,NA())</f>
        <v>12</v>
      </c>
      <c r="U94" s="508" t="e">
        <f t="shared" si="7"/>
        <v>#N/A</v>
      </c>
      <c r="V94" s="516" t="e">
        <f t="shared" si="23"/>
        <v>#N/A</v>
      </c>
      <c r="W94" s="508" t="e">
        <f t="shared" si="24"/>
        <v>#N/A</v>
      </c>
      <c r="X94" s="272">
        <f t="shared" si="8"/>
        <v>11</v>
      </c>
      <c r="Y94" s="517">
        <v>0.85</v>
      </c>
      <c r="Z94" s="272">
        <f t="shared" si="25"/>
        <v>12</v>
      </c>
      <c r="AA94" s="519">
        <f t="shared" si="26"/>
        <v>10.633796043443951</v>
      </c>
      <c r="AB94" s="516">
        <f t="shared" si="27"/>
        <v>20</v>
      </c>
      <c r="AC94" s="272">
        <f t="shared" si="9"/>
        <v>12.044964646149591</v>
      </c>
      <c r="AD94" s="272">
        <f t="shared" si="28"/>
        <v>22</v>
      </c>
      <c r="AE94" s="272">
        <f t="shared" si="10"/>
        <v>11.905742455383605</v>
      </c>
      <c r="AF94" s="272">
        <f t="shared" si="28"/>
        <v>22</v>
      </c>
      <c r="AG94" s="272">
        <f t="shared" si="11"/>
        <v>11.905742455383605</v>
      </c>
      <c r="AH94" s="272">
        <f t="shared" si="28"/>
        <v>22</v>
      </c>
      <c r="AI94" s="272">
        <f t="shared" si="12"/>
        <v>11.905742455383605</v>
      </c>
      <c r="AJ94" s="272">
        <f t="shared" si="28"/>
        <v>22</v>
      </c>
      <c r="AK94" s="272">
        <f t="shared" si="13"/>
        <v>11.905742455383605</v>
      </c>
      <c r="AL94" s="272">
        <f t="shared" si="28"/>
        <v>22</v>
      </c>
      <c r="AM94" s="272">
        <f t="shared" si="14"/>
        <v>11.905742455383605</v>
      </c>
      <c r="AN94" s="272">
        <f t="shared" si="28"/>
        <v>22</v>
      </c>
      <c r="AO94" s="272">
        <f t="shared" si="15"/>
        <v>11.905742455383605</v>
      </c>
      <c r="AP94" s="272">
        <f t="shared" si="28"/>
        <v>22</v>
      </c>
      <c r="AQ94" s="272">
        <f t="shared" si="16"/>
        <v>11.905742455383605</v>
      </c>
      <c r="AR94" s="272">
        <f t="shared" si="28"/>
        <v>22</v>
      </c>
      <c r="AS94" s="508">
        <f t="shared" si="17"/>
        <v>11.905742455383605</v>
      </c>
    </row>
    <row r="95" spans="1:58" ht="12.75" customHeight="1">
      <c r="B95" s="96" t="s">
        <v>557</v>
      </c>
      <c r="K95" s="96">
        <f t="shared" si="18"/>
        <v>17</v>
      </c>
      <c r="L95" s="96">
        <f t="shared" si="19"/>
        <v>0.9</v>
      </c>
      <c r="M95" s="96">
        <f t="shared" si="20"/>
        <v>18</v>
      </c>
      <c r="N95" s="516">
        <v>17</v>
      </c>
      <c r="O95" s="272">
        <f t="shared" si="3"/>
        <v>0.9</v>
      </c>
      <c r="P95" s="272">
        <f t="shared" si="4"/>
        <v>10</v>
      </c>
      <c r="Q95" s="272">
        <f t="shared" si="21"/>
        <v>11</v>
      </c>
      <c r="R95" s="272" t="e">
        <f t="shared" si="5"/>
        <v>#N/A</v>
      </c>
      <c r="S95" s="272">
        <f t="shared" si="6"/>
        <v>10</v>
      </c>
      <c r="T95" s="272">
        <f t="shared" si="22"/>
        <v>11</v>
      </c>
      <c r="U95" s="508" t="e">
        <f t="shared" si="7"/>
        <v>#N/A</v>
      </c>
      <c r="V95" s="516" t="e">
        <f t="shared" si="23"/>
        <v>#N/A</v>
      </c>
      <c r="W95" s="508" t="e">
        <f t="shared" si="24"/>
        <v>#N/A</v>
      </c>
      <c r="X95" s="272">
        <f t="shared" si="8"/>
        <v>10</v>
      </c>
      <c r="Y95" s="517">
        <v>0.9</v>
      </c>
      <c r="Z95" s="272">
        <f t="shared" si="25"/>
        <v>11</v>
      </c>
      <c r="AA95" s="519">
        <f t="shared" si="26"/>
        <v>9.4850835078867313</v>
      </c>
      <c r="AB95" s="516">
        <f t="shared" si="27"/>
        <v>18</v>
      </c>
      <c r="AC95" s="272">
        <f t="shared" si="9"/>
        <v>10.898452851775136</v>
      </c>
      <c r="AD95" s="272">
        <f t="shared" si="28"/>
        <v>20</v>
      </c>
      <c r="AE95" s="272">
        <f t="shared" si="10"/>
        <v>10.74381105783096</v>
      </c>
      <c r="AF95" s="272">
        <f t="shared" si="28"/>
        <v>20</v>
      </c>
      <c r="AG95" s="272">
        <f t="shared" si="11"/>
        <v>10.74381105783096</v>
      </c>
      <c r="AH95" s="272">
        <f t="shared" si="28"/>
        <v>20</v>
      </c>
      <c r="AI95" s="272">
        <f t="shared" si="12"/>
        <v>10.74381105783096</v>
      </c>
      <c r="AJ95" s="272">
        <f t="shared" si="28"/>
        <v>20</v>
      </c>
      <c r="AK95" s="272">
        <f t="shared" si="13"/>
        <v>10.74381105783096</v>
      </c>
      <c r="AL95" s="272">
        <f t="shared" si="28"/>
        <v>20</v>
      </c>
      <c r="AM95" s="272">
        <f t="shared" si="14"/>
        <v>10.74381105783096</v>
      </c>
      <c r="AN95" s="272">
        <f t="shared" si="28"/>
        <v>20</v>
      </c>
      <c r="AO95" s="272">
        <f t="shared" si="15"/>
        <v>10.74381105783096</v>
      </c>
      <c r="AP95" s="272">
        <f t="shared" si="28"/>
        <v>20</v>
      </c>
      <c r="AQ95" s="272">
        <f t="shared" si="16"/>
        <v>10.74381105783096</v>
      </c>
      <c r="AR95" s="272">
        <f t="shared" si="28"/>
        <v>20</v>
      </c>
      <c r="AS95" s="508">
        <f t="shared" si="17"/>
        <v>10.74381105783096</v>
      </c>
    </row>
    <row r="96" spans="1:58" ht="12.75" customHeight="1">
      <c r="B96" s="481" t="s">
        <v>558</v>
      </c>
      <c r="C96" s="1320">
        <f>J90^2/(2*G96-2)</f>
        <v>1.6073921949413348E-3</v>
      </c>
      <c r="D96" s="481" t="s">
        <v>1187</v>
      </c>
      <c r="E96" s="96">
        <f>2*G96-2</f>
        <v>98</v>
      </c>
      <c r="F96" s="196" t="s">
        <v>1185</v>
      </c>
      <c r="G96" s="96">
        <f>IF(D79,E90,E91)</f>
        <v>50</v>
      </c>
      <c r="K96" s="96">
        <f t="shared" si="18"/>
        <v>18</v>
      </c>
      <c r="L96" s="96">
        <f t="shared" si="19"/>
        <v>0.95</v>
      </c>
      <c r="M96" s="96">
        <f t="shared" si="20"/>
        <v>16</v>
      </c>
      <c r="N96" s="516">
        <v>18</v>
      </c>
      <c r="O96" s="272">
        <f t="shared" si="3"/>
        <v>0.95</v>
      </c>
      <c r="P96" s="272">
        <f t="shared" si="4"/>
        <v>9</v>
      </c>
      <c r="Q96" s="272">
        <f t="shared" si="21"/>
        <v>10</v>
      </c>
      <c r="R96" s="272" t="e">
        <f t="shared" si="5"/>
        <v>#N/A</v>
      </c>
      <c r="S96" s="272">
        <f t="shared" si="6"/>
        <v>9</v>
      </c>
      <c r="T96" s="272">
        <f t="shared" si="22"/>
        <v>10</v>
      </c>
      <c r="U96" s="508" t="e">
        <f t="shared" si="7"/>
        <v>#N/A</v>
      </c>
      <c r="V96" s="516" t="e">
        <f t="shared" si="23"/>
        <v>#N/A</v>
      </c>
      <c r="W96" s="508" t="e">
        <f t="shared" si="24"/>
        <v>#N/A</v>
      </c>
      <c r="X96" s="272">
        <f t="shared" si="8"/>
        <v>9</v>
      </c>
      <c r="Y96" s="517">
        <v>0.95</v>
      </c>
      <c r="Z96" s="272">
        <f t="shared" si="25"/>
        <v>10</v>
      </c>
      <c r="AA96" s="519">
        <f t="shared" si="26"/>
        <v>8.5129281345022214</v>
      </c>
      <c r="AB96" s="516">
        <f t="shared" si="27"/>
        <v>16</v>
      </c>
      <c r="AC96" s="272">
        <f t="shared" si="9"/>
        <v>9.9589992643994076</v>
      </c>
      <c r="AD96" s="272">
        <f t="shared" si="28"/>
        <v>18</v>
      </c>
      <c r="AE96" s="272">
        <f t="shared" si="10"/>
        <v>9.7814369085184083</v>
      </c>
      <c r="AF96" s="272">
        <f t="shared" si="28"/>
        <v>18</v>
      </c>
      <c r="AG96" s="272">
        <f t="shared" si="11"/>
        <v>9.7814369085184083</v>
      </c>
      <c r="AH96" s="272">
        <f t="shared" si="28"/>
        <v>18</v>
      </c>
      <c r="AI96" s="272">
        <f t="shared" si="12"/>
        <v>9.7814369085184083</v>
      </c>
      <c r="AJ96" s="272">
        <f t="shared" si="28"/>
        <v>18</v>
      </c>
      <c r="AK96" s="272">
        <f t="shared" si="13"/>
        <v>9.7814369085184083</v>
      </c>
      <c r="AL96" s="272">
        <f t="shared" si="28"/>
        <v>18</v>
      </c>
      <c r="AM96" s="272">
        <f t="shared" si="14"/>
        <v>9.7814369085184083</v>
      </c>
      <c r="AN96" s="272">
        <f t="shared" si="28"/>
        <v>18</v>
      </c>
      <c r="AO96" s="272">
        <f t="shared" si="15"/>
        <v>9.7814369085184083</v>
      </c>
      <c r="AP96" s="272">
        <f t="shared" si="28"/>
        <v>18</v>
      </c>
      <c r="AQ96" s="272">
        <f t="shared" si="16"/>
        <v>9.7814369085184083</v>
      </c>
      <c r="AR96" s="272">
        <f t="shared" si="28"/>
        <v>18</v>
      </c>
      <c r="AS96" s="508">
        <f t="shared" si="17"/>
        <v>9.7814369085184083</v>
      </c>
    </row>
    <row r="97" spans="1:53" ht="12.75" customHeight="1">
      <c r="B97" s="481" t="s">
        <v>562</v>
      </c>
      <c r="C97" s="96">
        <v>0</v>
      </c>
      <c r="D97" s="481" t="s">
        <v>564</v>
      </c>
      <c r="E97" s="96">
        <v>1.5</v>
      </c>
      <c r="F97" s="481" t="s">
        <v>177</v>
      </c>
      <c r="G97" s="96">
        <v>0.5</v>
      </c>
      <c r="K97" s="96">
        <f t="shared" si="18"/>
        <v>19</v>
      </c>
      <c r="L97" s="96">
        <f t="shared" si="19"/>
        <v>1</v>
      </c>
      <c r="M97" s="96">
        <f t="shared" si="20"/>
        <v>15</v>
      </c>
      <c r="N97" s="516">
        <v>19</v>
      </c>
      <c r="O97" s="272">
        <f t="shared" si="3"/>
        <v>1</v>
      </c>
      <c r="P97" s="272">
        <f t="shared" si="4"/>
        <v>8</v>
      </c>
      <c r="Q97" s="272">
        <f t="shared" si="21"/>
        <v>9</v>
      </c>
      <c r="R97" s="272" t="e">
        <f t="shared" si="5"/>
        <v>#N/A</v>
      </c>
      <c r="S97" s="272">
        <f t="shared" si="6"/>
        <v>8</v>
      </c>
      <c r="T97" s="272">
        <f t="shared" si="22"/>
        <v>9</v>
      </c>
      <c r="U97" s="508" t="e">
        <f t="shared" si="7"/>
        <v>#N/A</v>
      </c>
      <c r="V97" s="516" t="e">
        <f t="shared" si="23"/>
        <v>#N/A</v>
      </c>
      <c r="W97" s="508" t="e">
        <f t="shared" si="24"/>
        <v>#N/A</v>
      </c>
      <c r="X97" s="272">
        <f t="shared" si="8"/>
        <v>8</v>
      </c>
      <c r="Y97" s="517">
        <v>1</v>
      </c>
      <c r="Z97" s="272">
        <f t="shared" si="25"/>
        <v>9</v>
      </c>
      <c r="AA97" s="519">
        <f t="shared" si="26"/>
        <v>7.6829176413882543</v>
      </c>
      <c r="AB97" s="516">
        <f t="shared" si="27"/>
        <v>14</v>
      </c>
      <c r="AC97" s="272">
        <f t="shared" si="9"/>
        <v>9.2002198164100388</v>
      </c>
      <c r="AD97" s="272">
        <f t="shared" si="28"/>
        <v>16</v>
      </c>
      <c r="AE97" s="272">
        <f t="shared" si="10"/>
        <v>8.9879968361204643</v>
      </c>
      <c r="AF97" s="272">
        <f t="shared" si="28"/>
        <v>16</v>
      </c>
      <c r="AG97" s="272">
        <f t="shared" si="11"/>
        <v>8.9879968361204643</v>
      </c>
      <c r="AH97" s="272">
        <f t="shared" si="28"/>
        <v>16</v>
      </c>
      <c r="AI97" s="272">
        <f t="shared" si="12"/>
        <v>8.9879968361204643</v>
      </c>
      <c r="AJ97" s="272">
        <f t="shared" si="28"/>
        <v>16</v>
      </c>
      <c r="AK97" s="272">
        <f t="shared" si="13"/>
        <v>8.9879968361204643</v>
      </c>
      <c r="AL97" s="272">
        <f t="shared" si="28"/>
        <v>16</v>
      </c>
      <c r="AM97" s="272">
        <f t="shared" si="14"/>
        <v>8.9879968361204643</v>
      </c>
      <c r="AN97" s="272">
        <f t="shared" si="28"/>
        <v>16</v>
      </c>
      <c r="AO97" s="272">
        <f t="shared" si="15"/>
        <v>8.9879968361204643</v>
      </c>
      <c r="AP97" s="272">
        <f t="shared" si="28"/>
        <v>16</v>
      </c>
      <c r="AQ97" s="272">
        <f t="shared" si="16"/>
        <v>8.9879968361204643</v>
      </c>
      <c r="AR97" s="272">
        <f t="shared" si="28"/>
        <v>16</v>
      </c>
      <c r="AS97" s="508">
        <f t="shared" si="17"/>
        <v>8.9879968361204643</v>
      </c>
    </row>
    <row r="98" spans="1:53" ht="12.75" customHeight="1">
      <c r="B98" s="481" t="s">
        <v>563</v>
      </c>
      <c r="C98" s="96">
        <v>1000</v>
      </c>
      <c r="D98" s="481" t="s">
        <v>626</v>
      </c>
      <c r="E98" s="96">
        <v>1.1299999999999999</v>
      </c>
      <c r="F98" s="481" t="s">
        <v>176</v>
      </c>
      <c r="G98" s="96">
        <f>G99*G97</f>
        <v>7.9532977209305189</v>
      </c>
      <c r="K98" s="96">
        <f t="shared" si="18"/>
        <v>20</v>
      </c>
      <c r="L98" s="96">
        <f t="shared" si="19"/>
        <v>1.1000000000000001</v>
      </c>
      <c r="M98" s="96">
        <f t="shared" si="20"/>
        <v>13</v>
      </c>
      <c r="N98" s="516">
        <v>20</v>
      </c>
      <c r="O98" s="272">
        <f t="shared" si="3"/>
        <v>1.1000000000000001</v>
      </c>
      <c r="P98" s="272">
        <f t="shared" si="4"/>
        <v>7</v>
      </c>
      <c r="Q98" s="272">
        <f t="shared" si="21"/>
        <v>8</v>
      </c>
      <c r="R98" s="272" t="e">
        <f t="shared" si="5"/>
        <v>#N/A</v>
      </c>
      <c r="S98" s="272">
        <f t="shared" si="6"/>
        <v>7</v>
      </c>
      <c r="T98" s="272">
        <f t="shared" si="22"/>
        <v>8</v>
      </c>
      <c r="U98" s="508" t="e">
        <f t="shared" si="7"/>
        <v>#N/A</v>
      </c>
      <c r="V98" s="516" t="e">
        <f t="shared" si="23"/>
        <v>#N/A</v>
      </c>
      <c r="W98" s="508" t="e">
        <f t="shared" si="24"/>
        <v>#N/A</v>
      </c>
      <c r="X98" s="272">
        <f t="shared" si="8"/>
        <v>7</v>
      </c>
      <c r="Y98" s="517">
        <v>1.1000000000000001</v>
      </c>
      <c r="Z98" s="272">
        <f t="shared" si="25"/>
        <v>8</v>
      </c>
      <c r="AA98" s="519">
        <f t="shared" si="26"/>
        <v>6.3495187118911183</v>
      </c>
      <c r="AB98" s="516">
        <f t="shared" si="27"/>
        <v>12</v>
      </c>
      <c r="AC98" s="272">
        <f t="shared" si="9"/>
        <v>7.8466534476347816</v>
      </c>
      <c r="AD98" s="272">
        <f t="shared" si="28"/>
        <v>14</v>
      </c>
      <c r="AE98" s="272">
        <f t="shared" si="10"/>
        <v>7.6034874515785429</v>
      </c>
      <c r="AF98" s="272">
        <f t="shared" si="28"/>
        <v>14</v>
      </c>
      <c r="AG98" s="272">
        <f t="shared" si="11"/>
        <v>7.6034874515785429</v>
      </c>
      <c r="AH98" s="272">
        <f t="shared" si="28"/>
        <v>14</v>
      </c>
      <c r="AI98" s="272">
        <f t="shared" si="12"/>
        <v>7.6034874515785429</v>
      </c>
      <c r="AJ98" s="272">
        <f t="shared" si="28"/>
        <v>14</v>
      </c>
      <c r="AK98" s="272">
        <f t="shared" si="13"/>
        <v>7.6034874515785429</v>
      </c>
      <c r="AL98" s="272">
        <f t="shared" si="28"/>
        <v>14</v>
      </c>
      <c r="AM98" s="272">
        <f t="shared" si="14"/>
        <v>7.6034874515785429</v>
      </c>
      <c r="AN98" s="272">
        <f t="shared" si="28"/>
        <v>14</v>
      </c>
      <c r="AO98" s="272">
        <f t="shared" si="15"/>
        <v>7.6034874515785429</v>
      </c>
      <c r="AP98" s="272">
        <f t="shared" si="28"/>
        <v>14</v>
      </c>
      <c r="AQ98" s="272">
        <f t="shared" si="16"/>
        <v>7.6034874515785429</v>
      </c>
      <c r="AR98" s="272">
        <f t="shared" si="28"/>
        <v>14</v>
      </c>
      <c r="AS98" s="508">
        <f t="shared" si="17"/>
        <v>7.6034874515785429</v>
      </c>
    </row>
    <row r="99" spans="1:53" ht="12.75" customHeight="1">
      <c r="B99" s="481" t="s">
        <v>565</v>
      </c>
      <c r="C99" s="96">
        <f>(E97-C97)/C98</f>
        <v>1.5E-3</v>
      </c>
      <c r="F99" s="481" t="s">
        <v>635</v>
      </c>
      <c r="G99" s="96">
        <f>MAX(F104:F1103)</f>
        <v>15.906595441861038</v>
      </c>
      <c r="I99" s="96" t="s">
        <v>180</v>
      </c>
      <c r="J99" s="96">
        <f>VLOOKUP(G99,F103:J1107,5,FALSE)</f>
        <v>0.39450000000000029</v>
      </c>
      <c r="K99" s="96">
        <f t="shared" si="18"/>
        <v>21</v>
      </c>
      <c r="L99" s="96">
        <f t="shared" si="19"/>
        <v>1.2</v>
      </c>
      <c r="M99" s="96">
        <f t="shared" si="20"/>
        <v>12</v>
      </c>
      <c r="N99" s="516">
        <v>21</v>
      </c>
      <c r="O99" s="272">
        <f t="shared" si="3"/>
        <v>1.2</v>
      </c>
      <c r="P99" s="272">
        <f t="shared" si="4"/>
        <v>6</v>
      </c>
      <c r="Q99" s="272">
        <f t="shared" si="21"/>
        <v>7</v>
      </c>
      <c r="R99" s="272" t="e">
        <f t="shared" si="5"/>
        <v>#N/A</v>
      </c>
      <c r="S99" s="272">
        <f t="shared" si="6"/>
        <v>6</v>
      </c>
      <c r="T99" s="272">
        <f t="shared" si="22"/>
        <v>7</v>
      </c>
      <c r="U99" s="508" t="e">
        <f t="shared" si="7"/>
        <v>#N/A</v>
      </c>
      <c r="V99" s="516" t="e">
        <f t="shared" si="23"/>
        <v>#N/A</v>
      </c>
      <c r="W99" s="508" t="e">
        <f t="shared" si="24"/>
        <v>#N/A</v>
      </c>
      <c r="X99" s="272">
        <f t="shared" si="8"/>
        <v>6</v>
      </c>
      <c r="Y99" s="517">
        <v>1.2</v>
      </c>
      <c r="Z99" s="272">
        <f t="shared" si="25"/>
        <v>7</v>
      </c>
      <c r="AA99" s="519">
        <f t="shared" si="26"/>
        <v>5.3353594731862888</v>
      </c>
      <c r="AB99" s="516">
        <f t="shared" si="27"/>
        <v>10</v>
      </c>
      <c r="AC99" s="272">
        <f t="shared" si="9"/>
        <v>6.8952815293428991</v>
      </c>
      <c r="AD99" s="272">
        <f t="shared" si="28"/>
        <v>12</v>
      </c>
      <c r="AE99" s="272">
        <f t="shared" si="10"/>
        <v>6.593368521970894</v>
      </c>
      <c r="AF99" s="272">
        <f t="shared" si="28"/>
        <v>12</v>
      </c>
      <c r="AG99" s="272">
        <f t="shared" si="11"/>
        <v>6.593368521970894</v>
      </c>
      <c r="AH99" s="272">
        <f t="shared" si="28"/>
        <v>12</v>
      </c>
      <c r="AI99" s="272">
        <f t="shared" si="12"/>
        <v>6.593368521970894</v>
      </c>
      <c r="AJ99" s="272">
        <f t="shared" si="28"/>
        <v>12</v>
      </c>
      <c r="AK99" s="272">
        <f t="shared" si="13"/>
        <v>6.593368521970894</v>
      </c>
      <c r="AL99" s="272">
        <f t="shared" si="28"/>
        <v>12</v>
      </c>
      <c r="AM99" s="272">
        <f t="shared" si="14"/>
        <v>6.593368521970894</v>
      </c>
      <c r="AN99" s="272">
        <f t="shared" si="28"/>
        <v>12</v>
      </c>
      <c r="AO99" s="272">
        <f t="shared" si="15"/>
        <v>6.593368521970894</v>
      </c>
      <c r="AP99" s="272">
        <f t="shared" si="28"/>
        <v>12</v>
      </c>
      <c r="AQ99" s="272">
        <f t="shared" si="16"/>
        <v>6.593368521970894</v>
      </c>
      <c r="AR99" s="272">
        <f t="shared" si="28"/>
        <v>12</v>
      </c>
      <c r="AS99" s="508">
        <f t="shared" si="17"/>
        <v>6.593368521970894</v>
      </c>
    </row>
    <row r="100" spans="1:53" ht="12.75" customHeight="1">
      <c r="B100" s="1322" t="s">
        <v>21</v>
      </c>
      <c r="C100" s="1323">
        <f>IF(D79,F90,E7)</f>
        <v>0.4</v>
      </c>
      <c r="D100" s="1323" t="s">
        <v>1163</v>
      </c>
      <c r="F100" s="481" t="s">
        <v>625</v>
      </c>
      <c r="G100" s="96">
        <v>500</v>
      </c>
      <c r="K100" s="96">
        <f t="shared" si="18"/>
        <v>22</v>
      </c>
      <c r="L100" s="96">
        <f t="shared" si="19"/>
        <v>1.3</v>
      </c>
      <c r="M100" s="96">
        <f t="shared" si="20"/>
        <v>11</v>
      </c>
      <c r="N100" s="516">
        <v>22</v>
      </c>
      <c r="O100" s="272">
        <f t="shared" si="3"/>
        <v>1.3</v>
      </c>
      <c r="P100" s="272">
        <f t="shared" si="4"/>
        <v>5</v>
      </c>
      <c r="Q100" s="272">
        <f t="shared" si="21"/>
        <v>6</v>
      </c>
      <c r="R100" s="272" t="e">
        <f t="shared" si="5"/>
        <v>#N/A</v>
      </c>
      <c r="S100" s="272">
        <f t="shared" si="6"/>
        <v>5</v>
      </c>
      <c r="T100" s="272">
        <f t="shared" si="22"/>
        <v>6</v>
      </c>
      <c r="U100" s="508" t="e">
        <f t="shared" si="7"/>
        <v>#N/A</v>
      </c>
      <c r="V100" s="516" t="e">
        <f t="shared" si="23"/>
        <v>#N/A</v>
      </c>
      <c r="W100" s="508" t="e">
        <f t="shared" si="24"/>
        <v>#N/A</v>
      </c>
      <c r="X100" s="272">
        <f t="shared" si="8"/>
        <v>5</v>
      </c>
      <c r="Y100" s="517">
        <v>1.3</v>
      </c>
      <c r="Z100" s="272">
        <f t="shared" si="25"/>
        <v>6</v>
      </c>
      <c r="AA100" s="519">
        <f t="shared" si="26"/>
        <v>4.5461051132474868</v>
      </c>
      <c r="AB100" s="516">
        <f t="shared" si="27"/>
        <v>8</v>
      </c>
      <c r="AC100" s="272">
        <f t="shared" si="9"/>
        <v>6.2930829145474654</v>
      </c>
      <c r="AD100" s="272">
        <f t="shared" si="28"/>
        <v>10</v>
      </c>
      <c r="AE100" s="272">
        <f t="shared" si="10"/>
        <v>5.8752694687892157</v>
      </c>
      <c r="AF100" s="272">
        <f t="shared" si="28"/>
        <v>10</v>
      </c>
      <c r="AG100" s="272">
        <f t="shared" si="11"/>
        <v>5.8752694687892157</v>
      </c>
      <c r="AH100" s="272">
        <f t="shared" si="28"/>
        <v>10</v>
      </c>
      <c r="AI100" s="272">
        <f t="shared" si="12"/>
        <v>5.8752694687892157</v>
      </c>
      <c r="AJ100" s="272">
        <f t="shared" si="28"/>
        <v>10</v>
      </c>
      <c r="AK100" s="272">
        <f t="shared" si="13"/>
        <v>5.8752694687892157</v>
      </c>
      <c r="AL100" s="272">
        <f t="shared" si="28"/>
        <v>10</v>
      </c>
      <c r="AM100" s="272">
        <f t="shared" si="14"/>
        <v>5.8752694687892157</v>
      </c>
      <c r="AN100" s="272">
        <f t="shared" si="28"/>
        <v>10</v>
      </c>
      <c r="AO100" s="272">
        <f t="shared" si="15"/>
        <v>5.8752694687892157</v>
      </c>
      <c r="AP100" s="272">
        <f t="shared" si="28"/>
        <v>10</v>
      </c>
      <c r="AQ100" s="272">
        <f t="shared" si="16"/>
        <v>5.8752694687892157</v>
      </c>
      <c r="AR100" s="272">
        <f t="shared" si="28"/>
        <v>10</v>
      </c>
      <c r="AS100" s="508">
        <f t="shared" si="17"/>
        <v>5.8752694687892157</v>
      </c>
    </row>
    <row r="101" spans="1:53" ht="12.75" customHeight="1">
      <c r="F101" s="96">
        <v>0.15</v>
      </c>
      <c r="G101" s="96">
        <f>M77/G100</f>
        <v>0.29799999999999999</v>
      </c>
      <c r="H101" s="612"/>
      <c r="I101" s="612"/>
      <c r="J101" s="1319">
        <f>VLOOKUP(1,I103:J1107,2,FALSE)</f>
        <v>0.36300000000000027</v>
      </c>
      <c r="K101" s="96">
        <f t="shared" si="18"/>
        <v>23</v>
      </c>
      <c r="L101" s="96">
        <f t="shared" si="19"/>
        <v>1.4</v>
      </c>
      <c r="M101" s="96">
        <f t="shared" si="20"/>
        <v>10</v>
      </c>
      <c r="N101" s="516">
        <v>23</v>
      </c>
      <c r="O101" s="272">
        <f t="shared" si="3"/>
        <v>1.4</v>
      </c>
      <c r="P101" s="272">
        <f t="shared" si="4"/>
        <v>4</v>
      </c>
      <c r="Q101" s="272">
        <f t="shared" si="21"/>
        <v>6</v>
      </c>
      <c r="R101" s="272" t="e">
        <f t="shared" si="5"/>
        <v>#N/A</v>
      </c>
      <c r="S101" s="272">
        <f t="shared" si="6"/>
        <v>4</v>
      </c>
      <c r="T101" s="272">
        <f t="shared" si="22"/>
        <v>6</v>
      </c>
      <c r="U101" s="508" t="e">
        <f t="shared" si="7"/>
        <v>#N/A</v>
      </c>
      <c r="V101" s="516" t="e">
        <f t="shared" si="23"/>
        <v>#N/A</v>
      </c>
      <c r="W101" s="508" t="e">
        <f t="shared" si="24"/>
        <v>#N/A</v>
      </c>
      <c r="X101" s="272">
        <f t="shared" si="8"/>
        <v>4</v>
      </c>
      <c r="Y101" s="517">
        <v>1.4</v>
      </c>
      <c r="Z101" s="272">
        <f t="shared" si="25"/>
        <v>6</v>
      </c>
      <c r="AA101" s="519">
        <f t="shared" si="26"/>
        <v>3.9198559394838037</v>
      </c>
      <c r="AB101" s="516">
        <f t="shared" si="27"/>
        <v>6</v>
      </c>
      <c r="AC101" s="272">
        <f t="shared" si="9"/>
        <v>6.1095689634822348</v>
      </c>
      <c r="AD101" s="272">
        <f t="shared" si="28"/>
        <v>8</v>
      </c>
      <c r="AE101" s="272">
        <f t="shared" si="10"/>
        <v>5.4261786355026631</v>
      </c>
      <c r="AF101" s="272">
        <f t="shared" si="28"/>
        <v>10</v>
      </c>
      <c r="AG101" s="272">
        <f t="shared" si="11"/>
        <v>5.0659211235988657</v>
      </c>
      <c r="AH101" s="272">
        <f t="shared" si="28"/>
        <v>10</v>
      </c>
      <c r="AI101" s="272">
        <f t="shared" si="12"/>
        <v>5.0659211235988657</v>
      </c>
      <c r="AJ101" s="272">
        <f t="shared" si="28"/>
        <v>10</v>
      </c>
      <c r="AK101" s="272">
        <f t="shared" si="13"/>
        <v>5.0659211235988657</v>
      </c>
      <c r="AL101" s="272">
        <f t="shared" si="28"/>
        <v>10</v>
      </c>
      <c r="AM101" s="272">
        <f t="shared" si="14"/>
        <v>5.0659211235988657</v>
      </c>
      <c r="AN101" s="272">
        <f t="shared" si="28"/>
        <v>10</v>
      </c>
      <c r="AO101" s="272">
        <f t="shared" si="15"/>
        <v>5.0659211235988657</v>
      </c>
      <c r="AP101" s="272">
        <f t="shared" si="28"/>
        <v>10</v>
      </c>
      <c r="AQ101" s="272">
        <f t="shared" si="16"/>
        <v>5.0659211235988657</v>
      </c>
      <c r="AR101" s="272">
        <f t="shared" si="28"/>
        <v>10</v>
      </c>
      <c r="AS101" s="508">
        <f t="shared" si="17"/>
        <v>5.0659211235988657</v>
      </c>
    </row>
    <row r="102" spans="1:53" ht="12.75" customHeight="1" thickBot="1">
      <c r="B102" s="96" t="s">
        <v>566</v>
      </c>
      <c r="C102" s="576" t="s">
        <v>1280</v>
      </c>
      <c r="D102" s="577" t="s">
        <v>561</v>
      </c>
      <c r="E102" s="574" t="s">
        <v>559</v>
      </c>
      <c r="F102" s="575" t="s">
        <v>560</v>
      </c>
      <c r="G102" s="574" t="s">
        <v>1275</v>
      </c>
      <c r="I102" s="520" t="s">
        <v>178</v>
      </c>
      <c r="J102" s="520" t="s">
        <v>1184</v>
      </c>
      <c r="K102" s="96">
        <f t="shared" si="18"/>
        <v>24</v>
      </c>
      <c r="L102" s="96">
        <f t="shared" si="19"/>
        <v>1.5</v>
      </c>
      <c r="M102" s="96">
        <f t="shared" si="20"/>
        <v>9</v>
      </c>
      <c r="N102" s="516">
        <v>24</v>
      </c>
      <c r="O102" s="272">
        <f t="shared" si="3"/>
        <v>1.5</v>
      </c>
      <c r="P102" s="272">
        <f t="shared" si="4"/>
        <v>4</v>
      </c>
      <c r="Q102" s="272">
        <f t="shared" si="21"/>
        <v>5</v>
      </c>
      <c r="R102" s="272" t="e">
        <f t="shared" si="5"/>
        <v>#N/A</v>
      </c>
      <c r="S102" s="272">
        <f t="shared" si="6"/>
        <v>4</v>
      </c>
      <c r="T102" s="272">
        <f t="shared" si="22"/>
        <v>5</v>
      </c>
      <c r="U102" s="508" t="e">
        <f t="shared" si="7"/>
        <v>#N/A</v>
      </c>
      <c r="V102" s="516" t="e">
        <f t="shared" si="23"/>
        <v>#N/A</v>
      </c>
      <c r="W102" s="508" t="e">
        <f t="shared" si="24"/>
        <v>#N/A</v>
      </c>
      <c r="X102" s="272">
        <f t="shared" si="8"/>
        <v>4</v>
      </c>
      <c r="Y102" s="517">
        <v>1.5</v>
      </c>
      <c r="Z102" s="272">
        <f t="shared" si="25"/>
        <v>5</v>
      </c>
      <c r="AA102" s="519">
        <f t="shared" si="26"/>
        <v>3.4146300628392243</v>
      </c>
      <c r="AB102" s="516">
        <f t="shared" si="27"/>
        <v>6</v>
      </c>
      <c r="AC102" s="272">
        <f t="shared" si="9"/>
        <v>5.3221134081889687</v>
      </c>
      <c r="AD102" s="272">
        <f t="shared" si="28"/>
        <v>8</v>
      </c>
      <c r="AE102" s="272">
        <f t="shared" si="10"/>
        <v>4.7268045002600969</v>
      </c>
      <c r="AF102" s="272">
        <f t="shared" si="28"/>
        <v>8</v>
      </c>
      <c r="AG102" s="272">
        <f t="shared" si="11"/>
        <v>4.7268045002600969</v>
      </c>
      <c r="AH102" s="272">
        <f t="shared" si="28"/>
        <v>8</v>
      </c>
      <c r="AI102" s="272">
        <f t="shared" si="12"/>
        <v>4.7268045002600969</v>
      </c>
      <c r="AJ102" s="272">
        <f t="shared" si="28"/>
        <v>8</v>
      </c>
      <c r="AK102" s="272">
        <f t="shared" si="13"/>
        <v>4.7268045002600969</v>
      </c>
      <c r="AL102" s="272">
        <f t="shared" si="28"/>
        <v>8</v>
      </c>
      <c r="AM102" s="272">
        <f t="shared" si="14"/>
        <v>4.7268045002600969</v>
      </c>
      <c r="AN102" s="272">
        <f t="shared" si="28"/>
        <v>8</v>
      </c>
      <c r="AO102" s="272">
        <f t="shared" si="15"/>
        <v>4.7268045002600969</v>
      </c>
      <c r="AP102" s="272">
        <f t="shared" si="28"/>
        <v>8</v>
      </c>
      <c r="AQ102" s="272">
        <f t="shared" si="16"/>
        <v>4.7268045002600969</v>
      </c>
      <c r="AR102" s="272">
        <f t="shared" si="28"/>
        <v>8</v>
      </c>
      <c r="AS102" s="508">
        <f t="shared" si="17"/>
        <v>4.7268045002600969</v>
      </c>
      <c r="BA102" s="534"/>
    </row>
    <row r="103" spans="1:53" ht="12.75" customHeight="1">
      <c r="B103" s="96">
        <v>0</v>
      </c>
      <c r="C103" s="96">
        <f>C97</f>
        <v>0</v>
      </c>
      <c r="D103" s="96">
        <f>C103^2/$C$96</f>
        <v>0</v>
      </c>
      <c r="E103" s="96">
        <f>CHIDIST(D103,$E$96)</f>
        <v>1</v>
      </c>
      <c r="I103" s="96">
        <f>IF(F103&gt;$G$98,1,0)</f>
        <v>0</v>
      </c>
      <c r="J103" s="96">
        <f>C103</f>
        <v>0</v>
      </c>
      <c r="K103" s="96">
        <f t="shared" si="18"/>
        <v>25</v>
      </c>
      <c r="L103" s="96">
        <f t="shared" si="19"/>
        <v>1.6</v>
      </c>
      <c r="M103" s="96">
        <f t="shared" si="20"/>
        <v>8</v>
      </c>
      <c r="N103" s="516">
        <v>25</v>
      </c>
      <c r="O103" s="272">
        <f t="shared" si="3"/>
        <v>1.6</v>
      </c>
      <c r="P103" s="272">
        <f t="shared" si="4"/>
        <v>4</v>
      </c>
      <c r="Q103" s="272">
        <f t="shared" si="21"/>
        <v>5</v>
      </c>
      <c r="R103" s="272" t="e">
        <f t="shared" si="5"/>
        <v>#N/A</v>
      </c>
      <c r="S103" s="272">
        <f t="shared" si="6"/>
        <v>4</v>
      </c>
      <c r="T103" s="272">
        <f t="shared" si="22"/>
        <v>5</v>
      </c>
      <c r="U103" s="508" t="e">
        <f t="shared" si="7"/>
        <v>#N/A</v>
      </c>
      <c r="V103" s="516" t="e">
        <f t="shared" si="23"/>
        <v>#N/A</v>
      </c>
      <c r="W103" s="508" t="e">
        <f t="shared" si="24"/>
        <v>#N/A</v>
      </c>
      <c r="X103" s="272">
        <f t="shared" si="8"/>
        <v>4</v>
      </c>
      <c r="Y103" s="517">
        <v>1.6</v>
      </c>
      <c r="Z103" s="272">
        <f t="shared" si="25"/>
        <v>5</v>
      </c>
      <c r="AA103" s="519">
        <f t="shared" si="26"/>
        <v>3.001139703667286</v>
      </c>
      <c r="AB103" s="516">
        <f t="shared" si="27"/>
        <v>6</v>
      </c>
      <c r="AC103" s="272">
        <f t="shared" si="9"/>
        <v>4.6776387376660855</v>
      </c>
      <c r="AD103" s="272">
        <f t="shared" si="28"/>
        <v>8</v>
      </c>
      <c r="AE103" s="272">
        <f t="shared" si="10"/>
        <v>4.1544180178067247</v>
      </c>
      <c r="AF103" s="272">
        <f t="shared" si="28"/>
        <v>8</v>
      </c>
      <c r="AG103" s="272">
        <f t="shared" si="11"/>
        <v>4.1544180178067247</v>
      </c>
      <c r="AH103" s="272">
        <f t="shared" si="28"/>
        <v>8</v>
      </c>
      <c r="AI103" s="272">
        <f t="shared" si="12"/>
        <v>4.1544180178067247</v>
      </c>
      <c r="AJ103" s="272">
        <f t="shared" si="28"/>
        <v>8</v>
      </c>
      <c r="AK103" s="272">
        <f t="shared" si="13"/>
        <v>4.1544180178067247</v>
      </c>
      <c r="AL103" s="272">
        <f t="shared" si="28"/>
        <v>8</v>
      </c>
      <c r="AM103" s="272">
        <f t="shared" si="14"/>
        <v>4.1544180178067247</v>
      </c>
      <c r="AN103" s="272">
        <f t="shared" si="28"/>
        <v>8</v>
      </c>
      <c r="AO103" s="272">
        <f t="shared" si="15"/>
        <v>4.1544180178067247</v>
      </c>
      <c r="AP103" s="272">
        <f t="shared" si="28"/>
        <v>8</v>
      </c>
      <c r="AQ103" s="272">
        <f t="shared" si="16"/>
        <v>4.1544180178067247</v>
      </c>
      <c r="AR103" s="272">
        <f t="shared" si="28"/>
        <v>8</v>
      </c>
      <c r="AS103" s="508">
        <f t="shared" si="17"/>
        <v>4.1544180178067247</v>
      </c>
      <c r="BA103" s="534"/>
    </row>
    <row r="104" spans="1:53" ht="12.75" customHeight="1">
      <c r="A104" s="96">
        <f>IF(MAX($F$104:F104)=$G$99,$G$99,F104)</f>
        <v>0</v>
      </c>
      <c r="B104" s="96">
        <v>1</v>
      </c>
      <c r="C104" s="96">
        <f t="shared" ref="C104:C109" si="29">C103+$C$99</f>
        <v>1.5E-3</v>
      </c>
      <c r="D104" s="96">
        <f t="shared" ref="D104:D167" si="30">C104^2/$C$96</f>
        <v>1.3997828327654152E-3</v>
      </c>
      <c r="E104" s="96">
        <f t="shared" ref="E104:E167" si="31">CHIDIST(D104,$E$96)</f>
        <v>1</v>
      </c>
      <c r="F104" s="96">
        <f t="shared" ref="F104:F167" si="32">IF($E$7&lt;$F$101,NA(),$E$98*(E103-E105)/(2*$C$99))</f>
        <v>0</v>
      </c>
      <c r="G104" s="96">
        <f>F104-$G$101</f>
        <v>-0.29799999999999999</v>
      </c>
      <c r="I104" s="96">
        <f t="shared" ref="I104:I167" si="33">IF(F104&gt;$G$98,1,0)</f>
        <v>0</v>
      </c>
      <c r="J104" s="96">
        <f t="shared" ref="J104:J167" si="34">C104</f>
        <v>1.5E-3</v>
      </c>
      <c r="K104" s="96">
        <f t="shared" si="18"/>
        <v>26</v>
      </c>
      <c r="L104" s="96">
        <f t="shared" si="19"/>
        <v>1.7</v>
      </c>
      <c r="M104" s="96">
        <f t="shared" si="20"/>
        <v>8</v>
      </c>
      <c r="N104" s="516">
        <v>26</v>
      </c>
      <c r="O104" s="272">
        <f t="shared" si="3"/>
        <v>1.7</v>
      </c>
      <c r="P104" s="272">
        <f t="shared" si="4"/>
        <v>3</v>
      </c>
      <c r="Q104" s="272">
        <f t="shared" si="21"/>
        <v>5</v>
      </c>
      <c r="R104" s="272" t="e">
        <f t="shared" si="5"/>
        <v>#N/A</v>
      </c>
      <c r="S104" s="272">
        <f t="shared" si="6"/>
        <v>3</v>
      </c>
      <c r="T104" s="272">
        <f t="shared" si="22"/>
        <v>5</v>
      </c>
      <c r="U104" s="508" t="e">
        <f t="shared" si="7"/>
        <v>#N/A</v>
      </c>
      <c r="V104" s="516" t="e">
        <f t="shared" si="23"/>
        <v>#N/A</v>
      </c>
      <c r="W104" s="508" t="e">
        <f t="shared" si="24"/>
        <v>#N/A</v>
      </c>
      <c r="X104" s="272">
        <f t="shared" si="8"/>
        <v>3</v>
      </c>
      <c r="Y104" s="517">
        <v>1.7</v>
      </c>
      <c r="Z104" s="272">
        <f t="shared" si="25"/>
        <v>5</v>
      </c>
      <c r="AA104" s="519">
        <f t="shared" si="26"/>
        <v>3</v>
      </c>
      <c r="AB104" s="516">
        <f t="shared" si="27"/>
        <v>4</v>
      </c>
      <c r="AC104" s="272">
        <f t="shared" si="9"/>
        <v>5.3347040978004774</v>
      </c>
      <c r="AD104" s="272">
        <f t="shared" si="28"/>
        <v>6</v>
      </c>
      <c r="AE104" s="272">
        <f t="shared" si="10"/>
        <v>4.1435138991090579</v>
      </c>
      <c r="AF104" s="272">
        <f t="shared" si="28"/>
        <v>8</v>
      </c>
      <c r="AG104" s="272">
        <f t="shared" si="11"/>
        <v>3.6800381057388294</v>
      </c>
      <c r="AH104" s="272">
        <f t="shared" si="28"/>
        <v>6</v>
      </c>
      <c r="AI104" s="272">
        <f t="shared" si="12"/>
        <v>4.1435138991090579</v>
      </c>
      <c r="AJ104" s="272">
        <f t="shared" si="28"/>
        <v>8</v>
      </c>
      <c r="AK104" s="272">
        <f t="shared" si="13"/>
        <v>3.6800381057388294</v>
      </c>
      <c r="AL104" s="272">
        <f t="shared" si="28"/>
        <v>6</v>
      </c>
      <c r="AM104" s="272">
        <f t="shared" si="14"/>
        <v>4.1435138991090579</v>
      </c>
      <c r="AN104" s="272">
        <f t="shared" si="28"/>
        <v>8</v>
      </c>
      <c r="AO104" s="272">
        <f t="shared" si="15"/>
        <v>3.6800381057388294</v>
      </c>
      <c r="AP104" s="272">
        <f t="shared" si="28"/>
        <v>6</v>
      </c>
      <c r="AQ104" s="272">
        <f t="shared" si="16"/>
        <v>4.1435138991090579</v>
      </c>
      <c r="AR104" s="272">
        <f t="shared" si="28"/>
        <v>8</v>
      </c>
      <c r="AS104" s="508">
        <f t="shared" si="17"/>
        <v>3.6800381057388294</v>
      </c>
      <c r="BA104" s="534"/>
    </row>
    <row r="105" spans="1:53" ht="12.75" customHeight="1">
      <c r="A105" s="96">
        <f>IF(MAX($F$104:F105)=$G$99,$G$99,F105)</f>
        <v>0</v>
      </c>
      <c r="B105" s="96">
        <v>2</v>
      </c>
      <c r="C105" s="96">
        <f t="shared" si="29"/>
        <v>3.0000000000000001E-3</v>
      </c>
      <c r="D105" s="96">
        <f t="shared" si="30"/>
        <v>5.599131331061661E-3</v>
      </c>
      <c r="E105" s="96">
        <f t="shared" si="31"/>
        <v>1</v>
      </c>
      <c r="F105" s="96">
        <f t="shared" si="32"/>
        <v>0</v>
      </c>
      <c r="G105" s="96">
        <f t="shared" ref="G105:G168" si="35">F105-$G$101</f>
        <v>-0.29799999999999999</v>
      </c>
      <c r="I105" s="96">
        <f t="shared" si="33"/>
        <v>0</v>
      </c>
      <c r="J105" s="96">
        <f t="shared" si="34"/>
        <v>3.0000000000000001E-3</v>
      </c>
      <c r="K105" s="96">
        <f t="shared" si="18"/>
        <v>27</v>
      </c>
      <c r="L105" s="96">
        <f t="shared" si="19"/>
        <v>1.8</v>
      </c>
      <c r="M105" s="96">
        <f t="shared" si="20"/>
        <v>7</v>
      </c>
      <c r="N105" s="516">
        <v>27</v>
      </c>
      <c r="O105" s="272">
        <f t="shared" si="3"/>
        <v>1.8</v>
      </c>
      <c r="P105" s="272">
        <f t="shared" si="4"/>
        <v>3</v>
      </c>
      <c r="Q105" s="272">
        <f t="shared" si="21"/>
        <v>4</v>
      </c>
      <c r="R105" s="272" t="e">
        <f t="shared" si="5"/>
        <v>#N/A</v>
      </c>
      <c r="S105" s="272">
        <f t="shared" si="6"/>
        <v>3</v>
      </c>
      <c r="T105" s="272">
        <f t="shared" si="22"/>
        <v>4</v>
      </c>
      <c r="U105" s="508" t="e">
        <f t="shared" si="7"/>
        <v>#N/A</v>
      </c>
      <c r="V105" s="516" t="e">
        <f t="shared" si="23"/>
        <v>#N/A</v>
      </c>
      <c r="W105" s="508" t="e">
        <f t="shared" si="24"/>
        <v>#N/A</v>
      </c>
      <c r="X105" s="272">
        <f t="shared" si="8"/>
        <v>3</v>
      </c>
      <c r="Y105" s="517">
        <v>1.8</v>
      </c>
      <c r="Z105" s="272">
        <f t="shared" si="25"/>
        <v>4</v>
      </c>
      <c r="AA105" s="519">
        <f t="shared" si="26"/>
        <v>3</v>
      </c>
      <c r="AB105" s="516">
        <f t="shared" si="27"/>
        <v>4</v>
      </c>
      <c r="AC105" s="272">
        <f t="shared" si="9"/>
        <v>4.7584243341491899</v>
      </c>
      <c r="AD105" s="272">
        <f t="shared" si="28"/>
        <v>6</v>
      </c>
      <c r="AE105" s="272">
        <f t="shared" si="10"/>
        <v>3.6959120890201174</v>
      </c>
      <c r="AF105" s="272">
        <f t="shared" si="28"/>
        <v>6</v>
      </c>
      <c r="AG105" s="272">
        <f t="shared" si="11"/>
        <v>3.6959120890201174</v>
      </c>
      <c r="AH105" s="272">
        <f t="shared" si="28"/>
        <v>6</v>
      </c>
      <c r="AI105" s="272">
        <f t="shared" si="12"/>
        <v>3.6959120890201174</v>
      </c>
      <c r="AJ105" s="272">
        <f t="shared" si="28"/>
        <v>6</v>
      </c>
      <c r="AK105" s="272">
        <f t="shared" si="13"/>
        <v>3.6959120890201174</v>
      </c>
      <c r="AL105" s="272">
        <f t="shared" si="28"/>
        <v>6</v>
      </c>
      <c r="AM105" s="272">
        <f t="shared" si="14"/>
        <v>3.6959120890201174</v>
      </c>
      <c r="AN105" s="272">
        <f t="shared" si="28"/>
        <v>6</v>
      </c>
      <c r="AO105" s="272">
        <f t="shared" si="15"/>
        <v>3.6959120890201174</v>
      </c>
      <c r="AP105" s="272">
        <f t="shared" si="28"/>
        <v>6</v>
      </c>
      <c r="AQ105" s="272">
        <f t="shared" si="16"/>
        <v>3.6959120890201174</v>
      </c>
      <c r="AR105" s="272">
        <f t="shared" si="28"/>
        <v>6</v>
      </c>
      <c r="AS105" s="508">
        <f t="shared" si="17"/>
        <v>3.6959120890201174</v>
      </c>
      <c r="BA105" s="534"/>
    </row>
    <row r="106" spans="1:53" ht="12.75" customHeight="1">
      <c r="A106" s="96">
        <f>IF(MAX($F$104:F106)=$G$99,$G$99,F106)</f>
        <v>0</v>
      </c>
      <c r="B106" s="96">
        <v>3</v>
      </c>
      <c r="C106" s="96">
        <f t="shared" si="29"/>
        <v>4.5000000000000005E-3</v>
      </c>
      <c r="D106" s="96">
        <f t="shared" si="30"/>
        <v>1.2598045494888738E-2</v>
      </c>
      <c r="E106" s="96">
        <f t="shared" si="31"/>
        <v>1</v>
      </c>
      <c r="F106" s="96">
        <f t="shared" si="32"/>
        <v>0</v>
      </c>
      <c r="G106" s="96">
        <f t="shared" si="35"/>
        <v>-0.29799999999999999</v>
      </c>
      <c r="I106" s="96">
        <f t="shared" si="33"/>
        <v>0</v>
      </c>
      <c r="J106" s="96">
        <f t="shared" si="34"/>
        <v>4.5000000000000005E-3</v>
      </c>
      <c r="K106" s="96">
        <f t="shared" si="18"/>
        <v>28</v>
      </c>
      <c r="L106" s="96">
        <f t="shared" si="19"/>
        <v>1.9</v>
      </c>
      <c r="M106" s="96">
        <f t="shared" si="20"/>
        <v>7</v>
      </c>
      <c r="N106" s="516">
        <v>28</v>
      </c>
      <c r="O106" s="272">
        <f t="shared" si="3"/>
        <v>1.9</v>
      </c>
      <c r="P106" s="272">
        <f t="shared" si="4"/>
        <v>3</v>
      </c>
      <c r="Q106" s="272">
        <f t="shared" si="21"/>
        <v>4</v>
      </c>
      <c r="R106" s="272" t="e">
        <f t="shared" si="5"/>
        <v>#N/A</v>
      </c>
      <c r="S106" s="272">
        <f t="shared" si="6"/>
        <v>3</v>
      </c>
      <c r="T106" s="272">
        <f t="shared" si="22"/>
        <v>4</v>
      </c>
      <c r="U106" s="508" t="e">
        <f t="shared" si="7"/>
        <v>#N/A</v>
      </c>
      <c r="V106" s="516" t="e">
        <f t="shared" si="23"/>
        <v>#N/A</v>
      </c>
      <c r="W106" s="508" t="e">
        <f t="shared" si="24"/>
        <v>#N/A</v>
      </c>
      <c r="X106" s="272">
        <f t="shared" si="8"/>
        <v>3</v>
      </c>
      <c r="Y106" s="517">
        <v>1.9</v>
      </c>
      <c r="Z106" s="272">
        <f t="shared" si="25"/>
        <v>4</v>
      </c>
      <c r="AA106" s="519">
        <f t="shared" si="26"/>
        <v>3</v>
      </c>
      <c r="AB106" s="516">
        <f t="shared" si="27"/>
        <v>4</v>
      </c>
      <c r="AC106" s="272">
        <f t="shared" si="9"/>
        <v>4.2707187929760053</v>
      </c>
      <c r="AD106" s="272">
        <f t="shared" si="28"/>
        <v>6</v>
      </c>
      <c r="AE106" s="272">
        <f t="shared" si="10"/>
        <v>3.3171066948546204</v>
      </c>
      <c r="AF106" s="272">
        <f t="shared" si="28"/>
        <v>6</v>
      </c>
      <c r="AG106" s="272">
        <f t="shared" si="11"/>
        <v>3.3171066948546204</v>
      </c>
      <c r="AH106" s="272">
        <f t="shared" si="28"/>
        <v>6</v>
      </c>
      <c r="AI106" s="272">
        <f t="shared" si="12"/>
        <v>3.3171066948546204</v>
      </c>
      <c r="AJ106" s="272">
        <f t="shared" si="28"/>
        <v>6</v>
      </c>
      <c r="AK106" s="272">
        <f t="shared" si="13"/>
        <v>3.3171066948546204</v>
      </c>
      <c r="AL106" s="272">
        <f t="shared" si="28"/>
        <v>6</v>
      </c>
      <c r="AM106" s="272">
        <f t="shared" si="14"/>
        <v>3.3171066948546204</v>
      </c>
      <c r="AN106" s="272">
        <f t="shared" si="28"/>
        <v>6</v>
      </c>
      <c r="AO106" s="272">
        <f t="shared" si="15"/>
        <v>3.3171066948546204</v>
      </c>
      <c r="AP106" s="272">
        <f t="shared" si="28"/>
        <v>6</v>
      </c>
      <c r="AQ106" s="272">
        <f t="shared" si="16"/>
        <v>3.3171066948546204</v>
      </c>
      <c r="AR106" s="272">
        <f t="shared" si="28"/>
        <v>6</v>
      </c>
      <c r="AS106" s="508">
        <f t="shared" si="17"/>
        <v>3.3171066948546204</v>
      </c>
    </row>
    <row r="107" spans="1:53" ht="12.75" customHeight="1">
      <c r="A107" s="96">
        <f>IF(MAX($F$104:F107)=$G$99,$G$99,F107)</f>
        <v>0</v>
      </c>
      <c r="B107" s="96">
        <v>4</v>
      </c>
      <c r="C107" s="96">
        <f t="shared" si="29"/>
        <v>6.0000000000000001E-3</v>
      </c>
      <c r="D107" s="96">
        <f t="shared" si="30"/>
        <v>2.2396525324246644E-2</v>
      </c>
      <c r="E107" s="96">
        <f t="shared" si="31"/>
        <v>1</v>
      </c>
      <c r="F107" s="96">
        <f t="shared" si="32"/>
        <v>0</v>
      </c>
      <c r="G107" s="96">
        <f t="shared" si="35"/>
        <v>-0.29799999999999999</v>
      </c>
      <c r="I107" s="96">
        <f t="shared" si="33"/>
        <v>0</v>
      </c>
      <c r="J107" s="96">
        <f t="shared" si="34"/>
        <v>6.0000000000000001E-3</v>
      </c>
      <c r="K107" s="96">
        <f t="shared" si="18"/>
        <v>29</v>
      </c>
      <c r="L107" s="96">
        <f t="shared" si="19"/>
        <v>2</v>
      </c>
      <c r="M107" s="96">
        <f t="shared" si="20"/>
        <v>6</v>
      </c>
      <c r="N107" s="530">
        <v>29</v>
      </c>
      <c r="O107" s="273">
        <f t="shared" si="3"/>
        <v>2</v>
      </c>
      <c r="P107" s="273">
        <f t="shared" si="4"/>
        <v>3</v>
      </c>
      <c r="Q107" s="273">
        <f t="shared" si="21"/>
        <v>4</v>
      </c>
      <c r="R107" s="273" t="e">
        <f t="shared" si="5"/>
        <v>#N/A</v>
      </c>
      <c r="S107" s="273">
        <f t="shared" si="6"/>
        <v>3</v>
      </c>
      <c r="T107" s="273">
        <f t="shared" si="22"/>
        <v>4</v>
      </c>
      <c r="U107" s="533" t="e">
        <f t="shared" si="7"/>
        <v>#N/A</v>
      </c>
      <c r="V107" s="530" t="e">
        <f t="shared" si="23"/>
        <v>#N/A</v>
      </c>
      <c r="W107" s="533" t="e">
        <f t="shared" si="24"/>
        <v>#N/A</v>
      </c>
      <c r="X107" s="272">
        <f t="shared" si="8"/>
        <v>3</v>
      </c>
      <c r="Y107" s="517">
        <v>2</v>
      </c>
      <c r="Z107" s="272">
        <f t="shared" si="25"/>
        <v>4</v>
      </c>
      <c r="AA107" s="519">
        <f t="shared" si="26"/>
        <v>3</v>
      </c>
      <c r="AB107" s="516">
        <f t="shared" si="27"/>
        <v>4</v>
      </c>
      <c r="AC107" s="272">
        <f t="shared" si="9"/>
        <v>3.8543237106608443</v>
      </c>
      <c r="AD107" s="272">
        <f t="shared" si="28"/>
        <v>6</v>
      </c>
      <c r="AE107" s="272">
        <f t="shared" si="10"/>
        <v>3</v>
      </c>
      <c r="AF107" s="272">
        <f t="shared" si="28"/>
        <v>4</v>
      </c>
      <c r="AG107" s="272">
        <f t="shared" si="11"/>
        <v>3.8543237106608443</v>
      </c>
      <c r="AH107" s="272">
        <f t="shared" si="28"/>
        <v>6</v>
      </c>
      <c r="AI107" s="272">
        <f t="shared" si="12"/>
        <v>3</v>
      </c>
      <c r="AJ107" s="272">
        <f t="shared" si="28"/>
        <v>4</v>
      </c>
      <c r="AK107" s="272">
        <f t="shared" si="13"/>
        <v>3.8543237106608443</v>
      </c>
      <c r="AL107" s="272">
        <f t="shared" si="28"/>
        <v>6</v>
      </c>
      <c r="AM107" s="272">
        <f t="shared" si="14"/>
        <v>3</v>
      </c>
      <c r="AN107" s="272">
        <f t="shared" si="28"/>
        <v>4</v>
      </c>
      <c r="AO107" s="272">
        <f t="shared" si="15"/>
        <v>3.8543237106608443</v>
      </c>
      <c r="AP107" s="272">
        <f t="shared" si="28"/>
        <v>6</v>
      </c>
      <c r="AQ107" s="272">
        <f t="shared" si="16"/>
        <v>3</v>
      </c>
      <c r="AR107" s="272">
        <f t="shared" si="28"/>
        <v>4</v>
      </c>
      <c r="AS107" s="508">
        <f t="shared" si="17"/>
        <v>3.8543237106608443</v>
      </c>
    </row>
    <row r="108" spans="1:53" ht="12.75" customHeight="1">
      <c r="A108" s="96">
        <f>IF(MAX($F$104:F108)=$G$99,$G$99,F108)</f>
        <v>0</v>
      </c>
      <c r="B108" s="481">
        <v>5</v>
      </c>
      <c r="C108" s="96">
        <f t="shared" si="29"/>
        <v>7.4999999999999997E-3</v>
      </c>
      <c r="D108" s="96">
        <f t="shared" si="30"/>
        <v>3.499457081913538E-2</v>
      </c>
      <c r="E108" s="96">
        <f t="shared" si="31"/>
        <v>1</v>
      </c>
      <c r="F108" s="96">
        <f t="shared" si="32"/>
        <v>0</v>
      </c>
      <c r="G108" s="96">
        <f t="shared" si="35"/>
        <v>-0.29799999999999999</v>
      </c>
      <c r="I108" s="96">
        <f t="shared" si="33"/>
        <v>0</v>
      </c>
      <c r="J108" s="96">
        <f t="shared" si="34"/>
        <v>7.4999999999999997E-3</v>
      </c>
      <c r="L108" s="96">
        <v>0.03</v>
      </c>
      <c r="X108" s="488"/>
      <c r="Y108" s="488"/>
      <c r="Z108" s="488"/>
      <c r="AA108" s="535"/>
      <c r="AB108" s="536"/>
      <c r="AC108" s="537"/>
      <c r="AD108" s="537"/>
      <c r="AE108" s="537"/>
      <c r="AF108" s="537"/>
      <c r="AG108" s="537"/>
      <c r="AH108" s="537"/>
      <c r="AI108" s="537"/>
      <c r="AJ108" s="537"/>
      <c r="AK108" s="537"/>
      <c r="AL108" s="537"/>
      <c r="AM108" s="537"/>
      <c r="AN108" s="537"/>
      <c r="AO108" s="537"/>
      <c r="AP108" s="537"/>
      <c r="AQ108" s="537"/>
      <c r="AR108" s="537"/>
      <c r="AS108" s="538"/>
    </row>
    <row r="109" spans="1:53" ht="12.75" customHeight="1">
      <c r="A109" s="96">
        <f>IF(MAX($F$104:F109)=$G$99,$G$99,F109)</f>
        <v>0</v>
      </c>
      <c r="B109" s="481">
        <v>6</v>
      </c>
      <c r="C109" s="96">
        <f t="shared" si="29"/>
        <v>8.9999999999999993E-3</v>
      </c>
      <c r="D109" s="96">
        <f t="shared" si="30"/>
        <v>5.0392181979554938E-2</v>
      </c>
      <c r="E109" s="96">
        <f t="shared" si="31"/>
        <v>1</v>
      </c>
      <c r="F109" s="96">
        <f t="shared" si="32"/>
        <v>0</v>
      </c>
      <c r="G109" s="96">
        <f t="shared" si="35"/>
        <v>-0.29799999999999999</v>
      </c>
      <c r="I109" s="96">
        <f t="shared" si="33"/>
        <v>0</v>
      </c>
      <c r="J109" s="96">
        <f t="shared" si="34"/>
        <v>8.9999999999999993E-3</v>
      </c>
      <c r="L109" s="96">
        <v>1.9</v>
      </c>
      <c r="N109" s="96">
        <v>1.2</v>
      </c>
    </row>
    <row r="110" spans="1:53" ht="12.75" customHeight="1">
      <c r="A110" s="96">
        <f>IF(MAX($F$104:F110)=$G$99,$G$99,F110)</f>
        <v>0</v>
      </c>
      <c r="B110" s="96">
        <v>7</v>
      </c>
      <c r="C110" s="96">
        <f t="shared" ref="C110:C130" si="36">C109+$C$99</f>
        <v>1.0499999999999999E-2</v>
      </c>
      <c r="D110" s="96">
        <f t="shared" si="30"/>
        <v>6.8589358805505332E-2</v>
      </c>
      <c r="E110" s="96">
        <f t="shared" si="31"/>
        <v>1</v>
      </c>
      <c r="F110" s="96">
        <f t="shared" si="32"/>
        <v>0</v>
      </c>
      <c r="G110" s="96">
        <f t="shared" si="35"/>
        <v>-0.29799999999999999</v>
      </c>
      <c r="I110" s="96">
        <f t="shared" si="33"/>
        <v>0</v>
      </c>
      <c r="J110" s="96">
        <f t="shared" si="34"/>
        <v>1.0499999999999999E-2</v>
      </c>
      <c r="K110" s="96" t="s">
        <v>179</v>
      </c>
      <c r="Y110" s="539" t="s">
        <v>17</v>
      </c>
      <c r="Z110" s="540"/>
      <c r="AA110" s="540"/>
      <c r="AB110" s="540"/>
      <c r="AC110" s="540"/>
      <c r="AD110" s="540"/>
      <c r="AE110" s="540"/>
      <c r="AF110" s="540"/>
      <c r="AG110" s="540"/>
      <c r="AH110" s="540"/>
      <c r="AI110" s="540"/>
      <c r="AJ110" s="540"/>
      <c r="AK110" s="540"/>
      <c r="AL110" s="540"/>
      <c r="AM110" s="540"/>
      <c r="AN110" s="540"/>
      <c r="AO110" s="540"/>
      <c r="AP110" s="540"/>
      <c r="AQ110" s="540"/>
      <c r="AR110" s="540"/>
      <c r="AS110" s="541"/>
    </row>
    <row r="111" spans="1:53" ht="12.75" customHeight="1">
      <c r="A111" s="96">
        <f>IF(MAX($F$104:F111)=$G$99,$G$99,F111)</f>
        <v>0</v>
      </c>
      <c r="B111" s="481">
        <v>8</v>
      </c>
      <c r="C111" s="96">
        <f t="shared" si="36"/>
        <v>1.1999999999999999E-2</v>
      </c>
      <c r="D111" s="96">
        <f t="shared" si="30"/>
        <v>8.9586101296986548E-2</v>
      </c>
      <c r="E111" s="96">
        <f t="shared" si="31"/>
        <v>1</v>
      </c>
      <c r="F111" s="96">
        <f t="shared" si="32"/>
        <v>0</v>
      </c>
      <c r="G111" s="96">
        <f t="shared" si="35"/>
        <v>-0.29799999999999999</v>
      </c>
      <c r="I111" s="96">
        <f t="shared" si="33"/>
        <v>0</v>
      </c>
      <c r="J111" s="96">
        <f t="shared" si="34"/>
        <v>1.1999999999999999E-2</v>
      </c>
      <c r="L111" s="520" t="s">
        <v>1184</v>
      </c>
      <c r="M111" s="520" t="s">
        <v>1262</v>
      </c>
      <c r="N111" s="520" t="s">
        <v>626</v>
      </c>
      <c r="Y111" s="510" t="s">
        <v>1192</v>
      </c>
      <c r="Z111" s="511" t="s">
        <v>1221</v>
      </c>
      <c r="AA111" s="512" t="s">
        <v>1194</v>
      </c>
      <c r="AB111" s="514" t="s">
        <v>1206</v>
      </c>
      <c r="AC111" s="514" t="s">
        <v>1196</v>
      </c>
      <c r="AD111" s="514" t="s">
        <v>1207</v>
      </c>
      <c r="AE111" s="514" t="s">
        <v>1197</v>
      </c>
      <c r="AF111" s="514" t="s">
        <v>1208</v>
      </c>
      <c r="AG111" s="514" t="s">
        <v>1198</v>
      </c>
      <c r="AH111" s="514" t="s">
        <v>1209</v>
      </c>
      <c r="AI111" s="514" t="s">
        <v>1199</v>
      </c>
      <c r="AJ111" s="514" t="s">
        <v>1210</v>
      </c>
      <c r="AK111" s="514" t="s">
        <v>1200</v>
      </c>
      <c r="AL111" s="514" t="s">
        <v>1211</v>
      </c>
      <c r="AM111" s="514" t="s">
        <v>1201</v>
      </c>
      <c r="AN111" s="514" t="s">
        <v>1212</v>
      </c>
      <c r="AO111" s="514" t="s">
        <v>1202</v>
      </c>
      <c r="AP111" s="514" t="s">
        <v>1213</v>
      </c>
      <c r="AQ111" s="514" t="s">
        <v>1203</v>
      </c>
      <c r="AR111" s="514" t="s">
        <v>1214</v>
      </c>
      <c r="AS111" s="515" t="s">
        <v>1204</v>
      </c>
    </row>
    <row r="112" spans="1:53" ht="12.75" customHeight="1">
      <c r="A112" s="96">
        <f>IF(MAX($F$104:F112)=$G$99,$G$99,F112)</f>
        <v>0</v>
      </c>
      <c r="B112" s="481">
        <v>9</v>
      </c>
      <c r="C112" s="96">
        <f t="shared" si="36"/>
        <v>1.3499999999999998E-2</v>
      </c>
      <c r="D112" s="96">
        <f t="shared" si="30"/>
        <v>0.11338240945399859</v>
      </c>
      <c r="E112" s="96">
        <f t="shared" si="31"/>
        <v>1</v>
      </c>
      <c r="F112" s="96">
        <f t="shared" si="32"/>
        <v>0</v>
      </c>
      <c r="G112" s="96">
        <f t="shared" si="35"/>
        <v>-0.29799999999999999</v>
      </c>
      <c r="I112" s="96">
        <f t="shared" si="33"/>
        <v>0</v>
      </c>
      <c r="J112" s="96">
        <f t="shared" si="34"/>
        <v>1.3499999999999998E-2</v>
      </c>
      <c r="L112" s="96">
        <f>J99-L108-L109*(J99-J101)</f>
        <v>0.3046500000000002</v>
      </c>
      <c r="M112" s="96">
        <v>0</v>
      </c>
      <c r="N112" s="96">
        <f>N109*G99</f>
        <v>19.087914530233245</v>
      </c>
      <c r="X112" s="96">
        <v>1</v>
      </c>
      <c r="Y112" s="517">
        <v>0.1</v>
      </c>
      <c r="Z112" s="272">
        <f>(2+MAX(AP112,AR112))/2</f>
        <v>832</v>
      </c>
      <c r="AA112" s="518">
        <f>MAX(2*($C$83/Y112)^2,$C$79)</f>
        <v>768.29176413882522</v>
      </c>
      <c r="AB112" s="493">
        <f t="shared" ref="AB112:AB140" si="37">2*ROUNDUP(AA112*IF(ISNUMBER(CHIINV($C$77,AA112)),CHIINV($C$77,AA112)/ROUNDDOWN(AA112,0),(1+NORMSINV($C$78/100)*SQRT(2/(2*(ROUNDUP(AA112,0)-1)))))-1,0)</f>
        <v>1724</v>
      </c>
      <c r="AC112" s="493">
        <f t="shared" ref="AC112:AC140" si="38">MAX(2*(TINV($C$82,AB112)/$Y112)^2*IF(ISNUMBER(CHIINV($C$77,AB112)),CHIINV($C$77,AB112),AB112*(1+NORMSINV($C$78/100)*SQRT(2/AB112)))/AB112,$C$79)</f>
        <v>831.64269696018971</v>
      </c>
      <c r="AD112" s="493">
        <f>MIN(2*ROUNDUP(AC112,0)-2,AB112+2)</f>
        <v>1662</v>
      </c>
      <c r="AE112" s="493">
        <f t="shared" ref="AE112:AE140" si="39">MAX(2*(TINV($C$82,AD112)/$Y112)^2*IF(ISNUMBER(CHIINV($C$77,AD112)),CHIINV($C$77,AD112),AD112*(1+NORMSINV($C$78/100)*SQRT(2/AD112)))/AD112,$C$79)</f>
        <v>831.503597375818</v>
      </c>
      <c r="AF112" s="493">
        <f>MAX(MIN(2*ROUNDUP(AE112,0)-2,AD112+2),AD112-2)</f>
        <v>1662</v>
      </c>
      <c r="AG112" s="493">
        <f t="shared" ref="AG112:AG140" si="40">MAX(2*(TINV($C$82,AF112)/$Y112)^2*IF(ISNUMBER(CHIINV($C$77,AF112)),CHIINV($C$77,AF112),AF112*(1+NORMSINV($C$78/100)*SQRT(2/AF112)))/AF112,$C$79)</f>
        <v>831.503597375818</v>
      </c>
      <c r="AH112" s="493">
        <f>MAX(MIN(2*ROUNDUP(AG112,0)-2,AF112+2),AF112-2)</f>
        <v>1662</v>
      </c>
      <c r="AI112" s="493">
        <f t="shared" ref="AI112:AI140" si="41">MAX(2*(TINV($C$82,AH112)/$Y112)^2*IF(ISNUMBER(CHIINV($C$77,AH112)),CHIINV($C$77,AH112),AH112*(1+NORMSINV($C$78/100)*SQRT(2/AH112)))/AH112,$C$79)</f>
        <v>831.503597375818</v>
      </c>
      <c r="AJ112" s="493">
        <f>MAX(MIN(2*ROUNDUP(AI112,0)-2,AH112+2),AH112-2)</f>
        <v>1662</v>
      </c>
      <c r="AK112" s="493">
        <f t="shared" ref="AK112:AK140" si="42">MAX(2*(TINV($C$82,AJ112)/$Y112)^2*IF(ISNUMBER(CHIINV($C$77,AJ112)),CHIINV($C$77,AJ112),AJ112*(1+NORMSINV($C$78/100)*SQRT(2/AJ112)))/AJ112,$C$79)</f>
        <v>831.503597375818</v>
      </c>
      <c r="AL112" s="493">
        <f>MAX(MIN(2*ROUNDUP(AK112,0)-2,AJ112+2),AJ112-2)</f>
        <v>1662</v>
      </c>
      <c r="AM112" s="493">
        <f t="shared" ref="AM112:AM140" si="43">MAX(2*(TINV($C$82,AL112)/$Y112)^2*IF(ISNUMBER(CHIINV($C$77,AL112)),CHIINV($C$77,AL112),AL112*(1+NORMSINV($C$78/100)*SQRT(2/AL112)))/AL112,$C$79)</f>
        <v>831.503597375818</v>
      </c>
      <c r="AN112" s="493">
        <f>MAX(MIN(2*ROUNDUP(AM112,0)-2,AL112+2),AL112-2)</f>
        <v>1662</v>
      </c>
      <c r="AO112" s="493">
        <f t="shared" ref="AO112:AO140" si="44">MAX(2*(TINV($C$82,AN112)/$Y112)^2*IF(ISNUMBER(CHIINV($C$77,AN112)),CHIINV($C$77,AN112),AN112*(1+NORMSINV($C$78/100)*SQRT(2/AN112)))/AN112,$C$79)</f>
        <v>831.503597375818</v>
      </c>
      <c r="AP112" s="493">
        <f>MAX(MIN(2*ROUNDUP(AO112,0)-2,AN112+2),AN112-2)</f>
        <v>1662</v>
      </c>
      <c r="AQ112" s="493">
        <f t="shared" ref="AQ112:AQ140" si="45">MAX(2*(TINV($C$82,AP112)/$Y112)^2*IF(ISNUMBER(CHIINV($C$77,AP112)),CHIINV($C$77,AP112),AP112*(1+NORMSINV($C$78/100)*SQRT(2/AP112)))/AP112,$C$79)</f>
        <v>831.503597375818</v>
      </c>
      <c r="AR112" s="493">
        <f>MAX(MIN(2*ROUNDUP(AQ112,0)-2,AP112+2),AP112-2)</f>
        <v>1662</v>
      </c>
      <c r="AS112" s="494">
        <f t="shared" ref="AS112:AS140" si="46">MAX(2*(TINV($C$82,AR112)/$Y112)^2*IF(ISNUMBER(CHIINV($C$77,AR112)),CHIINV($C$77,AR112),AR112*(1+NORMSINV($C$78/100)*SQRT(2/AR112)))/AR112,$C$79)</f>
        <v>831.503597375818</v>
      </c>
    </row>
    <row r="113" spans="1:52" ht="12.75" customHeight="1">
      <c r="A113" s="96">
        <f>IF(MAX($F$104:F113)=$G$99,$G$99,F113)</f>
        <v>0</v>
      </c>
      <c r="B113" s="96">
        <v>10</v>
      </c>
      <c r="C113" s="96">
        <f t="shared" si="36"/>
        <v>1.4999999999999998E-2</v>
      </c>
      <c r="D113" s="96">
        <f t="shared" si="30"/>
        <v>0.13997828327654147</v>
      </c>
      <c r="E113" s="96">
        <f t="shared" si="31"/>
        <v>1</v>
      </c>
      <c r="F113" s="96">
        <f t="shared" si="32"/>
        <v>0</v>
      </c>
      <c r="G113" s="96">
        <f t="shared" si="35"/>
        <v>-0.29799999999999999</v>
      </c>
      <c r="I113" s="96">
        <f t="shared" si="33"/>
        <v>0</v>
      </c>
      <c r="J113" s="96">
        <f t="shared" si="34"/>
        <v>1.4999999999999998E-2</v>
      </c>
      <c r="X113" s="96">
        <v>2</v>
      </c>
      <c r="Y113" s="517">
        <v>0.15</v>
      </c>
      <c r="Z113" s="272">
        <f t="shared" ref="Z113:Z140" si="47">(2+MAX(AP113,AR113))/2</f>
        <v>385</v>
      </c>
      <c r="AA113" s="519">
        <f t="shared" ref="AA113:AA140" si="48">MAX(2*($C$83/Y113)^2,$C$79)</f>
        <v>341.46300628392248</v>
      </c>
      <c r="AB113" s="272">
        <f t="shared" si="37"/>
        <v>810</v>
      </c>
      <c r="AC113" s="272">
        <f t="shared" si="38"/>
        <v>383.31515769239934</v>
      </c>
      <c r="AD113" s="272">
        <f t="shared" ref="AD113:AD140" si="49">MIN(2*ROUNDUP(AC113,0)-2,AB113+2)</f>
        <v>766</v>
      </c>
      <c r="AE113" s="272">
        <f t="shared" si="39"/>
        <v>384.57347980964175</v>
      </c>
      <c r="AF113" s="272">
        <f t="shared" ref="AF113:AR140" si="50">MAX(MIN(2*ROUNDUP(AE113,0)-2,AD113+2),AD113-2)</f>
        <v>768</v>
      </c>
      <c r="AG113" s="272">
        <f t="shared" si="40"/>
        <v>384.51385164608183</v>
      </c>
      <c r="AH113" s="272">
        <f t="shared" si="50"/>
        <v>768</v>
      </c>
      <c r="AI113" s="272">
        <f t="shared" si="41"/>
        <v>384.51385164608183</v>
      </c>
      <c r="AJ113" s="272">
        <f t="shared" si="50"/>
        <v>768</v>
      </c>
      <c r="AK113" s="272">
        <f t="shared" si="42"/>
        <v>384.51385164608183</v>
      </c>
      <c r="AL113" s="272">
        <f t="shared" si="50"/>
        <v>768</v>
      </c>
      <c r="AM113" s="272">
        <f t="shared" si="43"/>
        <v>384.51385164608183</v>
      </c>
      <c r="AN113" s="272">
        <f t="shared" si="50"/>
        <v>768</v>
      </c>
      <c r="AO113" s="272">
        <f t="shared" si="44"/>
        <v>384.51385164608183</v>
      </c>
      <c r="AP113" s="272">
        <f t="shared" si="50"/>
        <v>768</v>
      </c>
      <c r="AQ113" s="272">
        <f t="shared" si="45"/>
        <v>384.51385164608183</v>
      </c>
      <c r="AR113" s="272">
        <f t="shared" si="50"/>
        <v>768</v>
      </c>
      <c r="AS113" s="508">
        <f t="shared" si="46"/>
        <v>384.51385164608183</v>
      </c>
    </row>
    <row r="114" spans="1:52" ht="12.75" customHeight="1">
      <c r="A114" s="96">
        <f>IF(MAX($F$104:F114)=$G$99,$G$99,F114)</f>
        <v>0</v>
      </c>
      <c r="B114" s="481">
        <v>11</v>
      </c>
      <c r="C114" s="96">
        <f t="shared" si="36"/>
        <v>1.6499999999999997E-2</v>
      </c>
      <c r="D114" s="96">
        <f t="shared" si="30"/>
        <v>0.16937372276461518</v>
      </c>
      <c r="E114" s="96">
        <f t="shared" si="31"/>
        <v>1</v>
      </c>
      <c r="F114" s="96">
        <f t="shared" si="32"/>
        <v>0</v>
      </c>
      <c r="G114" s="96">
        <f t="shared" si="35"/>
        <v>-0.29799999999999999</v>
      </c>
      <c r="I114" s="96">
        <f t="shared" si="33"/>
        <v>0</v>
      </c>
      <c r="J114" s="96">
        <f t="shared" si="34"/>
        <v>1.6499999999999997E-2</v>
      </c>
      <c r="X114" s="96">
        <v>3</v>
      </c>
      <c r="Y114" s="517">
        <v>0.2</v>
      </c>
      <c r="Z114" s="272">
        <f t="shared" si="47"/>
        <v>225</v>
      </c>
      <c r="AA114" s="519">
        <f t="shared" si="48"/>
        <v>192.0729410347063</v>
      </c>
      <c r="AB114" s="272">
        <f t="shared" si="37"/>
        <v>480</v>
      </c>
      <c r="AC114" s="272">
        <f t="shared" si="38"/>
        <v>223.21101586040447</v>
      </c>
      <c r="AD114" s="272">
        <f t="shared" si="49"/>
        <v>446</v>
      </c>
      <c r="AE114" s="272">
        <f t="shared" si="39"/>
        <v>224.47166224463936</v>
      </c>
      <c r="AF114" s="272">
        <f t="shared" si="50"/>
        <v>448</v>
      </c>
      <c r="AG114" s="272">
        <f t="shared" si="40"/>
        <v>224.39334048712627</v>
      </c>
      <c r="AH114" s="272">
        <f t="shared" si="50"/>
        <v>448</v>
      </c>
      <c r="AI114" s="272">
        <f t="shared" si="41"/>
        <v>224.39334048712627</v>
      </c>
      <c r="AJ114" s="272">
        <f t="shared" si="50"/>
        <v>448</v>
      </c>
      <c r="AK114" s="272">
        <f t="shared" si="42"/>
        <v>224.39334048712627</v>
      </c>
      <c r="AL114" s="272">
        <f t="shared" si="50"/>
        <v>448</v>
      </c>
      <c r="AM114" s="272">
        <f t="shared" si="43"/>
        <v>224.39334048712627</v>
      </c>
      <c r="AN114" s="272">
        <f t="shared" si="50"/>
        <v>448</v>
      </c>
      <c r="AO114" s="272">
        <f t="shared" si="44"/>
        <v>224.39334048712627</v>
      </c>
      <c r="AP114" s="272">
        <f t="shared" si="50"/>
        <v>448</v>
      </c>
      <c r="AQ114" s="272">
        <f t="shared" si="45"/>
        <v>224.39334048712627</v>
      </c>
      <c r="AR114" s="272">
        <f t="shared" si="50"/>
        <v>448</v>
      </c>
      <c r="AS114" s="508">
        <f t="shared" si="46"/>
        <v>224.39334048712627</v>
      </c>
    </row>
    <row r="115" spans="1:52" ht="12.75" customHeight="1">
      <c r="A115" s="96">
        <f>IF(MAX($F$104:F115)=$G$99,$G$99,F115)</f>
        <v>0</v>
      </c>
      <c r="B115" s="481">
        <v>12</v>
      </c>
      <c r="C115" s="96">
        <f t="shared" si="36"/>
        <v>1.7999999999999999E-2</v>
      </c>
      <c r="D115" s="96">
        <f t="shared" si="30"/>
        <v>0.20156872791821975</v>
      </c>
      <c r="E115" s="96">
        <f t="shared" si="31"/>
        <v>1</v>
      </c>
      <c r="F115" s="96">
        <f t="shared" si="32"/>
        <v>0</v>
      </c>
      <c r="G115" s="96">
        <f t="shared" si="35"/>
        <v>-0.29799999999999999</v>
      </c>
      <c r="I115" s="96">
        <f t="shared" si="33"/>
        <v>0</v>
      </c>
      <c r="J115" s="96">
        <f t="shared" si="34"/>
        <v>1.7999999999999999E-2</v>
      </c>
      <c r="X115" s="96">
        <v>4</v>
      </c>
      <c r="Y115" s="517">
        <v>0.25</v>
      </c>
      <c r="Z115" s="272">
        <f t="shared" si="47"/>
        <v>149</v>
      </c>
      <c r="AA115" s="519">
        <f t="shared" si="48"/>
        <v>122.92668226221207</v>
      </c>
      <c r="AB115" s="272">
        <f t="shared" si="37"/>
        <v>324</v>
      </c>
      <c r="AC115" s="272">
        <f t="shared" si="38"/>
        <v>147.60448979753843</v>
      </c>
      <c r="AD115" s="272">
        <f t="shared" si="49"/>
        <v>294</v>
      </c>
      <c r="AE115" s="272">
        <f t="shared" si="39"/>
        <v>148.9589572381542</v>
      </c>
      <c r="AF115" s="272">
        <f t="shared" si="50"/>
        <v>296</v>
      </c>
      <c r="AG115" s="272">
        <f t="shared" si="40"/>
        <v>148.8618660775125</v>
      </c>
      <c r="AH115" s="272">
        <f t="shared" si="50"/>
        <v>296</v>
      </c>
      <c r="AI115" s="272">
        <f t="shared" si="41"/>
        <v>148.8618660775125</v>
      </c>
      <c r="AJ115" s="272">
        <f t="shared" si="50"/>
        <v>296</v>
      </c>
      <c r="AK115" s="272">
        <f t="shared" si="42"/>
        <v>148.8618660775125</v>
      </c>
      <c r="AL115" s="272">
        <f t="shared" si="50"/>
        <v>296</v>
      </c>
      <c r="AM115" s="272">
        <f t="shared" si="43"/>
        <v>148.8618660775125</v>
      </c>
      <c r="AN115" s="272">
        <f t="shared" si="50"/>
        <v>296</v>
      </c>
      <c r="AO115" s="272">
        <f t="shared" si="44"/>
        <v>148.8618660775125</v>
      </c>
      <c r="AP115" s="272">
        <f t="shared" si="50"/>
        <v>296</v>
      </c>
      <c r="AQ115" s="272">
        <f t="shared" si="45"/>
        <v>148.8618660775125</v>
      </c>
      <c r="AR115" s="272">
        <f t="shared" si="50"/>
        <v>296</v>
      </c>
      <c r="AS115" s="508">
        <f t="shared" si="46"/>
        <v>148.8618660775125</v>
      </c>
    </row>
    <row r="116" spans="1:52" ht="12.75" customHeight="1">
      <c r="A116" s="96">
        <f>IF(MAX($F$104:F116)=$G$99,$G$99,F116)</f>
        <v>0</v>
      </c>
      <c r="B116" s="96">
        <v>13</v>
      </c>
      <c r="C116" s="96">
        <f t="shared" si="36"/>
        <v>1.95E-2</v>
      </c>
      <c r="D116" s="96">
        <f t="shared" si="30"/>
        <v>0.23656329873735515</v>
      </c>
      <c r="E116" s="96">
        <f t="shared" si="31"/>
        <v>1</v>
      </c>
      <c r="F116" s="96">
        <f t="shared" si="32"/>
        <v>0</v>
      </c>
      <c r="G116" s="96">
        <f t="shared" si="35"/>
        <v>-0.29799999999999999</v>
      </c>
      <c r="I116" s="96">
        <f t="shared" si="33"/>
        <v>0</v>
      </c>
      <c r="J116" s="96">
        <f t="shared" si="34"/>
        <v>1.95E-2</v>
      </c>
      <c r="X116" s="96">
        <v>5</v>
      </c>
      <c r="Y116" s="517">
        <v>0.3</v>
      </c>
      <c r="Z116" s="272">
        <f t="shared" si="47"/>
        <v>108</v>
      </c>
      <c r="AA116" s="519">
        <f t="shared" si="48"/>
        <v>85.36575157098062</v>
      </c>
      <c r="AB116" s="272">
        <f t="shared" si="37"/>
        <v>236</v>
      </c>
      <c r="AC116" s="272">
        <f t="shared" si="38"/>
        <v>105.78596065828154</v>
      </c>
      <c r="AD116" s="272">
        <f t="shared" si="49"/>
        <v>210</v>
      </c>
      <c r="AE116" s="272">
        <f t="shared" si="39"/>
        <v>107.164306380626</v>
      </c>
      <c r="AF116" s="272">
        <f t="shared" si="50"/>
        <v>212</v>
      </c>
      <c r="AG116" s="272">
        <f t="shared" si="40"/>
        <v>107.04862488138143</v>
      </c>
      <c r="AH116" s="272">
        <f t="shared" si="50"/>
        <v>214</v>
      </c>
      <c r="AI116" s="272">
        <f t="shared" si="41"/>
        <v>106.93469886718437</v>
      </c>
      <c r="AJ116" s="272">
        <f t="shared" si="50"/>
        <v>212</v>
      </c>
      <c r="AK116" s="272">
        <f t="shared" si="42"/>
        <v>107.04862488138143</v>
      </c>
      <c r="AL116" s="272">
        <f t="shared" si="50"/>
        <v>214</v>
      </c>
      <c r="AM116" s="272">
        <f t="shared" si="43"/>
        <v>106.93469886718437</v>
      </c>
      <c r="AN116" s="272">
        <f t="shared" si="50"/>
        <v>212</v>
      </c>
      <c r="AO116" s="272">
        <f t="shared" si="44"/>
        <v>107.04862488138143</v>
      </c>
      <c r="AP116" s="272">
        <f t="shared" si="50"/>
        <v>214</v>
      </c>
      <c r="AQ116" s="272">
        <f t="shared" si="45"/>
        <v>106.93469886718437</v>
      </c>
      <c r="AR116" s="272">
        <f t="shared" si="50"/>
        <v>212</v>
      </c>
      <c r="AS116" s="508">
        <f t="shared" si="46"/>
        <v>107.04862488138143</v>
      </c>
    </row>
    <row r="117" spans="1:52" ht="12.75" customHeight="1">
      <c r="A117" s="96">
        <f>IF(MAX($F$104:F117)=$G$99,$G$99,F117)</f>
        <v>0</v>
      </c>
      <c r="B117" s="481">
        <v>14</v>
      </c>
      <c r="C117" s="96">
        <f t="shared" si="36"/>
        <v>2.1000000000000001E-2</v>
      </c>
      <c r="D117" s="96">
        <f t="shared" si="30"/>
        <v>0.27435743522202138</v>
      </c>
      <c r="E117" s="96">
        <f t="shared" si="31"/>
        <v>1</v>
      </c>
      <c r="F117" s="96">
        <f t="shared" si="32"/>
        <v>0</v>
      </c>
      <c r="G117" s="96">
        <f t="shared" si="35"/>
        <v>-0.29799999999999999</v>
      </c>
      <c r="I117" s="96">
        <f t="shared" si="33"/>
        <v>0</v>
      </c>
      <c r="J117" s="96">
        <f t="shared" si="34"/>
        <v>2.1000000000000001E-2</v>
      </c>
      <c r="X117" s="96">
        <v>6</v>
      </c>
      <c r="Y117" s="517">
        <v>0.35</v>
      </c>
      <c r="Z117" s="272">
        <f t="shared" si="47"/>
        <v>82</v>
      </c>
      <c r="AA117" s="519">
        <f t="shared" si="48"/>
        <v>62.71769503174086</v>
      </c>
      <c r="AB117" s="272">
        <f t="shared" si="37"/>
        <v>182</v>
      </c>
      <c r="AC117" s="272">
        <f t="shared" si="38"/>
        <v>80.079118521021869</v>
      </c>
      <c r="AD117" s="272">
        <f t="shared" si="49"/>
        <v>160</v>
      </c>
      <c r="AE117" s="272">
        <f t="shared" si="39"/>
        <v>81.399555362146657</v>
      </c>
      <c r="AF117" s="272">
        <f t="shared" si="50"/>
        <v>162</v>
      </c>
      <c r="AG117" s="272">
        <f t="shared" si="40"/>
        <v>81.267459299892934</v>
      </c>
      <c r="AH117" s="272">
        <f t="shared" si="50"/>
        <v>162</v>
      </c>
      <c r="AI117" s="272">
        <f t="shared" si="41"/>
        <v>81.267459299892934</v>
      </c>
      <c r="AJ117" s="272">
        <f t="shared" si="50"/>
        <v>162</v>
      </c>
      <c r="AK117" s="272">
        <f t="shared" si="42"/>
        <v>81.267459299892934</v>
      </c>
      <c r="AL117" s="272">
        <f t="shared" si="50"/>
        <v>162</v>
      </c>
      <c r="AM117" s="272">
        <f t="shared" si="43"/>
        <v>81.267459299892934</v>
      </c>
      <c r="AN117" s="272">
        <f t="shared" si="50"/>
        <v>162</v>
      </c>
      <c r="AO117" s="272">
        <f t="shared" si="44"/>
        <v>81.267459299892934</v>
      </c>
      <c r="AP117" s="272">
        <f t="shared" si="50"/>
        <v>162</v>
      </c>
      <c r="AQ117" s="272">
        <f t="shared" si="45"/>
        <v>81.267459299892934</v>
      </c>
      <c r="AR117" s="272">
        <f t="shared" si="50"/>
        <v>162</v>
      </c>
      <c r="AS117" s="508">
        <f t="shared" si="46"/>
        <v>81.267459299892934</v>
      </c>
    </row>
    <row r="118" spans="1:52" ht="12.75" customHeight="1">
      <c r="A118" s="96">
        <f>IF(MAX($F$104:F118)=$G$99,$G$99,F118)</f>
        <v>0</v>
      </c>
      <c r="B118" s="481">
        <v>15</v>
      </c>
      <c r="C118" s="96">
        <f t="shared" si="36"/>
        <v>2.2500000000000003E-2</v>
      </c>
      <c r="D118" s="96">
        <f t="shared" si="30"/>
        <v>0.31495113737221847</v>
      </c>
      <c r="E118" s="96">
        <f t="shared" si="31"/>
        <v>1</v>
      </c>
      <c r="F118" s="96">
        <f t="shared" si="32"/>
        <v>0</v>
      </c>
      <c r="G118" s="96">
        <f t="shared" si="35"/>
        <v>-0.29799999999999999</v>
      </c>
      <c r="I118" s="96">
        <f t="shared" si="33"/>
        <v>0</v>
      </c>
      <c r="J118" s="96">
        <f t="shared" si="34"/>
        <v>2.2500000000000003E-2</v>
      </c>
      <c r="X118" s="96">
        <v>7</v>
      </c>
      <c r="Y118" s="517">
        <v>0.4</v>
      </c>
      <c r="Z118" s="272">
        <f t="shared" si="47"/>
        <v>65</v>
      </c>
      <c r="AA118" s="519">
        <f t="shared" si="48"/>
        <v>48.018235258676576</v>
      </c>
      <c r="AB118" s="272">
        <f t="shared" si="37"/>
        <v>146</v>
      </c>
      <c r="AC118" s="272">
        <f t="shared" si="38"/>
        <v>63.092466048092419</v>
      </c>
      <c r="AD118" s="272">
        <f t="shared" si="49"/>
        <v>126</v>
      </c>
      <c r="AE118" s="272">
        <f t="shared" si="39"/>
        <v>64.433252073819418</v>
      </c>
      <c r="AF118" s="272">
        <f t="shared" si="50"/>
        <v>128</v>
      </c>
      <c r="AG118" s="272">
        <f t="shared" si="40"/>
        <v>64.283665027355696</v>
      </c>
      <c r="AH118" s="272">
        <f t="shared" si="50"/>
        <v>128</v>
      </c>
      <c r="AI118" s="272">
        <f t="shared" si="41"/>
        <v>64.283665027355696</v>
      </c>
      <c r="AJ118" s="272">
        <f t="shared" si="50"/>
        <v>128</v>
      </c>
      <c r="AK118" s="272">
        <f t="shared" si="42"/>
        <v>64.283665027355696</v>
      </c>
      <c r="AL118" s="272">
        <f t="shared" si="50"/>
        <v>128</v>
      </c>
      <c r="AM118" s="272">
        <f t="shared" si="43"/>
        <v>64.283665027355696</v>
      </c>
      <c r="AN118" s="272">
        <f t="shared" si="50"/>
        <v>128</v>
      </c>
      <c r="AO118" s="272">
        <f t="shared" si="44"/>
        <v>64.283665027355696</v>
      </c>
      <c r="AP118" s="272">
        <f t="shared" si="50"/>
        <v>128</v>
      </c>
      <c r="AQ118" s="272">
        <f t="shared" si="45"/>
        <v>64.283665027355696</v>
      </c>
      <c r="AR118" s="272">
        <f t="shared" si="50"/>
        <v>128</v>
      </c>
      <c r="AS118" s="508">
        <f t="shared" si="46"/>
        <v>64.283665027355696</v>
      </c>
    </row>
    <row r="119" spans="1:52" ht="12.75" customHeight="1">
      <c r="A119" s="96">
        <f>IF(MAX($F$104:F119)=$G$99,$G$99,F119)</f>
        <v>0</v>
      </c>
      <c r="B119" s="96">
        <v>16</v>
      </c>
      <c r="C119" s="96">
        <f t="shared" si="36"/>
        <v>2.4000000000000004E-2</v>
      </c>
      <c r="D119" s="96">
        <f t="shared" si="30"/>
        <v>0.35834440518794641</v>
      </c>
      <c r="E119" s="96">
        <f t="shared" si="31"/>
        <v>1</v>
      </c>
      <c r="F119" s="96">
        <f t="shared" si="32"/>
        <v>0</v>
      </c>
      <c r="G119" s="96">
        <f t="shared" si="35"/>
        <v>-0.29799999999999999</v>
      </c>
      <c r="I119" s="96">
        <f t="shared" si="33"/>
        <v>0</v>
      </c>
      <c r="J119" s="96">
        <f t="shared" si="34"/>
        <v>2.4000000000000004E-2</v>
      </c>
      <c r="X119" s="96">
        <v>8</v>
      </c>
      <c r="Y119" s="517">
        <v>0.45</v>
      </c>
      <c r="Z119" s="272">
        <f t="shared" si="47"/>
        <v>53</v>
      </c>
      <c r="AA119" s="519">
        <f t="shared" si="48"/>
        <v>37.940334031546925</v>
      </c>
      <c r="AB119" s="272">
        <f t="shared" si="37"/>
        <v>122</v>
      </c>
      <c r="AC119" s="272">
        <f t="shared" si="38"/>
        <v>51.156220217594871</v>
      </c>
      <c r="AD119" s="272">
        <f t="shared" si="49"/>
        <v>102</v>
      </c>
      <c r="AE119" s="272">
        <f t="shared" si="39"/>
        <v>52.622221119339208</v>
      </c>
      <c r="AF119" s="272">
        <f t="shared" si="50"/>
        <v>104</v>
      </c>
      <c r="AG119" s="272">
        <f t="shared" si="40"/>
        <v>52.45453998538008</v>
      </c>
      <c r="AH119" s="272">
        <f t="shared" si="50"/>
        <v>104</v>
      </c>
      <c r="AI119" s="272">
        <f t="shared" si="41"/>
        <v>52.45453998538008</v>
      </c>
      <c r="AJ119" s="272">
        <f t="shared" si="50"/>
        <v>104</v>
      </c>
      <c r="AK119" s="272">
        <f t="shared" si="42"/>
        <v>52.45453998538008</v>
      </c>
      <c r="AL119" s="272">
        <f t="shared" si="50"/>
        <v>104</v>
      </c>
      <c r="AM119" s="272">
        <f t="shared" si="43"/>
        <v>52.45453998538008</v>
      </c>
      <c r="AN119" s="272">
        <f t="shared" si="50"/>
        <v>104</v>
      </c>
      <c r="AO119" s="272">
        <f t="shared" si="44"/>
        <v>52.45453998538008</v>
      </c>
      <c r="AP119" s="272">
        <f t="shared" si="50"/>
        <v>104</v>
      </c>
      <c r="AQ119" s="272">
        <f t="shared" si="45"/>
        <v>52.45453998538008</v>
      </c>
      <c r="AR119" s="272">
        <f t="shared" si="50"/>
        <v>104</v>
      </c>
      <c r="AS119" s="508">
        <f t="shared" si="46"/>
        <v>52.45453998538008</v>
      </c>
    </row>
    <row r="120" spans="1:52" ht="12.75" customHeight="1">
      <c r="A120" s="96">
        <f>IF(MAX($F$104:F120)=$G$99,$G$99,F120)</f>
        <v>0</v>
      </c>
      <c r="B120" s="481">
        <v>17</v>
      </c>
      <c r="C120" s="96">
        <f t="shared" si="36"/>
        <v>2.5500000000000005E-2</v>
      </c>
      <c r="D120" s="96">
        <f t="shared" si="30"/>
        <v>0.4045372386692051</v>
      </c>
      <c r="E120" s="96">
        <f t="shared" si="31"/>
        <v>1</v>
      </c>
      <c r="F120" s="96">
        <f t="shared" si="32"/>
        <v>0</v>
      </c>
      <c r="G120" s="96">
        <f t="shared" si="35"/>
        <v>-0.29799999999999999</v>
      </c>
      <c r="I120" s="96">
        <f t="shared" si="33"/>
        <v>0</v>
      </c>
      <c r="J120" s="96">
        <f t="shared" si="34"/>
        <v>2.5500000000000005E-2</v>
      </c>
      <c r="X120" s="96">
        <v>9</v>
      </c>
      <c r="Y120" s="517">
        <v>0.5</v>
      </c>
      <c r="Z120" s="272">
        <f t="shared" si="47"/>
        <v>44</v>
      </c>
      <c r="AA120" s="519">
        <f t="shared" si="48"/>
        <v>30.731670565553017</v>
      </c>
      <c r="AB120" s="272">
        <f t="shared" si="37"/>
        <v>104</v>
      </c>
      <c r="AC120" s="272">
        <f t="shared" si="38"/>
        <v>42.488177388157865</v>
      </c>
      <c r="AD120" s="272">
        <f t="shared" si="49"/>
        <v>84</v>
      </c>
      <c r="AE120" s="272">
        <f t="shared" si="39"/>
        <v>44.086485197884244</v>
      </c>
      <c r="AF120" s="272">
        <f t="shared" si="50"/>
        <v>86</v>
      </c>
      <c r="AG120" s="272">
        <f t="shared" si="40"/>
        <v>43.898574131852172</v>
      </c>
      <c r="AH120" s="272">
        <f t="shared" si="50"/>
        <v>86</v>
      </c>
      <c r="AI120" s="272">
        <f t="shared" si="41"/>
        <v>43.898574131852172</v>
      </c>
      <c r="AJ120" s="272">
        <f t="shared" si="50"/>
        <v>86</v>
      </c>
      <c r="AK120" s="272">
        <f t="shared" si="42"/>
        <v>43.898574131852172</v>
      </c>
      <c r="AL120" s="272">
        <f t="shared" si="50"/>
        <v>86</v>
      </c>
      <c r="AM120" s="272">
        <f t="shared" si="43"/>
        <v>43.898574131852172</v>
      </c>
      <c r="AN120" s="272">
        <f t="shared" si="50"/>
        <v>86</v>
      </c>
      <c r="AO120" s="272">
        <f t="shared" si="44"/>
        <v>43.898574131852172</v>
      </c>
      <c r="AP120" s="272">
        <f t="shared" si="50"/>
        <v>86</v>
      </c>
      <c r="AQ120" s="272">
        <f t="shared" si="45"/>
        <v>43.898574131852172</v>
      </c>
      <c r="AR120" s="272">
        <f t="shared" si="50"/>
        <v>86</v>
      </c>
      <c r="AS120" s="508">
        <f t="shared" si="46"/>
        <v>43.898574131852172</v>
      </c>
    </row>
    <row r="121" spans="1:52" ht="12.75" customHeight="1">
      <c r="A121" s="96">
        <f>IF(MAX($F$104:F121)=$G$99,$G$99,F121)</f>
        <v>0</v>
      </c>
      <c r="B121" s="481">
        <v>18</v>
      </c>
      <c r="C121" s="96">
        <f t="shared" si="36"/>
        <v>2.7000000000000007E-2</v>
      </c>
      <c r="D121" s="96">
        <f t="shared" si="30"/>
        <v>0.45352963781599476</v>
      </c>
      <c r="E121" s="96">
        <f t="shared" si="31"/>
        <v>1</v>
      </c>
      <c r="F121" s="96">
        <f t="shared" si="32"/>
        <v>0</v>
      </c>
      <c r="G121" s="96">
        <f t="shared" si="35"/>
        <v>-0.29799999999999999</v>
      </c>
      <c r="I121" s="96">
        <f t="shared" si="33"/>
        <v>0</v>
      </c>
      <c r="J121" s="96">
        <f t="shared" si="34"/>
        <v>2.7000000000000007E-2</v>
      </c>
      <c r="X121" s="96">
        <v>10</v>
      </c>
      <c r="Y121" s="517">
        <v>0.55000000000000004</v>
      </c>
      <c r="Z121" s="272">
        <f t="shared" si="47"/>
        <v>38</v>
      </c>
      <c r="AA121" s="519">
        <f t="shared" si="48"/>
        <v>25.398074847564473</v>
      </c>
      <c r="AB121" s="272">
        <f t="shared" si="37"/>
        <v>90</v>
      </c>
      <c r="AC121" s="272">
        <f t="shared" si="38"/>
        <v>35.986899198963158</v>
      </c>
      <c r="AD121" s="272">
        <f t="shared" si="49"/>
        <v>70</v>
      </c>
      <c r="AE121" s="272">
        <f t="shared" si="39"/>
        <v>37.730268544016212</v>
      </c>
      <c r="AF121" s="272">
        <f t="shared" si="50"/>
        <v>72</v>
      </c>
      <c r="AG121" s="272">
        <f t="shared" si="40"/>
        <v>37.518955978026561</v>
      </c>
      <c r="AH121" s="272">
        <f t="shared" si="50"/>
        <v>74</v>
      </c>
      <c r="AI121" s="272">
        <f t="shared" si="41"/>
        <v>37.31750650814017</v>
      </c>
      <c r="AJ121" s="272">
        <f t="shared" si="50"/>
        <v>74</v>
      </c>
      <c r="AK121" s="272">
        <f t="shared" si="42"/>
        <v>37.31750650814017</v>
      </c>
      <c r="AL121" s="272">
        <f t="shared" si="50"/>
        <v>74</v>
      </c>
      <c r="AM121" s="272">
        <f t="shared" si="43"/>
        <v>37.31750650814017</v>
      </c>
      <c r="AN121" s="272">
        <f t="shared" si="50"/>
        <v>74</v>
      </c>
      <c r="AO121" s="272">
        <f t="shared" si="44"/>
        <v>37.31750650814017</v>
      </c>
      <c r="AP121" s="272">
        <f t="shared" si="50"/>
        <v>74</v>
      </c>
      <c r="AQ121" s="272">
        <f t="shared" si="45"/>
        <v>37.31750650814017</v>
      </c>
      <c r="AR121" s="272">
        <f t="shared" si="50"/>
        <v>74</v>
      </c>
      <c r="AS121" s="508">
        <f t="shared" si="46"/>
        <v>37.31750650814017</v>
      </c>
    </row>
    <row r="122" spans="1:52" ht="12.75" customHeight="1">
      <c r="A122" s="96">
        <f>IF(MAX($F$104:F122)=$G$99,$G$99,F122)</f>
        <v>0</v>
      </c>
      <c r="B122" s="96">
        <v>19</v>
      </c>
      <c r="C122" s="96">
        <f t="shared" si="36"/>
        <v>2.8500000000000008E-2</v>
      </c>
      <c r="D122" s="96">
        <f t="shared" si="30"/>
        <v>0.50532160262831516</v>
      </c>
      <c r="E122" s="96">
        <f t="shared" si="31"/>
        <v>1</v>
      </c>
      <c r="F122" s="96">
        <f t="shared" si="32"/>
        <v>0</v>
      </c>
      <c r="G122" s="96">
        <f t="shared" si="35"/>
        <v>-0.29799999999999999</v>
      </c>
      <c r="I122" s="96">
        <f t="shared" si="33"/>
        <v>0</v>
      </c>
      <c r="J122" s="96">
        <f t="shared" si="34"/>
        <v>2.8500000000000008E-2</v>
      </c>
      <c r="X122" s="96">
        <v>11</v>
      </c>
      <c r="Y122" s="517">
        <v>0.6</v>
      </c>
      <c r="Z122" s="272">
        <f t="shared" si="47"/>
        <v>33</v>
      </c>
      <c r="AA122" s="519">
        <f t="shared" si="48"/>
        <v>21.341437892745155</v>
      </c>
      <c r="AB122" s="272">
        <f t="shared" si="37"/>
        <v>78</v>
      </c>
      <c r="AC122" s="272">
        <f t="shared" si="38"/>
        <v>31.041005676249188</v>
      </c>
      <c r="AD122" s="272">
        <f t="shared" si="49"/>
        <v>62</v>
      </c>
      <c r="AE122" s="272">
        <f t="shared" si="39"/>
        <v>32.51188763343275</v>
      </c>
      <c r="AF122" s="272">
        <f t="shared" si="50"/>
        <v>64</v>
      </c>
      <c r="AG122" s="272">
        <f t="shared" si="40"/>
        <v>32.293522006855511</v>
      </c>
      <c r="AH122" s="272">
        <f t="shared" si="50"/>
        <v>64</v>
      </c>
      <c r="AI122" s="272">
        <f t="shared" si="41"/>
        <v>32.293522006855511</v>
      </c>
      <c r="AJ122" s="272">
        <f t="shared" si="50"/>
        <v>64</v>
      </c>
      <c r="AK122" s="272">
        <f t="shared" si="42"/>
        <v>32.293522006855511</v>
      </c>
      <c r="AL122" s="272">
        <f t="shared" si="50"/>
        <v>64</v>
      </c>
      <c r="AM122" s="272">
        <f t="shared" si="43"/>
        <v>32.293522006855511</v>
      </c>
      <c r="AN122" s="272">
        <f t="shared" si="50"/>
        <v>64</v>
      </c>
      <c r="AO122" s="272">
        <f t="shared" si="44"/>
        <v>32.293522006855511</v>
      </c>
      <c r="AP122" s="272">
        <f t="shared" si="50"/>
        <v>64</v>
      </c>
      <c r="AQ122" s="272">
        <f t="shared" si="45"/>
        <v>32.293522006855511</v>
      </c>
      <c r="AR122" s="272">
        <f t="shared" si="50"/>
        <v>64</v>
      </c>
      <c r="AS122" s="508">
        <f t="shared" si="46"/>
        <v>32.293522006855511</v>
      </c>
    </row>
    <row r="123" spans="1:52" ht="12.75" customHeight="1">
      <c r="A123" s="96">
        <f>IF(MAX($F$104:F123)=$G$99,$G$99,F123)</f>
        <v>0</v>
      </c>
      <c r="B123" s="481">
        <v>20</v>
      </c>
      <c r="C123" s="96">
        <f t="shared" si="36"/>
        <v>3.0000000000000009E-2</v>
      </c>
      <c r="D123" s="96">
        <f t="shared" si="30"/>
        <v>0.55991313310616642</v>
      </c>
      <c r="E123" s="96">
        <f t="shared" si="31"/>
        <v>1</v>
      </c>
      <c r="F123" s="96">
        <f t="shared" si="32"/>
        <v>0</v>
      </c>
      <c r="G123" s="96">
        <f t="shared" si="35"/>
        <v>-0.29799999999999999</v>
      </c>
      <c r="I123" s="96">
        <f t="shared" si="33"/>
        <v>0</v>
      </c>
      <c r="J123" s="96">
        <f t="shared" si="34"/>
        <v>3.0000000000000009E-2</v>
      </c>
      <c r="X123" s="96">
        <v>12</v>
      </c>
      <c r="Y123" s="517">
        <v>0.65</v>
      </c>
      <c r="Z123" s="272">
        <f t="shared" si="47"/>
        <v>29</v>
      </c>
      <c r="AA123" s="519">
        <f t="shared" si="48"/>
        <v>18.184420452989947</v>
      </c>
      <c r="AB123" s="272">
        <f t="shared" si="37"/>
        <v>70</v>
      </c>
      <c r="AC123" s="272">
        <f t="shared" si="38"/>
        <v>27.013979253408067</v>
      </c>
      <c r="AD123" s="272">
        <f t="shared" si="49"/>
        <v>54</v>
      </c>
      <c r="AE123" s="272">
        <f t="shared" si="39"/>
        <v>28.565351260024244</v>
      </c>
      <c r="AF123" s="272">
        <f t="shared" si="50"/>
        <v>56</v>
      </c>
      <c r="AG123" s="272">
        <f t="shared" si="40"/>
        <v>28.329430727856341</v>
      </c>
      <c r="AH123" s="272">
        <f t="shared" si="50"/>
        <v>56</v>
      </c>
      <c r="AI123" s="272">
        <f t="shared" si="41"/>
        <v>28.329430727856341</v>
      </c>
      <c r="AJ123" s="272">
        <f t="shared" si="50"/>
        <v>56</v>
      </c>
      <c r="AK123" s="272">
        <f t="shared" si="42"/>
        <v>28.329430727856341</v>
      </c>
      <c r="AL123" s="272">
        <f t="shared" si="50"/>
        <v>56</v>
      </c>
      <c r="AM123" s="272">
        <f t="shared" si="43"/>
        <v>28.329430727856341</v>
      </c>
      <c r="AN123" s="272">
        <f t="shared" si="50"/>
        <v>56</v>
      </c>
      <c r="AO123" s="272">
        <f t="shared" si="44"/>
        <v>28.329430727856341</v>
      </c>
      <c r="AP123" s="272">
        <f t="shared" si="50"/>
        <v>56</v>
      </c>
      <c r="AQ123" s="272">
        <f t="shared" si="45"/>
        <v>28.329430727856341</v>
      </c>
      <c r="AR123" s="272">
        <f t="shared" si="50"/>
        <v>56</v>
      </c>
      <c r="AS123" s="508">
        <f t="shared" si="46"/>
        <v>28.329430727856341</v>
      </c>
      <c r="AU123" s="534"/>
      <c r="AV123" s="534"/>
      <c r="AW123" s="534"/>
      <c r="AX123" s="534"/>
      <c r="AY123" s="534"/>
      <c r="AZ123" s="534"/>
    </row>
    <row r="124" spans="1:52" ht="12.75" customHeight="1">
      <c r="A124" s="96">
        <f>IF(MAX($F$104:F124)=$G$99,$G$99,F124)</f>
        <v>0</v>
      </c>
      <c r="B124" s="481">
        <v>21</v>
      </c>
      <c r="C124" s="96">
        <f t="shared" si="36"/>
        <v>3.1500000000000007E-2</v>
      </c>
      <c r="D124" s="96">
        <f t="shared" si="30"/>
        <v>0.61730422924954842</v>
      </c>
      <c r="E124" s="96">
        <f t="shared" si="31"/>
        <v>1</v>
      </c>
      <c r="F124" s="96">
        <f t="shared" si="32"/>
        <v>0</v>
      </c>
      <c r="G124" s="96">
        <f t="shared" si="35"/>
        <v>-0.29799999999999999</v>
      </c>
      <c r="I124" s="96">
        <f t="shared" si="33"/>
        <v>0</v>
      </c>
      <c r="J124" s="96">
        <f t="shared" si="34"/>
        <v>3.1500000000000007E-2</v>
      </c>
      <c r="X124" s="96">
        <v>13</v>
      </c>
      <c r="Y124" s="517">
        <v>0.7</v>
      </c>
      <c r="Z124" s="272">
        <f t="shared" si="47"/>
        <v>26</v>
      </c>
      <c r="AA124" s="519">
        <f t="shared" si="48"/>
        <v>15.679423757935215</v>
      </c>
      <c r="AB124" s="272">
        <f t="shared" si="37"/>
        <v>62</v>
      </c>
      <c r="AC124" s="272">
        <f t="shared" si="38"/>
        <v>23.886284791909777</v>
      </c>
      <c r="AD124" s="272">
        <f t="shared" si="49"/>
        <v>46</v>
      </c>
      <c r="AE124" s="272">
        <f t="shared" si="39"/>
        <v>25.598063094966506</v>
      </c>
      <c r="AF124" s="272">
        <f t="shared" si="50"/>
        <v>48</v>
      </c>
      <c r="AG124" s="272">
        <f t="shared" si="40"/>
        <v>25.329359236458298</v>
      </c>
      <c r="AH124" s="272">
        <f t="shared" si="50"/>
        <v>50</v>
      </c>
      <c r="AI124" s="272">
        <f t="shared" si="41"/>
        <v>25.079866949662616</v>
      </c>
      <c r="AJ124" s="272">
        <f t="shared" si="50"/>
        <v>50</v>
      </c>
      <c r="AK124" s="272">
        <f t="shared" si="42"/>
        <v>25.079866949662616</v>
      </c>
      <c r="AL124" s="272">
        <f t="shared" si="50"/>
        <v>50</v>
      </c>
      <c r="AM124" s="272">
        <f t="shared" si="43"/>
        <v>25.079866949662616</v>
      </c>
      <c r="AN124" s="272">
        <f t="shared" si="50"/>
        <v>50</v>
      </c>
      <c r="AO124" s="272">
        <f t="shared" si="44"/>
        <v>25.079866949662616</v>
      </c>
      <c r="AP124" s="272">
        <f t="shared" si="50"/>
        <v>50</v>
      </c>
      <c r="AQ124" s="272">
        <f t="shared" si="45"/>
        <v>25.079866949662616</v>
      </c>
      <c r="AR124" s="272">
        <f t="shared" si="50"/>
        <v>50</v>
      </c>
      <c r="AS124" s="508">
        <f t="shared" si="46"/>
        <v>25.079866949662616</v>
      </c>
      <c r="AU124" s="534"/>
      <c r="AV124" s="534"/>
      <c r="AW124" s="534"/>
      <c r="AX124" s="534"/>
      <c r="AY124" s="534"/>
      <c r="AZ124" s="534"/>
    </row>
    <row r="125" spans="1:52" ht="12.75" customHeight="1">
      <c r="A125" s="96">
        <f>IF(MAX($F$104:F125)=$G$99,$G$99,F125)</f>
        <v>0</v>
      </c>
      <c r="B125" s="96">
        <v>22</v>
      </c>
      <c r="C125" s="96">
        <f t="shared" si="36"/>
        <v>3.3000000000000008E-2</v>
      </c>
      <c r="D125" s="96">
        <f t="shared" si="30"/>
        <v>0.67749489105846128</v>
      </c>
      <c r="E125" s="96">
        <f t="shared" si="31"/>
        <v>1</v>
      </c>
      <c r="F125" s="96">
        <f t="shared" si="32"/>
        <v>0</v>
      </c>
      <c r="G125" s="96">
        <f t="shared" si="35"/>
        <v>-0.29799999999999999</v>
      </c>
      <c r="I125" s="96">
        <f t="shared" si="33"/>
        <v>0</v>
      </c>
      <c r="J125" s="96">
        <f t="shared" si="34"/>
        <v>3.3000000000000008E-2</v>
      </c>
      <c r="X125" s="96">
        <v>14</v>
      </c>
      <c r="Y125" s="517">
        <v>0.75</v>
      </c>
      <c r="Z125" s="272">
        <f t="shared" si="47"/>
        <v>23</v>
      </c>
      <c r="AA125" s="519">
        <f t="shared" si="48"/>
        <v>13.658520251356897</v>
      </c>
      <c r="AB125" s="272">
        <f t="shared" si="37"/>
        <v>58</v>
      </c>
      <c r="AC125" s="272">
        <f t="shared" si="38"/>
        <v>21.112117978361077</v>
      </c>
      <c r="AD125" s="272">
        <f t="shared" si="49"/>
        <v>42</v>
      </c>
      <c r="AE125" s="272">
        <f t="shared" si="39"/>
        <v>22.826249360783539</v>
      </c>
      <c r="AF125" s="272">
        <f t="shared" si="50"/>
        <v>44</v>
      </c>
      <c r="AG125" s="272">
        <f t="shared" si="40"/>
        <v>22.55174665723591</v>
      </c>
      <c r="AH125" s="272">
        <f t="shared" si="50"/>
        <v>44</v>
      </c>
      <c r="AI125" s="272">
        <f t="shared" si="41"/>
        <v>22.55174665723591</v>
      </c>
      <c r="AJ125" s="272">
        <f t="shared" si="50"/>
        <v>44</v>
      </c>
      <c r="AK125" s="272">
        <f t="shared" si="42"/>
        <v>22.55174665723591</v>
      </c>
      <c r="AL125" s="272">
        <f t="shared" si="50"/>
        <v>44</v>
      </c>
      <c r="AM125" s="272">
        <f t="shared" si="43"/>
        <v>22.55174665723591</v>
      </c>
      <c r="AN125" s="272">
        <f t="shared" si="50"/>
        <v>44</v>
      </c>
      <c r="AO125" s="272">
        <f t="shared" si="44"/>
        <v>22.55174665723591</v>
      </c>
      <c r="AP125" s="272">
        <f t="shared" si="50"/>
        <v>44</v>
      </c>
      <c r="AQ125" s="272">
        <f t="shared" si="45"/>
        <v>22.55174665723591</v>
      </c>
      <c r="AR125" s="272">
        <f t="shared" si="50"/>
        <v>44</v>
      </c>
      <c r="AS125" s="508">
        <f t="shared" si="46"/>
        <v>22.55174665723591</v>
      </c>
      <c r="AU125" s="534"/>
      <c r="AV125" s="534"/>
      <c r="AW125" s="534"/>
      <c r="AX125" s="534"/>
      <c r="AY125" s="534"/>
      <c r="AZ125" s="534"/>
    </row>
    <row r="126" spans="1:52" ht="12.75" customHeight="1">
      <c r="A126" s="96">
        <f>IF(MAX($F$104:F126)=$G$99,$G$99,F126)</f>
        <v>0</v>
      </c>
      <c r="B126" s="481">
        <v>23</v>
      </c>
      <c r="C126" s="96">
        <f t="shared" si="36"/>
        <v>3.450000000000001E-2</v>
      </c>
      <c r="D126" s="96">
        <f t="shared" si="30"/>
        <v>0.74048511853290511</v>
      </c>
      <c r="E126" s="96">
        <f t="shared" si="31"/>
        <v>1</v>
      </c>
      <c r="F126" s="96">
        <f t="shared" si="32"/>
        <v>0</v>
      </c>
      <c r="G126" s="96">
        <f t="shared" si="35"/>
        <v>-0.29799999999999999</v>
      </c>
      <c r="I126" s="96">
        <f t="shared" si="33"/>
        <v>0</v>
      </c>
      <c r="J126" s="96">
        <f t="shared" si="34"/>
        <v>3.450000000000001E-2</v>
      </c>
      <c r="X126" s="96">
        <v>15</v>
      </c>
      <c r="Y126" s="517">
        <v>0.8</v>
      </c>
      <c r="Z126" s="272">
        <f t="shared" si="47"/>
        <v>21</v>
      </c>
      <c r="AA126" s="519">
        <f t="shared" si="48"/>
        <v>12.004558814669144</v>
      </c>
      <c r="AB126" s="272">
        <f t="shared" si="37"/>
        <v>52</v>
      </c>
      <c r="AC126" s="272">
        <f t="shared" si="38"/>
        <v>19.023837507593765</v>
      </c>
      <c r="AD126" s="272">
        <f t="shared" si="49"/>
        <v>38</v>
      </c>
      <c r="AE126" s="272">
        <f t="shared" si="39"/>
        <v>20.61288903473309</v>
      </c>
      <c r="AF126" s="272">
        <f t="shared" si="50"/>
        <v>40</v>
      </c>
      <c r="AG126" s="272">
        <f t="shared" si="40"/>
        <v>20.325036883129307</v>
      </c>
      <c r="AH126" s="272">
        <f t="shared" si="50"/>
        <v>40</v>
      </c>
      <c r="AI126" s="272">
        <f t="shared" si="41"/>
        <v>20.325036883129307</v>
      </c>
      <c r="AJ126" s="272">
        <f t="shared" si="50"/>
        <v>40</v>
      </c>
      <c r="AK126" s="272">
        <f t="shared" si="42"/>
        <v>20.325036883129307</v>
      </c>
      <c r="AL126" s="272">
        <f t="shared" si="50"/>
        <v>40</v>
      </c>
      <c r="AM126" s="272">
        <f t="shared" si="43"/>
        <v>20.325036883129307</v>
      </c>
      <c r="AN126" s="272">
        <f t="shared" si="50"/>
        <v>40</v>
      </c>
      <c r="AO126" s="272">
        <f t="shared" si="44"/>
        <v>20.325036883129307</v>
      </c>
      <c r="AP126" s="272">
        <f t="shared" si="50"/>
        <v>40</v>
      </c>
      <c r="AQ126" s="272">
        <f t="shared" si="45"/>
        <v>20.325036883129307</v>
      </c>
      <c r="AR126" s="272">
        <f t="shared" si="50"/>
        <v>40</v>
      </c>
      <c r="AS126" s="508">
        <f t="shared" si="46"/>
        <v>20.325036883129307</v>
      </c>
      <c r="AU126" s="534"/>
      <c r="AV126" s="534"/>
      <c r="AW126" s="534"/>
      <c r="AX126" s="534"/>
      <c r="AY126" s="534"/>
      <c r="AZ126" s="534"/>
    </row>
    <row r="127" spans="1:52" ht="12.75" customHeight="1">
      <c r="A127" s="96">
        <f>IF(MAX($F$104:F127)=$G$99,$G$99,F127)</f>
        <v>0</v>
      </c>
      <c r="B127" s="481">
        <v>24</v>
      </c>
      <c r="C127" s="96">
        <f t="shared" si="36"/>
        <v>3.6000000000000011E-2</v>
      </c>
      <c r="D127" s="96">
        <f t="shared" si="30"/>
        <v>0.80627491167287957</v>
      </c>
      <c r="E127" s="96">
        <f t="shared" si="31"/>
        <v>1</v>
      </c>
      <c r="F127" s="96">
        <f t="shared" si="32"/>
        <v>0</v>
      </c>
      <c r="G127" s="96">
        <f t="shared" si="35"/>
        <v>-0.29799999999999999</v>
      </c>
      <c r="I127" s="96">
        <f t="shared" si="33"/>
        <v>0</v>
      </c>
      <c r="J127" s="96">
        <f t="shared" si="34"/>
        <v>3.6000000000000011E-2</v>
      </c>
      <c r="X127" s="96">
        <v>16</v>
      </c>
      <c r="Y127" s="517">
        <v>0.85</v>
      </c>
      <c r="Z127" s="272">
        <f t="shared" si="47"/>
        <v>19</v>
      </c>
      <c r="AA127" s="519">
        <f t="shared" si="48"/>
        <v>10.633796043443951</v>
      </c>
      <c r="AB127" s="272">
        <f t="shared" si="37"/>
        <v>48</v>
      </c>
      <c r="AC127" s="272">
        <f t="shared" si="38"/>
        <v>17.178388963134346</v>
      </c>
      <c r="AD127" s="272">
        <f t="shared" si="49"/>
        <v>34</v>
      </c>
      <c r="AE127" s="272">
        <f t="shared" si="39"/>
        <v>18.850604170955123</v>
      </c>
      <c r="AF127" s="272">
        <f t="shared" si="50"/>
        <v>36</v>
      </c>
      <c r="AG127" s="272">
        <f t="shared" si="40"/>
        <v>18.539831928469155</v>
      </c>
      <c r="AH127" s="272">
        <f t="shared" si="50"/>
        <v>36</v>
      </c>
      <c r="AI127" s="272">
        <f t="shared" si="41"/>
        <v>18.539831928469155</v>
      </c>
      <c r="AJ127" s="272">
        <f t="shared" si="50"/>
        <v>36</v>
      </c>
      <c r="AK127" s="272">
        <f t="shared" si="42"/>
        <v>18.539831928469155</v>
      </c>
      <c r="AL127" s="272">
        <f t="shared" si="50"/>
        <v>36</v>
      </c>
      <c r="AM127" s="272">
        <f t="shared" si="43"/>
        <v>18.539831928469155</v>
      </c>
      <c r="AN127" s="272">
        <f t="shared" si="50"/>
        <v>36</v>
      </c>
      <c r="AO127" s="272">
        <f t="shared" si="44"/>
        <v>18.539831928469155</v>
      </c>
      <c r="AP127" s="272">
        <f t="shared" si="50"/>
        <v>36</v>
      </c>
      <c r="AQ127" s="272">
        <f t="shared" si="45"/>
        <v>18.539831928469155</v>
      </c>
      <c r="AR127" s="272">
        <f t="shared" si="50"/>
        <v>36</v>
      </c>
      <c r="AS127" s="508">
        <f t="shared" si="46"/>
        <v>18.539831928469155</v>
      </c>
    </row>
    <row r="128" spans="1:52" ht="12.75" customHeight="1">
      <c r="A128" s="96">
        <f>IF(MAX($F$104:F128)=$G$99,$G$99,F128)</f>
        <v>0</v>
      </c>
      <c r="B128" s="96">
        <v>25</v>
      </c>
      <c r="C128" s="96">
        <f t="shared" si="36"/>
        <v>3.7500000000000012E-2</v>
      </c>
      <c r="D128" s="96">
        <f t="shared" si="30"/>
        <v>0.87486427047838511</v>
      </c>
      <c r="E128" s="96">
        <f t="shared" si="31"/>
        <v>1</v>
      </c>
      <c r="F128" s="96">
        <f t="shared" si="32"/>
        <v>0</v>
      </c>
      <c r="G128" s="96">
        <f t="shared" si="35"/>
        <v>-0.29799999999999999</v>
      </c>
      <c r="I128" s="96">
        <f t="shared" si="33"/>
        <v>0</v>
      </c>
      <c r="J128" s="96">
        <f t="shared" si="34"/>
        <v>3.7500000000000012E-2</v>
      </c>
      <c r="X128" s="96">
        <v>17</v>
      </c>
      <c r="Y128" s="517">
        <v>0.9</v>
      </c>
      <c r="Z128" s="272">
        <f t="shared" si="47"/>
        <v>18</v>
      </c>
      <c r="AA128" s="519">
        <f t="shared" si="48"/>
        <v>9.4850835078867313</v>
      </c>
      <c r="AB128" s="272">
        <f t="shared" si="37"/>
        <v>44</v>
      </c>
      <c r="AC128" s="272">
        <f t="shared" si="38"/>
        <v>15.66093517863604</v>
      </c>
      <c r="AD128" s="272">
        <f t="shared" si="49"/>
        <v>30</v>
      </c>
      <c r="AE128" s="272">
        <f t="shared" si="39"/>
        <v>17.470371714856856</v>
      </c>
      <c r="AF128" s="272">
        <f t="shared" si="50"/>
        <v>32</v>
      </c>
      <c r="AG128" s="272">
        <f t="shared" si="40"/>
        <v>17.123277592047749</v>
      </c>
      <c r="AH128" s="272">
        <f t="shared" si="50"/>
        <v>34</v>
      </c>
      <c r="AI128" s="272">
        <f t="shared" si="41"/>
        <v>16.814273473475403</v>
      </c>
      <c r="AJ128" s="272">
        <f t="shared" si="50"/>
        <v>32</v>
      </c>
      <c r="AK128" s="272">
        <f t="shared" si="42"/>
        <v>17.123277592047749</v>
      </c>
      <c r="AL128" s="272">
        <f t="shared" si="50"/>
        <v>34</v>
      </c>
      <c r="AM128" s="272">
        <f t="shared" si="43"/>
        <v>16.814273473475403</v>
      </c>
      <c r="AN128" s="272">
        <f t="shared" si="50"/>
        <v>32</v>
      </c>
      <c r="AO128" s="272">
        <f t="shared" si="44"/>
        <v>17.123277592047749</v>
      </c>
      <c r="AP128" s="272">
        <f t="shared" si="50"/>
        <v>34</v>
      </c>
      <c r="AQ128" s="272">
        <f t="shared" si="45"/>
        <v>16.814273473475403</v>
      </c>
      <c r="AR128" s="272">
        <f t="shared" si="50"/>
        <v>32</v>
      </c>
      <c r="AS128" s="508">
        <f t="shared" si="46"/>
        <v>17.123277592047749</v>
      </c>
    </row>
    <row r="129" spans="1:45" ht="12.75" customHeight="1">
      <c r="A129" s="96">
        <f>IF(MAX($F$104:F129)=$G$99,$G$99,F129)</f>
        <v>0</v>
      </c>
      <c r="B129" s="481">
        <v>26</v>
      </c>
      <c r="C129" s="96">
        <f t="shared" si="36"/>
        <v>3.9000000000000014E-2</v>
      </c>
      <c r="D129" s="96">
        <f t="shared" si="30"/>
        <v>0.94625319494942128</v>
      </c>
      <c r="E129" s="96">
        <f t="shared" si="31"/>
        <v>1</v>
      </c>
      <c r="F129" s="96">
        <f t="shared" si="32"/>
        <v>0</v>
      </c>
      <c r="G129" s="96">
        <f t="shared" si="35"/>
        <v>-0.29799999999999999</v>
      </c>
      <c r="I129" s="96">
        <f t="shared" si="33"/>
        <v>0</v>
      </c>
      <c r="J129" s="96">
        <f t="shared" si="34"/>
        <v>3.9000000000000014E-2</v>
      </c>
      <c r="X129" s="96">
        <v>18</v>
      </c>
      <c r="Y129" s="517">
        <v>0.95</v>
      </c>
      <c r="Z129" s="272">
        <f t="shared" si="47"/>
        <v>16</v>
      </c>
      <c r="AA129" s="519">
        <f t="shared" si="48"/>
        <v>8.5129281345022214</v>
      </c>
      <c r="AB129" s="272">
        <f t="shared" si="37"/>
        <v>42</v>
      </c>
      <c r="AC129" s="272">
        <f t="shared" si="38"/>
        <v>14.226886720709961</v>
      </c>
      <c r="AD129" s="272">
        <f t="shared" si="49"/>
        <v>28</v>
      </c>
      <c r="AE129" s="272">
        <f t="shared" si="39"/>
        <v>16.032774948791431</v>
      </c>
      <c r="AF129" s="272">
        <f t="shared" si="50"/>
        <v>30</v>
      </c>
      <c r="AG129" s="272">
        <f t="shared" si="40"/>
        <v>15.679779600037735</v>
      </c>
      <c r="AH129" s="272">
        <f t="shared" si="50"/>
        <v>30</v>
      </c>
      <c r="AI129" s="272">
        <f t="shared" si="41"/>
        <v>15.679779600037735</v>
      </c>
      <c r="AJ129" s="272">
        <f t="shared" si="50"/>
        <v>30</v>
      </c>
      <c r="AK129" s="272">
        <f t="shared" si="42"/>
        <v>15.679779600037735</v>
      </c>
      <c r="AL129" s="272">
        <f t="shared" si="50"/>
        <v>30</v>
      </c>
      <c r="AM129" s="272">
        <f t="shared" si="43"/>
        <v>15.679779600037735</v>
      </c>
      <c r="AN129" s="272">
        <f t="shared" si="50"/>
        <v>30</v>
      </c>
      <c r="AO129" s="272">
        <f t="shared" si="44"/>
        <v>15.679779600037735</v>
      </c>
      <c r="AP129" s="272">
        <f t="shared" si="50"/>
        <v>30</v>
      </c>
      <c r="AQ129" s="272">
        <f t="shared" si="45"/>
        <v>15.679779600037735</v>
      </c>
      <c r="AR129" s="272">
        <f t="shared" si="50"/>
        <v>30</v>
      </c>
      <c r="AS129" s="508">
        <f t="shared" si="46"/>
        <v>15.679779600037735</v>
      </c>
    </row>
    <row r="130" spans="1:45" ht="12.75" customHeight="1">
      <c r="A130" s="96">
        <f>IF(MAX($F$104:F130)=$G$99,$G$99,F130)</f>
        <v>0</v>
      </c>
      <c r="B130" s="481">
        <v>27</v>
      </c>
      <c r="C130" s="96">
        <f t="shared" si="36"/>
        <v>4.0500000000000015E-2</v>
      </c>
      <c r="D130" s="96">
        <f t="shared" si="30"/>
        <v>1.0204416850859885</v>
      </c>
      <c r="E130" s="96">
        <f t="shared" si="31"/>
        <v>1</v>
      </c>
      <c r="F130" s="96">
        <f t="shared" si="32"/>
        <v>0</v>
      </c>
      <c r="G130" s="96">
        <f t="shared" si="35"/>
        <v>-0.29799999999999999</v>
      </c>
      <c r="I130" s="96">
        <f t="shared" si="33"/>
        <v>0</v>
      </c>
      <c r="J130" s="96">
        <f t="shared" si="34"/>
        <v>4.0500000000000015E-2</v>
      </c>
      <c r="X130" s="96">
        <v>19</v>
      </c>
      <c r="Y130" s="517">
        <v>1</v>
      </c>
      <c r="Z130" s="272">
        <f t="shared" si="47"/>
        <v>15</v>
      </c>
      <c r="AA130" s="519">
        <f t="shared" si="48"/>
        <v>7.6829176413882543</v>
      </c>
      <c r="AB130" s="272">
        <f t="shared" si="37"/>
        <v>40</v>
      </c>
      <c r="AC130" s="272">
        <f t="shared" si="38"/>
        <v>13.00802360520276</v>
      </c>
      <c r="AD130" s="272">
        <f t="shared" si="49"/>
        <v>26</v>
      </c>
      <c r="AE130" s="272">
        <f t="shared" si="39"/>
        <v>14.834253229559476</v>
      </c>
      <c r="AF130" s="272">
        <f t="shared" si="50"/>
        <v>28</v>
      </c>
      <c r="AG130" s="272">
        <f t="shared" si="40"/>
        <v>14.469579391284261</v>
      </c>
      <c r="AH130" s="272">
        <f t="shared" si="50"/>
        <v>28</v>
      </c>
      <c r="AI130" s="272">
        <f t="shared" si="41"/>
        <v>14.469579391284261</v>
      </c>
      <c r="AJ130" s="272">
        <f t="shared" si="50"/>
        <v>28</v>
      </c>
      <c r="AK130" s="272">
        <f t="shared" si="42"/>
        <v>14.469579391284261</v>
      </c>
      <c r="AL130" s="272">
        <f t="shared" si="50"/>
        <v>28</v>
      </c>
      <c r="AM130" s="272">
        <f t="shared" si="43"/>
        <v>14.469579391284261</v>
      </c>
      <c r="AN130" s="272">
        <f t="shared" si="50"/>
        <v>28</v>
      </c>
      <c r="AO130" s="272">
        <f t="shared" si="44"/>
        <v>14.469579391284261</v>
      </c>
      <c r="AP130" s="272">
        <f t="shared" si="50"/>
        <v>28</v>
      </c>
      <c r="AQ130" s="272">
        <f t="shared" si="45"/>
        <v>14.469579391284261</v>
      </c>
      <c r="AR130" s="272">
        <f t="shared" si="50"/>
        <v>28</v>
      </c>
      <c r="AS130" s="508">
        <f t="shared" si="46"/>
        <v>14.469579391284261</v>
      </c>
    </row>
    <row r="131" spans="1:45" ht="12.75" customHeight="1">
      <c r="A131" s="96">
        <f>IF(MAX($F$104:F131)=$G$99,$G$99,F131)</f>
        <v>0</v>
      </c>
      <c r="B131" s="96">
        <v>28</v>
      </c>
      <c r="C131" s="96">
        <f t="shared" ref="C131:C194" si="51">C130+$C$99</f>
        <v>4.2000000000000016E-2</v>
      </c>
      <c r="D131" s="96">
        <f t="shared" si="30"/>
        <v>1.0974297408880864</v>
      </c>
      <c r="E131" s="96">
        <f t="shared" si="31"/>
        <v>1</v>
      </c>
      <c r="F131" s="96">
        <f t="shared" si="32"/>
        <v>0</v>
      </c>
      <c r="G131" s="96">
        <f t="shared" si="35"/>
        <v>-0.29799999999999999</v>
      </c>
      <c r="I131" s="96">
        <f t="shared" si="33"/>
        <v>0</v>
      </c>
      <c r="J131" s="96">
        <f t="shared" si="34"/>
        <v>4.2000000000000016E-2</v>
      </c>
      <c r="X131" s="96">
        <v>20</v>
      </c>
      <c r="Y131" s="517">
        <v>1.1000000000000001</v>
      </c>
      <c r="Z131" s="272">
        <f t="shared" si="47"/>
        <v>13</v>
      </c>
      <c r="AA131" s="519">
        <f t="shared" si="48"/>
        <v>6.3495187118911183</v>
      </c>
      <c r="AB131" s="272">
        <f t="shared" si="37"/>
        <v>34</v>
      </c>
      <c r="AC131" s="272">
        <f t="shared" si="38"/>
        <v>11.255835961582706</v>
      </c>
      <c r="AD131" s="272">
        <f t="shared" si="49"/>
        <v>22</v>
      </c>
      <c r="AE131" s="272">
        <f t="shared" si="39"/>
        <v>13.018970932616151</v>
      </c>
      <c r="AF131" s="272">
        <f t="shared" si="50"/>
        <v>24</v>
      </c>
      <c r="AG131" s="272">
        <f t="shared" si="40"/>
        <v>12.608826482328491</v>
      </c>
      <c r="AH131" s="272">
        <f t="shared" si="50"/>
        <v>24</v>
      </c>
      <c r="AI131" s="272">
        <f t="shared" si="41"/>
        <v>12.608826482328491</v>
      </c>
      <c r="AJ131" s="272">
        <f t="shared" si="50"/>
        <v>24</v>
      </c>
      <c r="AK131" s="272">
        <f t="shared" si="42"/>
        <v>12.608826482328491</v>
      </c>
      <c r="AL131" s="272">
        <f t="shared" si="50"/>
        <v>24</v>
      </c>
      <c r="AM131" s="272">
        <f t="shared" si="43"/>
        <v>12.608826482328491</v>
      </c>
      <c r="AN131" s="272">
        <f t="shared" si="50"/>
        <v>24</v>
      </c>
      <c r="AO131" s="272">
        <f t="shared" si="44"/>
        <v>12.608826482328491</v>
      </c>
      <c r="AP131" s="272">
        <f t="shared" si="50"/>
        <v>24</v>
      </c>
      <c r="AQ131" s="272">
        <f t="shared" si="45"/>
        <v>12.608826482328491</v>
      </c>
      <c r="AR131" s="272">
        <f t="shared" si="50"/>
        <v>24</v>
      </c>
      <c r="AS131" s="508">
        <f t="shared" si="46"/>
        <v>12.608826482328491</v>
      </c>
    </row>
    <row r="132" spans="1:45" ht="12.75" customHeight="1">
      <c r="A132" s="96">
        <f>IF(MAX($F$104:F132)=$G$99,$G$99,F132)</f>
        <v>0</v>
      </c>
      <c r="B132" s="481">
        <v>29</v>
      </c>
      <c r="C132" s="96">
        <f t="shared" si="51"/>
        <v>4.3500000000000018E-2</v>
      </c>
      <c r="D132" s="96">
        <f t="shared" si="30"/>
        <v>1.1772173623557152</v>
      </c>
      <c r="E132" s="96">
        <f t="shared" si="31"/>
        <v>1</v>
      </c>
      <c r="F132" s="96">
        <f t="shared" si="32"/>
        <v>0</v>
      </c>
      <c r="G132" s="96">
        <f t="shared" si="35"/>
        <v>-0.29799999999999999</v>
      </c>
      <c r="I132" s="96">
        <f t="shared" si="33"/>
        <v>0</v>
      </c>
      <c r="J132" s="96">
        <f t="shared" si="34"/>
        <v>4.3500000000000018E-2</v>
      </c>
      <c r="X132" s="96">
        <v>21</v>
      </c>
      <c r="Y132" s="517">
        <v>1.2</v>
      </c>
      <c r="Z132" s="272">
        <f t="shared" si="47"/>
        <v>12</v>
      </c>
      <c r="AA132" s="519">
        <f t="shared" si="48"/>
        <v>5.3353594731862888</v>
      </c>
      <c r="AB132" s="272">
        <f t="shared" si="37"/>
        <v>32</v>
      </c>
      <c r="AC132" s="272">
        <f t="shared" si="38"/>
        <v>9.6318436455268603</v>
      </c>
      <c r="AD132" s="272">
        <f t="shared" si="49"/>
        <v>18</v>
      </c>
      <c r="AE132" s="272">
        <f t="shared" si="39"/>
        <v>11.853874482037334</v>
      </c>
      <c r="AF132" s="272">
        <f t="shared" si="50"/>
        <v>20</v>
      </c>
      <c r="AG132" s="272">
        <f t="shared" si="40"/>
        <v>11.351377359792085</v>
      </c>
      <c r="AH132" s="272">
        <f t="shared" si="50"/>
        <v>22</v>
      </c>
      <c r="AI132" s="272">
        <f t="shared" si="41"/>
        <v>10.939551964212184</v>
      </c>
      <c r="AJ132" s="272">
        <f t="shared" si="50"/>
        <v>20</v>
      </c>
      <c r="AK132" s="272">
        <f t="shared" si="42"/>
        <v>11.351377359792085</v>
      </c>
      <c r="AL132" s="272">
        <f t="shared" si="50"/>
        <v>22</v>
      </c>
      <c r="AM132" s="272">
        <f t="shared" si="43"/>
        <v>10.939551964212184</v>
      </c>
      <c r="AN132" s="272">
        <f t="shared" si="50"/>
        <v>20</v>
      </c>
      <c r="AO132" s="272">
        <f t="shared" si="44"/>
        <v>11.351377359792085</v>
      </c>
      <c r="AP132" s="272">
        <f t="shared" si="50"/>
        <v>22</v>
      </c>
      <c r="AQ132" s="272">
        <f t="shared" si="45"/>
        <v>10.939551964212184</v>
      </c>
      <c r="AR132" s="272">
        <f t="shared" si="50"/>
        <v>20</v>
      </c>
      <c r="AS132" s="508">
        <f t="shared" si="46"/>
        <v>11.351377359792085</v>
      </c>
    </row>
    <row r="133" spans="1:45" ht="12.75" customHeight="1">
      <c r="A133" s="96">
        <f>IF(MAX($F$104:F133)=$G$99,$G$99,F133)</f>
        <v>0</v>
      </c>
      <c r="B133" s="481">
        <v>30</v>
      </c>
      <c r="C133" s="96">
        <f t="shared" si="51"/>
        <v>4.5000000000000019E-2</v>
      </c>
      <c r="D133" s="96">
        <f t="shared" si="30"/>
        <v>1.2598045494888745</v>
      </c>
      <c r="E133" s="96">
        <f t="shared" si="31"/>
        <v>1</v>
      </c>
      <c r="F133" s="96">
        <f t="shared" si="32"/>
        <v>0</v>
      </c>
      <c r="G133" s="96">
        <f t="shared" si="35"/>
        <v>-0.29799999999999999</v>
      </c>
      <c r="I133" s="96">
        <f t="shared" si="33"/>
        <v>0</v>
      </c>
      <c r="J133" s="96">
        <f t="shared" si="34"/>
        <v>4.5000000000000019E-2</v>
      </c>
      <c r="X133" s="96">
        <v>22</v>
      </c>
      <c r="Y133" s="517">
        <v>1.3</v>
      </c>
      <c r="Z133" s="272">
        <f t="shared" si="47"/>
        <v>11</v>
      </c>
      <c r="AA133" s="519">
        <f t="shared" si="48"/>
        <v>4.5461051132474868</v>
      </c>
      <c r="AB133" s="272">
        <f t="shared" si="37"/>
        <v>30</v>
      </c>
      <c r="AC133" s="272">
        <f t="shared" si="38"/>
        <v>8.3733734254639387</v>
      </c>
      <c r="AD133" s="272">
        <f t="shared" si="49"/>
        <v>16</v>
      </c>
      <c r="AE133" s="272">
        <f t="shared" si="39"/>
        <v>10.636658350528373</v>
      </c>
      <c r="AF133" s="272">
        <f t="shared" si="50"/>
        <v>18</v>
      </c>
      <c r="AG133" s="272">
        <f t="shared" si="40"/>
        <v>10.1003427539253</v>
      </c>
      <c r="AH133" s="272">
        <f t="shared" si="50"/>
        <v>20</v>
      </c>
      <c r="AI133" s="272">
        <f t="shared" si="41"/>
        <v>9.6721795255033118</v>
      </c>
      <c r="AJ133" s="272">
        <f t="shared" si="50"/>
        <v>18</v>
      </c>
      <c r="AK133" s="272">
        <f t="shared" si="42"/>
        <v>10.1003427539253</v>
      </c>
      <c r="AL133" s="272">
        <f t="shared" si="50"/>
        <v>20</v>
      </c>
      <c r="AM133" s="272">
        <f t="shared" si="43"/>
        <v>9.6721795255033118</v>
      </c>
      <c r="AN133" s="272">
        <f t="shared" si="50"/>
        <v>18</v>
      </c>
      <c r="AO133" s="272">
        <f t="shared" si="44"/>
        <v>10.1003427539253</v>
      </c>
      <c r="AP133" s="272">
        <f t="shared" si="50"/>
        <v>20</v>
      </c>
      <c r="AQ133" s="272">
        <f t="shared" si="45"/>
        <v>9.6721795255033118</v>
      </c>
      <c r="AR133" s="272">
        <f t="shared" si="50"/>
        <v>18</v>
      </c>
      <c r="AS133" s="508">
        <f t="shared" si="46"/>
        <v>10.1003427539253</v>
      </c>
    </row>
    <row r="134" spans="1:45" ht="12.75" customHeight="1">
      <c r="A134" s="96">
        <f>IF(MAX($F$104:F134)=$G$99,$G$99,F134)</f>
        <v>0</v>
      </c>
      <c r="B134" s="96">
        <v>31</v>
      </c>
      <c r="C134" s="96">
        <f t="shared" si="51"/>
        <v>4.650000000000002E-2</v>
      </c>
      <c r="D134" s="96">
        <f t="shared" si="30"/>
        <v>1.345191302287565</v>
      </c>
      <c r="E134" s="96">
        <f t="shared" si="31"/>
        <v>1</v>
      </c>
      <c r="F134" s="96">
        <f t="shared" si="32"/>
        <v>0</v>
      </c>
      <c r="G134" s="96">
        <f t="shared" si="35"/>
        <v>-0.29799999999999999</v>
      </c>
      <c r="I134" s="96">
        <f t="shared" si="33"/>
        <v>0</v>
      </c>
      <c r="J134" s="96">
        <f t="shared" si="34"/>
        <v>4.650000000000002E-2</v>
      </c>
      <c r="X134" s="96">
        <v>23</v>
      </c>
      <c r="Y134" s="517">
        <v>1.4</v>
      </c>
      <c r="Z134" s="272">
        <f t="shared" si="47"/>
        <v>10</v>
      </c>
      <c r="AA134" s="519">
        <f t="shared" si="48"/>
        <v>3.9198559394838037</v>
      </c>
      <c r="AB134" s="272">
        <f t="shared" si="37"/>
        <v>28</v>
      </c>
      <c r="AC134" s="272">
        <f t="shared" si="38"/>
        <v>7.3824384649409511</v>
      </c>
      <c r="AD134" s="272">
        <f t="shared" si="49"/>
        <v>14</v>
      </c>
      <c r="AE134" s="272">
        <f t="shared" si="39"/>
        <v>9.7706192763142035</v>
      </c>
      <c r="AF134" s="272">
        <f t="shared" si="50"/>
        <v>16</v>
      </c>
      <c r="AG134" s="272">
        <f t="shared" si="40"/>
        <v>9.171404394078035</v>
      </c>
      <c r="AH134" s="272">
        <f t="shared" si="50"/>
        <v>18</v>
      </c>
      <c r="AI134" s="272">
        <f t="shared" si="41"/>
        <v>8.7089690072111026</v>
      </c>
      <c r="AJ134" s="272">
        <f t="shared" si="50"/>
        <v>16</v>
      </c>
      <c r="AK134" s="272">
        <f t="shared" si="42"/>
        <v>9.171404394078035</v>
      </c>
      <c r="AL134" s="272">
        <f t="shared" si="50"/>
        <v>18</v>
      </c>
      <c r="AM134" s="272">
        <f t="shared" si="43"/>
        <v>8.7089690072111026</v>
      </c>
      <c r="AN134" s="272">
        <f t="shared" si="50"/>
        <v>16</v>
      </c>
      <c r="AO134" s="272">
        <f t="shared" si="44"/>
        <v>9.171404394078035</v>
      </c>
      <c r="AP134" s="272">
        <f t="shared" si="50"/>
        <v>18</v>
      </c>
      <c r="AQ134" s="272">
        <f t="shared" si="45"/>
        <v>8.7089690072111026</v>
      </c>
      <c r="AR134" s="272">
        <f t="shared" si="50"/>
        <v>16</v>
      </c>
      <c r="AS134" s="508">
        <f t="shared" si="46"/>
        <v>9.171404394078035</v>
      </c>
    </row>
    <row r="135" spans="1:45" ht="12.75" customHeight="1">
      <c r="A135" s="96">
        <f>IF(MAX($F$104:F135)=$G$99,$G$99,F135)</f>
        <v>0</v>
      </c>
      <c r="B135" s="481">
        <v>32</v>
      </c>
      <c r="C135" s="96">
        <f t="shared" si="51"/>
        <v>4.8000000000000022E-2</v>
      </c>
      <c r="D135" s="96">
        <f t="shared" si="30"/>
        <v>1.4333776207517865</v>
      </c>
      <c r="E135" s="96">
        <f t="shared" si="31"/>
        <v>1</v>
      </c>
      <c r="F135" s="96">
        <f t="shared" si="32"/>
        <v>0</v>
      </c>
      <c r="G135" s="96">
        <f t="shared" si="35"/>
        <v>-0.29799999999999999</v>
      </c>
      <c r="I135" s="96">
        <f t="shared" si="33"/>
        <v>0</v>
      </c>
      <c r="J135" s="96">
        <f t="shared" si="34"/>
        <v>4.8000000000000022E-2</v>
      </c>
      <c r="X135" s="96">
        <v>24</v>
      </c>
      <c r="Y135" s="517">
        <v>1.5</v>
      </c>
      <c r="Z135" s="272">
        <f t="shared" si="47"/>
        <v>9</v>
      </c>
      <c r="AA135" s="519">
        <f t="shared" si="48"/>
        <v>3.4146300628392243</v>
      </c>
      <c r="AB135" s="272">
        <f t="shared" si="37"/>
        <v>24</v>
      </c>
      <c r="AC135" s="272">
        <f t="shared" si="38"/>
        <v>6.7807466860522121</v>
      </c>
      <c r="AD135" s="272">
        <f t="shared" si="49"/>
        <v>12</v>
      </c>
      <c r="AE135" s="272">
        <f t="shared" si="39"/>
        <v>9.2191001054656336</v>
      </c>
      <c r="AF135" s="272">
        <f t="shared" si="50"/>
        <v>14</v>
      </c>
      <c r="AG135" s="272">
        <f t="shared" si="40"/>
        <v>8.5112950140337027</v>
      </c>
      <c r="AH135" s="272">
        <f t="shared" si="50"/>
        <v>16</v>
      </c>
      <c r="AI135" s="272">
        <f t="shared" si="41"/>
        <v>7.9893122721746455</v>
      </c>
      <c r="AJ135" s="272">
        <f t="shared" si="50"/>
        <v>14</v>
      </c>
      <c r="AK135" s="272">
        <f t="shared" si="42"/>
        <v>8.5112950140337027</v>
      </c>
      <c r="AL135" s="272">
        <f t="shared" si="50"/>
        <v>16</v>
      </c>
      <c r="AM135" s="272">
        <f t="shared" si="43"/>
        <v>7.9893122721746455</v>
      </c>
      <c r="AN135" s="272">
        <f t="shared" si="50"/>
        <v>14</v>
      </c>
      <c r="AO135" s="272">
        <f t="shared" si="44"/>
        <v>8.5112950140337027</v>
      </c>
      <c r="AP135" s="272">
        <f t="shared" si="50"/>
        <v>16</v>
      </c>
      <c r="AQ135" s="272">
        <f t="shared" si="45"/>
        <v>7.9893122721746455</v>
      </c>
      <c r="AR135" s="272">
        <f t="shared" si="50"/>
        <v>14</v>
      </c>
      <c r="AS135" s="508">
        <f t="shared" si="46"/>
        <v>8.5112950140337027</v>
      </c>
    </row>
    <row r="136" spans="1:45" ht="12.75" customHeight="1">
      <c r="A136" s="96">
        <f>IF(MAX($F$104:F136)=$G$99,$G$99,F136)</f>
        <v>0</v>
      </c>
      <c r="B136" s="481">
        <v>33</v>
      </c>
      <c r="C136" s="96">
        <f t="shared" si="51"/>
        <v>4.9500000000000023E-2</v>
      </c>
      <c r="D136" s="96">
        <f t="shared" si="30"/>
        <v>1.5243635048815385</v>
      </c>
      <c r="E136" s="96">
        <f t="shared" si="31"/>
        <v>1</v>
      </c>
      <c r="F136" s="96">
        <f t="shared" si="32"/>
        <v>0</v>
      </c>
      <c r="G136" s="96">
        <f t="shared" si="35"/>
        <v>-0.29799999999999999</v>
      </c>
      <c r="I136" s="96">
        <f t="shared" si="33"/>
        <v>0</v>
      </c>
      <c r="J136" s="96">
        <f t="shared" si="34"/>
        <v>4.9500000000000023E-2</v>
      </c>
      <c r="X136" s="96">
        <v>25</v>
      </c>
      <c r="Y136" s="517">
        <v>1.6</v>
      </c>
      <c r="Z136" s="272">
        <f t="shared" si="47"/>
        <v>8</v>
      </c>
      <c r="AA136" s="519">
        <f t="shared" si="48"/>
        <v>3.001139703667286</v>
      </c>
      <c r="AB136" s="272">
        <f t="shared" si="37"/>
        <v>22</v>
      </c>
      <c r="AC136" s="272">
        <f t="shared" si="38"/>
        <v>6.1534979798693517</v>
      </c>
      <c r="AD136" s="272">
        <f t="shared" si="49"/>
        <v>12</v>
      </c>
      <c r="AE136" s="272">
        <f t="shared" si="39"/>
        <v>8.1027247020694038</v>
      </c>
      <c r="AF136" s="272">
        <f t="shared" si="50"/>
        <v>14</v>
      </c>
      <c r="AG136" s="272">
        <f t="shared" si="40"/>
        <v>7.4806303834280614</v>
      </c>
      <c r="AH136" s="272">
        <f t="shared" si="50"/>
        <v>14</v>
      </c>
      <c r="AI136" s="272">
        <f t="shared" si="41"/>
        <v>7.4806303834280614</v>
      </c>
      <c r="AJ136" s="272">
        <f t="shared" si="50"/>
        <v>14</v>
      </c>
      <c r="AK136" s="272">
        <f t="shared" si="42"/>
        <v>7.4806303834280614</v>
      </c>
      <c r="AL136" s="272">
        <f t="shared" si="50"/>
        <v>14</v>
      </c>
      <c r="AM136" s="272">
        <f t="shared" si="43"/>
        <v>7.4806303834280614</v>
      </c>
      <c r="AN136" s="272">
        <f t="shared" si="50"/>
        <v>14</v>
      </c>
      <c r="AO136" s="272">
        <f t="shared" si="44"/>
        <v>7.4806303834280614</v>
      </c>
      <c r="AP136" s="272">
        <f t="shared" si="50"/>
        <v>14</v>
      </c>
      <c r="AQ136" s="272">
        <f t="shared" si="45"/>
        <v>7.4806303834280614</v>
      </c>
      <c r="AR136" s="272">
        <f t="shared" si="50"/>
        <v>14</v>
      </c>
      <c r="AS136" s="508">
        <f t="shared" si="46"/>
        <v>7.4806303834280614</v>
      </c>
    </row>
    <row r="137" spans="1:45" ht="12.75" customHeight="1">
      <c r="A137" s="96">
        <f>IF(MAX($F$104:F137)=$G$99,$G$99,F137)</f>
        <v>0</v>
      </c>
      <c r="B137" s="96">
        <v>34</v>
      </c>
      <c r="C137" s="96">
        <f t="shared" si="51"/>
        <v>5.1000000000000024E-2</v>
      </c>
      <c r="D137" s="96">
        <f t="shared" si="30"/>
        <v>1.6181489546768215</v>
      </c>
      <c r="E137" s="96">
        <f t="shared" si="31"/>
        <v>1</v>
      </c>
      <c r="F137" s="96">
        <f t="shared" si="32"/>
        <v>0</v>
      </c>
      <c r="G137" s="96">
        <f t="shared" si="35"/>
        <v>-0.29799999999999999</v>
      </c>
      <c r="I137" s="96">
        <f t="shared" si="33"/>
        <v>0</v>
      </c>
      <c r="J137" s="96">
        <f t="shared" si="34"/>
        <v>5.1000000000000024E-2</v>
      </c>
      <c r="X137" s="96">
        <v>26</v>
      </c>
      <c r="Y137" s="517">
        <v>1.7</v>
      </c>
      <c r="Z137" s="272">
        <f t="shared" si="47"/>
        <v>8</v>
      </c>
      <c r="AA137" s="519">
        <f t="shared" si="48"/>
        <v>3</v>
      </c>
      <c r="AB137" s="272">
        <f t="shared" si="37"/>
        <v>22</v>
      </c>
      <c r="AC137" s="272">
        <f t="shared" si="38"/>
        <v>5.4508494216143761</v>
      </c>
      <c r="AD137" s="272">
        <f t="shared" si="49"/>
        <v>10</v>
      </c>
      <c r="AE137" s="272">
        <f t="shared" si="39"/>
        <v>7.9740284427167154</v>
      </c>
      <c r="AF137" s="272">
        <f t="shared" si="50"/>
        <v>12</v>
      </c>
      <c r="AG137" s="272">
        <f t="shared" si="40"/>
        <v>7.1775000821099217</v>
      </c>
      <c r="AH137" s="272">
        <f t="shared" si="50"/>
        <v>14</v>
      </c>
      <c r="AI137" s="272">
        <f t="shared" si="41"/>
        <v>6.626440754870532</v>
      </c>
      <c r="AJ137" s="272">
        <f t="shared" si="50"/>
        <v>12</v>
      </c>
      <c r="AK137" s="272">
        <f t="shared" si="42"/>
        <v>7.1775000821099217</v>
      </c>
      <c r="AL137" s="272">
        <f t="shared" si="50"/>
        <v>14</v>
      </c>
      <c r="AM137" s="272">
        <f t="shared" si="43"/>
        <v>6.626440754870532</v>
      </c>
      <c r="AN137" s="272">
        <f t="shared" si="50"/>
        <v>12</v>
      </c>
      <c r="AO137" s="272">
        <f t="shared" si="44"/>
        <v>7.1775000821099217</v>
      </c>
      <c r="AP137" s="272">
        <f t="shared" si="50"/>
        <v>14</v>
      </c>
      <c r="AQ137" s="272">
        <f t="shared" si="45"/>
        <v>6.626440754870532</v>
      </c>
      <c r="AR137" s="272">
        <f t="shared" si="50"/>
        <v>12</v>
      </c>
      <c r="AS137" s="508">
        <f t="shared" si="46"/>
        <v>7.1775000821099217</v>
      </c>
    </row>
    <row r="138" spans="1:45" ht="12.75" customHeight="1">
      <c r="A138" s="96">
        <f>IF(MAX($F$104:F138)=$G$99,$G$99,F138)</f>
        <v>0</v>
      </c>
      <c r="B138" s="481">
        <v>35</v>
      </c>
      <c r="C138" s="96">
        <f t="shared" si="51"/>
        <v>5.2500000000000026E-2</v>
      </c>
      <c r="D138" s="96">
        <f t="shared" si="30"/>
        <v>1.7147339701376352</v>
      </c>
      <c r="E138" s="96">
        <f t="shared" si="31"/>
        <v>1</v>
      </c>
      <c r="F138" s="96">
        <f t="shared" si="32"/>
        <v>0</v>
      </c>
      <c r="G138" s="96">
        <f t="shared" si="35"/>
        <v>-0.29799999999999999</v>
      </c>
      <c r="I138" s="96">
        <f t="shared" si="33"/>
        <v>0</v>
      </c>
      <c r="J138" s="96">
        <f t="shared" si="34"/>
        <v>5.2500000000000026E-2</v>
      </c>
      <c r="X138" s="96">
        <v>27</v>
      </c>
      <c r="Y138" s="517">
        <v>1.8</v>
      </c>
      <c r="Z138" s="272">
        <f t="shared" si="47"/>
        <v>7</v>
      </c>
      <c r="AA138" s="519">
        <f t="shared" si="48"/>
        <v>3</v>
      </c>
      <c r="AB138" s="272">
        <f t="shared" si="37"/>
        <v>22</v>
      </c>
      <c r="AC138" s="272">
        <f t="shared" si="38"/>
        <v>4.8620230952054149</v>
      </c>
      <c r="AD138" s="272">
        <f t="shared" si="49"/>
        <v>8</v>
      </c>
      <c r="AE138" s="272">
        <f t="shared" si="39"/>
        <v>8.2432824089737178</v>
      </c>
      <c r="AF138" s="272">
        <f t="shared" si="50"/>
        <v>10</v>
      </c>
      <c r="AG138" s="272">
        <f t="shared" si="40"/>
        <v>7.1126364813121326</v>
      </c>
      <c r="AH138" s="272">
        <f t="shared" si="50"/>
        <v>12</v>
      </c>
      <c r="AI138" s="272">
        <f t="shared" si="41"/>
        <v>6.4021528510177994</v>
      </c>
      <c r="AJ138" s="272">
        <f t="shared" si="50"/>
        <v>12</v>
      </c>
      <c r="AK138" s="272">
        <f t="shared" si="42"/>
        <v>6.4021528510177994</v>
      </c>
      <c r="AL138" s="272">
        <f t="shared" si="50"/>
        <v>12</v>
      </c>
      <c r="AM138" s="272">
        <f t="shared" si="43"/>
        <v>6.4021528510177994</v>
      </c>
      <c r="AN138" s="272">
        <f t="shared" si="50"/>
        <v>12</v>
      </c>
      <c r="AO138" s="272">
        <f t="shared" si="44"/>
        <v>6.4021528510177994</v>
      </c>
      <c r="AP138" s="272">
        <f t="shared" si="50"/>
        <v>12</v>
      </c>
      <c r="AQ138" s="272">
        <f t="shared" si="45"/>
        <v>6.4021528510177994</v>
      </c>
      <c r="AR138" s="272">
        <f t="shared" si="50"/>
        <v>12</v>
      </c>
      <c r="AS138" s="508">
        <f t="shared" si="46"/>
        <v>6.4021528510177994</v>
      </c>
    </row>
    <row r="139" spans="1:45" ht="12.75" customHeight="1">
      <c r="A139" s="96">
        <f>IF(MAX($F$104:F139)=$G$99,$G$99,F139)</f>
        <v>0</v>
      </c>
      <c r="B139" s="481">
        <v>36</v>
      </c>
      <c r="C139" s="96">
        <f t="shared" si="51"/>
        <v>5.4000000000000027E-2</v>
      </c>
      <c r="D139" s="96">
        <f t="shared" si="30"/>
        <v>1.8141185512639797</v>
      </c>
      <c r="E139" s="96">
        <f t="shared" si="31"/>
        <v>1</v>
      </c>
      <c r="F139" s="96">
        <f t="shared" si="32"/>
        <v>0</v>
      </c>
      <c r="G139" s="96">
        <f t="shared" si="35"/>
        <v>-0.29799999999999999</v>
      </c>
      <c r="I139" s="96">
        <f t="shared" si="33"/>
        <v>0</v>
      </c>
      <c r="J139" s="96">
        <f t="shared" si="34"/>
        <v>5.4000000000000027E-2</v>
      </c>
      <c r="X139" s="96">
        <v>28</v>
      </c>
      <c r="Y139" s="517">
        <v>1.9</v>
      </c>
      <c r="Z139" s="272">
        <f t="shared" si="47"/>
        <v>7</v>
      </c>
      <c r="AA139" s="519">
        <f t="shared" si="48"/>
        <v>3</v>
      </c>
      <c r="AB139" s="272">
        <f t="shared" si="37"/>
        <v>22</v>
      </c>
      <c r="AC139" s="272">
        <f t="shared" si="38"/>
        <v>4.3636993984669097</v>
      </c>
      <c r="AD139" s="272">
        <f t="shared" si="49"/>
        <v>8</v>
      </c>
      <c r="AE139" s="272">
        <f t="shared" si="39"/>
        <v>7.3984030484971885</v>
      </c>
      <c r="AF139" s="272">
        <f t="shared" si="50"/>
        <v>10</v>
      </c>
      <c r="AG139" s="272">
        <f t="shared" si="40"/>
        <v>6.3836404984629667</v>
      </c>
      <c r="AH139" s="272">
        <f t="shared" si="50"/>
        <v>12</v>
      </c>
      <c r="AI139" s="272">
        <f t="shared" si="41"/>
        <v>5.7459765200270594</v>
      </c>
      <c r="AJ139" s="272">
        <f t="shared" si="50"/>
        <v>10</v>
      </c>
      <c r="AK139" s="272">
        <f t="shared" si="42"/>
        <v>6.3836404984629667</v>
      </c>
      <c r="AL139" s="272">
        <f t="shared" si="50"/>
        <v>12</v>
      </c>
      <c r="AM139" s="272">
        <f t="shared" si="43"/>
        <v>5.7459765200270594</v>
      </c>
      <c r="AN139" s="272">
        <f t="shared" si="50"/>
        <v>10</v>
      </c>
      <c r="AO139" s="272">
        <f t="shared" si="44"/>
        <v>6.3836404984629667</v>
      </c>
      <c r="AP139" s="272">
        <f t="shared" si="50"/>
        <v>12</v>
      </c>
      <c r="AQ139" s="272">
        <f t="shared" si="45"/>
        <v>5.7459765200270594</v>
      </c>
      <c r="AR139" s="272">
        <f t="shared" si="50"/>
        <v>10</v>
      </c>
      <c r="AS139" s="508">
        <f t="shared" si="46"/>
        <v>6.3836404984629667</v>
      </c>
    </row>
    <row r="140" spans="1:45" ht="12.75" customHeight="1">
      <c r="A140" s="96">
        <f>IF(MAX($F$104:F140)=$G$99,$G$99,F140)</f>
        <v>0</v>
      </c>
      <c r="B140" s="96">
        <v>37</v>
      </c>
      <c r="C140" s="96">
        <f t="shared" si="51"/>
        <v>5.5500000000000028E-2</v>
      </c>
      <c r="D140" s="96">
        <f t="shared" si="30"/>
        <v>1.9163026980558553</v>
      </c>
      <c r="E140" s="96">
        <f t="shared" si="31"/>
        <v>1</v>
      </c>
      <c r="F140" s="96">
        <f t="shared" si="32"/>
        <v>0</v>
      </c>
      <c r="G140" s="96">
        <f t="shared" si="35"/>
        <v>-0.29799999999999999</v>
      </c>
      <c r="I140" s="96">
        <f t="shared" si="33"/>
        <v>0</v>
      </c>
      <c r="J140" s="96">
        <f t="shared" si="34"/>
        <v>5.5500000000000028E-2</v>
      </c>
      <c r="X140" s="96">
        <v>29</v>
      </c>
      <c r="Y140" s="517">
        <v>2</v>
      </c>
      <c r="Z140" s="272">
        <f t="shared" si="47"/>
        <v>6</v>
      </c>
      <c r="AA140" s="519">
        <f t="shared" si="48"/>
        <v>3</v>
      </c>
      <c r="AB140" s="272">
        <f t="shared" si="37"/>
        <v>22</v>
      </c>
      <c r="AC140" s="272">
        <f t="shared" si="38"/>
        <v>3.9382387071163865</v>
      </c>
      <c r="AD140" s="272">
        <f t="shared" si="49"/>
        <v>6</v>
      </c>
      <c r="AE140" s="272">
        <f t="shared" si="39"/>
        <v>8.3882630221961438</v>
      </c>
      <c r="AF140" s="272">
        <f t="shared" si="50"/>
        <v>8</v>
      </c>
      <c r="AG140" s="272">
        <f t="shared" si="40"/>
        <v>6.6770587512687127</v>
      </c>
      <c r="AH140" s="272">
        <f t="shared" si="50"/>
        <v>10</v>
      </c>
      <c r="AI140" s="272">
        <f t="shared" si="41"/>
        <v>5.7612355498628265</v>
      </c>
      <c r="AJ140" s="272">
        <f t="shared" si="50"/>
        <v>10</v>
      </c>
      <c r="AK140" s="272">
        <f t="shared" si="42"/>
        <v>5.7612355498628265</v>
      </c>
      <c r="AL140" s="272">
        <f t="shared" si="50"/>
        <v>10</v>
      </c>
      <c r="AM140" s="272">
        <f t="shared" si="43"/>
        <v>5.7612355498628265</v>
      </c>
      <c r="AN140" s="272">
        <f t="shared" si="50"/>
        <v>10</v>
      </c>
      <c r="AO140" s="272">
        <f t="shared" si="44"/>
        <v>5.7612355498628265</v>
      </c>
      <c r="AP140" s="272">
        <f t="shared" si="50"/>
        <v>10</v>
      </c>
      <c r="AQ140" s="272">
        <f t="shared" si="45"/>
        <v>5.7612355498628265</v>
      </c>
      <c r="AR140" s="272">
        <f t="shared" si="50"/>
        <v>10</v>
      </c>
      <c r="AS140" s="508">
        <f t="shared" si="46"/>
        <v>5.7612355498628265</v>
      </c>
    </row>
    <row r="141" spans="1:45" ht="12.75" customHeight="1">
      <c r="A141" s="96">
        <f>IF(MAX($F$104:F141)=$G$99,$G$99,F141)</f>
        <v>0</v>
      </c>
      <c r="B141" s="481">
        <v>38</v>
      </c>
      <c r="C141" s="96">
        <f t="shared" si="51"/>
        <v>5.700000000000003E-2</v>
      </c>
      <c r="D141" s="96">
        <f t="shared" si="30"/>
        <v>2.0212864105132615</v>
      </c>
      <c r="E141" s="96">
        <f t="shared" si="31"/>
        <v>1</v>
      </c>
      <c r="F141" s="96">
        <f t="shared" si="32"/>
        <v>0</v>
      </c>
      <c r="G141" s="96">
        <f t="shared" si="35"/>
        <v>-0.29799999999999999</v>
      </c>
      <c r="I141" s="96">
        <f t="shared" si="33"/>
        <v>0</v>
      </c>
      <c r="J141" s="96">
        <f t="shared" si="34"/>
        <v>5.700000000000003E-2</v>
      </c>
      <c r="Y141" s="488"/>
      <c r="Z141" s="488"/>
      <c r="AA141" s="535"/>
      <c r="AB141" s="537"/>
      <c r="AC141" s="537"/>
      <c r="AD141" s="537"/>
      <c r="AE141" s="537"/>
      <c r="AF141" s="537"/>
      <c r="AG141" s="537"/>
      <c r="AH141" s="537"/>
      <c r="AI141" s="537"/>
      <c r="AJ141" s="537"/>
      <c r="AK141" s="537"/>
      <c r="AL141" s="537"/>
      <c r="AM141" s="537"/>
      <c r="AN141" s="537"/>
      <c r="AO141" s="537"/>
      <c r="AP141" s="537"/>
      <c r="AQ141" s="537"/>
      <c r="AR141" s="537"/>
      <c r="AS141" s="538"/>
    </row>
    <row r="142" spans="1:45" ht="12.75" customHeight="1">
      <c r="A142" s="96">
        <f>IF(MAX($F$104:F142)=$G$99,$G$99,F142)</f>
        <v>0</v>
      </c>
      <c r="B142" s="481">
        <v>39</v>
      </c>
      <c r="C142" s="96">
        <f t="shared" si="51"/>
        <v>5.8500000000000031E-2</v>
      </c>
      <c r="D142" s="96">
        <f t="shared" si="30"/>
        <v>2.1290696886361986</v>
      </c>
      <c r="E142" s="96">
        <f t="shared" si="31"/>
        <v>1</v>
      </c>
      <c r="F142" s="96">
        <f t="shared" si="32"/>
        <v>0</v>
      </c>
      <c r="G142" s="96">
        <f t="shared" si="35"/>
        <v>-0.29799999999999999</v>
      </c>
      <c r="I142" s="96">
        <f t="shared" si="33"/>
        <v>0</v>
      </c>
      <c r="J142" s="96">
        <f t="shared" si="34"/>
        <v>5.8500000000000031E-2</v>
      </c>
    </row>
    <row r="143" spans="1:45" ht="12.75" customHeight="1">
      <c r="A143" s="96">
        <f>IF(MAX($F$104:F143)=$G$99,$G$99,F143)</f>
        <v>0</v>
      </c>
      <c r="B143" s="96">
        <v>40</v>
      </c>
      <c r="C143" s="96">
        <f t="shared" si="51"/>
        <v>6.0000000000000032E-2</v>
      </c>
      <c r="D143" s="96">
        <f t="shared" si="30"/>
        <v>2.2396525324246666</v>
      </c>
      <c r="E143" s="96">
        <f t="shared" si="31"/>
        <v>1</v>
      </c>
      <c r="F143" s="96">
        <f t="shared" si="32"/>
        <v>0</v>
      </c>
      <c r="G143" s="96">
        <f t="shared" si="35"/>
        <v>-0.29799999999999999</v>
      </c>
      <c r="I143" s="96">
        <f t="shared" si="33"/>
        <v>0</v>
      </c>
      <c r="J143" s="96">
        <f t="shared" si="34"/>
        <v>6.0000000000000032E-2</v>
      </c>
      <c r="Y143" s="600" t="s">
        <v>637</v>
      </c>
      <c r="Z143" s="540"/>
      <c r="AA143" s="540"/>
      <c r="AB143" s="540"/>
      <c r="AC143" s="540"/>
      <c r="AD143" s="540"/>
      <c r="AE143" s="540"/>
      <c r="AF143" s="540"/>
      <c r="AG143" s="540"/>
      <c r="AH143" s="540"/>
      <c r="AI143" s="540"/>
      <c r="AJ143" s="540"/>
      <c r="AK143" s="540"/>
      <c r="AL143" s="540"/>
      <c r="AM143" s="540"/>
      <c r="AN143" s="540"/>
      <c r="AO143" s="540"/>
      <c r="AP143" s="540"/>
      <c r="AQ143" s="540"/>
      <c r="AR143" s="540"/>
      <c r="AS143" s="541"/>
    </row>
    <row r="144" spans="1:45" ht="12.75" customHeight="1">
      <c r="A144" s="96">
        <f>IF(MAX($F$104:F144)=$G$99,$G$99,F144)</f>
        <v>0</v>
      </c>
      <c r="B144" s="481">
        <v>41</v>
      </c>
      <c r="C144" s="96">
        <f t="shared" si="51"/>
        <v>6.1500000000000034E-2</v>
      </c>
      <c r="D144" s="96">
        <f t="shared" si="30"/>
        <v>2.3530349418786654</v>
      </c>
      <c r="E144" s="96">
        <f t="shared" si="31"/>
        <v>1</v>
      </c>
      <c r="F144" s="96">
        <f t="shared" si="32"/>
        <v>0</v>
      </c>
      <c r="G144" s="96">
        <f t="shared" si="35"/>
        <v>-0.29799999999999999</v>
      </c>
      <c r="I144" s="96">
        <f t="shared" si="33"/>
        <v>0</v>
      </c>
      <c r="J144" s="96">
        <f t="shared" si="34"/>
        <v>6.1500000000000034E-2</v>
      </c>
      <c r="X144" s="511" t="s">
        <v>1195</v>
      </c>
      <c r="Y144" s="510" t="s">
        <v>1192</v>
      </c>
      <c r="Z144" s="511" t="s">
        <v>1195</v>
      </c>
      <c r="AA144" s="512" t="s">
        <v>1194</v>
      </c>
      <c r="AB144" s="513" t="s">
        <v>1206</v>
      </c>
      <c r="AC144" s="514" t="s">
        <v>1196</v>
      </c>
      <c r="AD144" s="514" t="s">
        <v>1207</v>
      </c>
      <c r="AE144" s="514" t="s">
        <v>1197</v>
      </c>
      <c r="AF144" s="514" t="s">
        <v>1208</v>
      </c>
      <c r="AG144" s="514" t="s">
        <v>1198</v>
      </c>
      <c r="AH144" s="514" t="s">
        <v>1209</v>
      </c>
      <c r="AI144" s="514" t="s">
        <v>1199</v>
      </c>
      <c r="AJ144" s="514" t="s">
        <v>1210</v>
      </c>
      <c r="AK144" s="514" t="s">
        <v>1200</v>
      </c>
      <c r="AL144" s="514" t="s">
        <v>1211</v>
      </c>
      <c r="AM144" s="514" t="s">
        <v>1201</v>
      </c>
      <c r="AN144" s="514" t="s">
        <v>1212</v>
      </c>
      <c r="AO144" s="514" t="s">
        <v>1202</v>
      </c>
      <c r="AP144" s="514" t="s">
        <v>1213</v>
      </c>
      <c r="AQ144" s="514" t="s">
        <v>1203</v>
      </c>
      <c r="AR144" s="514" t="s">
        <v>1214</v>
      </c>
      <c r="AS144" s="515" t="s">
        <v>1204</v>
      </c>
    </row>
    <row r="145" spans="1:45" ht="12.75" customHeight="1">
      <c r="A145" s="96">
        <f>IF(MAX($F$104:F145)=$G$99,$G$99,F145)</f>
        <v>0</v>
      </c>
      <c r="B145" s="481">
        <v>42</v>
      </c>
      <c r="C145" s="96">
        <f t="shared" si="51"/>
        <v>6.3000000000000028E-2</v>
      </c>
      <c r="D145" s="96">
        <f t="shared" si="30"/>
        <v>2.4692169169981946</v>
      </c>
      <c r="E145" s="96">
        <f t="shared" si="31"/>
        <v>1</v>
      </c>
      <c r="F145" s="96">
        <f t="shared" si="32"/>
        <v>0</v>
      </c>
      <c r="G145" s="96">
        <f t="shared" si="35"/>
        <v>-0.29799999999999999</v>
      </c>
      <c r="I145" s="96">
        <f t="shared" si="33"/>
        <v>0</v>
      </c>
      <c r="J145" s="96">
        <f t="shared" si="34"/>
        <v>6.3000000000000028E-2</v>
      </c>
      <c r="X145" s="96">
        <f>Z145</f>
        <v>5</v>
      </c>
      <c r="Y145" s="517">
        <v>1.5</v>
      </c>
      <c r="Z145" s="272">
        <f>(2+MAX(AP145,AR145))/2</f>
        <v>5</v>
      </c>
      <c r="AA145" s="518">
        <f>MAX(2*($C$83/Y145)^2,$C$79)</f>
        <v>3.4146300628392243</v>
      </c>
      <c r="AB145" s="492">
        <f>2*ROUNDUP(AA145,0)-2</f>
        <v>6</v>
      </c>
      <c r="AC145" s="493">
        <f t="shared" ref="AC145:AC208" si="52">MAX(2*(TINV(1-$C$80/100,AB145)/$Y145)^2,$C$79)</f>
        <v>5.3221134081889687</v>
      </c>
      <c r="AD145" s="493">
        <f>MAX(MIN(2*ROUNDUP(AC145,0)-2,AB145+2),AB145-2)</f>
        <v>8</v>
      </c>
      <c r="AE145" s="493">
        <f t="shared" ref="AE145:AE208" si="53">MAX(2*(TINV(1-$C$80/100,AD145)/$Y145)^2,$C$79)</f>
        <v>4.7268045002600969</v>
      </c>
      <c r="AF145" s="493">
        <f>MAX(MIN(2*ROUNDUP(AE145,0)-2,AD145+2),AD145-2)</f>
        <v>8</v>
      </c>
      <c r="AG145" s="493">
        <f t="shared" ref="AG145:AG208" si="54">MAX(2*(TINV(1-$C$80/100,AF145)/$Y145)^2,$C$79)</f>
        <v>4.7268045002600969</v>
      </c>
      <c r="AH145" s="493">
        <f>MAX(MIN(2*ROUNDUP(AG145,0)-2,AF145+2),AF145-2)</f>
        <v>8</v>
      </c>
      <c r="AI145" s="493">
        <f t="shared" ref="AI145:AI208" si="55">MAX(2*(TINV(1-$C$80/100,AH145)/$Y145)^2,$C$79)</f>
        <v>4.7268045002600969</v>
      </c>
      <c r="AJ145" s="493">
        <f>MAX(MIN(2*ROUNDUP(AI145,0)-2,AH145+2),AH145-2)</f>
        <v>8</v>
      </c>
      <c r="AK145" s="493">
        <f t="shared" ref="AK145:AK208" si="56">MAX(2*(TINV(1-$C$80/100,AJ145)/$Y145)^2,$C$79)</f>
        <v>4.7268045002600969</v>
      </c>
      <c r="AL145" s="493">
        <f>MAX(MIN(2*ROUNDUP(AK145,0)-2,AJ145+2),AJ145-2)</f>
        <v>8</v>
      </c>
      <c r="AM145" s="493">
        <f t="shared" ref="AM145:AM208" si="57">MAX(2*(TINV(1-$C$80/100,AL145)/$Y145)^2,$C$79)</f>
        <v>4.7268045002600969</v>
      </c>
      <c r="AN145" s="493">
        <f>MAX(MIN(2*ROUNDUP(AM145,0)-2,AL145+2),AL145-2)</f>
        <v>8</v>
      </c>
      <c r="AO145" s="493">
        <f t="shared" ref="AO145:AO208" si="58">MAX(2*(TINV(1-$C$80/100,AN145)/$Y145)^2,$C$79)</f>
        <v>4.7268045002600969</v>
      </c>
      <c r="AP145" s="493">
        <f>MAX(MIN(2*ROUNDUP(AO145,0)-2,AN145+2),AN145-2)</f>
        <v>8</v>
      </c>
      <c r="AQ145" s="493">
        <f t="shared" ref="AQ145:AQ208" si="59">MAX(2*(TINV(1-$C$80/100,AP145)/$Y145)^2,$C$79)</f>
        <v>4.7268045002600969</v>
      </c>
      <c r="AR145" s="493">
        <f>MAX(MIN(2*ROUNDUP(AQ145,0)-2,AP145+2),AP145-2)</f>
        <v>8</v>
      </c>
      <c r="AS145" s="494">
        <f t="shared" ref="AS145:AS208" si="60">MAX(2*(TINV(1-$C$80/100,AR145)/$Y145)^2,$C$79)</f>
        <v>4.7268045002600969</v>
      </c>
    </row>
    <row r="146" spans="1:45" ht="12.75" customHeight="1">
      <c r="A146" s="96">
        <f>IF(MAX($F$104:F146)=$G$99,$G$99,F146)</f>
        <v>0</v>
      </c>
      <c r="B146" s="96">
        <v>43</v>
      </c>
      <c r="C146" s="96">
        <f t="shared" si="51"/>
        <v>6.450000000000003E-2</v>
      </c>
      <c r="D146" s="96">
        <f t="shared" si="30"/>
        <v>2.5881984577832551</v>
      </c>
      <c r="E146" s="96">
        <f t="shared" si="31"/>
        <v>1</v>
      </c>
      <c r="F146" s="96">
        <f t="shared" si="32"/>
        <v>0</v>
      </c>
      <c r="G146" s="96">
        <f t="shared" si="35"/>
        <v>-0.29799999999999999</v>
      </c>
      <c r="I146" s="96">
        <f t="shared" si="33"/>
        <v>0</v>
      </c>
      <c r="J146" s="96">
        <f t="shared" si="34"/>
        <v>6.450000000000003E-2</v>
      </c>
      <c r="X146" s="96">
        <f t="shared" ref="X146:X209" si="61">Z146</f>
        <v>5</v>
      </c>
      <c r="Y146" s="517">
        <v>1.4950000000000001</v>
      </c>
      <c r="Z146" s="272">
        <f>(2+MAX(AP146,AR146))/2</f>
        <v>5</v>
      </c>
      <c r="AA146" s="519">
        <f>MAX(2*($C$83/Y146)^2,$C$79)</f>
        <v>3.4375085922476272</v>
      </c>
      <c r="AB146" s="516">
        <f t="shared" ref="AB146:AB209" si="62">2*ROUNDUP(AA146,0)-2</f>
        <v>6</v>
      </c>
      <c r="AC146" s="272">
        <f t="shared" si="52"/>
        <v>5.3577723597835272</v>
      </c>
      <c r="AD146" s="272">
        <f>MAX(MIN(2*ROUNDUP(AC146,0)-2,AB146+2),AB146-2)</f>
        <v>8</v>
      </c>
      <c r="AE146" s="272">
        <f t="shared" si="53"/>
        <v>4.7584747936086691</v>
      </c>
      <c r="AF146" s="272">
        <f>MAX(MIN(2*ROUNDUP(AE146,0)-2,AD146+2),AD146-2)</f>
        <v>8</v>
      </c>
      <c r="AG146" s="272">
        <f t="shared" si="54"/>
        <v>4.7584747936086691</v>
      </c>
      <c r="AH146" s="272">
        <f>MAX(MIN(2*ROUNDUP(AG146,0)-2,AF146+2),AF146-2)</f>
        <v>8</v>
      </c>
      <c r="AI146" s="272">
        <f t="shared" si="55"/>
        <v>4.7584747936086691</v>
      </c>
      <c r="AJ146" s="272">
        <f>MAX(MIN(2*ROUNDUP(AI146,0)-2,AH146+2),AH146-2)</f>
        <v>8</v>
      </c>
      <c r="AK146" s="272">
        <f t="shared" si="56"/>
        <v>4.7584747936086691</v>
      </c>
      <c r="AL146" s="272">
        <f>MAX(MIN(2*ROUNDUP(AK146,0)-2,AJ146+2),AJ146-2)</f>
        <v>8</v>
      </c>
      <c r="AM146" s="272">
        <f t="shared" si="57"/>
        <v>4.7584747936086691</v>
      </c>
      <c r="AN146" s="272">
        <f>MAX(MIN(2*ROUNDUP(AM146,0)-2,AL146+2),AL146-2)</f>
        <v>8</v>
      </c>
      <c r="AO146" s="272">
        <f t="shared" si="58"/>
        <v>4.7584747936086691</v>
      </c>
      <c r="AP146" s="272">
        <f>MAX(MIN(2*ROUNDUP(AO146,0)-2,AN146+2),AN146-2)</f>
        <v>8</v>
      </c>
      <c r="AQ146" s="272">
        <f t="shared" si="59"/>
        <v>4.7584747936086691</v>
      </c>
      <c r="AR146" s="272">
        <f>MAX(MIN(2*ROUNDUP(AQ146,0)-2,AP146+2),AP146-2)</f>
        <v>8</v>
      </c>
      <c r="AS146" s="508">
        <f t="shared" si="60"/>
        <v>4.7584747936086691</v>
      </c>
    </row>
    <row r="147" spans="1:45" ht="12.75" customHeight="1">
      <c r="A147" s="96">
        <f>IF(MAX($F$104:F147)=$G$99,$G$99,F147)</f>
        <v>0</v>
      </c>
      <c r="B147" s="481">
        <v>44</v>
      </c>
      <c r="C147" s="96">
        <f t="shared" si="51"/>
        <v>6.6000000000000031E-2</v>
      </c>
      <c r="D147" s="96">
        <f t="shared" si="30"/>
        <v>2.709979564233846</v>
      </c>
      <c r="E147" s="96">
        <f t="shared" si="31"/>
        <v>1</v>
      </c>
      <c r="F147" s="96">
        <f t="shared" si="32"/>
        <v>0</v>
      </c>
      <c r="G147" s="96">
        <f t="shared" si="35"/>
        <v>-0.29799999999999999</v>
      </c>
      <c r="I147" s="96">
        <f t="shared" si="33"/>
        <v>0</v>
      </c>
      <c r="J147" s="96">
        <f t="shared" si="34"/>
        <v>6.6000000000000031E-2</v>
      </c>
      <c r="X147" s="96">
        <f t="shared" si="61"/>
        <v>5</v>
      </c>
      <c r="Y147" s="96">
        <v>1.49</v>
      </c>
      <c r="Z147" s="272">
        <f t="shared" ref="Z147:Z210" si="63">(2+MAX(AP147,AR147))/2</f>
        <v>5</v>
      </c>
      <c r="AA147" s="519">
        <f t="shared" ref="AA147:AA210" si="64">MAX(2*($C$83/Y147)^2,$C$79)</f>
        <v>3.4606178286510767</v>
      </c>
      <c r="AB147" s="516">
        <f t="shared" si="62"/>
        <v>6</v>
      </c>
      <c r="AC147" s="272">
        <f t="shared" si="52"/>
        <v>5.3937908960971033</v>
      </c>
      <c r="AD147" s="272">
        <f t="shared" ref="AD147:AD210" si="65">MAX(MIN(2*ROUNDUP(AC147,0)-2,AB147+2),AB147-2)</f>
        <v>8</v>
      </c>
      <c r="AE147" s="272">
        <f t="shared" si="53"/>
        <v>4.7904644500631584</v>
      </c>
      <c r="AF147" s="272">
        <f t="shared" ref="AF147:AF210" si="66">MAX(MIN(2*ROUNDUP(AE147,0)-2,AD147+2),AD147-2)</f>
        <v>8</v>
      </c>
      <c r="AG147" s="272">
        <f t="shared" si="54"/>
        <v>4.7904644500631584</v>
      </c>
      <c r="AH147" s="272">
        <f t="shared" ref="AH147:AH210" si="67">MAX(MIN(2*ROUNDUP(AG147,0)-2,AF147+2),AF147-2)</f>
        <v>8</v>
      </c>
      <c r="AI147" s="272">
        <f t="shared" si="55"/>
        <v>4.7904644500631584</v>
      </c>
      <c r="AJ147" s="272">
        <f t="shared" ref="AJ147:AJ210" si="68">MAX(MIN(2*ROUNDUP(AI147,0)-2,AH147+2),AH147-2)</f>
        <v>8</v>
      </c>
      <c r="AK147" s="272">
        <f t="shared" si="56"/>
        <v>4.7904644500631584</v>
      </c>
      <c r="AL147" s="272">
        <f t="shared" ref="AL147:AL210" si="69">MAX(MIN(2*ROUNDUP(AK147,0)-2,AJ147+2),AJ147-2)</f>
        <v>8</v>
      </c>
      <c r="AM147" s="272">
        <f t="shared" si="57"/>
        <v>4.7904644500631584</v>
      </c>
      <c r="AN147" s="272">
        <f t="shared" ref="AN147:AN210" si="70">MAX(MIN(2*ROUNDUP(AM147,0)-2,AL147+2),AL147-2)</f>
        <v>8</v>
      </c>
      <c r="AO147" s="272">
        <f t="shared" si="58"/>
        <v>4.7904644500631584</v>
      </c>
      <c r="AP147" s="272">
        <f t="shared" ref="AP147:AP210" si="71">MAX(MIN(2*ROUNDUP(AO147,0)-2,AN147+2),AN147-2)</f>
        <v>8</v>
      </c>
      <c r="AQ147" s="272">
        <f t="shared" si="59"/>
        <v>4.7904644500631584</v>
      </c>
      <c r="AR147" s="272">
        <f t="shared" ref="AR147:AR210" si="72">MAX(MIN(2*ROUNDUP(AQ147,0)-2,AP147+2),AP147-2)</f>
        <v>8</v>
      </c>
      <c r="AS147" s="508">
        <f t="shared" si="60"/>
        <v>4.7904644500631584</v>
      </c>
    </row>
    <row r="148" spans="1:45" ht="12.75" customHeight="1">
      <c r="A148" s="96">
        <f>IF(MAX($F$104:F148)=$G$99,$G$99,F148)</f>
        <v>0</v>
      </c>
      <c r="B148" s="481">
        <v>45</v>
      </c>
      <c r="C148" s="96">
        <f t="shared" si="51"/>
        <v>6.7500000000000032E-2</v>
      </c>
      <c r="D148" s="96">
        <f t="shared" si="30"/>
        <v>2.8345602363499687</v>
      </c>
      <c r="E148" s="96">
        <f t="shared" si="31"/>
        <v>1</v>
      </c>
      <c r="F148" s="96">
        <f t="shared" si="32"/>
        <v>0</v>
      </c>
      <c r="G148" s="96">
        <f t="shared" si="35"/>
        <v>-0.29799999999999999</v>
      </c>
      <c r="I148" s="96">
        <f t="shared" si="33"/>
        <v>0</v>
      </c>
      <c r="J148" s="96">
        <f t="shared" si="34"/>
        <v>6.7500000000000032E-2</v>
      </c>
      <c r="X148" s="96">
        <f t="shared" si="61"/>
        <v>5</v>
      </c>
      <c r="Y148" s="517">
        <v>1.4850000000000001</v>
      </c>
      <c r="Z148" s="272">
        <f t="shared" si="63"/>
        <v>5</v>
      </c>
      <c r="AA148" s="519">
        <f t="shared" si="64"/>
        <v>3.4839608844395706</v>
      </c>
      <c r="AB148" s="516">
        <f t="shared" si="62"/>
        <v>6</v>
      </c>
      <c r="AC148" s="272">
        <f t="shared" si="52"/>
        <v>5.4301738681654594</v>
      </c>
      <c r="AD148" s="272">
        <f t="shared" si="65"/>
        <v>8</v>
      </c>
      <c r="AE148" s="272">
        <f t="shared" si="53"/>
        <v>4.8227777780431555</v>
      </c>
      <c r="AF148" s="272">
        <f t="shared" si="66"/>
        <v>8</v>
      </c>
      <c r="AG148" s="272">
        <f t="shared" si="54"/>
        <v>4.8227777780431555</v>
      </c>
      <c r="AH148" s="272">
        <f t="shared" si="67"/>
        <v>8</v>
      </c>
      <c r="AI148" s="272">
        <f t="shared" si="55"/>
        <v>4.8227777780431555</v>
      </c>
      <c r="AJ148" s="272">
        <f t="shared" si="68"/>
        <v>8</v>
      </c>
      <c r="AK148" s="272">
        <f t="shared" si="56"/>
        <v>4.8227777780431555</v>
      </c>
      <c r="AL148" s="272">
        <f t="shared" si="69"/>
        <v>8</v>
      </c>
      <c r="AM148" s="272">
        <f t="shared" si="57"/>
        <v>4.8227777780431555</v>
      </c>
      <c r="AN148" s="272">
        <f t="shared" si="70"/>
        <v>8</v>
      </c>
      <c r="AO148" s="272">
        <f t="shared" si="58"/>
        <v>4.8227777780431555</v>
      </c>
      <c r="AP148" s="272">
        <f t="shared" si="71"/>
        <v>8</v>
      </c>
      <c r="AQ148" s="272">
        <f t="shared" si="59"/>
        <v>4.8227777780431555</v>
      </c>
      <c r="AR148" s="272">
        <f t="shared" si="72"/>
        <v>8</v>
      </c>
      <c r="AS148" s="508">
        <f t="shared" si="60"/>
        <v>4.8227777780431555</v>
      </c>
    </row>
    <row r="149" spans="1:45" ht="12.75" customHeight="1">
      <c r="A149" s="96">
        <f>IF(MAX($F$104:F149)=$G$99,$G$99,F149)</f>
        <v>0</v>
      </c>
      <c r="B149" s="96">
        <v>46</v>
      </c>
      <c r="C149" s="96">
        <f t="shared" si="51"/>
        <v>6.9000000000000034E-2</v>
      </c>
      <c r="D149" s="96">
        <f t="shared" si="30"/>
        <v>2.9619404741316213</v>
      </c>
      <c r="E149" s="96">
        <f t="shared" si="31"/>
        <v>1</v>
      </c>
      <c r="F149" s="96">
        <f t="shared" si="32"/>
        <v>0</v>
      </c>
      <c r="G149" s="96">
        <f t="shared" si="35"/>
        <v>-0.29799999999999999</v>
      </c>
      <c r="I149" s="96">
        <f t="shared" si="33"/>
        <v>0</v>
      </c>
      <c r="J149" s="96">
        <f t="shared" si="34"/>
        <v>6.9000000000000034E-2</v>
      </c>
      <c r="X149" s="96">
        <f t="shared" si="61"/>
        <v>5</v>
      </c>
      <c r="Y149" s="96">
        <v>1.48</v>
      </c>
      <c r="Z149" s="272">
        <f t="shared" si="63"/>
        <v>5</v>
      </c>
      <c r="AA149" s="519">
        <f t="shared" si="64"/>
        <v>3.5075409246659297</v>
      </c>
      <c r="AB149" s="516">
        <f t="shared" si="62"/>
        <v>6</v>
      </c>
      <c r="AC149" s="272">
        <f t="shared" si="52"/>
        <v>5.4669262091057238</v>
      </c>
      <c r="AD149" s="272">
        <f t="shared" si="65"/>
        <v>8</v>
      </c>
      <c r="AE149" s="272">
        <f t="shared" si="53"/>
        <v>4.8554191588683429</v>
      </c>
      <c r="AF149" s="272">
        <f t="shared" si="66"/>
        <v>8</v>
      </c>
      <c r="AG149" s="272">
        <f t="shared" si="54"/>
        <v>4.8554191588683429</v>
      </c>
      <c r="AH149" s="272">
        <f t="shared" si="67"/>
        <v>8</v>
      </c>
      <c r="AI149" s="272">
        <f t="shared" si="55"/>
        <v>4.8554191588683429</v>
      </c>
      <c r="AJ149" s="272">
        <f t="shared" si="68"/>
        <v>8</v>
      </c>
      <c r="AK149" s="272">
        <f t="shared" si="56"/>
        <v>4.8554191588683429</v>
      </c>
      <c r="AL149" s="272">
        <f t="shared" si="69"/>
        <v>8</v>
      </c>
      <c r="AM149" s="272">
        <f t="shared" si="57"/>
        <v>4.8554191588683429</v>
      </c>
      <c r="AN149" s="272">
        <f t="shared" si="70"/>
        <v>8</v>
      </c>
      <c r="AO149" s="272">
        <f t="shared" si="58"/>
        <v>4.8554191588683429</v>
      </c>
      <c r="AP149" s="272">
        <f t="shared" si="71"/>
        <v>8</v>
      </c>
      <c r="AQ149" s="272">
        <f t="shared" si="59"/>
        <v>4.8554191588683429</v>
      </c>
      <c r="AR149" s="272">
        <f t="shared" si="72"/>
        <v>8</v>
      </c>
      <c r="AS149" s="508">
        <f t="shared" si="60"/>
        <v>4.8554191588683429</v>
      </c>
    </row>
    <row r="150" spans="1:45" ht="12.75" customHeight="1">
      <c r="A150" s="96">
        <f>IF(MAX($F$104:F150)=$G$99,$G$99,F150)</f>
        <v>0</v>
      </c>
      <c r="B150" s="481">
        <v>47</v>
      </c>
      <c r="C150" s="96">
        <f t="shared" si="51"/>
        <v>7.0500000000000035E-2</v>
      </c>
      <c r="D150" s="96">
        <f t="shared" si="30"/>
        <v>3.0921202775788053</v>
      </c>
      <c r="E150" s="96">
        <f t="shared" si="31"/>
        <v>1</v>
      </c>
      <c r="F150" s="96">
        <f t="shared" si="32"/>
        <v>0</v>
      </c>
      <c r="G150" s="96">
        <f t="shared" si="35"/>
        <v>-0.29799999999999999</v>
      </c>
      <c r="I150" s="96">
        <f t="shared" si="33"/>
        <v>0</v>
      </c>
      <c r="J150" s="96">
        <f t="shared" si="34"/>
        <v>7.0500000000000035E-2</v>
      </c>
      <c r="X150" s="96">
        <f t="shared" si="61"/>
        <v>5</v>
      </c>
      <c r="Y150" s="517">
        <v>1.4750000000000001</v>
      </c>
      <c r="Z150" s="272">
        <f t="shared" si="63"/>
        <v>5</v>
      </c>
      <c r="AA150" s="519">
        <f t="shared" si="64"/>
        <v>3.5313611681187029</v>
      </c>
      <c r="AB150" s="516">
        <f t="shared" si="62"/>
        <v>6</v>
      </c>
      <c r="AC150" s="272">
        <f t="shared" si="52"/>
        <v>5.504052935788649</v>
      </c>
      <c r="AD150" s="272">
        <f t="shared" si="65"/>
        <v>8</v>
      </c>
      <c r="AE150" s="272">
        <f t="shared" si="53"/>
        <v>4.8883930482437075</v>
      </c>
      <c r="AF150" s="272">
        <f t="shared" si="66"/>
        <v>8</v>
      </c>
      <c r="AG150" s="272">
        <f t="shared" si="54"/>
        <v>4.8883930482437075</v>
      </c>
      <c r="AH150" s="272">
        <f t="shared" si="67"/>
        <v>8</v>
      </c>
      <c r="AI150" s="272">
        <f t="shared" si="55"/>
        <v>4.8883930482437075</v>
      </c>
      <c r="AJ150" s="272">
        <f t="shared" si="68"/>
        <v>8</v>
      </c>
      <c r="AK150" s="272">
        <f t="shared" si="56"/>
        <v>4.8883930482437075</v>
      </c>
      <c r="AL150" s="272">
        <f t="shared" si="69"/>
        <v>8</v>
      </c>
      <c r="AM150" s="272">
        <f t="shared" si="57"/>
        <v>4.8883930482437075</v>
      </c>
      <c r="AN150" s="272">
        <f t="shared" si="70"/>
        <v>8</v>
      </c>
      <c r="AO150" s="272">
        <f t="shared" si="58"/>
        <v>4.8883930482437075</v>
      </c>
      <c r="AP150" s="272">
        <f t="shared" si="71"/>
        <v>8</v>
      </c>
      <c r="AQ150" s="272">
        <f t="shared" si="59"/>
        <v>4.8883930482437075</v>
      </c>
      <c r="AR150" s="272">
        <f t="shared" si="72"/>
        <v>8</v>
      </c>
      <c r="AS150" s="508">
        <f t="shared" si="60"/>
        <v>4.8883930482437075</v>
      </c>
    </row>
    <row r="151" spans="1:45" ht="12.75" customHeight="1">
      <c r="A151" s="96">
        <f>IF(MAX($F$104:F151)=$G$99,$G$99,F151)</f>
        <v>0</v>
      </c>
      <c r="B151" s="481">
        <v>48</v>
      </c>
      <c r="C151" s="96">
        <f t="shared" si="51"/>
        <v>7.2000000000000036E-2</v>
      </c>
      <c r="D151" s="96">
        <f t="shared" si="30"/>
        <v>3.2250996466915201</v>
      </c>
      <c r="E151" s="96">
        <f t="shared" si="31"/>
        <v>1</v>
      </c>
      <c r="F151" s="96">
        <f t="shared" si="32"/>
        <v>0</v>
      </c>
      <c r="G151" s="96">
        <f t="shared" si="35"/>
        <v>-0.29799999999999999</v>
      </c>
      <c r="I151" s="96">
        <f t="shared" si="33"/>
        <v>0</v>
      </c>
      <c r="J151" s="96">
        <f t="shared" si="34"/>
        <v>7.2000000000000036E-2</v>
      </c>
      <c r="X151" s="96">
        <f t="shared" si="61"/>
        <v>5</v>
      </c>
      <c r="Y151" s="96">
        <v>1.47</v>
      </c>
      <c r="Z151" s="272">
        <f t="shared" si="63"/>
        <v>5</v>
      </c>
      <c r="AA151" s="519">
        <f t="shared" si="64"/>
        <v>3.5554248884206832</v>
      </c>
      <c r="AB151" s="516">
        <f t="shared" si="62"/>
        <v>6</v>
      </c>
      <c r="AC151" s="272">
        <f t="shared" si="52"/>
        <v>5.5415591505507793</v>
      </c>
      <c r="AD151" s="272">
        <f t="shared" si="65"/>
        <v>8</v>
      </c>
      <c r="AE151" s="272">
        <f t="shared" si="53"/>
        <v>4.9217039777801919</v>
      </c>
      <c r="AF151" s="272">
        <f t="shared" si="66"/>
        <v>8</v>
      </c>
      <c r="AG151" s="272">
        <f t="shared" si="54"/>
        <v>4.9217039777801919</v>
      </c>
      <c r="AH151" s="272">
        <f t="shared" si="67"/>
        <v>8</v>
      </c>
      <c r="AI151" s="272">
        <f t="shared" si="55"/>
        <v>4.9217039777801919</v>
      </c>
      <c r="AJ151" s="272">
        <f t="shared" si="68"/>
        <v>8</v>
      </c>
      <c r="AK151" s="272">
        <f t="shared" si="56"/>
        <v>4.9217039777801919</v>
      </c>
      <c r="AL151" s="272">
        <f t="shared" si="69"/>
        <v>8</v>
      </c>
      <c r="AM151" s="272">
        <f t="shared" si="57"/>
        <v>4.9217039777801919</v>
      </c>
      <c r="AN151" s="272">
        <f t="shared" si="70"/>
        <v>8</v>
      </c>
      <c r="AO151" s="272">
        <f t="shared" si="58"/>
        <v>4.9217039777801919</v>
      </c>
      <c r="AP151" s="272">
        <f t="shared" si="71"/>
        <v>8</v>
      </c>
      <c r="AQ151" s="272">
        <f t="shared" si="59"/>
        <v>4.9217039777801919</v>
      </c>
      <c r="AR151" s="272">
        <f t="shared" si="72"/>
        <v>8</v>
      </c>
      <c r="AS151" s="508">
        <f t="shared" si="60"/>
        <v>4.9217039777801919</v>
      </c>
    </row>
    <row r="152" spans="1:45" ht="12.75" customHeight="1">
      <c r="A152" s="96">
        <f>IF(MAX($F$104:F152)=$G$99,$G$99,F152)</f>
        <v>0</v>
      </c>
      <c r="B152" s="96">
        <v>49</v>
      </c>
      <c r="C152" s="96">
        <f t="shared" si="51"/>
        <v>7.3500000000000038E-2</v>
      </c>
      <c r="D152" s="96">
        <f t="shared" si="30"/>
        <v>3.3608785814697648</v>
      </c>
      <c r="E152" s="96">
        <f t="shared" si="31"/>
        <v>1</v>
      </c>
      <c r="F152" s="96">
        <f t="shared" si="32"/>
        <v>0</v>
      </c>
      <c r="G152" s="96">
        <f t="shared" si="35"/>
        <v>-0.29799999999999999</v>
      </c>
      <c r="I152" s="96">
        <f t="shared" si="33"/>
        <v>0</v>
      </c>
      <c r="J152" s="96">
        <f t="shared" si="34"/>
        <v>7.3500000000000038E-2</v>
      </c>
      <c r="X152" s="96">
        <f t="shared" si="61"/>
        <v>5</v>
      </c>
      <c r="Y152" s="517">
        <v>1.4650000000000001</v>
      </c>
      <c r="Z152" s="272">
        <f t="shared" si="63"/>
        <v>5</v>
      </c>
      <c r="AA152" s="519">
        <f t="shared" si="64"/>
        <v>3.5797354151537011</v>
      </c>
      <c r="AB152" s="516">
        <f t="shared" si="62"/>
        <v>6</v>
      </c>
      <c r="AC152" s="272">
        <f t="shared" si="52"/>
        <v>5.5794500429475837</v>
      </c>
      <c r="AD152" s="272">
        <f t="shared" si="65"/>
        <v>8</v>
      </c>
      <c r="AE152" s="272">
        <f t="shared" si="53"/>
        <v>4.9553565565517204</v>
      </c>
      <c r="AF152" s="272">
        <f t="shared" si="66"/>
        <v>8</v>
      </c>
      <c r="AG152" s="272">
        <f t="shared" si="54"/>
        <v>4.9553565565517204</v>
      </c>
      <c r="AH152" s="272">
        <f t="shared" si="67"/>
        <v>8</v>
      </c>
      <c r="AI152" s="272">
        <f t="shared" si="55"/>
        <v>4.9553565565517204</v>
      </c>
      <c r="AJ152" s="272">
        <f t="shared" si="68"/>
        <v>8</v>
      </c>
      <c r="AK152" s="272">
        <f t="shared" si="56"/>
        <v>4.9553565565517204</v>
      </c>
      <c r="AL152" s="272">
        <f t="shared" si="69"/>
        <v>8</v>
      </c>
      <c r="AM152" s="272">
        <f t="shared" si="57"/>
        <v>4.9553565565517204</v>
      </c>
      <c r="AN152" s="272">
        <f t="shared" si="70"/>
        <v>8</v>
      </c>
      <c r="AO152" s="272">
        <f t="shared" si="58"/>
        <v>4.9553565565517204</v>
      </c>
      <c r="AP152" s="272">
        <f t="shared" si="71"/>
        <v>8</v>
      </c>
      <c r="AQ152" s="272">
        <f t="shared" si="59"/>
        <v>4.9553565565517204</v>
      </c>
      <c r="AR152" s="272">
        <f t="shared" si="72"/>
        <v>8</v>
      </c>
      <c r="AS152" s="508">
        <f t="shared" si="60"/>
        <v>4.9553565565517204</v>
      </c>
    </row>
    <row r="153" spans="1:45" ht="12.75" customHeight="1">
      <c r="A153" s="96">
        <f>IF(MAX($F$104:F153)=$G$99,$G$99,F153)</f>
        <v>0</v>
      </c>
      <c r="B153" s="481">
        <v>50</v>
      </c>
      <c r="C153" s="96">
        <f t="shared" si="51"/>
        <v>7.5000000000000039E-2</v>
      </c>
      <c r="D153" s="96">
        <f t="shared" si="30"/>
        <v>3.4994570819135413</v>
      </c>
      <c r="E153" s="96">
        <f t="shared" si="31"/>
        <v>1</v>
      </c>
      <c r="F153" s="96">
        <f t="shared" si="32"/>
        <v>0</v>
      </c>
      <c r="G153" s="96">
        <f t="shared" si="35"/>
        <v>-0.29799999999999999</v>
      </c>
      <c r="I153" s="96">
        <f t="shared" si="33"/>
        <v>0</v>
      </c>
      <c r="J153" s="96">
        <f t="shared" si="34"/>
        <v>7.5000000000000039E-2</v>
      </c>
      <c r="X153" s="96">
        <f t="shared" si="61"/>
        <v>5</v>
      </c>
      <c r="Y153" s="96">
        <v>1.46</v>
      </c>
      <c r="Z153" s="272">
        <f t="shared" si="63"/>
        <v>5</v>
      </c>
      <c r="AA153" s="519">
        <f t="shared" si="64"/>
        <v>3.6042961350104403</v>
      </c>
      <c r="AB153" s="516">
        <f t="shared" si="62"/>
        <v>6</v>
      </c>
      <c r="AC153" s="272">
        <f t="shared" si="52"/>
        <v>5.6177308915486854</v>
      </c>
      <c r="AD153" s="272">
        <f t="shared" si="65"/>
        <v>8</v>
      </c>
      <c r="AE153" s="272">
        <f t="shared" si="53"/>
        <v>4.9893554726896312</v>
      </c>
      <c r="AF153" s="272">
        <f t="shared" si="66"/>
        <v>8</v>
      </c>
      <c r="AG153" s="272">
        <f t="shared" si="54"/>
        <v>4.9893554726896312</v>
      </c>
      <c r="AH153" s="272">
        <f t="shared" si="67"/>
        <v>8</v>
      </c>
      <c r="AI153" s="272">
        <f t="shared" si="55"/>
        <v>4.9893554726896312</v>
      </c>
      <c r="AJ153" s="272">
        <f t="shared" si="68"/>
        <v>8</v>
      </c>
      <c r="AK153" s="272">
        <f t="shared" si="56"/>
        <v>4.9893554726896312</v>
      </c>
      <c r="AL153" s="272">
        <f t="shared" si="69"/>
        <v>8</v>
      </c>
      <c r="AM153" s="272">
        <f t="shared" si="57"/>
        <v>4.9893554726896312</v>
      </c>
      <c r="AN153" s="272">
        <f t="shared" si="70"/>
        <v>8</v>
      </c>
      <c r="AO153" s="272">
        <f t="shared" si="58"/>
        <v>4.9893554726896312</v>
      </c>
      <c r="AP153" s="272">
        <f t="shared" si="71"/>
        <v>8</v>
      </c>
      <c r="AQ153" s="272">
        <f t="shared" si="59"/>
        <v>4.9893554726896312</v>
      </c>
      <c r="AR153" s="272">
        <f t="shared" si="72"/>
        <v>8</v>
      </c>
      <c r="AS153" s="508">
        <f t="shared" si="60"/>
        <v>4.9893554726896312</v>
      </c>
    </row>
    <row r="154" spans="1:45" ht="12.75" customHeight="1">
      <c r="A154" s="96">
        <f>IF(MAX($F$104:F154)=$G$99,$G$99,F154)</f>
        <v>0</v>
      </c>
      <c r="B154" s="481">
        <v>51</v>
      </c>
      <c r="C154" s="96">
        <f t="shared" si="51"/>
        <v>7.650000000000004E-2</v>
      </c>
      <c r="D154" s="96">
        <f t="shared" si="30"/>
        <v>3.6408351480228482</v>
      </c>
      <c r="E154" s="96">
        <f t="shared" si="31"/>
        <v>1</v>
      </c>
      <c r="F154" s="96">
        <f t="shared" si="32"/>
        <v>0</v>
      </c>
      <c r="G154" s="96">
        <f t="shared" si="35"/>
        <v>-0.29799999999999999</v>
      </c>
      <c r="I154" s="96">
        <f t="shared" si="33"/>
        <v>0</v>
      </c>
      <c r="J154" s="96">
        <f t="shared" si="34"/>
        <v>7.650000000000004E-2</v>
      </c>
      <c r="X154" s="96">
        <f t="shared" si="61"/>
        <v>6</v>
      </c>
      <c r="Y154" s="517">
        <v>1.4550000000000001</v>
      </c>
      <c r="Z154" s="272">
        <f t="shared" si="63"/>
        <v>6</v>
      </c>
      <c r="AA154" s="519">
        <f t="shared" si="64"/>
        <v>3.6291104929739868</v>
      </c>
      <c r="AB154" s="516">
        <f t="shared" si="62"/>
        <v>6</v>
      </c>
      <c r="AC154" s="272">
        <f t="shared" si="52"/>
        <v>5.6564070657763494</v>
      </c>
      <c r="AD154" s="272">
        <f t="shared" si="65"/>
        <v>8</v>
      </c>
      <c r="AE154" s="272">
        <f t="shared" si="53"/>
        <v>5.0237054950155136</v>
      </c>
      <c r="AF154" s="272">
        <f t="shared" si="66"/>
        <v>10</v>
      </c>
      <c r="AG154" s="272">
        <f t="shared" si="54"/>
        <v>4.6901691771489578</v>
      </c>
      <c r="AH154" s="272">
        <f t="shared" si="67"/>
        <v>8</v>
      </c>
      <c r="AI154" s="272">
        <f t="shared" si="55"/>
        <v>5.0237054950155136</v>
      </c>
      <c r="AJ154" s="272">
        <f t="shared" si="68"/>
        <v>10</v>
      </c>
      <c r="AK154" s="272">
        <f t="shared" si="56"/>
        <v>4.6901691771489578</v>
      </c>
      <c r="AL154" s="272">
        <f t="shared" si="69"/>
        <v>8</v>
      </c>
      <c r="AM154" s="272">
        <f t="shared" si="57"/>
        <v>5.0237054950155136</v>
      </c>
      <c r="AN154" s="272">
        <f t="shared" si="70"/>
        <v>10</v>
      </c>
      <c r="AO154" s="272">
        <f t="shared" si="58"/>
        <v>4.6901691771489578</v>
      </c>
      <c r="AP154" s="272">
        <f t="shared" si="71"/>
        <v>8</v>
      </c>
      <c r="AQ154" s="272">
        <f t="shared" si="59"/>
        <v>5.0237054950155136</v>
      </c>
      <c r="AR154" s="272">
        <f t="shared" si="72"/>
        <v>10</v>
      </c>
      <c r="AS154" s="508">
        <f t="shared" si="60"/>
        <v>4.6901691771489578</v>
      </c>
    </row>
    <row r="155" spans="1:45" ht="12.75" customHeight="1">
      <c r="A155" s="96">
        <f>IF(MAX($F$104:F155)=$G$99,$G$99,F155)</f>
        <v>0</v>
      </c>
      <c r="B155" s="96">
        <v>52</v>
      </c>
      <c r="C155" s="96">
        <f t="shared" si="51"/>
        <v>7.8000000000000042E-2</v>
      </c>
      <c r="D155" s="96">
        <f t="shared" si="30"/>
        <v>3.7850127797976865</v>
      </c>
      <c r="E155" s="96">
        <f t="shared" si="31"/>
        <v>1</v>
      </c>
      <c r="F155" s="96">
        <f t="shared" si="32"/>
        <v>0</v>
      </c>
      <c r="G155" s="96">
        <f t="shared" si="35"/>
        <v>-0.29799999999999999</v>
      </c>
      <c r="I155" s="96">
        <f t="shared" si="33"/>
        <v>0</v>
      </c>
      <c r="J155" s="96">
        <f t="shared" si="34"/>
        <v>7.8000000000000042E-2</v>
      </c>
      <c r="X155" s="96">
        <f t="shared" si="61"/>
        <v>6</v>
      </c>
      <c r="Y155" s="96">
        <v>1.45</v>
      </c>
      <c r="Z155" s="272">
        <f t="shared" si="63"/>
        <v>6</v>
      </c>
      <c r="AA155" s="519">
        <f t="shared" si="64"/>
        <v>3.6541819935259241</v>
      </c>
      <c r="AB155" s="516">
        <f t="shared" si="62"/>
        <v>6</v>
      </c>
      <c r="AC155" s="272">
        <f t="shared" si="52"/>
        <v>5.6954840277884324</v>
      </c>
      <c r="AD155" s="272">
        <f t="shared" si="65"/>
        <v>8</v>
      </c>
      <c r="AE155" s="272">
        <f t="shared" si="53"/>
        <v>5.05841147471354</v>
      </c>
      <c r="AF155" s="272">
        <f t="shared" si="66"/>
        <v>10</v>
      </c>
      <c r="AG155" s="272">
        <f t="shared" si="54"/>
        <v>4.7225709404298577</v>
      </c>
      <c r="AH155" s="272">
        <f t="shared" si="67"/>
        <v>8</v>
      </c>
      <c r="AI155" s="272">
        <f t="shared" si="55"/>
        <v>5.05841147471354</v>
      </c>
      <c r="AJ155" s="272">
        <f t="shared" si="68"/>
        <v>10</v>
      </c>
      <c r="AK155" s="272">
        <f t="shared" si="56"/>
        <v>4.7225709404298577</v>
      </c>
      <c r="AL155" s="272">
        <f t="shared" si="69"/>
        <v>8</v>
      </c>
      <c r="AM155" s="272">
        <f t="shared" si="57"/>
        <v>5.05841147471354</v>
      </c>
      <c r="AN155" s="272">
        <f t="shared" si="70"/>
        <v>10</v>
      </c>
      <c r="AO155" s="272">
        <f t="shared" si="58"/>
        <v>4.7225709404298577</v>
      </c>
      <c r="AP155" s="272">
        <f t="shared" si="71"/>
        <v>8</v>
      </c>
      <c r="AQ155" s="272">
        <f t="shared" si="59"/>
        <v>5.05841147471354</v>
      </c>
      <c r="AR155" s="272">
        <f t="shared" si="72"/>
        <v>10</v>
      </c>
      <c r="AS155" s="508">
        <f t="shared" si="60"/>
        <v>4.7225709404298577</v>
      </c>
    </row>
    <row r="156" spans="1:45" ht="12.75" customHeight="1">
      <c r="A156" s="96">
        <f>IF(MAX($F$104:F156)=$G$99,$G$99,F156)</f>
        <v>0</v>
      </c>
      <c r="B156" s="481">
        <v>53</v>
      </c>
      <c r="C156" s="96">
        <f t="shared" si="51"/>
        <v>7.9500000000000043E-2</v>
      </c>
      <c r="D156" s="96">
        <f t="shared" si="30"/>
        <v>3.9319899772380551</v>
      </c>
      <c r="E156" s="96">
        <f t="shared" si="31"/>
        <v>1</v>
      </c>
      <c r="F156" s="96">
        <f t="shared" si="32"/>
        <v>0</v>
      </c>
      <c r="G156" s="96">
        <f t="shared" si="35"/>
        <v>-0.29799999999999999</v>
      </c>
      <c r="I156" s="96">
        <f t="shared" si="33"/>
        <v>0</v>
      </c>
      <c r="J156" s="96">
        <f t="shared" si="34"/>
        <v>7.9500000000000043E-2</v>
      </c>
      <c r="X156" s="96">
        <f t="shared" si="61"/>
        <v>6</v>
      </c>
      <c r="Y156" s="517">
        <v>1.4450000000000001</v>
      </c>
      <c r="Z156" s="272">
        <f t="shared" si="63"/>
        <v>6</v>
      </c>
      <c r="AA156" s="519">
        <f t="shared" si="64"/>
        <v>3.6795142018837201</v>
      </c>
      <c r="AB156" s="516">
        <f t="shared" si="62"/>
        <v>6</v>
      </c>
      <c r="AC156" s="272">
        <f t="shared" si="52"/>
        <v>5.734967334407</v>
      </c>
      <c r="AD156" s="272">
        <f t="shared" si="65"/>
        <v>8</v>
      </c>
      <c r="AE156" s="272">
        <f t="shared" si="53"/>
        <v>5.0934783470433631</v>
      </c>
      <c r="AF156" s="272">
        <f t="shared" si="66"/>
        <v>10</v>
      </c>
      <c r="AG156" s="272">
        <f t="shared" si="54"/>
        <v>4.755309635782031</v>
      </c>
      <c r="AH156" s="272">
        <f t="shared" si="67"/>
        <v>8</v>
      </c>
      <c r="AI156" s="272">
        <f t="shared" si="55"/>
        <v>5.0934783470433631</v>
      </c>
      <c r="AJ156" s="272">
        <f t="shared" si="68"/>
        <v>10</v>
      </c>
      <c r="AK156" s="272">
        <f t="shared" si="56"/>
        <v>4.755309635782031</v>
      </c>
      <c r="AL156" s="272">
        <f t="shared" si="69"/>
        <v>8</v>
      </c>
      <c r="AM156" s="272">
        <f t="shared" si="57"/>
        <v>5.0934783470433631</v>
      </c>
      <c r="AN156" s="272">
        <f t="shared" si="70"/>
        <v>10</v>
      </c>
      <c r="AO156" s="272">
        <f t="shared" si="58"/>
        <v>4.755309635782031</v>
      </c>
      <c r="AP156" s="272">
        <f t="shared" si="71"/>
        <v>8</v>
      </c>
      <c r="AQ156" s="272">
        <f t="shared" si="59"/>
        <v>5.0934783470433631</v>
      </c>
      <c r="AR156" s="272">
        <f t="shared" si="72"/>
        <v>10</v>
      </c>
      <c r="AS156" s="508">
        <f t="shared" si="60"/>
        <v>4.755309635782031</v>
      </c>
    </row>
    <row r="157" spans="1:45" ht="12.75" customHeight="1">
      <c r="A157" s="96">
        <f>IF(MAX($F$104:F157)=$G$99,$G$99,F157)</f>
        <v>0</v>
      </c>
      <c r="B157" s="481">
        <v>54</v>
      </c>
      <c r="C157" s="96">
        <f t="shared" si="51"/>
        <v>8.1000000000000044E-2</v>
      </c>
      <c r="D157" s="96">
        <f t="shared" si="30"/>
        <v>4.081766740343955</v>
      </c>
      <c r="E157" s="96">
        <f t="shared" si="31"/>
        <v>1</v>
      </c>
      <c r="F157" s="96">
        <f t="shared" si="32"/>
        <v>0</v>
      </c>
      <c r="G157" s="96">
        <f t="shared" si="35"/>
        <v>-0.29799999999999999</v>
      </c>
      <c r="I157" s="96">
        <f t="shared" si="33"/>
        <v>0</v>
      </c>
      <c r="J157" s="96">
        <f t="shared" si="34"/>
        <v>8.1000000000000044E-2</v>
      </c>
      <c r="X157" s="96">
        <f t="shared" si="61"/>
        <v>6</v>
      </c>
      <c r="Y157" s="96">
        <v>1.44</v>
      </c>
      <c r="Z157" s="272">
        <f t="shared" si="63"/>
        <v>6</v>
      </c>
      <c r="AA157" s="519">
        <f t="shared" si="64"/>
        <v>3.7051107452682555</v>
      </c>
      <c r="AB157" s="516">
        <f t="shared" si="62"/>
        <v>6</v>
      </c>
      <c r="AC157" s="272">
        <f t="shared" si="52"/>
        <v>5.7748626390939339</v>
      </c>
      <c r="AD157" s="272">
        <f t="shared" si="65"/>
        <v>8</v>
      </c>
      <c r="AE157" s="272">
        <f t="shared" si="53"/>
        <v>5.1289111330947241</v>
      </c>
      <c r="AF157" s="272">
        <f t="shared" si="66"/>
        <v>10</v>
      </c>
      <c r="AG157" s="272">
        <f t="shared" si="54"/>
        <v>4.7883899509325687</v>
      </c>
      <c r="AH157" s="272">
        <f t="shared" si="67"/>
        <v>8</v>
      </c>
      <c r="AI157" s="272">
        <f t="shared" si="55"/>
        <v>5.1289111330947241</v>
      </c>
      <c r="AJ157" s="272">
        <f t="shared" si="68"/>
        <v>10</v>
      </c>
      <c r="AK157" s="272">
        <f t="shared" si="56"/>
        <v>4.7883899509325687</v>
      </c>
      <c r="AL157" s="272">
        <f t="shared" si="69"/>
        <v>8</v>
      </c>
      <c r="AM157" s="272">
        <f t="shared" si="57"/>
        <v>5.1289111330947241</v>
      </c>
      <c r="AN157" s="272">
        <f t="shared" si="70"/>
        <v>10</v>
      </c>
      <c r="AO157" s="272">
        <f t="shared" si="58"/>
        <v>4.7883899509325687</v>
      </c>
      <c r="AP157" s="272">
        <f t="shared" si="71"/>
        <v>8</v>
      </c>
      <c r="AQ157" s="272">
        <f t="shared" si="59"/>
        <v>5.1289111330947241</v>
      </c>
      <c r="AR157" s="272">
        <f t="shared" si="72"/>
        <v>10</v>
      </c>
      <c r="AS157" s="508">
        <f t="shared" si="60"/>
        <v>4.7883899509325687</v>
      </c>
    </row>
    <row r="158" spans="1:45" ht="12.75" customHeight="1">
      <c r="A158" s="96">
        <f>IF(MAX($F$104:F158)=$G$99,$G$99,F158)</f>
        <v>0</v>
      </c>
      <c r="B158" s="96">
        <v>55</v>
      </c>
      <c r="C158" s="96">
        <f t="shared" si="51"/>
        <v>8.2500000000000046E-2</v>
      </c>
      <c r="D158" s="96">
        <f t="shared" si="30"/>
        <v>4.2343430691153854</v>
      </c>
      <c r="E158" s="96">
        <f t="shared" si="31"/>
        <v>1</v>
      </c>
      <c r="F158" s="96">
        <f t="shared" si="32"/>
        <v>0</v>
      </c>
      <c r="G158" s="96">
        <f t="shared" si="35"/>
        <v>-0.29799999999999999</v>
      </c>
      <c r="I158" s="96">
        <f t="shared" si="33"/>
        <v>0</v>
      </c>
      <c r="J158" s="96">
        <f t="shared" si="34"/>
        <v>8.2500000000000046E-2</v>
      </c>
      <c r="X158" s="96">
        <f t="shared" si="61"/>
        <v>6</v>
      </c>
      <c r="Y158" s="517">
        <v>1.4350000000000001</v>
      </c>
      <c r="Z158" s="272">
        <f t="shared" si="63"/>
        <v>6</v>
      </c>
      <c r="AA158" s="519">
        <f t="shared" si="64"/>
        <v>3.7309753142023108</v>
      </c>
      <c r="AB158" s="516">
        <f t="shared" si="62"/>
        <v>6</v>
      </c>
      <c r="AC158" s="272">
        <f t="shared" si="52"/>
        <v>5.8151756939747612</v>
      </c>
      <c r="AD158" s="272">
        <f t="shared" si="65"/>
        <v>8</v>
      </c>
      <c r="AE158" s="272">
        <f t="shared" si="53"/>
        <v>5.1647149415849256</v>
      </c>
      <c r="AF158" s="272">
        <f t="shared" si="66"/>
        <v>10</v>
      </c>
      <c r="AG158" s="272">
        <f t="shared" si="54"/>
        <v>4.8218166554183126</v>
      </c>
      <c r="AH158" s="272">
        <f t="shared" si="67"/>
        <v>8</v>
      </c>
      <c r="AI158" s="272">
        <f t="shared" si="55"/>
        <v>5.1647149415849256</v>
      </c>
      <c r="AJ158" s="272">
        <f t="shared" si="68"/>
        <v>10</v>
      </c>
      <c r="AK158" s="272">
        <f t="shared" si="56"/>
        <v>4.8218166554183126</v>
      </c>
      <c r="AL158" s="272">
        <f t="shared" si="69"/>
        <v>8</v>
      </c>
      <c r="AM158" s="272">
        <f t="shared" si="57"/>
        <v>5.1647149415849256</v>
      </c>
      <c r="AN158" s="272">
        <f t="shared" si="70"/>
        <v>10</v>
      </c>
      <c r="AO158" s="272">
        <f t="shared" si="58"/>
        <v>4.8218166554183126</v>
      </c>
      <c r="AP158" s="272">
        <f t="shared" si="71"/>
        <v>8</v>
      </c>
      <c r="AQ158" s="272">
        <f t="shared" si="59"/>
        <v>5.1647149415849256</v>
      </c>
      <c r="AR158" s="272">
        <f t="shared" si="72"/>
        <v>10</v>
      </c>
      <c r="AS158" s="508">
        <f t="shared" si="60"/>
        <v>4.8218166554183126</v>
      </c>
    </row>
    <row r="159" spans="1:45" ht="12.75" customHeight="1">
      <c r="A159" s="96">
        <f>IF(MAX($F$104:F159)=$G$99,$G$99,F159)</f>
        <v>0</v>
      </c>
      <c r="B159" s="481">
        <v>56</v>
      </c>
      <c r="C159" s="96">
        <f t="shared" si="51"/>
        <v>8.4000000000000047E-2</v>
      </c>
      <c r="D159" s="96">
        <f t="shared" si="30"/>
        <v>4.3897189635523466</v>
      </c>
      <c r="E159" s="96">
        <f t="shared" si="31"/>
        <v>1</v>
      </c>
      <c r="F159" s="96">
        <f t="shared" si="32"/>
        <v>0</v>
      </c>
      <c r="G159" s="96">
        <f t="shared" si="35"/>
        <v>-0.29799999999999999</v>
      </c>
      <c r="I159" s="96">
        <f t="shared" si="33"/>
        <v>0</v>
      </c>
      <c r="J159" s="96">
        <f t="shared" si="34"/>
        <v>8.4000000000000047E-2</v>
      </c>
      <c r="X159" s="96">
        <f t="shared" si="61"/>
        <v>6</v>
      </c>
      <c r="Y159" s="96">
        <v>1.43</v>
      </c>
      <c r="Z159" s="272">
        <f t="shared" si="63"/>
        <v>6</v>
      </c>
      <c r="AA159" s="519">
        <f t="shared" si="64"/>
        <v>3.7571116638408997</v>
      </c>
      <c r="AB159" s="516">
        <f t="shared" si="62"/>
        <v>6</v>
      </c>
      <c r="AC159" s="272">
        <f t="shared" si="52"/>
        <v>5.8559123519121616</v>
      </c>
      <c r="AD159" s="272">
        <f t="shared" si="65"/>
        <v>8</v>
      </c>
      <c r="AE159" s="272">
        <f t="shared" si="53"/>
        <v>5.2008949707003849</v>
      </c>
      <c r="AF159" s="272">
        <f t="shared" si="66"/>
        <v>10</v>
      </c>
      <c r="AG159" s="272">
        <f t="shared" si="54"/>
        <v>4.8555946023051382</v>
      </c>
      <c r="AH159" s="272">
        <f t="shared" si="67"/>
        <v>8</v>
      </c>
      <c r="AI159" s="272">
        <f t="shared" si="55"/>
        <v>5.2008949707003849</v>
      </c>
      <c r="AJ159" s="272">
        <f t="shared" si="68"/>
        <v>10</v>
      </c>
      <c r="AK159" s="272">
        <f t="shared" si="56"/>
        <v>4.8555946023051382</v>
      </c>
      <c r="AL159" s="272">
        <f t="shared" si="69"/>
        <v>8</v>
      </c>
      <c r="AM159" s="272">
        <f t="shared" si="57"/>
        <v>5.2008949707003849</v>
      </c>
      <c r="AN159" s="272">
        <f t="shared" si="70"/>
        <v>10</v>
      </c>
      <c r="AO159" s="272">
        <f t="shared" si="58"/>
        <v>4.8555946023051382</v>
      </c>
      <c r="AP159" s="272">
        <f t="shared" si="71"/>
        <v>8</v>
      </c>
      <c r="AQ159" s="272">
        <f t="shared" si="59"/>
        <v>5.2008949707003849</v>
      </c>
      <c r="AR159" s="272">
        <f t="shared" si="72"/>
        <v>10</v>
      </c>
      <c r="AS159" s="508">
        <f t="shared" si="60"/>
        <v>4.8555946023051382</v>
      </c>
    </row>
    <row r="160" spans="1:45" ht="12.75" customHeight="1">
      <c r="A160" s="96">
        <f>IF(MAX($F$104:F160)=$G$99,$G$99,F160)</f>
        <v>0</v>
      </c>
      <c r="B160" s="481">
        <v>57</v>
      </c>
      <c r="C160" s="96">
        <f t="shared" si="51"/>
        <v>8.5500000000000048E-2</v>
      </c>
      <c r="D160" s="96">
        <f t="shared" si="30"/>
        <v>4.5478944236548386</v>
      </c>
      <c r="E160" s="96">
        <f t="shared" si="31"/>
        <v>1</v>
      </c>
      <c r="F160" s="96">
        <f t="shared" si="32"/>
        <v>0</v>
      </c>
      <c r="G160" s="96">
        <f t="shared" si="35"/>
        <v>-0.29799999999999999</v>
      </c>
      <c r="I160" s="96">
        <f t="shared" si="33"/>
        <v>0</v>
      </c>
      <c r="J160" s="96">
        <f t="shared" si="34"/>
        <v>8.5500000000000048E-2</v>
      </c>
      <c r="X160" s="96">
        <f t="shared" si="61"/>
        <v>6</v>
      </c>
      <c r="Y160" s="517">
        <v>1.425</v>
      </c>
      <c r="Z160" s="272">
        <f t="shared" si="63"/>
        <v>6</v>
      </c>
      <c r="AA160" s="519">
        <f t="shared" si="64"/>
        <v>3.7835236153343192</v>
      </c>
      <c r="AB160" s="516">
        <f t="shared" si="62"/>
        <v>6</v>
      </c>
      <c r="AC160" s="272">
        <f t="shared" si="52"/>
        <v>5.8970785686304348</v>
      </c>
      <c r="AD160" s="272">
        <f t="shared" si="65"/>
        <v>8</v>
      </c>
      <c r="AE160" s="272">
        <f t="shared" si="53"/>
        <v>5.2374565099834864</v>
      </c>
      <c r="AF160" s="272">
        <f t="shared" si="66"/>
        <v>10</v>
      </c>
      <c r="AG160" s="272">
        <f t="shared" si="54"/>
        <v>4.8897287299495353</v>
      </c>
      <c r="AH160" s="272">
        <f t="shared" si="67"/>
        <v>8</v>
      </c>
      <c r="AI160" s="272">
        <f t="shared" si="55"/>
        <v>5.2374565099834864</v>
      </c>
      <c r="AJ160" s="272">
        <f t="shared" si="68"/>
        <v>10</v>
      </c>
      <c r="AK160" s="272">
        <f t="shared" si="56"/>
        <v>4.8897287299495353</v>
      </c>
      <c r="AL160" s="272">
        <f t="shared" si="69"/>
        <v>8</v>
      </c>
      <c r="AM160" s="272">
        <f t="shared" si="57"/>
        <v>5.2374565099834864</v>
      </c>
      <c r="AN160" s="272">
        <f t="shared" si="70"/>
        <v>10</v>
      </c>
      <c r="AO160" s="272">
        <f t="shared" si="58"/>
        <v>4.8897287299495353</v>
      </c>
      <c r="AP160" s="272">
        <f t="shared" si="71"/>
        <v>8</v>
      </c>
      <c r="AQ160" s="272">
        <f t="shared" si="59"/>
        <v>5.2374565099834864</v>
      </c>
      <c r="AR160" s="272">
        <f t="shared" si="72"/>
        <v>10</v>
      </c>
      <c r="AS160" s="508">
        <f t="shared" si="60"/>
        <v>4.8897287299495353</v>
      </c>
    </row>
    <row r="161" spans="1:45" ht="12.75" customHeight="1">
      <c r="A161" s="96">
        <f>IF(MAX($F$104:F161)=$G$99,$G$99,F161)</f>
        <v>0</v>
      </c>
      <c r="B161" s="96">
        <v>58</v>
      </c>
      <c r="C161" s="96">
        <f t="shared" si="51"/>
        <v>8.700000000000005E-2</v>
      </c>
      <c r="D161" s="96">
        <f t="shared" si="30"/>
        <v>4.7088694494228625</v>
      </c>
      <c r="E161" s="96">
        <f t="shared" si="31"/>
        <v>1</v>
      </c>
      <c r="F161" s="96">
        <f t="shared" si="32"/>
        <v>0</v>
      </c>
      <c r="G161" s="96">
        <f t="shared" si="35"/>
        <v>-0.29799999999999999</v>
      </c>
      <c r="I161" s="96">
        <f t="shared" si="33"/>
        <v>0</v>
      </c>
      <c r="J161" s="96">
        <f t="shared" si="34"/>
        <v>8.700000000000005E-2</v>
      </c>
      <c r="X161" s="96">
        <f t="shared" si="61"/>
        <v>6</v>
      </c>
      <c r="Y161" s="96">
        <v>1.42</v>
      </c>
      <c r="Z161" s="272">
        <f t="shared" si="63"/>
        <v>6</v>
      </c>
      <c r="AA161" s="519">
        <f t="shared" si="64"/>
        <v>3.810215057224883</v>
      </c>
      <c r="AB161" s="516">
        <f t="shared" si="62"/>
        <v>6</v>
      </c>
      <c r="AC161" s="272">
        <f t="shared" si="52"/>
        <v>5.9386804048924722</v>
      </c>
      <c r="AD161" s="272">
        <f t="shared" si="65"/>
        <v>8</v>
      </c>
      <c r="AE161" s="272">
        <f t="shared" si="53"/>
        <v>5.2744049422660275</v>
      </c>
      <c r="AF161" s="272">
        <f t="shared" si="66"/>
        <v>10</v>
      </c>
      <c r="AG161" s="272">
        <f t="shared" si="54"/>
        <v>4.924224063803698</v>
      </c>
      <c r="AH161" s="272">
        <f t="shared" si="67"/>
        <v>8</v>
      </c>
      <c r="AI161" s="272">
        <f t="shared" si="55"/>
        <v>5.2744049422660275</v>
      </c>
      <c r="AJ161" s="272">
        <f t="shared" si="68"/>
        <v>10</v>
      </c>
      <c r="AK161" s="272">
        <f t="shared" si="56"/>
        <v>4.924224063803698</v>
      </c>
      <c r="AL161" s="272">
        <f t="shared" si="69"/>
        <v>8</v>
      </c>
      <c r="AM161" s="272">
        <f t="shared" si="57"/>
        <v>5.2744049422660275</v>
      </c>
      <c r="AN161" s="272">
        <f t="shared" si="70"/>
        <v>10</v>
      </c>
      <c r="AO161" s="272">
        <f t="shared" si="58"/>
        <v>4.924224063803698</v>
      </c>
      <c r="AP161" s="272">
        <f t="shared" si="71"/>
        <v>8</v>
      </c>
      <c r="AQ161" s="272">
        <f t="shared" si="59"/>
        <v>5.2744049422660275</v>
      </c>
      <c r="AR161" s="272">
        <f t="shared" si="72"/>
        <v>10</v>
      </c>
      <c r="AS161" s="508">
        <f t="shared" si="60"/>
        <v>4.924224063803698</v>
      </c>
    </row>
    <row r="162" spans="1:45" ht="12.75" customHeight="1">
      <c r="A162" s="96">
        <f>IF(MAX($F$104:F162)=$G$99,$G$99,F162)</f>
        <v>0</v>
      </c>
      <c r="B162" s="481">
        <v>59</v>
      </c>
      <c r="C162" s="96">
        <f t="shared" si="51"/>
        <v>8.8500000000000051E-2</v>
      </c>
      <c r="D162" s="96">
        <f t="shared" si="30"/>
        <v>4.8726440408564162</v>
      </c>
      <c r="E162" s="96">
        <f t="shared" si="31"/>
        <v>1</v>
      </c>
      <c r="F162" s="96">
        <f t="shared" si="32"/>
        <v>0</v>
      </c>
      <c r="G162" s="96">
        <f t="shared" si="35"/>
        <v>-0.29799999999999999</v>
      </c>
      <c r="I162" s="96">
        <f t="shared" si="33"/>
        <v>0</v>
      </c>
      <c r="J162" s="96">
        <f t="shared" si="34"/>
        <v>8.8500000000000051E-2</v>
      </c>
      <c r="X162" s="96">
        <f t="shared" si="61"/>
        <v>6</v>
      </c>
      <c r="Y162" s="517">
        <v>1.415</v>
      </c>
      <c r="Z162" s="272">
        <f t="shared" si="63"/>
        <v>6</v>
      </c>
      <c r="AA162" s="519">
        <f t="shared" si="64"/>
        <v>3.8371899468782247</v>
      </c>
      <c r="AB162" s="516">
        <f t="shared" si="62"/>
        <v>6</v>
      </c>
      <c r="AC162" s="272">
        <f t="shared" si="52"/>
        <v>5.9807240287306263</v>
      </c>
      <c r="AD162" s="272">
        <f t="shared" si="65"/>
        <v>8</v>
      </c>
      <c r="AE162" s="272">
        <f t="shared" si="53"/>
        <v>5.3117457456505717</v>
      </c>
      <c r="AF162" s="272">
        <f t="shared" si="66"/>
        <v>10</v>
      </c>
      <c r="AG162" s="272">
        <f t="shared" si="54"/>
        <v>4.9590857182653174</v>
      </c>
      <c r="AH162" s="272">
        <f t="shared" si="67"/>
        <v>8</v>
      </c>
      <c r="AI162" s="272">
        <f t="shared" si="55"/>
        <v>5.3117457456505717</v>
      </c>
      <c r="AJ162" s="272">
        <f t="shared" si="68"/>
        <v>10</v>
      </c>
      <c r="AK162" s="272">
        <f t="shared" si="56"/>
        <v>4.9590857182653174</v>
      </c>
      <c r="AL162" s="272">
        <f t="shared" si="69"/>
        <v>8</v>
      </c>
      <c r="AM162" s="272">
        <f t="shared" si="57"/>
        <v>5.3117457456505717</v>
      </c>
      <c r="AN162" s="272">
        <f t="shared" si="70"/>
        <v>10</v>
      </c>
      <c r="AO162" s="272">
        <f t="shared" si="58"/>
        <v>4.9590857182653174</v>
      </c>
      <c r="AP162" s="272">
        <f t="shared" si="71"/>
        <v>8</v>
      </c>
      <c r="AQ162" s="272">
        <f t="shared" si="59"/>
        <v>5.3117457456505717</v>
      </c>
      <c r="AR162" s="272">
        <f t="shared" si="72"/>
        <v>10</v>
      </c>
      <c r="AS162" s="508">
        <f t="shared" si="60"/>
        <v>4.9590857182653174</v>
      </c>
    </row>
    <row r="163" spans="1:45" ht="12.75" customHeight="1">
      <c r="A163" s="96">
        <f>IF(MAX($F$104:F163)=$G$99,$G$99,F163)</f>
        <v>0</v>
      </c>
      <c r="B163" s="481">
        <v>60</v>
      </c>
      <c r="C163" s="96">
        <f t="shared" si="51"/>
        <v>9.0000000000000052E-2</v>
      </c>
      <c r="D163" s="96">
        <f t="shared" si="30"/>
        <v>5.0392181979555009</v>
      </c>
      <c r="E163" s="96">
        <f t="shared" si="31"/>
        <v>1</v>
      </c>
      <c r="F163" s="96">
        <f t="shared" si="32"/>
        <v>0</v>
      </c>
      <c r="G163" s="96">
        <f t="shared" si="35"/>
        <v>-0.29799999999999999</v>
      </c>
      <c r="I163" s="96">
        <f t="shared" si="33"/>
        <v>0</v>
      </c>
      <c r="J163" s="96">
        <f t="shared" si="34"/>
        <v>9.0000000000000052E-2</v>
      </c>
      <c r="X163" s="96">
        <f t="shared" si="61"/>
        <v>6</v>
      </c>
      <c r="Y163" s="96">
        <v>1.41</v>
      </c>
      <c r="Z163" s="272">
        <f t="shared" si="63"/>
        <v>6</v>
      </c>
      <c r="AA163" s="519">
        <f t="shared" si="64"/>
        <v>3.8644523119502319</v>
      </c>
      <c r="AB163" s="516">
        <f t="shared" si="62"/>
        <v>6</v>
      </c>
      <c r="AC163" s="272">
        <f t="shared" si="52"/>
        <v>6.0232157177331027</v>
      </c>
      <c r="AD163" s="272">
        <f t="shared" si="65"/>
        <v>8</v>
      </c>
      <c r="AE163" s="272">
        <f t="shared" si="53"/>
        <v>5.3494844955410796</v>
      </c>
      <c r="AF163" s="272">
        <f t="shared" si="66"/>
        <v>10</v>
      </c>
      <c r="AG163" s="272">
        <f t="shared" si="54"/>
        <v>4.9943188985734004</v>
      </c>
      <c r="AH163" s="272">
        <f t="shared" si="67"/>
        <v>8</v>
      </c>
      <c r="AI163" s="272">
        <f t="shared" si="55"/>
        <v>5.3494844955410796</v>
      </c>
      <c r="AJ163" s="272">
        <f t="shared" si="68"/>
        <v>10</v>
      </c>
      <c r="AK163" s="272">
        <f t="shared" si="56"/>
        <v>4.9943188985734004</v>
      </c>
      <c r="AL163" s="272">
        <f t="shared" si="69"/>
        <v>8</v>
      </c>
      <c r="AM163" s="272">
        <f t="shared" si="57"/>
        <v>5.3494844955410796</v>
      </c>
      <c r="AN163" s="272">
        <f t="shared" si="70"/>
        <v>10</v>
      </c>
      <c r="AO163" s="272">
        <f t="shared" si="58"/>
        <v>4.9943188985734004</v>
      </c>
      <c r="AP163" s="272">
        <f t="shared" si="71"/>
        <v>8</v>
      </c>
      <c r="AQ163" s="272">
        <f t="shared" si="59"/>
        <v>5.3494844955410796</v>
      </c>
      <c r="AR163" s="272">
        <f t="shared" si="72"/>
        <v>10</v>
      </c>
      <c r="AS163" s="508">
        <f t="shared" si="60"/>
        <v>4.9943188985734004</v>
      </c>
    </row>
    <row r="164" spans="1:45" ht="12.75" customHeight="1">
      <c r="A164" s="96">
        <f>IF(MAX($F$104:F164)=$G$99,$G$99,F164)</f>
        <v>0</v>
      </c>
      <c r="B164" s="96">
        <v>61</v>
      </c>
      <c r="C164" s="96">
        <f t="shared" si="51"/>
        <v>9.1500000000000054E-2</v>
      </c>
      <c r="D164" s="96">
        <f t="shared" si="30"/>
        <v>5.2085919207201155</v>
      </c>
      <c r="E164" s="96">
        <f t="shared" si="31"/>
        <v>1</v>
      </c>
      <c r="F164" s="96">
        <f t="shared" si="32"/>
        <v>0</v>
      </c>
      <c r="G164" s="96">
        <f t="shared" si="35"/>
        <v>-0.29799999999999999</v>
      </c>
      <c r="I164" s="96">
        <f t="shared" si="33"/>
        <v>0</v>
      </c>
      <c r="J164" s="96">
        <f t="shared" si="34"/>
        <v>9.1500000000000054E-2</v>
      </c>
      <c r="X164" s="96">
        <f t="shared" si="61"/>
        <v>6</v>
      </c>
      <c r="Y164" s="517">
        <v>1.405</v>
      </c>
      <c r="Z164" s="272">
        <f t="shared" si="63"/>
        <v>6</v>
      </c>
      <c r="AA164" s="519">
        <f t="shared" si="64"/>
        <v>3.8920062518905558</v>
      </c>
      <c r="AB164" s="516">
        <f t="shared" si="62"/>
        <v>6</v>
      </c>
      <c r="AC164" s="272">
        <f t="shared" si="52"/>
        <v>6.0661618613873571</v>
      </c>
      <c r="AD164" s="272">
        <f t="shared" si="65"/>
        <v>8</v>
      </c>
      <c r="AE164" s="272">
        <f t="shared" si="53"/>
        <v>5.3876268667241893</v>
      </c>
      <c r="AF164" s="272">
        <f t="shared" si="66"/>
        <v>10</v>
      </c>
      <c r="AG164" s="272">
        <f t="shared" si="54"/>
        <v>5.0299289027513714</v>
      </c>
      <c r="AH164" s="272">
        <f t="shared" si="67"/>
        <v>10</v>
      </c>
      <c r="AI164" s="272">
        <f t="shared" si="55"/>
        <v>5.0299289027513714</v>
      </c>
      <c r="AJ164" s="272">
        <f t="shared" si="68"/>
        <v>10</v>
      </c>
      <c r="AK164" s="272">
        <f t="shared" si="56"/>
        <v>5.0299289027513714</v>
      </c>
      <c r="AL164" s="272">
        <f t="shared" si="69"/>
        <v>10</v>
      </c>
      <c r="AM164" s="272">
        <f t="shared" si="57"/>
        <v>5.0299289027513714</v>
      </c>
      <c r="AN164" s="272">
        <f t="shared" si="70"/>
        <v>10</v>
      </c>
      <c r="AO164" s="272">
        <f t="shared" si="58"/>
        <v>5.0299289027513714</v>
      </c>
      <c r="AP164" s="272">
        <f t="shared" si="71"/>
        <v>10</v>
      </c>
      <c r="AQ164" s="272">
        <f t="shared" si="59"/>
        <v>5.0299289027513714</v>
      </c>
      <c r="AR164" s="272">
        <f t="shared" si="72"/>
        <v>10</v>
      </c>
      <c r="AS164" s="508">
        <f t="shared" si="60"/>
        <v>5.0299289027513714</v>
      </c>
    </row>
    <row r="165" spans="1:45" ht="12.75" customHeight="1">
      <c r="A165" s="96">
        <f>IF(MAX($F$104:F165)=$G$99,$G$99,F165)</f>
        <v>0</v>
      </c>
      <c r="B165" s="481">
        <v>62</v>
      </c>
      <c r="C165" s="96">
        <f t="shared" si="51"/>
        <v>9.3000000000000055E-2</v>
      </c>
      <c r="D165" s="96">
        <f t="shared" si="30"/>
        <v>5.3807652091502627</v>
      </c>
      <c r="E165" s="96">
        <f t="shared" si="31"/>
        <v>1</v>
      </c>
      <c r="F165" s="96">
        <f t="shared" si="32"/>
        <v>0</v>
      </c>
      <c r="G165" s="96">
        <f t="shared" si="35"/>
        <v>-0.29799999999999999</v>
      </c>
      <c r="I165" s="96">
        <f t="shared" si="33"/>
        <v>0</v>
      </c>
      <c r="J165" s="96">
        <f t="shared" si="34"/>
        <v>9.3000000000000055E-2</v>
      </c>
      <c r="X165" s="96">
        <f t="shared" si="61"/>
        <v>6</v>
      </c>
      <c r="Y165" s="96">
        <v>1.4</v>
      </c>
      <c r="Z165" s="272">
        <f t="shared" si="63"/>
        <v>6</v>
      </c>
      <c r="AA165" s="519">
        <f t="shared" si="64"/>
        <v>3.9198559394838037</v>
      </c>
      <c r="AB165" s="516">
        <f t="shared" si="62"/>
        <v>6</v>
      </c>
      <c r="AC165" s="272">
        <f t="shared" si="52"/>
        <v>6.1095689634822348</v>
      </c>
      <c r="AD165" s="272">
        <f t="shared" si="65"/>
        <v>8</v>
      </c>
      <c r="AE165" s="272">
        <f t="shared" si="53"/>
        <v>5.4261786355026631</v>
      </c>
      <c r="AF165" s="272">
        <f t="shared" si="66"/>
        <v>10</v>
      </c>
      <c r="AG165" s="272">
        <f t="shared" si="54"/>
        <v>5.0659211235988657</v>
      </c>
      <c r="AH165" s="272">
        <f t="shared" si="67"/>
        <v>10</v>
      </c>
      <c r="AI165" s="272">
        <f t="shared" si="55"/>
        <v>5.0659211235988657</v>
      </c>
      <c r="AJ165" s="272">
        <f t="shared" si="68"/>
        <v>10</v>
      </c>
      <c r="AK165" s="272">
        <f t="shared" si="56"/>
        <v>5.0659211235988657</v>
      </c>
      <c r="AL165" s="272">
        <f t="shared" si="69"/>
        <v>10</v>
      </c>
      <c r="AM165" s="272">
        <f t="shared" si="57"/>
        <v>5.0659211235988657</v>
      </c>
      <c r="AN165" s="272">
        <f t="shared" si="70"/>
        <v>10</v>
      </c>
      <c r="AO165" s="272">
        <f t="shared" si="58"/>
        <v>5.0659211235988657</v>
      </c>
      <c r="AP165" s="272">
        <f t="shared" si="71"/>
        <v>10</v>
      </c>
      <c r="AQ165" s="272">
        <f t="shared" si="59"/>
        <v>5.0659211235988657</v>
      </c>
      <c r="AR165" s="272">
        <f t="shared" si="72"/>
        <v>10</v>
      </c>
      <c r="AS165" s="508">
        <f t="shared" si="60"/>
        <v>5.0659211235988657</v>
      </c>
    </row>
    <row r="166" spans="1:45" ht="12.75" customHeight="1">
      <c r="A166" s="96">
        <f>IF(MAX($F$104:F166)=$G$99,$G$99,F166)</f>
        <v>0</v>
      </c>
      <c r="B166" s="481">
        <v>63</v>
      </c>
      <c r="C166" s="96">
        <f t="shared" si="51"/>
        <v>9.4500000000000056E-2</v>
      </c>
      <c r="D166" s="96">
        <f t="shared" si="30"/>
        <v>5.5557380632459399</v>
      </c>
      <c r="E166" s="96">
        <f t="shared" si="31"/>
        <v>1</v>
      </c>
      <c r="F166" s="96">
        <f t="shared" si="32"/>
        <v>0</v>
      </c>
      <c r="G166" s="96">
        <f t="shared" si="35"/>
        <v>-0.29799999999999999</v>
      </c>
      <c r="I166" s="96">
        <f t="shared" si="33"/>
        <v>0</v>
      </c>
      <c r="J166" s="96">
        <f t="shared" si="34"/>
        <v>9.4500000000000056E-2</v>
      </c>
      <c r="X166" s="96">
        <f t="shared" si="61"/>
        <v>6</v>
      </c>
      <c r="Y166" s="517">
        <v>1.395</v>
      </c>
      <c r="Z166" s="272">
        <f t="shared" si="63"/>
        <v>6</v>
      </c>
      <c r="AA166" s="519">
        <f t="shared" si="64"/>
        <v>3.9480056224294411</v>
      </c>
      <c r="AB166" s="516">
        <f t="shared" si="62"/>
        <v>6</v>
      </c>
      <c r="AC166" s="272">
        <f t="shared" si="52"/>
        <v>6.1534436445704346</v>
      </c>
      <c r="AD166" s="272">
        <f t="shared" si="65"/>
        <v>8</v>
      </c>
      <c r="AE166" s="272">
        <f t="shared" si="53"/>
        <v>5.4651456818824107</v>
      </c>
      <c r="AF166" s="272">
        <f t="shared" si="66"/>
        <v>10</v>
      </c>
      <c r="AG166" s="272">
        <f t="shared" si="54"/>
        <v>5.1023010507335602</v>
      </c>
      <c r="AH166" s="272">
        <f t="shared" si="67"/>
        <v>10</v>
      </c>
      <c r="AI166" s="272">
        <f t="shared" si="55"/>
        <v>5.1023010507335602</v>
      </c>
      <c r="AJ166" s="272">
        <f t="shared" si="68"/>
        <v>10</v>
      </c>
      <c r="AK166" s="272">
        <f t="shared" si="56"/>
        <v>5.1023010507335602</v>
      </c>
      <c r="AL166" s="272">
        <f t="shared" si="69"/>
        <v>10</v>
      </c>
      <c r="AM166" s="272">
        <f t="shared" si="57"/>
        <v>5.1023010507335602</v>
      </c>
      <c r="AN166" s="272">
        <f t="shared" si="70"/>
        <v>10</v>
      </c>
      <c r="AO166" s="272">
        <f t="shared" si="58"/>
        <v>5.1023010507335602</v>
      </c>
      <c r="AP166" s="272">
        <f t="shared" si="71"/>
        <v>10</v>
      </c>
      <c r="AQ166" s="272">
        <f t="shared" si="59"/>
        <v>5.1023010507335602</v>
      </c>
      <c r="AR166" s="272">
        <f t="shared" si="72"/>
        <v>10</v>
      </c>
      <c r="AS166" s="508">
        <f t="shared" si="60"/>
        <v>5.1023010507335602</v>
      </c>
    </row>
    <row r="167" spans="1:45" ht="12.75" customHeight="1">
      <c r="A167" s="96">
        <f>IF(MAX($F$104:F167)=$G$99,$G$99,F167)</f>
        <v>0</v>
      </c>
      <c r="B167" s="96">
        <v>64</v>
      </c>
      <c r="C167" s="96">
        <f t="shared" si="51"/>
        <v>9.6000000000000058E-2</v>
      </c>
      <c r="D167" s="96">
        <f t="shared" si="30"/>
        <v>5.7335104830071471</v>
      </c>
      <c r="E167" s="96">
        <f t="shared" si="31"/>
        <v>1</v>
      </c>
      <c r="F167" s="96">
        <f t="shared" si="32"/>
        <v>0</v>
      </c>
      <c r="G167" s="96">
        <f t="shared" si="35"/>
        <v>-0.29799999999999999</v>
      </c>
      <c r="I167" s="96">
        <f t="shared" si="33"/>
        <v>0</v>
      </c>
      <c r="J167" s="96">
        <f t="shared" si="34"/>
        <v>9.6000000000000058E-2</v>
      </c>
      <c r="X167" s="96">
        <f t="shared" si="61"/>
        <v>6</v>
      </c>
      <c r="Y167" s="96">
        <v>1.39</v>
      </c>
      <c r="Z167" s="272">
        <f t="shared" si="63"/>
        <v>6</v>
      </c>
      <c r="AA167" s="519">
        <f t="shared" si="64"/>
        <v>3.9764596249615725</v>
      </c>
      <c r="AB167" s="516">
        <f t="shared" si="62"/>
        <v>6</v>
      </c>
      <c r="AC167" s="272">
        <f t="shared" si="52"/>
        <v>6.1977926444931324</v>
      </c>
      <c r="AD167" s="272">
        <f t="shared" si="65"/>
        <v>8</v>
      </c>
      <c r="AE167" s="272">
        <f t="shared" si="53"/>
        <v>5.5045339918147187</v>
      </c>
      <c r="AF167" s="272">
        <f t="shared" si="66"/>
        <v>10</v>
      </c>
      <c r="AG167" s="272">
        <f t="shared" si="54"/>
        <v>5.1390742726845282</v>
      </c>
      <c r="AH167" s="272">
        <f t="shared" si="67"/>
        <v>10</v>
      </c>
      <c r="AI167" s="272">
        <f t="shared" si="55"/>
        <v>5.1390742726845282</v>
      </c>
      <c r="AJ167" s="272">
        <f t="shared" si="68"/>
        <v>10</v>
      </c>
      <c r="AK167" s="272">
        <f t="shared" si="56"/>
        <v>5.1390742726845282</v>
      </c>
      <c r="AL167" s="272">
        <f t="shared" si="69"/>
        <v>10</v>
      </c>
      <c r="AM167" s="272">
        <f t="shared" si="57"/>
        <v>5.1390742726845282</v>
      </c>
      <c r="AN167" s="272">
        <f t="shared" si="70"/>
        <v>10</v>
      </c>
      <c r="AO167" s="272">
        <f t="shared" si="58"/>
        <v>5.1390742726845282</v>
      </c>
      <c r="AP167" s="272">
        <f t="shared" si="71"/>
        <v>10</v>
      </c>
      <c r="AQ167" s="272">
        <f t="shared" si="59"/>
        <v>5.1390742726845282</v>
      </c>
      <c r="AR167" s="272">
        <f t="shared" si="72"/>
        <v>10</v>
      </c>
      <c r="AS167" s="508">
        <f t="shared" si="60"/>
        <v>5.1390742726845282</v>
      </c>
    </row>
    <row r="168" spans="1:45" ht="12.75" customHeight="1">
      <c r="A168" s="96">
        <f>IF(MAX($F$104:F168)=$G$99,$G$99,F168)</f>
        <v>0</v>
      </c>
      <c r="B168" s="481">
        <v>65</v>
      </c>
      <c r="C168" s="96">
        <f t="shared" si="51"/>
        <v>9.7500000000000059E-2</v>
      </c>
      <c r="D168" s="96">
        <f t="shared" ref="D168:D231" si="73">C168^2/$C$96</f>
        <v>5.914082468433886</v>
      </c>
      <c r="E168" s="96">
        <f t="shared" ref="E168:E231" si="74">CHIDIST(D168,$E$96)</f>
        <v>1</v>
      </c>
      <c r="F168" s="96">
        <f t="shared" ref="F168:F231" si="75">IF($E$7&lt;$F$101,NA(),$E$98*(E167-E169)/(2*$C$99))</f>
        <v>0</v>
      </c>
      <c r="G168" s="96">
        <f t="shared" si="35"/>
        <v>-0.29799999999999999</v>
      </c>
      <c r="I168" s="96">
        <f t="shared" ref="I168:I231" si="76">IF(F168&gt;$G$98,1,0)</f>
        <v>0</v>
      </c>
      <c r="J168" s="96">
        <f t="shared" ref="J168:J231" si="77">C168</f>
        <v>9.7500000000000059E-2</v>
      </c>
      <c r="X168" s="96">
        <f t="shared" si="61"/>
        <v>6</v>
      </c>
      <c r="Y168" s="517">
        <v>1.385</v>
      </c>
      <c r="Z168" s="272">
        <f t="shared" si="63"/>
        <v>6</v>
      </c>
      <c r="AA168" s="519">
        <f t="shared" si="64"/>
        <v>4.0052223495097046</v>
      </c>
      <c r="AB168" s="516">
        <f t="shared" si="62"/>
        <v>8</v>
      </c>
      <c r="AC168" s="272">
        <f t="shared" si="52"/>
        <v>5.5443496594952206</v>
      </c>
      <c r="AD168" s="272">
        <f t="shared" si="65"/>
        <v>10</v>
      </c>
      <c r="AE168" s="272">
        <f t="shared" si="53"/>
        <v>5.1762464790385776</v>
      </c>
      <c r="AF168" s="272">
        <f t="shared" si="66"/>
        <v>10</v>
      </c>
      <c r="AG168" s="272">
        <f t="shared" si="54"/>
        <v>5.1762464790385776</v>
      </c>
      <c r="AH168" s="272">
        <f t="shared" si="67"/>
        <v>10</v>
      </c>
      <c r="AI168" s="272">
        <f t="shared" si="55"/>
        <v>5.1762464790385776</v>
      </c>
      <c r="AJ168" s="272">
        <f t="shared" si="68"/>
        <v>10</v>
      </c>
      <c r="AK168" s="272">
        <f t="shared" si="56"/>
        <v>5.1762464790385776</v>
      </c>
      <c r="AL168" s="272">
        <f t="shared" si="69"/>
        <v>10</v>
      </c>
      <c r="AM168" s="272">
        <f t="shared" si="57"/>
        <v>5.1762464790385776</v>
      </c>
      <c r="AN168" s="272">
        <f t="shared" si="70"/>
        <v>10</v>
      </c>
      <c r="AO168" s="272">
        <f t="shared" si="58"/>
        <v>5.1762464790385776</v>
      </c>
      <c r="AP168" s="272">
        <f t="shared" si="71"/>
        <v>10</v>
      </c>
      <c r="AQ168" s="272">
        <f t="shared" si="59"/>
        <v>5.1762464790385776</v>
      </c>
      <c r="AR168" s="272">
        <f t="shared" si="72"/>
        <v>10</v>
      </c>
      <c r="AS168" s="508">
        <f t="shared" si="60"/>
        <v>5.1762464790385776</v>
      </c>
    </row>
    <row r="169" spans="1:45" ht="12.75" customHeight="1">
      <c r="A169" s="96">
        <f>IF(MAX($F$104:F169)=$G$99,$G$99,F169)</f>
        <v>0</v>
      </c>
      <c r="B169" s="481">
        <v>66</v>
      </c>
      <c r="C169" s="96">
        <f t="shared" si="51"/>
        <v>9.900000000000006E-2</v>
      </c>
      <c r="D169" s="96">
        <f t="shared" si="73"/>
        <v>6.0974540195261548</v>
      </c>
      <c r="E169" s="96">
        <f t="shared" si="74"/>
        <v>1</v>
      </c>
      <c r="F169" s="96">
        <f t="shared" si="75"/>
        <v>0</v>
      </c>
      <c r="G169" s="96">
        <f t="shared" ref="G169:G232" si="78">F169-$G$101</f>
        <v>-0.29799999999999999</v>
      </c>
      <c r="I169" s="96">
        <f t="shared" si="76"/>
        <v>0</v>
      </c>
      <c r="J169" s="96">
        <f t="shared" si="77"/>
        <v>9.900000000000006E-2</v>
      </c>
      <c r="X169" s="96">
        <f t="shared" si="61"/>
        <v>6</v>
      </c>
      <c r="Y169" s="96">
        <v>1.38</v>
      </c>
      <c r="Z169" s="272">
        <f t="shared" si="63"/>
        <v>6</v>
      </c>
      <c r="AA169" s="519">
        <f t="shared" si="64"/>
        <v>4.0342982784017307</v>
      </c>
      <c r="AB169" s="516">
        <f t="shared" si="62"/>
        <v>8</v>
      </c>
      <c r="AC169" s="272">
        <f t="shared" si="52"/>
        <v>5.5845988897212866</v>
      </c>
      <c r="AD169" s="272">
        <f t="shared" si="65"/>
        <v>10</v>
      </c>
      <c r="AE169" s="272">
        <f t="shared" si="53"/>
        <v>5.2138234626411339</v>
      </c>
      <c r="AF169" s="272">
        <f t="shared" si="66"/>
        <v>10</v>
      </c>
      <c r="AG169" s="272">
        <f t="shared" si="54"/>
        <v>5.2138234626411339</v>
      </c>
      <c r="AH169" s="272">
        <f t="shared" si="67"/>
        <v>10</v>
      </c>
      <c r="AI169" s="272">
        <f t="shared" si="55"/>
        <v>5.2138234626411339</v>
      </c>
      <c r="AJ169" s="272">
        <f t="shared" si="68"/>
        <v>10</v>
      </c>
      <c r="AK169" s="272">
        <f t="shared" si="56"/>
        <v>5.2138234626411339</v>
      </c>
      <c r="AL169" s="272">
        <f t="shared" si="69"/>
        <v>10</v>
      </c>
      <c r="AM169" s="272">
        <f t="shared" si="57"/>
        <v>5.2138234626411339</v>
      </c>
      <c r="AN169" s="272">
        <f t="shared" si="70"/>
        <v>10</v>
      </c>
      <c r="AO169" s="272">
        <f t="shared" si="58"/>
        <v>5.2138234626411339</v>
      </c>
      <c r="AP169" s="272">
        <f t="shared" si="71"/>
        <v>10</v>
      </c>
      <c r="AQ169" s="272">
        <f t="shared" si="59"/>
        <v>5.2138234626411339</v>
      </c>
      <c r="AR169" s="272">
        <f t="shared" si="72"/>
        <v>10</v>
      </c>
      <c r="AS169" s="508">
        <f t="shared" si="60"/>
        <v>5.2138234626411339</v>
      </c>
    </row>
    <row r="170" spans="1:45" ht="12.75" customHeight="1">
      <c r="A170" s="96">
        <f>IF(MAX($F$104:F170)=$G$99,$G$99,F170)</f>
        <v>0</v>
      </c>
      <c r="B170" s="96">
        <v>67</v>
      </c>
      <c r="C170" s="96">
        <f t="shared" si="51"/>
        <v>0.10050000000000006</v>
      </c>
      <c r="D170" s="96">
        <f t="shared" si="73"/>
        <v>6.2836251362839564</v>
      </c>
      <c r="E170" s="96">
        <f t="shared" si="74"/>
        <v>1</v>
      </c>
      <c r="F170" s="96">
        <f t="shared" si="75"/>
        <v>0</v>
      </c>
      <c r="G170" s="96">
        <f t="shared" si="78"/>
        <v>-0.29799999999999999</v>
      </c>
      <c r="I170" s="96">
        <f t="shared" si="76"/>
        <v>0</v>
      </c>
      <c r="J170" s="96">
        <f t="shared" si="77"/>
        <v>0.10050000000000006</v>
      </c>
      <c r="X170" s="96">
        <f t="shared" si="61"/>
        <v>6</v>
      </c>
      <c r="Y170" s="517">
        <v>1.375</v>
      </c>
      <c r="Z170" s="272">
        <f t="shared" si="63"/>
        <v>6</v>
      </c>
      <c r="AA170" s="519">
        <f t="shared" si="64"/>
        <v>4.0636919756103156</v>
      </c>
      <c r="AB170" s="516">
        <f t="shared" si="62"/>
        <v>8</v>
      </c>
      <c r="AC170" s="272">
        <f t="shared" si="52"/>
        <v>5.6252880003095358</v>
      </c>
      <c r="AD170" s="272">
        <f t="shared" si="65"/>
        <v>10</v>
      </c>
      <c r="AE170" s="272">
        <f t="shared" si="53"/>
        <v>5.251811121853236</v>
      </c>
      <c r="AF170" s="272">
        <f t="shared" si="66"/>
        <v>10</v>
      </c>
      <c r="AG170" s="272">
        <f t="shared" si="54"/>
        <v>5.251811121853236</v>
      </c>
      <c r="AH170" s="272">
        <f t="shared" si="67"/>
        <v>10</v>
      </c>
      <c r="AI170" s="272">
        <f t="shared" si="55"/>
        <v>5.251811121853236</v>
      </c>
      <c r="AJ170" s="272">
        <f t="shared" si="68"/>
        <v>10</v>
      </c>
      <c r="AK170" s="272">
        <f t="shared" si="56"/>
        <v>5.251811121853236</v>
      </c>
      <c r="AL170" s="272">
        <f t="shared" si="69"/>
        <v>10</v>
      </c>
      <c r="AM170" s="272">
        <f t="shared" si="57"/>
        <v>5.251811121853236</v>
      </c>
      <c r="AN170" s="272">
        <f t="shared" si="70"/>
        <v>10</v>
      </c>
      <c r="AO170" s="272">
        <f t="shared" si="58"/>
        <v>5.251811121853236</v>
      </c>
      <c r="AP170" s="272">
        <f t="shared" si="71"/>
        <v>10</v>
      </c>
      <c r="AQ170" s="272">
        <f t="shared" si="59"/>
        <v>5.251811121853236</v>
      </c>
      <c r="AR170" s="272">
        <f t="shared" si="72"/>
        <v>10</v>
      </c>
      <c r="AS170" s="508">
        <f t="shared" si="60"/>
        <v>5.251811121853236</v>
      </c>
    </row>
    <row r="171" spans="1:45" ht="12.75" customHeight="1">
      <c r="A171" s="96">
        <f>IF(MAX($F$104:F171)=$G$99,$G$99,F171)</f>
        <v>0</v>
      </c>
      <c r="B171" s="481">
        <v>68</v>
      </c>
      <c r="C171" s="96">
        <f t="shared" si="51"/>
        <v>0.10200000000000006</v>
      </c>
      <c r="D171" s="96">
        <f t="shared" si="73"/>
        <v>6.472595818707287</v>
      </c>
      <c r="E171" s="96">
        <f t="shared" si="74"/>
        <v>1</v>
      </c>
      <c r="F171" s="96">
        <f t="shared" si="75"/>
        <v>0</v>
      </c>
      <c r="G171" s="96">
        <f t="shared" si="78"/>
        <v>-0.29799999999999999</v>
      </c>
      <c r="I171" s="96">
        <f t="shared" si="76"/>
        <v>0</v>
      </c>
      <c r="J171" s="96">
        <f t="shared" si="77"/>
        <v>0.10200000000000006</v>
      </c>
      <c r="X171" s="96">
        <f t="shared" si="61"/>
        <v>6</v>
      </c>
      <c r="Y171" s="96">
        <v>1.37</v>
      </c>
      <c r="Z171" s="272">
        <f t="shared" si="63"/>
        <v>6</v>
      </c>
      <c r="AA171" s="519">
        <f t="shared" si="64"/>
        <v>4.0934080885440105</v>
      </c>
      <c r="AB171" s="516">
        <f t="shared" si="62"/>
        <v>8</v>
      </c>
      <c r="AC171" s="272">
        <f t="shared" si="52"/>
        <v>5.6664234245752132</v>
      </c>
      <c r="AD171" s="272">
        <f t="shared" si="65"/>
        <v>10</v>
      </c>
      <c r="AE171" s="272">
        <f t="shared" si="53"/>
        <v>5.2902154628663078</v>
      </c>
      <c r="AF171" s="272">
        <f t="shared" si="66"/>
        <v>10</v>
      </c>
      <c r="AG171" s="272">
        <f t="shared" si="54"/>
        <v>5.2902154628663078</v>
      </c>
      <c r="AH171" s="272">
        <f t="shared" si="67"/>
        <v>10</v>
      </c>
      <c r="AI171" s="272">
        <f t="shared" si="55"/>
        <v>5.2902154628663078</v>
      </c>
      <c r="AJ171" s="272">
        <f t="shared" si="68"/>
        <v>10</v>
      </c>
      <c r="AK171" s="272">
        <f t="shared" si="56"/>
        <v>5.2902154628663078</v>
      </c>
      <c r="AL171" s="272">
        <f t="shared" si="69"/>
        <v>10</v>
      </c>
      <c r="AM171" s="272">
        <f t="shared" si="57"/>
        <v>5.2902154628663078</v>
      </c>
      <c r="AN171" s="272">
        <f t="shared" si="70"/>
        <v>10</v>
      </c>
      <c r="AO171" s="272">
        <f t="shared" si="58"/>
        <v>5.2902154628663078</v>
      </c>
      <c r="AP171" s="272">
        <f t="shared" si="71"/>
        <v>10</v>
      </c>
      <c r="AQ171" s="272">
        <f t="shared" si="59"/>
        <v>5.2902154628663078</v>
      </c>
      <c r="AR171" s="272">
        <f t="shared" si="72"/>
        <v>10</v>
      </c>
      <c r="AS171" s="508">
        <f t="shared" si="60"/>
        <v>5.2902154628663078</v>
      </c>
    </row>
    <row r="172" spans="1:45" ht="12.75" customHeight="1">
      <c r="A172" s="96">
        <f>IF(MAX($F$104:F172)=$G$99,$G$99,F172)</f>
        <v>0</v>
      </c>
      <c r="B172" s="481">
        <v>69</v>
      </c>
      <c r="C172" s="96">
        <f t="shared" si="51"/>
        <v>0.10350000000000006</v>
      </c>
      <c r="D172" s="96">
        <f t="shared" si="73"/>
        <v>6.6643660667961502</v>
      </c>
      <c r="E172" s="96">
        <f t="shared" si="74"/>
        <v>1</v>
      </c>
      <c r="F172" s="96">
        <f t="shared" si="75"/>
        <v>0</v>
      </c>
      <c r="G172" s="96">
        <f t="shared" si="78"/>
        <v>-0.29799999999999999</v>
      </c>
      <c r="I172" s="96">
        <f t="shared" si="76"/>
        <v>0</v>
      </c>
      <c r="J172" s="96">
        <f t="shared" si="77"/>
        <v>0.10350000000000006</v>
      </c>
      <c r="X172" s="96">
        <f t="shared" si="61"/>
        <v>6</v>
      </c>
      <c r="Y172" s="517">
        <v>1.365</v>
      </c>
      <c r="Z172" s="272">
        <f t="shared" si="63"/>
        <v>6</v>
      </c>
      <c r="AA172" s="519">
        <f t="shared" si="64"/>
        <v>4.123451349884343</v>
      </c>
      <c r="AB172" s="516">
        <f t="shared" si="62"/>
        <v>8</v>
      </c>
      <c r="AC172" s="272">
        <f t="shared" si="52"/>
        <v>5.7080117138752531</v>
      </c>
      <c r="AD172" s="272">
        <f t="shared" si="65"/>
        <v>10</v>
      </c>
      <c r="AE172" s="272">
        <f t="shared" si="53"/>
        <v>5.3290426020763864</v>
      </c>
      <c r="AF172" s="272">
        <f t="shared" si="66"/>
        <v>10</v>
      </c>
      <c r="AG172" s="272">
        <f t="shared" si="54"/>
        <v>5.3290426020763864</v>
      </c>
      <c r="AH172" s="272">
        <f t="shared" si="67"/>
        <v>10</v>
      </c>
      <c r="AI172" s="272">
        <f t="shared" si="55"/>
        <v>5.3290426020763864</v>
      </c>
      <c r="AJ172" s="272">
        <f t="shared" si="68"/>
        <v>10</v>
      </c>
      <c r="AK172" s="272">
        <f t="shared" si="56"/>
        <v>5.3290426020763864</v>
      </c>
      <c r="AL172" s="272">
        <f t="shared" si="69"/>
        <v>10</v>
      </c>
      <c r="AM172" s="272">
        <f t="shared" si="57"/>
        <v>5.3290426020763864</v>
      </c>
      <c r="AN172" s="272">
        <f t="shared" si="70"/>
        <v>10</v>
      </c>
      <c r="AO172" s="272">
        <f t="shared" si="58"/>
        <v>5.3290426020763864</v>
      </c>
      <c r="AP172" s="272">
        <f t="shared" si="71"/>
        <v>10</v>
      </c>
      <c r="AQ172" s="272">
        <f t="shared" si="59"/>
        <v>5.3290426020763864</v>
      </c>
      <c r="AR172" s="272">
        <f t="shared" si="72"/>
        <v>10</v>
      </c>
      <c r="AS172" s="508">
        <f t="shared" si="60"/>
        <v>5.3290426020763864</v>
      </c>
    </row>
    <row r="173" spans="1:45" ht="12.75" customHeight="1">
      <c r="A173" s="96">
        <f>IF(MAX($F$104:F173)=$G$99,$G$99,F173)</f>
        <v>0</v>
      </c>
      <c r="B173" s="96">
        <v>70</v>
      </c>
      <c r="C173" s="96">
        <f t="shared" si="51"/>
        <v>0.10500000000000007</v>
      </c>
      <c r="D173" s="96">
        <f t="shared" si="73"/>
        <v>6.8589358805505425</v>
      </c>
      <c r="E173" s="96">
        <f t="shared" si="74"/>
        <v>1</v>
      </c>
      <c r="F173" s="96">
        <f t="shared" si="75"/>
        <v>0</v>
      </c>
      <c r="G173" s="96">
        <f t="shared" si="78"/>
        <v>-0.29799999999999999</v>
      </c>
      <c r="I173" s="96">
        <f t="shared" si="76"/>
        <v>0</v>
      </c>
      <c r="J173" s="96">
        <f t="shared" si="77"/>
        <v>0.10500000000000007</v>
      </c>
      <c r="X173" s="96">
        <f t="shared" si="61"/>
        <v>6</v>
      </c>
      <c r="Y173" s="96">
        <v>1.36</v>
      </c>
      <c r="Z173" s="272">
        <f t="shared" si="63"/>
        <v>6</v>
      </c>
      <c r="AA173" s="519">
        <f t="shared" si="64"/>
        <v>4.1538265794702918</v>
      </c>
      <c r="AB173" s="516">
        <f t="shared" si="62"/>
        <v>8</v>
      </c>
      <c r="AC173" s="272">
        <f t="shared" si="52"/>
        <v>5.7500595402169203</v>
      </c>
      <c r="AD173" s="272">
        <f t="shared" si="65"/>
        <v>10</v>
      </c>
      <c r="AE173" s="272">
        <f t="shared" si="53"/>
        <v>5.3682987685195567</v>
      </c>
      <c r="AF173" s="272">
        <f t="shared" si="66"/>
        <v>10</v>
      </c>
      <c r="AG173" s="272">
        <f t="shared" si="54"/>
        <v>5.3682987685195567</v>
      </c>
      <c r="AH173" s="272">
        <f t="shared" si="67"/>
        <v>10</v>
      </c>
      <c r="AI173" s="272">
        <f t="shared" si="55"/>
        <v>5.3682987685195567</v>
      </c>
      <c r="AJ173" s="272">
        <f t="shared" si="68"/>
        <v>10</v>
      </c>
      <c r="AK173" s="272">
        <f t="shared" si="56"/>
        <v>5.3682987685195567</v>
      </c>
      <c r="AL173" s="272">
        <f t="shared" si="69"/>
        <v>10</v>
      </c>
      <c r="AM173" s="272">
        <f t="shared" si="57"/>
        <v>5.3682987685195567</v>
      </c>
      <c r="AN173" s="272">
        <f t="shared" si="70"/>
        <v>10</v>
      </c>
      <c r="AO173" s="272">
        <f t="shared" si="58"/>
        <v>5.3682987685195567</v>
      </c>
      <c r="AP173" s="272">
        <f t="shared" si="71"/>
        <v>10</v>
      </c>
      <c r="AQ173" s="272">
        <f t="shared" si="59"/>
        <v>5.3682987685195567</v>
      </c>
      <c r="AR173" s="272">
        <f t="shared" si="72"/>
        <v>10</v>
      </c>
      <c r="AS173" s="508">
        <f t="shared" si="60"/>
        <v>5.3682987685195567</v>
      </c>
    </row>
    <row r="174" spans="1:45" ht="12.75" customHeight="1">
      <c r="A174" s="96">
        <f>IF(MAX($F$104:F174)=$G$99,$G$99,F174)</f>
        <v>0</v>
      </c>
      <c r="B174" s="481">
        <v>71</v>
      </c>
      <c r="C174" s="96">
        <f t="shared" si="51"/>
        <v>0.10650000000000007</v>
      </c>
      <c r="D174" s="96">
        <f t="shared" si="73"/>
        <v>7.0563052599704665</v>
      </c>
      <c r="E174" s="96">
        <f t="shared" si="74"/>
        <v>1</v>
      </c>
      <c r="F174" s="96">
        <f t="shared" si="75"/>
        <v>0</v>
      </c>
      <c r="G174" s="96">
        <f t="shared" si="78"/>
        <v>-0.29799999999999999</v>
      </c>
      <c r="I174" s="96">
        <f t="shared" si="76"/>
        <v>0</v>
      </c>
      <c r="J174" s="96">
        <f t="shared" si="77"/>
        <v>0.10650000000000007</v>
      </c>
      <c r="X174" s="96">
        <f t="shared" si="61"/>
        <v>6</v>
      </c>
      <c r="Y174" s="517">
        <v>1.355</v>
      </c>
      <c r="Z174" s="272">
        <f t="shared" si="63"/>
        <v>6</v>
      </c>
      <c r="AA174" s="519">
        <f t="shared" si="64"/>
        <v>4.1845386862315346</v>
      </c>
      <c r="AB174" s="516">
        <f t="shared" si="62"/>
        <v>8</v>
      </c>
      <c r="AC174" s="272">
        <f t="shared" si="52"/>
        <v>5.7925736989339569</v>
      </c>
      <c r="AD174" s="272">
        <f t="shared" si="65"/>
        <v>10</v>
      </c>
      <c r="AE174" s="272">
        <f t="shared" si="53"/>
        <v>5.4079903063704329</v>
      </c>
      <c r="AF174" s="272">
        <f t="shared" si="66"/>
        <v>10</v>
      </c>
      <c r="AG174" s="272">
        <f t="shared" si="54"/>
        <v>5.4079903063704329</v>
      </c>
      <c r="AH174" s="272">
        <f t="shared" si="67"/>
        <v>10</v>
      </c>
      <c r="AI174" s="272">
        <f t="shared" si="55"/>
        <v>5.4079903063704329</v>
      </c>
      <c r="AJ174" s="272">
        <f t="shared" si="68"/>
        <v>10</v>
      </c>
      <c r="AK174" s="272">
        <f t="shared" si="56"/>
        <v>5.4079903063704329</v>
      </c>
      <c r="AL174" s="272">
        <f t="shared" si="69"/>
        <v>10</v>
      </c>
      <c r="AM174" s="272">
        <f t="shared" si="57"/>
        <v>5.4079903063704329</v>
      </c>
      <c r="AN174" s="272">
        <f t="shared" si="70"/>
        <v>10</v>
      </c>
      <c r="AO174" s="272">
        <f t="shared" si="58"/>
        <v>5.4079903063704329</v>
      </c>
      <c r="AP174" s="272">
        <f t="shared" si="71"/>
        <v>10</v>
      </c>
      <c r="AQ174" s="272">
        <f t="shared" si="59"/>
        <v>5.4079903063704329</v>
      </c>
      <c r="AR174" s="272">
        <f t="shared" si="72"/>
        <v>10</v>
      </c>
      <c r="AS174" s="508">
        <f t="shared" si="60"/>
        <v>5.4079903063704329</v>
      </c>
    </row>
    <row r="175" spans="1:45" ht="12.75" customHeight="1">
      <c r="A175" s="96">
        <f>IF(MAX($F$104:F175)=$G$99,$G$99,F175)</f>
        <v>0</v>
      </c>
      <c r="B175" s="481">
        <v>72</v>
      </c>
      <c r="C175" s="96">
        <f t="shared" si="51"/>
        <v>0.10800000000000007</v>
      </c>
      <c r="D175" s="96">
        <f t="shared" si="73"/>
        <v>7.2564742050559214</v>
      </c>
      <c r="E175" s="96">
        <f t="shared" si="74"/>
        <v>1</v>
      </c>
      <c r="F175" s="96">
        <f t="shared" si="75"/>
        <v>0</v>
      </c>
      <c r="G175" s="96">
        <f t="shared" si="78"/>
        <v>-0.29799999999999999</v>
      </c>
      <c r="I175" s="96">
        <f t="shared" si="76"/>
        <v>0</v>
      </c>
      <c r="J175" s="96">
        <f t="shared" si="77"/>
        <v>0.10800000000000007</v>
      </c>
      <c r="X175" s="96">
        <f t="shared" si="61"/>
        <v>6</v>
      </c>
      <c r="Y175" s="96">
        <v>1.35</v>
      </c>
      <c r="Z175" s="272">
        <f t="shared" si="63"/>
        <v>6</v>
      </c>
      <c r="AA175" s="519">
        <f t="shared" si="64"/>
        <v>4.2155926701718807</v>
      </c>
      <c r="AB175" s="516">
        <f t="shared" si="62"/>
        <v>8</v>
      </c>
      <c r="AC175" s="272">
        <f t="shared" si="52"/>
        <v>5.8355611114322183</v>
      </c>
      <c r="AD175" s="272">
        <f t="shared" si="65"/>
        <v>10</v>
      </c>
      <c r="AE175" s="272">
        <f t="shared" si="53"/>
        <v>5.4481236775055004</v>
      </c>
      <c r="AF175" s="272">
        <f t="shared" si="66"/>
        <v>10</v>
      </c>
      <c r="AG175" s="272">
        <f t="shared" si="54"/>
        <v>5.4481236775055004</v>
      </c>
      <c r="AH175" s="272">
        <f t="shared" si="67"/>
        <v>10</v>
      </c>
      <c r="AI175" s="272">
        <f t="shared" si="55"/>
        <v>5.4481236775055004</v>
      </c>
      <c r="AJ175" s="272">
        <f t="shared" si="68"/>
        <v>10</v>
      </c>
      <c r="AK175" s="272">
        <f t="shared" si="56"/>
        <v>5.4481236775055004</v>
      </c>
      <c r="AL175" s="272">
        <f t="shared" si="69"/>
        <v>10</v>
      </c>
      <c r="AM175" s="272">
        <f t="shared" si="57"/>
        <v>5.4481236775055004</v>
      </c>
      <c r="AN175" s="272">
        <f t="shared" si="70"/>
        <v>10</v>
      </c>
      <c r="AO175" s="272">
        <f t="shared" si="58"/>
        <v>5.4481236775055004</v>
      </c>
      <c r="AP175" s="272">
        <f t="shared" si="71"/>
        <v>10</v>
      </c>
      <c r="AQ175" s="272">
        <f t="shared" si="59"/>
        <v>5.4481236775055004</v>
      </c>
      <c r="AR175" s="272">
        <f t="shared" si="72"/>
        <v>10</v>
      </c>
      <c r="AS175" s="508">
        <f t="shared" si="60"/>
        <v>5.4481236775055004</v>
      </c>
    </row>
    <row r="176" spans="1:45" ht="12.75" customHeight="1">
      <c r="A176" s="96">
        <f>IF(MAX($F$104:F176)=$G$99,$G$99,F176)</f>
        <v>0</v>
      </c>
      <c r="B176" s="96">
        <v>73</v>
      </c>
      <c r="C176" s="96">
        <f t="shared" si="51"/>
        <v>0.10950000000000007</v>
      </c>
      <c r="D176" s="96">
        <f t="shared" si="73"/>
        <v>7.4594427158069063</v>
      </c>
      <c r="E176" s="96">
        <f t="shared" si="74"/>
        <v>1</v>
      </c>
      <c r="F176" s="96">
        <f t="shared" si="75"/>
        <v>0</v>
      </c>
      <c r="G176" s="96">
        <f t="shared" si="78"/>
        <v>-0.29799999999999999</v>
      </c>
      <c r="I176" s="96">
        <f t="shared" si="76"/>
        <v>0</v>
      </c>
      <c r="J176" s="96">
        <f t="shared" si="77"/>
        <v>0.10950000000000007</v>
      </c>
      <c r="X176" s="96">
        <f t="shared" si="61"/>
        <v>6</v>
      </c>
      <c r="Y176" s="517">
        <v>1.345</v>
      </c>
      <c r="Z176" s="272">
        <f t="shared" si="63"/>
        <v>6</v>
      </c>
      <c r="AA176" s="519">
        <f t="shared" si="64"/>
        <v>4.2469936244044471</v>
      </c>
      <c r="AB176" s="516">
        <f t="shared" si="62"/>
        <v>8</v>
      </c>
      <c r="AC176" s="272">
        <f t="shared" si="52"/>
        <v>5.8790288280069198</v>
      </c>
      <c r="AD176" s="272">
        <f t="shared" si="65"/>
        <v>10</v>
      </c>
      <c r="AE176" s="272">
        <f t="shared" si="53"/>
        <v>5.4887054641333179</v>
      </c>
      <c r="AF176" s="272">
        <f t="shared" si="66"/>
        <v>10</v>
      </c>
      <c r="AG176" s="272">
        <f t="shared" si="54"/>
        <v>5.4887054641333179</v>
      </c>
      <c r="AH176" s="272">
        <f t="shared" si="67"/>
        <v>10</v>
      </c>
      <c r="AI176" s="272">
        <f t="shared" si="55"/>
        <v>5.4887054641333179</v>
      </c>
      <c r="AJ176" s="272">
        <f t="shared" si="68"/>
        <v>10</v>
      </c>
      <c r="AK176" s="272">
        <f t="shared" si="56"/>
        <v>5.4887054641333179</v>
      </c>
      <c r="AL176" s="272">
        <f t="shared" si="69"/>
        <v>10</v>
      </c>
      <c r="AM176" s="272">
        <f t="shared" si="57"/>
        <v>5.4887054641333179</v>
      </c>
      <c r="AN176" s="272">
        <f t="shared" si="70"/>
        <v>10</v>
      </c>
      <c r="AO176" s="272">
        <f t="shared" si="58"/>
        <v>5.4887054641333179</v>
      </c>
      <c r="AP176" s="272">
        <f t="shared" si="71"/>
        <v>10</v>
      </c>
      <c r="AQ176" s="272">
        <f t="shared" si="59"/>
        <v>5.4887054641333179</v>
      </c>
      <c r="AR176" s="272">
        <f t="shared" si="72"/>
        <v>10</v>
      </c>
      <c r="AS176" s="508">
        <f t="shared" si="60"/>
        <v>5.4887054641333179</v>
      </c>
    </row>
    <row r="177" spans="1:45" ht="12.75" customHeight="1">
      <c r="A177" s="96">
        <f>IF(MAX($F$104:F177)=$G$99,$G$99,F177)</f>
        <v>0</v>
      </c>
      <c r="B177" s="481">
        <v>74</v>
      </c>
      <c r="C177" s="96">
        <f t="shared" si="51"/>
        <v>0.11100000000000007</v>
      </c>
      <c r="D177" s="96">
        <f t="shared" si="73"/>
        <v>7.6652107922234229</v>
      </c>
      <c r="E177" s="96">
        <f t="shared" si="74"/>
        <v>1</v>
      </c>
      <c r="F177" s="96">
        <f t="shared" si="75"/>
        <v>0</v>
      </c>
      <c r="G177" s="96">
        <f t="shared" si="78"/>
        <v>-0.29799999999999999</v>
      </c>
      <c r="I177" s="96">
        <f t="shared" si="76"/>
        <v>0</v>
      </c>
      <c r="J177" s="96">
        <f t="shared" si="77"/>
        <v>0.11100000000000007</v>
      </c>
      <c r="X177" s="96">
        <f t="shared" si="61"/>
        <v>6</v>
      </c>
      <c r="Y177" s="96">
        <v>1.34</v>
      </c>
      <c r="Z177" s="272">
        <f t="shared" si="63"/>
        <v>6</v>
      </c>
      <c r="AA177" s="519">
        <f t="shared" si="64"/>
        <v>4.27874673724006</v>
      </c>
      <c r="AB177" s="516">
        <f t="shared" si="62"/>
        <v>8</v>
      </c>
      <c r="AC177" s="272">
        <f t="shared" si="52"/>
        <v>5.9229840307335806</v>
      </c>
      <c r="AD177" s="272">
        <f t="shared" si="65"/>
        <v>10</v>
      </c>
      <c r="AE177" s="272">
        <f t="shared" si="53"/>
        <v>5.5297423714935254</v>
      </c>
      <c r="AF177" s="272">
        <f t="shared" si="66"/>
        <v>10</v>
      </c>
      <c r="AG177" s="272">
        <f t="shared" si="54"/>
        <v>5.5297423714935254</v>
      </c>
      <c r="AH177" s="272">
        <f t="shared" si="67"/>
        <v>10</v>
      </c>
      <c r="AI177" s="272">
        <f t="shared" si="55"/>
        <v>5.5297423714935254</v>
      </c>
      <c r="AJ177" s="272">
        <f t="shared" si="68"/>
        <v>10</v>
      </c>
      <c r="AK177" s="272">
        <f t="shared" si="56"/>
        <v>5.5297423714935254</v>
      </c>
      <c r="AL177" s="272">
        <f t="shared" si="69"/>
        <v>10</v>
      </c>
      <c r="AM177" s="272">
        <f t="shared" si="57"/>
        <v>5.5297423714935254</v>
      </c>
      <c r="AN177" s="272">
        <f t="shared" si="70"/>
        <v>10</v>
      </c>
      <c r="AO177" s="272">
        <f t="shared" si="58"/>
        <v>5.5297423714935254</v>
      </c>
      <c r="AP177" s="272">
        <f t="shared" si="71"/>
        <v>10</v>
      </c>
      <c r="AQ177" s="272">
        <f t="shared" si="59"/>
        <v>5.5297423714935254</v>
      </c>
      <c r="AR177" s="272">
        <f t="shared" si="72"/>
        <v>10</v>
      </c>
      <c r="AS177" s="508">
        <f t="shared" si="60"/>
        <v>5.5297423714935254</v>
      </c>
    </row>
    <row r="178" spans="1:45" ht="12.75" customHeight="1">
      <c r="A178" s="96">
        <f>IF(MAX($F$104:F178)=$G$99,$G$99,F178)</f>
        <v>0</v>
      </c>
      <c r="B178" s="481">
        <v>75</v>
      </c>
      <c r="C178" s="96">
        <f t="shared" si="51"/>
        <v>0.11250000000000007</v>
      </c>
      <c r="D178" s="96">
        <f t="shared" si="73"/>
        <v>7.8737784343054704</v>
      </c>
      <c r="E178" s="96">
        <f t="shared" si="74"/>
        <v>1</v>
      </c>
      <c r="F178" s="96">
        <f t="shared" si="75"/>
        <v>0</v>
      </c>
      <c r="G178" s="96">
        <f t="shared" si="78"/>
        <v>-0.29799999999999999</v>
      </c>
      <c r="I178" s="96">
        <f t="shared" si="76"/>
        <v>0</v>
      </c>
      <c r="J178" s="96">
        <f t="shared" si="77"/>
        <v>0.11250000000000007</v>
      </c>
      <c r="X178" s="96">
        <f t="shared" si="61"/>
        <v>6</v>
      </c>
      <c r="Y178" s="517">
        <v>1.335</v>
      </c>
      <c r="Z178" s="272">
        <f t="shared" si="63"/>
        <v>6</v>
      </c>
      <c r="AA178" s="519">
        <f t="shared" si="64"/>
        <v>4.3108572943305443</v>
      </c>
      <c r="AB178" s="516">
        <f t="shared" si="62"/>
        <v>8</v>
      </c>
      <c r="AC178" s="272">
        <f t="shared" si="52"/>
        <v>5.9674340364349154</v>
      </c>
      <c r="AD178" s="272">
        <f t="shared" si="65"/>
        <v>10</v>
      </c>
      <c r="AE178" s="272">
        <f t="shared" si="53"/>
        <v>5.57124123062676</v>
      </c>
      <c r="AF178" s="272">
        <f t="shared" si="66"/>
        <v>10</v>
      </c>
      <c r="AG178" s="272">
        <f t="shared" si="54"/>
        <v>5.57124123062676</v>
      </c>
      <c r="AH178" s="272">
        <f t="shared" si="67"/>
        <v>10</v>
      </c>
      <c r="AI178" s="272">
        <f t="shared" si="55"/>
        <v>5.57124123062676</v>
      </c>
      <c r="AJ178" s="272">
        <f t="shared" si="68"/>
        <v>10</v>
      </c>
      <c r="AK178" s="272">
        <f t="shared" si="56"/>
        <v>5.57124123062676</v>
      </c>
      <c r="AL178" s="272">
        <f t="shared" si="69"/>
        <v>10</v>
      </c>
      <c r="AM178" s="272">
        <f t="shared" si="57"/>
        <v>5.57124123062676</v>
      </c>
      <c r="AN178" s="272">
        <f t="shared" si="70"/>
        <v>10</v>
      </c>
      <c r="AO178" s="272">
        <f t="shared" si="58"/>
        <v>5.57124123062676</v>
      </c>
      <c r="AP178" s="272">
        <f t="shared" si="71"/>
        <v>10</v>
      </c>
      <c r="AQ178" s="272">
        <f t="shared" si="59"/>
        <v>5.57124123062676</v>
      </c>
      <c r="AR178" s="272">
        <f t="shared" si="72"/>
        <v>10</v>
      </c>
      <c r="AS178" s="508">
        <f t="shared" si="60"/>
        <v>5.57124123062676</v>
      </c>
    </row>
    <row r="179" spans="1:45" ht="12.75" customHeight="1">
      <c r="A179" s="96">
        <f>IF(MAX($F$104:F179)=$G$99,$G$99,F179)</f>
        <v>0</v>
      </c>
      <c r="B179" s="96">
        <v>76</v>
      </c>
      <c r="C179" s="96">
        <f t="shared" si="51"/>
        <v>0.11400000000000007</v>
      </c>
      <c r="D179" s="96">
        <f t="shared" si="73"/>
        <v>8.0851456420530479</v>
      </c>
      <c r="E179" s="96">
        <f t="shared" si="74"/>
        <v>1</v>
      </c>
      <c r="F179" s="96">
        <f t="shared" si="75"/>
        <v>0</v>
      </c>
      <c r="G179" s="96">
        <f t="shared" si="78"/>
        <v>-0.29799999999999999</v>
      </c>
      <c r="I179" s="96">
        <f t="shared" si="76"/>
        <v>0</v>
      </c>
      <c r="J179" s="96">
        <f t="shared" si="77"/>
        <v>0.11400000000000007</v>
      </c>
      <c r="X179" s="96">
        <f t="shared" si="61"/>
        <v>6</v>
      </c>
      <c r="Y179" s="96">
        <v>1.33</v>
      </c>
      <c r="Z179" s="272">
        <f t="shared" si="63"/>
        <v>6</v>
      </c>
      <c r="AA179" s="519">
        <f t="shared" si="64"/>
        <v>4.3433306808684797</v>
      </c>
      <c r="AB179" s="516">
        <f t="shared" si="62"/>
        <v>8</v>
      </c>
      <c r="AC179" s="272">
        <f t="shared" si="52"/>
        <v>6.0123862997259412</v>
      </c>
      <c r="AD179" s="272">
        <f t="shared" si="65"/>
        <v>10</v>
      </c>
      <c r="AE179" s="272">
        <f t="shared" si="53"/>
        <v>5.6132090012175784</v>
      </c>
      <c r="AF179" s="272">
        <f t="shared" si="66"/>
        <v>10</v>
      </c>
      <c r="AG179" s="272">
        <f t="shared" si="54"/>
        <v>5.6132090012175784</v>
      </c>
      <c r="AH179" s="272">
        <f t="shared" si="67"/>
        <v>10</v>
      </c>
      <c r="AI179" s="272">
        <f t="shared" si="55"/>
        <v>5.6132090012175784</v>
      </c>
      <c r="AJ179" s="272">
        <f t="shared" si="68"/>
        <v>10</v>
      </c>
      <c r="AK179" s="272">
        <f t="shared" si="56"/>
        <v>5.6132090012175784</v>
      </c>
      <c r="AL179" s="272">
        <f t="shared" si="69"/>
        <v>10</v>
      </c>
      <c r="AM179" s="272">
        <f t="shared" si="57"/>
        <v>5.6132090012175784</v>
      </c>
      <c r="AN179" s="272">
        <f t="shared" si="70"/>
        <v>10</v>
      </c>
      <c r="AO179" s="272">
        <f t="shared" si="58"/>
        <v>5.6132090012175784</v>
      </c>
      <c r="AP179" s="272">
        <f t="shared" si="71"/>
        <v>10</v>
      </c>
      <c r="AQ179" s="272">
        <f t="shared" si="59"/>
        <v>5.6132090012175784</v>
      </c>
      <c r="AR179" s="272">
        <f t="shared" si="72"/>
        <v>10</v>
      </c>
      <c r="AS179" s="508">
        <f t="shared" si="60"/>
        <v>5.6132090012175784</v>
      </c>
    </row>
    <row r="180" spans="1:45" ht="12.75" customHeight="1">
      <c r="A180" s="96">
        <f>IF(MAX($F$104:F180)=$G$99,$G$99,F180)</f>
        <v>0</v>
      </c>
      <c r="B180" s="481">
        <v>77</v>
      </c>
      <c r="C180" s="96">
        <f t="shared" si="51"/>
        <v>0.11550000000000007</v>
      </c>
      <c r="D180" s="96">
        <f t="shared" si="73"/>
        <v>8.2993124154661562</v>
      </c>
      <c r="E180" s="96">
        <f t="shared" si="74"/>
        <v>1</v>
      </c>
      <c r="F180" s="96">
        <f t="shared" si="75"/>
        <v>0</v>
      </c>
      <c r="G180" s="96">
        <f t="shared" si="78"/>
        <v>-0.29799999999999999</v>
      </c>
      <c r="I180" s="96">
        <f t="shared" si="76"/>
        <v>0</v>
      </c>
      <c r="J180" s="96">
        <f t="shared" si="77"/>
        <v>0.11550000000000007</v>
      </c>
      <c r="X180" s="96">
        <f t="shared" si="61"/>
        <v>6</v>
      </c>
      <c r="Y180" s="517">
        <v>1.325</v>
      </c>
      <c r="Z180" s="272">
        <f t="shared" si="63"/>
        <v>6</v>
      </c>
      <c r="AA180" s="519">
        <f t="shared" si="64"/>
        <v>4.3761723838452138</v>
      </c>
      <c r="AB180" s="516">
        <f t="shared" si="62"/>
        <v>8</v>
      </c>
      <c r="AC180" s="272">
        <f t="shared" si="52"/>
        <v>6.0578484161396755</v>
      </c>
      <c r="AD180" s="272">
        <f t="shared" si="65"/>
        <v>10</v>
      </c>
      <c r="AE180" s="272">
        <f t="shared" si="53"/>
        <v>5.655652774512653</v>
      </c>
      <c r="AF180" s="272">
        <f t="shared" si="66"/>
        <v>10</v>
      </c>
      <c r="AG180" s="272">
        <f t="shared" si="54"/>
        <v>5.655652774512653</v>
      </c>
      <c r="AH180" s="272">
        <f t="shared" si="67"/>
        <v>10</v>
      </c>
      <c r="AI180" s="272">
        <f t="shared" si="55"/>
        <v>5.655652774512653</v>
      </c>
      <c r="AJ180" s="272">
        <f t="shared" si="68"/>
        <v>10</v>
      </c>
      <c r="AK180" s="272">
        <f t="shared" si="56"/>
        <v>5.655652774512653</v>
      </c>
      <c r="AL180" s="272">
        <f t="shared" si="69"/>
        <v>10</v>
      </c>
      <c r="AM180" s="272">
        <f t="shared" si="57"/>
        <v>5.655652774512653</v>
      </c>
      <c r="AN180" s="272">
        <f t="shared" si="70"/>
        <v>10</v>
      </c>
      <c r="AO180" s="272">
        <f t="shared" si="58"/>
        <v>5.655652774512653</v>
      </c>
      <c r="AP180" s="272">
        <f t="shared" si="71"/>
        <v>10</v>
      </c>
      <c r="AQ180" s="272">
        <f t="shared" si="59"/>
        <v>5.655652774512653</v>
      </c>
      <c r="AR180" s="272">
        <f t="shared" si="72"/>
        <v>10</v>
      </c>
      <c r="AS180" s="508">
        <f t="shared" si="60"/>
        <v>5.655652774512653</v>
      </c>
    </row>
    <row r="181" spans="1:45" ht="12.75" customHeight="1">
      <c r="A181" s="96">
        <f>IF(MAX($F$104:F181)=$G$99,$G$99,F181)</f>
        <v>0</v>
      </c>
      <c r="B181" s="481">
        <v>78</v>
      </c>
      <c r="C181" s="96">
        <f t="shared" si="51"/>
        <v>0.11700000000000008</v>
      </c>
      <c r="D181" s="96">
        <f t="shared" si="73"/>
        <v>8.5162787545447962</v>
      </c>
      <c r="E181" s="96">
        <f t="shared" si="74"/>
        <v>1</v>
      </c>
      <c r="F181" s="96">
        <f t="shared" si="75"/>
        <v>0</v>
      </c>
      <c r="G181" s="96">
        <f t="shared" si="78"/>
        <v>-0.29799999999999999</v>
      </c>
      <c r="I181" s="96">
        <f t="shared" si="76"/>
        <v>0</v>
      </c>
      <c r="J181" s="96">
        <f t="shared" si="77"/>
        <v>0.11700000000000008</v>
      </c>
      <c r="X181" s="96">
        <f t="shared" si="61"/>
        <v>6</v>
      </c>
      <c r="Y181" s="96">
        <v>1.32</v>
      </c>
      <c r="Z181" s="272">
        <f t="shared" si="63"/>
        <v>6</v>
      </c>
      <c r="AA181" s="519">
        <f t="shared" si="64"/>
        <v>4.4093879943688323</v>
      </c>
      <c r="AB181" s="516">
        <f t="shared" si="62"/>
        <v>8</v>
      </c>
      <c r="AC181" s="272">
        <f t="shared" si="52"/>
        <v>6.103828125335867</v>
      </c>
      <c r="AD181" s="272">
        <f t="shared" si="65"/>
        <v>10</v>
      </c>
      <c r="AE181" s="272">
        <f t="shared" si="53"/>
        <v>5.6985797763164445</v>
      </c>
      <c r="AF181" s="272">
        <f t="shared" si="66"/>
        <v>10</v>
      </c>
      <c r="AG181" s="272">
        <f t="shared" si="54"/>
        <v>5.6985797763164445</v>
      </c>
      <c r="AH181" s="272">
        <f t="shared" si="67"/>
        <v>10</v>
      </c>
      <c r="AI181" s="272">
        <f t="shared" si="55"/>
        <v>5.6985797763164445</v>
      </c>
      <c r="AJ181" s="272">
        <f t="shared" si="68"/>
        <v>10</v>
      </c>
      <c r="AK181" s="272">
        <f t="shared" si="56"/>
        <v>5.6985797763164445</v>
      </c>
      <c r="AL181" s="272">
        <f t="shared" si="69"/>
        <v>10</v>
      </c>
      <c r="AM181" s="272">
        <f t="shared" si="57"/>
        <v>5.6985797763164445</v>
      </c>
      <c r="AN181" s="272">
        <f t="shared" si="70"/>
        <v>10</v>
      </c>
      <c r="AO181" s="272">
        <f t="shared" si="58"/>
        <v>5.6985797763164445</v>
      </c>
      <c r="AP181" s="272">
        <f t="shared" si="71"/>
        <v>10</v>
      </c>
      <c r="AQ181" s="272">
        <f t="shared" si="59"/>
        <v>5.6985797763164445</v>
      </c>
      <c r="AR181" s="272">
        <f t="shared" si="72"/>
        <v>10</v>
      </c>
      <c r="AS181" s="508">
        <f t="shared" si="60"/>
        <v>5.6985797763164445</v>
      </c>
    </row>
    <row r="182" spans="1:45" ht="12.75" customHeight="1">
      <c r="A182" s="96">
        <f>IF(MAX($F$104:F182)=$G$99,$G$99,F182)</f>
        <v>0</v>
      </c>
      <c r="B182" s="96">
        <v>79</v>
      </c>
      <c r="C182" s="96">
        <f t="shared" si="51"/>
        <v>0.11850000000000008</v>
      </c>
      <c r="D182" s="96">
        <f t="shared" si="73"/>
        <v>8.736044659288968</v>
      </c>
      <c r="E182" s="96">
        <f t="shared" si="74"/>
        <v>1</v>
      </c>
      <c r="F182" s="96">
        <f t="shared" si="75"/>
        <v>0</v>
      </c>
      <c r="G182" s="96">
        <f t="shared" si="78"/>
        <v>-0.29799999999999999</v>
      </c>
      <c r="I182" s="96">
        <f t="shared" si="76"/>
        <v>0</v>
      </c>
      <c r="J182" s="96">
        <f t="shared" si="77"/>
        <v>0.11850000000000008</v>
      </c>
      <c r="X182" s="96">
        <f t="shared" si="61"/>
        <v>6</v>
      </c>
      <c r="Y182" s="517">
        <v>1.3149999999999999</v>
      </c>
      <c r="Z182" s="272">
        <f t="shared" si="63"/>
        <v>6</v>
      </c>
      <c r="AA182" s="519">
        <f t="shared" si="64"/>
        <v>4.4429832100439528</v>
      </c>
      <c r="AB182" s="516">
        <f t="shared" si="62"/>
        <v>8</v>
      </c>
      <c r="AC182" s="272">
        <f t="shared" si="52"/>
        <v>6.1503333143953034</v>
      </c>
      <c r="AD182" s="272">
        <f t="shared" si="65"/>
        <v>10</v>
      </c>
      <c r="AE182" s="272">
        <f t="shared" si="53"/>
        <v>5.7419973700668079</v>
      </c>
      <c r="AF182" s="272">
        <f t="shared" si="66"/>
        <v>10</v>
      </c>
      <c r="AG182" s="272">
        <f t="shared" si="54"/>
        <v>5.7419973700668079</v>
      </c>
      <c r="AH182" s="272">
        <f t="shared" si="67"/>
        <v>10</v>
      </c>
      <c r="AI182" s="272">
        <f t="shared" si="55"/>
        <v>5.7419973700668079</v>
      </c>
      <c r="AJ182" s="272">
        <f t="shared" si="68"/>
        <v>10</v>
      </c>
      <c r="AK182" s="272">
        <f t="shared" si="56"/>
        <v>5.7419973700668079</v>
      </c>
      <c r="AL182" s="272">
        <f t="shared" si="69"/>
        <v>10</v>
      </c>
      <c r="AM182" s="272">
        <f t="shared" si="57"/>
        <v>5.7419973700668079</v>
      </c>
      <c r="AN182" s="272">
        <f t="shared" si="70"/>
        <v>10</v>
      </c>
      <c r="AO182" s="272">
        <f t="shared" si="58"/>
        <v>5.7419973700668079</v>
      </c>
      <c r="AP182" s="272">
        <f t="shared" si="71"/>
        <v>10</v>
      </c>
      <c r="AQ182" s="272">
        <f t="shared" si="59"/>
        <v>5.7419973700668079</v>
      </c>
      <c r="AR182" s="272">
        <f t="shared" si="72"/>
        <v>10</v>
      </c>
      <c r="AS182" s="508">
        <f t="shared" si="60"/>
        <v>5.7419973700668079</v>
      </c>
    </row>
    <row r="183" spans="1:45" ht="12.75" customHeight="1">
      <c r="A183" s="96">
        <f>IF(MAX($F$104:F183)=$G$99,$G$99,F183)</f>
        <v>0</v>
      </c>
      <c r="B183" s="481">
        <v>80</v>
      </c>
      <c r="C183" s="96">
        <f t="shared" si="51"/>
        <v>0.12000000000000008</v>
      </c>
      <c r="D183" s="96">
        <f t="shared" si="73"/>
        <v>8.958610129698668</v>
      </c>
      <c r="E183" s="96">
        <f t="shared" si="74"/>
        <v>1</v>
      </c>
      <c r="F183" s="96">
        <f t="shared" si="75"/>
        <v>0</v>
      </c>
      <c r="G183" s="96">
        <f t="shared" si="78"/>
        <v>-0.29799999999999999</v>
      </c>
      <c r="I183" s="96">
        <f t="shared" si="76"/>
        <v>0</v>
      </c>
      <c r="J183" s="96">
        <f t="shared" si="77"/>
        <v>0.12000000000000008</v>
      </c>
      <c r="X183" s="96">
        <f t="shared" si="61"/>
        <v>6</v>
      </c>
      <c r="Y183" s="96">
        <v>1.31</v>
      </c>
      <c r="Z183" s="272">
        <f t="shared" si="63"/>
        <v>6</v>
      </c>
      <c r="AA183" s="519">
        <f t="shared" si="64"/>
        <v>4.4769638374152168</v>
      </c>
      <c r="AB183" s="516">
        <f t="shared" si="62"/>
        <v>8</v>
      </c>
      <c r="AC183" s="272">
        <f t="shared" si="52"/>
        <v>6.1973720212022716</v>
      </c>
      <c r="AD183" s="272">
        <f t="shared" si="65"/>
        <v>10</v>
      </c>
      <c r="AE183" s="272">
        <f t="shared" si="53"/>
        <v>5.7859130599928754</v>
      </c>
      <c r="AF183" s="272">
        <f t="shared" si="66"/>
        <v>10</v>
      </c>
      <c r="AG183" s="272">
        <f t="shared" si="54"/>
        <v>5.7859130599928754</v>
      </c>
      <c r="AH183" s="272">
        <f t="shared" si="67"/>
        <v>10</v>
      </c>
      <c r="AI183" s="272">
        <f t="shared" si="55"/>
        <v>5.7859130599928754</v>
      </c>
      <c r="AJ183" s="272">
        <f t="shared" si="68"/>
        <v>10</v>
      </c>
      <c r="AK183" s="272">
        <f t="shared" si="56"/>
        <v>5.7859130599928754</v>
      </c>
      <c r="AL183" s="272">
        <f t="shared" si="69"/>
        <v>10</v>
      </c>
      <c r="AM183" s="272">
        <f t="shared" si="57"/>
        <v>5.7859130599928754</v>
      </c>
      <c r="AN183" s="272">
        <f t="shared" si="70"/>
        <v>10</v>
      </c>
      <c r="AO183" s="272">
        <f t="shared" si="58"/>
        <v>5.7859130599928754</v>
      </c>
      <c r="AP183" s="272">
        <f t="shared" si="71"/>
        <v>10</v>
      </c>
      <c r="AQ183" s="272">
        <f t="shared" si="59"/>
        <v>5.7859130599928754</v>
      </c>
      <c r="AR183" s="272">
        <f t="shared" si="72"/>
        <v>10</v>
      </c>
      <c r="AS183" s="508">
        <f t="shared" si="60"/>
        <v>5.7859130599928754</v>
      </c>
    </row>
    <row r="184" spans="1:45" ht="12.75" customHeight="1">
      <c r="A184" s="96">
        <f>IF(MAX($F$104:F184)=$G$99,$G$99,F184)</f>
        <v>0</v>
      </c>
      <c r="B184" s="481">
        <v>81</v>
      </c>
      <c r="C184" s="96">
        <f t="shared" si="51"/>
        <v>0.12150000000000008</v>
      </c>
      <c r="D184" s="96">
        <f t="shared" si="73"/>
        <v>9.1839751657739015</v>
      </c>
      <c r="E184" s="96">
        <f t="shared" si="74"/>
        <v>1</v>
      </c>
      <c r="F184" s="96">
        <f t="shared" si="75"/>
        <v>0</v>
      </c>
      <c r="G184" s="96">
        <f t="shared" si="78"/>
        <v>-0.29799999999999999</v>
      </c>
      <c r="I184" s="96">
        <f t="shared" si="76"/>
        <v>0</v>
      </c>
      <c r="J184" s="96">
        <f t="shared" si="77"/>
        <v>0.12150000000000008</v>
      </c>
      <c r="X184" s="96">
        <f t="shared" si="61"/>
        <v>6</v>
      </c>
      <c r="Y184" s="517">
        <v>1.3049999999999999</v>
      </c>
      <c r="Z184" s="272">
        <f t="shared" si="63"/>
        <v>6</v>
      </c>
      <c r="AA184" s="519">
        <f t="shared" si="64"/>
        <v>4.5113357944764498</v>
      </c>
      <c r="AB184" s="516">
        <f t="shared" si="62"/>
        <v>8</v>
      </c>
      <c r="AC184" s="272">
        <f t="shared" si="52"/>
        <v>6.2449524379179513</v>
      </c>
      <c r="AD184" s="272">
        <f t="shared" si="65"/>
        <v>10</v>
      </c>
      <c r="AE184" s="272">
        <f t="shared" si="53"/>
        <v>5.8303344943578495</v>
      </c>
      <c r="AF184" s="272">
        <f t="shared" si="66"/>
        <v>10</v>
      </c>
      <c r="AG184" s="272">
        <f t="shared" si="54"/>
        <v>5.8303344943578495</v>
      </c>
      <c r="AH184" s="272">
        <f t="shared" si="67"/>
        <v>10</v>
      </c>
      <c r="AI184" s="272">
        <f t="shared" si="55"/>
        <v>5.8303344943578495</v>
      </c>
      <c r="AJ184" s="272">
        <f t="shared" si="68"/>
        <v>10</v>
      </c>
      <c r="AK184" s="272">
        <f t="shared" si="56"/>
        <v>5.8303344943578495</v>
      </c>
      <c r="AL184" s="272">
        <f t="shared" si="69"/>
        <v>10</v>
      </c>
      <c r="AM184" s="272">
        <f t="shared" si="57"/>
        <v>5.8303344943578495</v>
      </c>
      <c r="AN184" s="272">
        <f t="shared" si="70"/>
        <v>10</v>
      </c>
      <c r="AO184" s="272">
        <f t="shared" si="58"/>
        <v>5.8303344943578495</v>
      </c>
      <c r="AP184" s="272">
        <f t="shared" si="71"/>
        <v>10</v>
      </c>
      <c r="AQ184" s="272">
        <f t="shared" si="59"/>
        <v>5.8303344943578495</v>
      </c>
      <c r="AR184" s="272">
        <f t="shared" si="72"/>
        <v>10</v>
      </c>
      <c r="AS184" s="508">
        <f t="shared" si="60"/>
        <v>5.8303344943578495</v>
      </c>
    </row>
    <row r="185" spans="1:45" ht="12.75" customHeight="1">
      <c r="A185" s="96">
        <f>IF(MAX($F$104:F185)=$G$99,$G$99,F185)</f>
        <v>0</v>
      </c>
      <c r="B185" s="96">
        <v>82</v>
      </c>
      <c r="C185" s="96">
        <f t="shared" si="51"/>
        <v>0.12300000000000008</v>
      </c>
      <c r="D185" s="96">
        <f t="shared" si="73"/>
        <v>9.412139767514665</v>
      </c>
      <c r="E185" s="96">
        <f t="shared" si="74"/>
        <v>1</v>
      </c>
      <c r="F185" s="96">
        <f t="shared" si="75"/>
        <v>0</v>
      </c>
      <c r="G185" s="96">
        <f t="shared" si="78"/>
        <v>-0.29799999999999999</v>
      </c>
      <c r="I185" s="96">
        <f t="shared" si="76"/>
        <v>0</v>
      </c>
      <c r="J185" s="96">
        <f t="shared" si="77"/>
        <v>0.12300000000000008</v>
      </c>
      <c r="X185" s="96">
        <f t="shared" si="61"/>
        <v>6</v>
      </c>
      <c r="Y185" s="96">
        <v>1.3</v>
      </c>
      <c r="Z185" s="272">
        <f t="shared" si="63"/>
        <v>6</v>
      </c>
      <c r="AA185" s="519">
        <f t="shared" si="64"/>
        <v>4.5461051132474868</v>
      </c>
      <c r="AB185" s="516">
        <f t="shared" si="62"/>
        <v>8</v>
      </c>
      <c r="AC185" s="272">
        <f t="shared" si="52"/>
        <v>6.2930829145474654</v>
      </c>
      <c r="AD185" s="272">
        <f t="shared" si="65"/>
        <v>10</v>
      </c>
      <c r="AE185" s="272">
        <f t="shared" si="53"/>
        <v>5.8752694687892157</v>
      </c>
      <c r="AF185" s="272">
        <f t="shared" si="66"/>
        <v>10</v>
      </c>
      <c r="AG185" s="272">
        <f t="shared" si="54"/>
        <v>5.8752694687892157</v>
      </c>
      <c r="AH185" s="272">
        <f t="shared" si="67"/>
        <v>10</v>
      </c>
      <c r="AI185" s="272">
        <f t="shared" si="55"/>
        <v>5.8752694687892157</v>
      </c>
      <c r="AJ185" s="272">
        <f t="shared" si="68"/>
        <v>10</v>
      </c>
      <c r="AK185" s="272">
        <f t="shared" si="56"/>
        <v>5.8752694687892157</v>
      </c>
      <c r="AL185" s="272">
        <f t="shared" si="69"/>
        <v>10</v>
      </c>
      <c r="AM185" s="272">
        <f t="shared" si="57"/>
        <v>5.8752694687892157</v>
      </c>
      <c r="AN185" s="272">
        <f t="shared" si="70"/>
        <v>10</v>
      </c>
      <c r="AO185" s="272">
        <f t="shared" si="58"/>
        <v>5.8752694687892157</v>
      </c>
      <c r="AP185" s="272">
        <f t="shared" si="71"/>
        <v>10</v>
      </c>
      <c r="AQ185" s="272">
        <f t="shared" si="59"/>
        <v>5.8752694687892157</v>
      </c>
      <c r="AR185" s="272">
        <f t="shared" si="72"/>
        <v>10</v>
      </c>
      <c r="AS185" s="508">
        <f t="shared" si="60"/>
        <v>5.8752694687892157</v>
      </c>
    </row>
    <row r="186" spans="1:45" ht="12.75" customHeight="1">
      <c r="A186" s="96">
        <f>IF(MAX($F$104:F186)=$G$99,$G$99,F186)</f>
        <v>0</v>
      </c>
      <c r="B186" s="481">
        <v>83</v>
      </c>
      <c r="C186" s="96">
        <f t="shared" si="51"/>
        <v>0.12450000000000008</v>
      </c>
      <c r="D186" s="96">
        <f t="shared" si="73"/>
        <v>9.6431039349209584</v>
      </c>
      <c r="E186" s="96">
        <f t="shared" si="74"/>
        <v>1</v>
      </c>
      <c r="F186" s="96">
        <f t="shared" si="75"/>
        <v>0</v>
      </c>
      <c r="G186" s="96">
        <f t="shared" si="78"/>
        <v>-0.29799999999999999</v>
      </c>
      <c r="I186" s="96">
        <f t="shared" si="76"/>
        <v>0</v>
      </c>
      <c r="J186" s="96">
        <f t="shared" si="77"/>
        <v>0.12450000000000008</v>
      </c>
      <c r="X186" s="96">
        <f t="shared" si="61"/>
        <v>6</v>
      </c>
      <c r="Y186" s="517">
        <v>1.2949999999999999</v>
      </c>
      <c r="Z186" s="272">
        <f t="shared" si="63"/>
        <v>6</v>
      </c>
      <c r="AA186" s="519">
        <f t="shared" si="64"/>
        <v>4.5812779424208081</v>
      </c>
      <c r="AB186" s="516">
        <f t="shared" si="62"/>
        <v>8</v>
      </c>
      <c r="AC186" s="272">
        <f t="shared" si="52"/>
        <v>6.3417719626035494</v>
      </c>
      <c r="AD186" s="272">
        <f t="shared" si="65"/>
        <v>10</v>
      </c>
      <c r="AE186" s="272">
        <f t="shared" si="53"/>
        <v>5.9207259296991852</v>
      </c>
      <c r="AF186" s="272">
        <f t="shared" si="66"/>
        <v>10</v>
      </c>
      <c r="AG186" s="272">
        <f t="shared" si="54"/>
        <v>5.9207259296991852</v>
      </c>
      <c r="AH186" s="272">
        <f t="shared" si="67"/>
        <v>10</v>
      </c>
      <c r="AI186" s="272">
        <f t="shared" si="55"/>
        <v>5.9207259296991852</v>
      </c>
      <c r="AJ186" s="272">
        <f t="shared" si="68"/>
        <v>10</v>
      </c>
      <c r="AK186" s="272">
        <f t="shared" si="56"/>
        <v>5.9207259296991852</v>
      </c>
      <c r="AL186" s="272">
        <f t="shared" si="69"/>
        <v>10</v>
      </c>
      <c r="AM186" s="272">
        <f t="shared" si="57"/>
        <v>5.9207259296991852</v>
      </c>
      <c r="AN186" s="272">
        <f t="shared" si="70"/>
        <v>10</v>
      </c>
      <c r="AO186" s="272">
        <f t="shared" si="58"/>
        <v>5.9207259296991852</v>
      </c>
      <c r="AP186" s="272">
        <f t="shared" si="71"/>
        <v>10</v>
      </c>
      <c r="AQ186" s="272">
        <f t="shared" si="59"/>
        <v>5.9207259296991852</v>
      </c>
      <c r="AR186" s="272">
        <f t="shared" si="72"/>
        <v>10</v>
      </c>
      <c r="AS186" s="508">
        <f t="shared" si="60"/>
        <v>5.9207259296991852</v>
      </c>
    </row>
    <row r="187" spans="1:45" ht="12.75" customHeight="1">
      <c r="A187" s="96">
        <f>IF(MAX($F$104:F187)=$G$99,$G$99,F187)</f>
        <v>0</v>
      </c>
      <c r="B187" s="481">
        <v>84</v>
      </c>
      <c r="C187" s="96">
        <f t="shared" si="51"/>
        <v>0.12600000000000008</v>
      </c>
      <c r="D187" s="96">
        <f t="shared" si="73"/>
        <v>9.8768676679927836</v>
      </c>
      <c r="E187" s="96">
        <f t="shared" si="74"/>
        <v>1</v>
      </c>
      <c r="F187" s="96">
        <f t="shared" si="75"/>
        <v>0</v>
      </c>
      <c r="G187" s="96">
        <f t="shared" si="78"/>
        <v>-0.29799999999999999</v>
      </c>
      <c r="I187" s="96">
        <f t="shared" si="76"/>
        <v>0</v>
      </c>
      <c r="J187" s="96">
        <f t="shared" si="77"/>
        <v>0.12600000000000008</v>
      </c>
      <c r="X187" s="96">
        <f t="shared" si="61"/>
        <v>6</v>
      </c>
      <c r="Y187" s="96">
        <v>1.29</v>
      </c>
      <c r="Z187" s="272">
        <f t="shared" si="63"/>
        <v>6</v>
      </c>
      <c r="AA187" s="519">
        <f t="shared" si="64"/>
        <v>4.6168605500800748</v>
      </c>
      <c r="AB187" s="516">
        <f t="shared" si="62"/>
        <v>8</v>
      </c>
      <c r="AC187" s="272">
        <f t="shared" si="52"/>
        <v>6.39102825886979</v>
      </c>
      <c r="AD187" s="272">
        <f t="shared" si="65"/>
        <v>10</v>
      </c>
      <c r="AE187" s="272">
        <f t="shared" si="53"/>
        <v>5.9667119777980746</v>
      </c>
      <c r="AF187" s="272">
        <f t="shared" si="66"/>
        <v>10</v>
      </c>
      <c r="AG187" s="272">
        <f t="shared" si="54"/>
        <v>5.9667119777980746</v>
      </c>
      <c r="AH187" s="272">
        <f t="shared" si="67"/>
        <v>10</v>
      </c>
      <c r="AI187" s="272">
        <f t="shared" si="55"/>
        <v>5.9667119777980746</v>
      </c>
      <c r="AJ187" s="272">
        <f t="shared" si="68"/>
        <v>10</v>
      </c>
      <c r="AK187" s="272">
        <f t="shared" si="56"/>
        <v>5.9667119777980746</v>
      </c>
      <c r="AL187" s="272">
        <f t="shared" si="69"/>
        <v>10</v>
      </c>
      <c r="AM187" s="272">
        <f t="shared" si="57"/>
        <v>5.9667119777980746</v>
      </c>
      <c r="AN187" s="272">
        <f t="shared" si="70"/>
        <v>10</v>
      </c>
      <c r="AO187" s="272">
        <f t="shared" si="58"/>
        <v>5.9667119777980746</v>
      </c>
      <c r="AP187" s="272">
        <f t="shared" si="71"/>
        <v>10</v>
      </c>
      <c r="AQ187" s="272">
        <f t="shared" si="59"/>
        <v>5.9667119777980746</v>
      </c>
      <c r="AR187" s="272">
        <f t="shared" si="72"/>
        <v>10</v>
      </c>
      <c r="AS187" s="508">
        <f t="shared" si="60"/>
        <v>5.9667119777980746</v>
      </c>
    </row>
    <row r="188" spans="1:45" ht="12.75" customHeight="1">
      <c r="A188" s="96">
        <f>IF(MAX($F$104:F188)=$G$99,$G$99,F188)</f>
        <v>0</v>
      </c>
      <c r="B188" s="96">
        <v>85</v>
      </c>
      <c r="C188" s="96">
        <f t="shared" si="51"/>
        <v>0.12750000000000009</v>
      </c>
      <c r="D188" s="96">
        <f t="shared" si="73"/>
        <v>10.113430966730137</v>
      </c>
      <c r="E188" s="96">
        <f t="shared" si="74"/>
        <v>1</v>
      </c>
      <c r="F188" s="96">
        <f t="shared" si="75"/>
        <v>0</v>
      </c>
      <c r="G188" s="96">
        <f t="shared" si="78"/>
        <v>-0.29799999999999999</v>
      </c>
      <c r="I188" s="96">
        <f t="shared" si="76"/>
        <v>0</v>
      </c>
      <c r="J188" s="96">
        <f t="shared" si="77"/>
        <v>0.12750000000000009</v>
      </c>
      <c r="X188" s="96">
        <f t="shared" si="61"/>
        <v>7</v>
      </c>
      <c r="Y188" s="517">
        <v>1.2849999999999999</v>
      </c>
      <c r="Z188" s="272">
        <f t="shared" si="63"/>
        <v>7</v>
      </c>
      <c r="AA188" s="519">
        <f t="shared" si="64"/>
        <v>4.6528593264929095</v>
      </c>
      <c r="AB188" s="516">
        <f t="shared" si="62"/>
        <v>8</v>
      </c>
      <c r="AC188" s="272">
        <f t="shared" si="52"/>
        <v>6.440860649266587</v>
      </c>
      <c r="AD188" s="272">
        <f t="shared" si="65"/>
        <v>10</v>
      </c>
      <c r="AE188" s="272">
        <f t="shared" si="53"/>
        <v>6.013235871703599</v>
      </c>
      <c r="AF188" s="272">
        <f t="shared" si="66"/>
        <v>12</v>
      </c>
      <c r="AG188" s="272">
        <f t="shared" si="54"/>
        <v>5.7499436307214866</v>
      </c>
      <c r="AH188" s="272">
        <f t="shared" si="67"/>
        <v>10</v>
      </c>
      <c r="AI188" s="272">
        <f t="shared" si="55"/>
        <v>6.013235871703599</v>
      </c>
      <c r="AJ188" s="272">
        <f t="shared" si="68"/>
        <v>12</v>
      </c>
      <c r="AK188" s="272">
        <f t="shared" si="56"/>
        <v>5.7499436307214866</v>
      </c>
      <c r="AL188" s="272">
        <f t="shared" si="69"/>
        <v>10</v>
      </c>
      <c r="AM188" s="272">
        <f t="shared" si="57"/>
        <v>6.013235871703599</v>
      </c>
      <c r="AN188" s="272">
        <f t="shared" si="70"/>
        <v>12</v>
      </c>
      <c r="AO188" s="272">
        <f t="shared" si="58"/>
        <v>5.7499436307214866</v>
      </c>
      <c r="AP188" s="272">
        <f t="shared" si="71"/>
        <v>10</v>
      </c>
      <c r="AQ188" s="272">
        <f t="shared" si="59"/>
        <v>6.013235871703599</v>
      </c>
      <c r="AR188" s="272">
        <f t="shared" si="72"/>
        <v>12</v>
      </c>
      <c r="AS188" s="508">
        <f t="shared" si="60"/>
        <v>5.7499436307214866</v>
      </c>
    </row>
    <row r="189" spans="1:45" ht="12.75" customHeight="1">
      <c r="A189" s="96">
        <f>IF(MAX($F$104:F189)=$G$99,$G$99,F189)</f>
        <v>0</v>
      </c>
      <c r="B189" s="481">
        <v>86</v>
      </c>
      <c r="C189" s="96">
        <f t="shared" si="51"/>
        <v>0.12900000000000009</v>
      </c>
      <c r="D189" s="96">
        <f t="shared" si="73"/>
        <v>10.352793831133026</v>
      </c>
      <c r="E189" s="96">
        <f t="shared" si="74"/>
        <v>1</v>
      </c>
      <c r="F189" s="96">
        <f t="shared" si="75"/>
        <v>0</v>
      </c>
      <c r="G189" s="96">
        <f t="shared" si="78"/>
        <v>-0.29799999999999999</v>
      </c>
      <c r="I189" s="96">
        <f t="shared" si="76"/>
        <v>0</v>
      </c>
      <c r="J189" s="96">
        <f t="shared" si="77"/>
        <v>0.12900000000000009</v>
      </c>
      <c r="X189" s="96">
        <f t="shared" si="61"/>
        <v>7</v>
      </c>
      <c r="Y189" s="96">
        <v>1.28</v>
      </c>
      <c r="Z189" s="272">
        <f t="shared" si="63"/>
        <v>7</v>
      </c>
      <c r="AA189" s="519">
        <f t="shared" si="64"/>
        <v>4.6892807869801363</v>
      </c>
      <c r="AB189" s="516">
        <f t="shared" si="62"/>
        <v>8</v>
      </c>
      <c r="AC189" s="272">
        <f t="shared" si="52"/>
        <v>6.4912781528230079</v>
      </c>
      <c r="AD189" s="272">
        <f t="shared" si="65"/>
        <v>10</v>
      </c>
      <c r="AE189" s="272">
        <f t="shared" si="53"/>
        <v>6.0603060316490316</v>
      </c>
      <c r="AF189" s="272">
        <f t="shared" si="66"/>
        <v>12</v>
      </c>
      <c r="AG189" s="272">
        <f t="shared" si="54"/>
        <v>5.79495280251348</v>
      </c>
      <c r="AH189" s="272">
        <f t="shared" si="67"/>
        <v>10</v>
      </c>
      <c r="AI189" s="272">
        <f t="shared" si="55"/>
        <v>6.0603060316490316</v>
      </c>
      <c r="AJ189" s="272">
        <f t="shared" si="68"/>
        <v>12</v>
      </c>
      <c r="AK189" s="272">
        <f t="shared" si="56"/>
        <v>5.79495280251348</v>
      </c>
      <c r="AL189" s="272">
        <f t="shared" si="69"/>
        <v>10</v>
      </c>
      <c r="AM189" s="272">
        <f t="shared" si="57"/>
        <v>6.0603060316490316</v>
      </c>
      <c r="AN189" s="272">
        <f t="shared" si="70"/>
        <v>12</v>
      </c>
      <c r="AO189" s="272">
        <f t="shared" si="58"/>
        <v>5.79495280251348</v>
      </c>
      <c r="AP189" s="272">
        <f t="shared" si="71"/>
        <v>10</v>
      </c>
      <c r="AQ189" s="272">
        <f t="shared" si="59"/>
        <v>6.0603060316490316</v>
      </c>
      <c r="AR189" s="272">
        <f t="shared" si="72"/>
        <v>12</v>
      </c>
      <c r="AS189" s="508">
        <f t="shared" si="60"/>
        <v>5.79495280251348</v>
      </c>
    </row>
    <row r="190" spans="1:45" ht="12.75" customHeight="1">
      <c r="A190" s="96">
        <f>IF(MAX($F$104:F190)=$G$99,$G$99,F190)</f>
        <v>0</v>
      </c>
      <c r="B190" s="481">
        <v>87</v>
      </c>
      <c r="C190" s="96">
        <f t="shared" si="51"/>
        <v>0.13050000000000009</v>
      </c>
      <c r="D190" s="96">
        <f t="shared" si="73"/>
        <v>10.594956261201443</v>
      </c>
      <c r="E190" s="96">
        <f t="shared" si="74"/>
        <v>1</v>
      </c>
      <c r="F190" s="96">
        <f t="shared" si="75"/>
        <v>0</v>
      </c>
      <c r="G190" s="96">
        <f t="shared" si="78"/>
        <v>-0.29799999999999999</v>
      </c>
      <c r="I190" s="96">
        <f t="shared" si="76"/>
        <v>0</v>
      </c>
      <c r="J190" s="96">
        <f t="shared" si="77"/>
        <v>0.13050000000000009</v>
      </c>
      <c r="X190" s="96">
        <f t="shared" si="61"/>
        <v>7</v>
      </c>
      <c r="Y190" s="517">
        <v>1.2749999999999999</v>
      </c>
      <c r="Z190" s="272">
        <f t="shared" si="63"/>
        <v>7</v>
      </c>
      <c r="AA190" s="519">
        <f t="shared" si="64"/>
        <v>4.7261315748639792</v>
      </c>
      <c r="AB190" s="516">
        <f t="shared" si="62"/>
        <v>8</v>
      </c>
      <c r="AC190" s="272">
        <f t="shared" si="52"/>
        <v>6.542289965757921</v>
      </c>
      <c r="AD190" s="272">
        <f t="shared" si="65"/>
        <v>10</v>
      </c>
      <c r="AE190" s="272">
        <f t="shared" si="53"/>
        <v>6.107931043293366</v>
      </c>
      <c r="AF190" s="272">
        <f t="shared" si="66"/>
        <v>12</v>
      </c>
      <c r="AG190" s="272">
        <f t="shared" si="54"/>
        <v>5.8404925315728331</v>
      </c>
      <c r="AH190" s="272">
        <f t="shared" si="67"/>
        <v>10</v>
      </c>
      <c r="AI190" s="272">
        <f t="shared" si="55"/>
        <v>6.107931043293366</v>
      </c>
      <c r="AJ190" s="272">
        <f t="shared" si="68"/>
        <v>12</v>
      </c>
      <c r="AK190" s="272">
        <f t="shared" si="56"/>
        <v>5.8404925315728331</v>
      </c>
      <c r="AL190" s="272">
        <f t="shared" si="69"/>
        <v>10</v>
      </c>
      <c r="AM190" s="272">
        <f t="shared" si="57"/>
        <v>6.107931043293366</v>
      </c>
      <c r="AN190" s="272">
        <f t="shared" si="70"/>
        <v>12</v>
      </c>
      <c r="AO190" s="272">
        <f t="shared" si="58"/>
        <v>5.8404925315728331</v>
      </c>
      <c r="AP190" s="272">
        <f t="shared" si="71"/>
        <v>10</v>
      </c>
      <c r="AQ190" s="272">
        <f t="shared" si="59"/>
        <v>6.107931043293366</v>
      </c>
      <c r="AR190" s="272">
        <f t="shared" si="72"/>
        <v>12</v>
      </c>
      <c r="AS190" s="508">
        <f t="shared" si="60"/>
        <v>5.8404925315728331</v>
      </c>
    </row>
    <row r="191" spans="1:45" ht="12.75" customHeight="1">
      <c r="A191" s="96">
        <f>IF(MAX($F$104:F191)=$G$99,$G$99,F191)</f>
        <v>0</v>
      </c>
      <c r="B191" s="96">
        <v>88</v>
      </c>
      <c r="C191" s="96">
        <f t="shared" si="51"/>
        <v>0.13200000000000009</v>
      </c>
      <c r="D191" s="96">
        <f t="shared" si="73"/>
        <v>10.839918256935389</v>
      </c>
      <c r="E191" s="96">
        <f t="shared" si="74"/>
        <v>1</v>
      </c>
      <c r="F191" s="96">
        <f t="shared" si="75"/>
        <v>0</v>
      </c>
      <c r="G191" s="96">
        <f t="shared" si="78"/>
        <v>-0.29799999999999999</v>
      </c>
      <c r="I191" s="96">
        <f t="shared" si="76"/>
        <v>0</v>
      </c>
      <c r="J191" s="96">
        <f t="shared" si="77"/>
        <v>0.13200000000000009</v>
      </c>
      <c r="X191" s="96">
        <f t="shared" si="61"/>
        <v>7</v>
      </c>
      <c r="Y191" s="96">
        <v>1.27</v>
      </c>
      <c r="Z191" s="272">
        <f t="shared" si="63"/>
        <v>7</v>
      </c>
      <c r="AA191" s="519">
        <f t="shared" si="64"/>
        <v>4.7634184644976454</v>
      </c>
      <c r="AB191" s="516">
        <f t="shared" si="62"/>
        <v>8</v>
      </c>
      <c r="AC191" s="272">
        <f t="shared" si="52"/>
        <v>6.5939054656737666</v>
      </c>
      <c r="AD191" s="272">
        <f t="shared" si="65"/>
        <v>10</v>
      </c>
      <c r="AE191" s="272">
        <f t="shared" si="53"/>
        <v>6.156119661636664</v>
      </c>
      <c r="AF191" s="272">
        <f t="shared" si="66"/>
        <v>12</v>
      </c>
      <c r="AG191" s="272">
        <f t="shared" si="54"/>
        <v>5.8865711895579933</v>
      </c>
      <c r="AH191" s="272">
        <f t="shared" si="67"/>
        <v>10</v>
      </c>
      <c r="AI191" s="272">
        <f t="shared" si="55"/>
        <v>6.156119661636664</v>
      </c>
      <c r="AJ191" s="272">
        <f t="shared" si="68"/>
        <v>12</v>
      </c>
      <c r="AK191" s="272">
        <f t="shared" si="56"/>
        <v>5.8865711895579933</v>
      </c>
      <c r="AL191" s="272">
        <f t="shared" si="69"/>
        <v>10</v>
      </c>
      <c r="AM191" s="272">
        <f t="shared" si="57"/>
        <v>6.156119661636664</v>
      </c>
      <c r="AN191" s="272">
        <f t="shared" si="70"/>
        <v>12</v>
      </c>
      <c r="AO191" s="272">
        <f t="shared" si="58"/>
        <v>5.8865711895579933</v>
      </c>
      <c r="AP191" s="272">
        <f t="shared" si="71"/>
        <v>10</v>
      </c>
      <c r="AQ191" s="272">
        <f t="shared" si="59"/>
        <v>6.156119661636664</v>
      </c>
      <c r="AR191" s="272">
        <f t="shared" si="72"/>
        <v>12</v>
      </c>
      <c r="AS191" s="508">
        <f t="shared" si="60"/>
        <v>5.8865711895579933</v>
      </c>
    </row>
    <row r="192" spans="1:45" ht="12.75" customHeight="1">
      <c r="A192" s="96">
        <f>IF(MAX($F$104:F192)=$G$99,$G$99,F192)</f>
        <v>0</v>
      </c>
      <c r="B192" s="481">
        <v>89</v>
      </c>
      <c r="C192" s="96">
        <f t="shared" si="51"/>
        <v>0.13350000000000009</v>
      </c>
      <c r="D192" s="96">
        <f t="shared" si="73"/>
        <v>11.08767981833487</v>
      </c>
      <c r="E192" s="96">
        <f t="shared" si="74"/>
        <v>1</v>
      </c>
      <c r="F192" s="96">
        <f t="shared" si="75"/>
        <v>0</v>
      </c>
      <c r="G192" s="96">
        <f t="shared" si="78"/>
        <v>-0.29799999999999999</v>
      </c>
      <c r="I192" s="96">
        <f t="shared" si="76"/>
        <v>0</v>
      </c>
      <c r="J192" s="96">
        <f t="shared" si="77"/>
        <v>0.13350000000000009</v>
      </c>
      <c r="X192" s="96">
        <f t="shared" si="61"/>
        <v>7</v>
      </c>
      <c r="Y192" s="517">
        <v>1.2649999999999999</v>
      </c>
      <c r="Z192" s="272">
        <f t="shared" si="63"/>
        <v>7</v>
      </c>
      <c r="AA192" s="519">
        <f t="shared" si="64"/>
        <v>4.8011483643789186</v>
      </c>
      <c r="AB192" s="516">
        <f t="shared" si="62"/>
        <v>8</v>
      </c>
      <c r="AC192" s="272">
        <f t="shared" si="52"/>
        <v>6.6461342158666561</v>
      </c>
      <c r="AD192" s="272">
        <f t="shared" si="65"/>
        <v>10</v>
      </c>
      <c r="AE192" s="272">
        <f t="shared" si="53"/>
        <v>6.2048808150439951</v>
      </c>
      <c r="AF192" s="272">
        <f t="shared" si="66"/>
        <v>12</v>
      </c>
      <c r="AG192" s="272">
        <f t="shared" si="54"/>
        <v>5.9331973139015375</v>
      </c>
      <c r="AH192" s="272">
        <f t="shared" si="67"/>
        <v>10</v>
      </c>
      <c r="AI192" s="272">
        <f t="shared" si="55"/>
        <v>6.2048808150439951</v>
      </c>
      <c r="AJ192" s="272">
        <f t="shared" si="68"/>
        <v>12</v>
      </c>
      <c r="AK192" s="272">
        <f t="shared" si="56"/>
        <v>5.9331973139015375</v>
      </c>
      <c r="AL192" s="272">
        <f t="shared" si="69"/>
        <v>10</v>
      </c>
      <c r="AM192" s="272">
        <f t="shared" si="57"/>
        <v>6.2048808150439951</v>
      </c>
      <c r="AN192" s="272">
        <f t="shared" si="70"/>
        <v>12</v>
      </c>
      <c r="AO192" s="272">
        <f t="shared" si="58"/>
        <v>5.9331973139015375</v>
      </c>
      <c r="AP192" s="272">
        <f t="shared" si="71"/>
        <v>10</v>
      </c>
      <c r="AQ192" s="272">
        <f t="shared" si="59"/>
        <v>6.2048808150439951</v>
      </c>
      <c r="AR192" s="272">
        <f t="shared" si="72"/>
        <v>12</v>
      </c>
      <c r="AS192" s="508">
        <f t="shared" si="60"/>
        <v>5.9331973139015375</v>
      </c>
    </row>
    <row r="193" spans="1:45" ht="12.75" customHeight="1">
      <c r="A193" s="96">
        <f>IF(MAX($F$104:F193)=$G$99,$G$99,F193)</f>
        <v>0</v>
      </c>
      <c r="B193" s="481">
        <v>90</v>
      </c>
      <c r="C193" s="96">
        <f t="shared" si="51"/>
        <v>0.13500000000000009</v>
      </c>
      <c r="D193" s="96">
        <f t="shared" si="73"/>
        <v>11.338240945399878</v>
      </c>
      <c r="E193" s="96">
        <f t="shared" si="74"/>
        <v>1</v>
      </c>
      <c r="F193" s="96">
        <f t="shared" si="75"/>
        <v>0</v>
      </c>
      <c r="G193" s="96">
        <f t="shared" si="78"/>
        <v>-0.29799999999999999</v>
      </c>
      <c r="I193" s="96">
        <f t="shared" si="76"/>
        <v>0</v>
      </c>
      <c r="J193" s="96">
        <f t="shared" si="77"/>
        <v>0.13500000000000009</v>
      </c>
      <c r="X193" s="96">
        <f t="shared" si="61"/>
        <v>7</v>
      </c>
      <c r="Y193" s="96">
        <v>1.26</v>
      </c>
      <c r="Z193" s="272">
        <f t="shared" si="63"/>
        <v>7</v>
      </c>
      <c r="AA193" s="519">
        <f t="shared" si="64"/>
        <v>4.8393283203503739</v>
      </c>
      <c r="AB193" s="516">
        <f t="shared" si="62"/>
        <v>8</v>
      </c>
      <c r="AC193" s="272">
        <f t="shared" si="52"/>
        <v>6.6989859697563725</v>
      </c>
      <c r="AD193" s="272">
        <f t="shared" si="65"/>
        <v>10</v>
      </c>
      <c r="AE193" s="272">
        <f t="shared" si="53"/>
        <v>6.2542236093813157</v>
      </c>
      <c r="AF193" s="272">
        <f t="shared" si="66"/>
        <v>12</v>
      </c>
      <c r="AG193" s="272">
        <f t="shared" si="54"/>
        <v>5.9803796117649819</v>
      </c>
      <c r="AH193" s="272">
        <f t="shared" si="67"/>
        <v>10</v>
      </c>
      <c r="AI193" s="272">
        <f t="shared" si="55"/>
        <v>6.2542236093813157</v>
      </c>
      <c r="AJ193" s="272">
        <f t="shared" si="68"/>
        <v>12</v>
      </c>
      <c r="AK193" s="272">
        <f t="shared" si="56"/>
        <v>5.9803796117649819</v>
      </c>
      <c r="AL193" s="272">
        <f t="shared" si="69"/>
        <v>10</v>
      </c>
      <c r="AM193" s="272">
        <f t="shared" si="57"/>
        <v>6.2542236093813157</v>
      </c>
      <c r="AN193" s="272">
        <f t="shared" si="70"/>
        <v>12</v>
      </c>
      <c r="AO193" s="272">
        <f t="shared" si="58"/>
        <v>5.9803796117649819</v>
      </c>
      <c r="AP193" s="272">
        <f t="shared" si="71"/>
        <v>10</v>
      </c>
      <c r="AQ193" s="272">
        <f t="shared" si="59"/>
        <v>6.2542236093813157</v>
      </c>
      <c r="AR193" s="272">
        <f t="shared" si="72"/>
        <v>12</v>
      </c>
      <c r="AS193" s="508">
        <f t="shared" si="60"/>
        <v>5.9803796117649819</v>
      </c>
    </row>
    <row r="194" spans="1:45" ht="12.75" customHeight="1">
      <c r="A194" s="96">
        <f>IF(MAX($F$104:F194)=$G$99,$G$99,F194)</f>
        <v>0</v>
      </c>
      <c r="B194" s="96">
        <v>91</v>
      </c>
      <c r="C194" s="96">
        <f t="shared" si="51"/>
        <v>0.13650000000000009</v>
      </c>
      <c r="D194" s="96">
        <f t="shared" si="73"/>
        <v>11.591601638130417</v>
      </c>
      <c r="E194" s="96">
        <f t="shared" si="74"/>
        <v>1</v>
      </c>
      <c r="F194" s="96">
        <f t="shared" si="75"/>
        <v>0</v>
      </c>
      <c r="G194" s="96">
        <f t="shared" si="78"/>
        <v>-0.29799999999999999</v>
      </c>
      <c r="I194" s="96">
        <f t="shared" si="76"/>
        <v>0</v>
      </c>
      <c r="J194" s="96">
        <f t="shared" si="77"/>
        <v>0.13650000000000009</v>
      </c>
      <c r="X194" s="96">
        <f t="shared" si="61"/>
        <v>7</v>
      </c>
      <c r="Y194" s="517">
        <v>1.2549999999999899</v>
      </c>
      <c r="Z194" s="272">
        <f t="shared" si="63"/>
        <v>7</v>
      </c>
      <c r="AA194" s="519">
        <f t="shared" si="64"/>
        <v>4.8779655188891464</v>
      </c>
      <c r="AB194" s="516">
        <f t="shared" si="62"/>
        <v>8</v>
      </c>
      <c r="AC194" s="272">
        <f t="shared" si="52"/>
        <v>6.7524706754403194</v>
      </c>
      <c r="AD194" s="272">
        <f t="shared" si="65"/>
        <v>10</v>
      </c>
      <c r="AE194" s="272">
        <f t="shared" si="53"/>
        <v>6.3041573322670654</v>
      </c>
      <c r="AF194" s="272">
        <f t="shared" si="66"/>
        <v>12</v>
      </c>
      <c r="AG194" s="272">
        <f t="shared" si="54"/>
        <v>6.0281269641042137</v>
      </c>
      <c r="AH194" s="272">
        <f t="shared" si="67"/>
        <v>12</v>
      </c>
      <c r="AI194" s="272">
        <f t="shared" si="55"/>
        <v>6.0281269641042137</v>
      </c>
      <c r="AJ194" s="272">
        <f t="shared" si="68"/>
        <v>12</v>
      </c>
      <c r="AK194" s="272">
        <f t="shared" si="56"/>
        <v>6.0281269641042137</v>
      </c>
      <c r="AL194" s="272">
        <f t="shared" si="69"/>
        <v>12</v>
      </c>
      <c r="AM194" s="272">
        <f t="shared" si="57"/>
        <v>6.0281269641042137</v>
      </c>
      <c r="AN194" s="272">
        <f t="shared" si="70"/>
        <v>12</v>
      </c>
      <c r="AO194" s="272">
        <f t="shared" si="58"/>
        <v>6.0281269641042137</v>
      </c>
      <c r="AP194" s="272">
        <f t="shared" si="71"/>
        <v>12</v>
      </c>
      <c r="AQ194" s="272">
        <f t="shared" si="59"/>
        <v>6.0281269641042137</v>
      </c>
      <c r="AR194" s="272">
        <f t="shared" si="72"/>
        <v>12</v>
      </c>
      <c r="AS194" s="508">
        <f t="shared" si="60"/>
        <v>6.0281269641042137</v>
      </c>
    </row>
    <row r="195" spans="1:45" ht="12.75" customHeight="1">
      <c r="A195" s="96">
        <f>IF(MAX($F$104:F195)=$G$99,$G$99,F195)</f>
        <v>0</v>
      </c>
      <c r="B195" s="481">
        <v>92</v>
      </c>
      <c r="C195" s="96">
        <f t="shared" ref="C195:C258" si="79">C194+$C$99</f>
        <v>0.13800000000000009</v>
      </c>
      <c r="D195" s="96">
        <f t="shared" si="73"/>
        <v>11.847761896526491</v>
      </c>
      <c r="E195" s="96">
        <f t="shared" si="74"/>
        <v>1</v>
      </c>
      <c r="F195" s="96">
        <f t="shared" si="75"/>
        <v>0</v>
      </c>
      <c r="G195" s="96">
        <f t="shared" si="78"/>
        <v>-0.29799999999999999</v>
      </c>
      <c r="I195" s="96">
        <f t="shared" si="76"/>
        <v>0</v>
      </c>
      <c r="J195" s="96">
        <f t="shared" si="77"/>
        <v>0.13800000000000009</v>
      </c>
      <c r="X195" s="96">
        <f t="shared" si="61"/>
        <v>7</v>
      </c>
      <c r="Y195" s="96">
        <v>1.24999999999999</v>
      </c>
      <c r="Z195" s="272">
        <f t="shared" si="63"/>
        <v>7</v>
      </c>
      <c r="AA195" s="519">
        <f t="shared" si="64"/>
        <v>4.9170672904885615</v>
      </c>
      <c r="AB195" s="516">
        <f t="shared" si="62"/>
        <v>8</v>
      </c>
      <c r="AC195" s="272">
        <f t="shared" si="52"/>
        <v>6.8065984803746487</v>
      </c>
      <c r="AD195" s="272">
        <f t="shared" si="65"/>
        <v>10</v>
      </c>
      <c r="AE195" s="272">
        <f t="shared" si="53"/>
        <v>6.3546914574425184</v>
      </c>
      <c r="AF195" s="272">
        <f t="shared" si="66"/>
        <v>12</v>
      </c>
      <c r="AG195" s="272">
        <f t="shared" si="54"/>
        <v>6.0764484298484724</v>
      </c>
      <c r="AH195" s="272">
        <f t="shared" si="67"/>
        <v>12</v>
      </c>
      <c r="AI195" s="272">
        <f t="shared" si="55"/>
        <v>6.0764484298484724</v>
      </c>
      <c r="AJ195" s="272">
        <f t="shared" si="68"/>
        <v>12</v>
      </c>
      <c r="AK195" s="272">
        <f t="shared" si="56"/>
        <v>6.0764484298484724</v>
      </c>
      <c r="AL195" s="272">
        <f t="shared" si="69"/>
        <v>12</v>
      </c>
      <c r="AM195" s="272">
        <f t="shared" si="57"/>
        <v>6.0764484298484724</v>
      </c>
      <c r="AN195" s="272">
        <f t="shared" si="70"/>
        <v>12</v>
      </c>
      <c r="AO195" s="272">
        <f t="shared" si="58"/>
        <v>6.0764484298484724</v>
      </c>
      <c r="AP195" s="272">
        <f t="shared" si="71"/>
        <v>12</v>
      </c>
      <c r="AQ195" s="272">
        <f t="shared" si="59"/>
        <v>6.0764484298484724</v>
      </c>
      <c r="AR195" s="272">
        <f t="shared" si="72"/>
        <v>12</v>
      </c>
      <c r="AS195" s="508">
        <f t="shared" si="60"/>
        <v>6.0764484298484724</v>
      </c>
    </row>
    <row r="196" spans="1:45" ht="12.75" customHeight="1">
      <c r="A196" s="96">
        <f>IF(MAX($F$104:F196)=$G$99,$G$99,F196)</f>
        <v>0</v>
      </c>
      <c r="B196" s="481">
        <v>93</v>
      </c>
      <c r="C196" s="96">
        <f t="shared" si="79"/>
        <v>0.1395000000000001</v>
      </c>
      <c r="D196" s="96">
        <f t="shared" si="73"/>
        <v>12.106721720588091</v>
      </c>
      <c r="E196" s="96">
        <f t="shared" si="74"/>
        <v>1</v>
      </c>
      <c r="F196" s="96">
        <f t="shared" si="75"/>
        <v>0</v>
      </c>
      <c r="G196" s="96">
        <f t="shared" si="78"/>
        <v>-0.29799999999999999</v>
      </c>
      <c r="I196" s="96">
        <f t="shared" si="76"/>
        <v>0</v>
      </c>
      <c r="J196" s="96">
        <f t="shared" si="77"/>
        <v>0.1395000000000001</v>
      </c>
      <c r="X196" s="96">
        <f t="shared" si="61"/>
        <v>7</v>
      </c>
      <c r="Y196" s="517">
        <v>1.2449999999999899</v>
      </c>
      <c r="Z196" s="272">
        <f t="shared" si="63"/>
        <v>7</v>
      </c>
      <c r="AA196" s="519">
        <f t="shared" si="64"/>
        <v>4.9566411131358388</v>
      </c>
      <c r="AB196" s="516">
        <f t="shared" si="62"/>
        <v>8</v>
      </c>
      <c r="AC196" s="272">
        <f t="shared" si="52"/>
        <v>6.8613797361883773</v>
      </c>
      <c r="AD196" s="272">
        <f t="shared" si="65"/>
        <v>10</v>
      </c>
      <c r="AE196" s="272">
        <f t="shared" si="53"/>
        <v>6.40583564926626</v>
      </c>
      <c r="AF196" s="272">
        <f t="shared" si="66"/>
        <v>12</v>
      </c>
      <c r="AG196" s="272">
        <f t="shared" si="54"/>
        <v>6.1253532501980548</v>
      </c>
      <c r="AH196" s="272">
        <f t="shared" si="67"/>
        <v>12</v>
      </c>
      <c r="AI196" s="272">
        <f t="shared" si="55"/>
        <v>6.1253532501980548</v>
      </c>
      <c r="AJ196" s="272">
        <f t="shared" si="68"/>
        <v>12</v>
      </c>
      <c r="AK196" s="272">
        <f t="shared" si="56"/>
        <v>6.1253532501980548</v>
      </c>
      <c r="AL196" s="272">
        <f t="shared" si="69"/>
        <v>12</v>
      </c>
      <c r="AM196" s="272">
        <f t="shared" si="57"/>
        <v>6.1253532501980548</v>
      </c>
      <c r="AN196" s="272">
        <f t="shared" si="70"/>
        <v>12</v>
      </c>
      <c r="AO196" s="272">
        <f t="shared" si="58"/>
        <v>6.1253532501980548</v>
      </c>
      <c r="AP196" s="272">
        <f t="shared" si="71"/>
        <v>12</v>
      </c>
      <c r="AQ196" s="272">
        <f t="shared" si="59"/>
        <v>6.1253532501980548</v>
      </c>
      <c r="AR196" s="272">
        <f t="shared" si="72"/>
        <v>12</v>
      </c>
      <c r="AS196" s="508">
        <f t="shared" si="60"/>
        <v>6.1253532501980548</v>
      </c>
    </row>
    <row r="197" spans="1:45" ht="12.75" customHeight="1">
      <c r="A197" s="96">
        <f>IF(MAX($F$104:F197)=$G$99,$G$99,F197)</f>
        <v>0</v>
      </c>
      <c r="B197" s="96">
        <v>94</v>
      </c>
      <c r="C197" s="96">
        <f t="shared" si="79"/>
        <v>0.1410000000000001</v>
      </c>
      <c r="D197" s="96">
        <f t="shared" si="73"/>
        <v>12.368481110315225</v>
      </c>
      <c r="E197" s="96">
        <f t="shared" si="74"/>
        <v>1</v>
      </c>
      <c r="F197" s="96">
        <f t="shared" si="75"/>
        <v>0</v>
      </c>
      <c r="G197" s="96">
        <f t="shared" si="78"/>
        <v>-0.29799999999999999</v>
      </c>
      <c r="I197" s="96">
        <f t="shared" si="76"/>
        <v>0</v>
      </c>
      <c r="J197" s="96">
        <f t="shared" si="77"/>
        <v>0.1410000000000001</v>
      </c>
      <c r="X197" s="96">
        <f t="shared" si="61"/>
        <v>7</v>
      </c>
      <c r="Y197" s="96">
        <v>1.23999999999999</v>
      </c>
      <c r="Z197" s="272">
        <f t="shared" si="63"/>
        <v>7</v>
      </c>
      <c r="AA197" s="519">
        <f t="shared" si="64"/>
        <v>4.9966946158873426</v>
      </c>
      <c r="AB197" s="516">
        <f t="shared" si="62"/>
        <v>8</v>
      </c>
      <c r="AC197" s="272">
        <f t="shared" si="52"/>
        <v>6.9168250036325372</v>
      </c>
      <c r="AD197" s="272">
        <f t="shared" si="65"/>
        <v>10</v>
      </c>
      <c r="AE197" s="272">
        <f t="shared" si="53"/>
        <v>6.4575997673347656</v>
      </c>
      <c r="AF197" s="272">
        <f t="shared" si="66"/>
        <v>12</v>
      </c>
      <c r="AG197" s="272">
        <f t="shared" si="54"/>
        <v>6.1748508530425603</v>
      </c>
      <c r="AH197" s="272">
        <f t="shared" si="67"/>
        <v>12</v>
      </c>
      <c r="AI197" s="272">
        <f t="shared" si="55"/>
        <v>6.1748508530425603</v>
      </c>
      <c r="AJ197" s="272">
        <f t="shared" si="68"/>
        <v>12</v>
      </c>
      <c r="AK197" s="272">
        <f t="shared" si="56"/>
        <v>6.1748508530425603</v>
      </c>
      <c r="AL197" s="272">
        <f t="shared" si="69"/>
        <v>12</v>
      </c>
      <c r="AM197" s="272">
        <f t="shared" si="57"/>
        <v>6.1748508530425603</v>
      </c>
      <c r="AN197" s="272">
        <f t="shared" si="70"/>
        <v>12</v>
      </c>
      <c r="AO197" s="272">
        <f t="shared" si="58"/>
        <v>6.1748508530425603</v>
      </c>
      <c r="AP197" s="272">
        <f t="shared" si="71"/>
        <v>12</v>
      </c>
      <c r="AQ197" s="272">
        <f t="shared" si="59"/>
        <v>6.1748508530425603</v>
      </c>
      <c r="AR197" s="272">
        <f t="shared" si="72"/>
        <v>12</v>
      </c>
      <c r="AS197" s="508">
        <f t="shared" si="60"/>
        <v>6.1748508530425603</v>
      </c>
    </row>
    <row r="198" spans="1:45" ht="12.75" customHeight="1">
      <c r="A198" s="96">
        <f>IF(MAX($F$104:F198)=$G$99,$G$99,F198)</f>
        <v>0</v>
      </c>
      <c r="B198" s="481">
        <v>95</v>
      </c>
      <c r="C198" s="96">
        <f t="shared" si="79"/>
        <v>0.1425000000000001</v>
      </c>
      <c r="D198" s="96">
        <f t="shared" si="73"/>
        <v>12.63304006570789</v>
      </c>
      <c r="E198" s="96">
        <f t="shared" si="74"/>
        <v>1</v>
      </c>
      <c r="F198" s="96">
        <f t="shared" si="75"/>
        <v>0</v>
      </c>
      <c r="G198" s="96">
        <f t="shared" si="78"/>
        <v>-0.29799999999999999</v>
      </c>
      <c r="I198" s="96">
        <f t="shared" si="76"/>
        <v>0</v>
      </c>
      <c r="J198" s="96">
        <f t="shared" si="77"/>
        <v>0.1425000000000001</v>
      </c>
      <c r="X198" s="96">
        <f t="shared" si="61"/>
        <v>7</v>
      </c>
      <c r="Y198" s="517">
        <v>1.2349999999999901</v>
      </c>
      <c r="Z198" s="272">
        <f t="shared" si="63"/>
        <v>7</v>
      </c>
      <c r="AA198" s="519">
        <f t="shared" si="64"/>
        <v>5.0372355825457733</v>
      </c>
      <c r="AB198" s="516">
        <f t="shared" si="62"/>
        <v>10</v>
      </c>
      <c r="AC198" s="272">
        <f t="shared" si="52"/>
        <v>6.509993871234693</v>
      </c>
      <c r="AD198" s="272">
        <f t="shared" si="65"/>
        <v>12</v>
      </c>
      <c r="AE198" s="272">
        <f t="shared" si="53"/>
        <v>6.2249508575051147</v>
      </c>
      <c r="AF198" s="272">
        <f t="shared" si="66"/>
        <v>12</v>
      </c>
      <c r="AG198" s="272">
        <f t="shared" si="54"/>
        <v>6.2249508575051147</v>
      </c>
      <c r="AH198" s="272">
        <f t="shared" si="67"/>
        <v>12</v>
      </c>
      <c r="AI198" s="272">
        <f t="shared" si="55"/>
        <v>6.2249508575051147</v>
      </c>
      <c r="AJ198" s="272">
        <f t="shared" si="68"/>
        <v>12</v>
      </c>
      <c r="AK198" s="272">
        <f t="shared" si="56"/>
        <v>6.2249508575051147</v>
      </c>
      <c r="AL198" s="272">
        <f t="shared" si="69"/>
        <v>12</v>
      </c>
      <c r="AM198" s="272">
        <f t="shared" si="57"/>
        <v>6.2249508575051147</v>
      </c>
      <c r="AN198" s="272">
        <f t="shared" si="70"/>
        <v>12</v>
      </c>
      <c r="AO198" s="272">
        <f t="shared" si="58"/>
        <v>6.2249508575051147</v>
      </c>
      <c r="AP198" s="272">
        <f t="shared" si="71"/>
        <v>12</v>
      </c>
      <c r="AQ198" s="272">
        <f t="shared" si="59"/>
        <v>6.2249508575051147</v>
      </c>
      <c r="AR198" s="272">
        <f t="shared" si="72"/>
        <v>12</v>
      </c>
      <c r="AS198" s="508">
        <f t="shared" si="60"/>
        <v>6.2249508575051147</v>
      </c>
    </row>
    <row r="199" spans="1:45" ht="12.75" customHeight="1">
      <c r="A199" s="96">
        <f>IF(MAX($F$104:F199)=$G$99,$G$99,F199)</f>
        <v>0</v>
      </c>
      <c r="B199" s="481">
        <v>96</v>
      </c>
      <c r="C199" s="96">
        <f t="shared" si="79"/>
        <v>0.1440000000000001</v>
      </c>
      <c r="D199" s="96">
        <f t="shared" si="73"/>
        <v>12.900398586766084</v>
      </c>
      <c r="E199" s="96">
        <f t="shared" si="74"/>
        <v>1</v>
      </c>
      <c r="F199" s="96">
        <f t="shared" si="75"/>
        <v>0</v>
      </c>
      <c r="G199" s="96">
        <f t="shared" si="78"/>
        <v>-0.29799999999999999</v>
      </c>
      <c r="I199" s="96">
        <f t="shared" si="76"/>
        <v>0</v>
      </c>
      <c r="J199" s="96">
        <f t="shared" si="77"/>
        <v>0.1440000000000001</v>
      </c>
      <c r="X199" s="96">
        <f t="shared" si="61"/>
        <v>7</v>
      </c>
      <c r="Y199" s="96">
        <v>1.22999999999999</v>
      </c>
      <c r="Z199" s="272">
        <f t="shared" si="63"/>
        <v>7</v>
      </c>
      <c r="AA199" s="519">
        <f t="shared" si="64"/>
        <v>5.0782719554421174</v>
      </c>
      <c r="AB199" s="516">
        <f t="shared" si="62"/>
        <v>10</v>
      </c>
      <c r="AC199" s="272">
        <f t="shared" si="52"/>
        <v>6.5630282254305889</v>
      </c>
      <c r="AD199" s="272">
        <f t="shared" si="65"/>
        <v>12</v>
      </c>
      <c r="AE199" s="272">
        <f t="shared" si="53"/>
        <v>6.2756630786160628</v>
      </c>
      <c r="AF199" s="272">
        <f t="shared" si="66"/>
        <v>12</v>
      </c>
      <c r="AG199" s="272">
        <f t="shared" si="54"/>
        <v>6.2756630786160628</v>
      </c>
      <c r="AH199" s="272">
        <f t="shared" si="67"/>
        <v>12</v>
      </c>
      <c r="AI199" s="272">
        <f t="shared" si="55"/>
        <v>6.2756630786160628</v>
      </c>
      <c r="AJ199" s="272">
        <f t="shared" si="68"/>
        <v>12</v>
      </c>
      <c r="AK199" s="272">
        <f t="shared" si="56"/>
        <v>6.2756630786160628</v>
      </c>
      <c r="AL199" s="272">
        <f t="shared" si="69"/>
        <v>12</v>
      </c>
      <c r="AM199" s="272">
        <f t="shared" si="57"/>
        <v>6.2756630786160628</v>
      </c>
      <c r="AN199" s="272">
        <f t="shared" si="70"/>
        <v>12</v>
      </c>
      <c r="AO199" s="272">
        <f t="shared" si="58"/>
        <v>6.2756630786160628</v>
      </c>
      <c r="AP199" s="272">
        <f t="shared" si="71"/>
        <v>12</v>
      </c>
      <c r="AQ199" s="272">
        <f t="shared" si="59"/>
        <v>6.2756630786160628</v>
      </c>
      <c r="AR199" s="272">
        <f t="shared" si="72"/>
        <v>12</v>
      </c>
      <c r="AS199" s="508">
        <f t="shared" si="60"/>
        <v>6.2756630786160628</v>
      </c>
    </row>
    <row r="200" spans="1:45" ht="12.75" customHeight="1">
      <c r="A200" s="96">
        <f>IF(MAX($F$104:F200)=$G$99,$G$99,F200)</f>
        <v>0</v>
      </c>
      <c r="B200" s="96">
        <v>97</v>
      </c>
      <c r="C200" s="96">
        <f t="shared" si="79"/>
        <v>0.1455000000000001</v>
      </c>
      <c r="D200" s="96">
        <f t="shared" si="73"/>
        <v>13.170556673489809</v>
      </c>
      <c r="E200" s="96">
        <f t="shared" si="74"/>
        <v>1</v>
      </c>
      <c r="F200" s="96">
        <f t="shared" si="75"/>
        <v>0</v>
      </c>
      <c r="G200" s="96">
        <f t="shared" si="78"/>
        <v>-0.29799999999999999</v>
      </c>
      <c r="I200" s="96">
        <f t="shared" si="76"/>
        <v>0</v>
      </c>
      <c r="J200" s="96">
        <f t="shared" si="77"/>
        <v>0.1455000000000001</v>
      </c>
      <c r="X200" s="96">
        <f t="shared" si="61"/>
        <v>7</v>
      </c>
      <c r="Y200" s="517">
        <v>1.2249999999999901</v>
      </c>
      <c r="Z200" s="272">
        <f t="shared" si="63"/>
        <v>7</v>
      </c>
      <c r="AA200" s="519">
        <f t="shared" si="64"/>
        <v>5.1198118393258669</v>
      </c>
      <c r="AB200" s="516">
        <f t="shared" si="62"/>
        <v>10</v>
      </c>
      <c r="AC200" s="272">
        <f t="shared" si="52"/>
        <v>6.6167133042925022</v>
      </c>
      <c r="AD200" s="272">
        <f t="shared" si="65"/>
        <v>12</v>
      </c>
      <c r="AE200" s="272">
        <f t="shared" si="53"/>
        <v>6.3269975321204424</v>
      </c>
      <c r="AF200" s="272">
        <f t="shared" si="66"/>
        <v>12</v>
      </c>
      <c r="AG200" s="272">
        <f t="shared" si="54"/>
        <v>6.3269975321204424</v>
      </c>
      <c r="AH200" s="272">
        <f t="shared" si="67"/>
        <v>12</v>
      </c>
      <c r="AI200" s="272">
        <f t="shared" si="55"/>
        <v>6.3269975321204424</v>
      </c>
      <c r="AJ200" s="272">
        <f t="shared" si="68"/>
        <v>12</v>
      </c>
      <c r="AK200" s="272">
        <f t="shared" si="56"/>
        <v>6.3269975321204424</v>
      </c>
      <c r="AL200" s="272">
        <f t="shared" si="69"/>
        <v>12</v>
      </c>
      <c r="AM200" s="272">
        <f t="shared" si="57"/>
        <v>6.3269975321204424</v>
      </c>
      <c r="AN200" s="272">
        <f t="shared" si="70"/>
        <v>12</v>
      </c>
      <c r="AO200" s="272">
        <f t="shared" si="58"/>
        <v>6.3269975321204424</v>
      </c>
      <c r="AP200" s="272">
        <f t="shared" si="71"/>
        <v>12</v>
      </c>
      <c r="AQ200" s="272">
        <f t="shared" si="59"/>
        <v>6.3269975321204424</v>
      </c>
      <c r="AR200" s="272">
        <f t="shared" si="72"/>
        <v>12</v>
      </c>
      <c r="AS200" s="508">
        <f t="shared" si="60"/>
        <v>6.3269975321204424</v>
      </c>
    </row>
    <row r="201" spans="1:45" ht="12.75" customHeight="1">
      <c r="A201" s="96">
        <f>IF(MAX($F$104:F201)=$G$99,$G$99,F201)</f>
        <v>0</v>
      </c>
      <c r="B201" s="481">
        <v>98</v>
      </c>
      <c r="C201" s="96">
        <f t="shared" si="79"/>
        <v>0.1470000000000001</v>
      </c>
      <c r="D201" s="96">
        <f t="shared" si="73"/>
        <v>13.443514325879066</v>
      </c>
      <c r="E201" s="96">
        <f t="shared" si="74"/>
        <v>1</v>
      </c>
      <c r="F201" s="96">
        <f t="shared" si="75"/>
        <v>0</v>
      </c>
      <c r="G201" s="96">
        <f t="shared" si="78"/>
        <v>-0.29799999999999999</v>
      </c>
      <c r="I201" s="96">
        <f t="shared" si="76"/>
        <v>0</v>
      </c>
      <c r="J201" s="96">
        <f t="shared" si="77"/>
        <v>0.1470000000000001</v>
      </c>
      <c r="X201" s="96">
        <f t="shared" si="61"/>
        <v>7</v>
      </c>
      <c r="Y201" s="96">
        <v>1.21999999999999</v>
      </c>
      <c r="Z201" s="272">
        <f t="shared" si="63"/>
        <v>7</v>
      </c>
      <c r="AA201" s="519">
        <f t="shared" si="64"/>
        <v>5.1618635053670925</v>
      </c>
      <c r="AB201" s="516">
        <f t="shared" si="62"/>
        <v>10</v>
      </c>
      <c r="AC201" s="272">
        <f t="shared" si="52"/>
        <v>6.6710597972681667</v>
      </c>
      <c r="AD201" s="272">
        <f t="shared" si="65"/>
        <v>12</v>
      </c>
      <c r="AE201" s="272">
        <f t="shared" si="53"/>
        <v>6.3789644394237053</v>
      </c>
      <c r="AF201" s="272">
        <f t="shared" si="66"/>
        <v>12</v>
      </c>
      <c r="AG201" s="272">
        <f t="shared" si="54"/>
        <v>6.3789644394237053</v>
      </c>
      <c r="AH201" s="272">
        <f t="shared" si="67"/>
        <v>12</v>
      </c>
      <c r="AI201" s="272">
        <f t="shared" si="55"/>
        <v>6.3789644394237053</v>
      </c>
      <c r="AJ201" s="272">
        <f t="shared" si="68"/>
        <v>12</v>
      </c>
      <c r="AK201" s="272">
        <f t="shared" si="56"/>
        <v>6.3789644394237053</v>
      </c>
      <c r="AL201" s="272">
        <f t="shared" si="69"/>
        <v>12</v>
      </c>
      <c r="AM201" s="272">
        <f t="shared" si="57"/>
        <v>6.3789644394237053</v>
      </c>
      <c r="AN201" s="272">
        <f t="shared" si="70"/>
        <v>12</v>
      </c>
      <c r="AO201" s="272">
        <f t="shared" si="58"/>
        <v>6.3789644394237053</v>
      </c>
      <c r="AP201" s="272">
        <f t="shared" si="71"/>
        <v>12</v>
      </c>
      <c r="AQ201" s="272">
        <f t="shared" si="59"/>
        <v>6.3789644394237053</v>
      </c>
      <c r="AR201" s="272">
        <f t="shared" si="72"/>
        <v>12</v>
      </c>
      <c r="AS201" s="508">
        <f t="shared" si="60"/>
        <v>6.3789644394237053</v>
      </c>
    </row>
    <row r="202" spans="1:45" ht="12.75" customHeight="1">
      <c r="A202" s="96">
        <f>IF(MAX($F$104:F202)=$G$99,$G$99,F202)</f>
        <v>0</v>
      </c>
      <c r="B202" s="481">
        <v>99</v>
      </c>
      <c r="C202" s="96">
        <f t="shared" si="79"/>
        <v>0.1485000000000001</v>
      </c>
      <c r="D202" s="96">
        <f t="shared" si="73"/>
        <v>13.719271543933852</v>
      </c>
      <c r="E202" s="96">
        <f t="shared" si="74"/>
        <v>1</v>
      </c>
      <c r="F202" s="96">
        <f t="shared" si="75"/>
        <v>0</v>
      </c>
      <c r="G202" s="96">
        <f t="shared" si="78"/>
        <v>-0.29799999999999999</v>
      </c>
      <c r="I202" s="96">
        <f t="shared" si="76"/>
        <v>0</v>
      </c>
      <c r="J202" s="96">
        <f t="shared" si="77"/>
        <v>0.1485000000000001</v>
      </c>
      <c r="X202" s="96">
        <f t="shared" si="61"/>
        <v>7</v>
      </c>
      <c r="Y202" s="517">
        <v>1.2149999999999901</v>
      </c>
      <c r="Z202" s="272">
        <f t="shared" si="63"/>
        <v>7</v>
      </c>
      <c r="AA202" s="519">
        <f t="shared" si="64"/>
        <v>5.2044353952740119</v>
      </c>
      <c r="AB202" s="516">
        <f t="shared" si="62"/>
        <v>10</v>
      </c>
      <c r="AC202" s="272">
        <f t="shared" si="52"/>
        <v>6.7260786142044307</v>
      </c>
      <c r="AD202" s="272">
        <f t="shared" si="65"/>
        <v>12</v>
      </c>
      <c r="AE202" s="272">
        <f t="shared" si="53"/>
        <v>6.4315742326801413</v>
      </c>
      <c r="AF202" s="272">
        <f t="shared" si="66"/>
        <v>12</v>
      </c>
      <c r="AG202" s="272">
        <f t="shared" si="54"/>
        <v>6.4315742326801413</v>
      </c>
      <c r="AH202" s="272">
        <f t="shared" si="67"/>
        <v>12</v>
      </c>
      <c r="AI202" s="272">
        <f t="shared" si="55"/>
        <v>6.4315742326801413</v>
      </c>
      <c r="AJ202" s="272">
        <f t="shared" si="68"/>
        <v>12</v>
      </c>
      <c r="AK202" s="272">
        <f t="shared" si="56"/>
        <v>6.4315742326801413</v>
      </c>
      <c r="AL202" s="272">
        <f t="shared" si="69"/>
        <v>12</v>
      </c>
      <c r="AM202" s="272">
        <f t="shared" si="57"/>
        <v>6.4315742326801413</v>
      </c>
      <c r="AN202" s="272">
        <f t="shared" si="70"/>
        <v>12</v>
      </c>
      <c r="AO202" s="272">
        <f t="shared" si="58"/>
        <v>6.4315742326801413</v>
      </c>
      <c r="AP202" s="272">
        <f t="shared" si="71"/>
        <v>12</v>
      </c>
      <c r="AQ202" s="272">
        <f t="shared" si="59"/>
        <v>6.4315742326801413</v>
      </c>
      <c r="AR202" s="272">
        <f t="shared" si="72"/>
        <v>12</v>
      </c>
      <c r="AS202" s="508">
        <f t="shared" si="60"/>
        <v>6.4315742326801413</v>
      </c>
    </row>
    <row r="203" spans="1:45" ht="12.75" customHeight="1">
      <c r="A203" s="96">
        <f>IF(MAX($F$104:F203)=$G$99,$G$99,F203)</f>
        <v>0</v>
      </c>
      <c r="B203" s="96">
        <v>100</v>
      </c>
      <c r="C203" s="96">
        <f t="shared" si="79"/>
        <v>0.15000000000000011</v>
      </c>
      <c r="D203" s="96">
        <f t="shared" si="73"/>
        <v>13.997828327654171</v>
      </c>
      <c r="E203" s="96">
        <f t="shared" si="74"/>
        <v>1</v>
      </c>
      <c r="F203" s="96">
        <f t="shared" si="75"/>
        <v>0</v>
      </c>
      <c r="G203" s="96">
        <f t="shared" si="78"/>
        <v>-0.29799999999999999</v>
      </c>
      <c r="I203" s="96">
        <f t="shared" si="76"/>
        <v>0</v>
      </c>
      <c r="J203" s="96">
        <f t="shared" si="77"/>
        <v>0.15000000000000011</v>
      </c>
      <c r="X203" s="96">
        <f t="shared" si="61"/>
        <v>7</v>
      </c>
      <c r="Y203" s="96">
        <v>1.20999999999999</v>
      </c>
      <c r="Z203" s="272">
        <f t="shared" si="63"/>
        <v>7</v>
      </c>
      <c r="AA203" s="519">
        <f t="shared" si="64"/>
        <v>5.2475361255299378</v>
      </c>
      <c r="AB203" s="516">
        <f t="shared" si="62"/>
        <v>10</v>
      </c>
      <c r="AC203" s="272">
        <f t="shared" si="52"/>
        <v>6.7817808908229908</v>
      </c>
      <c r="AD203" s="272">
        <f t="shared" si="65"/>
        <v>12</v>
      </c>
      <c r="AE203" s="272">
        <f t="shared" si="53"/>
        <v>6.4848375600288524</v>
      </c>
      <c r="AF203" s="272">
        <f t="shared" si="66"/>
        <v>12</v>
      </c>
      <c r="AG203" s="272">
        <f t="shared" si="54"/>
        <v>6.4848375600288524</v>
      </c>
      <c r="AH203" s="272">
        <f t="shared" si="67"/>
        <v>12</v>
      </c>
      <c r="AI203" s="272">
        <f t="shared" si="55"/>
        <v>6.4848375600288524</v>
      </c>
      <c r="AJ203" s="272">
        <f t="shared" si="68"/>
        <v>12</v>
      </c>
      <c r="AK203" s="272">
        <f t="shared" si="56"/>
        <v>6.4848375600288524</v>
      </c>
      <c r="AL203" s="272">
        <f t="shared" si="69"/>
        <v>12</v>
      </c>
      <c r="AM203" s="272">
        <f t="shared" si="57"/>
        <v>6.4848375600288524</v>
      </c>
      <c r="AN203" s="272">
        <f t="shared" si="70"/>
        <v>12</v>
      </c>
      <c r="AO203" s="272">
        <f t="shared" si="58"/>
        <v>6.4848375600288524</v>
      </c>
      <c r="AP203" s="272">
        <f t="shared" si="71"/>
        <v>12</v>
      </c>
      <c r="AQ203" s="272">
        <f t="shared" si="59"/>
        <v>6.4848375600288524</v>
      </c>
      <c r="AR203" s="272">
        <f t="shared" si="72"/>
        <v>12</v>
      </c>
      <c r="AS203" s="508">
        <f t="shared" si="60"/>
        <v>6.4848375600288524</v>
      </c>
    </row>
    <row r="204" spans="1:45" ht="12.75" customHeight="1">
      <c r="A204" s="96">
        <f>IF(MAX($F$104:F204)=$G$99,$G$99,F204)</f>
        <v>0</v>
      </c>
      <c r="B204" s="481">
        <v>101</v>
      </c>
      <c r="C204" s="96">
        <f t="shared" si="79"/>
        <v>0.15150000000000011</v>
      </c>
      <c r="D204" s="96">
        <f t="shared" si="73"/>
        <v>14.279184677040019</v>
      </c>
      <c r="E204" s="96">
        <f t="shared" si="74"/>
        <v>1</v>
      </c>
      <c r="F204" s="96">
        <f t="shared" si="75"/>
        <v>0</v>
      </c>
      <c r="G204" s="96">
        <f t="shared" si="78"/>
        <v>-0.29799999999999999</v>
      </c>
      <c r="I204" s="96">
        <f t="shared" si="76"/>
        <v>0</v>
      </c>
      <c r="J204" s="96">
        <f t="shared" si="77"/>
        <v>0.15150000000000011</v>
      </c>
      <c r="X204" s="96">
        <f t="shared" si="61"/>
        <v>7</v>
      </c>
      <c r="Y204" s="517">
        <v>1.2049999999999901</v>
      </c>
      <c r="Z204" s="272">
        <f t="shared" si="63"/>
        <v>7</v>
      </c>
      <c r="AA204" s="519">
        <f t="shared" si="64"/>
        <v>5.2911744917535035</v>
      </c>
      <c r="AB204" s="516">
        <f t="shared" si="62"/>
        <v>10</v>
      </c>
      <c r="AC204" s="272">
        <f t="shared" si="52"/>
        <v>6.8381779943554264</v>
      </c>
      <c r="AD204" s="272">
        <f t="shared" si="65"/>
        <v>12</v>
      </c>
      <c r="AE204" s="272">
        <f t="shared" si="53"/>
        <v>6.538765290982071</v>
      </c>
      <c r="AF204" s="272">
        <f t="shared" si="66"/>
        <v>12</v>
      </c>
      <c r="AG204" s="272">
        <f t="shared" si="54"/>
        <v>6.538765290982071</v>
      </c>
      <c r="AH204" s="272">
        <f t="shared" si="67"/>
        <v>12</v>
      </c>
      <c r="AI204" s="272">
        <f t="shared" si="55"/>
        <v>6.538765290982071</v>
      </c>
      <c r="AJ204" s="272">
        <f t="shared" si="68"/>
        <v>12</v>
      </c>
      <c r="AK204" s="272">
        <f t="shared" si="56"/>
        <v>6.538765290982071</v>
      </c>
      <c r="AL204" s="272">
        <f t="shared" si="69"/>
        <v>12</v>
      </c>
      <c r="AM204" s="272">
        <f t="shared" si="57"/>
        <v>6.538765290982071</v>
      </c>
      <c r="AN204" s="272">
        <f t="shared" si="70"/>
        <v>12</v>
      </c>
      <c r="AO204" s="272">
        <f t="shared" si="58"/>
        <v>6.538765290982071</v>
      </c>
      <c r="AP204" s="272">
        <f t="shared" si="71"/>
        <v>12</v>
      </c>
      <c r="AQ204" s="272">
        <f t="shared" si="59"/>
        <v>6.538765290982071</v>
      </c>
      <c r="AR204" s="272">
        <f t="shared" si="72"/>
        <v>12</v>
      </c>
      <c r="AS204" s="508">
        <f t="shared" si="60"/>
        <v>6.538765290982071</v>
      </c>
    </row>
    <row r="205" spans="1:45" ht="12.75" customHeight="1">
      <c r="A205" s="96">
        <f>IF(MAX($F$104:F205)=$G$99,$G$99,F205)</f>
        <v>0</v>
      </c>
      <c r="B205" s="481">
        <v>102</v>
      </c>
      <c r="C205" s="96">
        <f t="shared" si="79"/>
        <v>0.15300000000000011</v>
      </c>
      <c r="D205" s="96">
        <f t="shared" si="73"/>
        <v>14.5633405920914</v>
      </c>
      <c r="E205" s="96">
        <f t="shared" si="74"/>
        <v>1</v>
      </c>
      <c r="F205" s="96">
        <f t="shared" si="75"/>
        <v>0</v>
      </c>
      <c r="G205" s="96">
        <f t="shared" si="78"/>
        <v>-0.29799999999999999</v>
      </c>
      <c r="I205" s="96">
        <f t="shared" si="76"/>
        <v>0</v>
      </c>
      <c r="J205" s="96">
        <f t="shared" si="77"/>
        <v>0.15300000000000011</v>
      </c>
      <c r="X205" s="96">
        <f t="shared" si="61"/>
        <v>7</v>
      </c>
      <c r="Y205" s="96">
        <v>1.19999999999999</v>
      </c>
      <c r="Z205" s="272">
        <f t="shared" si="63"/>
        <v>7</v>
      </c>
      <c r="AA205" s="519">
        <f t="shared" si="64"/>
        <v>5.3353594731863767</v>
      </c>
      <c r="AB205" s="516">
        <f t="shared" si="62"/>
        <v>10</v>
      </c>
      <c r="AC205" s="272">
        <f t="shared" si="52"/>
        <v>6.8952815293430145</v>
      </c>
      <c r="AD205" s="272">
        <f t="shared" si="65"/>
        <v>12</v>
      </c>
      <c r="AE205" s="272">
        <f t="shared" si="53"/>
        <v>6.5933685219710041</v>
      </c>
      <c r="AF205" s="272">
        <f t="shared" si="66"/>
        <v>12</v>
      </c>
      <c r="AG205" s="272">
        <f t="shared" si="54"/>
        <v>6.5933685219710041</v>
      </c>
      <c r="AH205" s="272">
        <f t="shared" si="67"/>
        <v>12</v>
      </c>
      <c r="AI205" s="272">
        <f t="shared" si="55"/>
        <v>6.5933685219710041</v>
      </c>
      <c r="AJ205" s="272">
        <f t="shared" si="68"/>
        <v>12</v>
      </c>
      <c r="AK205" s="272">
        <f t="shared" si="56"/>
        <v>6.5933685219710041</v>
      </c>
      <c r="AL205" s="272">
        <f t="shared" si="69"/>
        <v>12</v>
      </c>
      <c r="AM205" s="272">
        <f t="shared" si="57"/>
        <v>6.5933685219710041</v>
      </c>
      <c r="AN205" s="272">
        <f t="shared" si="70"/>
        <v>12</v>
      </c>
      <c r="AO205" s="272">
        <f t="shared" si="58"/>
        <v>6.5933685219710041</v>
      </c>
      <c r="AP205" s="272">
        <f t="shared" si="71"/>
        <v>12</v>
      </c>
      <c r="AQ205" s="272">
        <f t="shared" si="59"/>
        <v>6.5933685219710041</v>
      </c>
      <c r="AR205" s="272">
        <f t="shared" si="72"/>
        <v>12</v>
      </c>
      <c r="AS205" s="508">
        <f t="shared" si="60"/>
        <v>6.5933685219710041</v>
      </c>
    </row>
    <row r="206" spans="1:45" ht="12.75" customHeight="1">
      <c r="A206" s="96">
        <f>IF(MAX($F$104:F206)=$G$99,$G$99,F206)</f>
        <v>0</v>
      </c>
      <c r="B206" s="96">
        <v>103</v>
      </c>
      <c r="C206" s="96">
        <f t="shared" si="79"/>
        <v>0.15450000000000011</v>
      </c>
      <c r="D206" s="96">
        <f t="shared" si="73"/>
        <v>14.850296072808311</v>
      </c>
      <c r="E206" s="96">
        <f t="shared" si="74"/>
        <v>1</v>
      </c>
      <c r="F206" s="96">
        <f t="shared" si="75"/>
        <v>0</v>
      </c>
      <c r="G206" s="96">
        <f t="shared" si="78"/>
        <v>-0.29799999999999999</v>
      </c>
      <c r="I206" s="96">
        <f t="shared" si="76"/>
        <v>0</v>
      </c>
      <c r="J206" s="96">
        <f t="shared" si="77"/>
        <v>0.15450000000000011</v>
      </c>
      <c r="X206" s="96">
        <f t="shared" si="61"/>
        <v>7</v>
      </c>
      <c r="Y206" s="517">
        <v>1.1949999999999901</v>
      </c>
      <c r="Z206" s="272">
        <f t="shared" si="63"/>
        <v>7</v>
      </c>
      <c r="AA206" s="519">
        <f t="shared" si="64"/>
        <v>5.3801002373126385</v>
      </c>
      <c r="AB206" s="516">
        <f t="shared" si="62"/>
        <v>10</v>
      </c>
      <c r="AC206" s="272">
        <f t="shared" si="52"/>
        <v>6.9531033436066885</v>
      </c>
      <c r="AD206" s="272">
        <f t="shared" si="65"/>
        <v>12</v>
      </c>
      <c r="AE206" s="272">
        <f t="shared" si="53"/>
        <v>6.6486585820544066</v>
      </c>
      <c r="AF206" s="272">
        <f t="shared" si="66"/>
        <v>12</v>
      </c>
      <c r="AG206" s="272">
        <f t="shared" si="54"/>
        <v>6.6486585820544066</v>
      </c>
      <c r="AH206" s="272">
        <f t="shared" si="67"/>
        <v>12</v>
      </c>
      <c r="AI206" s="272">
        <f t="shared" si="55"/>
        <v>6.6486585820544066</v>
      </c>
      <c r="AJ206" s="272">
        <f t="shared" si="68"/>
        <v>12</v>
      </c>
      <c r="AK206" s="272">
        <f t="shared" si="56"/>
        <v>6.6486585820544066</v>
      </c>
      <c r="AL206" s="272">
        <f t="shared" si="69"/>
        <v>12</v>
      </c>
      <c r="AM206" s="272">
        <f t="shared" si="57"/>
        <v>6.6486585820544066</v>
      </c>
      <c r="AN206" s="272">
        <f t="shared" si="70"/>
        <v>12</v>
      </c>
      <c r="AO206" s="272">
        <f t="shared" si="58"/>
        <v>6.6486585820544066</v>
      </c>
      <c r="AP206" s="272">
        <f t="shared" si="71"/>
        <v>12</v>
      </c>
      <c r="AQ206" s="272">
        <f t="shared" si="59"/>
        <v>6.6486585820544066</v>
      </c>
      <c r="AR206" s="272">
        <f t="shared" si="72"/>
        <v>12</v>
      </c>
      <c r="AS206" s="508">
        <f t="shared" si="60"/>
        <v>6.6486585820544066</v>
      </c>
    </row>
    <row r="207" spans="1:45" ht="12.75" customHeight="1">
      <c r="A207" s="96">
        <f>IF(MAX($F$104:F207)=$G$99,$G$99,F207)</f>
        <v>0</v>
      </c>
      <c r="B207" s="481">
        <v>104</v>
      </c>
      <c r="C207" s="96">
        <f t="shared" si="79"/>
        <v>0.15600000000000011</v>
      </c>
      <c r="D207" s="96">
        <f t="shared" si="73"/>
        <v>15.140051119190751</v>
      </c>
      <c r="E207" s="96">
        <f t="shared" si="74"/>
        <v>1</v>
      </c>
      <c r="F207" s="96">
        <f t="shared" si="75"/>
        <v>0</v>
      </c>
      <c r="G207" s="96">
        <f t="shared" si="78"/>
        <v>-0.29799999999999999</v>
      </c>
      <c r="I207" s="96">
        <f t="shared" si="76"/>
        <v>0</v>
      </c>
      <c r="J207" s="96">
        <f t="shared" si="77"/>
        <v>0.15600000000000011</v>
      </c>
      <c r="X207" s="96">
        <f t="shared" si="61"/>
        <v>7</v>
      </c>
      <c r="Y207" s="96">
        <v>1.18999999999999</v>
      </c>
      <c r="Z207" s="272">
        <f t="shared" si="63"/>
        <v>7</v>
      </c>
      <c r="AA207" s="519">
        <f t="shared" si="64"/>
        <v>5.4254061446143522</v>
      </c>
      <c r="AB207" s="516">
        <f t="shared" si="62"/>
        <v>10</v>
      </c>
      <c r="AC207" s="272">
        <f t="shared" si="52"/>
        <v>7.0116555343930118</v>
      </c>
      <c r="AD207" s="272">
        <f t="shared" si="65"/>
        <v>12</v>
      </c>
      <c r="AE207" s="272">
        <f t="shared" si="53"/>
        <v>6.7046470387954562</v>
      </c>
      <c r="AF207" s="272">
        <f t="shared" si="66"/>
        <v>12</v>
      </c>
      <c r="AG207" s="272">
        <f t="shared" si="54"/>
        <v>6.7046470387954562</v>
      </c>
      <c r="AH207" s="272">
        <f t="shared" si="67"/>
        <v>12</v>
      </c>
      <c r="AI207" s="272">
        <f t="shared" si="55"/>
        <v>6.7046470387954562</v>
      </c>
      <c r="AJ207" s="272">
        <f t="shared" si="68"/>
        <v>12</v>
      </c>
      <c r="AK207" s="272">
        <f t="shared" si="56"/>
        <v>6.7046470387954562</v>
      </c>
      <c r="AL207" s="272">
        <f t="shared" si="69"/>
        <v>12</v>
      </c>
      <c r="AM207" s="272">
        <f t="shared" si="57"/>
        <v>6.7046470387954562</v>
      </c>
      <c r="AN207" s="272">
        <f t="shared" si="70"/>
        <v>12</v>
      </c>
      <c r="AO207" s="272">
        <f t="shared" si="58"/>
        <v>6.7046470387954562</v>
      </c>
      <c r="AP207" s="272">
        <f t="shared" si="71"/>
        <v>12</v>
      </c>
      <c r="AQ207" s="272">
        <f t="shared" si="59"/>
        <v>6.7046470387954562</v>
      </c>
      <c r="AR207" s="272">
        <f t="shared" si="72"/>
        <v>12</v>
      </c>
      <c r="AS207" s="508">
        <f t="shared" si="60"/>
        <v>6.7046470387954562</v>
      </c>
    </row>
    <row r="208" spans="1:45" ht="12.75" customHeight="1">
      <c r="A208" s="96">
        <f>IF(MAX($F$104:F208)=$G$99,$G$99,F208)</f>
        <v>0</v>
      </c>
      <c r="B208" s="481">
        <v>105</v>
      </c>
      <c r="C208" s="96">
        <f t="shared" si="79"/>
        <v>0.15750000000000011</v>
      </c>
      <c r="D208" s="96">
        <f t="shared" si="73"/>
        <v>15.432605731238725</v>
      </c>
      <c r="E208" s="96">
        <f t="shared" si="74"/>
        <v>1</v>
      </c>
      <c r="F208" s="96">
        <f t="shared" si="75"/>
        <v>0</v>
      </c>
      <c r="G208" s="96">
        <f t="shared" si="78"/>
        <v>-0.29799999999999999</v>
      </c>
      <c r="I208" s="96">
        <f t="shared" si="76"/>
        <v>0</v>
      </c>
      <c r="J208" s="96">
        <f t="shared" si="77"/>
        <v>0.15750000000000011</v>
      </c>
      <c r="X208" s="96">
        <f t="shared" si="61"/>
        <v>7</v>
      </c>
      <c r="Y208" s="517">
        <v>1.1849999999999901</v>
      </c>
      <c r="Z208" s="272">
        <f t="shared" si="63"/>
        <v>7</v>
      </c>
      <c r="AA208" s="519">
        <f t="shared" si="64"/>
        <v>5.4712867534678438</v>
      </c>
      <c r="AB208" s="516">
        <f t="shared" si="62"/>
        <v>10</v>
      </c>
      <c r="AC208" s="272">
        <f t="shared" si="52"/>
        <v>7.070950454702019</v>
      </c>
      <c r="AD208" s="272">
        <f t="shared" si="65"/>
        <v>12</v>
      </c>
      <c r="AE208" s="272">
        <f t="shared" si="53"/>
        <v>6.761345704312518</v>
      </c>
      <c r="AF208" s="272">
        <f t="shared" si="66"/>
        <v>12</v>
      </c>
      <c r="AG208" s="272">
        <f t="shared" si="54"/>
        <v>6.761345704312518</v>
      </c>
      <c r="AH208" s="272">
        <f t="shared" si="67"/>
        <v>12</v>
      </c>
      <c r="AI208" s="272">
        <f t="shared" si="55"/>
        <v>6.761345704312518</v>
      </c>
      <c r="AJ208" s="272">
        <f t="shared" si="68"/>
        <v>12</v>
      </c>
      <c r="AK208" s="272">
        <f t="shared" si="56"/>
        <v>6.761345704312518</v>
      </c>
      <c r="AL208" s="272">
        <f t="shared" si="69"/>
        <v>12</v>
      </c>
      <c r="AM208" s="272">
        <f t="shared" si="57"/>
        <v>6.761345704312518</v>
      </c>
      <c r="AN208" s="272">
        <f t="shared" si="70"/>
        <v>12</v>
      </c>
      <c r="AO208" s="272">
        <f t="shared" si="58"/>
        <v>6.761345704312518</v>
      </c>
      <c r="AP208" s="272">
        <f t="shared" si="71"/>
        <v>12</v>
      </c>
      <c r="AQ208" s="272">
        <f t="shared" si="59"/>
        <v>6.761345704312518</v>
      </c>
      <c r="AR208" s="272">
        <f t="shared" si="72"/>
        <v>12</v>
      </c>
      <c r="AS208" s="508">
        <f t="shared" si="60"/>
        <v>6.761345704312518</v>
      </c>
    </row>
    <row r="209" spans="1:45" ht="12.75" customHeight="1">
      <c r="A209" s="96">
        <f>IF(MAX($F$104:F209)=$G$99,$G$99,F209)</f>
        <v>0</v>
      </c>
      <c r="B209" s="96">
        <v>106</v>
      </c>
      <c r="C209" s="96">
        <f t="shared" si="79"/>
        <v>0.15900000000000011</v>
      </c>
      <c r="D209" s="96">
        <f t="shared" si="73"/>
        <v>15.727959908952228</v>
      </c>
      <c r="E209" s="96">
        <f t="shared" si="74"/>
        <v>1</v>
      </c>
      <c r="F209" s="96">
        <f t="shared" si="75"/>
        <v>0</v>
      </c>
      <c r="G209" s="96">
        <f t="shared" si="78"/>
        <v>-0.29799999999999999</v>
      </c>
      <c r="I209" s="96">
        <f t="shared" si="76"/>
        <v>0</v>
      </c>
      <c r="J209" s="96">
        <f t="shared" si="77"/>
        <v>0.15900000000000011</v>
      </c>
      <c r="X209" s="96">
        <f t="shared" si="61"/>
        <v>7</v>
      </c>
      <c r="Y209" s="96">
        <v>1.1799999999999899</v>
      </c>
      <c r="Z209" s="272">
        <f t="shared" si="63"/>
        <v>7</v>
      </c>
      <c r="AA209" s="519">
        <f t="shared" si="64"/>
        <v>5.5177518251855684</v>
      </c>
      <c r="AB209" s="516">
        <f t="shared" si="62"/>
        <v>10</v>
      </c>
      <c r="AC209" s="272">
        <f t="shared" ref="AC209:AC272" si="80">MAX(2*(TINV(1-$C$80/100,AB209)/$Y209)^2,$C$79)</f>
        <v>7.1310007198031773</v>
      </c>
      <c r="AD209" s="272">
        <f t="shared" si="65"/>
        <v>12</v>
      </c>
      <c r="AE209" s="272">
        <f t="shared" ref="AE209:AE272" si="81">MAX(2*(TINV(1-$C$80/100,AD209)/$Y209)^2,$C$79)</f>
        <v>6.8187666415098018</v>
      </c>
      <c r="AF209" s="272">
        <f t="shared" si="66"/>
        <v>12</v>
      </c>
      <c r="AG209" s="272">
        <f t="shared" ref="AG209:AG272" si="82">MAX(2*(TINV(1-$C$80/100,AF209)/$Y209)^2,$C$79)</f>
        <v>6.8187666415098018</v>
      </c>
      <c r="AH209" s="272">
        <f t="shared" si="67"/>
        <v>12</v>
      </c>
      <c r="AI209" s="272">
        <f t="shared" ref="AI209:AI272" si="83">MAX(2*(TINV(1-$C$80/100,AH209)/$Y209)^2,$C$79)</f>
        <v>6.8187666415098018</v>
      </c>
      <c r="AJ209" s="272">
        <f t="shared" si="68"/>
        <v>12</v>
      </c>
      <c r="AK209" s="272">
        <f t="shared" ref="AK209:AK272" si="84">MAX(2*(TINV(1-$C$80/100,AJ209)/$Y209)^2,$C$79)</f>
        <v>6.8187666415098018</v>
      </c>
      <c r="AL209" s="272">
        <f t="shared" si="69"/>
        <v>12</v>
      </c>
      <c r="AM209" s="272">
        <f t="shared" ref="AM209:AM272" si="85">MAX(2*(TINV(1-$C$80/100,AL209)/$Y209)^2,$C$79)</f>
        <v>6.8187666415098018</v>
      </c>
      <c r="AN209" s="272">
        <f t="shared" si="70"/>
        <v>12</v>
      </c>
      <c r="AO209" s="272">
        <f t="shared" ref="AO209:AO272" si="86">MAX(2*(TINV(1-$C$80/100,AN209)/$Y209)^2,$C$79)</f>
        <v>6.8187666415098018</v>
      </c>
      <c r="AP209" s="272">
        <f t="shared" si="71"/>
        <v>12</v>
      </c>
      <c r="AQ209" s="272">
        <f t="shared" ref="AQ209:AQ272" si="87">MAX(2*(TINV(1-$C$80/100,AP209)/$Y209)^2,$C$79)</f>
        <v>6.8187666415098018</v>
      </c>
      <c r="AR209" s="272">
        <f t="shared" si="72"/>
        <v>12</v>
      </c>
      <c r="AS209" s="508">
        <f t="shared" ref="AS209:AS272" si="88">MAX(2*(TINV(1-$C$80/100,AR209)/$Y209)^2,$C$79)</f>
        <v>6.8187666415098018</v>
      </c>
    </row>
    <row r="210" spans="1:45" ht="12.75" customHeight="1">
      <c r="A210" s="96">
        <f>IF(MAX($F$104:F210)=$G$99,$G$99,F210)</f>
        <v>0</v>
      </c>
      <c r="B210" s="481">
        <v>107</v>
      </c>
      <c r="C210" s="96">
        <f t="shared" si="79"/>
        <v>0.16050000000000011</v>
      </c>
      <c r="D210" s="96">
        <f t="shared" si="73"/>
        <v>16.026113652331262</v>
      </c>
      <c r="E210" s="96">
        <f t="shared" si="74"/>
        <v>1</v>
      </c>
      <c r="F210" s="96">
        <f t="shared" si="75"/>
        <v>0</v>
      </c>
      <c r="G210" s="96">
        <f t="shared" si="78"/>
        <v>-0.29799999999999999</v>
      </c>
      <c r="I210" s="96">
        <f t="shared" si="76"/>
        <v>0</v>
      </c>
      <c r="J210" s="96">
        <f t="shared" si="77"/>
        <v>0.16050000000000011</v>
      </c>
      <c r="X210" s="96">
        <f t="shared" ref="X210:X273" si="89">Z210</f>
        <v>7</v>
      </c>
      <c r="Y210" s="517">
        <v>1.1749999999999901</v>
      </c>
      <c r="Z210" s="272">
        <f t="shared" si="63"/>
        <v>7</v>
      </c>
      <c r="AA210" s="519">
        <f t="shared" si="64"/>
        <v>5.5648113292084265</v>
      </c>
      <c r="AB210" s="516">
        <f t="shared" ref="AB210:AB273" si="90">2*ROUNDUP(AA210,0)-2</f>
        <v>10</v>
      </c>
      <c r="AC210" s="272">
        <f t="shared" si="80"/>
        <v>7.1918192139458164</v>
      </c>
      <c r="AD210" s="272">
        <f t="shared" si="65"/>
        <v>12</v>
      </c>
      <c r="AE210" s="272">
        <f t="shared" si="81"/>
        <v>6.8769221704939767</v>
      </c>
      <c r="AF210" s="272">
        <f t="shared" si="66"/>
        <v>12</v>
      </c>
      <c r="AG210" s="272">
        <f t="shared" si="82"/>
        <v>6.8769221704939767</v>
      </c>
      <c r="AH210" s="272">
        <f t="shared" si="67"/>
        <v>12</v>
      </c>
      <c r="AI210" s="272">
        <f t="shared" si="83"/>
        <v>6.8769221704939767</v>
      </c>
      <c r="AJ210" s="272">
        <f t="shared" si="68"/>
        <v>12</v>
      </c>
      <c r="AK210" s="272">
        <f t="shared" si="84"/>
        <v>6.8769221704939767</v>
      </c>
      <c r="AL210" s="272">
        <f t="shared" si="69"/>
        <v>12</v>
      </c>
      <c r="AM210" s="272">
        <f t="shared" si="85"/>
        <v>6.8769221704939767</v>
      </c>
      <c r="AN210" s="272">
        <f t="shared" si="70"/>
        <v>12</v>
      </c>
      <c r="AO210" s="272">
        <f t="shared" si="86"/>
        <v>6.8769221704939767</v>
      </c>
      <c r="AP210" s="272">
        <f t="shared" si="71"/>
        <v>12</v>
      </c>
      <c r="AQ210" s="272">
        <f t="shared" si="87"/>
        <v>6.8769221704939767</v>
      </c>
      <c r="AR210" s="272">
        <f t="shared" si="72"/>
        <v>12</v>
      </c>
      <c r="AS210" s="508">
        <f t="shared" si="88"/>
        <v>6.8769221704939767</v>
      </c>
    </row>
    <row r="211" spans="1:45" ht="12.75" customHeight="1">
      <c r="A211" s="96">
        <f>IF(MAX($F$104:F211)=$G$99,$G$99,F211)</f>
        <v>0</v>
      </c>
      <c r="B211" s="481">
        <v>108</v>
      </c>
      <c r="C211" s="96">
        <f t="shared" si="79"/>
        <v>0.16200000000000012</v>
      </c>
      <c r="D211" s="96">
        <f t="shared" si="73"/>
        <v>16.327066961375827</v>
      </c>
      <c r="E211" s="96">
        <f t="shared" si="74"/>
        <v>1</v>
      </c>
      <c r="F211" s="96">
        <f t="shared" si="75"/>
        <v>0</v>
      </c>
      <c r="G211" s="96">
        <f t="shared" si="78"/>
        <v>-0.29799999999999999</v>
      </c>
      <c r="I211" s="96">
        <f t="shared" si="76"/>
        <v>0</v>
      </c>
      <c r="J211" s="96">
        <f t="shared" si="77"/>
        <v>0.16200000000000012</v>
      </c>
      <c r="X211" s="96">
        <f t="shared" si="89"/>
        <v>7</v>
      </c>
      <c r="Y211" s="96">
        <v>1.1699999999999899</v>
      </c>
      <c r="Z211" s="272">
        <f t="shared" ref="Z211:Z274" si="91">(2+MAX(AP211,AR211))/2</f>
        <v>7</v>
      </c>
      <c r="AA211" s="519">
        <f t="shared" ref="AA211:AA274" si="92">MAX(2*($C$83/Y211)^2,$C$79)</f>
        <v>5.6124754484537851</v>
      </c>
      <c r="AB211" s="516">
        <f t="shared" si="90"/>
        <v>10</v>
      </c>
      <c r="AC211" s="272">
        <f t="shared" si="80"/>
        <v>7.2534190972707622</v>
      </c>
      <c r="AD211" s="272">
        <f t="shared" ref="AD211:AD274" si="93">MAX(MIN(2*ROUNDUP(AC211,0)-2,AB211+2),AB211-2)</f>
        <v>12</v>
      </c>
      <c r="AE211" s="272">
        <f t="shared" si="81"/>
        <v>6.935824875183175</v>
      </c>
      <c r="AF211" s="272">
        <f t="shared" ref="AF211:AF274" si="94">MAX(MIN(2*ROUNDUP(AE211,0)-2,AD211+2),AD211-2)</f>
        <v>12</v>
      </c>
      <c r="AG211" s="272">
        <f t="shared" si="82"/>
        <v>6.935824875183175</v>
      </c>
      <c r="AH211" s="272">
        <f t="shared" ref="AH211:AH274" si="95">MAX(MIN(2*ROUNDUP(AG211,0)-2,AF211+2),AF211-2)</f>
        <v>12</v>
      </c>
      <c r="AI211" s="272">
        <f t="shared" si="83"/>
        <v>6.935824875183175</v>
      </c>
      <c r="AJ211" s="272">
        <f t="shared" ref="AJ211:AJ274" si="96">MAX(MIN(2*ROUNDUP(AI211,0)-2,AH211+2),AH211-2)</f>
        <v>12</v>
      </c>
      <c r="AK211" s="272">
        <f t="shared" si="84"/>
        <v>6.935824875183175</v>
      </c>
      <c r="AL211" s="272">
        <f t="shared" ref="AL211:AL274" si="97">MAX(MIN(2*ROUNDUP(AK211,0)-2,AJ211+2),AJ211-2)</f>
        <v>12</v>
      </c>
      <c r="AM211" s="272">
        <f t="shared" si="85"/>
        <v>6.935824875183175</v>
      </c>
      <c r="AN211" s="272">
        <f t="shared" ref="AN211:AN274" si="98">MAX(MIN(2*ROUNDUP(AM211,0)-2,AL211+2),AL211-2)</f>
        <v>12</v>
      </c>
      <c r="AO211" s="272">
        <f t="shared" si="86"/>
        <v>6.935824875183175</v>
      </c>
      <c r="AP211" s="272">
        <f t="shared" ref="AP211:AP274" si="99">MAX(MIN(2*ROUNDUP(AO211,0)-2,AN211+2),AN211-2)</f>
        <v>12</v>
      </c>
      <c r="AQ211" s="272">
        <f t="shared" si="87"/>
        <v>6.935824875183175</v>
      </c>
      <c r="AR211" s="272">
        <f t="shared" ref="AR211:AR274" si="100">MAX(MIN(2*ROUNDUP(AQ211,0)-2,AP211+2),AP211-2)</f>
        <v>12</v>
      </c>
      <c r="AS211" s="508">
        <f t="shared" si="88"/>
        <v>6.935824875183175</v>
      </c>
    </row>
    <row r="212" spans="1:45" ht="12.75" customHeight="1">
      <c r="A212" s="96">
        <f>IF(MAX($F$104:F212)=$G$99,$G$99,F212)</f>
        <v>0</v>
      </c>
      <c r="B212" s="96">
        <v>109</v>
      </c>
      <c r="C212" s="96">
        <f t="shared" si="79"/>
        <v>0.16350000000000012</v>
      </c>
      <c r="D212" s="96">
        <f t="shared" si="73"/>
        <v>16.630819836085919</v>
      </c>
      <c r="E212" s="96">
        <f t="shared" si="74"/>
        <v>1</v>
      </c>
      <c r="F212" s="96">
        <f t="shared" si="75"/>
        <v>0</v>
      </c>
      <c r="G212" s="96">
        <f t="shared" si="78"/>
        <v>-0.29799999999999999</v>
      </c>
      <c r="I212" s="96">
        <f t="shared" si="76"/>
        <v>0</v>
      </c>
      <c r="J212" s="96">
        <f t="shared" si="77"/>
        <v>0.16350000000000012</v>
      </c>
      <c r="X212" s="96">
        <f t="shared" si="89"/>
        <v>7</v>
      </c>
      <c r="Y212" s="517">
        <v>1.16499999999999</v>
      </c>
      <c r="Z212" s="272">
        <f t="shared" si="91"/>
        <v>7</v>
      </c>
      <c r="AA212" s="519">
        <f t="shared" si="92"/>
        <v>5.660754584824466</v>
      </c>
      <c r="AB212" s="516">
        <f t="shared" si="90"/>
        <v>10</v>
      </c>
      <c r="AC212" s="272">
        <f t="shared" si="80"/>
        <v>7.3158138129300188</v>
      </c>
      <c r="AD212" s="272">
        <f t="shared" si="93"/>
        <v>12</v>
      </c>
      <c r="AE212" s="272">
        <f t="shared" si="81"/>
        <v>6.9954876101149388</v>
      </c>
      <c r="AF212" s="272">
        <f t="shared" si="94"/>
        <v>12</v>
      </c>
      <c r="AG212" s="272">
        <f t="shared" si="82"/>
        <v>6.9954876101149388</v>
      </c>
      <c r="AH212" s="272">
        <f t="shared" si="95"/>
        <v>12</v>
      </c>
      <c r="AI212" s="272">
        <f t="shared" si="83"/>
        <v>6.9954876101149388</v>
      </c>
      <c r="AJ212" s="272">
        <f t="shared" si="96"/>
        <v>12</v>
      </c>
      <c r="AK212" s="272">
        <f t="shared" si="84"/>
        <v>6.9954876101149388</v>
      </c>
      <c r="AL212" s="272">
        <f t="shared" si="97"/>
        <v>12</v>
      </c>
      <c r="AM212" s="272">
        <f t="shared" si="85"/>
        <v>6.9954876101149388</v>
      </c>
      <c r="AN212" s="272">
        <f t="shared" si="98"/>
        <v>12</v>
      </c>
      <c r="AO212" s="272">
        <f t="shared" si="86"/>
        <v>6.9954876101149388</v>
      </c>
      <c r="AP212" s="272">
        <f t="shared" si="99"/>
        <v>12</v>
      </c>
      <c r="AQ212" s="272">
        <f t="shared" si="87"/>
        <v>6.9954876101149388</v>
      </c>
      <c r="AR212" s="272">
        <f t="shared" si="100"/>
        <v>12</v>
      </c>
      <c r="AS212" s="508">
        <f t="shared" si="88"/>
        <v>6.9954876101149388</v>
      </c>
    </row>
    <row r="213" spans="1:45" ht="12.75" customHeight="1">
      <c r="A213" s="96">
        <f>IF(MAX($F$104:F213)=$G$99,$G$99,F213)</f>
        <v>0</v>
      </c>
      <c r="B213" s="481">
        <v>110</v>
      </c>
      <c r="C213" s="96">
        <f t="shared" si="79"/>
        <v>0.16500000000000012</v>
      </c>
      <c r="D213" s="96">
        <f t="shared" si="73"/>
        <v>16.937372276461549</v>
      </c>
      <c r="E213" s="96">
        <f t="shared" si="74"/>
        <v>1</v>
      </c>
      <c r="F213" s="96">
        <f t="shared" si="75"/>
        <v>0</v>
      </c>
      <c r="G213" s="96">
        <f t="shared" si="78"/>
        <v>-0.29799999999999999</v>
      </c>
      <c r="I213" s="96">
        <f t="shared" si="76"/>
        <v>0</v>
      </c>
      <c r="J213" s="96">
        <f t="shared" si="77"/>
        <v>0.16500000000000012</v>
      </c>
      <c r="X213" s="96">
        <f t="shared" si="89"/>
        <v>8</v>
      </c>
      <c r="Y213" s="96">
        <v>1.1599999999999899</v>
      </c>
      <c r="Z213" s="272">
        <f t="shared" si="91"/>
        <v>8</v>
      </c>
      <c r="AA213" s="519">
        <f t="shared" si="92"/>
        <v>5.709659364884355</v>
      </c>
      <c r="AB213" s="516">
        <f t="shared" si="90"/>
        <v>10</v>
      </c>
      <c r="AC213" s="272">
        <f t="shared" si="80"/>
        <v>7.3790170944217799</v>
      </c>
      <c r="AD213" s="272">
        <f t="shared" si="93"/>
        <v>12</v>
      </c>
      <c r="AE213" s="272">
        <f t="shared" si="81"/>
        <v>7.055923507460057</v>
      </c>
      <c r="AF213" s="272">
        <f t="shared" si="94"/>
        <v>14</v>
      </c>
      <c r="AG213" s="272">
        <f t="shared" si="82"/>
        <v>6.8372620514344522</v>
      </c>
      <c r="AH213" s="272">
        <f t="shared" si="95"/>
        <v>12</v>
      </c>
      <c r="AI213" s="272">
        <f t="shared" si="83"/>
        <v>7.055923507460057</v>
      </c>
      <c r="AJ213" s="272">
        <f t="shared" si="96"/>
        <v>14</v>
      </c>
      <c r="AK213" s="272">
        <f t="shared" si="84"/>
        <v>6.8372620514344522</v>
      </c>
      <c r="AL213" s="272">
        <f t="shared" si="97"/>
        <v>12</v>
      </c>
      <c r="AM213" s="272">
        <f t="shared" si="85"/>
        <v>7.055923507460057</v>
      </c>
      <c r="AN213" s="272">
        <f t="shared" si="98"/>
        <v>14</v>
      </c>
      <c r="AO213" s="272">
        <f t="shared" si="86"/>
        <v>6.8372620514344522</v>
      </c>
      <c r="AP213" s="272">
        <f t="shared" si="99"/>
        <v>12</v>
      </c>
      <c r="AQ213" s="272">
        <f t="shared" si="87"/>
        <v>7.055923507460057</v>
      </c>
      <c r="AR213" s="272">
        <f t="shared" si="100"/>
        <v>14</v>
      </c>
      <c r="AS213" s="508">
        <f t="shared" si="88"/>
        <v>6.8372620514344522</v>
      </c>
    </row>
    <row r="214" spans="1:45" ht="12.75" customHeight="1">
      <c r="A214" s="96">
        <f>IF(MAX($F$104:F214)=$G$99,$G$99,F214)</f>
        <v>0</v>
      </c>
      <c r="B214" s="481">
        <v>111</v>
      </c>
      <c r="C214" s="96">
        <f t="shared" si="79"/>
        <v>0.16650000000000012</v>
      </c>
      <c r="D214" s="96">
        <f t="shared" si="73"/>
        <v>17.246724282502704</v>
      </c>
      <c r="E214" s="96">
        <f t="shared" si="74"/>
        <v>1</v>
      </c>
      <c r="F214" s="96">
        <f t="shared" si="75"/>
        <v>0</v>
      </c>
      <c r="G214" s="96">
        <f t="shared" si="78"/>
        <v>-0.29799999999999999</v>
      </c>
      <c r="I214" s="96">
        <f t="shared" si="76"/>
        <v>0</v>
      </c>
      <c r="J214" s="96">
        <f t="shared" si="77"/>
        <v>0.16650000000000012</v>
      </c>
      <c r="X214" s="96">
        <f t="shared" si="89"/>
        <v>8</v>
      </c>
      <c r="Y214" s="517">
        <v>1.15499999999999</v>
      </c>
      <c r="Z214" s="272">
        <f t="shared" si="91"/>
        <v>8</v>
      </c>
      <c r="AA214" s="519">
        <f t="shared" si="92"/>
        <v>5.7592006457063292</v>
      </c>
      <c r="AB214" s="516">
        <f t="shared" si="90"/>
        <v>10</v>
      </c>
      <c r="AC214" s="272">
        <f t="shared" si="80"/>
        <v>7.4430429731481382</v>
      </c>
      <c r="AD214" s="272">
        <f t="shared" si="93"/>
        <v>12</v>
      </c>
      <c r="AE214" s="272">
        <f t="shared" si="81"/>
        <v>7.1171459842493583</v>
      </c>
      <c r="AF214" s="272">
        <f t="shared" si="94"/>
        <v>14</v>
      </c>
      <c r="AG214" s="272">
        <f t="shared" si="82"/>
        <v>6.8965872576677336</v>
      </c>
      <c r="AH214" s="272">
        <f t="shared" si="95"/>
        <v>12</v>
      </c>
      <c r="AI214" s="272">
        <f t="shared" si="83"/>
        <v>7.1171459842493583</v>
      </c>
      <c r="AJ214" s="272">
        <f t="shared" si="96"/>
        <v>14</v>
      </c>
      <c r="AK214" s="272">
        <f t="shared" si="84"/>
        <v>6.8965872576677336</v>
      </c>
      <c r="AL214" s="272">
        <f t="shared" si="97"/>
        <v>12</v>
      </c>
      <c r="AM214" s="272">
        <f t="shared" si="85"/>
        <v>7.1171459842493583</v>
      </c>
      <c r="AN214" s="272">
        <f t="shared" si="98"/>
        <v>14</v>
      </c>
      <c r="AO214" s="272">
        <f t="shared" si="86"/>
        <v>6.8965872576677336</v>
      </c>
      <c r="AP214" s="272">
        <f t="shared" si="99"/>
        <v>12</v>
      </c>
      <c r="AQ214" s="272">
        <f t="shared" si="87"/>
        <v>7.1171459842493583</v>
      </c>
      <c r="AR214" s="272">
        <f t="shared" si="100"/>
        <v>14</v>
      </c>
      <c r="AS214" s="508">
        <f t="shared" si="88"/>
        <v>6.8965872576677336</v>
      </c>
    </row>
    <row r="215" spans="1:45" ht="12.75" customHeight="1">
      <c r="A215" s="96">
        <f>IF(MAX($F$104:F215)=$G$99,$G$99,F215)</f>
        <v>0</v>
      </c>
      <c r="B215" s="96">
        <v>112</v>
      </c>
      <c r="C215" s="96">
        <f t="shared" si="79"/>
        <v>0.16800000000000012</v>
      </c>
      <c r="D215" s="96">
        <f t="shared" si="73"/>
        <v>17.558875854209393</v>
      </c>
      <c r="E215" s="96">
        <f t="shared" si="74"/>
        <v>1</v>
      </c>
      <c r="F215" s="96">
        <f t="shared" si="75"/>
        <v>0</v>
      </c>
      <c r="G215" s="96">
        <f t="shared" si="78"/>
        <v>-0.29799999999999999</v>
      </c>
      <c r="I215" s="96">
        <f t="shared" si="76"/>
        <v>0</v>
      </c>
      <c r="J215" s="96">
        <f t="shared" si="77"/>
        <v>0.16800000000000012</v>
      </c>
      <c r="X215" s="96">
        <f t="shared" si="89"/>
        <v>8</v>
      </c>
      <c r="Y215" s="96">
        <v>1.1499999999999899</v>
      </c>
      <c r="Z215" s="272">
        <f t="shared" si="91"/>
        <v>8</v>
      </c>
      <c r="AA215" s="519">
        <f t="shared" si="92"/>
        <v>5.8093895208985931</v>
      </c>
      <c r="AB215" s="516">
        <f t="shared" si="90"/>
        <v>10</v>
      </c>
      <c r="AC215" s="272">
        <f t="shared" si="80"/>
        <v>7.5079057862033638</v>
      </c>
      <c r="AD215" s="272">
        <f t="shared" si="93"/>
        <v>12</v>
      </c>
      <c r="AE215" s="272">
        <f t="shared" si="81"/>
        <v>7.1791687498209855</v>
      </c>
      <c r="AF215" s="272">
        <f t="shared" si="94"/>
        <v>14</v>
      </c>
      <c r="AG215" s="272">
        <f t="shared" si="82"/>
        <v>6.956687951916976</v>
      </c>
      <c r="AH215" s="272">
        <f t="shared" si="95"/>
        <v>12</v>
      </c>
      <c r="AI215" s="272">
        <f t="shared" si="83"/>
        <v>7.1791687498209855</v>
      </c>
      <c r="AJ215" s="272">
        <f t="shared" si="96"/>
        <v>14</v>
      </c>
      <c r="AK215" s="272">
        <f t="shared" si="84"/>
        <v>6.956687951916976</v>
      </c>
      <c r="AL215" s="272">
        <f t="shared" si="97"/>
        <v>12</v>
      </c>
      <c r="AM215" s="272">
        <f t="shared" si="85"/>
        <v>7.1791687498209855</v>
      </c>
      <c r="AN215" s="272">
        <f t="shared" si="98"/>
        <v>14</v>
      </c>
      <c r="AO215" s="272">
        <f t="shared" si="86"/>
        <v>6.956687951916976</v>
      </c>
      <c r="AP215" s="272">
        <f t="shared" si="99"/>
        <v>12</v>
      </c>
      <c r="AQ215" s="272">
        <f t="shared" si="87"/>
        <v>7.1791687498209855</v>
      </c>
      <c r="AR215" s="272">
        <f t="shared" si="100"/>
        <v>14</v>
      </c>
      <c r="AS215" s="508">
        <f t="shared" si="88"/>
        <v>6.956687951916976</v>
      </c>
    </row>
    <row r="216" spans="1:45" ht="12.75" customHeight="1">
      <c r="A216" s="96">
        <f>IF(MAX($F$104:F216)=$G$99,$G$99,F216)</f>
        <v>0</v>
      </c>
      <c r="B216" s="481">
        <v>113</v>
      </c>
      <c r="C216" s="96">
        <f t="shared" si="79"/>
        <v>0.16950000000000012</v>
      </c>
      <c r="D216" s="96">
        <f t="shared" si="73"/>
        <v>17.873826991581613</v>
      </c>
      <c r="E216" s="96">
        <f t="shared" si="74"/>
        <v>1</v>
      </c>
      <c r="F216" s="96">
        <f t="shared" si="75"/>
        <v>0</v>
      </c>
      <c r="G216" s="96">
        <f t="shared" si="78"/>
        <v>-0.29799999999999999</v>
      </c>
      <c r="I216" s="96">
        <f t="shared" si="76"/>
        <v>0</v>
      </c>
      <c r="J216" s="96">
        <f t="shared" si="77"/>
        <v>0.16950000000000012</v>
      </c>
      <c r="X216" s="96">
        <f t="shared" si="89"/>
        <v>8</v>
      </c>
      <c r="Y216" s="517">
        <v>1.14499999999999</v>
      </c>
      <c r="Z216" s="272">
        <f t="shared" si="91"/>
        <v>8</v>
      </c>
      <c r="AA216" s="519">
        <f t="shared" si="92"/>
        <v>5.8602373268155734</v>
      </c>
      <c r="AB216" s="516">
        <f t="shared" si="90"/>
        <v>10</v>
      </c>
      <c r="AC216" s="272">
        <f t="shared" si="80"/>
        <v>7.5736201844007152</v>
      </c>
      <c r="AD216" s="272">
        <f t="shared" si="93"/>
        <v>12</v>
      </c>
      <c r="AE216" s="272">
        <f t="shared" si="81"/>
        <v>7.2420058134957399</v>
      </c>
      <c r="AF216" s="272">
        <f t="shared" si="94"/>
        <v>14</v>
      </c>
      <c r="AG216" s="272">
        <f t="shared" si="82"/>
        <v>7.0175777093573339</v>
      </c>
      <c r="AH216" s="272">
        <f t="shared" si="95"/>
        <v>14</v>
      </c>
      <c r="AI216" s="272">
        <f t="shared" si="83"/>
        <v>7.0175777093573339</v>
      </c>
      <c r="AJ216" s="272">
        <f t="shared" si="96"/>
        <v>14</v>
      </c>
      <c r="AK216" s="272">
        <f t="shared" si="84"/>
        <v>7.0175777093573339</v>
      </c>
      <c r="AL216" s="272">
        <f t="shared" si="97"/>
        <v>14</v>
      </c>
      <c r="AM216" s="272">
        <f t="shared" si="85"/>
        <v>7.0175777093573339</v>
      </c>
      <c r="AN216" s="272">
        <f t="shared" si="98"/>
        <v>14</v>
      </c>
      <c r="AO216" s="272">
        <f t="shared" si="86"/>
        <v>7.0175777093573339</v>
      </c>
      <c r="AP216" s="272">
        <f t="shared" si="99"/>
        <v>14</v>
      </c>
      <c r="AQ216" s="272">
        <f t="shared" si="87"/>
        <v>7.0175777093573339</v>
      </c>
      <c r="AR216" s="272">
        <f t="shared" si="100"/>
        <v>14</v>
      </c>
      <c r="AS216" s="508">
        <f t="shared" si="88"/>
        <v>7.0175777093573339</v>
      </c>
    </row>
    <row r="217" spans="1:45" ht="12.75" customHeight="1">
      <c r="A217" s="96">
        <f>IF(MAX($F$104:F217)=$G$99,$G$99,F217)</f>
        <v>0</v>
      </c>
      <c r="B217" s="481">
        <v>114</v>
      </c>
      <c r="C217" s="96">
        <f t="shared" si="79"/>
        <v>0.17100000000000012</v>
      </c>
      <c r="D217" s="96">
        <f t="shared" si="73"/>
        <v>18.191577694619362</v>
      </c>
      <c r="E217" s="96">
        <f t="shared" si="74"/>
        <v>1</v>
      </c>
      <c r="F217" s="96">
        <f t="shared" si="75"/>
        <v>0</v>
      </c>
      <c r="G217" s="96">
        <f t="shared" si="78"/>
        <v>-0.29799999999999999</v>
      </c>
      <c r="I217" s="96">
        <f t="shared" si="76"/>
        <v>0</v>
      </c>
      <c r="J217" s="96">
        <f t="shared" si="77"/>
        <v>0.17100000000000012</v>
      </c>
      <c r="X217" s="96">
        <f t="shared" si="89"/>
        <v>8</v>
      </c>
      <c r="Y217" s="96">
        <v>1.1399999999999899</v>
      </c>
      <c r="Z217" s="272">
        <f t="shared" si="91"/>
        <v>8</v>
      </c>
      <c r="AA217" s="519">
        <f t="shared" si="92"/>
        <v>5.9117556489599803</v>
      </c>
      <c r="AB217" s="516">
        <f t="shared" si="90"/>
        <v>10</v>
      </c>
      <c r="AC217" s="272">
        <f t="shared" si="80"/>
        <v>7.6402011405462833</v>
      </c>
      <c r="AD217" s="272">
        <f t="shared" si="93"/>
        <v>12</v>
      </c>
      <c r="AE217" s="272">
        <f t="shared" si="81"/>
        <v>7.3056714924886537</v>
      </c>
      <c r="AF217" s="272">
        <f t="shared" si="94"/>
        <v>14</v>
      </c>
      <c r="AG217" s="272">
        <f t="shared" si="82"/>
        <v>7.0792704035166221</v>
      </c>
      <c r="AH217" s="272">
        <f t="shared" si="95"/>
        <v>14</v>
      </c>
      <c r="AI217" s="272">
        <f t="shared" si="83"/>
        <v>7.0792704035166221</v>
      </c>
      <c r="AJ217" s="272">
        <f t="shared" si="96"/>
        <v>14</v>
      </c>
      <c r="AK217" s="272">
        <f t="shared" si="84"/>
        <v>7.0792704035166221</v>
      </c>
      <c r="AL217" s="272">
        <f t="shared" si="97"/>
        <v>14</v>
      </c>
      <c r="AM217" s="272">
        <f t="shared" si="85"/>
        <v>7.0792704035166221</v>
      </c>
      <c r="AN217" s="272">
        <f t="shared" si="98"/>
        <v>14</v>
      </c>
      <c r="AO217" s="272">
        <f t="shared" si="86"/>
        <v>7.0792704035166221</v>
      </c>
      <c r="AP217" s="272">
        <f t="shared" si="99"/>
        <v>14</v>
      </c>
      <c r="AQ217" s="272">
        <f t="shared" si="87"/>
        <v>7.0792704035166221</v>
      </c>
      <c r="AR217" s="272">
        <f t="shared" si="100"/>
        <v>14</v>
      </c>
      <c r="AS217" s="508">
        <f t="shared" si="88"/>
        <v>7.0792704035166221</v>
      </c>
    </row>
    <row r="218" spans="1:45" ht="12.75" customHeight="1">
      <c r="A218" s="96">
        <f>IF(MAX($F$104:F218)=$G$99,$G$99,F218)</f>
        <v>0</v>
      </c>
      <c r="B218" s="96">
        <v>115</v>
      </c>
      <c r="C218" s="96">
        <f t="shared" si="79"/>
        <v>0.17250000000000013</v>
      </c>
      <c r="D218" s="96">
        <f t="shared" si="73"/>
        <v>18.512127963322641</v>
      </c>
      <c r="E218" s="96">
        <f t="shared" si="74"/>
        <v>1</v>
      </c>
      <c r="F218" s="96">
        <f t="shared" si="75"/>
        <v>0</v>
      </c>
      <c r="G218" s="96">
        <f t="shared" si="78"/>
        <v>-0.29799999999999999</v>
      </c>
      <c r="I218" s="96">
        <f t="shared" si="76"/>
        <v>0</v>
      </c>
      <c r="J218" s="96">
        <f t="shared" si="77"/>
        <v>0.17250000000000013</v>
      </c>
      <c r="X218" s="96">
        <f t="shared" si="89"/>
        <v>8</v>
      </c>
      <c r="Y218" s="517">
        <v>1.13499999999999</v>
      </c>
      <c r="Z218" s="272">
        <f t="shared" si="91"/>
        <v>8</v>
      </c>
      <c r="AA218" s="519">
        <f t="shared" si="92"/>
        <v>5.963956328582654</v>
      </c>
      <c r="AB218" s="516">
        <f t="shared" si="90"/>
        <v>10</v>
      </c>
      <c r="AC218" s="272">
        <f t="shared" si="80"/>
        <v>7.7076639579684834</v>
      </c>
      <c r="AD218" s="272">
        <f t="shared" si="93"/>
        <v>12</v>
      </c>
      <c r="AE218" s="272">
        <f t="shared" si="81"/>
        <v>7.3701804200650134</v>
      </c>
      <c r="AF218" s="272">
        <f t="shared" si="94"/>
        <v>14</v>
      </c>
      <c r="AG218" s="272">
        <f t="shared" si="82"/>
        <v>7.1417802141785796</v>
      </c>
      <c r="AH218" s="272">
        <f t="shared" si="95"/>
        <v>14</v>
      </c>
      <c r="AI218" s="272">
        <f t="shared" si="83"/>
        <v>7.1417802141785796</v>
      </c>
      <c r="AJ218" s="272">
        <f t="shared" si="96"/>
        <v>14</v>
      </c>
      <c r="AK218" s="272">
        <f t="shared" si="84"/>
        <v>7.1417802141785796</v>
      </c>
      <c r="AL218" s="272">
        <f t="shared" si="97"/>
        <v>14</v>
      </c>
      <c r="AM218" s="272">
        <f t="shared" si="85"/>
        <v>7.1417802141785796</v>
      </c>
      <c r="AN218" s="272">
        <f t="shared" si="98"/>
        <v>14</v>
      </c>
      <c r="AO218" s="272">
        <f t="shared" si="86"/>
        <v>7.1417802141785796</v>
      </c>
      <c r="AP218" s="272">
        <f t="shared" si="99"/>
        <v>14</v>
      </c>
      <c r="AQ218" s="272">
        <f t="shared" si="87"/>
        <v>7.1417802141785796</v>
      </c>
      <c r="AR218" s="272">
        <f t="shared" si="100"/>
        <v>14</v>
      </c>
      <c r="AS218" s="508">
        <f t="shared" si="88"/>
        <v>7.1417802141785796</v>
      </c>
    </row>
    <row r="219" spans="1:45" ht="12.75" customHeight="1">
      <c r="A219" s="96">
        <f>IF(MAX($F$104:F219)=$G$99,$G$99,F219)</f>
        <v>0</v>
      </c>
      <c r="B219" s="481">
        <v>116</v>
      </c>
      <c r="C219" s="96">
        <f t="shared" si="79"/>
        <v>0.17400000000000013</v>
      </c>
      <c r="D219" s="96">
        <f t="shared" si="73"/>
        <v>18.835477797691453</v>
      </c>
      <c r="E219" s="96">
        <f t="shared" si="74"/>
        <v>1</v>
      </c>
      <c r="F219" s="96">
        <f t="shared" si="75"/>
        <v>0</v>
      </c>
      <c r="G219" s="96">
        <f t="shared" si="78"/>
        <v>-0.29799999999999999</v>
      </c>
      <c r="I219" s="96">
        <f t="shared" si="76"/>
        <v>0</v>
      </c>
      <c r="J219" s="96">
        <f t="shared" si="77"/>
        <v>0.17400000000000013</v>
      </c>
      <c r="X219" s="96">
        <f t="shared" si="89"/>
        <v>8</v>
      </c>
      <c r="Y219" s="96">
        <v>1.1299999999999899</v>
      </c>
      <c r="Z219" s="272">
        <f t="shared" si="91"/>
        <v>8</v>
      </c>
      <c r="AA219" s="519">
        <f t="shared" si="92"/>
        <v>6.0168514694873458</v>
      </c>
      <c r="AB219" s="516">
        <f t="shared" si="90"/>
        <v>12</v>
      </c>
      <c r="AC219" s="272">
        <f t="shared" si="80"/>
        <v>7.4355475539496094</v>
      </c>
      <c r="AD219" s="272">
        <f t="shared" si="93"/>
        <v>14</v>
      </c>
      <c r="AE219" s="272">
        <f t="shared" si="81"/>
        <v>7.2051216355315235</v>
      </c>
      <c r="AF219" s="272">
        <f t="shared" si="94"/>
        <v>14</v>
      </c>
      <c r="AG219" s="272">
        <f t="shared" si="82"/>
        <v>7.2051216355315235</v>
      </c>
      <c r="AH219" s="272">
        <f t="shared" si="95"/>
        <v>14</v>
      </c>
      <c r="AI219" s="272">
        <f t="shared" si="83"/>
        <v>7.2051216355315235</v>
      </c>
      <c r="AJ219" s="272">
        <f t="shared" si="96"/>
        <v>14</v>
      </c>
      <c r="AK219" s="272">
        <f t="shared" si="84"/>
        <v>7.2051216355315235</v>
      </c>
      <c r="AL219" s="272">
        <f t="shared" si="97"/>
        <v>14</v>
      </c>
      <c r="AM219" s="272">
        <f t="shared" si="85"/>
        <v>7.2051216355315235</v>
      </c>
      <c r="AN219" s="272">
        <f t="shared" si="98"/>
        <v>14</v>
      </c>
      <c r="AO219" s="272">
        <f t="shared" si="86"/>
        <v>7.2051216355315235</v>
      </c>
      <c r="AP219" s="272">
        <f t="shared" si="99"/>
        <v>14</v>
      </c>
      <c r="AQ219" s="272">
        <f t="shared" si="87"/>
        <v>7.2051216355315235</v>
      </c>
      <c r="AR219" s="272">
        <f t="shared" si="100"/>
        <v>14</v>
      </c>
      <c r="AS219" s="508">
        <f t="shared" si="88"/>
        <v>7.2051216355315235</v>
      </c>
    </row>
    <row r="220" spans="1:45" ht="12.75" customHeight="1">
      <c r="A220" s="96">
        <f>IF(MAX($F$104:F220)=$G$99,$G$99,F220)</f>
        <v>0</v>
      </c>
      <c r="B220" s="481">
        <v>117</v>
      </c>
      <c r="C220" s="96">
        <f t="shared" si="79"/>
        <v>0.17550000000000013</v>
      </c>
      <c r="D220" s="96">
        <f t="shared" si="73"/>
        <v>19.161627197725796</v>
      </c>
      <c r="E220" s="96">
        <f t="shared" si="74"/>
        <v>1</v>
      </c>
      <c r="F220" s="96">
        <f t="shared" si="75"/>
        <v>0</v>
      </c>
      <c r="G220" s="96">
        <f t="shared" si="78"/>
        <v>-0.29799999999999999</v>
      </c>
      <c r="I220" s="96">
        <f t="shared" si="76"/>
        <v>0</v>
      </c>
      <c r="J220" s="96">
        <f t="shared" si="77"/>
        <v>0.17550000000000013</v>
      </c>
      <c r="X220" s="96">
        <f t="shared" si="89"/>
        <v>8</v>
      </c>
      <c r="Y220" s="517">
        <v>1.12499999999999</v>
      </c>
      <c r="Z220" s="272">
        <f t="shared" si="91"/>
        <v>8</v>
      </c>
      <c r="AA220" s="519">
        <f t="shared" si="92"/>
        <v>6.070453445047618</v>
      </c>
      <c r="AB220" s="516">
        <f t="shared" si="90"/>
        <v>12</v>
      </c>
      <c r="AC220" s="272">
        <f t="shared" si="80"/>
        <v>7.5017881849981265</v>
      </c>
      <c r="AD220" s="272">
        <f t="shared" si="93"/>
        <v>14</v>
      </c>
      <c r="AE220" s="272">
        <f t="shared" si="81"/>
        <v>7.269309484571024</v>
      </c>
      <c r="AF220" s="272">
        <f t="shared" si="94"/>
        <v>14</v>
      </c>
      <c r="AG220" s="272">
        <f t="shared" si="82"/>
        <v>7.269309484571024</v>
      </c>
      <c r="AH220" s="272">
        <f t="shared" si="95"/>
        <v>14</v>
      </c>
      <c r="AI220" s="272">
        <f t="shared" si="83"/>
        <v>7.269309484571024</v>
      </c>
      <c r="AJ220" s="272">
        <f t="shared" si="96"/>
        <v>14</v>
      </c>
      <c r="AK220" s="272">
        <f t="shared" si="84"/>
        <v>7.269309484571024</v>
      </c>
      <c r="AL220" s="272">
        <f t="shared" si="97"/>
        <v>14</v>
      </c>
      <c r="AM220" s="272">
        <f t="shared" si="85"/>
        <v>7.269309484571024</v>
      </c>
      <c r="AN220" s="272">
        <f t="shared" si="98"/>
        <v>14</v>
      </c>
      <c r="AO220" s="272">
        <f t="shared" si="86"/>
        <v>7.269309484571024</v>
      </c>
      <c r="AP220" s="272">
        <f t="shared" si="99"/>
        <v>14</v>
      </c>
      <c r="AQ220" s="272">
        <f t="shared" si="87"/>
        <v>7.269309484571024</v>
      </c>
      <c r="AR220" s="272">
        <f t="shared" si="100"/>
        <v>14</v>
      </c>
      <c r="AS220" s="508">
        <f t="shared" si="88"/>
        <v>7.269309484571024</v>
      </c>
    </row>
    <row r="221" spans="1:45" ht="12.75" customHeight="1">
      <c r="A221" s="96">
        <f>IF(MAX($F$104:F221)=$G$99,$G$99,F221)</f>
        <v>0</v>
      </c>
      <c r="B221" s="96">
        <v>118</v>
      </c>
      <c r="C221" s="96">
        <f t="shared" si="79"/>
        <v>0.17700000000000013</v>
      </c>
      <c r="D221" s="96">
        <f t="shared" si="73"/>
        <v>19.490576163425668</v>
      </c>
      <c r="E221" s="96">
        <f t="shared" si="74"/>
        <v>1</v>
      </c>
      <c r="F221" s="96">
        <f t="shared" si="75"/>
        <v>0</v>
      </c>
      <c r="G221" s="96">
        <f t="shared" si="78"/>
        <v>-0.29799999999999999</v>
      </c>
      <c r="I221" s="96">
        <f t="shared" si="76"/>
        <v>0</v>
      </c>
      <c r="J221" s="96">
        <f t="shared" si="77"/>
        <v>0.17700000000000013</v>
      </c>
      <c r="X221" s="96">
        <f t="shared" si="89"/>
        <v>8</v>
      </c>
      <c r="Y221" s="96">
        <v>1.1199999999999899</v>
      </c>
      <c r="Z221" s="272">
        <f t="shared" si="91"/>
        <v>8</v>
      </c>
      <c r="AA221" s="519">
        <f t="shared" si="92"/>
        <v>6.1247749054435525</v>
      </c>
      <c r="AB221" s="516">
        <f t="shared" si="90"/>
        <v>12</v>
      </c>
      <c r="AC221" s="272">
        <f t="shared" si="80"/>
        <v>7.5689179461401919</v>
      </c>
      <c r="AD221" s="272">
        <f t="shared" si="93"/>
        <v>14</v>
      </c>
      <c r="AE221" s="272">
        <f t="shared" si="81"/>
        <v>7.334358909765788</v>
      </c>
      <c r="AF221" s="272">
        <f t="shared" si="94"/>
        <v>14</v>
      </c>
      <c r="AG221" s="272">
        <f t="shared" si="82"/>
        <v>7.334358909765788</v>
      </c>
      <c r="AH221" s="272">
        <f t="shared" si="95"/>
        <v>14</v>
      </c>
      <c r="AI221" s="272">
        <f t="shared" si="83"/>
        <v>7.334358909765788</v>
      </c>
      <c r="AJ221" s="272">
        <f t="shared" si="96"/>
        <v>14</v>
      </c>
      <c r="AK221" s="272">
        <f t="shared" si="84"/>
        <v>7.334358909765788</v>
      </c>
      <c r="AL221" s="272">
        <f t="shared" si="97"/>
        <v>14</v>
      </c>
      <c r="AM221" s="272">
        <f t="shared" si="85"/>
        <v>7.334358909765788</v>
      </c>
      <c r="AN221" s="272">
        <f t="shared" si="98"/>
        <v>14</v>
      </c>
      <c r="AO221" s="272">
        <f t="shared" si="86"/>
        <v>7.334358909765788</v>
      </c>
      <c r="AP221" s="272">
        <f t="shared" si="99"/>
        <v>14</v>
      </c>
      <c r="AQ221" s="272">
        <f t="shared" si="87"/>
        <v>7.334358909765788</v>
      </c>
      <c r="AR221" s="272">
        <f t="shared" si="100"/>
        <v>14</v>
      </c>
      <c r="AS221" s="508">
        <f t="shared" si="88"/>
        <v>7.334358909765788</v>
      </c>
    </row>
    <row r="222" spans="1:45" ht="12.75" customHeight="1">
      <c r="A222" s="96">
        <f>IF(MAX($F$104:F222)=$G$99,$G$99,F222)</f>
        <v>0</v>
      </c>
      <c r="B222" s="481">
        <v>119</v>
      </c>
      <c r="C222" s="96">
        <f t="shared" si="79"/>
        <v>0.17850000000000013</v>
      </c>
      <c r="D222" s="96">
        <f t="shared" si="73"/>
        <v>19.822324694791071</v>
      </c>
      <c r="E222" s="96">
        <f t="shared" si="74"/>
        <v>1</v>
      </c>
      <c r="F222" s="96">
        <f t="shared" si="75"/>
        <v>0</v>
      </c>
      <c r="G222" s="96">
        <f t="shared" si="78"/>
        <v>-0.29799999999999999</v>
      </c>
      <c r="I222" s="96">
        <f t="shared" si="76"/>
        <v>0</v>
      </c>
      <c r="J222" s="96">
        <f t="shared" si="77"/>
        <v>0.17850000000000013</v>
      </c>
      <c r="X222" s="96">
        <f t="shared" si="89"/>
        <v>8</v>
      </c>
      <c r="Y222" s="517">
        <v>1.11499999999999</v>
      </c>
      <c r="Z222" s="272">
        <f t="shared" si="91"/>
        <v>8</v>
      </c>
      <c r="AA222" s="519">
        <f t="shared" si="92"/>
        <v>6.1798287851260962</v>
      </c>
      <c r="AB222" s="516">
        <f t="shared" si="90"/>
        <v>12</v>
      </c>
      <c r="AC222" s="272">
        <f t="shared" si="80"/>
        <v>7.6369528216036979</v>
      </c>
      <c r="AD222" s="272">
        <f t="shared" si="93"/>
        <v>14</v>
      </c>
      <c r="AE222" s="272">
        <f t="shared" si="81"/>
        <v>7.4002853999961422</v>
      </c>
      <c r="AF222" s="272">
        <f t="shared" si="94"/>
        <v>14</v>
      </c>
      <c r="AG222" s="272">
        <f t="shared" si="82"/>
        <v>7.4002853999961422</v>
      </c>
      <c r="AH222" s="272">
        <f t="shared" si="95"/>
        <v>14</v>
      </c>
      <c r="AI222" s="272">
        <f t="shared" si="83"/>
        <v>7.4002853999961422</v>
      </c>
      <c r="AJ222" s="272">
        <f t="shared" si="96"/>
        <v>14</v>
      </c>
      <c r="AK222" s="272">
        <f t="shared" si="84"/>
        <v>7.4002853999961422</v>
      </c>
      <c r="AL222" s="272">
        <f t="shared" si="97"/>
        <v>14</v>
      </c>
      <c r="AM222" s="272">
        <f t="shared" si="85"/>
        <v>7.4002853999961422</v>
      </c>
      <c r="AN222" s="272">
        <f t="shared" si="98"/>
        <v>14</v>
      </c>
      <c r="AO222" s="272">
        <f t="shared" si="86"/>
        <v>7.4002853999961422</v>
      </c>
      <c r="AP222" s="272">
        <f t="shared" si="99"/>
        <v>14</v>
      </c>
      <c r="AQ222" s="272">
        <f t="shared" si="87"/>
        <v>7.4002853999961422</v>
      </c>
      <c r="AR222" s="272">
        <f t="shared" si="100"/>
        <v>14</v>
      </c>
      <c r="AS222" s="508">
        <f t="shared" si="88"/>
        <v>7.4002853999961422</v>
      </c>
    </row>
    <row r="223" spans="1:45" ht="12.75" customHeight="1">
      <c r="A223" s="96">
        <f>IF(MAX($F$104:F223)=$G$99,$G$99,F223)</f>
        <v>0</v>
      </c>
      <c r="B223" s="481">
        <v>120</v>
      </c>
      <c r="C223" s="96">
        <f t="shared" si="79"/>
        <v>0.18000000000000013</v>
      </c>
      <c r="D223" s="96">
        <f t="shared" si="73"/>
        <v>20.156872791822007</v>
      </c>
      <c r="E223" s="96">
        <f t="shared" si="74"/>
        <v>1</v>
      </c>
      <c r="F223" s="96">
        <f t="shared" si="75"/>
        <v>0</v>
      </c>
      <c r="G223" s="96">
        <f t="shared" si="78"/>
        <v>-0.29799999999999999</v>
      </c>
      <c r="I223" s="96">
        <f t="shared" si="76"/>
        <v>0</v>
      </c>
      <c r="J223" s="96">
        <f t="shared" si="77"/>
        <v>0.18000000000000013</v>
      </c>
      <c r="X223" s="96">
        <f t="shared" si="89"/>
        <v>8</v>
      </c>
      <c r="Y223" s="96">
        <v>1.1099999999999901</v>
      </c>
      <c r="Z223" s="272">
        <f t="shared" si="91"/>
        <v>8</v>
      </c>
      <c r="AA223" s="519">
        <f t="shared" si="92"/>
        <v>6.2356283105173214</v>
      </c>
      <c r="AB223" s="516">
        <f t="shared" si="90"/>
        <v>12</v>
      </c>
      <c r="AC223" s="272">
        <f t="shared" si="80"/>
        <v>7.7059091564306925</v>
      </c>
      <c r="AD223" s="272">
        <f t="shared" si="93"/>
        <v>14</v>
      </c>
      <c r="AE223" s="272">
        <f t="shared" si="81"/>
        <v>7.4671047937750208</v>
      </c>
      <c r="AF223" s="272">
        <f t="shared" si="94"/>
        <v>14</v>
      </c>
      <c r="AG223" s="272">
        <f t="shared" si="82"/>
        <v>7.4671047937750208</v>
      </c>
      <c r="AH223" s="272">
        <f t="shared" si="95"/>
        <v>14</v>
      </c>
      <c r="AI223" s="272">
        <f t="shared" si="83"/>
        <v>7.4671047937750208</v>
      </c>
      <c r="AJ223" s="272">
        <f t="shared" si="96"/>
        <v>14</v>
      </c>
      <c r="AK223" s="272">
        <f t="shared" si="84"/>
        <v>7.4671047937750208</v>
      </c>
      <c r="AL223" s="272">
        <f t="shared" si="97"/>
        <v>14</v>
      </c>
      <c r="AM223" s="272">
        <f t="shared" si="85"/>
        <v>7.4671047937750208</v>
      </c>
      <c r="AN223" s="272">
        <f t="shared" si="98"/>
        <v>14</v>
      </c>
      <c r="AO223" s="272">
        <f t="shared" si="86"/>
        <v>7.4671047937750208</v>
      </c>
      <c r="AP223" s="272">
        <f t="shared" si="99"/>
        <v>14</v>
      </c>
      <c r="AQ223" s="272">
        <f t="shared" si="87"/>
        <v>7.4671047937750208</v>
      </c>
      <c r="AR223" s="272">
        <f t="shared" si="100"/>
        <v>14</v>
      </c>
      <c r="AS223" s="508">
        <f t="shared" si="88"/>
        <v>7.4671047937750208</v>
      </c>
    </row>
    <row r="224" spans="1:45" ht="12.75" customHeight="1">
      <c r="A224" s="96">
        <f>IF(MAX($F$104:F224)=$G$99,$G$99,F224)</f>
        <v>0</v>
      </c>
      <c r="B224" s="96">
        <v>121</v>
      </c>
      <c r="C224" s="96">
        <f t="shared" si="79"/>
        <v>0.18150000000000013</v>
      </c>
      <c r="D224" s="96">
        <f t="shared" si="73"/>
        <v>20.494220454518473</v>
      </c>
      <c r="E224" s="96">
        <f t="shared" si="74"/>
        <v>1</v>
      </c>
      <c r="F224" s="96">
        <f t="shared" si="75"/>
        <v>0</v>
      </c>
      <c r="G224" s="96">
        <f t="shared" si="78"/>
        <v>-0.29799999999999999</v>
      </c>
      <c r="I224" s="96">
        <f t="shared" si="76"/>
        <v>0</v>
      </c>
      <c r="J224" s="96">
        <f t="shared" si="77"/>
        <v>0.18150000000000013</v>
      </c>
      <c r="X224" s="96">
        <f t="shared" si="89"/>
        <v>8</v>
      </c>
      <c r="Y224" s="517">
        <v>1.10499999999999</v>
      </c>
      <c r="Z224" s="272">
        <f t="shared" si="91"/>
        <v>8</v>
      </c>
      <c r="AA224" s="519">
        <f t="shared" si="92"/>
        <v>6.2921870079551141</v>
      </c>
      <c r="AB224" s="516">
        <f t="shared" si="90"/>
        <v>12</v>
      </c>
      <c r="AC224" s="272">
        <f t="shared" si="80"/>
        <v>7.7758036662953325</v>
      </c>
      <c r="AD224" s="272">
        <f t="shared" si="93"/>
        <v>14</v>
      </c>
      <c r="AE224" s="272">
        <f t="shared" si="81"/>
        <v>7.5348332887616598</v>
      </c>
      <c r="AF224" s="272">
        <f t="shared" si="94"/>
        <v>14</v>
      </c>
      <c r="AG224" s="272">
        <f t="shared" si="82"/>
        <v>7.5348332887616598</v>
      </c>
      <c r="AH224" s="272">
        <f t="shared" si="95"/>
        <v>14</v>
      </c>
      <c r="AI224" s="272">
        <f t="shared" si="83"/>
        <v>7.5348332887616598</v>
      </c>
      <c r="AJ224" s="272">
        <f t="shared" si="96"/>
        <v>14</v>
      </c>
      <c r="AK224" s="272">
        <f t="shared" si="84"/>
        <v>7.5348332887616598</v>
      </c>
      <c r="AL224" s="272">
        <f t="shared" si="97"/>
        <v>14</v>
      </c>
      <c r="AM224" s="272">
        <f t="shared" si="85"/>
        <v>7.5348332887616598</v>
      </c>
      <c r="AN224" s="272">
        <f t="shared" si="98"/>
        <v>14</v>
      </c>
      <c r="AO224" s="272">
        <f t="shared" si="86"/>
        <v>7.5348332887616598</v>
      </c>
      <c r="AP224" s="272">
        <f t="shared" si="99"/>
        <v>14</v>
      </c>
      <c r="AQ224" s="272">
        <f t="shared" si="87"/>
        <v>7.5348332887616598</v>
      </c>
      <c r="AR224" s="272">
        <f t="shared" si="100"/>
        <v>14</v>
      </c>
      <c r="AS224" s="508">
        <f t="shared" si="88"/>
        <v>7.5348332887616598</v>
      </c>
    </row>
    <row r="225" spans="1:45" ht="12.75" customHeight="1">
      <c r="A225" s="96">
        <f>IF(MAX($F$104:F225)=$G$99,$G$99,F225)</f>
        <v>0</v>
      </c>
      <c r="B225" s="481">
        <v>122</v>
      </c>
      <c r="C225" s="96">
        <f t="shared" si="79"/>
        <v>0.18300000000000013</v>
      </c>
      <c r="D225" s="96">
        <f t="shared" si="73"/>
        <v>20.834367682880469</v>
      </c>
      <c r="E225" s="96">
        <f t="shared" si="74"/>
        <v>1</v>
      </c>
      <c r="F225" s="96">
        <f t="shared" si="75"/>
        <v>0</v>
      </c>
      <c r="G225" s="96">
        <f t="shared" si="78"/>
        <v>-0.29799999999999999</v>
      </c>
      <c r="I225" s="96">
        <f t="shared" si="76"/>
        <v>0</v>
      </c>
      <c r="J225" s="96">
        <f t="shared" si="77"/>
        <v>0.18300000000000013</v>
      </c>
      <c r="X225" s="96">
        <f t="shared" si="89"/>
        <v>8</v>
      </c>
      <c r="Y225" s="96">
        <v>1.0999999999999901</v>
      </c>
      <c r="Z225" s="272">
        <f t="shared" si="91"/>
        <v>8</v>
      </c>
      <c r="AA225" s="519">
        <f t="shared" si="92"/>
        <v>6.3495187118912337</v>
      </c>
      <c r="AB225" s="516">
        <f t="shared" si="90"/>
        <v>12</v>
      </c>
      <c r="AC225" s="272">
        <f t="shared" si="80"/>
        <v>7.8466534476349237</v>
      </c>
      <c r="AD225" s="272">
        <f t="shared" si="93"/>
        <v>14</v>
      </c>
      <c r="AE225" s="272">
        <f t="shared" si="81"/>
        <v>7.6034874515786814</v>
      </c>
      <c r="AF225" s="272">
        <f t="shared" si="94"/>
        <v>14</v>
      </c>
      <c r="AG225" s="272">
        <f t="shared" si="82"/>
        <v>7.6034874515786814</v>
      </c>
      <c r="AH225" s="272">
        <f t="shared" si="95"/>
        <v>14</v>
      </c>
      <c r="AI225" s="272">
        <f t="shared" si="83"/>
        <v>7.6034874515786814</v>
      </c>
      <c r="AJ225" s="272">
        <f t="shared" si="96"/>
        <v>14</v>
      </c>
      <c r="AK225" s="272">
        <f t="shared" si="84"/>
        <v>7.6034874515786814</v>
      </c>
      <c r="AL225" s="272">
        <f t="shared" si="97"/>
        <v>14</v>
      </c>
      <c r="AM225" s="272">
        <f t="shared" si="85"/>
        <v>7.6034874515786814</v>
      </c>
      <c r="AN225" s="272">
        <f t="shared" si="98"/>
        <v>14</v>
      </c>
      <c r="AO225" s="272">
        <f t="shared" si="86"/>
        <v>7.6034874515786814</v>
      </c>
      <c r="AP225" s="272">
        <f t="shared" si="99"/>
        <v>14</v>
      </c>
      <c r="AQ225" s="272">
        <f t="shared" si="87"/>
        <v>7.6034874515786814</v>
      </c>
      <c r="AR225" s="272">
        <f t="shared" si="100"/>
        <v>14</v>
      </c>
      <c r="AS225" s="508">
        <f t="shared" si="88"/>
        <v>7.6034874515786814</v>
      </c>
    </row>
    <row r="226" spans="1:45" ht="12.75" customHeight="1">
      <c r="A226" s="96">
        <f>IF(MAX($F$104:F226)=$G$99,$G$99,F226)</f>
        <v>0</v>
      </c>
      <c r="B226" s="481">
        <v>123</v>
      </c>
      <c r="C226" s="96">
        <f t="shared" si="79"/>
        <v>0.18450000000000014</v>
      </c>
      <c r="D226" s="96">
        <f t="shared" si="73"/>
        <v>21.177314476907995</v>
      </c>
      <c r="E226" s="96">
        <f t="shared" si="74"/>
        <v>1</v>
      </c>
      <c r="F226" s="96">
        <f t="shared" si="75"/>
        <v>0</v>
      </c>
      <c r="G226" s="96">
        <f t="shared" si="78"/>
        <v>-0.29799999999999999</v>
      </c>
      <c r="I226" s="96">
        <f t="shared" si="76"/>
        <v>0</v>
      </c>
      <c r="J226" s="96">
        <f t="shared" si="77"/>
        <v>0.18450000000000014</v>
      </c>
      <c r="X226" s="96">
        <f t="shared" si="89"/>
        <v>8</v>
      </c>
      <c r="Y226" s="517">
        <v>1.09499999999999</v>
      </c>
      <c r="Z226" s="272">
        <f t="shared" si="91"/>
        <v>8</v>
      </c>
      <c r="AA226" s="519">
        <f t="shared" si="92"/>
        <v>6.4076375733520115</v>
      </c>
      <c r="AB226" s="516">
        <f t="shared" si="90"/>
        <v>12</v>
      </c>
      <c r="AC226" s="272">
        <f t="shared" si="80"/>
        <v>7.9184759881055529</v>
      </c>
      <c r="AD226" s="272">
        <f t="shared" si="93"/>
        <v>14</v>
      </c>
      <c r="AE226" s="272">
        <f t="shared" si="81"/>
        <v>7.6730842279437104</v>
      </c>
      <c r="AF226" s="272">
        <f t="shared" si="94"/>
        <v>14</v>
      </c>
      <c r="AG226" s="272">
        <f t="shared" si="82"/>
        <v>7.6730842279437104</v>
      </c>
      <c r="AH226" s="272">
        <f t="shared" si="95"/>
        <v>14</v>
      </c>
      <c r="AI226" s="272">
        <f t="shared" si="83"/>
        <v>7.6730842279437104</v>
      </c>
      <c r="AJ226" s="272">
        <f t="shared" si="96"/>
        <v>14</v>
      </c>
      <c r="AK226" s="272">
        <f t="shared" si="84"/>
        <v>7.6730842279437104</v>
      </c>
      <c r="AL226" s="272">
        <f t="shared" si="97"/>
        <v>14</v>
      </c>
      <c r="AM226" s="272">
        <f t="shared" si="85"/>
        <v>7.6730842279437104</v>
      </c>
      <c r="AN226" s="272">
        <f t="shared" si="98"/>
        <v>14</v>
      </c>
      <c r="AO226" s="272">
        <f t="shared" si="86"/>
        <v>7.6730842279437104</v>
      </c>
      <c r="AP226" s="272">
        <f t="shared" si="99"/>
        <v>14</v>
      </c>
      <c r="AQ226" s="272">
        <f t="shared" si="87"/>
        <v>7.6730842279437104</v>
      </c>
      <c r="AR226" s="272">
        <f t="shared" si="100"/>
        <v>14</v>
      </c>
      <c r="AS226" s="508">
        <f t="shared" si="88"/>
        <v>7.6730842279437104</v>
      </c>
    </row>
    <row r="227" spans="1:45" ht="12.75" customHeight="1">
      <c r="A227" s="96">
        <f>IF(MAX($F$104:F227)=$G$99,$G$99,F227)</f>
        <v>0</v>
      </c>
      <c r="B227" s="96">
        <v>124</v>
      </c>
      <c r="C227" s="96">
        <f t="shared" si="79"/>
        <v>0.18600000000000014</v>
      </c>
      <c r="D227" s="96">
        <f t="shared" si="73"/>
        <v>21.523060836601054</v>
      </c>
      <c r="E227" s="96">
        <f t="shared" si="74"/>
        <v>1</v>
      </c>
      <c r="F227" s="96">
        <f t="shared" si="75"/>
        <v>0</v>
      </c>
      <c r="G227" s="96">
        <f t="shared" si="78"/>
        <v>-0.29799999999999999</v>
      </c>
      <c r="I227" s="96">
        <f t="shared" si="76"/>
        <v>0</v>
      </c>
      <c r="J227" s="96">
        <f t="shared" si="77"/>
        <v>0.18600000000000014</v>
      </c>
      <c r="X227" s="96">
        <f t="shared" si="89"/>
        <v>8</v>
      </c>
      <c r="Y227" s="96">
        <v>1.0899999999999901</v>
      </c>
      <c r="Z227" s="272">
        <f t="shared" si="91"/>
        <v>8</v>
      </c>
      <c r="AA227" s="519">
        <f t="shared" si="92"/>
        <v>6.4665580686713175</v>
      </c>
      <c r="AB227" s="516">
        <f t="shared" si="90"/>
        <v>12</v>
      </c>
      <c r="AC227" s="272">
        <f t="shared" si="80"/>
        <v>7.9912891773741759</v>
      </c>
      <c r="AD227" s="272">
        <f t="shared" si="93"/>
        <v>14</v>
      </c>
      <c r="AE227" s="272">
        <f t="shared" si="81"/>
        <v>7.7436409531270147</v>
      </c>
      <c r="AF227" s="272">
        <f t="shared" si="94"/>
        <v>14</v>
      </c>
      <c r="AG227" s="272">
        <f t="shared" si="82"/>
        <v>7.7436409531270147</v>
      </c>
      <c r="AH227" s="272">
        <f t="shared" si="95"/>
        <v>14</v>
      </c>
      <c r="AI227" s="272">
        <f t="shared" si="83"/>
        <v>7.7436409531270147</v>
      </c>
      <c r="AJ227" s="272">
        <f t="shared" si="96"/>
        <v>14</v>
      </c>
      <c r="AK227" s="272">
        <f t="shared" si="84"/>
        <v>7.7436409531270147</v>
      </c>
      <c r="AL227" s="272">
        <f t="shared" si="97"/>
        <v>14</v>
      </c>
      <c r="AM227" s="272">
        <f t="shared" si="85"/>
        <v>7.7436409531270147</v>
      </c>
      <c r="AN227" s="272">
        <f t="shared" si="98"/>
        <v>14</v>
      </c>
      <c r="AO227" s="272">
        <f t="shared" si="86"/>
        <v>7.7436409531270147</v>
      </c>
      <c r="AP227" s="272">
        <f t="shared" si="99"/>
        <v>14</v>
      </c>
      <c r="AQ227" s="272">
        <f t="shared" si="87"/>
        <v>7.7436409531270147</v>
      </c>
      <c r="AR227" s="272">
        <f t="shared" si="100"/>
        <v>14</v>
      </c>
      <c r="AS227" s="508">
        <f t="shared" si="88"/>
        <v>7.7436409531270147</v>
      </c>
    </row>
    <row r="228" spans="1:45" ht="12.75" customHeight="1">
      <c r="A228" s="96">
        <f>IF(MAX($F$104:F228)=$G$99,$G$99,F228)</f>
        <v>0</v>
      </c>
      <c r="B228" s="481">
        <v>125</v>
      </c>
      <c r="C228" s="96">
        <f t="shared" si="79"/>
        <v>0.18750000000000014</v>
      </c>
      <c r="D228" s="96">
        <f t="shared" si="73"/>
        <v>21.871606761959647</v>
      </c>
      <c r="E228" s="96">
        <f t="shared" si="74"/>
        <v>1</v>
      </c>
      <c r="F228" s="96">
        <f t="shared" si="75"/>
        <v>0</v>
      </c>
      <c r="G228" s="96">
        <f t="shared" si="78"/>
        <v>-0.29799999999999999</v>
      </c>
      <c r="I228" s="96">
        <f t="shared" si="76"/>
        <v>0</v>
      </c>
      <c r="J228" s="96">
        <f t="shared" si="77"/>
        <v>0.18750000000000014</v>
      </c>
      <c r="X228" s="96">
        <f t="shared" si="89"/>
        <v>8</v>
      </c>
      <c r="Y228" s="517">
        <v>1.08499999999999</v>
      </c>
      <c r="Z228" s="272">
        <f t="shared" si="91"/>
        <v>8</v>
      </c>
      <c r="AA228" s="519">
        <f t="shared" si="92"/>
        <v>6.5262950085059321</v>
      </c>
      <c r="AB228" s="516">
        <f t="shared" si="90"/>
        <v>12</v>
      </c>
      <c r="AC228" s="272">
        <f t="shared" si="80"/>
        <v>8.0651113182596887</v>
      </c>
      <c r="AD228" s="272">
        <f t="shared" si="93"/>
        <v>14</v>
      </c>
      <c r="AE228" s="272">
        <f t="shared" si="81"/>
        <v>7.8151753627473166</v>
      </c>
      <c r="AF228" s="272">
        <f t="shared" si="94"/>
        <v>14</v>
      </c>
      <c r="AG228" s="272">
        <f t="shared" si="82"/>
        <v>7.8151753627473166</v>
      </c>
      <c r="AH228" s="272">
        <f t="shared" si="95"/>
        <v>14</v>
      </c>
      <c r="AI228" s="272">
        <f t="shared" si="83"/>
        <v>7.8151753627473166</v>
      </c>
      <c r="AJ228" s="272">
        <f t="shared" si="96"/>
        <v>14</v>
      </c>
      <c r="AK228" s="272">
        <f t="shared" si="84"/>
        <v>7.8151753627473166</v>
      </c>
      <c r="AL228" s="272">
        <f t="shared" si="97"/>
        <v>14</v>
      </c>
      <c r="AM228" s="272">
        <f t="shared" si="85"/>
        <v>7.8151753627473166</v>
      </c>
      <c r="AN228" s="272">
        <f t="shared" si="98"/>
        <v>14</v>
      </c>
      <c r="AO228" s="272">
        <f t="shared" si="86"/>
        <v>7.8151753627473166</v>
      </c>
      <c r="AP228" s="272">
        <f t="shared" si="99"/>
        <v>14</v>
      </c>
      <c r="AQ228" s="272">
        <f t="shared" si="87"/>
        <v>7.8151753627473166</v>
      </c>
      <c r="AR228" s="272">
        <f t="shared" si="100"/>
        <v>14</v>
      </c>
      <c r="AS228" s="508">
        <f t="shared" si="88"/>
        <v>7.8151753627473166</v>
      </c>
    </row>
    <row r="229" spans="1:45" ht="12.75" customHeight="1">
      <c r="A229" s="96">
        <f>IF(MAX($F$104:F229)=$G$99,$G$99,F229)</f>
        <v>4.1818400594214225E-14</v>
      </c>
      <c r="B229" s="481">
        <v>126</v>
      </c>
      <c r="C229" s="96">
        <f t="shared" si="79"/>
        <v>0.18900000000000014</v>
      </c>
      <c r="D229" s="96">
        <f t="shared" si="73"/>
        <v>22.222952252983763</v>
      </c>
      <c r="E229" s="96">
        <f t="shared" si="74"/>
        <v>1</v>
      </c>
      <c r="F229" s="96">
        <f t="shared" si="75"/>
        <v>4.1818400594214225E-14</v>
      </c>
      <c r="G229" s="96">
        <f t="shared" si="78"/>
        <v>-0.29799999999995819</v>
      </c>
      <c r="I229" s="96">
        <f t="shared" si="76"/>
        <v>0</v>
      </c>
      <c r="J229" s="96">
        <f t="shared" si="77"/>
        <v>0.18900000000000014</v>
      </c>
      <c r="X229" s="96">
        <f t="shared" si="89"/>
        <v>8</v>
      </c>
      <c r="Y229" s="96">
        <v>1.0799999999999901</v>
      </c>
      <c r="Z229" s="272">
        <f t="shared" si="91"/>
        <v>8</v>
      </c>
      <c r="AA229" s="519">
        <f t="shared" si="92"/>
        <v>6.5868635471436852</v>
      </c>
      <c r="AB229" s="516">
        <f t="shared" si="90"/>
        <v>12</v>
      </c>
      <c r="AC229" s="272">
        <f t="shared" si="80"/>
        <v>8.1399611382358206</v>
      </c>
      <c r="AD229" s="272">
        <f t="shared" si="93"/>
        <v>14</v>
      </c>
      <c r="AE229" s="272">
        <f t="shared" si="81"/>
        <v>7.8877056039182154</v>
      </c>
      <c r="AF229" s="272">
        <f t="shared" si="94"/>
        <v>14</v>
      </c>
      <c r="AG229" s="272">
        <f t="shared" si="82"/>
        <v>7.8877056039182154</v>
      </c>
      <c r="AH229" s="272">
        <f t="shared" si="95"/>
        <v>14</v>
      </c>
      <c r="AI229" s="272">
        <f t="shared" si="83"/>
        <v>7.8877056039182154</v>
      </c>
      <c r="AJ229" s="272">
        <f t="shared" si="96"/>
        <v>14</v>
      </c>
      <c r="AK229" s="272">
        <f t="shared" si="84"/>
        <v>7.8877056039182154</v>
      </c>
      <c r="AL229" s="272">
        <f t="shared" si="97"/>
        <v>14</v>
      </c>
      <c r="AM229" s="272">
        <f t="shared" si="85"/>
        <v>7.8877056039182154</v>
      </c>
      <c r="AN229" s="272">
        <f t="shared" si="98"/>
        <v>14</v>
      </c>
      <c r="AO229" s="272">
        <f t="shared" si="86"/>
        <v>7.8877056039182154</v>
      </c>
      <c r="AP229" s="272">
        <f t="shared" si="99"/>
        <v>14</v>
      </c>
      <c r="AQ229" s="272">
        <f t="shared" si="87"/>
        <v>7.8877056039182154</v>
      </c>
      <c r="AR229" s="272">
        <f t="shared" si="100"/>
        <v>14</v>
      </c>
      <c r="AS229" s="508">
        <f t="shared" si="88"/>
        <v>7.8877056039182154</v>
      </c>
    </row>
    <row r="230" spans="1:45" ht="12.75" customHeight="1">
      <c r="A230" s="96">
        <f>IF(MAX($F$104:F230)=$G$99,$G$99,F230)</f>
        <v>8.3636801188428451E-14</v>
      </c>
      <c r="B230" s="96">
        <v>127</v>
      </c>
      <c r="C230" s="96">
        <f t="shared" si="79"/>
        <v>0.19050000000000014</v>
      </c>
      <c r="D230" s="96">
        <f t="shared" si="73"/>
        <v>22.577097309673412</v>
      </c>
      <c r="E230" s="96">
        <f t="shared" si="74"/>
        <v>0.99999999999999989</v>
      </c>
      <c r="F230" s="96">
        <f t="shared" si="75"/>
        <v>8.3636801188428451E-14</v>
      </c>
      <c r="G230" s="96">
        <f t="shared" si="78"/>
        <v>-0.29799999999991633</v>
      </c>
      <c r="I230" s="96">
        <f t="shared" si="76"/>
        <v>0</v>
      </c>
      <c r="J230" s="96">
        <f t="shared" si="77"/>
        <v>0.19050000000000014</v>
      </c>
      <c r="X230" s="96">
        <f t="shared" si="89"/>
        <v>8</v>
      </c>
      <c r="Y230" s="517">
        <v>1.07499999999999</v>
      </c>
      <c r="Z230" s="272">
        <f t="shared" si="91"/>
        <v>8</v>
      </c>
      <c r="AA230" s="519">
        <f t="shared" si="92"/>
        <v>6.6482791921154325</v>
      </c>
      <c r="AB230" s="516">
        <f t="shared" si="90"/>
        <v>12</v>
      </c>
      <c r="AC230" s="272">
        <f t="shared" si="80"/>
        <v>8.2158578013094772</v>
      </c>
      <c r="AD230" s="272">
        <f t="shared" si="93"/>
        <v>14</v>
      </c>
      <c r="AE230" s="272">
        <f t="shared" si="81"/>
        <v>7.9612502467584303</v>
      </c>
      <c r="AF230" s="272">
        <f t="shared" si="94"/>
        <v>14</v>
      </c>
      <c r="AG230" s="272">
        <f t="shared" si="82"/>
        <v>7.9612502467584303</v>
      </c>
      <c r="AH230" s="272">
        <f t="shared" si="95"/>
        <v>14</v>
      </c>
      <c r="AI230" s="272">
        <f t="shared" si="83"/>
        <v>7.9612502467584303</v>
      </c>
      <c r="AJ230" s="272">
        <f t="shared" si="96"/>
        <v>14</v>
      </c>
      <c r="AK230" s="272">
        <f t="shared" si="84"/>
        <v>7.9612502467584303</v>
      </c>
      <c r="AL230" s="272">
        <f t="shared" si="97"/>
        <v>14</v>
      </c>
      <c r="AM230" s="272">
        <f t="shared" si="85"/>
        <v>7.9612502467584303</v>
      </c>
      <c r="AN230" s="272">
        <f t="shared" si="98"/>
        <v>14</v>
      </c>
      <c r="AO230" s="272">
        <f t="shared" si="86"/>
        <v>7.9612502467584303</v>
      </c>
      <c r="AP230" s="272">
        <f t="shared" si="99"/>
        <v>14</v>
      </c>
      <c r="AQ230" s="272">
        <f t="shared" si="87"/>
        <v>7.9612502467584303</v>
      </c>
      <c r="AR230" s="272">
        <f t="shared" si="100"/>
        <v>14</v>
      </c>
      <c r="AS230" s="508">
        <f t="shared" si="88"/>
        <v>7.9612502467584303</v>
      </c>
    </row>
    <row r="231" spans="1:45" ht="12.75" customHeight="1">
      <c r="A231" s="96">
        <f>IF(MAX($F$104:F231)=$G$99,$G$99,F231)</f>
        <v>8.3636801188428451E-14</v>
      </c>
      <c r="B231" s="481">
        <v>128</v>
      </c>
      <c r="C231" s="96">
        <f t="shared" si="79"/>
        <v>0.19200000000000014</v>
      </c>
      <c r="D231" s="96">
        <f t="shared" si="73"/>
        <v>22.934041932028595</v>
      </c>
      <c r="E231" s="96">
        <f t="shared" si="74"/>
        <v>0.99999999999999978</v>
      </c>
      <c r="F231" s="96">
        <f t="shared" si="75"/>
        <v>8.3636801188428451E-14</v>
      </c>
      <c r="G231" s="96">
        <f t="shared" si="78"/>
        <v>-0.29799999999991633</v>
      </c>
      <c r="I231" s="96">
        <f t="shared" si="76"/>
        <v>0</v>
      </c>
      <c r="J231" s="96">
        <f t="shared" si="77"/>
        <v>0.19200000000000014</v>
      </c>
      <c r="X231" s="96">
        <f t="shared" si="89"/>
        <v>9</v>
      </c>
      <c r="Y231" s="96">
        <v>1.0699999999999901</v>
      </c>
      <c r="Z231" s="272">
        <f t="shared" si="91"/>
        <v>9</v>
      </c>
      <c r="AA231" s="519">
        <f t="shared" si="92"/>
        <v>6.7105578141221045</v>
      </c>
      <c r="AB231" s="516">
        <f t="shared" si="90"/>
        <v>12</v>
      </c>
      <c r="AC231" s="272">
        <f t="shared" si="80"/>
        <v>8.2928209202884648</v>
      </c>
      <c r="AD231" s="272">
        <f t="shared" si="93"/>
        <v>14</v>
      </c>
      <c r="AE231" s="272">
        <f t="shared" si="81"/>
        <v>8.0358282962793322</v>
      </c>
      <c r="AF231" s="272">
        <f t="shared" si="94"/>
        <v>16</v>
      </c>
      <c r="AG231" s="272">
        <f t="shared" si="82"/>
        <v>7.8504645262648527</v>
      </c>
      <c r="AH231" s="272">
        <f t="shared" si="95"/>
        <v>14</v>
      </c>
      <c r="AI231" s="272">
        <f t="shared" si="83"/>
        <v>8.0358282962793322</v>
      </c>
      <c r="AJ231" s="272">
        <f t="shared" si="96"/>
        <v>16</v>
      </c>
      <c r="AK231" s="272">
        <f t="shared" si="84"/>
        <v>7.8504645262648527</v>
      </c>
      <c r="AL231" s="272">
        <f t="shared" si="97"/>
        <v>14</v>
      </c>
      <c r="AM231" s="272">
        <f t="shared" si="85"/>
        <v>8.0358282962793322</v>
      </c>
      <c r="AN231" s="272">
        <f t="shared" si="98"/>
        <v>16</v>
      </c>
      <c r="AO231" s="272">
        <f t="shared" si="86"/>
        <v>7.8504645262648527</v>
      </c>
      <c r="AP231" s="272">
        <f t="shared" si="99"/>
        <v>14</v>
      </c>
      <c r="AQ231" s="272">
        <f t="shared" si="87"/>
        <v>8.0358282962793322</v>
      </c>
      <c r="AR231" s="272">
        <f t="shared" si="100"/>
        <v>16</v>
      </c>
      <c r="AS231" s="508">
        <f t="shared" si="88"/>
        <v>7.8504645262648527</v>
      </c>
    </row>
    <row r="232" spans="1:45" ht="12.75" customHeight="1">
      <c r="A232" s="96">
        <f>IF(MAX($F$104:F232)=$G$99,$G$99,F232)</f>
        <v>1.2545520178264266E-13</v>
      </c>
      <c r="B232" s="481">
        <v>129</v>
      </c>
      <c r="C232" s="96">
        <f t="shared" si="79"/>
        <v>0.19350000000000014</v>
      </c>
      <c r="D232" s="96">
        <f t="shared" ref="D232:D295" si="101">C232^2/$C$96</f>
        <v>23.293786120049308</v>
      </c>
      <c r="E232" s="96">
        <f t="shared" ref="E232:E295" si="102">CHIDIST(D232,$E$96)</f>
        <v>0.99999999999999967</v>
      </c>
      <c r="F232" s="96">
        <f t="shared" ref="F232:F295" si="103">IF($E$7&lt;$F$101,NA(),$E$98*(E231-E233)/(2*$C$99))</f>
        <v>1.2545520178264266E-13</v>
      </c>
      <c r="G232" s="96">
        <f t="shared" si="78"/>
        <v>-0.29799999999987453</v>
      </c>
      <c r="I232" s="96">
        <f t="shared" ref="I232:I295" si="104">IF(F232&gt;$G$98,1,0)</f>
        <v>0</v>
      </c>
      <c r="J232" s="96">
        <f t="shared" ref="J232:J295" si="105">C232</f>
        <v>0.19350000000000014</v>
      </c>
      <c r="X232" s="96">
        <f t="shared" si="89"/>
        <v>9</v>
      </c>
      <c r="Y232" s="517">
        <v>1.06499999999999</v>
      </c>
      <c r="Z232" s="272">
        <f t="shared" si="91"/>
        <v>9</v>
      </c>
      <c r="AA232" s="519">
        <f t="shared" si="92"/>
        <v>6.7737156572888084</v>
      </c>
      <c r="AB232" s="516">
        <f t="shared" si="90"/>
        <v>12</v>
      </c>
      <c r="AC232" s="272">
        <f t="shared" si="80"/>
        <v>8.370870569453384</v>
      </c>
      <c r="AD232" s="272">
        <f t="shared" si="93"/>
        <v>14</v>
      </c>
      <c r="AE232" s="272">
        <f t="shared" si="81"/>
        <v>8.1114592046641647</v>
      </c>
      <c r="AF232" s="272">
        <f t="shared" si="94"/>
        <v>16</v>
      </c>
      <c r="AG232" s="272">
        <f t="shared" si="82"/>
        <v>7.9243508440747066</v>
      </c>
      <c r="AH232" s="272">
        <f t="shared" si="95"/>
        <v>14</v>
      </c>
      <c r="AI232" s="272">
        <f t="shared" si="83"/>
        <v>8.1114592046641647</v>
      </c>
      <c r="AJ232" s="272">
        <f t="shared" si="96"/>
        <v>16</v>
      </c>
      <c r="AK232" s="272">
        <f t="shared" si="84"/>
        <v>7.9243508440747066</v>
      </c>
      <c r="AL232" s="272">
        <f t="shared" si="97"/>
        <v>14</v>
      </c>
      <c r="AM232" s="272">
        <f t="shared" si="85"/>
        <v>8.1114592046641647</v>
      </c>
      <c r="AN232" s="272">
        <f t="shared" si="98"/>
        <v>16</v>
      </c>
      <c r="AO232" s="272">
        <f t="shared" si="86"/>
        <v>7.9243508440747066</v>
      </c>
      <c r="AP232" s="272">
        <f t="shared" si="99"/>
        <v>14</v>
      </c>
      <c r="AQ232" s="272">
        <f t="shared" si="87"/>
        <v>8.1114592046641647</v>
      </c>
      <c r="AR232" s="272">
        <f t="shared" si="100"/>
        <v>16</v>
      </c>
      <c r="AS232" s="508">
        <f t="shared" si="88"/>
        <v>7.9243508440747066</v>
      </c>
    </row>
    <row r="233" spans="1:45" ht="12.75" customHeight="1">
      <c r="A233" s="96">
        <f>IF(MAX($F$104:F233)=$G$99,$G$99,F233)</f>
        <v>2.5091040356528533E-13</v>
      </c>
      <c r="B233" s="96">
        <v>130</v>
      </c>
      <c r="C233" s="96">
        <f t="shared" si="79"/>
        <v>0.19500000000000015</v>
      </c>
      <c r="D233" s="96">
        <f t="shared" si="101"/>
        <v>23.656329873735551</v>
      </c>
      <c r="E233" s="96">
        <f t="shared" si="102"/>
        <v>0.99999999999999944</v>
      </c>
      <c r="F233" s="96">
        <f t="shared" si="103"/>
        <v>2.5091040356528533E-13</v>
      </c>
      <c r="G233" s="96">
        <f t="shared" ref="G233:G296" si="106">F233-$G$101</f>
        <v>-0.29799999999974908</v>
      </c>
      <c r="I233" s="96">
        <f t="shared" si="104"/>
        <v>0</v>
      </c>
      <c r="J233" s="96">
        <f t="shared" si="105"/>
        <v>0.19500000000000015</v>
      </c>
      <c r="X233" s="96">
        <f t="shared" si="89"/>
        <v>9</v>
      </c>
      <c r="Y233" s="96">
        <v>1.0599999999999901</v>
      </c>
      <c r="Z233" s="272">
        <f t="shared" si="91"/>
        <v>9</v>
      </c>
      <c r="AA233" s="519">
        <f t="shared" si="92"/>
        <v>6.8377693497582754</v>
      </c>
      <c r="AB233" s="516">
        <f t="shared" si="90"/>
        <v>12</v>
      </c>
      <c r="AC233" s="272">
        <f t="shared" si="80"/>
        <v>8.4500272976488642</v>
      </c>
      <c r="AD233" s="272">
        <f t="shared" si="93"/>
        <v>14</v>
      </c>
      <c r="AE233" s="272">
        <f t="shared" si="81"/>
        <v>8.1881628839535523</v>
      </c>
      <c r="AF233" s="272">
        <f t="shared" si="94"/>
        <v>16</v>
      </c>
      <c r="AG233" s="272">
        <f t="shared" si="82"/>
        <v>7.9992851870066151</v>
      </c>
      <c r="AH233" s="272">
        <f t="shared" si="95"/>
        <v>14</v>
      </c>
      <c r="AI233" s="272">
        <f t="shared" si="83"/>
        <v>8.1881628839535523</v>
      </c>
      <c r="AJ233" s="272">
        <f t="shared" si="96"/>
        <v>16</v>
      </c>
      <c r="AK233" s="272">
        <f t="shared" si="84"/>
        <v>7.9992851870066151</v>
      </c>
      <c r="AL233" s="272">
        <f t="shared" si="97"/>
        <v>14</v>
      </c>
      <c r="AM233" s="272">
        <f t="shared" si="85"/>
        <v>8.1881628839535523</v>
      </c>
      <c r="AN233" s="272">
        <f t="shared" si="98"/>
        <v>16</v>
      </c>
      <c r="AO233" s="272">
        <f t="shared" si="86"/>
        <v>7.9992851870066151</v>
      </c>
      <c r="AP233" s="272">
        <f t="shared" si="99"/>
        <v>14</v>
      </c>
      <c r="AQ233" s="272">
        <f t="shared" si="87"/>
        <v>8.1881628839535523</v>
      </c>
      <c r="AR233" s="272">
        <f t="shared" si="100"/>
        <v>16</v>
      </c>
      <c r="AS233" s="508">
        <f t="shared" si="88"/>
        <v>7.9992851870066151</v>
      </c>
    </row>
    <row r="234" spans="1:45" ht="12.75" customHeight="1">
      <c r="A234" s="96">
        <f>IF(MAX($F$104:F234)=$G$99,$G$99,F234)</f>
        <v>5.0182080713057066E-13</v>
      </c>
      <c r="B234" s="481">
        <v>131</v>
      </c>
      <c r="C234" s="96">
        <f t="shared" si="79"/>
        <v>0.19650000000000015</v>
      </c>
      <c r="D234" s="96">
        <f t="shared" si="101"/>
        <v>24.021673193087324</v>
      </c>
      <c r="E234" s="96">
        <f t="shared" si="102"/>
        <v>0.999999999999999</v>
      </c>
      <c r="F234" s="96">
        <f t="shared" si="103"/>
        <v>5.0182080713057066E-13</v>
      </c>
      <c r="G234" s="96">
        <f t="shared" si="106"/>
        <v>-0.29799999999949817</v>
      </c>
      <c r="I234" s="96">
        <f t="shared" si="104"/>
        <v>0</v>
      </c>
      <c r="J234" s="96">
        <f t="shared" si="105"/>
        <v>0.19650000000000015</v>
      </c>
      <c r="X234" s="96">
        <f t="shared" si="89"/>
        <v>9</v>
      </c>
      <c r="Y234" s="517">
        <v>1.0549999999999899</v>
      </c>
      <c r="Z234" s="272">
        <f t="shared" si="91"/>
        <v>9</v>
      </c>
      <c r="AA234" s="519">
        <f t="shared" si="92"/>
        <v>6.9027359146365992</v>
      </c>
      <c r="AB234" s="516">
        <f t="shared" si="90"/>
        <v>12</v>
      </c>
      <c r="AC234" s="272">
        <f t="shared" si="80"/>
        <v>8.5303121418101728</v>
      </c>
      <c r="AD234" s="272">
        <f t="shared" si="93"/>
        <v>14</v>
      </c>
      <c r="AE234" s="272">
        <f t="shared" si="81"/>
        <v>8.2659597191529528</v>
      </c>
      <c r="AF234" s="272">
        <f t="shared" si="94"/>
        <v>16</v>
      </c>
      <c r="AG234" s="272">
        <f t="shared" si="82"/>
        <v>8.0752874698417685</v>
      </c>
      <c r="AH234" s="272">
        <f t="shared" si="95"/>
        <v>16</v>
      </c>
      <c r="AI234" s="272">
        <f t="shared" si="83"/>
        <v>8.0752874698417685</v>
      </c>
      <c r="AJ234" s="272">
        <f t="shared" si="96"/>
        <v>16</v>
      </c>
      <c r="AK234" s="272">
        <f t="shared" si="84"/>
        <v>8.0752874698417685</v>
      </c>
      <c r="AL234" s="272">
        <f t="shared" si="97"/>
        <v>16</v>
      </c>
      <c r="AM234" s="272">
        <f t="shared" si="85"/>
        <v>8.0752874698417685</v>
      </c>
      <c r="AN234" s="272">
        <f t="shared" si="98"/>
        <v>16</v>
      </c>
      <c r="AO234" s="272">
        <f t="shared" si="86"/>
        <v>8.0752874698417685</v>
      </c>
      <c r="AP234" s="272">
        <f t="shared" si="99"/>
        <v>16</v>
      </c>
      <c r="AQ234" s="272">
        <f t="shared" si="87"/>
        <v>8.0752874698417685</v>
      </c>
      <c r="AR234" s="272">
        <f t="shared" si="100"/>
        <v>16</v>
      </c>
      <c r="AS234" s="508">
        <f t="shared" si="88"/>
        <v>8.0752874698417685</v>
      </c>
    </row>
    <row r="235" spans="1:45" ht="12.75" customHeight="1">
      <c r="A235" s="96">
        <f>IF(MAX($F$104:F235)=$G$99,$G$99,F235)</f>
        <v>8.3636801188428446E-13</v>
      </c>
      <c r="B235" s="481">
        <v>132</v>
      </c>
      <c r="C235" s="96">
        <f t="shared" si="79"/>
        <v>0.19800000000000015</v>
      </c>
      <c r="D235" s="96">
        <f t="shared" si="101"/>
        <v>24.38981607810463</v>
      </c>
      <c r="E235" s="96">
        <f t="shared" si="102"/>
        <v>0.99999999999999811</v>
      </c>
      <c r="F235" s="96">
        <f t="shared" si="103"/>
        <v>8.3636801188428446E-13</v>
      </c>
      <c r="G235" s="96">
        <f t="shared" si="106"/>
        <v>-0.2979999999991636</v>
      </c>
      <c r="I235" s="96">
        <f t="shared" si="104"/>
        <v>0</v>
      </c>
      <c r="J235" s="96">
        <f t="shared" si="105"/>
        <v>0.19800000000000015</v>
      </c>
      <c r="X235" s="96">
        <f t="shared" si="89"/>
        <v>9</v>
      </c>
      <c r="Y235" s="96">
        <v>1.0499999999999901</v>
      </c>
      <c r="Z235" s="272">
        <f t="shared" si="91"/>
        <v>9</v>
      </c>
      <c r="AA235" s="519">
        <f t="shared" si="92"/>
        <v>6.9686327813046711</v>
      </c>
      <c r="AB235" s="516">
        <f t="shared" si="90"/>
        <v>12</v>
      </c>
      <c r="AC235" s="272">
        <f t="shared" si="80"/>
        <v>8.6117466409417389</v>
      </c>
      <c r="AD235" s="272">
        <f t="shared" si="93"/>
        <v>14</v>
      </c>
      <c r="AE235" s="272">
        <f t="shared" si="81"/>
        <v>8.34487058177797</v>
      </c>
      <c r="AF235" s="272">
        <f t="shared" si="94"/>
        <v>16</v>
      </c>
      <c r="AG235" s="272">
        <f t="shared" si="82"/>
        <v>8.1523780826491006</v>
      </c>
      <c r="AH235" s="272">
        <f t="shared" si="95"/>
        <v>16</v>
      </c>
      <c r="AI235" s="272">
        <f t="shared" si="83"/>
        <v>8.1523780826491006</v>
      </c>
      <c r="AJ235" s="272">
        <f t="shared" si="96"/>
        <v>16</v>
      </c>
      <c r="AK235" s="272">
        <f t="shared" si="84"/>
        <v>8.1523780826491006</v>
      </c>
      <c r="AL235" s="272">
        <f t="shared" si="97"/>
        <v>16</v>
      </c>
      <c r="AM235" s="272">
        <f t="shared" si="85"/>
        <v>8.1523780826491006</v>
      </c>
      <c r="AN235" s="272">
        <f t="shared" si="98"/>
        <v>16</v>
      </c>
      <c r="AO235" s="272">
        <f t="shared" si="86"/>
        <v>8.1523780826491006</v>
      </c>
      <c r="AP235" s="272">
        <f t="shared" si="99"/>
        <v>16</v>
      </c>
      <c r="AQ235" s="272">
        <f t="shared" si="87"/>
        <v>8.1523780826491006</v>
      </c>
      <c r="AR235" s="272">
        <f t="shared" si="100"/>
        <v>16</v>
      </c>
      <c r="AS235" s="508">
        <f t="shared" si="88"/>
        <v>8.1523780826491006</v>
      </c>
    </row>
    <row r="236" spans="1:45" ht="12.75" customHeight="1">
      <c r="A236" s="96">
        <f>IF(MAX($F$104:F236)=$G$99,$G$99,F236)</f>
        <v>1.3800072196090696E-12</v>
      </c>
      <c r="B236" s="96">
        <v>133</v>
      </c>
      <c r="C236" s="96">
        <f t="shared" si="79"/>
        <v>0.19950000000000015</v>
      </c>
      <c r="D236" s="96">
        <f t="shared" si="101"/>
        <v>24.760758528787463</v>
      </c>
      <c r="E236" s="96">
        <f t="shared" si="102"/>
        <v>0.99999999999999678</v>
      </c>
      <c r="F236" s="96">
        <f t="shared" si="103"/>
        <v>1.3800072196090696E-12</v>
      </c>
      <c r="G236" s="96">
        <f t="shared" si="106"/>
        <v>-0.29799999999861998</v>
      </c>
      <c r="I236" s="96">
        <f t="shared" si="104"/>
        <v>0</v>
      </c>
      <c r="J236" s="96">
        <f t="shared" si="105"/>
        <v>0.19950000000000015</v>
      </c>
      <c r="X236" s="96">
        <f t="shared" si="89"/>
        <v>9</v>
      </c>
      <c r="Y236" s="517">
        <v>1.0449999999999899</v>
      </c>
      <c r="Z236" s="272">
        <f t="shared" si="91"/>
        <v>9</v>
      </c>
      <c r="AA236" s="519">
        <f t="shared" si="92"/>
        <v>7.0354777971094089</v>
      </c>
      <c r="AB236" s="516">
        <f t="shared" si="90"/>
        <v>14</v>
      </c>
      <c r="AC236" s="272">
        <f t="shared" si="80"/>
        <v>8.4249168438545041</v>
      </c>
      <c r="AD236" s="272">
        <f t="shared" si="93"/>
        <v>16</v>
      </c>
      <c r="AE236" s="272">
        <f t="shared" si="81"/>
        <v>8.2305779044624767</v>
      </c>
      <c r="AF236" s="272">
        <f t="shared" si="94"/>
        <v>16</v>
      </c>
      <c r="AG236" s="272">
        <f t="shared" si="82"/>
        <v>8.2305779044624767</v>
      </c>
      <c r="AH236" s="272">
        <f t="shared" si="95"/>
        <v>16</v>
      </c>
      <c r="AI236" s="272">
        <f t="shared" si="83"/>
        <v>8.2305779044624767</v>
      </c>
      <c r="AJ236" s="272">
        <f t="shared" si="96"/>
        <v>16</v>
      </c>
      <c r="AK236" s="272">
        <f t="shared" si="84"/>
        <v>8.2305779044624767</v>
      </c>
      <c r="AL236" s="272">
        <f t="shared" si="97"/>
        <v>16</v>
      </c>
      <c r="AM236" s="272">
        <f t="shared" si="85"/>
        <v>8.2305779044624767</v>
      </c>
      <c r="AN236" s="272">
        <f t="shared" si="98"/>
        <v>16</v>
      </c>
      <c r="AO236" s="272">
        <f t="shared" si="86"/>
        <v>8.2305779044624767</v>
      </c>
      <c r="AP236" s="272">
        <f t="shared" si="99"/>
        <v>16</v>
      </c>
      <c r="AQ236" s="272">
        <f t="shared" si="87"/>
        <v>8.2305779044624767</v>
      </c>
      <c r="AR236" s="272">
        <f t="shared" si="100"/>
        <v>16</v>
      </c>
      <c r="AS236" s="508">
        <f t="shared" si="88"/>
        <v>8.2305779044624767</v>
      </c>
    </row>
    <row r="237" spans="1:45" ht="12.75" customHeight="1">
      <c r="A237" s="96">
        <f>IF(MAX($F$104:F237)=$G$99,$G$99,F237)</f>
        <v>2.3836488338702111E-12</v>
      </c>
      <c r="B237" s="481">
        <v>134</v>
      </c>
      <c r="C237" s="96">
        <f t="shared" si="79"/>
        <v>0.20100000000000015</v>
      </c>
      <c r="D237" s="96">
        <f t="shared" si="101"/>
        <v>25.134500545135833</v>
      </c>
      <c r="E237" s="96">
        <f t="shared" si="102"/>
        <v>0.99999999999999445</v>
      </c>
      <c r="F237" s="96">
        <f t="shared" si="103"/>
        <v>2.3836488338702111E-12</v>
      </c>
      <c r="G237" s="96">
        <f t="shared" si="106"/>
        <v>-0.29799999999761634</v>
      </c>
      <c r="I237" s="96">
        <f t="shared" si="104"/>
        <v>0</v>
      </c>
      <c r="J237" s="96">
        <f t="shared" si="105"/>
        <v>0.20100000000000015</v>
      </c>
      <c r="X237" s="96">
        <f t="shared" si="89"/>
        <v>9</v>
      </c>
      <c r="Y237" s="96">
        <v>1.03999999999999</v>
      </c>
      <c r="Z237" s="272">
        <f t="shared" si="91"/>
        <v>9</v>
      </c>
      <c r="AA237" s="519">
        <f t="shared" si="92"/>
        <v>7.1032892394493361</v>
      </c>
      <c r="AB237" s="516">
        <f t="shared" si="90"/>
        <v>14</v>
      </c>
      <c r="AC237" s="272">
        <f t="shared" si="80"/>
        <v>8.506120392391102</v>
      </c>
      <c r="AD237" s="272">
        <f t="shared" si="93"/>
        <v>16</v>
      </c>
      <c r="AE237" s="272">
        <f t="shared" si="81"/>
        <v>8.309908317419227</v>
      </c>
      <c r="AF237" s="272">
        <f t="shared" si="94"/>
        <v>16</v>
      </c>
      <c r="AG237" s="272">
        <f t="shared" si="82"/>
        <v>8.309908317419227</v>
      </c>
      <c r="AH237" s="272">
        <f t="shared" si="95"/>
        <v>16</v>
      </c>
      <c r="AI237" s="272">
        <f t="shared" si="83"/>
        <v>8.309908317419227</v>
      </c>
      <c r="AJ237" s="272">
        <f t="shared" si="96"/>
        <v>16</v>
      </c>
      <c r="AK237" s="272">
        <f t="shared" si="84"/>
        <v>8.309908317419227</v>
      </c>
      <c r="AL237" s="272">
        <f t="shared" si="97"/>
        <v>16</v>
      </c>
      <c r="AM237" s="272">
        <f t="shared" si="85"/>
        <v>8.309908317419227</v>
      </c>
      <c r="AN237" s="272">
        <f t="shared" si="98"/>
        <v>16</v>
      </c>
      <c r="AO237" s="272">
        <f t="shared" si="86"/>
        <v>8.309908317419227</v>
      </c>
      <c r="AP237" s="272">
        <f t="shared" si="99"/>
        <v>16</v>
      </c>
      <c r="AQ237" s="272">
        <f t="shared" si="87"/>
        <v>8.309908317419227</v>
      </c>
      <c r="AR237" s="272">
        <f t="shared" si="100"/>
        <v>16</v>
      </c>
      <c r="AS237" s="508">
        <f t="shared" si="88"/>
        <v>8.309908317419227</v>
      </c>
    </row>
    <row r="238" spans="1:45" ht="12.75" customHeight="1">
      <c r="A238" s="96">
        <f>IF(MAX($F$104:F238)=$G$99,$G$99,F238)</f>
        <v>4.098203258232994E-12</v>
      </c>
      <c r="B238" s="481">
        <v>135</v>
      </c>
      <c r="C238" s="96">
        <f t="shared" si="79"/>
        <v>0.20250000000000015</v>
      </c>
      <c r="D238" s="96">
        <f t="shared" si="101"/>
        <v>25.511042127149729</v>
      </c>
      <c r="E238" s="96">
        <f t="shared" si="102"/>
        <v>0.99999999999999045</v>
      </c>
      <c r="F238" s="96">
        <f t="shared" si="103"/>
        <v>4.098203258232994E-12</v>
      </c>
      <c r="G238" s="96">
        <f t="shared" si="106"/>
        <v>-0.29799999999590177</v>
      </c>
      <c r="I238" s="96">
        <f t="shared" si="104"/>
        <v>0</v>
      </c>
      <c r="J238" s="96">
        <f t="shared" si="105"/>
        <v>0.20250000000000015</v>
      </c>
      <c r="X238" s="96">
        <f t="shared" si="89"/>
        <v>9</v>
      </c>
      <c r="Y238" s="517">
        <v>1.0349999999999899</v>
      </c>
      <c r="Z238" s="272">
        <f t="shared" si="91"/>
        <v>9</v>
      </c>
      <c r="AA238" s="519">
        <f t="shared" si="92"/>
        <v>7.1720858282698812</v>
      </c>
      <c r="AB238" s="516">
        <f t="shared" si="90"/>
        <v>14</v>
      </c>
      <c r="AC238" s="272">
        <f t="shared" si="80"/>
        <v>8.5885036443419622</v>
      </c>
      <c r="AD238" s="272">
        <f t="shared" si="93"/>
        <v>16</v>
      </c>
      <c r="AE238" s="272">
        <f t="shared" si="81"/>
        <v>8.3903912213779925</v>
      </c>
      <c r="AF238" s="272">
        <f t="shared" si="94"/>
        <v>16</v>
      </c>
      <c r="AG238" s="272">
        <f t="shared" si="82"/>
        <v>8.3903912213779925</v>
      </c>
      <c r="AH238" s="272">
        <f t="shared" si="95"/>
        <v>16</v>
      </c>
      <c r="AI238" s="272">
        <f t="shared" si="83"/>
        <v>8.3903912213779925</v>
      </c>
      <c r="AJ238" s="272">
        <f t="shared" si="96"/>
        <v>16</v>
      </c>
      <c r="AK238" s="272">
        <f t="shared" si="84"/>
        <v>8.3903912213779925</v>
      </c>
      <c r="AL238" s="272">
        <f t="shared" si="97"/>
        <v>16</v>
      </c>
      <c r="AM238" s="272">
        <f t="shared" si="85"/>
        <v>8.3903912213779925</v>
      </c>
      <c r="AN238" s="272">
        <f t="shared" si="98"/>
        <v>16</v>
      </c>
      <c r="AO238" s="272">
        <f t="shared" si="86"/>
        <v>8.3903912213779925</v>
      </c>
      <c r="AP238" s="272">
        <f t="shared" si="99"/>
        <v>16</v>
      </c>
      <c r="AQ238" s="272">
        <f t="shared" si="87"/>
        <v>8.3903912213779925</v>
      </c>
      <c r="AR238" s="272">
        <f t="shared" si="100"/>
        <v>16</v>
      </c>
      <c r="AS238" s="508">
        <f t="shared" si="88"/>
        <v>8.3903912213779925</v>
      </c>
    </row>
    <row r="239" spans="1:45" ht="12.75" customHeight="1">
      <c r="A239" s="96">
        <f>IF(MAX($F$104:F239)=$G$99,$G$99,F239)</f>
        <v>6.9418544986395611E-12</v>
      </c>
      <c r="B239" s="96">
        <v>136</v>
      </c>
      <c r="C239" s="96">
        <f t="shared" si="79"/>
        <v>0.20400000000000015</v>
      </c>
      <c r="D239" s="96">
        <f t="shared" si="101"/>
        <v>25.890383274829158</v>
      </c>
      <c r="E239" s="96">
        <f t="shared" si="102"/>
        <v>0.99999999999998357</v>
      </c>
      <c r="F239" s="96">
        <f t="shared" si="103"/>
        <v>6.9418544986395611E-12</v>
      </c>
      <c r="G239" s="96">
        <f t="shared" si="106"/>
        <v>-0.29799999999305815</v>
      </c>
      <c r="I239" s="96">
        <f t="shared" si="104"/>
        <v>0</v>
      </c>
      <c r="J239" s="96">
        <f t="shared" si="105"/>
        <v>0.20400000000000015</v>
      </c>
      <c r="X239" s="96">
        <f t="shared" si="89"/>
        <v>9</v>
      </c>
      <c r="Y239" s="96">
        <v>1.02999999999999</v>
      </c>
      <c r="Z239" s="272">
        <f t="shared" si="91"/>
        <v>9</v>
      </c>
      <c r="AA239" s="519">
        <f t="shared" si="92"/>
        <v>7.2418867389842605</v>
      </c>
      <c r="AB239" s="516">
        <f t="shared" si="90"/>
        <v>14</v>
      </c>
      <c r="AC239" s="272">
        <f t="shared" si="80"/>
        <v>8.6720895620795719</v>
      </c>
      <c r="AD239" s="272">
        <f t="shared" si="93"/>
        <v>16</v>
      </c>
      <c r="AE239" s="272">
        <f t="shared" si="81"/>
        <v>8.4720490490344407</v>
      </c>
      <c r="AF239" s="272">
        <f t="shared" si="94"/>
        <v>16</v>
      </c>
      <c r="AG239" s="272">
        <f t="shared" si="82"/>
        <v>8.4720490490344407</v>
      </c>
      <c r="AH239" s="272">
        <f t="shared" si="95"/>
        <v>16</v>
      </c>
      <c r="AI239" s="272">
        <f t="shared" si="83"/>
        <v>8.4720490490344407</v>
      </c>
      <c r="AJ239" s="272">
        <f t="shared" si="96"/>
        <v>16</v>
      </c>
      <c r="AK239" s="272">
        <f t="shared" si="84"/>
        <v>8.4720490490344407</v>
      </c>
      <c r="AL239" s="272">
        <f t="shared" si="97"/>
        <v>16</v>
      </c>
      <c r="AM239" s="272">
        <f t="shared" si="85"/>
        <v>8.4720490490344407</v>
      </c>
      <c r="AN239" s="272">
        <f t="shared" si="98"/>
        <v>16</v>
      </c>
      <c r="AO239" s="272">
        <f t="shared" si="86"/>
        <v>8.4720490490344407</v>
      </c>
      <c r="AP239" s="272">
        <f t="shared" si="99"/>
        <v>16</v>
      </c>
      <c r="AQ239" s="272">
        <f t="shared" si="87"/>
        <v>8.4720490490344407</v>
      </c>
      <c r="AR239" s="272">
        <f t="shared" si="100"/>
        <v>16</v>
      </c>
      <c r="AS239" s="508">
        <f t="shared" si="88"/>
        <v>8.4720490490344407</v>
      </c>
    </row>
    <row r="240" spans="1:45" ht="12.75" customHeight="1">
      <c r="A240" s="96">
        <f>IF(MAX($F$104:F240)=$G$99,$G$99,F240)</f>
        <v>1.1667333765785768E-11</v>
      </c>
      <c r="B240" s="481">
        <v>137</v>
      </c>
      <c r="C240" s="96">
        <f t="shared" si="79"/>
        <v>0.20550000000000015</v>
      </c>
      <c r="D240" s="96">
        <f t="shared" si="101"/>
        <v>26.272523988174118</v>
      </c>
      <c r="E240" s="96">
        <f t="shared" si="102"/>
        <v>0.99999999999997202</v>
      </c>
      <c r="F240" s="96">
        <f t="shared" si="103"/>
        <v>1.1667333765785768E-11</v>
      </c>
      <c r="G240" s="96">
        <f t="shared" si="106"/>
        <v>-0.29799999998833265</v>
      </c>
      <c r="I240" s="96">
        <f t="shared" si="104"/>
        <v>0</v>
      </c>
      <c r="J240" s="96">
        <f t="shared" si="105"/>
        <v>0.20550000000000015</v>
      </c>
      <c r="X240" s="96">
        <f t="shared" si="89"/>
        <v>9</v>
      </c>
      <c r="Y240" s="517">
        <v>1.0249999999999899</v>
      </c>
      <c r="Z240" s="272">
        <f t="shared" si="91"/>
        <v>9</v>
      </c>
      <c r="AA240" s="519">
        <f t="shared" si="92"/>
        <v>7.3127116158366734</v>
      </c>
      <c r="AB240" s="516">
        <f t="shared" si="90"/>
        <v>14</v>
      </c>
      <c r="AC240" s="272">
        <f t="shared" si="80"/>
        <v>8.7569016693969957</v>
      </c>
      <c r="AD240" s="272">
        <f t="shared" si="93"/>
        <v>16</v>
      </c>
      <c r="AE240" s="272">
        <f t="shared" si="81"/>
        <v>8.5549047815544466</v>
      </c>
      <c r="AF240" s="272">
        <f t="shared" si="94"/>
        <v>16</v>
      </c>
      <c r="AG240" s="272">
        <f t="shared" si="82"/>
        <v>8.5549047815544466</v>
      </c>
      <c r="AH240" s="272">
        <f t="shared" si="95"/>
        <v>16</v>
      </c>
      <c r="AI240" s="272">
        <f t="shared" si="83"/>
        <v>8.5549047815544466</v>
      </c>
      <c r="AJ240" s="272">
        <f t="shared" si="96"/>
        <v>16</v>
      </c>
      <c r="AK240" s="272">
        <f t="shared" si="84"/>
        <v>8.5549047815544466</v>
      </c>
      <c r="AL240" s="272">
        <f t="shared" si="97"/>
        <v>16</v>
      </c>
      <c r="AM240" s="272">
        <f t="shared" si="85"/>
        <v>8.5549047815544466</v>
      </c>
      <c r="AN240" s="272">
        <f t="shared" si="98"/>
        <v>16</v>
      </c>
      <c r="AO240" s="272">
        <f t="shared" si="86"/>
        <v>8.5549047815544466</v>
      </c>
      <c r="AP240" s="272">
        <f t="shared" si="99"/>
        <v>16</v>
      </c>
      <c r="AQ240" s="272">
        <f t="shared" si="87"/>
        <v>8.5549047815544466</v>
      </c>
      <c r="AR240" s="272">
        <f t="shared" si="100"/>
        <v>16</v>
      </c>
      <c r="AS240" s="508">
        <f t="shared" si="88"/>
        <v>8.5549047815544466</v>
      </c>
    </row>
    <row r="241" spans="1:45" ht="12.75" customHeight="1">
      <c r="A241" s="96">
        <f>IF(MAX($F$104:F241)=$G$99,$G$99,F241)</f>
        <v>1.9445556276309614E-11</v>
      </c>
      <c r="B241" s="481">
        <v>138</v>
      </c>
      <c r="C241" s="96">
        <f t="shared" si="79"/>
        <v>0.20700000000000016</v>
      </c>
      <c r="D241" s="96">
        <f t="shared" si="101"/>
        <v>26.657464267184608</v>
      </c>
      <c r="E241" s="96">
        <f t="shared" si="102"/>
        <v>0.99999999999995259</v>
      </c>
      <c r="F241" s="96">
        <f t="shared" si="103"/>
        <v>1.9445556276309614E-11</v>
      </c>
      <c r="G241" s="96">
        <f t="shared" si="106"/>
        <v>-0.29799999998055443</v>
      </c>
      <c r="I241" s="96">
        <f t="shared" si="104"/>
        <v>0</v>
      </c>
      <c r="J241" s="96">
        <f t="shared" si="105"/>
        <v>0.20700000000000016</v>
      </c>
      <c r="X241" s="96">
        <f t="shared" si="89"/>
        <v>9</v>
      </c>
      <c r="Y241" s="96">
        <v>1.01999999999999</v>
      </c>
      <c r="Z241" s="272">
        <f t="shared" si="91"/>
        <v>9</v>
      </c>
      <c r="AA241" s="519">
        <f t="shared" si="92"/>
        <v>7.3845805857251099</v>
      </c>
      <c r="AB241" s="516">
        <f t="shared" si="90"/>
        <v>14</v>
      </c>
      <c r="AC241" s="272">
        <f t="shared" si="80"/>
        <v>8.8429640680605726</v>
      </c>
      <c r="AD241" s="272">
        <f t="shared" si="93"/>
        <v>16</v>
      </c>
      <c r="AE241" s="272">
        <f t="shared" si="81"/>
        <v>8.6389819647449446</v>
      </c>
      <c r="AF241" s="272">
        <f t="shared" si="94"/>
        <v>16</v>
      </c>
      <c r="AG241" s="272">
        <f t="shared" si="82"/>
        <v>8.6389819647449446</v>
      </c>
      <c r="AH241" s="272">
        <f t="shared" si="95"/>
        <v>16</v>
      </c>
      <c r="AI241" s="272">
        <f t="shared" si="83"/>
        <v>8.6389819647449446</v>
      </c>
      <c r="AJ241" s="272">
        <f t="shared" si="96"/>
        <v>16</v>
      </c>
      <c r="AK241" s="272">
        <f t="shared" si="84"/>
        <v>8.6389819647449446</v>
      </c>
      <c r="AL241" s="272">
        <f t="shared" si="97"/>
        <v>16</v>
      </c>
      <c r="AM241" s="272">
        <f t="shared" si="85"/>
        <v>8.6389819647449446</v>
      </c>
      <c r="AN241" s="272">
        <f t="shared" si="98"/>
        <v>16</v>
      </c>
      <c r="AO241" s="272">
        <f t="shared" si="86"/>
        <v>8.6389819647449446</v>
      </c>
      <c r="AP241" s="272">
        <f t="shared" si="99"/>
        <v>16</v>
      </c>
      <c r="AQ241" s="272">
        <f t="shared" si="87"/>
        <v>8.6389819647449446</v>
      </c>
      <c r="AR241" s="272">
        <f t="shared" si="100"/>
        <v>16</v>
      </c>
      <c r="AS241" s="508">
        <f t="shared" si="88"/>
        <v>8.6389819647449446</v>
      </c>
    </row>
    <row r="242" spans="1:45" ht="12.75" customHeight="1">
      <c r="A242" s="96">
        <f>IF(MAX($F$104:F242)=$G$99,$G$99,F242)</f>
        <v>3.2200168457544955E-11</v>
      </c>
      <c r="B242" s="96">
        <v>139</v>
      </c>
      <c r="C242" s="96">
        <f t="shared" si="79"/>
        <v>0.20850000000000016</v>
      </c>
      <c r="D242" s="96">
        <f t="shared" si="101"/>
        <v>27.045204111860627</v>
      </c>
      <c r="E242" s="96">
        <f t="shared" si="102"/>
        <v>0.9999999999999204</v>
      </c>
      <c r="F242" s="96">
        <f t="shared" si="103"/>
        <v>3.2200168457544955E-11</v>
      </c>
      <c r="G242" s="96">
        <f t="shared" si="106"/>
        <v>-0.2979999999677998</v>
      </c>
      <c r="I242" s="96">
        <f t="shared" si="104"/>
        <v>0</v>
      </c>
      <c r="J242" s="96">
        <f t="shared" si="105"/>
        <v>0.20850000000000016</v>
      </c>
      <c r="X242" s="96">
        <f t="shared" si="89"/>
        <v>9</v>
      </c>
      <c r="Y242" s="517">
        <v>1.0149999999999899</v>
      </c>
      <c r="Z242" s="272">
        <f t="shared" si="91"/>
        <v>9</v>
      </c>
      <c r="AA242" s="519">
        <f t="shared" si="92"/>
        <v>7.4575142725020322</v>
      </c>
      <c r="AB242" s="516">
        <f t="shared" si="90"/>
        <v>14</v>
      </c>
      <c r="AC242" s="272">
        <f t="shared" si="80"/>
        <v>8.930301454934817</v>
      </c>
      <c r="AD242" s="272">
        <f t="shared" si="93"/>
        <v>16</v>
      </c>
      <c r="AE242" s="272">
        <f t="shared" si="81"/>
        <v>8.724304725783826</v>
      </c>
      <c r="AF242" s="272">
        <f t="shared" si="94"/>
        <v>16</v>
      </c>
      <c r="AG242" s="272">
        <f t="shared" si="82"/>
        <v>8.724304725783826</v>
      </c>
      <c r="AH242" s="272">
        <f t="shared" si="95"/>
        <v>16</v>
      </c>
      <c r="AI242" s="272">
        <f t="shared" si="83"/>
        <v>8.724304725783826</v>
      </c>
      <c r="AJ242" s="272">
        <f t="shared" si="96"/>
        <v>16</v>
      </c>
      <c r="AK242" s="272">
        <f t="shared" si="84"/>
        <v>8.724304725783826</v>
      </c>
      <c r="AL242" s="272">
        <f t="shared" si="97"/>
        <v>16</v>
      </c>
      <c r="AM242" s="272">
        <f t="shared" si="85"/>
        <v>8.724304725783826</v>
      </c>
      <c r="AN242" s="272">
        <f t="shared" si="98"/>
        <v>16</v>
      </c>
      <c r="AO242" s="272">
        <f t="shared" si="86"/>
        <v>8.724304725783826</v>
      </c>
      <c r="AP242" s="272">
        <f t="shared" si="99"/>
        <v>16</v>
      </c>
      <c r="AQ242" s="272">
        <f t="shared" si="87"/>
        <v>8.724304725783826</v>
      </c>
      <c r="AR242" s="272">
        <f t="shared" si="100"/>
        <v>16</v>
      </c>
      <c r="AS242" s="508">
        <f t="shared" si="88"/>
        <v>8.724304725783826</v>
      </c>
    </row>
    <row r="243" spans="1:45" ht="12.75" customHeight="1">
      <c r="A243" s="96">
        <f>IF(MAX($F$104:F243)=$G$99,$G$99,F243)</f>
        <v>5.3025731953463641E-11</v>
      </c>
      <c r="B243" s="481">
        <v>140</v>
      </c>
      <c r="C243" s="96">
        <f t="shared" si="79"/>
        <v>0.21000000000000016</v>
      </c>
      <c r="D243" s="96">
        <f t="shared" si="101"/>
        <v>27.435743522202181</v>
      </c>
      <c r="E243" s="96">
        <f t="shared" si="102"/>
        <v>0.99999999999986711</v>
      </c>
      <c r="F243" s="96">
        <f t="shared" si="103"/>
        <v>5.3025731953463641E-11</v>
      </c>
      <c r="G243" s="96">
        <f t="shared" si="106"/>
        <v>-0.29799999994697424</v>
      </c>
      <c r="I243" s="96">
        <f t="shared" si="104"/>
        <v>0</v>
      </c>
      <c r="J243" s="96">
        <f t="shared" si="105"/>
        <v>0.21000000000000016</v>
      </c>
      <c r="X243" s="96">
        <f t="shared" si="89"/>
        <v>9</v>
      </c>
      <c r="Y243" s="96">
        <v>1.00999999999999</v>
      </c>
      <c r="Z243" s="272">
        <f t="shared" si="91"/>
        <v>9</v>
      </c>
      <c r="AA243" s="519">
        <f t="shared" si="92"/>
        <v>7.5315338117717916</v>
      </c>
      <c r="AB243" s="516">
        <f t="shared" si="90"/>
        <v>14</v>
      </c>
      <c r="AC243" s="272">
        <f t="shared" si="80"/>
        <v>9.0189391397022067</v>
      </c>
      <c r="AD243" s="272">
        <f t="shared" si="93"/>
        <v>16</v>
      </c>
      <c r="AE243" s="272">
        <f t="shared" si="81"/>
        <v>8.8108977905309676</v>
      </c>
      <c r="AF243" s="272">
        <f t="shared" si="94"/>
        <v>16</v>
      </c>
      <c r="AG243" s="272">
        <f t="shared" si="82"/>
        <v>8.8108977905309676</v>
      </c>
      <c r="AH243" s="272">
        <f t="shared" si="95"/>
        <v>16</v>
      </c>
      <c r="AI243" s="272">
        <f t="shared" si="83"/>
        <v>8.8108977905309676</v>
      </c>
      <c r="AJ243" s="272">
        <f t="shared" si="96"/>
        <v>16</v>
      </c>
      <c r="AK243" s="272">
        <f t="shared" si="84"/>
        <v>8.8108977905309676</v>
      </c>
      <c r="AL243" s="272">
        <f t="shared" si="97"/>
        <v>16</v>
      </c>
      <c r="AM243" s="272">
        <f t="shared" si="85"/>
        <v>8.8108977905309676</v>
      </c>
      <c r="AN243" s="272">
        <f t="shared" si="98"/>
        <v>16</v>
      </c>
      <c r="AO243" s="272">
        <f t="shared" si="86"/>
        <v>8.8108977905309676</v>
      </c>
      <c r="AP243" s="272">
        <f t="shared" si="99"/>
        <v>16</v>
      </c>
      <c r="AQ243" s="272">
        <f t="shared" si="87"/>
        <v>8.8108977905309676</v>
      </c>
      <c r="AR243" s="272">
        <f t="shared" si="100"/>
        <v>16</v>
      </c>
      <c r="AS243" s="508">
        <f t="shared" si="88"/>
        <v>8.8108977905309676</v>
      </c>
    </row>
    <row r="244" spans="1:45" ht="12.75" customHeight="1">
      <c r="A244" s="96">
        <f>IF(MAX($F$104:F244)=$G$99,$G$99,F244)</f>
        <v>8.6814999633588728E-11</v>
      </c>
      <c r="B244" s="481">
        <v>141</v>
      </c>
      <c r="C244" s="96">
        <f t="shared" si="79"/>
        <v>0.21150000000000016</v>
      </c>
      <c r="D244" s="96">
        <f t="shared" si="101"/>
        <v>27.829082498209264</v>
      </c>
      <c r="E244" s="96">
        <f t="shared" si="102"/>
        <v>0.99999999999977962</v>
      </c>
      <c r="F244" s="96">
        <f t="shared" si="103"/>
        <v>8.6814999633588728E-11</v>
      </c>
      <c r="G244" s="96">
        <f t="shared" si="106"/>
        <v>-0.29799999991318499</v>
      </c>
      <c r="I244" s="96">
        <f t="shared" si="104"/>
        <v>0</v>
      </c>
      <c r="J244" s="96">
        <f t="shared" si="105"/>
        <v>0.21150000000000016</v>
      </c>
      <c r="X244" s="96">
        <f t="shared" si="89"/>
        <v>9</v>
      </c>
      <c r="Y244" s="517">
        <v>1.0049999999999899</v>
      </c>
      <c r="Z244" s="272">
        <f t="shared" si="91"/>
        <v>9</v>
      </c>
      <c r="AA244" s="519">
        <f t="shared" si="92"/>
        <v>7.6066608662047068</v>
      </c>
      <c r="AB244" s="516">
        <f t="shared" si="90"/>
        <v>14</v>
      </c>
      <c r="AC244" s="272">
        <f t="shared" si="80"/>
        <v>9.1089030632016268</v>
      </c>
      <c r="AD244" s="272">
        <f t="shared" si="93"/>
        <v>16</v>
      </c>
      <c r="AE244" s="272">
        <f t="shared" si="81"/>
        <v>8.8987865014436718</v>
      </c>
      <c r="AF244" s="272">
        <f t="shared" si="94"/>
        <v>16</v>
      </c>
      <c r="AG244" s="272">
        <f t="shared" si="82"/>
        <v>8.8987865014436718</v>
      </c>
      <c r="AH244" s="272">
        <f t="shared" si="95"/>
        <v>16</v>
      </c>
      <c r="AI244" s="272">
        <f t="shared" si="83"/>
        <v>8.8987865014436718</v>
      </c>
      <c r="AJ244" s="272">
        <f t="shared" si="96"/>
        <v>16</v>
      </c>
      <c r="AK244" s="272">
        <f t="shared" si="84"/>
        <v>8.8987865014436718</v>
      </c>
      <c r="AL244" s="272">
        <f t="shared" si="97"/>
        <v>16</v>
      </c>
      <c r="AM244" s="272">
        <f t="shared" si="85"/>
        <v>8.8987865014436718</v>
      </c>
      <c r="AN244" s="272">
        <f t="shared" si="98"/>
        <v>16</v>
      </c>
      <c r="AO244" s="272">
        <f t="shared" si="86"/>
        <v>8.8987865014436718</v>
      </c>
      <c r="AP244" s="272">
        <f t="shared" si="99"/>
        <v>16</v>
      </c>
      <c r="AQ244" s="272">
        <f t="shared" si="87"/>
        <v>8.8987865014436718</v>
      </c>
      <c r="AR244" s="272">
        <f t="shared" si="100"/>
        <v>16</v>
      </c>
      <c r="AS244" s="508">
        <f t="shared" si="88"/>
        <v>8.8987865014436718</v>
      </c>
    </row>
    <row r="245" spans="1:45" ht="12.75" customHeight="1">
      <c r="A245" s="96">
        <f>IF(MAX($F$104:F245)=$G$99,$G$99,F245)</f>
        <v>1.4126255720725564E-10</v>
      </c>
      <c r="B245" s="96">
        <v>142</v>
      </c>
      <c r="C245" s="96">
        <f t="shared" si="79"/>
        <v>0.21300000000000016</v>
      </c>
      <c r="D245" s="96">
        <f t="shared" si="101"/>
        <v>28.225221039881873</v>
      </c>
      <c r="E245" s="96">
        <f t="shared" si="102"/>
        <v>0.99999999999963662</v>
      </c>
      <c r="F245" s="96">
        <f t="shared" si="103"/>
        <v>1.4126255720725564E-10</v>
      </c>
      <c r="G245" s="96">
        <f t="shared" si="106"/>
        <v>-0.29799999985873743</v>
      </c>
      <c r="I245" s="96">
        <f t="shared" si="104"/>
        <v>0</v>
      </c>
      <c r="J245" s="96">
        <f t="shared" si="105"/>
        <v>0.21300000000000016</v>
      </c>
      <c r="X245" s="96">
        <f t="shared" si="89"/>
        <v>9</v>
      </c>
      <c r="Y245" s="96">
        <v>0.99999999999998901</v>
      </c>
      <c r="Z245" s="272">
        <f t="shared" si="91"/>
        <v>9</v>
      </c>
      <c r="AA245" s="519">
        <f t="shared" si="92"/>
        <v>7.682917641388423</v>
      </c>
      <c r="AB245" s="516">
        <f t="shared" si="90"/>
        <v>14</v>
      </c>
      <c r="AC245" s="272">
        <f t="shared" si="80"/>
        <v>9.2002198164102413</v>
      </c>
      <c r="AD245" s="272">
        <f t="shared" si="93"/>
        <v>16</v>
      </c>
      <c r="AE245" s="272">
        <f t="shared" si="81"/>
        <v>8.9879968361206597</v>
      </c>
      <c r="AF245" s="272">
        <f t="shared" si="94"/>
        <v>16</v>
      </c>
      <c r="AG245" s="272">
        <f t="shared" si="82"/>
        <v>8.9879968361206597</v>
      </c>
      <c r="AH245" s="272">
        <f t="shared" si="95"/>
        <v>16</v>
      </c>
      <c r="AI245" s="272">
        <f t="shared" si="83"/>
        <v>8.9879968361206597</v>
      </c>
      <c r="AJ245" s="272">
        <f t="shared" si="96"/>
        <v>16</v>
      </c>
      <c r="AK245" s="272">
        <f t="shared" si="84"/>
        <v>8.9879968361206597</v>
      </c>
      <c r="AL245" s="272">
        <f t="shared" si="97"/>
        <v>16</v>
      </c>
      <c r="AM245" s="272">
        <f t="shared" si="85"/>
        <v>8.9879968361206597</v>
      </c>
      <c r="AN245" s="272">
        <f t="shared" si="98"/>
        <v>16</v>
      </c>
      <c r="AO245" s="272">
        <f t="shared" si="86"/>
        <v>8.9879968361206597</v>
      </c>
      <c r="AP245" s="272">
        <f t="shared" si="99"/>
        <v>16</v>
      </c>
      <c r="AQ245" s="272">
        <f t="shared" si="87"/>
        <v>8.9879968361206597</v>
      </c>
      <c r="AR245" s="272">
        <f t="shared" si="100"/>
        <v>16</v>
      </c>
      <c r="AS245" s="508">
        <f t="shared" si="88"/>
        <v>8.9879968361206597</v>
      </c>
    </row>
    <row r="246" spans="1:45" ht="12.75" customHeight="1">
      <c r="A246" s="96">
        <f>IF(MAX($F$104:F246)=$G$99,$G$99,F246)</f>
        <v>2.2832846724440967E-10</v>
      </c>
      <c r="B246" s="481">
        <v>143</v>
      </c>
      <c r="C246" s="96">
        <f t="shared" si="79"/>
        <v>0.21450000000000016</v>
      </c>
      <c r="D246" s="96">
        <f t="shared" si="101"/>
        <v>28.62415914722002</v>
      </c>
      <c r="E246" s="96">
        <f t="shared" si="102"/>
        <v>0.99999999999940459</v>
      </c>
      <c r="F246" s="96">
        <f t="shared" si="103"/>
        <v>2.2832846724440967E-10</v>
      </c>
      <c r="G246" s="96">
        <f t="shared" si="106"/>
        <v>-0.29799999977167152</v>
      </c>
      <c r="I246" s="96">
        <f t="shared" si="104"/>
        <v>0</v>
      </c>
      <c r="J246" s="96">
        <f t="shared" si="105"/>
        <v>0.21450000000000016</v>
      </c>
      <c r="X246" s="96">
        <f t="shared" si="89"/>
        <v>10</v>
      </c>
      <c r="Y246" s="517">
        <v>0.99499999999998801</v>
      </c>
      <c r="Z246" s="272">
        <f t="shared" si="91"/>
        <v>10</v>
      </c>
      <c r="AA246" s="519">
        <f t="shared" si="92"/>
        <v>7.7603269022382655</v>
      </c>
      <c r="AB246" s="516">
        <f t="shared" si="90"/>
        <v>14</v>
      </c>
      <c r="AC246" s="272">
        <f t="shared" si="80"/>
        <v>9.292916660094706</v>
      </c>
      <c r="AD246" s="272">
        <f t="shared" si="93"/>
        <v>16</v>
      </c>
      <c r="AE246" s="272">
        <f t="shared" si="81"/>
        <v>9.078555426500019</v>
      </c>
      <c r="AF246" s="272">
        <f t="shared" si="94"/>
        <v>18</v>
      </c>
      <c r="AG246" s="272">
        <f t="shared" si="82"/>
        <v>8.9166908006748056</v>
      </c>
      <c r="AH246" s="272">
        <f t="shared" si="95"/>
        <v>16</v>
      </c>
      <c r="AI246" s="272">
        <f t="shared" si="83"/>
        <v>9.078555426500019</v>
      </c>
      <c r="AJ246" s="272">
        <f t="shared" si="96"/>
        <v>18</v>
      </c>
      <c r="AK246" s="272">
        <f t="shared" si="84"/>
        <v>8.9166908006748056</v>
      </c>
      <c r="AL246" s="272">
        <f t="shared" si="97"/>
        <v>16</v>
      </c>
      <c r="AM246" s="272">
        <f t="shared" si="85"/>
        <v>9.078555426500019</v>
      </c>
      <c r="AN246" s="272">
        <f t="shared" si="98"/>
        <v>18</v>
      </c>
      <c r="AO246" s="272">
        <f t="shared" si="86"/>
        <v>8.9166908006748056</v>
      </c>
      <c r="AP246" s="272">
        <f t="shared" si="99"/>
        <v>16</v>
      </c>
      <c r="AQ246" s="272">
        <f t="shared" si="87"/>
        <v>9.078555426500019</v>
      </c>
      <c r="AR246" s="272">
        <f t="shared" si="100"/>
        <v>18</v>
      </c>
      <c r="AS246" s="508">
        <f t="shared" si="88"/>
        <v>8.9166908006748056</v>
      </c>
    </row>
    <row r="247" spans="1:45" ht="12.75" customHeight="1">
      <c r="A247" s="96">
        <f>IF(MAX($F$104:F247)=$G$99,$G$99,F247)</f>
        <v>3.6678919161185297E-10</v>
      </c>
      <c r="B247" s="481">
        <v>144</v>
      </c>
      <c r="C247" s="96">
        <f t="shared" si="79"/>
        <v>0.21600000000000016</v>
      </c>
      <c r="D247" s="96">
        <f t="shared" si="101"/>
        <v>29.025896820223693</v>
      </c>
      <c r="E247" s="96">
        <f t="shared" si="102"/>
        <v>0.99999999999903044</v>
      </c>
      <c r="F247" s="96">
        <f t="shared" si="103"/>
        <v>3.6678919161185297E-10</v>
      </c>
      <c r="G247" s="96">
        <f t="shared" si="106"/>
        <v>-0.29799999963321078</v>
      </c>
      <c r="I247" s="96">
        <f t="shared" si="104"/>
        <v>0</v>
      </c>
      <c r="J247" s="96">
        <f t="shared" si="105"/>
        <v>0.21600000000000016</v>
      </c>
      <c r="X247" s="96">
        <f t="shared" si="89"/>
        <v>10</v>
      </c>
      <c r="Y247" s="96">
        <v>0.989999999999988</v>
      </c>
      <c r="Z247" s="272">
        <f t="shared" si="91"/>
        <v>10</v>
      </c>
      <c r="AA247" s="519">
        <f t="shared" si="92"/>
        <v>7.8389119899892261</v>
      </c>
      <c r="AB247" s="516">
        <f t="shared" si="90"/>
        <v>14</v>
      </c>
      <c r="AC247" s="272">
        <f t="shared" si="80"/>
        <v>9.387021545158925</v>
      </c>
      <c r="AD247" s="272">
        <f t="shared" si="93"/>
        <v>16</v>
      </c>
      <c r="AE247" s="272">
        <f t="shared" si="81"/>
        <v>9.1704895787375609</v>
      </c>
      <c r="AF247" s="272">
        <f t="shared" si="94"/>
        <v>18</v>
      </c>
      <c r="AG247" s="272">
        <f t="shared" si="82"/>
        <v>9.0069858279135548</v>
      </c>
      <c r="AH247" s="272">
        <f t="shared" si="95"/>
        <v>18</v>
      </c>
      <c r="AI247" s="272">
        <f t="shared" si="83"/>
        <v>9.0069858279135548</v>
      </c>
      <c r="AJ247" s="272">
        <f t="shared" si="96"/>
        <v>18</v>
      </c>
      <c r="AK247" s="272">
        <f t="shared" si="84"/>
        <v>9.0069858279135548</v>
      </c>
      <c r="AL247" s="272">
        <f t="shared" si="97"/>
        <v>18</v>
      </c>
      <c r="AM247" s="272">
        <f t="shared" si="85"/>
        <v>9.0069858279135548</v>
      </c>
      <c r="AN247" s="272">
        <f t="shared" si="98"/>
        <v>18</v>
      </c>
      <c r="AO247" s="272">
        <f t="shared" si="86"/>
        <v>9.0069858279135548</v>
      </c>
      <c r="AP247" s="272">
        <f t="shared" si="99"/>
        <v>18</v>
      </c>
      <c r="AQ247" s="272">
        <f t="shared" si="87"/>
        <v>9.0069858279135548</v>
      </c>
      <c r="AR247" s="272">
        <f t="shared" si="100"/>
        <v>18</v>
      </c>
      <c r="AS247" s="508">
        <f t="shared" si="88"/>
        <v>9.0069858279135548</v>
      </c>
    </row>
    <row r="248" spans="1:45" ht="12.75" customHeight="1">
      <c r="A248" s="96">
        <f>IF(MAX($F$104:F248)=$G$99,$G$99,F248)</f>
        <v>5.8575033712315861E-10</v>
      </c>
      <c r="B248" s="96">
        <v>145</v>
      </c>
      <c r="C248" s="96">
        <f t="shared" si="79"/>
        <v>0.21750000000000017</v>
      </c>
      <c r="D248" s="96">
        <f t="shared" si="101"/>
        <v>29.430434058892896</v>
      </c>
      <c r="E248" s="96">
        <f t="shared" si="102"/>
        <v>0.99999999999843081</v>
      </c>
      <c r="F248" s="96">
        <f t="shared" si="103"/>
        <v>5.8575033712315861E-10</v>
      </c>
      <c r="G248" s="96">
        <f t="shared" si="106"/>
        <v>-0.29799999941424965</v>
      </c>
      <c r="I248" s="96">
        <f t="shared" si="104"/>
        <v>0</v>
      </c>
      <c r="J248" s="96">
        <f t="shared" si="105"/>
        <v>0.21750000000000017</v>
      </c>
      <c r="X248" s="96">
        <f t="shared" si="89"/>
        <v>10</v>
      </c>
      <c r="Y248" s="517">
        <v>0.984999999999988</v>
      </c>
      <c r="Z248" s="272">
        <f t="shared" si="91"/>
        <v>10</v>
      </c>
      <c r="AA248" s="519">
        <f t="shared" si="92"/>
        <v>7.9186968397932862</v>
      </c>
      <c r="AB248" s="516">
        <f t="shared" si="90"/>
        <v>14</v>
      </c>
      <c r="AC248" s="272">
        <f t="shared" si="80"/>
        <v>9.4825631337166776</v>
      </c>
      <c r="AD248" s="272">
        <f t="shared" si="93"/>
        <v>16</v>
      </c>
      <c r="AE248" s="272">
        <f t="shared" si="81"/>
        <v>9.2638272937933799</v>
      </c>
      <c r="AF248" s="272">
        <f t="shared" si="94"/>
        <v>18</v>
      </c>
      <c r="AG248" s="272">
        <f t="shared" si="82"/>
        <v>9.0986593933758417</v>
      </c>
      <c r="AH248" s="272">
        <f t="shared" si="95"/>
        <v>18</v>
      </c>
      <c r="AI248" s="272">
        <f t="shared" si="83"/>
        <v>9.0986593933758417</v>
      </c>
      <c r="AJ248" s="272">
        <f t="shared" si="96"/>
        <v>18</v>
      </c>
      <c r="AK248" s="272">
        <f t="shared" si="84"/>
        <v>9.0986593933758417</v>
      </c>
      <c r="AL248" s="272">
        <f t="shared" si="97"/>
        <v>18</v>
      </c>
      <c r="AM248" s="272">
        <f t="shared" si="85"/>
        <v>9.0986593933758417</v>
      </c>
      <c r="AN248" s="272">
        <f t="shared" si="98"/>
        <v>18</v>
      </c>
      <c r="AO248" s="272">
        <f t="shared" si="86"/>
        <v>9.0986593933758417</v>
      </c>
      <c r="AP248" s="272">
        <f t="shared" si="99"/>
        <v>18</v>
      </c>
      <c r="AQ248" s="272">
        <f t="shared" si="87"/>
        <v>9.0986593933758417</v>
      </c>
      <c r="AR248" s="272">
        <f t="shared" si="100"/>
        <v>18</v>
      </c>
      <c r="AS248" s="508">
        <f t="shared" si="88"/>
        <v>9.0986593933758417</v>
      </c>
    </row>
    <row r="249" spans="1:45" ht="12.75" customHeight="1">
      <c r="A249" s="96">
        <f>IF(MAX($F$104:F249)=$G$99,$G$99,F249)</f>
        <v>9.2987395561294751E-10</v>
      </c>
      <c r="B249" s="481">
        <v>146</v>
      </c>
      <c r="C249" s="96">
        <f t="shared" si="79"/>
        <v>0.21900000000000017</v>
      </c>
      <c r="D249" s="96">
        <f t="shared" si="101"/>
        <v>29.837770863227636</v>
      </c>
      <c r="E249" s="96">
        <f t="shared" si="102"/>
        <v>0.99999999999747535</v>
      </c>
      <c r="F249" s="96">
        <f t="shared" si="103"/>
        <v>9.2987395561294751E-10</v>
      </c>
      <c r="G249" s="96">
        <f t="shared" si="106"/>
        <v>-0.29799999907012603</v>
      </c>
      <c r="I249" s="96">
        <f t="shared" si="104"/>
        <v>0</v>
      </c>
      <c r="J249" s="96">
        <f t="shared" si="105"/>
        <v>0.21900000000000017</v>
      </c>
      <c r="X249" s="96">
        <f t="shared" si="89"/>
        <v>10</v>
      </c>
      <c r="Y249" s="96">
        <v>0.97999999999998799</v>
      </c>
      <c r="Z249" s="272">
        <f t="shared" si="91"/>
        <v>10</v>
      </c>
      <c r="AA249" s="519">
        <f t="shared" si="92"/>
        <v>7.9997059989467321</v>
      </c>
      <c r="AB249" s="516">
        <f t="shared" si="90"/>
        <v>14</v>
      </c>
      <c r="AC249" s="272">
        <f t="shared" si="80"/>
        <v>9.5795708209186419</v>
      </c>
      <c r="AD249" s="272">
        <f t="shared" si="93"/>
        <v>16</v>
      </c>
      <c r="AE249" s="272">
        <f t="shared" si="81"/>
        <v>9.3585972887553961</v>
      </c>
      <c r="AF249" s="272">
        <f t="shared" si="94"/>
        <v>18</v>
      </c>
      <c r="AG249" s="272">
        <f t="shared" si="82"/>
        <v>9.1917397021429412</v>
      </c>
      <c r="AH249" s="272">
        <f t="shared" si="95"/>
        <v>18</v>
      </c>
      <c r="AI249" s="272">
        <f t="shared" si="83"/>
        <v>9.1917397021429412</v>
      </c>
      <c r="AJ249" s="272">
        <f t="shared" si="96"/>
        <v>18</v>
      </c>
      <c r="AK249" s="272">
        <f t="shared" si="84"/>
        <v>9.1917397021429412</v>
      </c>
      <c r="AL249" s="272">
        <f t="shared" si="97"/>
        <v>18</v>
      </c>
      <c r="AM249" s="272">
        <f t="shared" si="85"/>
        <v>9.1917397021429412</v>
      </c>
      <c r="AN249" s="272">
        <f t="shared" si="98"/>
        <v>18</v>
      </c>
      <c r="AO249" s="272">
        <f t="shared" si="86"/>
        <v>9.1917397021429412</v>
      </c>
      <c r="AP249" s="272">
        <f t="shared" si="99"/>
        <v>18</v>
      </c>
      <c r="AQ249" s="272">
        <f t="shared" si="87"/>
        <v>9.1917397021429412</v>
      </c>
      <c r="AR249" s="272">
        <f t="shared" si="100"/>
        <v>18</v>
      </c>
      <c r="AS249" s="508">
        <f t="shared" si="88"/>
        <v>9.1917397021429412</v>
      </c>
    </row>
    <row r="250" spans="1:45" ht="12.75" customHeight="1">
      <c r="A250" s="96">
        <f>IF(MAX($F$104:F250)=$G$99,$G$99,F250)</f>
        <v>1.467365858450383E-9</v>
      </c>
      <c r="B250" s="481">
        <v>147</v>
      </c>
      <c r="C250" s="96">
        <f t="shared" si="79"/>
        <v>0.22050000000000017</v>
      </c>
      <c r="D250" s="96">
        <f t="shared" si="101"/>
        <v>30.247907233227902</v>
      </c>
      <c r="E250" s="96">
        <f t="shared" si="102"/>
        <v>0.99999999999596212</v>
      </c>
      <c r="F250" s="96">
        <f t="shared" si="103"/>
        <v>1.467365858450383E-9</v>
      </c>
      <c r="G250" s="96">
        <f t="shared" si="106"/>
        <v>-0.29799999853263415</v>
      </c>
      <c r="I250" s="96">
        <f t="shared" si="104"/>
        <v>0</v>
      </c>
      <c r="J250" s="96">
        <f t="shared" si="105"/>
        <v>0.22050000000000017</v>
      </c>
      <c r="X250" s="96">
        <f t="shared" si="89"/>
        <v>10</v>
      </c>
      <c r="Y250" s="517">
        <v>0.97499999999998799</v>
      </c>
      <c r="Z250" s="272">
        <f t="shared" si="91"/>
        <v>10</v>
      </c>
      <c r="AA250" s="519">
        <f t="shared" si="92"/>
        <v>8.0819646457735104</v>
      </c>
      <c r="AB250" s="516">
        <f t="shared" si="90"/>
        <v>16</v>
      </c>
      <c r="AC250" s="272">
        <f t="shared" si="80"/>
        <v>9.4548290189303721</v>
      </c>
      <c r="AD250" s="272">
        <f t="shared" si="93"/>
        <v>18</v>
      </c>
      <c r="AE250" s="272">
        <f t="shared" si="81"/>
        <v>9.2862556843530122</v>
      </c>
      <c r="AF250" s="272">
        <f t="shared" si="94"/>
        <v>18</v>
      </c>
      <c r="AG250" s="272">
        <f t="shared" si="82"/>
        <v>9.2862556843530122</v>
      </c>
      <c r="AH250" s="272">
        <f t="shared" si="95"/>
        <v>18</v>
      </c>
      <c r="AI250" s="272">
        <f t="shared" si="83"/>
        <v>9.2862556843530122</v>
      </c>
      <c r="AJ250" s="272">
        <f t="shared" si="96"/>
        <v>18</v>
      </c>
      <c r="AK250" s="272">
        <f t="shared" si="84"/>
        <v>9.2862556843530122</v>
      </c>
      <c r="AL250" s="272">
        <f t="shared" si="97"/>
        <v>18</v>
      </c>
      <c r="AM250" s="272">
        <f t="shared" si="85"/>
        <v>9.2862556843530122</v>
      </c>
      <c r="AN250" s="272">
        <f t="shared" si="98"/>
        <v>18</v>
      </c>
      <c r="AO250" s="272">
        <f t="shared" si="86"/>
        <v>9.2862556843530122</v>
      </c>
      <c r="AP250" s="272">
        <f t="shared" si="99"/>
        <v>18</v>
      </c>
      <c r="AQ250" s="272">
        <f t="shared" si="87"/>
        <v>9.2862556843530122</v>
      </c>
      <c r="AR250" s="272">
        <f t="shared" si="100"/>
        <v>18</v>
      </c>
      <c r="AS250" s="508">
        <f t="shared" si="88"/>
        <v>9.2862556843530122</v>
      </c>
    </row>
    <row r="251" spans="1:45" ht="12.75" customHeight="1">
      <c r="A251" s="96">
        <f>IF(MAX($F$104:F251)=$G$99,$G$99,F251)</f>
        <v>2.3019356791091163E-9</v>
      </c>
      <c r="B251" s="96">
        <v>148</v>
      </c>
      <c r="C251" s="96">
        <f t="shared" si="79"/>
        <v>0.22200000000000017</v>
      </c>
      <c r="D251" s="96">
        <f t="shared" si="101"/>
        <v>30.660843168893702</v>
      </c>
      <c r="E251" s="96">
        <f t="shared" si="102"/>
        <v>0.99999999999357969</v>
      </c>
      <c r="F251" s="96">
        <f t="shared" si="103"/>
        <v>2.3019356791091163E-9</v>
      </c>
      <c r="G251" s="96">
        <f t="shared" si="106"/>
        <v>-0.29799999769806429</v>
      </c>
      <c r="I251" s="96">
        <f t="shared" si="104"/>
        <v>0</v>
      </c>
      <c r="J251" s="96">
        <f t="shared" si="105"/>
        <v>0.22200000000000017</v>
      </c>
      <c r="X251" s="96">
        <f t="shared" si="89"/>
        <v>10</v>
      </c>
      <c r="Y251" s="96">
        <v>0.96999999999998798</v>
      </c>
      <c r="Z251" s="272">
        <f t="shared" si="91"/>
        <v>10</v>
      </c>
      <c r="AA251" s="519">
        <f t="shared" si="92"/>
        <v>8.1654986091916708</v>
      </c>
      <c r="AB251" s="516">
        <f t="shared" si="90"/>
        <v>16</v>
      </c>
      <c r="AC251" s="272">
        <f t="shared" si="80"/>
        <v>9.5525527007340703</v>
      </c>
      <c r="AD251" s="272">
        <f t="shared" si="93"/>
        <v>18</v>
      </c>
      <c r="AE251" s="272">
        <f t="shared" si="81"/>
        <v>9.382237017683158</v>
      </c>
      <c r="AF251" s="272">
        <f t="shared" si="94"/>
        <v>18</v>
      </c>
      <c r="AG251" s="272">
        <f t="shared" si="82"/>
        <v>9.382237017683158</v>
      </c>
      <c r="AH251" s="272">
        <f t="shared" si="95"/>
        <v>18</v>
      </c>
      <c r="AI251" s="272">
        <f t="shared" si="83"/>
        <v>9.382237017683158</v>
      </c>
      <c r="AJ251" s="272">
        <f t="shared" si="96"/>
        <v>18</v>
      </c>
      <c r="AK251" s="272">
        <f t="shared" si="84"/>
        <v>9.382237017683158</v>
      </c>
      <c r="AL251" s="272">
        <f t="shared" si="97"/>
        <v>18</v>
      </c>
      <c r="AM251" s="272">
        <f t="shared" si="85"/>
        <v>9.382237017683158</v>
      </c>
      <c r="AN251" s="272">
        <f t="shared" si="98"/>
        <v>18</v>
      </c>
      <c r="AO251" s="272">
        <f t="shared" si="86"/>
        <v>9.382237017683158</v>
      </c>
      <c r="AP251" s="272">
        <f t="shared" si="99"/>
        <v>18</v>
      </c>
      <c r="AQ251" s="272">
        <f t="shared" si="87"/>
        <v>9.382237017683158</v>
      </c>
      <c r="AR251" s="272">
        <f t="shared" si="100"/>
        <v>18</v>
      </c>
      <c r="AS251" s="508">
        <f t="shared" si="88"/>
        <v>9.382237017683158</v>
      </c>
    </row>
    <row r="252" spans="1:45" ht="12.75" customHeight="1">
      <c r="A252" s="96">
        <f>IF(MAX($F$104:F252)=$G$99,$G$99,F252)</f>
        <v>3.5903187830162624E-9</v>
      </c>
      <c r="B252" s="481">
        <v>149</v>
      </c>
      <c r="C252" s="96">
        <f t="shared" si="79"/>
        <v>0.22350000000000017</v>
      </c>
      <c r="D252" s="96">
        <f t="shared" si="101"/>
        <v>31.076578670225025</v>
      </c>
      <c r="E252" s="96">
        <f t="shared" si="102"/>
        <v>0.99999999998985079</v>
      </c>
      <c r="F252" s="96">
        <f t="shared" si="103"/>
        <v>3.5903187830162624E-9</v>
      </c>
      <c r="G252" s="96">
        <f t="shared" si="106"/>
        <v>-0.29799999640968122</v>
      </c>
      <c r="I252" s="96">
        <f t="shared" si="104"/>
        <v>0</v>
      </c>
      <c r="J252" s="96">
        <f t="shared" si="105"/>
        <v>0.22350000000000017</v>
      </c>
      <c r="X252" s="96">
        <f t="shared" si="89"/>
        <v>10</v>
      </c>
      <c r="Y252" s="517">
        <v>0.96499999999998798</v>
      </c>
      <c r="Z252" s="272">
        <f t="shared" si="91"/>
        <v>10</v>
      </c>
      <c r="AA252" s="519">
        <f t="shared" si="92"/>
        <v>8.250334388991325</v>
      </c>
      <c r="AB252" s="516">
        <f t="shared" si="90"/>
        <v>16</v>
      </c>
      <c r="AC252" s="272">
        <f t="shared" si="80"/>
        <v>9.6517993354137683</v>
      </c>
      <c r="AD252" s="272">
        <f t="shared" si="93"/>
        <v>18</v>
      </c>
      <c r="AE252" s="272">
        <f t="shared" si="81"/>
        <v>9.4797141506489666</v>
      </c>
      <c r="AF252" s="272">
        <f t="shared" si="94"/>
        <v>18</v>
      </c>
      <c r="AG252" s="272">
        <f t="shared" si="82"/>
        <v>9.4797141506489666</v>
      </c>
      <c r="AH252" s="272">
        <f t="shared" si="95"/>
        <v>18</v>
      </c>
      <c r="AI252" s="272">
        <f t="shared" si="83"/>
        <v>9.4797141506489666</v>
      </c>
      <c r="AJ252" s="272">
        <f t="shared" si="96"/>
        <v>18</v>
      </c>
      <c r="AK252" s="272">
        <f t="shared" si="84"/>
        <v>9.4797141506489666</v>
      </c>
      <c r="AL252" s="272">
        <f t="shared" si="97"/>
        <v>18</v>
      </c>
      <c r="AM252" s="272">
        <f t="shared" si="85"/>
        <v>9.4797141506489666</v>
      </c>
      <c r="AN252" s="272">
        <f t="shared" si="98"/>
        <v>18</v>
      </c>
      <c r="AO252" s="272">
        <f t="shared" si="86"/>
        <v>9.4797141506489666</v>
      </c>
      <c r="AP252" s="272">
        <f t="shared" si="99"/>
        <v>18</v>
      </c>
      <c r="AQ252" s="272">
        <f t="shared" si="87"/>
        <v>9.4797141506489666</v>
      </c>
      <c r="AR252" s="272">
        <f t="shared" si="100"/>
        <v>18</v>
      </c>
      <c r="AS252" s="508">
        <f t="shared" si="88"/>
        <v>9.4797141506489666</v>
      </c>
    </row>
    <row r="253" spans="1:45" ht="12.75" customHeight="1">
      <c r="A253" s="96">
        <f>IF(MAX($F$104:F253)=$G$99,$G$99,F253)</f>
        <v>5.5677436735142765E-9</v>
      </c>
      <c r="B253" s="481">
        <v>150</v>
      </c>
      <c r="C253" s="96">
        <f t="shared" si="79"/>
        <v>0.22500000000000017</v>
      </c>
      <c r="D253" s="96">
        <f t="shared" si="101"/>
        <v>31.495113737221889</v>
      </c>
      <c r="E253" s="96">
        <f t="shared" si="102"/>
        <v>0.99999999998404787</v>
      </c>
      <c r="F253" s="96">
        <f t="shared" si="103"/>
        <v>5.5677436735142765E-9</v>
      </c>
      <c r="G253" s="96">
        <f t="shared" si="106"/>
        <v>-0.29799999443225633</v>
      </c>
      <c r="I253" s="96">
        <f t="shared" si="104"/>
        <v>0</v>
      </c>
      <c r="J253" s="96">
        <f t="shared" si="105"/>
        <v>0.22500000000000017</v>
      </c>
      <c r="X253" s="96">
        <f t="shared" si="89"/>
        <v>10</v>
      </c>
      <c r="Y253" s="96">
        <v>0.95999999999998797</v>
      </c>
      <c r="Z253" s="272">
        <f t="shared" si="91"/>
        <v>10</v>
      </c>
      <c r="AA253" s="519">
        <f t="shared" si="92"/>
        <v>8.3364991768537831</v>
      </c>
      <c r="AB253" s="516">
        <f t="shared" si="90"/>
        <v>16</v>
      </c>
      <c r="AC253" s="272">
        <f t="shared" si="80"/>
        <v>9.7526007336378981</v>
      </c>
      <c r="AD253" s="272">
        <f t="shared" si="93"/>
        <v>18</v>
      </c>
      <c r="AE253" s="272">
        <f t="shared" si="81"/>
        <v>9.5787183267557321</v>
      </c>
      <c r="AF253" s="272">
        <f t="shared" si="94"/>
        <v>18</v>
      </c>
      <c r="AG253" s="272">
        <f t="shared" si="82"/>
        <v>9.5787183267557321</v>
      </c>
      <c r="AH253" s="272">
        <f t="shared" si="95"/>
        <v>18</v>
      </c>
      <c r="AI253" s="272">
        <f t="shared" si="83"/>
        <v>9.5787183267557321</v>
      </c>
      <c r="AJ253" s="272">
        <f t="shared" si="96"/>
        <v>18</v>
      </c>
      <c r="AK253" s="272">
        <f t="shared" si="84"/>
        <v>9.5787183267557321</v>
      </c>
      <c r="AL253" s="272">
        <f t="shared" si="97"/>
        <v>18</v>
      </c>
      <c r="AM253" s="272">
        <f t="shared" si="85"/>
        <v>9.5787183267557321</v>
      </c>
      <c r="AN253" s="272">
        <f t="shared" si="98"/>
        <v>18</v>
      </c>
      <c r="AO253" s="272">
        <f t="shared" si="86"/>
        <v>9.5787183267557321</v>
      </c>
      <c r="AP253" s="272">
        <f t="shared" si="99"/>
        <v>18</v>
      </c>
      <c r="AQ253" s="272">
        <f t="shared" si="87"/>
        <v>9.5787183267557321</v>
      </c>
      <c r="AR253" s="272">
        <f t="shared" si="100"/>
        <v>18</v>
      </c>
      <c r="AS253" s="508">
        <f t="shared" si="88"/>
        <v>9.5787183267557321</v>
      </c>
    </row>
    <row r="254" spans="1:45" ht="12.75" customHeight="1">
      <c r="A254" s="96">
        <f>IF(MAX($F$104:F254)=$G$99,$G$99,F254)</f>
        <v>8.5852340051909924E-9</v>
      </c>
      <c r="B254" s="96">
        <v>151</v>
      </c>
      <c r="C254" s="96">
        <f t="shared" si="79"/>
        <v>0.22650000000000017</v>
      </c>
      <c r="D254" s="96">
        <f t="shared" si="101"/>
        <v>31.916448369884279</v>
      </c>
      <c r="E254" s="96">
        <f t="shared" si="102"/>
        <v>0.99999999997506916</v>
      </c>
      <c r="F254" s="96">
        <f t="shared" si="103"/>
        <v>8.5852340051909924E-9</v>
      </c>
      <c r="G254" s="96">
        <f t="shared" si="106"/>
        <v>-0.29799999141476596</v>
      </c>
      <c r="I254" s="96">
        <f t="shared" si="104"/>
        <v>0</v>
      </c>
      <c r="J254" s="96">
        <f t="shared" si="105"/>
        <v>0.22650000000000017</v>
      </c>
      <c r="X254" s="96">
        <f t="shared" si="89"/>
        <v>10</v>
      </c>
      <c r="Y254" s="517">
        <v>0.95499999999998797</v>
      </c>
      <c r="Z254" s="272">
        <f t="shared" si="91"/>
        <v>10</v>
      </c>
      <c r="AA254" s="519">
        <f t="shared" si="92"/>
        <v>8.4240208781430841</v>
      </c>
      <c r="AB254" s="516">
        <f t="shared" si="90"/>
        <v>16</v>
      </c>
      <c r="AC254" s="272">
        <f t="shared" si="80"/>
        <v>9.8549895409892176</v>
      </c>
      <c r="AD254" s="272">
        <f t="shared" si="93"/>
        <v>18</v>
      </c>
      <c r="AE254" s="272">
        <f t="shared" si="81"/>
        <v>9.6792816095371119</v>
      </c>
      <c r="AF254" s="272">
        <f t="shared" si="94"/>
        <v>18</v>
      </c>
      <c r="AG254" s="272">
        <f t="shared" si="82"/>
        <v>9.6792816095371119</v>
      </c>
      <c r="AH254" s="272">
        <f t="shared" si="95"/>
        <v>18</v>
      </c>
      <c r="AI254" s="272">
        <f t="shared" si="83"/>
        <v>9.6792816095371119</v>
      </c>
      <c r="AJ254" s="272">
        <f t="shared" si="96"/>
        <v>18</v>
      </c>
      <c r="AK254" s="272">
        <f t="shared" si="84"/>
        <v>9.6792816095371119</v>
      </c>
      <c r="AL254" s="272">
        <f t="shared" si="97"/>
        <v>18</v>
      </c>
      <c r="AM254" s="272">
        <f t="shared" si="85"/>
        <v>9.6792816095371119</v>
      </c>
      <c r="AN254" s="272">
        <f t="shared" si="98"/>
        <v>18</v>
      </c>
      <c r="AO254" s="272">
        <f t="shared" si="86"/>
        <v>9.6792816095371119</v>
      </c>
      <c r="AP254" s="272">
        <f t="shared" si="99"/>
        <v>18</v>
      </c>
      <c r="AQ254" s="272">
        <f t="shared" si="87"/>
        <v>9.6792816095371119</v>
      </c>
      <c r="AR254" s="272">
        <f t="shared" si="100"/>
        <v>18</v>
      </c>
      <c r="AS254" s="508">
        <f t="shared" si="88"/>
        <v>9.6792816095371119</v>
      </c>
    </row>
    <row r="255" spans="1:45" ht="12.75" customHeight="1">
      <c r="A255" s="96">
        <f>IF(MAX($F$104:F255)=$G$99,$G$99,F255)</f>
        <v>1.3163679775847943E-8</v>
      </c>
      <c r="B255" s="481">
        <v>152</v>
      </c>
      <c r="C255" s="96">
        <f t="shared" si="79"/>
        <v>0.22800000000000017</v>
      </c>
      <c r="D255" s="96">
        <f t="shared" si="101"/>
        <v>32.340582568212199</v>
      </c>
      <c r="E255" s="96">
        <f t="shared" si="102"/>
        <v>0.99999999996125521</v>
      </c>
      <c r="F255" s="96">
        <f t="shared" si="103"/>
        <v>1.3163679775847943E-8</v>
      </c>
      <c r="G255" s="96">
        <f t="shared" si="106"/>
        <v>-0.29799998683632023</v>
      </c>
      <c r="I255" s="96">
        <f t="shared" si="104"/>
        <v>0</v>
      </c>
      <c r="J255" s="96">
        <f t="shared" si="105"/>
        <v>0.22800000000000017</v>
      </c>
      <c r="X255" s="96">
        <f t="shared" si="89"/>
        <v>10</v>
      </c>
      <c r="Y255" s="96">
        <v>0.94999999999998697</v>
      </c>
      <c r="Z255" s="272">
        <f t="shared" si="91"/>
        <v>10</v>
      </c>
      <c r="AA255" s="519">
        <f t="shared" si="92"/>
        <v>8.5129281345024559</v>
      </c>
      <c r="AB255" s="516">
        <f t="shared" si="90"/>
        <v>16</v>
      </c>
      <c r="AC255" s="272">
        <f t="shared" si="80"/>
        <v>9.9589992643996776</v>
      </c>
      <c r="AD255" s="272">
        <f t="shared" si="93"/>
        <v>18</v>
      </c>
      <c r="AE255" s="272">
        <f t="shared" si="81"/>
        <v>9.7814369085186748</v>
      </c>
      <c r="AF255" s="272">
        <f t="shared" si="94"/>
        <v>18</v>
      </c>
      <c r="AG255" s="272">
        <f t="shared" si="82"/>
        <v>9.7814369085186748</v>
      </c>
      <c r="AH255" s="272">
        <f t="shared" si="95"/>
        <v>18</v>
      </c>
      <c r="AI255" s="272">
        <f t="shared" si="83"/>
        <v>9.7814369085186748</v>
      </c>
      <c r="AJ255" s="272">
        <f t="shared" si="96"/>
        <v>18</v>
      </c>
      <c r="AK255" s="272">
        <f t="shared" si="84"/>
        <v>9.7814369085186748</v>
      </c>
      <c r="AL255" s="272">
        <f t="shared" si="97"/>
        <v>18</v>
      </c>
      <c r="AM255" s="272">
        <f t="shared" si="85"/>
        <v>9.7814369085186748</v>
      </c>
      <c r="AN255" s="272">
        <f t="shared" si="98"/>
        <v>18</v>
      </c>
      <c r="AO255" s="272">
        <f t="shared" si="86"/>
        <v>9.7814369085186748</v>
      </c>
      <c r="AP255" s="272">
        <f t="shared" si="99"/>
        <v>18</v>
      </c>
      <c r="AQ255" s="272">
        <f t="shared" si="87"/>
        <v>9.7814369085186748</v>
      </c>
      <c r="AR255" s="272">
        <f t="shared" si="100"/>
        <v>18</v>
      </c>
      <c r="AS255" s="508">
        <f t="shared" si="88"/>
        <v>9.7814369085186748</v>
      </c>
    </row>
    <row r="256" spans="1:45" ht="12.75" customHeight="1">
      <c r="A256" s="96">
        <f>IF(MAX($F$104:F256)=$G$99,$G$99,F256)</f>
        <v>2.0071368641202032E-8</v>
      </c>
      <c r="B256" s="481">
        <v>153</v>
      </c>
      <c r="C256" s="96">
        <f t="shared" si="79"/>
        <v>0.22950000000000018</v>
      </c>
      <c r="D256" s="96">
        <f t="shared" si="101"/>
        <v>32.767516332205652</v>
      </c>
      <c r="E256" s="96">
        <f t="shared" si="102"/>
        <v>0.99999999994012134</v>
      </c>
      <c r="F256" s="96">
        <f t="shared" si="103"/>
        <v>2.0071368641202032E-8</v>
      </c>
      <c r="G256" s="96">
        <f t="shared" si="106"/>
        <v>-0.29799997992863136</v>
      </c>
      <c r="I256" s="96">
        <f t="shared" si="104"/>
        <v>0</v>
      </c>
      <c r="J256" s="96">
        <f t="shared" si="105"/>
        <v>0.22950000000000018</v>
      </c>
      <c r="X256" s="96">
        <f t="shared" si="89"/>
        <v>10</v>
      </c>
      <c r="Y256" s="517">
        <v>0.94499999999998696</v>
      </c>
      <c r="Z256" s="272">
        <f t="shared" si="91"/>
        <v>10</v>
      </c>
      <c r="AA256" s="519">
        <f t="shared" si="92"/>
        <v>8.6032503472897908</v>
      </c>
      <c r="AB256" s="516">
        <f t="shared" si="90"/>
        <v>16</v>
      </c>
      <c r="AC256" s="272">
        <f t="shared" si="80"/>
        <v>10.06466429956688</v>
      </c>
      <c r="AD256" s="272">
        <f t="shared" si="93"/>
        <v>18</v>
      </c>
      <c r="AE256" s="272">
        <f t="shared" si="81"/>
        <v>9.8852180061455233</v>
      </c>
      <c r="AF256" s="272">
        <f t="shared" si="94"/>
        <v>18</v>
      </c>
      <c r="AG256" s="272">
        <f t="shared" si="82"/>
        <v>9.8852180061455233</v>
      </c>
      <c r="AH256" s="272">
        <f t="shared" si="95"/>
        <v>18</v>
      </c>
      <c r="AI256" s="272">
        <f t="shared" si="83"/>
        <v>9.8852180061455233</v>
      </c>
      <c r="AJ256" s="272">
        <f t="shared" si="96"/>
        <v>18</v>
      </c>
      <c r="AK256" s="272">
        <f t="shared" si="84"/>
        <v>9.8852180061455233</v>
      </c>
      <c r="AL256" s="272">
        <f t="shared" si="97"/>
        <v>18</v>
      </c>
      <c r="AM256" s="272">
        <f t="shared" si="85"/>
        <v>9.8852180061455233</v>
      </c>
      <c r="AN256" s="272">
        <f t="shared" si="98"/>
        <v>18</v>
      </c>
      <c r="AO256" s="272">
        <f t="shared" si="86"/>
        <v>9.8852180061455233</v>
      </c>
      <c r="AP256" s="272">
        <f t="shared" si="99"/>
        <v>18</v>
      </c>
      <c r="AQ256" s="272">
        <f t="shared" si="87"/>
        <v>9.8852180061455233</v>
      </c>
      <c r="AR256" s="272">
        <f t="shared" si="100"/>
        <v>18</v>
      </c>
      <c r="AS256" s="508">
        <f t="shared" si="88"/>
        <v>9.8852180061455233</v>
      </c>
    </row>
    <row r="257" spans="1:45" ht="12.75" customHeight="1">
      <c r="A257" s="96">
        <f>IF(MAX($F$104:F257)=$G$99,$G$99,F257)</f>
        <v>3.0435306497267327E-8</v>
      </c>
      <c r="B257" s="96">
        <v>154</v>
      </c>
      <c r="C257" s="96">
        <f t="shared" si="79"/>
        <v>0.23100000000000018</v>
      </c>
      <c r="D257" s="96">
        <f t="shared" si="101"/>
        <v>33.197249661864639</v>
      </c>
      <c r="E257" s="96">
        <f t="shared" si="102"/>
        <v>0.9999999999079684</v>
      </c>
      <c r="F257" s="96">
        <f t="shared" si="103"/>
        <v>3.0435306497267327E-8</v>
      </c>
      <c r="G257" s="96">
        <f t="shared" si="106"/>
        <v>-0.29799996956469349</v>
      </c>
      <c r="I257" s="96">
        <f t="shared" si="104"/>
        <v>0</v>
      </c>
      <c r="J257" s="96">
        <f t="shared" si="105"/>
        <v>0.23100000000000018</v>
      </c>
      <c r="X257" s="96">
        <f t="shared" si="89"/>
        <v>10</v>
      </c>
      <c r="Y257" s="96">
        <v>0.93999999999998696</v>
      </c>
      <c r="Z257" s="272">
        <f t="shared" si="91"/>
        <v>10</v>
      </c>
      <c r="AA257" s="519">
        <f t="shared" si="92"/>
        <v>8.6950177018882595</v>
      </c>
      <c r="AB257" s="516">
        <f t="shared" si="90"/>
        <v>16</v>
      </c>
      <c r="AC257" s="272">
        <f t="shared" si="80"/>
        <v>10.172019959394198</v>
      </c>
      <c r="AD257" s="272">
        <f t="shared" si="93"/>
        <v>18</v>
      </c>
      <c r="AE257" s="272">
        <f t="shared" si="81"/>
        <v>9.9906595857153775</v>
      </c>
      <c r="AF257" s="272">
        <f t="shared" si="94"/>
        <v>18</v>
      </c>
      <c r="AG257" s="272">
        <f t="shared" si="82"/>
        <v>9.9906595857153775</v>
      </c>
      <c r="AH257" s="272">
        <f t="shared" si="95"/>
        <v>18</v>
      </c>
      <c r="AI257" s="272">
        <f t="shared" si="83"/>
        <v>9.9906595857153775</v>
      </c>
      <c r="AJ257" s="272">
        <f t="shared" si="96"/>
        <v>18</v>
      </c>
      <c r="AK257" s="272">
        <f t="shared" si="84"/>
        <v>9.9906595857153775</v>
      </c>
      <c r="AL257" s="272">
        <f t="shared" si="97"/>
        <v>18</v>
      </c>
      <c r="AM257" s="272">
        <f t="shared" si="85"/>
        <v>9.9906595857153775</v>
      </c>
      <c r="AN257" s="272">
        <f t="shared" si="98"/>
        <v>18</v>
      </c>
      <c r="AO257" s="272">
        <f t="shared" si="86"/>
        <v>9.9906595857153775</v>
      </c>
      <c r="AP257" s="272">
        <f t="shared" si="99"/>
        <v>18</v>
      </c>
      <c r="AQ257" s="272">
        <f t="shared" si="87"/>
        <v>9.9906595857153775</v>
      </c>
      <c r="AR257" s="272">
        <f t="shared" si="100"/>
        <v>18</v>
      </c>
      <c r="AS257" s="508">
        <f t="shared" si="88"/>
        <v>9.9906595857153775</v>
      </c>
    </row>
    <row r="258" spans="1:45" ht="12.75" customHeight="1">
      <c r="A258" s="96">
        <f>IF(MAX($F$104:F258)=$G$99,$G$99,F258)</f>
        <v>4.5898831032194672E-8</v>
      </c>
      <c r="B258" s="481">
        <v>155</v>
      </c>
      <c r="C258" s="96">
        <f t="shared" si="79"/>
        <v>0.23250000000000018</v>
      </c>
      <c r="D258" s="96">
        <f t="shared" si="101"/>
        <v>33.629782557189152</v>
      </c>
      <c r="E258" s="96">
        <f t="shared" si="102"/>
        <v>0.99999999985931964</v>
      </c>
      <c r="F258" s="96">
        <f t="shared" si="103"/>
        <v>4.5898831032194672E-8</v>
      </c>
      <c r="G258" s="96">
        <f t="shared" si="106"/>
        <v>-0.29799995410116897</v>
      </c>
      <c r="I258" s="96">
        <f t="shared" si="104"/>
        <v>0</v>
      </c>
      <c r="J258" s="96">
        <f t="shared" si="105"/>
        <v>0.23250000000000018</v>
      </c>
      <c r="X258" s="96">
        <f t="shared" si="89"/>
        <v>11</v>
      </c>
      <c r="Y258" s="517">
        <v>0.93499999999998695</v>
      </c>
      <c r="Z258" s="272">
        <f t="shared" si="91"/>
        <v>11</v>
      </c>
      <c r="AA258" s="519">
        <f t="shared" si="92"/>
        <v>8.788261192929129</v>
      </c>
      <c r="AB258" s="516">
        <f t="shared" si="90"/>
        <v>16</v>
      </c>
      <c r="AC258" s="272">
        <f t="shared" si="80"/>
        <v>10.281102503498198</v>
      </c>
      <c r="AD258" s="272">
        <f t="shared" si="93"/>
        <v>18</v>
      </c>
      <c r="AE258" s="272">
        <f t="shared" si="81"/>
        <v>10.097797260359872</v>
      </c>
      <c r="AF258" s="272">
        <f t="shared" si="94"/>
        <v>20</v>
      </c>
      <c r="AG258" s="272">
        <f t="shared" si="82"/>
        <v>9.9545162364875424</v>
      </c>
      <c r="AH258" s="272">
        <f t="shared" si="95"/>
        <v>18</v>
      </c>
      <c r="AI258" s="272">
        <f t="shared" si="83"/>
        <v>10.097797260359872</v>
      </c>
      <c r="AJ258" s="272">
        <f t="shared" si="96"/>
        <v>20</v>
      </c>
      <c r="AK258" s="272">
        <f t="shared" si="84"/>
        <v>9.9545162364875424</v>
      </c>
      <c r="AL258" s="272">
        <f t="shared" si="97"/>
        <v>18</v>
      </c>
      <c r="AM258" s="272">
        <f t="shared" si="85"/>
        <v>10.097797260359872</v>
      </c>
      <c r="AN258" s="272">
        <f t="shared" si="98"/>
        <v>20</v>
      </c>
      <c r="AO258" s="272">
        <f t="shared" si="86"/>
        <v>9.9545162364875424</v>
      </c>
      <c r="AP258" s="272">
        <f t="shared" si="99"/>
        <v>18</v>
      </c>
      <c r="AQ258" s="272">
        <f t="shared" si="87"/>
        <v>10.097797260359872</v>
      </c>
      <c r="AR258" s="272">
        <f t="shared" si="100"/>
        <v>20</v>
      </c>
      <c r="AS258" s="508">
        <f t="shared" si="88"/>
        <v>9.9545162364875424</v>
      </c>
    </row>
    <row r="259" spans="1:45" ht="12.75" customHeight="1">
      <c r="A259" s="96">
        <f>IF(MAX($F$104:F259)=$G$99,$G$99,F259)</f>
        <v>6.8844754711842399E-8</v>
      </c>
      <c r="B259" s="481">
        <v>156</v>
      </c>
      <c r="C259" s="96">
        <f t="shared" ref="C259:C322" si="107">C258+$C$99</f>
        <v>0.23400000000000018</v>
      </c>
      <c r="D259" s="96">
        <f t="shared" si="101"/>
        <v>34.065115018179192</v>
      </c>
      <c r="E259" s="96">
        <f t="shared" si="102"/>
        <v>0.99999999978611309</v>
      </c>
      <c r="F259" s="96">
        <f t="shared" si="103"/>
        <v>6.8844754711842399E-8</v>
      </c>
      <c r="G259" s="96">
        <f t="shared" si="106"/>
        <v>-0.29799993115524526</v>
      </c>
      <c r="I259" s="96">
        <f t="shared" si="104"/>
        <v>0</v>
      </c>
      <c r="J259" s="96">
        <f t="shared" si="105"/>
        <v>0.23400000000000018</v>
      </c>
      <c r="X259" s="96">
        <f t="shared" si="89"/>
        <v>11</v>
      </c>
      <c r="Y259" s="96">
        <v>0.92999999999998695</v>
      </c>
      <c r="Z259" s="272">
        <f t="shared" si="91"/>
        <v>11</v>
      </c>
      <c r="AA259" s="519">
        <f t="shared" si="92"/>
        <v>8.8830126504664939</v>
      </c>
      <c r="AB259" s="516">
        <f t="shared" si="90"/>
        <v>16</v>
      </c>
      <c r="AC259" s="272">
        <f t="shared" si="80"/>
        <v>10.391949168829592</v>
      </c>
      <c r="AD259" s="272">
        <f t="shared" si="93"/>
        <v>18</v>
      </c>
      <c r="AE259" s="272">
        <f t="shared" si="81"/>
        <v>10.206667603119563</v>
      </c>
      <c r="AF259" s="272">
        <f t="shared" si="94"/>
        <v>20</v>
      </c>
      <c r="AG259" s="272">
        <f t="shared" si="82"/>
        <v>10.061841781527718</v>
      </c>
      <c r="AH259" s="272">
        <f t="shared" si="95"/>
        <v>20</v>
      </c>
      <c r="AI259" s="272">
        <f t="shared" si="83"/>
        <v>10.061841781527718</v>
      </c>
      <c r="AJ259" s="272">
        <f t="shared" si="96"/>
        <v>20</v>
      </c>
      <c r="AK259" s="272">
        <f t="shared" si="84"/>
        <v>10.061841781527718</v>
      </c>
      <c r="AL259" s="272">
        <f t="shared" si="97"/>
        <v>20</v>
      </c>
      <c r="AM259" s="272">
        <f t="shared" si="85"/>
        <v>10.061841781527718</v>
      </c>
      <c r="AN259" s="272">
        <f t="shared" si="98"/>
        <v>20</v>
      </c>
      <c r="AO259" s="272">
        <f t="shared" si="86"/>
        <v>10.061841781527718</v>
      </c>
      <c r="AP259" s="272">
        <f t="shared" si="99"/>
        <v>20</v>
      </c>
      <c r="AQ259" s="272">
        <f t="shared" si="87"/>
        <v>10.061841781527718</v>
      </c>
      <c r="AR259" s="272">
        <f t="shared" si="100"/>
        <v>20</v>
      </c>
      <c r="AS259" s="508">
        <f t="shared" si="88"/>
        <v>10.061841781527718</v>
      </c>
    </row>
    <row r="260" spans="1:45" ht="12.75" customHeight="1">
      <c r="A260" s="96">
        <f>IF(MAX($F$104:F260)=$G$99,$G$99,F260)</f>
        <v>1.0270896096583232E-7</v>
      </c>
      <c r="B260" s="96">
        <v>157</v>
      </c>
      <c r="C260" s="96">
        <f t="shared" si="107"/>
        <v>0.23550000000000018</v>
      </c>
      <c r="D260" s="96">
        <f t="shared" si="101"/>
        <v>34.503247044834772</v>
      </c>
      <c r="E260" s="96">
        <f t="shared" si="102"/>
        <v>0.99999999967654596</v>
      </c>
      <c r="F260" s="96">
        <f t="shared" si="103"/>
        <v>1.0270896096583232E-7</v>
      </c>
      <c r="G260" s="96">
        <f t="shared" si="106"/>
        <v>-0.29799989729103904</v>
      </c>
      <c r="I260" s="96">
        <f t="shared" si="104"/>
        <v>0</v>
      </c>
      <c r="J260" s="96">
        <f t="shared" si="105"/>
        <v>0.23550000000000018</v>
      </c>
      <c r="X260" s="96">
        <f t="shared" si="89"/>
        <v>11</v>
      </c>
      <c r="Y260" s="517">
        <v>0.92499999999998705</v>
      </c>
      <c r="Z260" s="272">
        <f t="shared" si="91"/>
        <v>11</v>
      </c>
      <c r="AA260" s="519">
        <f t="shared" si="92"/>
        <v>8.9793047671450328</v>
      </c>
      <c r="AB260" s="516">
        <f t="shared" si="90"/>
        <v>16</v>
      </c>
      <c r="AC260" s="272">
        <f t="shared" si="80"/>
        <v>10.504598201455911</v>
      </c>
      <c r="AD260" s="272">
        <f t="shared" si="93"/>
        <v>18</v>
      </c>
      <c r="AE260" s="272">
        <f t="shared" si="81"/>
        <v>10.317308178159955</v>
      </c>
      <c r="AF260" s="272">
        <f t="shared" si="94"/>
        <v>20</v>
      </c>
      <c r="AG260" s="272">
        <f t="shared" si="82"/>
        <v>10.17091244043047</v>
      </c>
      <c r="AH260" s="272">
        <f t="shared" si="95"/>
        <v>20</v>
      </c>
      <c r="AI260" s="272">
        <f t="shared" si="83"/>
        <v>10.17091244043047</v>
      </c>
      <c r="AJ260" s="272">
        <f t="shared" si="96"/>
        <v>20</v>
      </c>
      <c r="AK260" s="272">
        <f t="shared" si="84"/>
        <v>10.17091244043047</v>
      </c>
      <c r="AL260" s="272">
        <f t="shared" si="97"/>
        <v>20</v>
      </c>
      <c r="AM260" s="272">
        <f t="shared" si="85"/>
        <v>10.17091244043047</v>
      </c>
      <c r="AN260" s="272">
        <f t="shared" si="98"/>
        <v>20</v>
      </c>
      <c r="AO260" s="272">
        <f t="shared" si="86"/>
        <v>10.17091244043047</v>
      </c>
      <c r="AP260" s="272">
        <f t="shared" si="99"/>
        <v>20</v>
      </c>
      <c r="AQ260" s="272">
        <f t="shared" si="87"/>
        <v>10.17091244043047</v>
      </c>
      <c r="AR260" s="272">
        <f t="shared" si="100"/>
        <v>20</v>
      </c>
      <c r="AS260" s="508">
        <f t="shared" si="88"/>
        <v>10.17091244043047</v>
      </c>
    </row>
    <row r="261" spans="1:45" ht="12.75" customHeight="1">
      <c r="A261" s="96">
        <f>IF(MAX($F$104:F261)=$G$99,$G$99,F261)</f>
        <v>1.5241769920256348E-7</v>
      </c>
      <c r="B261" s="481">
        <v>158</v>
      </c>
      <c r="C261" s="96">
        <f t="shared" si="107"/>
        <v>0.23700000000000018</v>
      </c>
      <c r="D261" s="96">
        <f t="shared" si="101"/>
        <v>34.944178637155879</v>
      </c>
      <c r="E261" s="96">
        <f t="shared" si="102"/>
        <v>0.99999999951343443</v>
      </c>
      <c r="F261" s="96">
        <f t="shared" si="103"/>
        <v>1.5241769920256348E-7</v>
      </c>
      <c r="G261" s="96">
        <f t="shared" si="106"/>
        <v>-0.2979998475823008</v>
      </c>
      <c r="I261" s="96">
        <f t="shared" si="104"/>
        <v>0</v>
      </c>
      <c r="J261" s="96">
        <f t="shared" si="105"/>
        <v>0.23700000000000018</v>
      </c>
      <c r="X261" s="96">
        <f t="shared" si="89"/>
        <v>11</v>
      </c>
      <c r="Y261" s="96">
        <v>0.91999999999998705</v>
      </c>
      <c r="Z261" s="272">
        <f t="shared" si="91"/>
        <v>11</v>
      </c>
      <c r="AA261" s="519">
        <f t="shared" si="92"/>
        <v>9.0771711264041457</v>
      </c>
      <c r="AB261" s="516">
        <f t="shared" si="90"/>
        <v>18</v>
      </c>
      <c r="AC261" s="272">
        <f t="shared" si="80"/>
        <v>10.4297575731783</v>
      </c>
      <c r="AD261" s="272">
        <f t="shared" si="93"/>
        <v>20</v>
      </c>
      <c r="AE261" s="272">
        <f t="shared" si="81"/>
        <v>10.281766253359313</v>
      </c>
      <c r="AF261" s="272">
        <f t="shared" si="94"/>
        <v>20</v>
      </c>
      <c r="AG261" s="272">
        <f t="shared" si="82"/>
        <v>10.281766253359313</v>
      </c>
      <c r="AH261" s="272">
        <f t="shared" si="95"/>
        <v>20</v>
      </c>
      <c r="AI261" s="272">
        <f t="shared" si="83"/>
        <v>10.281766253359313</v>
      </c>
      <c r="AJ261" s="272">
        <f t="shared" si="96"/>
        <v>20</v>
      </c>
      <c r="AK261" s="272">
        <f t="shared" si="84"/>
        <v>10.281766253359313</v>
      </c>
      <c r="AL261" s="272">
        <f t="shared" si="97"/>
        <v>20</v>
      </c>
      <c r="AM261" s="272">
        <f t="shared" si="85"/>
        <v>10.281766253359313</v>
      </c>
      <c r="AN261" s="272">
        <f t="shared" si="98"/>
        <v>20</v>
      </c>
      <c r="AO261" s="272">
        <f t="shared" si="86"/>
        <v>10.281766253359313</v>
      </c>
      <c r="AP261" s="272">
        <f t="shared" si="99"/>
        <v>20</v>
      </c>
      <c r="AQ261" s="272">
        <f t="shared" si="87"/>
        <v>10.281766253359313</v>
      </c>
      <c r="AR261" s="272">
        <f t="shared" si="100"/>
        <v>20</v>
      </c>
      <c r="AS261" s="508">
        <f t="shared" si="88"/>
        <v>10.281766253359313</v>
      </c>
    </row>
    <row r="262" spans="1:45" ht="12.75" customHeight="1">
      <c r="A262" s="96">
        <f>IF(MAX($F$104:F262)=$G$99,$G$99,F262)</f>
        <v>2.2499541526184902E-7</v>
      </c>
      <c r="B262" s="481">
        <v>159</v>
      </c>
      <c r="C262" s="96">
        <f t="shared" si="107"/>
        <v>0.23850000000000018</v>
      </c>
      <c r="D262" s="96">
        <f t="shared" si="101"/>
        <v>35.387909795142512</v>
      </c>
      <c r="E262" s="96">
        <f t="shared" si="102"/>
        <v>0.9999999992718972</v>
      </c>
      <c r="F262" s="96">
        <f t="shared" si="103"/>
        <v>2.2499541526184902E-7</v>
      </c>
      <c r="G262" s="96">
        <f t="shared" si="106"/>
        <v>-0.29799977500458474</v>
      </c>
      <c r="I262" s="96">
        <f t="shared" si="104"/>
        <v>0</v>
      </c>
      <c r="J262" s="96">
        <f t="shared" si="105"/>
        <v>0.23850000000000018</v>
      </c>
      <c r="X262" s="96">
        <f t="shared" si="89"/>
        <v>11</v>
      </c>
      <c r="Y262" s="517">
        <v>0.91499999999998705</v>
      </c>
      <c r="Z262" s="272">
        <f t="shared" si="91"/>
        <v>11</v>
      </c>
      <c r="AA262" s="519">
        <f t="shared" si="92"/>
        <v>9.1766462317638293</v>
      </c>
      <c r="AB262" s="516">
        <f t="shared" si="90"/>
        <v>18</v>
      </c>
      <c r="AC262" s="272">
        <f t="shared" si="80"/>
        <v>10.544055433053378</v>
      </c>
      <c r="AD262" s="272">
        <f t="shared" si="93"/>
        <v>20</v>
      </c>
      <c r="AE262" s="272">
        <f t="shared" si="81"/>
        <v>10.394442302658575</v>
      </c>
      <c r="AF262" s="272">
        <f t="shared" si="94"/>
        <v>20</v>
      </c>
      <c r="AG262" s="272">
        <f t="shared" si="82"/>
        <v>10.394442302658575</v>
      </c>
      <c r="AH262" s="272">
        <f t="shared" si="95"/>
        <v>20</v>
      </c>
      <c r="AI262" s="272">
        <f t="shared" si="83"/>
        <v>10.394442302658575</v>
      </c>
      <c r="AJ262" s="272">
        <f t="shared" si="96"/>
        <v>20</v>
      </c>
      <c r="AK262" s="272">
        <f t="shared" si="84"/>
        <v>10.394442302658575</v>
      </c>
      <c r="AL262" s="272">
        <f t="shared" si="97"/>
        <v>20</v>
      </c>
      <c r="AM262" s="272">
        <f t="shared" si="85"/>
        <v>10.394442302658575</v>
      </c>
      <c r="AN262" s="272">
        <f t="shared" si="98"/>
        <v>20</v>
      </c>
      <c r="AO262" s="272">
        <f t="shared" si="86"/>
        <v>10.394442302658575</v>
      </c>
      <c r="AP262" s="272">
        <f t="shared" si="99"/>
        <v>20</v>
      </c>
      <c r="AQ262" s="272">
        <f t="shared" si="87"/>
        <v>10.394442302658575</v>
      </c>
      <c r="AR262" s="272">
        <f t="shared" si="100"/>
        <v>20</v>
      </c>
      <c r="AS262" s="508">
        <f t="shared" si="88"/>
        <v>10.394442302658575</v>
      </c>
    </row>
    <row r="263" spans="1:45" ht="12.75" customHeight="1">
      <c r="A263" s="96">
        <f>IF(MAX($F$104:F263)=$G$99,$G$99,F263)</f>
        <v>3.304030848916284E-7</v>
      </c>
      <c r="B263" s="96">
        <v>160</v>
      </c>
      <c r="C263" s="96">
        <f t="shared" si="107"/>
        <v>0.24000000000000019</v>
      </c>
      <c r="D263" s="96">
        <f t="shared" si="101"/>
        <v>35.834440518794679</v>
      </c>
      <c r="E263" s="96">
        <f t="shared" si="102"/>
        <v>0.99999999891610147</v>
      </c>
      <c r="F263" s="96">
        <f t="shared" si="103"/>
        <v>3.304030848916284E-7</v>
      </c>
      <c r="G263" s="96">
        <f t="shared" si="106"/>
        <v>-0.2979996695969151</v>
      </c>
      <c r="I263" s="96">
        <f t="shared" si="104"/>
        <v>0</v>
      </c>
      <c r="J263" s="96">
        <f t="shared" si="105"/>
        <v>0.24000000000000019</v>
      </c>
      <c r="X263" s="96">
        <f t="shared" si="89"/>
        <v>11</v>
      </c>
      <c r="Y263" s="96">
        <v>0.90999999999998604</v>
      </c>
      <c r="Z263" s="272">
        <f t="shared" si="91"/>
        <v>11</v>
      </c>
      <c r="AA263" s="519">
        <f t="shared" si="92"/>
        <v>9.2777655372400538</v>
      </c>
      <c r="AB263" s="516">
        <f t="shared" si="90"/>
        <v>18</v>
      </c>
      <c r="AC263" s="272">
        <f t="shared" si="80"/>
        <v>10.660242494793062</v>
      </c>
      <c r="AD263" s="272">
        <f t="shared" si="93"/>
        <v>20</v>
      </c>
      <c r="AE263" s="272">
        <f t="shared" si="81"/>
        <v>10.508980747305092</v>
      </c>
      <c r="AF263" s="272">
        <f t="shared" si="94"/>
        <v>20</v>
      </c>
      <c r="AG263" s="272">
        <f t="shared" si="82"/>
        <v>10.508980747305092</v>
      </c>
      <c r="AH263" s="272">
        <f t="shared" si="95"/>
        <v>20</v>
      </c>
      <c r="AI263" s="272">
        <f t="shared" si="83"/>
        <v>10.508980747305092</v>
      </c>
      <c r="AJ263" s="272">
        <f t="shared" si="96"/>
        <v>20</v>
      </c>
      <c r="AK263" s="272">
        <f t="shared" si="84"/>
        <v>10.508980747305092</v>
      </c>
      <c r="AL263" s="272">
        <f t="shared" si="97"/>
        <v>20</v>
      </c>
      <c r="AM263" s="272">
        <f t="shared" si="85"/>
        <v>10.508980747305092</v>
      </c>
      <c r="AN263" s="272">
        <f t="shared" si="98"/>
        <v>20</v>
      </c>
      <c r="AO263" s="272">
        <f t="shared" si="86"/>
        <v>10.508980747305092</v>
      </c>
      <c r="AP263" s="272">
        <f t="shared" si="99"/>
        <v>20</v>
      </c>
      <c r="AQ263" s="272">
        <f t="shared" si="87"/>
        <v>10.508980747305092</v>
      </c>
      <c r="AR263" s="272">
        <f t="shared" si="100"/>
        <v>20</v>
      </c>
      <c r="AS263" s="508">
        <f t="shared" si="88"/>
        <v>10.508980747305092</v>
      </c>
    </row>
    <row r="264" spans="1:45" ht="12.75" customHeight="1">
      <c r="A264" s="96">
        <f>IF(MAX($F$104:F264)=$G$99,$G$99,F264)</f>
        <v>4.8268893067711827E-7</v>
      </c>
      <c r="B264" s="481">
        <v>161</v>
      </c>
      <c r="C264" s="96">
        <f t="shared" si="107"/>
        <v>0.24150000000000019</v>
      </c>
      <c r="D264" s="96">
        <f t="shared" si="101"/>
        <v>36.283770808112379</v>
      </c>
      <c r="E264" s="96">
        <f t="shared" si="102"/>
        <v>0.99999999839472087</v>
      </c>
      <c r="F264" s="96">
        <f t="shared" si="103"/>
        <v>4.8268893067711827E-7</v>
      </c>
      <c r="G264" s="96">
        <f t="shared" si="106"/>
        <v>-0.29799951731106933</v>
      </c>
      <c r="I264" s="96">
        <f t="shared" si="104"/>
        <v>0</v>
      </c>
      <c r="J264" s="96">
        <f t="shared" si="105"/>
        <v>0.24150000000000019</v>
      </c>
      <c r="X264" s="96">
        <f t="shared" si="89"/>
        <v>11</v>
      </c>
      <c r="Y264" s="517">
        <v>0.90499999999998604</v>
      </c>
      <c r="Z264" s="272">
        <f t="shared" si="91"/>
        <v>11</v>
      </c>
      <c r="AA264" s="519">
        <f t="shared" si="92"/>
        <v>9.380565478939582</v>
      </c>
      <c r="AB264" s="516">
        <f t="shared" si="90"/>
        <v>18</v>
      </c>
      <c r="AC264" s="272">
        <f t="shared" si="80"/>
        <v>10.778360623837045</v>
      </c>
      <c r="AD264" s="272">
        <f t="shared" si="93"/>
        <v>20</v>
      </c>
      <c r="AE264" s="272">
        <f t="shared" si="81"/>
        <v>10.625422858695824</v>
      </c>
      <c r="AF264" s="272">
        <f t="shared" si="94"/>
        <v>20</v>
      </c>
      <c r="AG264" s="272">
        <f t="shared" si="82"/>
        <v>10.625422858695824</v>
      </c>
      <c r="AH264" s="272">
        <f t="shared" si="95"/>
        <v>20</v>
      </c>
      <c r="AI264" s="272">
        <f t="shared" si="83"/>
        <v>10.625422858695824</v>
      </c>
      <c r="AJ264" s="272">
        <f t="shared" si="96"/>
        <v>20</v>
      </c>
      <c r="AK264" s="272">
        <f t="shared" si="84"/>
        <v>10.625422858695824</v>
      </c>
      <c r="AL264" s="272">
        <f t="shared" si="97"/>
        <v>20</v>
      </c>
      <c r="AM264" s="272">
        <f t="shared" si="85"/>
        <v>10.625422858695824</v>
      </c>
      <c r="AN264" s="272">
        <f t="shared" si="98"/>
        <v>20</v>
      </c>
      <c r="AO264" s="272">
        <f t="shared" si="86"/>
        <v>10.625422858695824</v>
      </c>
      <c r="AP264" s="272">
        <f t="shared" si="99"/>
        <v>20</v>
      </c>
      <c r="AQ264" s="272">
        <f t="shared" si="87"/>
        <v>10.625422858695824</v>
      </c>
      <c r="AR264" s="272">
        <f t="shared" si="100"/>
        <v>20</v>
      </c>
      <c r="AS264" s="508">
        <f t="shared" si="88"/>
        <v>10.625422858695824</v>
      </c>
    </row>
    <row r="265" spans="1:45" ht="12.75" customHeight="1">
      <c r="A265" s="96">
        <f>IF(MAX($F$104:F265)=$G$99,$G$99,F265)</f>
        <v>7.0155807570711671E-7</v>
      </c>
      <c r="B265" s="481">
        <v>162</v>
      </c>
      <c r="C265" s="96">
        <f t="shared" si="107"/>
        <v>0.24300000000000019</v>
      </c>
      <c r="D265" s="96">
        <f t="shared" si="101"/>
        <v>36.735900663095613</v>
      </c>
      <c r="E265" s="96">
        <f t="shared" si="102"/>
        <v>0.99999999763462644</v>
      </c>
      <c r="F265" s="96">
        <f t="shared" si="103"/>
        <v>7.0155807570711671E-7</v>
      </c>
      <c r="G265" s="96">
        <f t="shared" si="106"/>
        <v>-0.2979992984419243</v>
      </c>
      <c r="I265" s="96">
        <f t="shared" si="104"/>
        <v>0</v>
      </c>
      <c r="J265" s="96">
        <f t="shared" si="105"/>
        <v>0.24300000000000019</v>
      </c>
      <c r="X265" s="96">
        <f t="shared" si="89"/>
        <v>11</v>
      </c>
      <c r="Y265" s="96">
        <v>0.89999999999998603</v>
      </c>
      <c r="Z265" s="272">
        <f t="shared" si="91"/>
        <v>11</v>
      </c>
      <c r="AA265" s="519">
        <f t="shared" si="92"/>
        <v>9.4850835078870297</v>
      </c>
      <c r="AB265" s="516">
        <f t="shared" si="90"/>
        <v>18</v>
      </c>
      <c r="AC265" s="272">
        <f t="shared" si="80"/>
        <v>10.898452851775478</v>
      </c>
      <c r="AD265" s="272">
        <f t="shared" si="93"/>
        <v>20</v>
      </c>
      <c r="AE265" s="272">
        <f t="shared" si="81"/>
        <v>10.743811057831294</v>
      </c>
      <c r="AF265" s="272">
        <f t="shared" si="94"/>
        <v>20</v>
      </c>
      <c r="AG265" s="272">
        <f t="shared" si="82"/>
        <v>10.743811057831294</v>
      </c>
      <c r="AH265" s="272">
        <f t="shared" si="95"/>
        <v>20</v>
      </c>
      <c r="AI265" s="272">
        <f t="shared" si="83"/>
        <v>10.743811057831294</v>
      </c>
      <c r="AJ265" s="272">
        <f t="shared" si="96"/>
        <v>20</v>
      </c>
      <c r="AK265" s="272">
        <f t="shared" si="84"/>
        <v>10.743811057831294</v>
      </c>
      <c r="AL265" s="272">
        <f t="shared" si="97"/>
        <v>20</v>
      </c>
      <c r="AM265" s="272">
        <f t="shared" si="85"/>
        <v>10.743811057831294</v>
      </c>
      <c r="AN265" s="272">
        <f t="shared" si="98"/>
        <v>20</v>
      </c>
      <c r="AO265" s="272">
        <f t="shared" si="86"/>
        <v>10.743811057831294</v>
      </c>
      <c r="AP265" s="272">
        <f t="shared" si="99"/>
        <v>20</v>
      </c>
      <c r="AQ265" s="272">
        <f t="shared" si="87"/>
        <v>10.743811057831294</v>
      </c>
      <c r="AR265" s="272">
        <f t="shared" si="100"/>
        <v>20</v>
      </c>
      <c r="AS265" s="508">
        <f t="shared" si="88"/>
        <v>10.743811057831294</v>
      </c>
    </row>
    <row r="266" spans="1:45" ht="12.75" customHeight="1">
      <c r="A266" s="96">
        <f>IF(MAX($F$104:F266)=$G$99,$G$99,F266)</f>
        <v>1.0145016019850552E-6</v>
      </c>
      <c r="B266" s="96">
        <v>163</v>
      </c>
      <c r="C266" s="96">
        <f t="shared" si="107"/>
        <v>0.24450000000000019</v>
      </c>
      <c r="D266" s="96">
        <f t="shared" si="101"/>
        <v>37.190830083744373</v>
      </c>
      <c r="E266" s="96">
        <f t="shared" si="102"/>
        <v>0.9999999965321773</v>
      </c>
      <c r="F266" s="96">
        <f t="shared" si="103"/>
        <v>1.0145016019850552E-6</v>
      </c>
      <c r="G266" s="96">
        <f t="shared" si="106"/>
        <v>-0.29799898549839798</v>
      </c>
      <c r="I266" s="96">
        <f t="shared" si="104"/>
        <v>0</v>
      </c>
      <c r="J266" s="96">
        <f t="shared" si="105"/>
        <v>0.24450000000000019</v>
      </c>
      <c r="X266" s="96">
        <f t="shared" si="89"/>
        <v>11</v>
      </c>
      <c r="Y266" s="517">
        <v>0.89499999999998603</v>
      </c>
      <c r="Z266" s="272">
        <f t="shared" si="91"/>
        <v>11</v>
      </c>
      <c r="AA266" s="519">
        <f t="shared" si="92"/>
        <v>9.5913581241390631</v>
      </c>
      <c r="AB266" s="516">
        <f t="shared" si="90"/>
        <v>18</v>
      </c>
      <c r="AC266" s="272">
        <f t="shared" si="80"/>
        <v>11.020563415546505</v>
      </c>
      <c r="AD266" s="272">
        <f t="shared" si="93"/>
        <v>20</v>
      </c>
      <c r="AE266" s="272">
        <f t="shared" si="81"/>
        <v>10.864188953956932</v>
      </c>
      <c r="AF266" s="272">
        <f t="shared" si="94"/>
        <v>20</v>
      </c>
      <c r="AG266" s="272">
        <f t="shared" si="82"/>
        <v>10.864188953956932</v>
      </c>
      <c r="AH266" s="272">
        <f t="shared" si="95"/>
        <v>20</v>
      </c>
      <c r="AI266" s="272">
        <f t="shared" si="83"/>
        <v>10.864188953956932</v>
      </c>
      <c r="AJ266" s="272">
        <f t="shared" si="96"/>
        <v>20</v>
      </c>
      <c r="AK266" s="272">
        <f t="shared" si="84"/>
        <v>10.864188953956932</v>
      </c>
      <c r="AL266" s="272">
        <f t="shared" si="97"/>
        <v>20</v>
      </c>
      <c r="AM266" s="272">
        <f t="shared" si="85"/>
        <v>10.864188953956932</v>
      </c>
      <c r="AN266" s="272">
        <f t="shared" si="98"/>
        <v>20</v>
      </c>
      <c r="AO266" s="272">
        <f t="shared" si="86"/>
        <v>10.864188953956932</v>
      </c>
      <c r="AP266" s="272">
        <f t="shared" si="99"/>
        <v>20</v>
      </c>
      <c r="AQ266" s="272">
        <f t="shared" si="87"/>
        <v>10.864188953956932</v>
      </c>
      <c r="AR266" s="272">
        <f t="shared" si="100"/>
        <v>20</v>
      </c>
      <c r="AS266" s="508">
        <f t="shared" si="88"/>
        <v>10.864188953956932</v>
      </c>
    </row>
    <row r="267" spans="1:45" ht="12.75" customHeight="1">
      <c r="A267" s="96">
        <f>IF(MAX($F$104:F267)=$G$99,$G$99,F267)</f>
        <v>1.4596685963634095E-6</v>
      </c>
      <c r="B267" s="481">
        <v>164</v>
      </c>
      <c r="C267" s="96">
        <f t="shared" si="107"/>
        <v>0.24600000000000019</v>
      </c>
      <c r="D267" s="96">
        <f t="shared" si="101"/>
        <v>37.64855907005866</v>
      </c>
      <c r="E267" s="96">
        <f t="shared" si="102"/>
        <v>0.99999999494125935</v>
      </c>
      <c r="F267" s="96">
        <f t="shared" si="103"/>
        <v>1.4596685963634095E-6</v>
      </c>
      <c r="G267" s="96">
        <f t="shared" si="106"/>
        <v>-0.29799854033140361</v>
      </c>
      <c r="I267" s="96">
        <f t="shared" si="104"/>
        <v>0</v>
      </c>
      <c r="J267" s="96">
        <f t="shared" si="105"/>
        <v>0.24600000000000019</v>
      </c>
      <c r="X267" s="96">
        <f t="shared" si="89"/>
        <v>11</v>
      </c>
      <c r="Y267" s="96">
        <v>0.88999999999998602</v>
      </c>
      <c r="Z267" s="272">
        <f t="shared" si="91"/>
        <v>11</v>
      </c>
      <c r="AA267" s="519">
        <f t="shared" si="92"/>
        <v>9.6994289122440271</v>
      </c>
      <c r="AB267" s="516">
        <f t="shared" si="90"/>
        <v>18</v>
      </c>
      <c r="AC267" s="272">
        <f t="shared" si="80"/>
        <v>11.144737798179699</v>
      </c>
      <c r="AD267" s="272">
        <f t="shared" si="93"/>
        <v>20</v>
      </c>
      <c r="AE267" s="272">
        <f t="shared" si="81"/>
        <v>10.986601384728385</v>
      </c>
      <c r="AF267" s="272">
        <f t="shared" si="94"/>
        <v>20</v>
      </c>
      <c r="AG267" s="272">
        <f t="shared" si="82"/>
        <v>10.986601384728385</v>
      </c>
      <c r="AH267" s="272">
        <f t="shared" si="95"/>
        <v>20</v>
      </c>
      <c r="AI267" s="272">
        <f t="shared" si="83"/>
        <v>10.986601384728385</v>
      </c>
      <c r="AJ267" s="272">
        <f t="shared" si="96"/>
        <v>20</v>
      </c>
      <c r="AK267" s="272">
        <f t="shared" si="84"/>
        <v>10.986601384728385</v>
      </c>
      <c r="AL267" s="272">
        <f t="shared" si="97"/>
        <v>20</v>
      </c>
      <c r="AM267" s="272">
        <f t="shared" si="85"/>
        <v>10.986601384728385</v>
      </c>
      <c r="AN267" s="272">
        <f t="shared" si="98"/>
        <v>20</v>
      </c>
      <c r="AO267" s="272">
        <f t="shared" si="86"/>
        <v>10.986601384728385</v>
      </c>
      <c r="AP267" s="272">
        <f t="shared" si="99"/>
        <v>20</v>
      </c>
      <c r="AQ267" s="272">
        <f t="shared" si="87"/>
        <v>10.986601384728385</v>
      </c>
      <c r="AR267" s="272">
        <f t="shared" si="100"/>
        <v>20</v>
      </c>
      <c r="AS267" s="508">
        <f t="shared" si="88"/>
        <v>10.986601384728385</v>
      </c>
    </row>
    <row r="268" spans="1:45" ht="12.75" customHeight="1">
      <c r="A268" s="96">
        <f>IF(MAX($F$104:F268)=$G$99,$G$99,F268)</f>
        <v>2.0897162452312062E-6</v>
      </c>
      <c r="B268" s="481">
        <v>165</v>
      </c>
      <c r="C268" s="96">
        <f t="shared" si="107"/>
        <v>0.24750000000000019</v>
      </c>
      <c r="D268" s="96">
        <f t="shared" si="101"/>
        <v>38.109087622038487</v>
      </c>
      <c r="E268" s="96">
        <f t="shared" si="102"/>
        <v>0.99999999265695094</v>
      </c>
      <c r="F268" s="96">
        <f t="shared" si="103"/>
        <v>2.0897162452312062E-6</v>
      </c>
      <c r="G268" s="96">
        <f t="shared" si="106"/>
        <v>-0.29799791028375477</v>
      </c>
      <c r="I268" s="96">
        <f t="shared" si="104"/>
        <v>0</v>
      </c>
      <c r="J268" s="96">
        <f t="shared" si="105"/>
        <v>0.24750000000000019</v>
      </c>
      <c r="X268" s="96">
        <f t="shared" si="89"/>
        <v>12</v>
      </c>
      <c r="Y268" s="517">
        <v>0.88499999999998602</v>
      </c>
      <c r="Z268" s="272">
        <f t="shared" si="91"/>
        <v>12</v>
      </c>
      <c r="AA268" s="519">
        <f t="shared" si="92"/>
        <v>9.8093365781078194</v>
      </c>
      <c r="AB268" s="516">
        <f t="shared" si="90"/>
        <v>18</v>
      </c>
      <c r="AC268" s="272">
        <f t="shared" si="80"/>
        <v>11.271022771155343</v>
      </c>
      <c r="AD268" s="272">
        <f t="shared" si="93"/>
        <v>20</v>
      </c>
      <c r="AE268" s="272">
        <f t="shared" si="81"/>
        <v>11.111094457969747</v>
      </c>
      <c r="AF268" s="272">
        <f t="shared" si="94"/>
        <v>22</v>
      </c>
      <c r="AG268" s="272">
        <f t="shared" si="82"/>
        <v>10.982666441973796</v>
      </c>
      <c r="AH268" s="272">
        <f t="shared" si="95"/>
        <v>20</v>
      </c>
      <c r="AI268" s="272">
        <f t="shared" si="83"/>
        <v>11.111094457969747</v>
      </c>
      <c r="AJ268" s="272">
        <f t="shared" si="96"/>
        <v>22</v>
      </c>
      <c r="AK268" s="272">
        <f t="shared" si="84"/>
        <v>10.982666441973796</v>
      </c>
      <c r="AL268" s="272">
        <f t="shared" si="97"/>
        <v>20</v>
      </c>
      <c r="AM268" s="272">
        <f t="shared" si="85"/>
        <v>11.111094457969747</v>
      </c>
      <c r="AN268" s="272">
        <f t="shared" si="98"/>
        <v>22</v>
      </c>
      <c r="AO268" s="272">
        <f t="shared" si="86"/>
        <v>10.982666441973796</v>
      </c>
      <c r="AP268" s="272">
        <f t="shared" si="99"/>
        <v>20</v>
      </c>
      <c r="AQ268" s="272">
        <f t="shared" si="87"/>
        <v>11.111094457969747</v>
      </c>
      <c r="AR268" s="272">
        <f t="shared" si="100"/>
        <v>22</v>
      </c>
      <c r="AS268" s="508">
        <f t="shared" si="88"/>
        <v>10.982666441973796</v>
      </c>
    </row>
    <row r="269" spans="1:45" ht="12.75" customHeight="1">
      <c r="A269" s="96">
        <f>IF(MAX($F$104:F269)=$G$99,$G$99,F269)</f>
        <v>2.97694421410218E-6</v>
      </c>
      <c r="B269" s="96">
        <v>166</v>
      </c>
      <c r="C269" s="96">
        <f t="shared" si="107"/>
        <v>0.24900000000000019</v>
      </c>
      <c r="D269" s="96">
        <f t="shared" si="101"/>
        <v>38.572415739683841</v>
      </c>
      <c r="E269" s="96">
        <f t="shared" si="102"/>
        <v>0.99999998939334012</v>
      </c>
      <c r="F269" s="96">
        <f t="shared" si="103"/>
        <v>2.97694421410218E-6</v>
      </c>
      <c r="G269" s="96">
        <f t="shared" si="106"/>
        <v>-0.2979970230557859</v>
      </c>
      <c r="I269" s="96">
        <f t="shared" si="104"/>
        <v>0</v>
      </c>
      <c r="J269" s="96">
        <f t="shared" si="105"/>
        <v>0.24900000000000019</v>
      </c>
      <c r="X269" s="96">
        <f t="shared" si="89"/>
        <v>12</v>
      </c>
      <c r="Y269" s="96">
        <v>0.87999999999998602</v>
      </c>
      <c r="Z269" s="272">
        <f t="shared" si="91"/>
        <v>12</v>
      </c>
      <c r="AA269" s="519">
        <f t="shared" si="92"/>
        <v>9.9211229873301896</v>
      </c>
      <c r="AB269" s="516">
        <f t="shared" si="90"/>
        <v>18</v>
      </c>
      <c r="AC269" s="272">
        <f t="shared" si="80"/>
        <v>11.399466438453183</v>
      </c>
      <c r="AD269" s="272">
        <f t="shared" si="93"/>
        <v>20</v>
      </c>
      <c r="AE269" s="272">
        <f t="shared" si="81"/>
        <v>11.237715595097308</v>
      </c>
      <c r="AF269" s="272">
        <f t="shared" si="94"/>
        <v>22</v>
      </c>
      <c r="AG269" s="272">
        <f t="shared" si="82"/>
        <v>11.107824023779607</v>
      </c>
      <c r="AH269" s="272">
        <f t="shared" si="95"/>
        <v>22</v>
      </c>
      <c r="AI269" s="272">
        <f t="shared" si="83"/>
        <v>11.107824023779607</v>
      </c>
      <c r="AJ269" s="272">
        <f t="shared" si="96"/>
        <v>22</v>
      </c>
      <c r="AK269" s="272">
        <f t="shared" si="84"/>
        <v>11.107824023779607</v>
      </c>
      <c r="AL269" s="272">
        <f t="shared" si="97"/>
        <v>22</v>
      </c>
      <c r="AM269" s="272">
        <f t="shared" si="85"/>
        <v>11.107824023779607</v>
      </c>
      <c r="AN269" s="272">
        <f t="shared" si="98"/>
        <v>22</v>
      </c>
      <c r="AO269" s="272">
        <f t="shared" si="86"/>
        <v>11.107824023779607</v>
      </c>
      <c r="AP269" s="272">
        <f t="shared" si="99"/>
        <v>22</v>
      </c>
      <c r="AQ269" s="272">
        <f t="shared" si="87"/>
        <v>11.107824023779607</v>
      </c>
      <c r="AR269" s="272">
        <f t="shared" si="100"/>
        <v>22</v>
      </c>
      <c r="AS269" s="508">
        <f t="shared" si="88"/>
        <v>11.107824023779607</v>
      </c>
    </row>
    <row r="270" spans="1:45" ht="12.75" customHeight="1">
      <c r="A270" s="96">
        <f>IF(MAX($F$104:F270)=$G$99,$G$99,F270)</f>
        <v>4.220101219587491E-6</v>
      </c>
      <c r="B270" s="481">
        <v>167</v>
      </c>
      <c r="C270" s="96">
        <f t="shared" si="107"/>
        <v>0.25050000000000017</v>
      </c>
      <c r="D270" s="96">
        <f t="shared" si="101"/>
        <v>39.038543422994714</v>
      </c>
      <c r="E270" s="96">
        <f t="shared" si="102"/>
        <v>0.99999998475355922</v>
      </c>
      <c r="F270" s="96">
        <f t="shared" si="103"/>
        <v>4.220101219587491E-6</v>
      </c>
      <c r="G270" s="96">
        <f t="shared" si="106"/>
        <v>-0.2979957798987804</v>
      </c>
      <c r="I270" s="96">
        <f t="shared" si="104"/>
        <v>0</v>
      </c>
      <c r="J270" s="96">
        <f t="shared" si="105"/>
        <v>0.25050000000000017</v>
      </c>
      <c r="X270" s="96">
        <f t="shared" si="89"/>
        <v>12</v>
      </c>
      <c r="Y270" s="517">
        <v>0.87499999999998601</v>
      </c>
      <c r="Z270" s="272">
        <f t="shared" si="91"/>
        <v>12</v>
      </c>
      <c r="AA270" s="519">
        <f t="shared" si="92"/>
        <v>10.034831205078858</v>
      </c>
      <c r="AB270" s="516">
        <f t="shared" si="90"/>
        <v>20</v>
      </c>
      <c r="AC270" s="272">
        <f t="shared" si="80"/>
        <v>11.366513576285202</v>
      </c>
      <c r="AD270" s="272">
        <f t="shared" si="93"/>
        <v>22</v>
      </c>
      <c r="AE270" s="272">
        <f t="shared" si="81"/>
        <v>11.235133288509292</v>
      </c>
      <c r="AF270" s="272">
        <f t="shared" si="94"/>
        <v>22</v>
      </c>
      <c r="AG270" s="272">
        <f t="shared" si="82"/>
        <v>11.235133288509292</v>
      </c>
      <c r="AH270" s="272">
        <f t="shared" si="95"/>
        <v>22</v>
      </c>
      <c r="AI270" s="272">
        <f t="shared" si="83"/>
        <v>11.235133288509292</v>
      </c>
      <c r="AJ270" s="272">
        <f t="shared" si="96"/>
        <v>22</v>
      </c>
      <c r="AK270" s="272">
        <f t="shared" si="84"/>
        <v>11.235133288509292</v>
      </c>
      <c r="AL270" s="272">
        <f t="shared" si="97"/>
        <v>22</v>
      </c>
      <c r="AM270" s="272">
        <f t="shared" si="85"/>
        <v>11.235133288509292</v>
      </c>
      <c r="AN270" s="272">
        <f t="shared" si="98"/>
        <v>22</v>
      </c>
      <c r="AO270" s="272">
        <f t="shared" si="86"/>
        <v>11.235133288509292</v>
      </c>
      <c r="AP270" s="272">
        <f t="shared" si="99"/>
        <v>22</v>
      </c>
      <c r="AQ270" s="272">
        <f t="shared" si="87"/>
        <v>11.235133288509292</v>
      </c>
      <c r="AR270" s="272">
        <f t="shared" si="100"/>
        <v>22</v>
      </c>
      <c r="AS270" s="508">
        <f t="shared" si="88"/>
        <v>11.235133288509292</v>
      </c>
    </row>
    <row r="271" spans="1:45" ht="12.75" customHeight="1">
      <c r="A271" s="96">
        <f>IF(MAX($F$104:F271)=$G$99,$G$99,F271)</f>
        <v>5.953358630887232E-6</v>
      </c>
      <c r="B271" s="481">
        <v>168</v>
      </c>
      <c r="C271" s="96">
        <f t="shared" si="107"/>
        <v>0.25200000000000017</v>
      </c>
      <c r="D271" s="96">
        <f t="shared" si="101"/>
        <v>39.507470671971134</v>
      </c>
      <c r="E271" s="96">
        <f t="shared" si="102"/>
        <v>0.99999997818953157</v>
      </c>
      <c r="F271" s="96">
        <f t="shared" si="103"/>
        <v>5.953358630887232E-6</v>
      </c>
      <c r="G271" s="96">
        <f t="shared" si="106"/>
        <v>-0.29799404664136908</v>
      </c>
      <c r="I271" s="96">
        <f t="shared" si="104"/>
        <v>0</v>
      </c>
      <c r="J271" s="96">
        <f t="shared" si="105"/>
        <v>0.25200000000000017</v>
      </c>
      <c r="X271" s="96">
        <f t="shared" si="89"/>
        <v>12</v>
      </c>
      <c r="Y271" s="96">
        <v>0.86999999999998601</v>
      </c>
      <c r="Z271" s="272">
        <f t="shared" si="91"/>
        <v>12</v>
      </c>
      <c r="AA271" s="519">
        <f t="shared" si="92"/>
        <v>10.150505537572334</v>
      </c>
      <c r="AB271" s="516">
        <f t="shared" si="90"/>
        <v>20</v>
      </c>
      <c r="AC271" s="272">
        <f t="shared" si="80"/>
        <v>11.497538587453244</v>
      </c>
      <c r="AD271" s="272">
        <f t="shared" si="93"/>
        <v>22</v>
      </c>
      <c r="AE271" s="272">
        <f t="shared" si="81"/>
        <v>11.364643842006776</v>
      </c>
      <c r="AF271" s="272">
        <f t="shared" si="94"/>
        <v>22</v>
      </c>
      <c r="AG271" s="272">
        <f t="shared" si="82"/>
        <v>11.364643842006776</v>
      </c>
      <c r="AH271" s="272">
        <f t="shared" si="95"/>
        <v>22</v>
      </c>
      <c r="AI271" s="272">
        <f t="shared" si="83"/>
        <v>11.364643842006776</v>
      </c>
      <c r="AJ271" s="272">
        <f t="shared" si="96"/>
        <v>22</v>
      </c>
      <c r="AK271" s="272">
        <f t="shared" si="84"/>
        <v>11.364643842006776</v>
      </c>
      <c r="AL271" s="272">
        <f t="shared" si="97"/>
        <v>22</v>
      </c>
      <c r="AM271" s="272">
        <f t="shared" si="85"/>
        <v>11.364643842006776</v>
      </c>
      <c r="AN271" s="272">
        <f t="shared" si="98"/>
        <v>22</v>
      </c>
      <c r="AO271" s="272">
        <f t="shared" si="86"/>
        <v>11.364643842006776</v>
      </c>
      <c r="AP271" s="272">
        <f t="shared" si="99"/>
        <v>22</v>
      </c>
      <c r="AQ271" s="272">
        <f t="shared" si="87"/>
        <v>11.364643842006776</v>
      </c>
      <c r="AR271" s="272">
        <f t="shared" si="100"/>
        <v>22</v>
      </c>
      <c r="AS271" s="508">
        <f t="shared" si="88"/>
        <v>11.364643842006776</v>
      </c>
    </row>
    <row r="272" spans="1:45" ht="12.75" customHeight="1">
      <c r="A272" s="96">
        <f>IF(MAX($F$104:F272)=$G$99,$G$99,F272)</f>
        <v>8.3580679222095E-6</v>
      </c>
      <c r="B272" s="96">
        <v>169</v>
      </c>
      <c r="C272" s="96">
        <f t="shared" si="107"/>
        <v>0.25350000000000017</v>
      </c>
      <c r="D272" s="96">
        <f t="shared" si="101"/>
        <v>39.979197486613074</v>
      </c>
      <c r="E272" s="96">
        <f t="shared" si="102"/>
        <v>0.99999996894818233</v>
      </c>
      <c r="F272" s="96">
        <f t="shared" si="103"/>
        <v>8.3580679222095E-6</v>
      </c>
      <c r="G272" s="96">
        <f t="shared" si="106"/>
        <v>-0.29799164193207778</v>
      </c>
      <c r="I272" s="96">
        <f t="shared" si="104"/>
        <v>0</v>
      </c>
      <c r="J272" s="96">
        <f t="shared" si="105"/>
        <v>0.25350000000000017</v>
      </c>
      <c r="X272" s="96">
        <f t="shared" si="89"/>
        <v>12</v>
      </c>
      <c r="Y272" s="517">
        <v>0.864999999999985</v>
      </c>
      <c r="Z272" s="272">
        <f t="shared" si="91"/>
        <v>12</v>
      </c>
      <c r="AA272" s="519">
        <f t="shared" si="92"/>
        <v>10.268191575246112</v>
      </c>
      <c r="AB272" s="516">
        <f t="shared" si="90"/>
        <v>20</v>
      </c>
      <c r="AC272" s="272">
        <f t="shared" si="80"/>
        <v>11.630842269161526</v>
      </c>
      <c r="AD272" s="272">
        <f t="shared" si="93"/>
        <v>22</v>
      </c>
      <c r="AE272" s="272">
        <f t="shared" si="81"/>
        <v>11.496406727942732</v>
      </c>
      <c r="AF272" s="272">
        <f t="shared" si="94"/>
        <v>22</v>
      </c>
      <c r="AG272" s="272">
        <f t="shared" si="82"/>
        <v>11.496406727942732</v>
      </c>
      <c r="AH272" s="272">
        <f t="shared" si="95"/>
        <v>22</v>
      </c>
      <c r="AI272" s="272">
        <f t="shared" si="83"/>
        <v>11.496406727942732</v>
      </c>
      <c r="AJ272" s="272">
        <f t="shared" si="96"/>
        <v>22</v>
      </c>
      <c r="AK272" s="272">
        <f t="shared" si="84"/>
        <v>11.496406727942732</v>
      </c>
      <c r="AL272" s="272">
        <f t="shared" si="97"/>
        <v>22</v>
      </c>
      <c r="AM272" s="272">
        <f t="shared" si="85"/>
        <v>11.496406727942732</v>
      </c>
      <c r="AN272" s="272">
        <f t="shared" si="98"/>
        <v>22</v>
      </c>
      <c r="AO272" s="272">
        <f t="shared" si="86"/>
        <v>11.496406727942732</v>
      </c>
      <c r="AP272" s="272">
        <f t="shared" si="99"/>
        <v>22</v>
      </c>
      <c r="AQ272" s="272">
        <f t="shared" si="87"/>
        <v>11.496406727942732</v>
      </c>
      <c r="AR272" s="272">
        <f t="shared" si="100"/>
        <v>22</v>
      </c>
      <c r="AS272" s="508">
        <f t="shared" si="88"/>
        <v>11.496406727942732</v>
      </c>
    </row>
    <row r="273" spans="1:45" ht="12.75" customHeight="1">
      <c r="A273" s="96">
        <f>IF(MAX($F$104:F273)=$G$99,$G$99,F273)</f>
        <v>1.1678093180256255E-5</v>
      </c>
      <c r="B273" s="481">
        <v>170</v>
      </c>
      <c r="C273" s="96">
        <f t="shared" si="107"/>
        <v>0.25500000000000017</v>
      </c>
      <c r="D273" s="96">
        <f t="shared" si="101"/>
        <v>40.453723866920548</v>
      </c>
      <c r="E273" s="96">
        <f t="shared" si="102"/>
        <v>0.99999995599997071</v>
      </c>
      <c r="F273" s="96">
        <f t="shared" si="103"/>
        <v>1.1678093180256255E-5</v>
      </c>
      <c r="G273" s="96">
        <f t="shared" si="106"/>
        <v>-0.29798832190681973</v>
      </c>
      <c r="I273" s="96">
        <f t="shared" si="104"/>
        <v>0</v>
      </c>
      <c r="J273" s="96">
        <f t="shared" si="105"/>
        <v>0.25500000000000017</v>
      </c>
      <c r="X273" s="96">
        <f t="shared" si="89"/>
        <v>12</v>
      </c>
      <c r="Y273" s="96">
        <v>0.859999999999985</v>
      </c>
      <c r="Z273" s="272">
        <f t="shared" si="91"/>
        <v>12</v>
      </c>
      <c r="AA273" s="519">
        <f t="shared" si="92"/>
        <v>10.387936237680531</v>
      </c>
      <c r="AB273" s="516">
        <f t="shared" si="90"/>
        <v>20</v>
      </c>
      <c r="AC273" s="272">
        <f t="shared" ref="AC273:AC336" si="108">MAX(2*(TINV(1-$C$80/100,AB273)/$Y273)^2,$C$79)</f>
        <v>11.766477767500518</v>
      </c>
      <c r="AD273" s="272">
        <f t="shared" si="93"/>
        <v>22</v>
      </c>
      <c r="AE273" s="272">
        <f t="shared" ref="AE273:AE336" si="109">MAX(2*(TINV(1-$C$80/100,AD273)/$Y273)^2,$C$79)</f>
        <v>11.630474478116488</v>
      </c>
      <c r="AF273" s="272">
        <f t="shared" si="94"/>
        <v>22</v>
      </c>
      <c r="AG273" s="272">
        <f t="shared" ref="AG273:AG336" si="110">MAX(2*(TINV(1-$C$80/100,AF273)/$Y273)^2,$C$79)</f>
        <v>11.630474478116488</v>
      </c>
      <c r="AH273" s="272">
        <f t="shared" si="95"/>
        <v>22</v>
      </c>
      <c r="AI273" s="272">
        <f t="shared" ref="AI273:AI336" si="111">MAX(2*(TINV(1-$C$80/100,AH273)/$Y273)^2,$C$79)</f>
        <v>11.630474478116488</v>
      </c>
      <c r="AJ273" s="272">
        <f t="shared" si="96"/>
        <v>22</v>
      </c>
      <c r="AK273" s="272">
        <f t="shared" ref="AK273:AK336" si="112">MAX(2*(TINV(1-$C$80/100,AJ273)/$Y273)^2,$C$79)</f>
        <v>11.630474478116488</v>
      </c>
      <c r="AL273" s="272">
        <f t="shared" si="97"/>
        <v>22</v>
      </c>
      <c r="AM273" s="272">
        <f t="shared" ref="AM273:AM336" si="113">MAX(2*(TINV(1-$C$80/100,AL273)/$Y273)^2,$C$79)</f>
        <v>11.630474478116488</v>
      </c>
      <c r="AN273" s="272">
        <f t="shared" si="98"/>
        <v>22</v>
      </c>
      <c r="AO273" s="272">
        <f t="shared" ref="AO273:AO336" si="114">MAX(2*(TINV(1-$C$80/100,AN273)/$Y273)^2,$C$79)</f>
        <v>11.630474478116488</v>
      </c>
      <c r="AP273" s="272">
        <f t="shared" si="99"/>
        <v>22</v>
      </c>
      <c r="AQ273" s="272">
        <f t="shared" ref="AQ273:AQ336" si="115">MAX(2*(TINV(1-$C$80/100,AP273)/$Y273)^2,$C$79)</f>
        <v>11.630474478116488</v>
      </c>
      <c r="AR273" s="272">
        <f t="shared" si="100"/>
        <v>22</v>
      </c>
      <c r="AS273" s="508">
        <f t="shared" ref="AS273:AS336" si="116">MAX(2*(TINV(1-$C$80/100,AR273)/$Y273)^2,$C$79)</f>
        <v>11.630474478116488</v>
      </c>
    </row>
    <row r="274" spans="1:45" ht="12.75" customHeight="1">
      <c r="A274" s="96">
        <f>IF(MAX($F$104:F274)=$G$99,$G$99,F274)</f>
        <v>1.6239678733616831E-5</v>
      </c>
      <c r="B274" s="481">
        <v>171</v>
      </c>
      <c r="C274" s="96">
        <f t="shared" si="107"/>
        <v>0.25650000000000017</v>
      </c>
      <c r="D274" s="96">
        <f t="shared" si="101"/>
        <v>40.931049812893562</v>
      </c>
      <c r="E274" s="96">
        <f t="shared" si="102"/>
        <v>0.99999993794439512</v>
      </c>
      <c r="F274" s="96">
        <f t="shared" si="103"/>
        <v>1.6239678733616831E-5</v>
      </c>
      <c r="G274" s="96">
        <f t="shared" si="106"/>
        <v>-0.29798376032126639</v>
      </c>
      <c r="I274" s="96">
        <f t="shared" si="104"/>
        <v>0</v>
      </c>
      <c r="J274" s="96">
        <f t="shared" si="105"/>
        <v>0.25650000000000017</v>
      </c>
      <c r="X274" s="96">
        <f t="shared" ref="X274:X337" si="117">Z274</f>
        <v>12</v>
      </c>
      <c r="Y274" s="517">
        <v>0.85499999999998499</v>
      </c>
      <c r="Z274" s="272">
        <f t="shared" si="91"/>
        <v>12</v>
      </c>
      <c r="AA274" s="519">
        <f t="shared" si="92"/>
        <v>10.509787820373482</v>
      </c>
      <c r="AB274" s="516">
        <f t="shared" ref="AB274:AB337" si="118">2*ROUNDUP(AA274,0)-2</f>
        <v>20</v>
      </c>
      <c r="AC274" s="272">
        <f t="shared" si="108"/>
        <v>11.904499787070737</v>
      </c>
      <c r="AD274" s="272">
        <f t="shared" si="93"/>
        <v>22</v>
      </c>
      <c r="AE274" s="272">
        <f t="shared" si="109"/>
        <v>11.766901164823302</v>
      </c>
      <c r="AF274" s="272">
        <f t="shared" si="94"/>
        <v>22</v>
      </c>
      <c r="AG274" s="272">
        <f t="shared" si="110"/>
        <v>11.766901164823302</v>
      </c>
      <c r="AH274" s="272">
        <f t="shared" si="95"/>
        <v>22</v>
      </c>
      <c r="AI274" s="272">
        <f t="shared" si="111"/>
        <v>11.766901164823302</v>
      </c>
      <c r="AJ274" s="272">
        <f t="shared" si="96"/>
        <v>22</v>
      </c>
      <c r="AK274" s="272">
        <f t="shared" si="112"/>
        <v>11.766901164823302</v>
      </c>
      <c r="AL274" s="272">
        <f t="shared" si="97"/>
        <v>22</v>
      </c>
      <c r="AM274" s="272">
        <f t="shared" si="113"/>
        <v>11.766901164823302</v>
      </c>
      <c r="AN274" s="272">
        <f t="shared" si="98"/>
        <v>22</v>
      </c>
      <c r="AO274" s="272">
        <f t="shared" si="114"/>
        <v>11.766901164823302</v>
      </c>
      <c r="AP274" s="272">
        <f t="shared" si="99"/>
        <v>22</v>
      </c>
      <c r="AQ274" s="272">
        <f t="shared" si="115"/>
        <v>11.766901164823302</v>
      </c>
      <c r="AR274" s="272">
        <f t="shared" si="100"/>
        <v>22</v>
      </c>
      <c r="AS274" s="508">
        <f t="shared" si="116"/>
        <v>11.766901164823302</v>
      </c>
    </row>
    <row r="275" spans="1:45" ht="12.75" customHeight="1">
      <c r="A275" s="96">
        <f>IF(MAX($F$104:F275)=$G$99,$G$99,F275)</f>
        <v>2.2477046655774064E-5</v>
      </c>
      <c r="B275" s="96">
        <v>172</v>
      </c>
      <c r="C275" s="96">
        <f t="shared" si="107"/>
        <v>0.25800000000000017</v>
      </c>
      <c r="D275" s="96">
        <f t="shared" si="101"/>
        <v>41.411175324532103</v>
      </c>
      <c r="E275" s="96">
        <f t="shared" si="102"/>
        <v>0.99999991288577939</v>
      </c>
      <c r="F275" s="96">
        <f t="shared" si="103"/>
        <v>2.2477046655774064E-5</v>
      </c>
      <c r="G275" s="96">
        <f t="shared" si="106"/>
        <v>-0.29797752295334423</v>
      </c>
      <c r="I275" s="96">
        <f t="shared" si="104"/>
        <v>0</v>
      </c>
      <c r="J275" s="96">
        <f t="shared" si="105"/>
        <v>0.25800000000000017</v>
      </c>
      <c r="X275" s="96">
        <f t="shared" si="117"/>
        <v>12</v>
      </c>
      <c r="Y275" s="96">
        <v>0.84999999999998499</v>
      </c>
      <c r="Z275" s="272">
        <f t="shared" ref="Z275:Z338" si="119">(2+MAX(AP275,AR275))/2</f>
        <v>12</v>
      </c>
      <c r="AA275" s="519">
        <f t="shared" ref="AA275:AA338" si="120">MAX(2*($C$83/Y275)^2,$C$79)</f>
        <v>10.633796043444324</v>
      </c>
      <c r="AB275" s="516">
        <f t="shared" si="118"/>
        <v>20</v>
      </c>
      <c r="AC275" s="272">
        <f t="shared" si="108"/>
        <v>12.044964646150014</v>
      </c>
      <c r="AD275" s="272">
        <f t="shared" ref="AD275:AD338" si="121">MAX(MIN(2*ROUNDUP(AC275,0)-2,AB275+2),AB275-2)</f>
        <v>22</v>
      </c>
      <c r="AE275" s="272">
        <f t="shared" si="109"/>
        <v>11.905742455384026</v>
      </c>
      <c r="AF275" s="272">
        <f t="shared" ref="AF275:AF338" si="122">MAX(MIN(2*ROUNDUP(AE275,0)-2,AD275+2),AD275-2)</f>
        <v>22</v>
      </c>
      <c r="AG275" s="272">
        <f t="shared" si="110"/>
        <v>11.905742455384026</v>
      </c>
      <c r="AH275" s="272">
        <f t="shared" ref="AH275:AH338" si="123">MAX(MIN(2*ROUNDUP(AG275,0)-2,AF275+2),AF275-2)</f>
        <v>22</v>
      </c>
      <c r="AI275" s="272">
        <f t="shared" si="111"/>
        <v>11.905742455384026</v>
      </c>
      <c r="AJ275" s="272">
        <f t="shared" ref="AJ275:AJ338" si="124">MAX(MIN(2*ROUNDUP(AI275,0)-2,AH275+2),AH275-2)</f>
        <v>22</v>
      </c>
      <c r="AK275" s="272">
        <f t="shared" si="112"/>
        <v>11.905742455384026</v>
      </c>
      <c r="AL275" s="272">
        <f t="shared" ref="AL275:AL338" si="125">MAX(MIN(2*ROUNDUP(AK275,0)-2,AJ275+2),AJ275-2)</f>
        <v>22</v>
      </c>
      <c r="AM275" s="272">
        <f t="shared" si="113"/>
        <v>11.905742455384026</v>
      </c>
      <c r="AN275" s="272">
        <f t="shared" ref="AN275:AN338" si="126">MAX(MIN(2*ROUNDUP(AM275,0)-2,AL275+2),AL275-2)</f>
        <v>22</v>
      </c>
      <c r="AO275" s="272">
        <f t="shared" si="114"/>
        <v>11.905742455384026</v>
      </c>
      <c r="AP275" s="272">
        <f t="shared" ref="AP275:AP338" si="127">MAX(MIN(2*ROUNDUP(AO275,0)-2,AN275+2),AN275-2)</f>
        <v>22</v>
      </c>
      <c r="AQ275" s="272">
        <f t="shared" si="115"/>
        <v>11.905742455384026</v>
      </c>
      <c r="AR275" s="272">
        <f t="shared" ref="AR275:AR338" si="128">MAX(MIN(2*ROUNDUP(AQ275,0)-2,AP275+2),AP275-2)</f>
        <v>22</v>
      </c>
      <c r="AS275" s="508">
        <f t="shared" si="116"/>
        <v>11.905742455384026</v>
      </c>
    </row>
    <row r="276" spans="1:45" ht="12.75" customHeight="1">
      <c r="A276" s="96">
        <f>IF(MAX($F$104:F276)=$G$99,$G$99,F276)</f>
        <v>3.096520606038488E-5</v>
      </c>
      <c r="B276" s="481">
        <v>173</v>
      </c>
      <c r="C276" s="96">
        <f t="shared" si="107"/>
        <v>0.25950000000000017</v>
      </c>
      <c r="D276" s="96">
        <f t="shared" si="101"/>
        <v>41.894100401836162</v>
      </c>
      <c r="E276" s="96">
        <f t="shared" si="102"/>
        <v>0.99999987827081993</v>
      </c>
      <c r="F276" s="96">
        <f t="shared" si="103"/>
        <v>3.096520606038488E-5</v>
      </c>
      <c r="G276" s="96">
        <f t="shared" si="106"/>
        <v>-0.2979690347939396</v>
      </c>
      <c r="I276" s="96">
        <f t="shared" si="104"/>
        <v>0</v>
      </c>
      <c r="J276" s="96">
        <f t="shared" si="105"/>
        <v>0.25950000000000017</v>
      </c>
      <c r="X276" s="96">
        <f t="shared" si="117"/>
        <v>13</v>
      </c>
      <c r="Y276" s="517">
        <v>0.84499999999998499</v>
      </c>
      <c r="Z276" s="272">
        <f t="shared" si="119"/>
        <v>13</v>
      </c>
      <c r="AA276" s="519">
        <f t="shared" si="120"/>
        <v>10.7600121023613</v>
      </c>
      <c r="AB276" s="516">
        <f t="shared" si="118"/>
        <v>20</v>
      </c>
      <c r="AC276" s="272">
        <f t="shared" si="108"/>
        <v>12.187930334152709</v>
      </c>
      <c r="AD276" s="272">
        <f t="shared" si="121"/>
        <v>22</v>
      </c>
      <c r="AE276" s="272">
        <f t="shared" si="109"/>
        <v>12.047055668940107</v>
      </c>
      <c r="AF276" s="272">
        <f t="shared" si="122"/>
        <v>24</v>
      </c>
      <c r="AG276" s="272">
        <f t="shared" si="110"/>
        <v>11.931451177820897</v>
      </c>
      <c r="AH276" s="272">
        <f t="shared" si="123"/>
        <v>22</v>
      </c>
      <c r="AI276" s="272">
        <f t="shared" si="111"/>
        <v>12.047055668940107</v>
      </c>
      <c r="AJ276" s="272">
        <f t="shared" si="124"/>
        <v>24</v>
      </c>
      <c r="AK276" s="272">
        <f t="shared" si="112"/>
        <v>11.931451177820897</v>
      </c>
      <c r="AL276" s="272">
        <f t="shared" si="125"/>
        <v>22</v>
      </c>
      <c r="AM276" s="272">
        <f t="shared" si="113"/>
        <v>12.047055668940107</v>
      </c>
      <c r="AN276" s="272">
        <f t="shared" si="126"/>
        <v>24</v>
      </c>
      <c r="AO276" s="272">
        <f t="shared" si="114"/>
        <v>11.931451177820897</v>
      </c>
      <c r="AP276" s="272">
        <f t="shared" si="127"/>
        <v>22</v>
      </c>
      <c r="AQ276" s="272">
        <f t="shared" si="115"/>
        <v>12.047055668940107</v>
      </c>
      <c r="AR276" s="272">
        <f t="shared" si="128"/>
        <v>24</v>
      </c>
      <c r="AS276" s="508">
        <f t="shared" si="116"/>
        <v>11.931451177820897</v>
      </c>
    </row>
    <row r="277" spans="1:45" ht="12.75" customHeight="1">
      <c r="A277" s="96">
        <f>IF(MAX($F$104:F277)=$G$99,$G$99,F277)</f>
        <v>4.2461753729054287E-5</v>
      </c>
      <c r="B277" s="481">
        <v>174</v>
      </c>
      <c r="C277" s="96">
        <f t="shared" si="107"/>
        <v>0.26100000000000018</v>
      </c>
      <c r="D277" s="96">
        <f t="shared" si="101"/>
        <v>42.37982504480577</v>
      </c>
      <c r="E277" s="96">
        <f t="shared" si="102"/>
        <v>0.99999983067726772</v>
      </c>
      <c r="F277" s="96">
        <f t="shared" si="103"/>
        <v>4.2461753729054287E-5</v>
      </c>
      <c r="G277" s="96">
        <f t="shared" si="106"/>
        <v>-0.29795753824627091</v>
      </c>
      <c r="I277" s="96">
        <f t="shared" si="104"/>
        <v>0</v>
      </c>
      <c r="J277" s="96">
        <f t="shared" si="105"/>
        <v>0.26100000000000018</v>
      </c>
      <c r="X277" s="96">
        <f t="shared" si="117"/>
        <v>13</v>
      </c>
      <c r="Y277" s="96">
        <v>0.83999999999998498</v>
      </c>
      <c r="Z277" s="272">
        <f t="shared" si="119"/>
        <v>13</v>
      </c>
      <c r="AA277" s="519">
        <f t="shared" si="120"/>
        <v>10.888488720788729</v>
      </c>
      <c r="AB277" s="516">
        <f t="shared" si="118"/>
        <v>20</v>
      </c>
      <c r="AC277" s="272">
        <f t="shared" si="108"/>
        <v>12.333456571490068</v>
      </c>
      <c r="AD277" s="272">
        <f t="shared" si="121"/>
        <v>22</v>
      </c>
      <c r="AE277" s="272">
        <f t="shared" si="109"/>
        <v>12.190899835622112</v>
      </c>
      <c r="AF277" s="272">
        <f t="shared" si="122"/>
        <v>24</v>
      </c>
      <c r="AG277" s="272">
        <f t="shared" si="110"/>
        <v>12.073915004596897</v>
      </c>
      <c r="AH277" s="272">
        <f t="shared" si="123"/>
        <v>24</v>
      </c>
      <c r="AI277" s="272">
        <f t="shared" si="111"/>
        <v>12.073915004596897</v>
      </c>
      <c r="AJ277" s="272">
        <f t="shared" si="124"/>
        <v>24</v>
      </c>
      <c r="AK277" s="272">
        <f t="shared" si="112"/>
        <v>12.073915004596897</v>
      </c>
      <c r="AL277" s="272">
        <f t="shared" si="125"/>
        <v>24</v>
      </c>
      <c r="AM277" s="272">
        <f t="shared" si="113"/>
        <v>12.073915004596897</v>
      </c>
      <c r="AN277" s="272">
        <f t="shared" si="126"/>
        <v>24</v>
      </c>
      <c r="AO277" s="272">
        <f t="shared" si="114"/>
        <v>12.073915004596897</v>
      </c>
      <c r="AP277" s="272">
        <f t="shared" si="127"/>
        <v>24</v>
      </c>
      <c r="AQ277" s="272">
        <f t="shared" si="115"/>
        <v>12.073915004596897</v>
      </c>
      <c r="AR277" s="272">
        <f t="shared" si="128"/>
        <v>24</v>
      </c>
      <c r="AS277" s="508">
        <f t="shared" si="116"/>
        <v>12.073915004596897</v>
      </c>
    </row>
    <row r="278" spans="1:45" ht="12.75" customHeight="1">
      <c r="A278" s="96">
        <f>IF(MAX($F$104:F278)=$G$99,$G$99,F278)</f>
        <v>5.7959847068467234E-5</v>
      </c>
      <c r="B278" s="96">
        <v>175</v>
      </c>
      <c r="C278" s="96">
        <f t="shared" si="107"/>
        <v>0.26250000000000018</v>
      </c>
      <c r="D278" s="96">
        <f t="shared" si="101"/>
        <v>42.868349253440897</v>
      </c>
      <c r="E278" s="96">
        <f t="shared" si="102"/>
        <v>0.9999997655405003</v>
      </c>
      <c r="F278" s="96">
        <f t="shared" si="103"/>
        <v>5.7959847068467234E-5</v>
      </c>
      <c r="G278" s="96">
        <f t="shared" si="106"/>
        <v>-0.29794204015293152</v>
      </c>
      <c r="I278" s="96">
        <f t="shared" si="104"/>
        <v>0</v>
      </c>
      <c r="J278" s="96">
        <f t="shared" si="105"/>
        <v>0.26250000000000018</v>
      </c>
      <c r="X278" s="96">
        <f t="shared" si="117"/>
        <v>13</v>
      </c>
      <c r="Y278" s="517">
        <v>0.83499999999998498</v>
      </c>
      <c r="Z278" s="272">
        <f t="shared" si="119"/>
        <v>13</v>
      </c>
      <c r="AA278" s="519">
        <f t="shared" si="120"/>
        <v>11.019280205656038</v>
      </c>
      <c r="AB278" s="516">
        <f t="shared" si="118"/>
        <v>22</v>
      </c>
      <c r="AC278" s="272">
        <f t="shared" si="108"/>
        <v>12.337335758205692</v>
      </c>
      <c r="AD278" s="272">
        <f t="shared" si="121"/>
        <v>24</v>
      </c>
      <c r="AE278" s="272">
        <f t="shared" si="109"/>
        <v>12.218945716581551</v>
      </c>
      <c r="AF278" s="272">
        <f t="shared" si="122"/>
        <v>24</v>
      </c>
      <c r="AG278" s="272">
        <f t="shared" si="110"/>
        <v>12.218945716581551</v>
      </c>
      <c r="AH278" s="272">
        <f t="shared" si="123"/>
        <v>24</v>
      </c>
      <c r="AI278" s="272">
        <f t="shared" si="111"/>
        <v>12.218945716581551</v>
      </c>
      <c r="AJ278" s="272">
        <f t="shared" si="124"/>
        <v>24</v>
      </c>
      <c r="AK278" s="272">
        <f t="shared" si="112"/>
        <v>12.218945716581551</v>
      </c>
      <c r="AL278" s="272">
        <f t="shared" si="125"/>
        <v>24</v>
      </c>
      <c r="AM278" s="272">
        <f t="shared" si="113"/>
        <v>12.218945716581551</v>
      </c>
      <c r="AN278" s="272">
        <f t="shared" si="126"/>
        <v>24</v>
      </c>
      <c r="AO278" s="272">
        <f t="shared" si="114"/>
        <v>12.218945716581551</v>
      </c>
      <c r="AP278" s="272">
        <f t="shared" si="127"/>
        <v>24</v>
      </c>
      <c r="AQ278" s="272">
        <f t="shared" si="115"/>
        <v>12.218945716581551</v>
      </c>
      <c r="AR278" s="272">
        <f t="shared" si="128"/>
        <v>24</v>
      </c>
      <c r="AS278" s="508">
        <f t="shared" si="116"/>
        <v>12.218945716581551</v>
      </c>
    </row>
    <row r="279" spans="1:45" ht="12.75" customHeight="1">
      <c r="A279" s="96">
        <f>IF(MAX($F$104:F279)=$G$99,$G$99,F279)</f>
        <v>7.8754881208305719E-5</v>
      </c>
      <c r="B279" s="481">
        <v>176</v>
      </c>
      <c r="C279" s="96">
        <f t="shared" si="107"/>
        <v>0.26400000000000018</v>
      </c>
      <c r="D279" s="96">
        <f t="shared" si="101"/>
        <v>43.359673027741557</v>
      </c>
      <c r="E279" s="96">
        <f t="shared" si="102"/>
        <v>0.99999967680156754</v>
      </c>
      <c r="F279" s="96">
        <f t="shared" si="103"/>
        <v>7.8754881208305719E-5</v>
      </c>
      <c r="G279" s="96">
        <f t="shared" si="106"/>
        <v>-0.2979212451187917</v>
      </c>
      <c r="I279" s="96">
        <f t="shared" si="104"/>
        <v>0</v>
      </c>
      <c r="J279" s="96">
        <f t="shared" si="105"/>
        <v>0.26400000000000018</v>
      </c>
      <c r="X279" s="96">
        <f t="shared" si="117"/>
        <v>13</v>
      </c>
      <c r="Y279" s="96">
        <v>0.82999999999998497</v>
      </c>
      <c r="Z279" s="272">
        <f t="shared" si="119"/>
        <v>13</v>
      </c>
      <c r="AA279" s="519">
        <f t="shared" si="120"/>
        <v>11.152442504555859</v>
      </c>
      <c r="AB279" s="516">
        <f t="shared" si="118"/>
        <v>22</v>
      </c>
      <c r="AC279" s="272">
        <f t="shared" si="108"/>
        <v>12.486426076375329</v>
      </c>
      <c r="AD279" s="272">
        <f t="shared" si="121"/>
        <v>24</v>
      </c>
      <c r="AE279" s="272">
        <f t="shared" si="109"/>
        <v>12.36660535236402</v>
      </c>
      <c r="AF279" s="272">
        <f t="shared" si="122"/>
        <v>24</v>
      </c>
      <c r="AG279" s="272">
        <f t="shared" si="110"/>
        <v>12.36660535236402</v>
      </c>
      <c r="AH279" s="272">
        <f t="shared" si="123"/>
        <v>24</v>
      </c>
      <c r="AI279" s="272">
        <f t="shared" si="111"/>
        <v>12.36660535236402</v>
      </c>
      <c r="AJ279" s="272">
        <f t="shared" si="124"/>
        <v>24</v>
      </c>
      <c r="AK279" s="272">
        <f t="shared" si="112"/>
        <v>12.36660535236402</v>
      </c>
      <c r="AL279" s="272">
        <f t="shared" si="125"/>
        <v>24</v>
      </c>
      <c r="AM279" s="272">
        <f t="shared" si="113"/>
        <v>12.36660535236402</v>
      </c>
      <c r="AN279" s="272">
        <f t="shared" si="126"/>
        <v>24</v>
      </c>
      <c r="AO279" s="272">
        <f t="shared" si="114"/>
        <v>12.36660535236402</v>
      </c>
      <c r="AP279" s="272">
        <f t="shared" si="127"/>
        <v>24</v>
      </c>
      <c r="AQ279" s="272">
        <f t="shared" si="115"/>
        <v>12.36660535236402</v>
      </c>
      <c r="AR279" s="272">
        <f t="shared" si="128"/>
        <v>24</v>
      </c>
      <c r="AS279" s="508">
        <f t="shared" si="116"/>
        <v>12.36660535236402</v>
      </c>
    </row>
    <row r="280" spans="1:45" ht="12.75" customHeight="1">
      <c r="A280" s="96">
        <f>IF(MAX($F$104:F280)=$G$99,$G$99,F280)</f>
        <v>1.0652810376414003E-4</v>
      </c>
      <c r="B280" s="481">
        <v>177</v>
      </c>
      <c r="C280" s="96">
        <f t="shared" si="107"/>
        <v>0.26550000000000018</v>
      </c>
      <c r="D280" s="96">
        <f t="shared" si="101"/>
        <v>43.853796367707751</v>
      </c>
      <c r="E280" s="96">
        <f t="shared" si="102"/>
        <v>0.99999955645674488</v>
      </c>
      <c r="F280" s="96">
        <f t="shared" si="103"/>
        <v>1.0652810376414003E-4</v>
      </c>
      <c r="G280" s="96">
        <f t="shared" si="106"/>
        <v>-0.29789347189623583</v>
      </c>
      <c r="I280" s="96">
        <f t="shared" si="104"/>
        <v>0</v>
      </c>
      <c r="J280" s="96">
        <f t="shared" si="105"/>
        <v>0.26550000000000018</v>
      </c>
      <c r="X280" s="96">
        <f t="shared" si="117"/>
        <v>13</v>
      </c>
      <c r="Y280" s="517">
        <v>0.82499999999998497</v>
      </c>
      <c r="Z280" s="272">
        <f t="shared" si="119"/>
        <v>13</v>
      </c>
      <c r="AA280" s="519">
        <f t="shared" si="120"/>
        <v>11.288033265584623</v>
      </c>
      <c r="AB280" s="516">
        <f t="shared" si="118"/>
        <v>22</v>
      </c>
      <c r="AC280" s="272">
        <f t="shared" si="108"/>
        <v>12.638235333722633</v>
      </c>
      <c r="AD280" s="272">
        <f t="shared" si="121"/>
        <v>24</v>
      </c>
      <c r="AE280" s="272">
        <f t="shared" si="109"/>
        <v>12.516957836170542</v>
      </c>
      <c r="AF280" s="272">
        <f t="shared" si="122"/>
        <v>24</v>
      </c>
      <c r="AG280" s="272">
        <f t="shared" si="110"/>
        <v>12.516957836170542</v>
      </c>
      <c r="AH280" s="272">
        <f t="shared" si="123"/>
        <v>24</v>
      </c>
      <c r="AI280" s="272">
        <f t="shared" si="111"/>
        <v>12.516957836170542</v>
      </c>
      <c r="AJ280" s="272">
        <f t="shared" si="124"/>
        <v>24</v>
      </c>
      <c r="AK280" s="272">
        <f t="shared" si="112"/>
        <v>12.516957836170542</v>
      </c>
      <c r="AL280" s="272">
        <f t="shared" si="125"/>
        <v>24</v>
      </c>
      <c r="AM280" s="272">
        <f t="shared" si="113"/>
        <v>12.516957836170542</v>
      </c>
      <c r="AN280" s="272">
        <f t="shared" si="126"/>
        <v>24</v>
      </c>
      <c r="AO280" s="272">
        <f t="shared" si="114"/>
        <v>12.516957836170542</v>
      </c>
      <c r="AP280" s="272">
        <f t="shared" si="127"/>
        <v>24</v>
      </c>
      <c r="AQ280" s="272">
        <f t="shared" si="115"/>
        <v>12.516957836170542</v>
      </c>
      <c r="AR280" s="272">
        <f t="shared" si="128"/>
        <v>24</v>
      </c>
      <c r="AS280" s="508">
        <f t="shared" si="116"/>
        <v>12.516957836170542</v>
      </c>
    </row>
    <row r="281" spans="1:45" ht="12.75" customHeight="1">
      <c r="A281" s="96">
        <f>IF(MAX($F$104:F281)=$G$99,$G$99,F281)</f>
        <v>1.4345070928382478E-4</v>
      </c>
      <c r="B281" s="96">
        <v>178</v>
      </c>
      <c r="C281" s="96">
        <f t="shared" si="107"/>
        <v>0.26700000000000018</v>
      </c>
      <c r="D281" s="96">
        <f t="shared" si="101"/>
        <v>44.350719273339479</v>
      </c>
      <c r="E281" s="96">
        <f t="shared" si="102"/>
        <v>0.99999939398359294</v>
      </c>
      <c r="F281" s="96">
        <f t="shared" si="103"/>
        <v>1.4345070928382478E-4</v>
      </c>
      <c r="G281" s="96">
        <f t="shared" si="106"/>
        <v>-0.29785654929071614</v>
      </c>
      <c r="I281" s="96">
        <f t="shared" si="104"/>
        <v>0</v>
      </c>
      <c r="J281" s="96">
        <f t="shared" si="105"/>
        <v>0.26700000000000018</v>
      </c>
      <c r="X281" s="96">
        <f t="shared" si="117"/>
        <v>13</v>
      </c>
      <c r="Y281" s="96">
        <v>0.81999999999998396</v>
      </c>
      <c r="Z281" s="272">
        <f t="shared" si="119"/>
        <v>13</v>
      </c>
      <c r="AA281" s="519">
        <f t="shared" si="120"/>
        <v>11.426111899745026</v>
      </c>
      <c r="AB281" s="516">
        <f t="shared" si="118"/>
        <v>22</v>
      </c>
      <c r="AC281" s="272">
        <f t="shared" si="108"/>
        <v>12.792830047613014</v>
      </c>
      <c r="AD281" s="272">
        <f t="shared" si="121"/>
        <v>24</v>
      </c>
      <c r="AE281" s="272">
        <f t="shared" si="109"/>
        <v>12.670069047060675</v>
      </c>
      <c r="AF281" s="272">
        <f t="shared" si="122"/>
        <v>24</v>
      </c>
      <c r="AG281" s="272">
        <f t="shared" si="110"/>
        <v>12.670069047060675</v>
      </c>
      <c r="AH281" s="272">
        <f t="shared" si="123"/>
        <v>24</v>
      </c>
      <c r="AI281" s="272">
        <f t="shared" si="111"/>
        <v>12.670069047060675</v>
      </c>
      <c r="AJ281" s="272">
        <f t="shared" si="124"/>
        <v>24</v>
      </c>
      <c r="AK281" s="272">
        <f t="shared" si="112"/>
        <v>12.670069047060675</v>
      </c>
      <c r="AL281" s="272">
        <f t="shared" si="125"/>
        <v>24</v>
      </c>
      <c r="AM281" s="272">
        <f t="shared" si="113"/>
        <v>12.670069047060675</v>
      </c>
      <c r="AN281" s="272">
        <f t="shared" si="126"/>
        <v>24</v>
      </c>
      <c r="AO281" s="272">
        <f t="shared" si="114"/>
        <v>12.670069047060675</v>
      </c>
      <c r="AP281" s="272">
        <f t="shared" si="127"/>
        <v>24</v>
      </c>
      <c r="AQ281" s="272">
        <f t="shared" si="115"/>
        <v>12.670069047060675</v>
      </c>
      <c r="AR281" s="272">
        <f t="shared" si="128"/>
        <v>24</v>
      </c>
      <c r="AS281" s="508">
        <f t="shared" si="116"/>
        <v>12.670069047060675</v>
      </c>
    </row>
    <row r="282" spans="1:45" ht="12.75" customHeight="1">
      <c r="A282" s="96">
        <f>IF(MAX($F$104:F282)=$G$99,$G$99,F282)</f>
        <v>1.9231268328701034E-4</v>
      </c>
      <c r="B282" s="481">
        <v>179</v>
      </c>
      <c r="C282" s="96">
        <f t="shared" si="107"/>
        <v>0.26850000000000018</v>
      </c>
      <c r="D282" s="96">
        <f t="shared" si="101"/>
        <v>44.850441744636726</v>
      </c>
      <c r="E282" s="96">
        <f t="shared" si="102"/>
        <v>0.99999917561415386</v>
      </c>
      <c r="F282" s="96">
        <f t="shared" si="103"/>
        <v>1.9231268328701034E-4</v>
      </c>
      <c r="G282" s="96">
        <f t="shared" si="106"/>
        <v>-0.29780768731671298</v>
      </c>
      <c r="I282" s="96">
        <f t="shared" si="104"/>
        <v>0</v>
      </c>
      <c r="J282" s="96">
        <f t="shared" si="105"/>
        <v>0.26850000000000018</v>
      </c>
      <c r="X282" s="96">
        <f t="shared" si="117"/>
        <v>13</v>
      </c>
      <c r="Y282" s="517">
        <v>0.81499999999998396</v>
      </c>
      <c r="Z282" s="272">
        <f t="shared" si="119"/>
        <v>13</v>
      </c>
      <c r="AA282" s="519">
        <f t="shared" si="120"/>
        <v>11.56673964603644</v>
      </c>
      <c r="AB282" s="516">
        <f t="shared" si="118"/>
        <v>22</v>
      </c>
      <c r="AC282" s="272">
        <f t="shared" si="108"/>
        <v>12.950278782061789</v>
      </c>
      <c r="AD282" s="272">
        <f t="shared" si="121"/>
        <v>24</v>
      </c>
      <c r="AE282" s="272">
        <f t="shared" si="109"/>
        <v>12.826006891104067</v>
      </c>
      <c r="AF282" s="272">
        <f t="shared" si="122"/>
        <v>24</v>
      </c>
      <c r="AG282" s="272">
        <f t="shared" si="110"/>
        <v>12.826006891104067</v>
      </c>
      <c r="AH282" s="272">
        <f t="shared" si="123"/>
        <v>24</v>
      </c>
      <c r="AI282" s="272">
        <f t="shared" si="111"/>
        <v>12.826006891104067</v>
      </c>
      <c r="AJ282" s="272">
        <f t="shared" si="124"/>
        <v>24</v>
      </c>
      <c r="AK282" s="272">
        <f t="shared" si="112"/>
        <v>12.826006891104067</v>
      </c>
      <c r="AL282" s="272">
        <f t="shared" si="125"/>
        <v>24</v>
      </c>
      <c r="AM282" s="272">
        <f t="shared" si="113"/>
        <v>12.826006891104067</v>
      </c>
      <c r="AN282" s="272">
        <f t="shared" si="126"/>
        <v>24</v>
      </c>
      <c r="AO282" s="272">
        <f t="shared" si="114"/>
        <v>12.826006891104067</v>
      </c>
      <c r="AP282" s="272">
        <f t="shared" si="127"/>
        <v>24</v>
      </c>
      <c r="AQ282" s="272">
        <f t="shared" si="115"/>
        <v>12.826006891104067</v>
      </c>
      <c r="AR282" s="272">
        <f t="shared" si="128"/>
        <v>24</v>
      </c>
      <c r="AS282" s="508">
        <f t="shared" si="116"/>
        <v>12.826006891104067</v>
      </c>
    </row>
    <row r="283" spans="1:45" ht="12.75" customHeight="1">
      <c r="A283" s="96">
        <f>IF(MAX($F$104:F283)=$G$99,$G$99,F283)</f>
        <v>2.5668152279186468E-4</v>
      </c>
      <c r="B283" s="481">
        <v>180</v>
      </c>
      <c r="C283" s="96">
        <f t="shared" si="107"/>
        <v>0.27000000000000018</v>
      </c>
      <c r="D283" s="96">
        <f t="shared" si="101"/>
        <v>45.352963781599513</v>
      </c>
      <c r="E283" s="96">
        <f t="shared" si="102"/>
        <v>0.99999888341894705</v>
      </c>
      <c r="F283" s="96">
        <f t="shared" si="103"/>
        <v>2.5668152279186468E-4</v>
      </c>
      <c r="G283" s="96">
        <f t="shared" si="106"/>
        <v>-0.29774331847720814</v>
      </c>
      <c r="I283" s="96">
        <f t="shared" si="104"/>
        <v>0</v>
      </c>
      <c r="J283" s="96">
        <f t="shared" si="105"/>
        <v>0.27000000000000018</v>
      </c>
      <c r="X283" s="96">
        <f t="shared" si="117"/>
        <v>13</v>
      </c>
      <c r="Y283" s="96">
        <v>0.80999999999998396</v>
      </c>
      <c r="Z283" s="272">
        <f t="shared" si="119"/>
        <v>13</v>
      </c>
      <c r="AA283" s="519">
        <f t="shared" si="120"/>
        <v>11.7099796393668</v>
      </c>
      <c r="AB283" s="516">
        <f t="shared" si="118"/>
        <v>22</v>
      </c>
      <c r="AC283" s="272">
        <f t="shared" si="108"/>
        <v>13.110652223769236</v>
      </c>
      <c r="AD283" s="272">
        <f t="shared" si="121"/>
        <v>24</v>
      </c>
      <c r="AE283" s="272">
        <f t="shared" si="109"/>
        <v>12.984841376685875</v>
      </c>
      <c r="AF283" s="272">
        <f t="shared" si="122"/>
        <v>24</v>
      </c>
      <c r="AG283" s="272">
        <f t="shared" si="110"/>
        <v>12.984841376685875</v>
      </c>
      <c r="AH283" s="272">
        <f t="shared" si="123"/>
        <v>24</v>
      </c>
      <c r="AI283" s="272">
        <f t="shared" si="111"/>
        <v>12.984841376685875</v>
      </c>
      <c r="AJ283" s="272">
        <f t="shared" si="124"/>
        <v>24</v>
      </c>
      <c r="AK283" s="272">
        <f t="shared" si="112"/>
        <v>12.984841376685875</v>
      </c>
      <c r="AL283" s="272">
        <f t="shared" si="125"/>
        <v>24</v>
      </c>
      <c r="AM283" s="272">
        <f t="shared" si="113"/>
        <v>12.984841376685875</v>
      </c>
      <c r="AN283" s="272">
        <f t="shared" si="126"/>
        <v>24</v>
      </c>
      <c r="AO283" s="272">
        <f t="shared" si="114"/>
        <v>12.984841376685875</v>
      </c>
      <c r="AP283" s="272">
        <f t="shared" si="127"/>
        <v>24</v>
      </c>
      <c r="AQ283" s="272">
        <f t="shared" si="115"/>
        <v>12.984841376685875</v>
      </c>
      <c r="AR283" s="272">
        <f t="shared" si="128"/>
        <v>24</v>
      </c>
      <c r="AS283" s="508">
        <f t="shared" si="116"/>
        <v>12.984841376685875</v>
      </c>
    </row>
    <row r="284" spans="1:45" ht="12.75" customHeight="1">
      <c r="A284" s="96">
        <f>IF(MAX($F$104:F284)=$G$99,$G$99,F284)</f>
        <v>3.4109646814939326E-4</v>
      </c>
      <c r="B284" s="96">
        <v>181</v>
      </c>
      <c r="C284" s="96">
        <f t="shared" si="107"/>
        <v>0.27150000000000019</v>
      </c>
      <c r="D284" s="96">
        <f t="shared" si="101"/>
        <v>45.858285384227827</v>
      </c>
      <c r="E284" s="96">
        <f t="shared" si="102"/>
        <v>0.99999849415878361</v>
      </c>
      <c r="F284" s="96">
        <f t="shared" si="103"/>
        <v>3.4109646814939326E-4</v>
      </c>
      <c r="G284" s="96">
        <f t="shared" si="106"/>
        <v>-0.29765890353185059</v>
      </c>
      <c r="I284" s="96">
        <f t="shared" si="104"/>
        <v>0</v>
      </c>
      <c r="J284" s="96">
        <f t="shared" si="105"/>
        <v>0.27150000000000019</v>
      </c>
      <c r="X284" s="96">
        <f t="shared" si="117"/>
        <v>14</v>
      </c>
      <c r="Y284" s="517">
        <v>0.80499999999998395</v>
      </c>
      <c r="Z284" s="272">
        <f t="shared" si="119"/>
        <v>14</v>
      </c>
      <c r="AA284" s="519">
        <f t="shared" si="120"/>
        <v>11.855896981425964</v>
      </c>
      <c r="AB284" s="516">
        <f t="shared" si="118"/>
        <v>22</v>
      </c>
      <c r="AC284" s="272">
        <f t="shared" si="108"/>
        <v>13.27402326147139</v>
      </c>
      <c r="AD284" s="272">
        <f t="shared" si="121"/>
        <v>24</v>
      </c>
      <c r="AE284" s="272">
        <f t="shared" si="109"/>
        <v>13.146644693096107</v>
      </c>
      <c r="AF284" s="272">
        <f t="shared" si="122"/>
        <v>26</v>
      </c>
      <c r="AG284" s="272">
        <f t="shared" si="110"/>
        <v>13.040241318590265</v>
      </c>
      <c r="AH284" s="272">
        <f t="shared" si="123"/>
        <v>26</v>
      </c>
      <c r="AI284" s="272">
        <f t="shared" si="111"/>
        <v>13.040241318590265</v>
      </c>
      <c r="AJ284" s="272">
        <f t="shared" si="124"/>
        <v>26</v>
      </c>
      <c r="AK284" s="272">
        <f t="shared" si="112"/>
        <v>13.040241318590265</v>
      </c>
      <c r="AL284" s="272">
        <f t="shared" si="125"/>
        <v>26</v>
      </c>
      <c r="AM284" s="272">
        <f t="shared" si="113"/>
        <v>13.040241318590265</v>
      </c>
      <c r="AN284" s="272">
        <f t="shared" si="126"/>
        <v>26</v>
      </c>
      <c r="AO284" s="272">
        <f t="shared" si="114"/>
        <v>13.040241318590265</v>
      </c>
      <c r="AP284" s="272">
        <f t="shared" si="127"/>
        <v>26</v>
      </c>
      <c r="AQ284" s="272">
        <f t="shared" si="115"/>
        <v>13.040241318590265</v>
      </c>
      <c r="AR284" s="272">
        <f t="shared" si="128"/>
        <v>26</v>
      </c>
      <c r="AS284" s="508">
        <f t="shared" si="116"/>
        <v>13.040241318590265</v>
      </c>
    </row>
    <row r="285" spans="1:45" ht="12.75" customHeight="1">
      <c r="A285" s="96">
        <f>IF(MAX($F$104:F285)=$G$99,$G$99,F285)</f>
        <v>4.5130498848244821E-4</v>
      </c>
      <c r="B285" s="481">
        <v>182</v>
      </c>
      <c r="C285" s="96">
        <f t="shared" si="107"/>
        <v>0.27300000000000019</v>
      </c>
      <c r="D285" s="96">
        <f t="shared" si="101"/>
        <v>46.366406552521667</v>
      </c>
      <c r="E285" s="96">
        <f t="shared" si="102"/>
        <v>0.9999979778531024</v>
      </c>
      <c r="F285" s="96">
        <f t="shared" si="103"/>
        <v>4.5130498848244821E-4</v>
      </c>
      <c r="G285" s="96">
        <f t="shared" si="106"/>
        <v>-0.29754869501151754</v>
      </c>
      <c r="I285" s="96">
        <f t="shared" si="104"/>
        <v>0</v>
      </c>
      <c r="J285" s="96">
        <f t="shared" si="105"/>
        <v>0.27300000000000019</v>
      </c>
      <c r="X285" s="96">
        <f t="shared" si="117"/>
        <v>14</v>
      </c>
      <c r="Y285" s="96">
        <v>0.79999999999998395</v>
      </c>
      <c r="Z285" s="272">
        <f t="shared" si="119"/>
        <v>14</v>
      </c>
      <c r="AA285" s="519">
        <f t="shared" si="120"/>
        <v>12.004558814669627</v>
      </c>
      <c r="AB285" s="516">
        <f t="shared" si="118"/>
        <v>24</v>
      </c>
      <c r="AC285" s="272">
        <f t="shared" si="108"/>
        <v>13.311491292568137</v>
      </c>
      <c r="AD285" s="272">
        <f t="shared" si="121"/>
        <v>26</v>
      </c>
      <c r="AE285" s="272">
        <f t="shared" si="109"/>
        <v>13.203753719499158</v>
      </c>
      <c r="AF285" s="272">
        <f t="shared" si="122"/>
        <v>26</v>
      </c>
      <c r="AG285" s="272">
        <f t="shared" si="110"/>
        <v>13.203753719499158</v>
      </c>
      <c r="AH285" s="272">
        <f t="shared" si="123"/>
        <v>26</v>
      </c>
      <c r="AI285" s="272">
        <f t="shared" si="111"/>
        <v>13.203753719499158</v>
      </c>
      <c r="AJ285" s="272">
        <f t="shared" si="124"/>
        <v>26</v>
      </c>
      <c r="AK285" s="272">
        <f t="shared" si="112"/>
        <v>13.203753719499158</v>
      </c>
      <c r="AL285" s="272">
        <f t="shared" si="125"/>
        <v>26</v>
      </c>
      <c r="AM285" s="272">
        <f t="shared" si="113"/>
        <v>13.203753719499158</v>
      </c>
      <c r="AN285" s="272">
        <f t="shared" si="126"/>
        <v>26</v>
      </c>
      <c r="AO285" s="272">
        <f t="shared" si="114"/>
        <v>13.203753719499158</v>
      </c>
      <c r="AP285" s="272">
        <f t="shared" si="127"/>
        <v>26</v>
      </c>
      <c r="AQ285" s="272">
        <f t="shared" si="115"/>
        <v>13.203753719499158</v>
      </c>
      <c r="AR285" s="272">
        <f t="shared" si="128"/>
        <v>26</v>
      </c>
      <c r="AS285" s="508">
        <f t="shared" si="116"/>
        <v>13.203753719499158</v>
      </c>
    </row>
    <row r="286" spans="1:45" ht="12.75" customHeight="1">
      <c r="A286" s="96">
        <f>IF(MAX($F$104:F286)=$G$99,$G$99,F286)</f>
        <v>5.9454830789766133E-4</v>
      </c>
      <c r="B286" s="481">
        <v>183</v>
      </c>
      <c r="C286" s="96">
        <f t="shared" si="107"/>
        <v>0.27450000000000019</v>
      </c>
      <c r="D286" s="96">
        <f t="shared" si="101"/>
        <v>46.877327286481055</v>
      </c>
      <c r="E286" s="96">
        <f t="shared" si="102"/>
        <v>0.99999729600394693</v>
      </c>
      <c r="F286" s="96">
        <f t="shared" si="103"/>
        <v>5.9454830789766133E-4</v>
      </c>
      <c r="G286" s="96">
        <f t="shared" si="106"/>
        <v>-0.29740545169210231</v>
      </c>
      <c r="I286" s="96">
        <f t="shared" si="104"/>
        <v>0</v>
      </c>
      <c r="J286" s="96">
        <f t="shared" si="105"/>
        <v>0.27450000000000019</v>
      </c>
      <c r="X286" s="96">
        <f t="shared" si="117"/>
        <v>14</v>
      </c>
      <c r="Y286" s="517">
        <v>0.79499999999998405</v>
      </c>
      <c r="Z286" s="272">
        <f t="shared" si="119"/>
        <v>14</v>
      </c>
      <c r="AA286" s="519">
        <f t="shared" si="120"/>
        <v>12.156034399570528</v>
      </c>
      <c r="AB286" s="516">
        <f t="shared" si="118"/>
        <v>24</v>
      </c>
      <c r="AC286" s="272">
        <f t="shared" si="108"/>
        <v>13.479457975940203</v>
      </c>
      <c r="AD286" s="272">
        <f t="shared" si="121"/>
        <v>26</v>
      </c>
      <c r="AE286" s="272">
        <f t="shared" si="109"/>
        <v>13.370360951670358</v>
      </c>
      <c r="AF286" s="272">
        <f t="shared" si="122"/>
        <v>26</v>
      </c>
      <c r="AG286" s="272">
        <f t="shared" si="110"/>
        <v>13.370360951670358</v>
      </c>
      <c r="AH286" s="272">
        <f t="shared" si="123"/>
        <v>26</v>
      </c>
      <c r="AI286" s="272">
        <f t="shared" si="111"/>
        <v>13.370360951670358</v>
      </c>
      <c r="AJ286" s="272">
        <f t="shared" si="124"/>
        <v>26</v>
      </c>
      <c r="AK286" s="272">
        <f t="shared" si="112"/>
        <v>13.370360951670358</v>
      </c>
      <c r="AL286" s="272">
        <f t="shared" si="125"/>
        <v>26</v>
      </c>
      <c r="AM286" s="272">
        <f t="shared" si="113"/>
        <v>13.370360951670358</v>
      </c>
      <c r="AN286" s="272">
        <f t="shared" si="126"/>
        <v>26</v>
      </c>
      <c r="AO286" s="272">
        <f t="shared" si="114"/>
        <v>13.370360951670358</v>
      </c>
      <c r="AP286" s="272">
        <f t="shared" si="127"/>
        <v>26</v>
      </c>
      <c r="AQ286" s="272">
        <f t="shared" si="115"/>
        <v>13.370360951670358</v>
      </c>
      <c r="AR286" s="272">
        <f t="shared" si="128"/>
        <v>26</v>
      </c>
      <c r="AS286" s="508">
        <f t="shared" si="116"/>
        <v>13.370360951670358</v>
      </c>
    </row>
    <row r="287" spans="1:45" ht="12.75" customHeight="1">
      <c r="A287" s="96">
        <f>IF(MAX($F$104:F287)=$G$99,$G$99,F287)</f>
        <v>7.7990566643556147E-4</v>
      </c>
      <c r="B287" s="96">
        <v>184</v>
      </c>
      <c r="C287" s="96">
        <f t="shared" si="107"/>
        <v>0.27600000000000019</v>
      </c>
      <c r="D287" s="96">
        <f t="shared" si="101"/>
        <v>47.391047586105962</v>
      </c>
      <c r="E287" s="96">
        <f t="shared" si="102"/>
        <v>0.99999639940626728</v>
      </c>
      <c r="F287" s="96">
        <f t="shared" si="103"/>
        <v>7.7990566643556147E-4</v>
      </c>
      <c r="G287" s="96">
        <f t="shared" si="106"/>
        <v>-0.29722009433356444</v>
      </c>
      <c r="I287" s="96">
        <f t="shared" si="104"/>
        <v>0</v>
      </c>
      <c r="J287" s="96">
        <f t="shared" si="105"/>
        <v>0.27600000000000019</v>
      </c>
      <c r="X287" s="96">
        <f t="shared" si="117"/>
        <v>14</v>
      </c>
      <c r="Y287" s="96">
        <v>0.78999999999998405</v>
      </c>
      <c r="Z287" s="272">
        <f t="shared" si="119"/>
        <v>14</v>
      </c>
      <c r="AA287" s="519">
        <f t="shared" si="120"/>
        <v>12.310395195302938</v>
      </c>
      <c r="AB287" s="516">
        <f t="shared" si="118"/>
        <v>24</v>
      </c>
      <c r="AC287" s="272">
        <f t="shared" si="108"/>
        <v>13.650623982124033</v>
      </c>
      <c r="AD287" s="272">
        <f t="shared" si="121"/>
        <v>26</v>
      </c>
      <c r="AE287" s="272">
        <f t="shared" si="109"/>
        <v>13.540141612689411</v>
      </c>
      <c r="AF287" s="272">
        <f t="shared" si="122"/>
        <v>26</v>
      </c>
      <c r="AG287" s="272">
        <f t="shared" si="110"/>
        <v>13.540141612689411</v>
      </c>
      <c r="AH287" s="272">
        <f t="shared" si="123"/>
        <v>26</v>
      </c>
      <c r="AI287" s="272">
        <f t="shared" si="111"/>
        <v>13.540141612689411</v>
      </c>
      <c r="AJ287" s="272">
        <f t="shared" si="124"/>
        <v>26</v>
      </c>
      <c r="AK287" s="272">
        <f t="shared" si="112"/>
        <v>13.540141612689411</v>
      </c>
      <c r="AL287" s="272">
        <f t="shared" si="125"/>
        <v>26</v>
      </c>
      <c r="AM287" s="272">
        <f t="shared" si="113"/>
        <v>13.540141612689411</v>
      </c>
      <c r="AN287" s="272">
        <f t="shared" si="126"/>
        <v>26</v>
      </c>
      <c r="AO287" s="272">
        <f t="shared" si="114"/>
        <v>13.540141612689411</v>
      </c>
      <c r="AP287" s="272">
        <f t="shared" si="127"/>
        <v>26</v>
      </c>
      <c r="AQ287" s="272">
        <f t="shared" si="115"/>
        <v>13.540141612689411</v>
      </c>
      <c r="AR287" s="272">
        <f t="shared" si="128"/>
        <v>26</v>
      </c>
      <c r="AS287" s="508">
        <f t="shared" si="116"/>
        <v>13.540141612689411</v>
      </c>
    </row>
    <row r="288" spans="1:45" ht="12.75" customHeight="1">
      <c r="A288" s="96">
        <f>IF(MAX($F$104:F288)=$G$99,$G$99,F288)</f>
        <v>1.0187053765065013E-3</v>
      </c>
      <c r="B288" s="481">
        <v>185</v>
      </c>
      <c r="C288" s="96">
        <f t="shared" si="107"/>
        <v>0.27750000000000019</v>
      </c>
      <c r="D288" s="96">
        <f t="shared" si="101"/>
        <v>47.907567451396403</v>
      </c>
      <c r="E288" s="96">
        <f t="shared" si="102"/>
        <v>0.99999522545792985</v>
      </c>
      <c r="F288" s="96">
        <f t="shared" si="103"/>
        <v>1.0187053765065013E-3</v>
      </c>
      <c r="G288" s="96">
        <f t="shared" si="106"/>
        <v>-0.29698129462349349</v>
      </c>
      <c r="I288" s="96">
        <f t="shared" si="104"/>
        <v>0</v>
      </c>
      <c r="J288" s="96">
        <f t="shared" si="105"/>
        <v>0.27750000000000019</v>
      </c>
      <c r="X288" s="96">
        <f t="shared" si="117"/>
        <v>14</v>
      </c>
      <c r="Y288" s="517">
        <v>0.78499999999998404</v>
      </c>
      <c r="Z288" s="272">
        <f t="shared" si="119"/>
        <v>14</v>
      </c>
      <c r="AA288" s="519">
        <f t="shared" si="120"/>
        <v>12.467714944035972</v>
      </c>
      <c r="AB288" s="516">
        <f t="shared" si="118"/>
        <v>24</v>
      </c>
      <c r="AC288" s="272">
        <f t="shared" si="108"/>
        <v>13.825071081575093</v>
      </c>
      <c r="AD288" s="272">
        <f t="shared" si="121"/>
        <v>26</v>
      </c>
      <c r="AE288" s="272">
        <f t="shared" si="109"/>
        <v>13.713176811196339</v>
      </c>
      <c r="AF288" s="272">
        <f t="shared" si="122"/>
        <v>26</v>
      </c>
      <c r="AG288" s="272">
        <f t="shared" si="110"/>
        <v>13.713176811196339</v>
      </c>
      <c r="AH288" s="272">
        <f t="shared" si="123"/>
        <v>26</v>
      </c>
      <c r="AI288" s="272">
        <f t="shared" si="111"/>
        <v>13.713176811196339</v>
      </c>
      <c r="AJ288" s="272">
        <f t="shared" si="124"/>
        <v>26</v>
      </c>
      <c r="AK288" s="272">
        <f t="shared" si="112"/>
        <v>13.713176811196339</v>
      </c>
      <c r="AL288" s="272">
        <f t="shared" si="125"/>
        <v>26</v>
      </c>
      <c r="AM288" s="272">
        <f t="shared" si="113"/>
        <v>13.713176811196339</v>
      </c>
      <c r="AN288" s="272">
        <f t="shared" si="126"/>
        <v>26</v>
      </c>
      <c r="AO288" s="272">
        <f t="shared" si="114"/>
        <v>13.713176811196339</v>
      </c>
      <c r="AP288" s="272">
        <f t="shared" si="127"/>
        <v>26</v>
      </c>
      <c r="AQ288" s="272">
        <f t="shared" si="115"/>
        <v>13.713176811196339</v>
      </c>
      <c r="AR288" s="272">
        <f t="shared" si="128"/>
        <v>26</v>
      </c>
      <c r="AS288" s="508">
        <f t="shared" si="116"/>
        <v>13.713176811196339</v>
      </c>
    </row>
    <row r="289" spans="1:45" ht="12.75" customHeight="1">
      <c r="A289" s="96">
        <f>IF(MAX($F$104:F289)=$G$99,$G$99,F289)</f>
        <v>1.3250125824278607E-3</v>
      </c>
      <c r="B289" s="481">
        <v>186</v>
      </c>
      <c r="C289" s="96">
        <f t="shared" si="107"/>
        <v>0.27900000000000019</v>
      </c>
      <c r="D289" s="96">
        <f t="shared" si="101"/>
        <v>48.426886882352363</v>
      </c>
      <c r="E289" s="96">
        <f t="shared" si="102"/>
        <v>0.99999369487871903</v>
      </c>
      <c r="F289" s="96">
        <f t="shared" si="103"/>
        <v>1.3250125824278607E-3</v>
      </c>
      <c r="G289" s="96">
        <f t="shared" si="106"/>
        <v>-0.29667498741757214</v>
      </c>
      <c r="I289" s="96">
        <f t="shared" si="104"/>
        <v>0</v>
      </c>
      <c r="J289" s="96">
        <f t="shared" si="105"/>
        <v>0.27900000000000019</v>
      </c>
      <c r="X289" s="96">
        <f t="shared" si="117"/>
        <v>14</v>
      </c>
      <c r="Y289" s="96">
        <v>0.77999999999998304</v>
      </c>
      <c r="Z289" s="272">
        <f t="shared" si="119"/>
        <v>14</v>
      </c>
      <c r="AA289" s="519">
        <f t="shared" si="120"/>
        <v>12.628069759021347</v>
      </c>
      <c r="AB289" s="516">
        <f t="shared" si="118"/>
        <v>24</v>
      </c>
      <c r="AC289" s="272">
        <f t="shared" si="108"/>
        <v>14.002883673970473</v>
      </c>
      <c r="AD289" s="272">
        <f t="shared" si="121"/>
        <v>26</v>
      </c>
      <c r="AE289" s="272">
        <f t="shared" si="109"/>
        <v>13.889550263772993</v>
      </c>
      <c r="AF289" s="272">
        <f t="shared" si="122"/>
        <v>26</v>
      </c>
      <c r="AG289" s="272">
        <f t="shared" si="110"/>
        <v>13.889550263772993</v>
      </c>
      <c r="AH289" s="272">
        <f t="shared" si="123"/>
        <v>26</v>
      </c>
      <c r="AI289" s="272">
        <f t="shared" si="111"/>
        <v>13.889550263772993</v>
      </c>
      <c r="AJ289" s="272">
        <f t="shared" si="124"/>
        <v>26</v>
      </c>
      <c r="AK289" s="272">
        <f t="shared" si="112"/>
        <v>13.889550263772993</v>
      </c>
      <c r="AL289" s="272">
        <f t="shared" si="125"/>
        <v>26</v>
      </c>
      <c r="AM289" s="272">
        <f t="shared" si="113"/>
        <v>13.889550263772993</v>
      </c>
      <c r="AN289" s="272">
        <f t="shared" si="126"/>
        <v>26</v>
      </c>
      <c r="AO289" s="272">
        <f t="shared" si="114"/>
        <v>13.889550263772993</v>
      </c>
      <c r="AP289" s="272">
        <f t="shared" si="127"/>
        <v>26</v>
      </c>
      <c r="AQ289" s="272">
        <f t="shared" si="115"/>
        <v>13.889550263772993</v>
      </c>
      <c r="AR289" s="272">
        <f t="shared" si="128"/>
        <v>26</v>
      </c>
      <c r="AS289" s="508">
        <f t="shared" si="116"/>
        <v>13.889550263772993</v>
      </c>
    </row>
    <row r="290" spans="1:45" ht="12.75" customHeight="1">
      <c r="A290" s="96">
        <f>IF(MAX($F$104:F290)=$G$99,$G$99,F290)</f>
        <v>1.7162060000249406E-3</v>
      </c>
      <c r="B290" s="96">
        <v>187</v>
      </c>
      <c r="C290" s="96">
        <f t="shared" si="107"/>
        <v>0.28050000000000019</v>
      </c>
      <c r="D290" s="96">
        <f t="shared" si="101"/>
        <v>48.949005878973864</v>
      </c>
      <c r="E290" s="96">
        <f t="shared" si="102"/>
        <v>0.99999170772541013</v>
      </c>
      <c r="F290" s="96">
        <f t="shared" si="103"/>
        <v>1.7162060000249406E-3</v>
      </c>
      <c r="G290" s="96">
        <f t="shared" si="106"/>
        <v>-0.29628379399997506</v>
      </c>
      <c r="I290" s="96">
        <f t="shared" si="104"/>
        <v>0</v>
      </c>
      <c r="J290" s="96">
        <f t="shared" si="105"/>
        <v>0.28050000000000019</v>
      </c>
      <c r="X290" s="96">
        <f t="shared" si="117"/>
        <v>15</v>
      </c>
      <c r="Y290" s="517">
        <v>0.77499999999998304</v>
      </c>
      <c r="Z290" s="272">
        <f t="shared" si="119"/>
        <v>15</v>
      </c>
      <c r="AA290" s="519">
        <f t="shared" si="120"/>
        <v>12.791538216671949</v>
      </c>
      <c r="AB290" s="516">
        <f t="shared" si="118"/>
        <v>24</v>
      </c>
      <c r="AC290" s="272">
        <f t="shared" si="108"/>
        <v>14.184148890311988</v>
      </c>
      <c r="AD290" s="272">
        <f t="shared" si="121"/>
        <v>26</v>
      </c>
      <c r="AE290" s="272">
        <f t="shared" si="109"/>
        <v>14.069348396219754</v>
      </c>
      <c r="AF290" s="272">
        <f t="shared" si="122"/>
        <v>28</v>
      </c>
      <c r="AG290" s="272">
        <f t="shared" si="110"/>
        <v>13.972018172409456</v>
      </c>
      <c r="AH290" s="272">
        <f t="shared" si="123"/>
        <v>26</v>
      </c>
      <c r="AI290" s="272">
        <f t="shared" si="111"/>
        <v>14.069348396219754</v>
      </c>
      <c r="AJ290" s="272">
        <f t="shared" si="124"/>
        <v>28</v>
      </c>
      <c r="AK290" s="272">
        <f t="shared" si="112"/>
        <v>13.972018172409456</v>
      </c>
      <c r="AL290" s="272">
        <f t="shared" si="125"/>
        <v>26</v>
      </c>
      <c r="AM290" s="272">
        <f t="shared" si="113"/>
        <v>14.069348396219754</v>
      </c>
      <c r="AN290" s="272">
        <f t="shared" si="126"/>
        <v>28</v>
      </c>
      <c r="AO290" s="272">
        <f t="shared" si="114"/>
        <v>13.972018172409456</v>
      </c>
      <c r="AP290" s="272">
        <f t="shared" si="127"/>
        <v>26</v>
      </c>
      <c r="AQ290" s="272">
        <f t="shared" si="115"/>
        <v>14.069348396219754</v>
      </c>
      <c r="AR290" s="272">
        <f t="shared" si="128"/>
        <v>28</v>
      </c>
      <c r="AS290" s="508">
        <f t="shared" si="116"/>
        <v>13.972018172409456</v>
      </c>
    </row>
    <row r="291" spans="1:45" ht="12.75" customHeight="1">
      <c r="A291" s="96">
        <f>IF(MAX($F$104:F291)=$G$99,$G$99,F291)</f>
        <v>2.2136547463573E-3</v>
      </c>
      <c r="B291" s="481">
        <v>188</v>
      </c>
      <c r="C291" s="96">
        <f t="shared" si="107"/>
        <v>0.28200000000000019</v>
      </c>
      <c r="D291" s="96">
        <f t="shared" si="101"/>
        <v>49.473924441260898</v>
      </c>
      <c r="E291" s="96">
        <f t="shared" si="102"/>
        <v>0.99998913857960392</v>
      </c>
      <c r="F291" s="96">
        <f t="shared" si="103"/>
        <v>2.2136547463573E-3</v>
      </c>
      <c r="G291" s="96">
        <f t="shared" si="106"/>
        <v>-0.29578634525364267</v>
      </c>
      <c r="I291" s="96">
        <f t="shared" si="104"/>
        <v>0</v>
      </c>
      <c r="J291" s="96">
        <f t="shared" si="105"/>
        <v>0.28200000000000019</v>
      </c>
      <c r="X291" s="96">
        <f t="shared" si="117"/>
        <v>15</v>
      </c>
      <c r="Y291" s="96">
        <v>0.76999999999998303</v>
      </c>
      <c r="Z291" s="272">
        <f t="shared" si="119"/>
        <v>15</v>
      </c>
      <c r="AA291" s="519">
        <f t="shared" si="120"/>
        <v>12.958201452839587</v>
      </c>
      <c r="AB291" s="516">
        <f t="shared" si="118"/>
        <v>24</v>
      </c>
      <c r="AC291" s="272">
        <f t="shared" si="108"/>
        <v>14.368956699685679</v>
      </c>
      <c r="AD291" s="272">
        <f t="shared" si="121"/>
        <v>26</v>
      </c>
      <c r="AE291" s="272">
        <f t="shared" si="109"/>
        <v>14.252660449450991</v>
      </c>
      <c r="AF291" s="272">
        <f t="shared" si="122"/>
        <v>28</v>
      </c>
      <c r="AG291" s="272">
        <f t="shared" si="110"/>
        <v>14.15406209277017</v>
      </c>
      <c r="AH291" s="272">
        <f t="shared" si="123"/>
        <v>28</v>
      </c>
      <c r="AI291" s="272">
        <f t="shared" si="111"/>
        <v>14.15406209277017</v>
      </c>
      <c r="AJ291" s="272">
        <f t="shared" si="124"/>
        <v>28</v>
      </c>
      <c r="AK291" s="272">
        <f t="shared" si="112"/>
        <v>14.15406209277017</v>
      </c>
      <c r="AL291" s="272">
        <f t="shared" si="125"/>
        <v>28</v>
      </c>
      <c r="AM291" s="272">
        <f t="shared" si="113"/>
        <v>14.15406209277017</v>
      </c>
      <c r="AN291" s="272">
        <f t="shared" si="126"/>
        <v>28</v>
      </c>
      <c r="AO291" s="272">
        <f t="shared" si="114"/>
        <v>14.15406209277017</v>
      </c>
      <c r="AP291" s="272">
        <f t="shared" si="127"/>
        <v>28</v>
      </c>
      <c r="AQ291" s="272">
        <f t="shared" si="115"/>
        <v>14.15406209277017</v>
      </c>
      <c r="AR291" s="272">
        <f t="shared" si="128"/>
        <v>28</v>
      </c>
      <c r="AS291" s="508">
        <f t="shared" si="116"/>
        <v>14.15406209277017</v>
      </c>
    </row>
    <row r="292" spans="1:45" ht="12.75" customHeight="1">
      <c r="A292" s="96">
        <f>IF(MAX($F$104:F292)=$G$99,$G$99,F292)</f>
        <v>2.8435043508908313E-3</v>
      </c>
      <c r="B292" s="481">
        <v>189</v>
      </c>
      <c r="C292" s="96">
        <f t="shared" si="107"/>
        <v>0.2835000000000002</v>
      </c>
      <c r="D292" s="96">
        <f t="shared" si="101"/>
        <v>50.001642569213466</v>
      </c>
      <c r="E292" s="96">
        <f t="shared" si="102"/>
        <v>0.99998583076590652</v>
      </c>
      <c r="F292" s="96">
        <f t="shared" si="103"/>
        <v>2.8435043508908313E-3</v>
      </c>
      <c r="G292" s="96">
        <f t="shared" si="106"/>
        <v>-0.29515649564910917</v>
      </c>
      <c r="I292" s="96">
        <f t="shared" si="104"/>
        <v>0</v>
      </c>
      <c r="J292" s="96">
        <f t="shared" si="105"/>
        <v>0.2835000000000002</v>
      </c>
      <c r="X292" s="96">
        <f t="shared" si="117"/>
        <v>15</v>
      </c>
      <c r="Y292" s="517">
        <v>0.76499999999998303</v>
      </c>
      <c r="Z292" s="272">
        <f t="shared" si="119"/>
        <v>15</v>
      </c>
      <c r="AA292" s="519">
        <f t="shared" si="120"/>
        <v>13.128143263511632</v>
      </c>
      <c r="AB292" s="516">
        <f t="shared" si="118"/>
        <v>26</v>
      </c>
      <c r="AC292" s="272">
        <f t="shared" si="108"/>
        <v>14.439578590250751</v>
      </c>
      <c r="AD292" s="272">
        <f t="shared" si="121"/>
        <v>28</v>
      </c>
      <c r="AE292" s="272">
        <f t="shared" si="109"/>
        <v>14.339687154177344</v>
      </c>
      <c r="AF292" s="272">
        <f t="shared" si="122"/>
        <v>28</v>
      </c>
      <c r="AG292" s="272">
        <f t="shared" si="110"/>
        <v>14.339687154177344</v>
      </c>
      <c r="AH292" s="272">
        <f t="shared" si="123"/>
        <v>28</v>
      </c>
      <c r="AI292" s="272">
        <f t="shared" si="111"/>
        <v>14.339687154177344</v>
      </c>
      <c r="AJ292" s="272">
        <f t="shared" si="124"/>
        <v>28</v>
      </c>
      <c r="AK292" s="272">
        <f t="shared" si="112"/>
        <v>14.339687154177344</v>
      </c>
      <c r="AL292" s="272">
        <f t="shared" si="125"/>
        <v>28</v>
      </c>
      <c r="AM292" s="272">
        <f t="shared" si="113"/>
        <v>14.339687154177344</v>
      </c>
      <c r="AN292" s="272">
        <f t="shared" si="126"/>
        <v>28</v>
      </c>
      <c r="AO292" s="272">
        <f t="shared" si="114"/>
        <v>14.339687154177344</v>
      </c>
      <c r="AP292" s="272">
        <f t="shared" si="127"/>
        <v>28</v>
      </c>
      <c r="AQ292" s="272">
        <f t="shared" si="115"/>
        <v>14.339687154177344</v>
      </c>
      <c r="AR292" s="272">
        <f t="shared" si="128"/>
        <v>28</v>
      </c>
      <c r="AS292" s="508">
        <f t="shared" si="116"/>
        <v>14.339687154177344</v>
      </c>
    </row>
    <row r="293" spans="1:45" ht="12.75" customHeight="1">
      <c r="A293" s="96">
        <f>IF(MAX($F$104:F293)=$G$99,$G$99,F293)</f>
        <v>3.6375920179787524E-3</v>
      </c>
      <c r="B293" s="96">
        <v>190</v>
      </c>
      <c r="C293" s="96">
        <f t="shared" si="107"/>
        <v>0.2850000000000002</v>
      </c>
      <c r="D293" s="96">
        <f t="shared" si="101"/>
        <v>50.53216026283156</v>
      </c>
      <c r="E293" s="96">
        <f t="shared" si="102"/>
        <v>0.99998158945300863</v>
      </c>
      <c r="F293" s="96">
        <f t="shared" si="103"/>
        <v>3.6375920179787524E-3</v>
      </c>
      <c r="G293" s="96">
        <f t="shared" si="106"/>
        <v>-0.29436240798202123</v>
      </c>
      <c r="I293" s="96">
        <f t="shared" si="104"/>
        <v>0</v>
      </c>
      <c r="J293" s="96">
        <f t="shared" si="105"/>
        <v>0.2850000000000002</v>
      </c>
      <c r="X293" s="96">
        <f t="shared" si="117"/>
        <v>15</v>
      </c>
      <c r="Y293" s="96">
        <v>0.75999999999998302</v>
      </c>
      <c r="Z293" s="272">
        <f t="shared" si="119"/>
        <v>15</v>
      </c>
      <c r="AA293" s="519">
        <f t="shared" si="120"/>
        <v>13.301450210160311</v>
      </c>
      <c r="AB293" s="516">
        <f t="shared" si="118"/>
        <v>26</v>
      </c>
      <c r="AC293" s="272">
        <f t="shared" si="108"/>
        <v>14.630198027145942</v>
      </c>
      <c r="AD293" s="272">
        <f t="shared" si="121"/>
        <v>28</v>
      </c>
      <c r="AE293" s="272">
        <f t="shared" si="109"/>
        <v>14.528987906515646</v>
      </c>
      <c r="AF293" s="272">
        <f t="shared" si="122"/>
        <v>28</v>
      </c>
      <c r="AG293" s="272">
        <f t="shared" si="110"/>
        <v>14.528987906515646</v>
      </c>
      <c r="AH293" s="272">
        <f t="shared" si="123"/>
        <v>28</v>
      </c>
      <c r="AI293" s="272">
        <f t="shared" si="111"/>
        <v>14.528987906515646</v>
      </c>
      <c r="AJ293" s="272">
        <f t="shared" si="124"/>
        <v>28</v>
      </c>
      <c r="AK293" s="272">
        <f t="shared" si="112"/>
        <v>14.528987906515646</v>
      </c>
      <c r="AL293" s="272">
        <f t="shared" si="125"/>
        <v>28</v>
      </c>
      <c r="AM293" s="272">
        <f t="shared" si="113"/>
        <v>14.528987906515646</v>
      </c>
      <c r="AN293" s="272">
        <f t="shared" si="126"/>
        <v>28</v>
      </c>
      <c r="AO293" s="272">
        <f t="shared" si="114"/>
        <v>14.528987906515646</v>
      </c>
      <c r="AP293" s="272">
        <f t="shared" si="127"/>
        <v>28</v>
      </c>
      <c r="AQ293" s="272">
        <f t="shared" si="115"/>
        <v>14.528987906515646</v>
      </c>
      <c r="AR293" s="272">
        <f t="shared" si="128"/>
        <v>28</v>
      </c>
      <c r="AS293" s="508">
        <f t="shared" si="116"/>
        <v>14.528987906515646</v>
      </c>
    </row>
    <row r="294" spans="1:45" ht="12.75" customHeight="1">
      <c r="A294" s="96">
        <f>IF(MAX($F$104:F294)=$G$99,$G$99,F294)</f>
        <v>4.6344971296319306E-3</v>
      </c>
      <c r="B294" s="481">
        <v>191</v>
      </c>
      <c r="C294" s="96">
        <f t="shared" si="107"/>
        <v>0.2865000000000002</v>
      </c>
      <c r="D294" s="96">
        <f t="shared" si="101"/>
        <v>51.065477522115181</v>
      </c>
      <c r="E294" s="96">
        <f t="shared" si="102"/>
        <v>0.99997617344196499</v>
      </c>
      <c r="F294" s="96">
        <f t="shared" si="103"/>
        <v>4.6344971296319306E-3</v>
      </c>
      <c r="G294" s="96">
        <f t="shared" si="106"/>
        <v>-0.29336550287036806</v>
      </c>
      <c r="I294" s="96">
        <f t="shared" si="104"/>
        <v>0</v>
      </c>
      <c r="J294" s="96">
        <f t="shared" si="105"/>
        <v>0.2865000000000002</v>
      </c>
      <c r="X294" s="96">
        <f t="shared" si="117"/>
        <v>15</v>
      </c>
      <c r="Y294" s="517">
        <v>0.75499999999998302</v>
      </c>
      <c r="Z294" s="272">
        <f t="shared" si="119"/>
        <v>15</v>
      </c>
      <c r="AA294" s="519">
        <f t="shared" si="120"/>
        <v>13.478211729991839</v>
      </c>
      <c r="AB294" s="516">
        <f t="shared" si="118"/>
        <v>26</v>
      </c>
      <c r="AC294" s="272">
        <f t="shared" si="108"/>
        <v>14.824617131668786</v>
      </c>
      <c r="AD294" s="272">
        <f t="shared" si="121"/>
        <v>28</v>
      </c>
      <c r="AE294" s="272">
        <f t="shared" si="109"/>
        <v>14.722062040793721</v>
      </c>
      <c r="AF294" s="272">
        <f t="shared" si="122"/>
        <v>28</v>
      </c>
      <c r="AG294" s="272">
        <f t="shared" si="110"/>
        <v>14.722062040793721</v>
      </c>
      <c r="AH294" s="272">
        <f t="shared" si="123"/>
        <v>28</v>
      </c>
      <c r="AI294" s="272">
        <f t="shared" si="111"/>
        <v>14.722062040793721</v>
      </c>
      <c r="AJ294" s="272">
        <f t="shared" si="124"/>
        <v>28</v>
      </c>
      <c r="AK294" s="272">
        <f t="shared" si="112"/>
        <v>14.722062040793721</v>
      </c>
      <c r="AL294" s="272">
        <f t="shared" si="125"/>
        <v>28</v>
      </c>
      <c r="AM294" s="272">
        <f t="shared" si="113"/>
        <v>14.722062040793721</v>
      </c>
      <c r="AN294" s="272">
        <f t="shared" si="126"/>
        <v>28</v>
      </c>
      <c r="AO294" s="272">
        <f t="shared" si="114"/>
        <v>14.722062040793721</v>
      </c>
      <c r="AP294" s="272">
        <f t="shared" si="127"/>
        <v>28</v>
      </c>
      <c r="AQ294" s="272">
        <f t="shared" si="115"/>
        <v>14.722062040793721</v>
      </c>
      <c r="AR294" s="272">
        <f t="shared" si="128"/>
        <v>28</v>
      </c>
      <c r="AS294" s="508">
        <f t="shared" si="116"/>
        <v>14.722062040793721</v>
      </c>
    </row>
    <row r="295" spans="1:45" ht="12.75" customHeight="1">
      <c r="A295" s="96">
        <f>IF(MAX($F$104:F295)=$G$99,$G$99,F295)</f>
        <v>5.8807381869607758E-3</v>
      </c>
      <c r="B295" s="481">
        <v>192</v>
      </c>
      <c r="C295" s="96">
        <f t="shared" si="107"/>
        <v>0.2880000000000002</v>
      </c>
      <c r="D295" s="96">
        <f t="shared" si="101"/>
        <v>51.601594347064335</v>
      </c>
      <c r="E295" s="96">
        <f t="shared" si="102"/>
        <v>0.9999692854783282</v>
      </c>
      <c r="F295" s="96">
        <f t="shared" si="103"/>
        <v>5.8807381869607758E-3</v>
      </c>
      <c r="G295" s="96">
        <f t="shared" si="106"/>
        <v>-0.29211926181303921</v>
      </c>
      <c r="I295" s="96">
        <f t="shared" si="104"/>
        <v>0</v>
      </c>
      <c r="J295" s="96">
        <f t="shared" si="105"/>
        <v>0.2880000000000002</v>
      </c>
      <c r="X295" s="96">
        <f t="shared" si="117"/>
        <v>15</v>
      </c>
      <c r="Y295" s="96">
        <v>0.74999999999998301</v>
      </c>
      <c r="Z295" s="272">
        <f t="shared" si="119"/>
        <v>15</v>
      </c>
      <c r="AA295" s="519">
        <f t="shared" si="120"/>
        <v>13.658520251357515</v>
      </c>
      <c r="AB295" s="516">
        <f t="shared" si="118"/>
        <v>26</v>
      </c>
      <c r="AC295" s="272">
        <f t="shared" si="108"/>
        <v>15.022937565296893</v>
      </c>
      <c r="AD295" s="272">
        <f t="shared" si="121"/>
        <v>28</v>
      </c>
      <c r="AE295" s="272">
        <f t="shared" si="109"/>
        <v>14.91901051520612</v>
      </c>
      <c r="AF295" s="272">
        <f t="shared" si="122"/>
        <v>28</v>
      </c>
      <c r="AG295" s="272">
        <f t="shared" si="110"/>
        <v>14.91901051520612</v>
      </c>
      <c r="AH295" s="272">
        <f t="shared" si="123"/>
        <v>28</v>
      </c>
      <c r="AI295" s="272">
        <f t="shared" si="111"/>
        <v>14.91901051520612</v>
      </c>
      <c r="AJ295" s="272">
        <f t="shared" si="124"/>
        <v>28</v>
      </c>
      <c r="AK295" s="272">
        <f t="shared" si="112"/>
        <v>14.91901051520612</v>
      </c>
      <c r="AL295" s="272">
        <f t="shared" si="125"/>
        <v>28</v>
      </c>
      <c r="AM295" s="272">
        <f t="shared" si="113"/>
        <v>14.91901051520612</v>
      </c>
      <c r="AN295" s="272">
        <f t="shared" si="126"/>
        <v>28</v>
      </c>
      <c r="AO295" s="272">
        <f t="shared" si="114"/>
        <v>14.91901051520612</v>
      </c>
      <c r="AP295" s="272">
        <f t="shared" si="127"/>
        <v>28</v>
      </c>
      <c r="AQ295" s="272">
        <f t="shared" si="115"/>
        <v>14.91901051520612</v>
      </c>
      <c r="AR295" s="272">
        <f t="shared" si="128"/>
        <v>28</v>
      </c>
      <c r="AS295" s="508">
        <f t="shared" si="116"/>
        <v>14.91901051520612</v>
      </c>
    </row>
    <row r="296" spans="1:45" ht="12.75" customHeight="1">
      <c r="A296" s="96">
        <f>IF(MAX($F$104:F296)=$G$99,$G$99,F296)</f>
        <v>7.4321374909928437E-3</v>
      </c>
      <c r="B296" s="96">
        <v>193</v>
      </c>
      <c r="C296" s="96">
        <f t="shared" si="107"/>
        <v>0.2895000000000002</v>
      </c>
      <c r="D296" s="96">
        <f t="shared" ref="D296:D359" si="129">C296^2/$C$96</f>
        <v>52.140510737679016</v>
      </c>
      <c r="E296" s="96">
        <f t="shared" ref="E296:E359" si="130">CHIDIST(D296,$E$96)</f>
        <v>0.99996056086270757</v>
      </c>
      <c r="F296" s="96">
        <f t="shared" ref="F296:F359" si="131">IF($E$7&lt;$F$101,NA(),$E$98*(E295-E297)/(2*$C$99))</f>
        <v>7.4321374909928437E-3</v>
      </c>
      <c r="G296" s="96">
        <f t="shared" si="106"/>
        <v>-0.29056786250900712</v>
      </c>
      <c r="I296" s="96">
        <f t="shared" ref="I296:I359" si="132">IF(F296&gt;$G$98,1,0)</f>
        <v>0</v>
      </c>
      <c r="J296" s="96">
        <f t="shared" ref="J296:J359" si="133">C296</f>
        <v>0.2895000000000002</v>
      </c>
      <c r="X296" s="96">
        <f t="shared" si="117"/>
        <v>16</v>
      </c>
      <c r="Y296" s="517">
        <v>0.74499999999998301</v>
      </c>
      <c r="Z296" s="272">
        <f t="shared" si="119"/>
        <v>16</v>
      </c>
      <c r="AA296" s="519">
        <f t="shared" si="120"/>
        <v>13.842471314604937</v>
      </c>
      <c r="AB296" s="516">
        <f t="shared" si="118"/>
        <v>26</v>
      </c>
      <c r="AC296" s="272">
        <f t="shared" si="108"/>
        <v>15.225264412376928</v>
      </c>
      <c r="AD296" s="272">
        <f t="shared" si="121"/>
        <v>28</v>
      </c>
      <c r="AE296" s="272">
        <f t="shared" si="109"/>
        <v>15.119937687137416</v>
      </c>
      <c r="AF296" s="272">
        <f t="shared" si="122"/>
        <v>30</v>
      </c>
      <c r="AG296" s="272">
        <f t="shared" si="110"/>
        <v>15.029509508374678</v>
      </c>
      <c r="AH296" s="272">
        <f t="shared" si="123"/>
        <v>30</v>
      </c>
      <c r="AI296" s="272">
        <f t="shared" si="111"/>
        <v>15.029509508374678</v>
      </c>
      <c r="AJ296" s="272">
        <f t="shared" si="124"/>
        <v>30</v>
      </c>
      <c r="AK296" s="272">
        <f t="shared" si="112"/>
        <v>15.029509508374678</v>
      </c>
      <c r="AL296" s="272">
        <f t="shared" si="125"/>
        <v>30</v>
      </c>
      <c r="AM296" s="272">
        <f t="shared" si="113"/>
        <v>15.029509508374678</v>
      </c>
      <c r="AN296" s="272">
        <f t="shared" si="126"/>
        <v>30</v>
      </c>
      <c r="AO296" s="272">
        <f t="shared" si="114"/>
        <v>15.029509508374678</v>
      </c>
      <c r="AP296" s="272">
        <f t="shared" si="127"/>
        <v>30</v>
      </c>
      <c r="AQ296" s="272">
        <f t="shared" si="115"/>
        <v>15.029509508374678</v>
      </c>
      <c r="AR296" s="272">
        <f t="shared" si="128"/>
        <v>30</v>
      </c>
      <c r="AS296" s="508">
        <f t="shared" si="116"/>
        <v>15.029509508374678</v>
      </c>
    </row>
    <row r="297" spans="1:45" ht="12.75" customHeight="1">
      <c r="A297" s="96">
        <f>IF(MAX($F$104:F297)=$G$99,$G$99,F297)</f>
        <v>9.3553450411124964E-3</v>
      </c>
      <c r="B297" s="481">
        <v>194</v>
      </c>
      <c r="C297" s="96">
        <f t="shared" si="107"/>
        <v>0.2910000000000002</v>
      </c>
      <c r="D297" s="96">
        <f t="shared" si="129"/>
        <v>52.682226693959237</v>
      </c>
      <c r="E297" s="96">
        <f t="shared" si="130"/>
        <v>0.99994955413985653</v>
      </c>
      <c r="F297" s="96">
        <f t="shared" si="131"/>
        <v>9.3553450411124964E-3</v>
      </c>
      <c r="G297" s="96">
        <f t="shared" ref="G297:G360" si="134">F297-$G$101</f>
        <v>-0.28864465495888747</v>
      </c>
      <c r="I297" s="96">
        <f t="shared" si="132"/>
        <v>0</v>
      </c>
      <c r="J297" s="96">
        <f t="shared" si="133"/>
        <v>0.2910000000000002</v>
      </c>
      <c r="X297" s="96">
        <f t="shared" si="117"/>
        <v>16</v>
      </c>
      <c r="Y297" s="96">
        <v>0.739999999999983</v>
      </c>
      <c r="Z297" s="272">
        <f t="shared" si="119"/>
        <v>16</v>
      </c>
      <c r="AA297" s="519">
        <f t="shared" si="120"/>
        <v>14.030163698664364</v>
      </c>
      <c r="AB297" s="516">
        <f t="shared" si="118"/>
        <v>28</v>
      </c>
      <c r="AC297" s="272">
        <f t="shared" si="108"/>
        <v>15.324951451430694</v>
      </c>
      <c r="AD297" s="272">
        <f t="shared" si="121"/>
        <v>30</v>
      </c>
      <c r="AE297" s="272">
        <f t="shared" si="109"/>
        <v>15.233297141865702</v>
      </c>
      <c r="AF297" s="272">
        <f t="shared" si="122"/>
        <v>30</v>
      </c>
      <c r="AG297" s="272">
        <f t="shared" si="110"/>
        <v>15.233297141865702</v>
      </c>
      <c r="AH297" s="272">
        <f t="shared" si="123"/>
        <v>30</v>
      </c>
      <c r="AI297" s="272">
        <f t="shared" si="111"/>
        <v>15.233297141865702</v>
      </c>
      <c r="AJ297" s="272">
        <f t="shared" si="124"/>
        <v>30</v>
      </c>
      <c r="AK297" s="272">
        <f t="shared" si="112"/>
        <v>15.233297141865702</v>
      </c>
      <c r="AL297" s="272">
        <f t="shared" si="125"/>
        <v>30</v>
      </c>
      <c r="AM297" s="272">
        <f t="shared" si="113"/>
        <v>15.233297141865702</v>
      </c>
      <c r="AN297" s="272">
        <f t="shared" si="126"/>
        <v>30</v>
      </c>
      <c r="AO297" s="272">
        <f t="shared" si="114"/>
        <v>15.233297141865702</v>
      </c>
      <c r="AP297" s="272">
        <f t="shared" si="127"/>
        <v>30</v>
      </c>
      <c r="AQ297" s="272">
        <f t="shared" si="115"/>
        <v>15.233297141865702</v>
      </c>
      <c r="AR297" s="272">
        <f t="shared" si="128"/>
        <v>30</v>
      </c>
      <c r="AS297" s="508">
        <f t="shared" si="116"/>
        <v>15.233297141865702</v>
      </c>
    </row>
    <row r="298" spans="1:45" ht="12.75" customHeight="1">
      <c r="A298" s="96">
        <f>IF(MAX($F$104:F298)=$G$99,$G$99,F298)</f>
        <v>1.1729558441989639E-2</v>
      </c>
      <c r="B298" s="481">
        <v>195</v>
      </c>
      <c r="C298" s="96">
        <f t="shared" si="107"/>
        <v>0.2925000000000002</v>
      </c>
      <c r="D298" s="96">
        <f t="shared" si="129"/>
        <v>53.226742215904991</v>
      </c>
      <c r="E298" s="96">
        <f t="shared" si="130"/>
        <v>0.99993572366348338</v>
      </c>
      <c r="F298" s="96">
        <f t="shared" si="131"/>
        <v>1.1729558441989639E-2</v>
      </c>
      <c r="G298" s="96">
        <f t="shared" si="134"/>
        <v>-0.28627044155801035</v>
      </c>
      <c r="I298" s="96">
        <f t="shared" si="132"/>
        <v>0</v>
      </c>
      <c r="J298" s="96">
        <f t="shared" si="133"/>
        <v>0.2925000000000002</v>
      </c>
      <c r="X298" s="96">
        <f t="shared" si="117"/>
        <v>16</v>
      </c>
      <c r="Y298" s="517">
        <v>0.734999999999982</v>
      </c>
      <c r="Z298" s="272">
        <f t="shared" si="119"/>
        <v>16</v>
      </c>
      <c r="AA298" s="519">
        <f t="shared" si="120"/>
        <v>14.221699553683429</v>
      </c>
      <c r="AB298" s="516">
        <f t="shared" si="118"/>
        <v>28</v>
      </c>
      <c r="AC298" s="272">
        <f t="shared" si="108"/>
        <v>15.534163385262575</v>
      </c>
      <c r="AD298" s="272">
        <f t="shared" si="121"/>
        <v>30</v>
      </c>
      <c r="AE298" s="272">
        <f t="shared" si="109"/>
        <v>15.441257836800746</v>
      </c>
      <c r="AF298" s="272">
        <f t="shared" si="122"/>
        <v>30</v>
      </c>
      <c r="AG298" s="272">
        <f t="shared" si="110"/>
        <v>15.441257836800746</v>
      </c>
      <c r="AH298" s="272">
        <f t="shared" si="123"/>
        <v>30</v>
      </c>
      <c r="AI298" s="272">
        <f t="shared" si="111"/>
        <v>15.441257836800746</v>
      </c>
      <c r="AJ298" s="272">
        <f t="shared" si="124"/>
        <v>30</v>
      </c>
      <c r="AK298" s="272">
        <f t="shared" si="112"/>
        <v>15.441257836800746</v>
      </c>
      <c r="AL298" s="272">
        <f t="shared" si="125"/>
        <v>30</v>
      </c>
      <c r="AM298" s="272">
        <f t="shared" si="113"/>
        <v>15.441257836800746</v>
      </c>
      <c r="AN298" s="272">
        <f t="shared" si="126"/>
        <v>30</v>
      </c>
      <c r="AO298" s="272">
        <f t="shared" si="114"/>
        <v>15.441257836800746</v>
      </c>
      <c r="AP298" s="272">
        <f t="shared" si="127"/>
        <v>30</v>
      </c>
      <c r="AQ298" s="272">
        <f t="shared" si="115"/>
        <v>15.441257836800746</v>
      </c>
      <c r="AR298" s="272">
        <f t="shared" si="128"/>
        <v>30</v>
      </c>
      <c r="AS298" s="508">
        <f t="shared" si="116"/>
        <v>15.441257836800746</v>
      </c>
    </row>
    <row r="299" spans="1:45" ht="12.75" customHeight="1">
      <c r="A299" s="96">
        <f>IF(MAX($F$104:F299)=$G$99,$G$99,F299)</f>
        <v>1.4648421777706529E-2</v>
      </c>
      <c r="B299" s="96">
        <v>196</v>
      </c>
      <c r="C299" s="96">
        <f t="shared" si="107"/>
        <v>0.29400000000000021</v>
      </c>
      <c r="D299" s="96">
        <f t="shared" si="129"/>
        <v>53.774057303516265</v>
      </c>
      <c r="E299" s="96">
        <f t="shared" si="130"/>
        <v>0.99991841371921408</v>
      </c>
      <c r="F299" s="96">
        <f t="shared" si="131"/>
        <v>1.4648421777706529E-2</v>
      </c>
      <c r="G299" s="96">
        <f t="shared" si="134"/>
        <v>-0.28335157822229345</v>
      </c>
      <c r="I299" s="96">
        <f t="shared" si="132"/>
        <v>0</v>
      </c>
      <c r="J299" s="96">
        <f t="shared" si="133"/>
        <v>0.29400000000000021</v>
      </c>
      <c r="X299" s="96">
        <f t="shared" si="117"/>
        <v>16</v>
      </c>
      <c r="Y299" s="96">
        <v>0.729999999999982</v>
      </c>
      <c r="Z299" s="272">
        <f t="shared" si="119"/>
        <v>16</v>
      </c>
      <c r="AA299" s="519">
        <f t="shared" si="120"/>
        <v>14.417184540042472</v>
      </c>
      <c r="AB299" s="516">
        <f t="shared" si="118"/>
        <v>28</v>
      </c>
      <c r="AC299" s="272">
        <f t="shared" si="108"/>
        <v>15.747688899987757</v>
      </c>
      <c r="AD299" s="272">
        <f t="shared" si="121"/>
        <v>30</v>
      </c>
      <c r="AE299" s="272">
        <f t="shared" si="109"/>
        <v>15.653506314291025</v>
      </c>
      <c r="AF299" s="272">
        <f t="shared" si="122"/>
        <v>30</v>
      </c>
      <c r="AG299" s="272">
        <f t="shared" si="110"/>
        <v>15.653506314291025</v>
      </c>
      <c r="AH299" s="272">
        <f t="shared" si="123"/>
        <v>30</v>
      </c>
      <c r="AI299" s="272">
        <f t="shared" si="111"/>
        <v>15.653506314291025</v>
      </c>
      <c r="AJ299" s="272">
        <f t="shared" si="124"/>
        <v>30</v>
      </c>
      <c r="AK299" s="272">
        <f t="shared" si="112"/>
        <v>15.653506314291025</v>
      </c>
      <c r="AL299" s="272">
        <f t="shared" si="125"/>
        <v>30</v>
      </c>
      <c r="AM299" s="272">
        <f t="shared" si="113"/>
        <v>15.653506314291025</v>
      </c>
      <c r="AN299" s="272">
        <f t="shared" si="126"/>
        <v>30</v>
      </c>
      <c r="AO299" s="272">
        <f t="shared" si="114"/>
        <v>15.653506314291025</v>
      </c>
      <c r="AP299" s="272">
        <f t="shared" si="127"/>
        <v>30</v>
      </c>
      <c r="AQ299" s="272">
        <f t="shared" si="115"/>
        <v>15.653506314291025</v>
      </c>
      <c r="AR299" s="272">
        <f t="shared" si="128"/>
        <v>30</v>
      </c>
      <c r="AS299" s="508">
        <f t="shared" si="116"/>
        <v>15.653506314291025</v>
      </c>
    </row>
    <row r="300" spans="1:45" ht="12.75" customHeight="1">
      <c r="A300" s="96">
        <f>IF(MAX($F$104:F300)=$G$99,$G$99,F300)</f>
        <v>1.8222102353467884E-2</v>
      </c>
      <c r="B300" s="481">
        <v>197</v>
      </c>
      <c r="C300" s="96">
        <f t="shared" si="107"/>
        <v>0.29550000000000021</v>
      </c>
      <c r="D300" s="96">
        <f t="shared" si="129"/>
        <v>54.324171956793073</v>
      </c>
      <c r="E300" s="96">
        <f t="shared" si="130"/>
        <v>0.99989683404814433</v>
      </c>
      <c r="F300" s="96">
        <f t="shared" si="131"/>
        <v>1.8222102353467884E-2</v>
      </c>
      <c r="G300" s="96">
        <f t="shared" si="134"/>
        <v>-0.2797778976465321</v>
      </c>
      <c r="I300" s="96">
        <f t="shared" si="132"/>
        <v>0</v>
      </c>
      <c r="J300" s="96">
        <f t="shared" si="133"/>
        <v>0.29550000000000021</v>
      </c>
      <c r="X300" s="96">
        <f t="shared" si="117"/>
        <v>16</v>
      </c>
      <c r="Y300" s="517">
        <v>0.72499999999998199</v>
      </c>
      <c r="Z300" s="272">
        <f t="shared" si="119"/>
        <v>16</v>
      </c>
      <c r="AA300" s="519">
        <f t="shared" si="120"/>
        <v>14.616727974104421</v>
      </c>
      <c r="AB300" s="516">
        <f t="shared" si="118"/>
        <v>28</v>
      </c>
      <c r="AC300" s="272">
        <f t="shared" si="108"/>
        <v>15.965647400339559</v>
      </c>
      <c r="AD300" s="272">
        <f t="shared" si="121"/>
        <v>30</v>
      </c>
      <c r="AE300" s="272">
        <f t="shared" si="109"/>
        <v>15.870161264943045</v>
      </c>
      <c r="AF300" s="272">
        <f t="shared" si="122"/>
        <v>30</v>
      </c>
      <c r="AG300" s="272">
        <f t="shared" si="110"/>
        <v>15.870161264943045</v>
      </c>
      <c r="AH300" s="272">
        <f t="shared" si="123"/>
        <v>30</v>
      </c>
      <c r="AI300" s="272">
        <f t="shared" si="111"/>
        <v>15.870161264943045</v>
      </c>
      <c r="AJ300" s="272">
        <f t="shared" si="124"/>
        <v>30</v>
      </c>
      <c r="AK300" s="272">
        <f t="shared" si="112"/>
        <v>15.870161264943045</v>
      </c>
      <c r="AL300" s="272">
        <f t="shared" si="125"/>
        <v>30</v>
      </c>
      <c r="AM300" s="272">
        <f t="shared" si="113"/>
        <v>15.870161264943045</v>
      </c>
      <c r="AN300" s="272">
        <f t="shared" si="126"/>
        <v>30</v>
      </c>
      <c r="AO300" s="272">
        <f t="shared" si="114"/>
        <v>15.870161264943045</v>
      </c>
      <c r="AP300" s="272">
        <f t="shared" si="127"/>
        <v>30</v>
      </c>
      <c r="AQ300" s="272">
        <f t="shared" si="115"/>
        <v>15.870161264943045</v>
      </c>
      <c r="AR300" s="272">
        <f t="shared" si="128"/>
        <v>30</v>
      </c>
      <c r="AS300" s="508">
        <f t="shared" si="116"/>
        <v>15.870161264943045</v>
      </c>
    </row>
    <row r="301" spans="1:45" ht="12.75" customHeight="1">
      <c r="A301" s="96">
        <f>IF(MAX($F$104:F301)=$G$99,$G$99,F301)</f>
        <v>2.2579569114827835E-2</v>
      </c>
      <c r="B301" s="481">
        <v>198</v>
      </c>
      <c r="C301" s="96">
        <f t="shared" si="107"/>
        <v>0.29700000000000021</v>
      </c>
      <c r="D301" s="96">
        <f t="shared" si="129"/>
        <v>54.877086175735407</v>
      </c>
      <c r="E301" s="96">
        <f t="shared" si="130"/>
        <v>0.99987003645632877</v>
      </c>
      <c r="F301" s="96">
        <f t="shared" si="131"/>
        <v>2.2579569114827835E-2</v>
      </c>
      <c r="G301" s="96">
        <f t="shared" si="134"/>
        <v>-0.27542043088517215</v>
      </c>
      <c r="I301" s="96">
        <f t="shared" si="132"/>
        <v>0</v>
      </c>
      <c r="J301" s="96">
        <f t="shared" si="133"/>
        <v>0.29700000000000021</v>
      </c>
      <c r="X301" s="96">
        <f t="shared" si="117"/>
        <v>17</v>
      </c>
      <c r="Y301" s="96">
        <v>0.71999999999998199</v>
      </c>
      <c r="Z301" s="272">
        <f t="shared" si="119"/>
        <v>17</v>
      </c>
      <c r="AA301" s="519">
        <f t="shared" si="120"/>
        <v>14.820442981073761</v>
      </c>
      <c r="AB301" s="516">
        <f t="shared" si="118"/>
        <v>28</v>
      </c>
      <c r="AC301" s="272">
        <f t="shared" si="108"/>
        <v>16.188162451395606</v>
      </c>
      <c r="AD301" s="272">
        <f t="shared" si="121"/>
        <v>30</v>
      </c>
      <c r="AE301" s="272">
        <f t="shared" si="109"/>
        <v>16.091345514825797</v>
      </c>
      <c r="AF301" s="272">
        <f t="shared" si="122"/>
        <v>32</v>
      </c>
      <c r="AG301" s="272">
        <f t="shared" si="110"/>
        <v>16.007320250072379</v>
      </c>
      <c r="AH301" s="272">
        <f t="shared" si="123"/>
        <v>32</v>
      </c>
      <c r="AI301" s="272">
        <f t="shared" si="111"/>
        <v>16.007320250072379</v>
      </c>
      <c r="AJ301" s="272">
        <f t="shared" si="124"/>
        <v>32</v>
      </c>
      <c r="AK301" s="272">
        <f t="shared" si="112"/>
        <v>16.007320250072379</v>
      </c>
      <c r="AL301" s="272">
        <f t="shared" si="125"/>
        <v>32</v>
      </c>
      <c r="AM301" s="272">
        <f t="shared" si="113"/>
        <v>16.007320250072379</v>
      </c>
      <c r="AN301" s="272">
        <f t="shared" si="126"/>
        <v>32</v>
      </c>
      <c r="AO301" s="272">
        <f t="shared" si="114"/>
        <v>16.007320250072379</v>
      </c>
      <c r="AP301" s="272">
        <f t="shared" si="127"/>
        <v>32</v>
      </c>
      <c r="AQ301" s="272">
        <f t="shared" si="115"/>
        <v>16.007320250072379</v>
      </c>
      <c r="AR301" s="272">
        <f t="shared" si="128"/>
        <v>32</v>
      </c>
      <c r="AS301" s="508">
        <f t="shared" si="116"/>
        <v>16.007320250072379</v>
      </c>
    </row>
    <row r="302" spans="1:45" ht="12.75" customHeight="1">
      <c r="A302" s="96">
        <f>IF(MAX($F$104:F302)=$G$99,$G$99,F302)</f>
        <v>2.787105402187591E-2</v>
      </c>
      <c r="B302" s="96">
        <v>199</v>
      </c>
      <c r="C302" s="96">
        <f t="shared" si="107"/>
        <v>0.29850000000000021</v>
      </c>
      <c r="D302" s="96">
        <f t="shared" si="129"/>
        <v>55.432799960343281</v>
      </c>
      <c r="E302" s="96">
        <f t="shared" si="130"/>
        <v>0.9998368882894324</v>
      </c>
      <c r="F302" s="96">
        <f t="shared" si="131"/>
        <v>2.787105402187591E-2</v>
      </c>
      <c r="G302" s="96">
        <f t="shared" si="134"/>
        <v>-0.27012894597812409</v>
      </c>
      <c r="I302" s="96">
        <f t="shared" si="132"/>
        <v>0</v>
      </c>
      <c r="J302" s="96">
        <f t="shared" si="133"/>
        <v>0.29850000000000021</v>
      </c>
      <c r="X302" s="96">
        <f t="shared" si="117"/>
        <v>17</v>
      </c>
      <c r="Y302" s="517">
        <v>0.71499999999998198</v>
      </c>
      <c r="Z302" s="272">
        <f t="shared" si="119"/>
        <v>17</v>
      </c>
      <c r="AA302" s="519">
        <f t="shared" si="120"/>
        <v>15.028446655364354</v>
      </c>
      <c r="AB302" s="516">
        <f t="shared" si="118"/>
        <v>30</v>
      </c>
      <c r="AC302" s="272">
        <f t="shared" si="108"/>
        <v>16.31718619959058</v>
      </c>
      <c r="AD302" s="272">
        <f t="shared" si="121"/>
        <v>32</v>
      </c>
      <c r="AE302" s="272">
        <f t="shared" si="109"/>
        <v>16.23198164729332</v>
      </c>
      <c r="AF302" s="272">
        <f t="shared" si="122"/>
        <v>32</v>
      </c>
      <c r="AG302" s="272">
        <f t="shared" si="110"/>
        <v>16.23198164729332</v>
      </c>
      <c r="AH302" s="272">
        <f t="shared" si="123"/>
        <v>32</v>
      </c>
      <c r="AI302" s="272">
        <f t="shared" si="111"/>
        <v>16.23198164729332</v>
      </c>
      <c r="AJ302" s="272">
        <f t="shared" si="124"/>
        <v>32</v>
      </c>
      <c r="AK302" s="272">
        <f t="shared" si="112"/>
        <v>16.23198164729332</v>
      </c>
      <c r="AL302" s="272">
        <f t="shared" si="125"/>
        <v>32</v>
      </c>
      <c r="AM302" s="272">
        <f t="shared" si="113"/>
        <v>16.23198164729332</v>
      </c>
      <c r="AN302" s="272">
        <f t="shared" si="126"/>
        <v>32</v>
      </c>
      <c r="AO302" s="272">
        <f t="shared" si="114"/>
        <v>16.23198164729332</v>
      </c>
      <c r="AP302" s="272">
        <f t="shared" si="127"/>
        <v>32</v>
      </c>
      <c r="AQ302" s="272">
        <f t="shared" si="115"/>
        <v>16.23198164729332</v>
      </c>
      <c r="AR302" s="272">
        <f t="shared" si="128"/>
        <v>32</v>
      </c>
      <c r="AS302" s="508">
        <f t="shared" si="116"/>
        <v>16.23198164729332</v>
      </c>
    </row>
    <row r="303" spans="1:45" ht="12.75" customHeight="1">
      <c r="A303" s="96">
        <f>IF(MAX($F$104:F303)=$G$99,$G$99,F303)</f>
        <v>3.4270633446707256E-2</v>
      </c>
      <c r="B303" s="481">
        <v>200</v>
      </c>
      <c r="C303" s="96">
        <f t="shared" si="107"/>
        <v>0.30000000000000021</v>
      </c>
      <c r="D303" s="96">
        <f t="shared" si="129"/>
        <v>55.991313310616682</v>
      </c>
      <c r="E303" s="96">
        <f t="shared" si="130"/>
        <v>0.99979604250759813</v>
      </c>
      <c r="F303" s="96">
        <f t="shared" si="131"/>
        <v>3.4270633446707256E-2</v>
      </c>
      <c r="G303" s="96">
        <f t="shared" si="134"/>
        <v>-0.26372936655329271</v>
      </c>
      <c r="I303" s="96">
        <f t="shared" si="132"/>
        <v>0</v>
      </c>
      <c r="J303" s="96">
        <f t="shared" si="133"/>
        <v>0.30000000000000021</v>
      </c>
      <c r="X303" s="96">
        <f t="shared" si="117"/>
        <v>17</v>
      </c>
      <c r="Y303" s="96">
        <v>0.70999999999998198</v>
      </c>
      <c r="Z303" s="272">
        <f t="shared" si="119"/>
        <v>17</v>
      </c>
      <c r="AA303" s="519">
        <f t="shared" si="120"/>
        <v>15.240860228900306</v>
      </c>
      <c r="AB303" s="516">
        <f t="shared" si="118"/>
        <v>30</v>
      </c>
      <c r="AC303" s="272">
        <f t="shared" si="108"/>
        <v>16.547814947204323</v>
      </c>
      <c r="AD303" s="272">
        <f t="shared" si="121"/>
        <v>32</v>
      </c>
      <c r="AE303" s="272">
        <f t="shared" si="109"/>
        <v>16.461406105212316</v>
      </c>
      <c r="AF303" s="272">
        <f t="shared" si="122"/>
        <v>32</v>
      </c>
      <c r="AG303" s="272">
        <f t="shared" si="110"/>
        <v>16.461406105212316</v>
      </c>
      <c r="AH303" s="272">
        <f t="shared" si="123"/>
        <v>32</v>
      </c>
      <c r="AI303" s="272">
        <f t="shared" si="111"/>
        <v>16.461406105212316</v>
      </c>
      <c r="AJ303" s="272">
        <f t="shared" si="124"/>
        <v>32</v>
      </c>
      <c r="AK303" s="272">
        <f t="shared" si="112"/>
        <v>16.461406105212316</v>
      </c>
      <c r="AL303" s="272">
        <f t="shared" si="125"/>
        <v>32</v>
      </c>
      <c r="AM303" s="272">
        <f t="shared" si="113"/>
        <v>16.461406105212316</v>
      </c>
      <c r="AN303" s="272">
        <f t="shared" si="126"/>
        <v>32</v>
      </c>
      <c r="AO303" s="272">
        <f t="shared" si="114"/>
        <v>16.461406105212316</v>
      </c>
      <c r="AP303" s="272">
        <f t="shared" si="127"/>
        <v>32</v>
      </c>
      <c r="AQ303" s="272">
        <f t="shared" si="115"/>
        <v>16.461406105212316</v>
      </c>
      <c r="AR303" s="272">
        <f t="shared" si="128"/>
        <v>32</v>
      </c>
      <c r="AS303" s="508">
        <f t="shared" si="116"/>
        <v>16.461406105212316</v>
      </c>
    </row>
    <row r="304" spans="1:45" ht="12.75" customHeight="1">
      <c r="A304" s="96">
        <f>IF(MAX($F$104:F304)=$G$99,$G$99,F304)</f>
        <v>4.1979035255558975E-2</v>
      </c>
      <c r="B304" s="481">
        <v>201</v>
      </c>
      <c r="C304" s="96">
        <f t="shared" si="107"/>
        <v>0.30150000000000021</v>
      </c>
      <c r="D304" s="96">
        <f t="shared" si="129"/>
        <v>56.552626226555617</v>
      </c>
      <c r="E304" s="96">
        <f t="shared" si="130"/>
        <v>0.99974590430683052</v>
      </c>
      <c r="F304" s="96">
        <f t="shared" si="131"/>
        <v>4.1979035255558975E-2</v>
      </c>
      <c r="G304" s="96">
        <f t="shared" si="134"/>
        <v>-0.25602096474444103</v>
      </c>
      <c r="I304" s="96">
        <f t="shared" si="132"/>
        <v>0</v>
      </c>
      <c r="J304" s="96">
        <f t="shared" si="133"/>
        <v>0.30150000000000021</v>
      </c>
      <c r="X304" s="96">
        <f t="shared" si="117"/>
        <v>17</v>
      </c>
      <c r="Y304" s="517">
        <v>0.70499999999998197</v>
      </c>
      <c r="Z304" s="272">
        <f t="shared" si="119"/>
        <v>17</v>
      </c>
      <c r="AA304" s="519">
        <f t="shared" si="120"/>
        <v>15.457809247801713</v>
      </c>
      <c r="AB304" s="516">
        <f t="shared" si="118"/>
        <v>30</v>
      </c>
      <c r="AC304" s="272">
        <f t="shared" si="108"/>
        <v>16.783368069786633</v>
      </c>
      <c r="AD304" s="272">
        <f t="shared" si="121"/>
        <v>32</v>
      </c>
      <c r="AE304" s="272">
        <f t="shared" si="109"/>
        <v>16.695729224158807</v>
      </c>
      <c r="AF304" s="272">
        <f t="shared" si="122"/>
        <v>32</v>
      </c>
      <c r="AG304" s="272">
        <f t="shared" si="110"/>
        <v>16.695729224158807</v>
      </c>
      <c r="AH304" s="272">
        <f t="shared" si="123"/>
        <v>32</v>
      </c>
      <c r="AI304" s="272">
        <f t="shared" si="111"/>
        <v>16.695729224158807</v>
      </c>
      <c r="AJ304" s="272">
        <f t="shared" si="124"/>
        <v>32</v>
      </c>
      <c r="AK304" s="272">
        <f t="shared" si="112"/>
        <v>16.695729224158807</v>
      </c>
      <c r="AL304" s="272">
        <f t="shared" si="125"/>
        <v>32</v>
      </c>
      <c r="AM304" s="272">
        <f t="shared" si="113"/>
        <v>16.695729224158807</v>
      </c>
      <c r="AN304" s="272">
        <f t="shared" si="126"/>
        <v>32</v>
      </c>
      <c r="AO304" s="272">
        <f t="shared" si="114"/>
        <v>16.695729224158807</v>
      </c>
      <c r="AP304" s="272">
        <f t="shared" si="127"/>
        <v>32</v>
      </c>
      <c r="AQ304" s="272">
        <f t="shared" si="115"/>
        <v>16.695729224158807</v>
      </c>
      <c r="AR304" s="272">
        <f t="shared" si="128"/>
        <v>32</v>
      </c>
      <c r="AS304" s="508">
        <f t="shared" si="116"/>
        <v>16.695729224158807</v>
      </c>
    </row>
    <row r="305" spans="1:45" ht="12.75" customHeight="1">
      <c r="A305" s="96">
        <f>IF(MAX($F$104:F305)=$G$99,$G$99,F305)</f>
        <v>5.1226532606962007E-2</v>
      </c>
      <c r="B305" s="96">
        <v>202</v>
      </c>
      <c r="C305" s="96">
        <f t="shared" si="107"/>
        <v>0.30300000000000021</v>
      </c>
      <c r="D305" s="96">
        <f t="shared" si="129"/>
        <v>57.116738708160078</v>
      </c>
      <c r="E305" s="96">
        <f t="shared" si="130"/>
        <v>0.99968459374143293</v>
      </c>
      <c r="F305" s="96">
        <f t="shared" si="131"/>
        <v>5.1226532606962007E-2</v>
      </c>
      <c r="G305" s="96">
        <f t="shared" si="134"/>
        <v>-0.24677346739303799</v>
      </c>
      <c r="I305" s="96">
        <f t="shared" si="132"/>
        <v>0</v>
      </c>
      <c r="J305" s="96">
        <f t="shared" si="133"/>
        <v>0.30300000000000021</v>
      </c>
      <c r="X305" s="96">
        <f t="shared" si="117"/>
        <v>17</v>
      </c>
      <c r="Y305" s="96">
        <v>0.69999999999998197</v>
      </c>
      <c r="Z305" s="272">
        <f t="shared" si="119"/>
        <v>17</v>
      </c>
      <c r="AA305" s="519">
        <f t="shared" si="120"/>
        <v>15.679423757936021</v>
      </c>
      <c r="AB305" s="516">
        <f t="shared" si="118"/>
        <v>30</v>
      </c>
      <c r="AC305" s="272">
        <f t="shared" si="108"/>
        <v>17.02398676507287</v>
      </c>
      <c r="AD305" s="272">
        <f t="shared" si="121"/>
        <v>32</v>
      </c>
      <c r="AE305" s="272">
        <f t="shared" si="109"/>
        <v>16.935091464566398</v>
      </c>
      <c r="AF305" s="272">
        <f t="shared" si="122"/>
        <v>32</v>
      </c>
      <c r="AG305" s="272">
        <f t="shared" si="110"/>
        <v>16.935091464566398</v>
      </c>
      <c r="AH305" s="272">
        <f t="shared" si="123"/>
        <v>32</v>
      </c>
      <c r="AI305" s="272">
        <f t="shared" si="111"/>
        <v>16.935091464566398</v>
      </c>
      <c r="AJ305" s="272">
        <f t="shared" si="124"/>
        <v>32</v>
      </c>
      <c r="AK305" s="272">
        <f t="shared" si="112"/>
        <v>16.935091464566398</v>
      </c>
      <c r="AL305" s="272">
        <f t="shared" si="125"/>
        <v>32</v>
      </c>
      <c r="AM305" s="272">
        <f t="shared" si="113"/>
        <v>16.935091464566398</v>
      </c>
      <c r="AN305" s="272">
        <f t="shared" si="126"/>
        <v>32</v>
      </c>
      <c r="AO305" s="272">
        <f t="shared" si="114"/>
        <v>16.935091464566398</v>
      </c>
      <c r="AP305" s="272">
        <f t="shared" si="127"/>
        <v>32</v>
      </c>
      <c r="AQ305" s="272">
        <f t="shared" si="115"/>
        <v>16.935091464566398</v>
      </c>
      <c r="AR305" s="272">
        <f t="shared" si="128"/>
        <v>32</v>
      </c>
      <c r="AS305" s="508">
        <f t="shared" si="116"/>
        <v>16.935091464566398</v>
      </c>
    </row>
    <row r="306" spans="1:45" ht="12.75" customHeight="1">
      <c r="A306" s="96">
        <f>IF(MAX($F$104:F306)=$G$99,$G$99,F306)</f>
        <v>6.2275871264120999E-2</v>
      </c>
      <c r="B306" s="481">
        <v>203</v>
      </c>
      <c r="C306" s="96">
        <f t="shared" si="107"/>
        <v>0.30450000000000021</v>
      </c>
      <c r="D306" s="96">
        <f t="shared" si="129"/>
        <v>57.683650755430072</v>
      </c>
      <c r="E306" s="96">
        <f t="shared" si="130"/>
        <v>0.99960990466274124</v>
      </c>
      <c r="F306" s="96">
        <f t="shared" si="131"/>
        <v>6.2275871264120999E-2</v>
      </c>
      <c r="G306" s="96">
        <f t="shared" si="134"/>
        <v>-0.235724128735879</v>
      </c>
      <c r="I306" s="96">
        <f t="shared" si="132"/>
        <v>0</v>
      </c>
      <c r="J306" s="96">
        <f t="shared" si="133"/>
        <v>0.30450000000000021</v>
      </c>
      <c r="X306" s="96">
        <f t="shared" si="117"/>
        <v>18</v>
      </c>
      <c r="Y306" s="517">
        <v>0.69499999999998197</v>
      </c>
      <c r="Z306" s="272">
        <f t="shared" si="119"/>
        <v>18</v>
      </c>
      <c r="AA306" s="519">
        <f t="shared" si="120"/>
        <v>15.905838499847116</v>
      </c>
      <c r="AB306" s="516">
        <f t="shared" si="118"/>
        <v>30</v>
      </c>
      <c r="AC306" s="272">
        <f t="shared" si="108"/>
        <v>17.269817328059016</v>
      </c>
      <c r="AD306" s="272">
        <f t="shared" si="121"/>
        <v>32</v>
      </c>
      <c r="AE306" s="272">
        <f t="shared" si="109"/>
        <v>17.17963835751263</v>
      </c>
      <c r="AF306" s="272">
        <f t="shared" si="122"/>
        <v>34</v>
      </c>
      <c r="AG306" s="272">
        <f t="shared" si="110"/>
        <v>17.100637436983622</v>
      </c>
      <c r="AH306" s="272">
        <f t="shared" si="123"/>
        <v>34</v>
      </c>
      <c r="AI306" s="272">
        <f t="shared" si="111"/>
        <v>17.100637436983622</v>
      </c>
      <c r="AJ306" s="272">
        <f t="shared" si="124"/>
        <v>34</v>
      </c>
      <c r="AK306" s="272">
        <f t="shared" si="112"/>
        <v>17.100637436983622</v>
      </c>
      <c r="AL306" s="272">
        <f t="shared" si="125"/>
        <v>34</v>
      </c>
      <c r="AM306" s="272">
        <f t="shared" si="113"/>
        <v>17.100637436983622</v>
      </c>
      <c r="AN306" s="272">
        <f t="shared" si="126"/>
        <v>34</v>
      </c>
      <c r="AO306" s="272">
        <f t="shared" si="114"/>
        <v>17.100637436983622</v>
      </c>
      <c r="AP306" s="272">
        <f t="shared" si="127"/>
        <v>34</v>
      </c>
      <c r="AQ306" s="272">
        <f t="shared" si="115"/>
        <v>17.100637436983622</v>
      </c>
      <c r="AR306" s="272">
        <f t="shared" si="128"/>
        <v>34</v>
      </c>
      <c r="AS306" s="508">
        <f t="shared" si="116"/>
        <v>17.100637436983622</v>
      </c>
    </row>
    <row r="307" spans="1:45" ht="12.75" customHeight="1">
      <c r="A307" s="96">
        <f>IF(MAX($F$104:F307)=$G$99,$G$99,F307)</f>
        <v>7.5425343865601249E-2</v>
      </c>
      <c r="B307" s="481">
        <v>204</v>
      </c>
      <c r="C307" s="96">
        <f t="shared" si="107"/>
        <v>0.30600000000000022</v>
      </c>
      <c r="D307" s="96">
        <f t="shared" si="129"/>
        <v>58.2533623683656</v>
      </c>
      <c r="E307" s="96">
        <f t="shared" si="130"/>
        <v>0.99951925956993526</v>
      </c>
      <c r="F307" s="96">
        <f t="shared" si="131"/>
        <v>7.5425343865601249E-2</v>
      </c>
      <c r="G307" s="96">
        <f t="shared" si="134"/>
        <v>-0.22257465613439875</v>
      </c>
      <c r="I307" s="96">
        <f t="shared" si="132"/>
        <v>0</v>
      </c>
      <c r="J307" s="96">
        <f t="shared" si="133"/>
        <v>0.30600000000000022</v>
      </c>
      <c r="X307" s="96">
        <f t="shared" si="117"/>
        <v>18</v>
      </c>
      <c r="Y307" s="96">
        <v>0.68999999999998096</v>
      </c>
      <c r="Z307" s="272">
        <f t="shared" si="119"/>
        <v>18</v>
      </c>
      <c r="AA307" s="519">
        <f t="shared" si="120"/>
        <v>16.137193113607811</v>
      </c>
      <c r="AB307" s="516">
        <f t="shared" si="118"/>
        <v>32</v>
      </c>
      <c r="AC307" s="272">
        <f t="shared" si="108"/>
        <v>17.429520725976825</v>
      </c>
      <c r="AD307" s="272">
        <f t="shared" si="121"/>
        <v>34</v>
      </c>
      <c r="AE307" s="272">
        <f t="shared" si="109"/>
        <v>17.34937071623407</v>
      </c>
      <c r="AF307" s="272">
        <f t="shared" si="122"/>
        <v>34</v>
      </c>
      <c r="AG307" s="272">
        <f t="shared" si="110"/>
        <v>17.34937071623407</v>
      </c>
      <c r="AH307" s="272">
        <f t="shared" si="123"/>
        <v>34</v>
      </c>
      <c r="AI307" s="272">
        <f t="shared" si="111"/>
        <v>17.34937071623407</v>
      </c>
      <c r="AJ307" s="272">
        <f t="shared" si="124"/>
        <v>34</v>
      </c>
      <c r="AK307" s="272">
        <f t="shared" si="112"/>
        <v>17.34937071623407</v>
      </c>
      <c r="AL307" s="272">
        <f t="shared" si="125"/>
        <v>34</v>
      </c>
      <c r="AM307" s="272">
        <f t="shared" si="113"/>
        <v>17.34937071623407</v>
      </c>
      <c r="AN307" s="272">
        <f t="shared" si="126"/>
        <v>34</v>
      </c>
      <c r="AO307" s="272">
        <f t="shared" si="114"/>
        <v>17.34937071623407</v>
      </c>
      <c r="AP307" s="272">
        <f t="shared" si="127"/>
        <v>34</v>
      </c>
      <c r="AQ307" s="272">
        <f t="shared" si="115"/>
        <v>17.34937071623407</v>
      </c>
      <c r="AR307" s="272">
        <f t="shared" si="128"/>
        <v>34</v>
      </c>
      <c r="AS307" s="508">
        <f t="shared" si="116"/>
        <v>17.34937071623407</v>
      </c>
    </row>
    <row r="308" spans="1:45" ht="12.75" customHeight="1">
      <c r="A308" s="96">
        <f>IF(MAX($F$104:F308)=$G$99,$G$99,F308)</f>
        <v>9.1011659370367662E-2</v>
      </c>
      <c r="B308" s="96">
        <v>205</v>
      </c>
      <c r="C308" s="96">
        <f t="shared" si="107"/>
        <v>0.30750000000000022</v>
      </c>
      <c r="D308" s="96">
        <f t="shared" si="129"/>
        <v>58.825873546966655</v>
      </c>
      <c r="E308" s="96">
        <f t="shared" si="130"/>
        <v>0.99940966038699186</v>
      </c>
      <c r="F308" s="96">
        <f t="shared" si="131"/>
        <v>9.1011659370367662E-2</v>
      </c>
      <c r="G308" s="96">
        <f t="shared" si="134"/>
        <v>-0.20698834062963234</v>
      </c>
      <c r="I308" s="96">
        <f t="shared" si="132"/>
        <v>0</v>
      </c>
      <c r="J308" s="96">
        <f t="shared" si="133"/>
        <v>0.30750000000000022</v>
      </c>
      <c r="X308" s="96">
        <f t="shared" si="117"/>
        <v>18</v>
      </c>
      <c r="Y308" s="517">
        <v>0.68499999999998096</v>
      </c>
      <c r="Z308" s="272">
        <f t="shared" si="119"/>
        <v>18</v>
      </c>
      <c r="AA308" s="519">
        <f t="shared" si="120"/>
        <v>16.373632354176955</v>
      </c>
      <c r="AB308" s="516">
        <f t="shared" si="118"/>
        <v>32</v>
      </c>
      <c r="AC308" s="272">
        <f t="shared" si="108"/>
        <v>17.684894917443806</v>
      </c>
      <c r="AD308" s="272">
        <f t="shared" si="121"/>
        <v>34</v>
      </c>
      <c r="AE308" s="272">
        <f t="shared" si="109"/>
        <v>17.603570564226214</v>
      </c>
      <c r="AF308" s="272">
        <f t="shared" si="122"/>
        <v>34</v>
      </c>
      <c r="AG308" s="272">
        <f t="shared" si="110"/>
        <v>17.603570564226214</v>
      </c>
      <c r="AH308" s="272">
        <f t="shared" si="123"/>
        <v>34</v>
      </c>
      <c r="AI308" s="272">
        <f t="shared" si="111"/>
        <v>17.603570564226214</v>
      </c>
      <c r="AJ308" s="272">
        <f t="shared" si="124"/>
        <v>34</v>
      </c>
      <c r="AK308" s="272">
        <f t="shared" si="112"/>
        <v>17.603570564226214</v>
      </c>
      <c r="AL308" s="272">
        <f t="shared" si="125"/>
        <v>34</v>
      </c>
      <c r="AM308" s="272">
        <f t="shared" si="113"/>
        <v>17.603570564226214</v>
      </c>
      <c r="AN308" s="272">
        <f t="shared" si="126"/>
        <v>34</v>
      </c>
      <c r="AO308" s="272">
        <f t="shared" si="114"/>
        <v>17.603570564226214</v>
      </c>
      <c r="AP308" s="272">
        <f t="shared" si="127"/>
        <v>34</v>
      </c>
      <c r="AQ308" s="272">
        <f t="shared" si="115"/>
        <v>17.603570564226214</v>
      </c>
      <c r="AR308" s="272">
        <f t="shared" si="128"/>
        <v>34</v>
      </c>
      <c r="AS308" s="508">
        <f t="shared" si="116"/>
        <v>17.603570564226214</v>
      </c>
    </row>
    <row r="309" spans="1:45" ht="12.75" customHeight="1">
      <c r="A309" s="96">
        <f>IF(MAX($F$104:F309)=$G$99,$G$99,F309)</f>
        <v>0.1094129796393454</v>
      </c>
      <c r="B309" s="481">
        <v>206</v>
      </c>
      <c r="C309" s="96">
        <f t="shared" si="107"/>
        <v>0.30900000000000022</v>
      </c>
      <c r="D309" s="96">
        <f t="shared" si="129"/>
        <v>59.401184291233243</v>
      </c>
      <c r="E309" s="96">
        <f t="shared" si="130"/>
        <v>0.99927763569550065</v>
      </c>
      <c r="F309" s="96">
        <f t="shared" si="131"/>
        <v>0.1094129796393454</v>
      </c>
      <c r="G309" s="96">
        <f t="shared" si="134"/>
        <v>-0.18858702036065458</v>
      </c>
      <c r="I309" s="96">
        <f t="shared" si="132"/>
        <v>0</v>
      </c>
      <c r="J309" s="96">
        <f t="shared" si="133"/>
        <v>0.30900000000000022</v>
      </c>
      <c r="X309" s="96">
        <f t="shared" si="117"/>
        <v>18</v>
      </c>
      <c r="Y309" s="96">
        <v>0.67999999999998095</v>
      </c>
      <c r="Z309" s="272">
        <f t="shared" si="119"/>
        <v>18</v>
      </c>
      <c r="AA309" s="519">
        <f t="shared" si="120"/>
        <v>16.615306317882105</v>
      </c>
      <c r="AB309" s="516">
        <f t="shared" si="118"/>
        <v>32</v>
      </c>
      <c r="AC309" s="272">
        <f t="shared" si="108"/>
        <v>17.945923048524161</v>
      </c>
      <c r="AD309" s="272">
        <f t="shared" si="121"/>
        <v>34</v>
      </c>
      <c r="AE309" s="272">
        <f t="shared" si="109"/>
        <v>17.863398352074064</v>
      </c>
      <c r="AF309" s="272">
        <f t="shared" si="122"/>
        <v>34</v>
      </c>
      <c r="AG309" s="272">
        <f t="shared" si="110"/>
        <v>17.863398352074064</v>
      </c>
      <c r="AH309" s="272">
        <f t="shared" si="123"/>
        <v>34</v>
      </c>
      <c r="AI309" s="272">
        <f t="shared" si="111"/>
        <v>17.863398352074064</v>
      </c>
      <c r="AJ309" s="272">
        <f t="shared" si="124"/>
        <v>34</v>
      </c>
      <c r="AK309" s="272">
        <f t="shared" si="112"/>
        <v>17.863398352074064</v>
      </c>
      <c r="AL309" s="272">
        <f t="shared" si="125"/>
        <v>34</v>
      </c>
      <c r="AM309" s="272">
        <f t="shared" si="113"/>
        <v>17.863398352074064</v>
      </c>
      <c r="AN309" s="272">
        <f t="shared" si="126"/>
        <v>34</v>
      </c>
      <c r="AO309" s="272">
        <f t="shared" si="114"/>
        <v>17.863398352074064</v>
      </c>
      <c r="AP309" s="272">
        <f t="shared" si="127"/>
        <v>34</v>
      </c>
      <c r="AQ309" s="272">
        <f t="shared" si="115"/>
        <v>17.863398352074064</v>
      </c>
      <c r="AR309" s="272">
        <f t="shared" si="128"/>
        <v>34</v>
      </c>
      <c r="AS309" s="508">
        <f t="shared" si="116"/>
        <v>17.863398352074064</v>
      </c>
    </row>
    <row r="310" spans="1:45" ht="12.75" customHeight="1">
      <c r="A310" s="96">
        <f>IF(MAX($F$104:F310)=$G$99,$G$99,F310)</f>
        <v>0.13105169265999916</v>
      </c>
      <c r="B310" s="481">
        <v>207</v>
      </c>
      <c r="C310" s="96">
        <f t="shared" si="107"/>
        <v>0.31050000000000022</v>
      </c>
      <c r="D310" s="96">
        <f t="shared" si="129"/>
        <v>59.979294601165364</v>
      </c>
      <c r="E310" s="96">
        <f t="shared" si="130"/>
        <v>0.99911918344989625</v>
      </c>
      <c r="F310" s="96">
        <f t="shared" si="131"/>
        <v>0.13105169265999916</v>
      </c>
      <c r="G310" s="96">
        <f t="shared" si="134"/>
        <v>-0.16694830734000082</v>
      </c>
      <c r="I310" s="96">
        <f t="shared" si="132"/>
        <v>0</v>
      </c>
      <c r="J310" s="96">
        <f t="shared" si="133"/>
        <v>0.31050000000000022</v>
      </c>
      <c r="X310" s="96">
        <f t="shared" si="117"/>
        <v>19</v>
      </c>
      <c r="Y310" s="517">
        <v>0.67499999999998095</v>
      </c>
      <c r="Z310" s="272">
        <f t="shared" si="119"/>
        <v>19</v>
      </c>
      <c r="AA310" s="519">
        <f t="shared" si="120"/>
        <v>16.862370680688478</v>
      </c>
      <c r="AB310" s="516">
        <f t="shared" si="118"/>
        <v>32</v>
      </c>
      <c r="AC310" s="272">
        <f t="shared" si="108"/>
        <v>18.212773262304694</v>
      </c>
      <c r="AD310" s="272">
        <f t="shared" si="121"/>
        <v>34</v>
      </c>
      <c r="AE310" s="272">
        <f t="shared" si="109"/>
        <v>18.129021449654982</v>
      </c>
      <c r="AF310" s="272">
        <f t="shared" si="122"/>
        <v>36</v>
      </c>
      <c r="AG310" s="272">
        <f t="shared" si="110"/>
        <v>18.055046229791074</v>
      </c>
      <c r="AH310" s="272">
        <f t="shared" si="123"/>
        <v>36</v>
      </c>
      <c r="AI310" s="272">
        <f t="shared" si="111"/>
        <v>18.055046229791074</v>
      </c>
      <c r="AJ310" s="272">
        <f t="shared" si="124"/>
        <v>36</v>
      </c>
      <c r="AK310" s="272">
        <f t="shared" si="112"/>
        <v>18.055046229791074</v>
      </c>
      <c r="AL310" s="272">
        <f t="shared" si="125"/>
        <v>36</v>
      </c>
      <c r="AM310" s="272">
        <f t="shared" si="113"/>
        <v>18.055046229791074</v>
      </c>
      <c r="AN310" s="272">
        <f t="shared" si="126"/>
        <v>36</v>
      </c>
      <c r="AO310" s="272">
        <f t="shared" si="114"/>
        <v>18.055046229791074</v>
      </c>
      <c r="AP310" s="272">
        <f t="shared" si="127"/>
        <v>36</v>
      </c>
      <c r="AQ310" s="272">
        <f t="shared" si="115"/>
        <v>18.055046229791074</v>
      </c>
      <c r="AR310" s="272">
        <f t="shared" si="128"/>
        <v>36</v>
      </c>
      <c r="AS310" s="508">
        <f t="shared" si="116"/>
        <v>18.055046229791074</v>
      </c>
    </row>
    <row r="311" spans="1:45" ht="12.75" customHeight="1">
      <c r="A311" s="96">
        <f>IF(MAX($F$104:F311)=$G$99,$G$99,F311)</f>
        <v>0.15639685147666704</v>
      </c>
      <c r="B311" s="96">
        <v>208</v>
      </c>
      <c r="C311" s="96">
        <f t="shared" si="107"/>
        <v>0.31200000000000022</v>
      </c>
      <c r="D311" s="96">
        <f t="shared" si="129"/>
        <v>60.560204476763005</v>
      </c>
      <c r="E311" s="96">
        <f t="shared" si="130"/>
        <v>0.99892971084773075</v>
      </c>
      <c r="F311" s="96">
        <f t="shared" si="131"/>
        <v>0.15639685147666704</v>
      </c>
      <c r="G311" s="96">
        <f t="shared" si="134"/>
        <v>-0.14160314852333294</v>
      </c>
      <c r="I311" s="96">
        <f t="shared" si="132"/>
        <v>0</v>
      </c>
      <c r="J311" s="96">
        <f t="shared" si="133"/>
        <v>0.31200000000000022</v>
      </c>
      <c r="X311" s="96">
        <f t="shared" si="117"/>
        <v>19</v>
      </c>
      <c r="Y311" s="96">
        <v>0.66999999999998106</v>
      </c>
      <c r="Z311" s="272">
        <f t="shared" si="119"/>
        <v>19</v>
      </c>
      <c r="AA311" s="519">
        <f t="shared" si="120"/>
        <v>17.114986948961214</v>
      </c>
      <c r="AB311" s="516">
        <f t="shared" si="118"/>
        <v>34</v>
      </c>
      <c r="AC311" s="272">
        <f t="shared" si="108"/>
        <v>18.400613495208404</v>
      </c>
      <c r="AD311" s="272">
        <f t="shared" si="121"/>
        <v>36</v>
      </c>
      <c r="AE311" s="272">
        <f t="shared" si="109"/>
        <v>18.325530047780259</v>
      </c>
      <c r="AF311" s="272">
        <f t="shared" si="122"/>
        <v>36</v>
      </c>
      <c r="AG311" s="272">
        <f t="shared" si="110"/>
        <v>18.325530047780259</v>
      </c>
      <c r="AH311" s="272">
        <f t="shared" si="123"/>
        <v>36</v>
      </c>
      <c r="AI311" s="272">
        <f t="shared" si="111"/>
        <v>18.325530047780259</v>
      </c>
      <c r="AJ311" s="272">
        <f t="shared" si="124"/>
        <v>36</v>
      </c>
      <c r="AK311" s="272">
        <f t="shared" si="112"/>
        <v>18.325530047780259</v>
      </c>
      <c r="AL311" s="272">
        <f t="shared" si="125"/>
        <v>36</v>
      </c>
      <c r="AM311" s="272">
        <f t="shared" si="113"/>
        <v>18.325530047780259</v>
      </c>
      <c r="AN311" s="272">
        <f t="shared" si="126"/>
        <v>36</v>
      </c>
      <c r="AO311" s="272">
        <f t="shared" si="114"/>
        <v>18.325530047780259</v>
      </c>
      <c r="AP311" s="272">
        <f t="shared" si="127"/>
        <v>36</v>
      </c>
      <c r="AQ311" s="272">
        <f t="shared" si="115"/>
        <v>18.325530047780259</v>
      </c>
      <c r="AR311" s="272">
        <f t="shared" si="128"/>
        <v>36</v>
      </c>
      <c r="AS311" s="508">
        <f t="shared" si="116"/>
        <v>18.325530047780259</v>
      </c>
    </row>
    <row r="312" spans="1:45" ht="12.75" customHeight="1">
      <c r="A312" s="96">
        <f>IF(MAX($F$104:F312)=$G$99,$G$99,F312)</f>
        <v>0.18596620034919351</v>
      </c>
      <c r="B312" s="481">
        <v>209</v>
      </c>
      <c r="C312" s="96">
        <f t="shared" si="107"/>
        <v>0.31350000000000022</v>
      </c>
      <c r="D312" s="96">
        <f t="shared" si="129"/>
        <v>61.143913918026186</v>
      </c>
      <c r="E312" s="96">
        <f t="shared" si="130"/>
        <v>0.9987039705698697</v>
      </c>
      <c r="F312" s="96">
        <f t="shared" si="131"/>
        <v>0.18596620034919351</v>
      </c>
      <c r="G312" s="96">
        <f t="shared" si="134"/>
        <v>-0.11203379965080648</v>
      </c>
      <c r="I312" s="96">
        <f t="shared" si="132"/>
        <v>0</v>
      </c>
      <c r="J312" s="96">
        <f t="shared" si="133"/>
        <v>0.31350000000000022</v>
      </c>
      <c r="X312" s="96">
        <f t="shared" si="117"/>
        <v>19</v>
      </c>
      <c r="Y312" s="517">
        <v>0.66499999999998105</v>
      </c>
      <c r="Z312" s="272">
        <f t="shared" si="119"/>
        <v>19</v>
      </c>
      <c r="AA312" s="519">
        <f t="shared" si="120"/>
        <v>17.37332272347491</v>
      </c>
      <c r="AB312" s="516">
        <f t="shared" si="118"/>
        <v>34</v>
      </c>
      <c r="AC312" s="272">
        <f t="shared" si="108"/>
        <v>18.678354679177012</v>
      </c>
      <c r="AD312" s="272">
        <f t="shared" si="121"/>
        <v>36</v>
      </c>
      <c r="AE312" s="272">
        <f t="shared" si="109"/>
        <v>18.602137912710866</v>
      </c>
      <c r="AF312" s="272">
        <f t="shared" si="122"/>
        <v>36</v>
      </c>
      <c r="AG312" s="272">
        <f t="shared" si="110"/>
        <v>18.602137912710866</v>
      </c>
      <c r="AH312" s="272">
        <f t="shared" si="123"/>
        <v>36</v>
      </c>
      <c r="AI312" s="272">
        <f t="shared" si="111"/>
        <v>18.602137912710866</v>
      </c>
      <c r="AJ312" s="272">
        <f t="shared" si="124"/>
        <v>36</v>
      </c>
      <c r="AK312" s="272">
        <f t="shared" si="112"/>
        <v>18.602137912710866</v>
      </c>
      <c r="AL312" s="272">
        <f t="shared" si="125"/>
        <v>36</v>
      </c>
      <c r="AM312" s="272">
        <f t="shared" si="113"/>
        <v>18.602137912710866</v>
      </c>
      <c r="AN312" s="272">
        <f t="shared" si="126"/>
        <v>36</v>
      </c>
      <c r="AO312" s="272">
        <f t="shared" si="114"/>
        <v>18.602137912710866</v>
      </c>
      <c r="AP312" s="272">
        <f t="shared" si="127"/>
        <v>36</v>
      </c>
      <c r="AQ312" s="272">
        <f t="shared" si="115"/>
        <v>18.602137912710866</v>
      </c>
      <c r="AR312" s="272">
        <f t="shared" si="128"/>
        <v>36</v>
      </c>
      <c r="AS312" s="508">
        <f t="shared" si="116"/>
        <v>18.602137912710866</v>
      </c>
    </row>
    <row r="313" spans="1:45" ht="12.75" customHeight="1">
      <c r="A313" s="96">
        <f>IF(MAX($F$104:F313)=$G$99,$G$99,F313)</f>
        <v>0.22032812792431816</v>
      </c>
      <c r="B313" s="481">
        <v>210</v>
      </c>
      <c r="C313" s="96">
        <f t="shared" si="107"/>
        <v>0.31500000000000022</v>
      </c>
      <c r="D313" s="96">
        <f t="shared" si="129"/>
        <v>61.730422924954901</v>
      </c>
      <c r="E313" s="96">
        <f t="shared" si="130"/>
        <v>0.99843599527158244</v>
      </c>
      <c r="F313" s="96">
        <f t="shared" si="131"/>
        <v>0.22032812792431816</v>
      </c>
      <c r="G313" s="96">
        <f t="shared" si="134"/>
        <v>-7.7671872075681825E-2</v>
      </c>
      <c r="I313" s="96">
        <f t="shared" si="132"/>
        <v>0</v>
      </c>
      <c r="J313" s="96">
        <f t="shared" si="133"/>
        <v>0.31500000000000022</v>
      </c>
      <c r="X313" s="96">
        <f t="shared" si="117"/>
        <v>19</v>
      </c>
      <c r="Y313" s="96">
        <v>0.65999999999998105</v>
      </c>
      <c r="Z313" s="272">
        <f t="shared" si="119"/>
        <v>19</v>
      </c>
      <c r="AA313" s="519">
        <f t="shared" si="120"/>
        <v>17.637551977476342</v>
      </c>
      <c r="AB313" s="516">
        <f t="shared" si="118"/>
        <v>34</v>
      </c>
      <c r="AC313" s="272">
        <f t="shared" si="108"/>
        <v>18.962432043156703</v>
      </c>
      <c r="AD313" s="272">
        <f t="shared" si="121"/>
        <v>36</v>
      </c>
      <c r="AE313" s="272">
        <f t="shared" si="109"/>
        <v>18.885056102958139</v>
      </c>
      <c r="AF313" s="272">
        <f t="shared" si="122"/>
        <v>36</v>
      </c>
      <c r="AG313" s="272">
        <f t="shared" si="110"/>
        <v>18.885056102958139</v>
      </c>
      <c r="AH313" s="272">
        <f t="shared" si="123"/>
        <v>36</v>
      </c>
      <c r="AI313" s="272">
        <f t="shared" si="111"/>
        <v>18.885056102958139</v>
      </c>
      <c r="AJ313" s="272">
        <f t="shared" si="124"/>
        <v>36</v>
      </c>
      <c r="AK313" s="272">
        <f t="shared" si="112"/>
        <v>18.885056102958139</v>
      </c>
      <c r="AL313" s="272">
        <f t="shared" si="125"/>
        <v>36</v>
      </c>
      <c r="AM313" s="272">
        <f t="shared" si="113"/>
        <v>18.885056102958139</v>
      </c>
      <c r="AN313" s="272">
        <f t="shared" si="126"/>
        <v>36</v>
      </c>
      <c r="AO313" s="272">
        <f t="shared" si="114"/>
        <v>18.885056102958139</v>
      </c>
      <c r="AP313" s="272">
        <f t="shared" si="127"/>
        <v>36</v>
      </c>
      <c r="AQ313" s="272">
        <f t="shared" si="115"/>
        <v>18.885056102958139</v>
      </c>
      <c r="AR313" s="272">
        <f t="shared" si="128"/>
        <v>36</v>
      </c>
      <c r="AS313" s="508">
        <f t="shared" si="116"/>
        <v>18.885056102958139</v>
      </c>
    </row>
    <row r="314" spans="1:45" ht="12.75" customHeight="1">
      <c r="A314" s="96">
        <f>IF(MAX($F$104:F314)=$G$99,$G$99,F314)</f>
        <v>0.26010286875372357</v>
      </c>
      <c r="B314" s="96">
        <v>211</v>
      </c>
      <c r="C314" s="96">
        <f t="shared" si="107"/>
        <v>0.31650000000000023</v>
      </c>
      <c r="D314" s="96">
        <f t="shared" si="129"/>
        <v>62.319731497549135</v>
      </c>
      <c r="E314" s="96">
        <f t="shared" si="130"/>
        <v>0.99811902863732727</v>
      </c>
      <c r="F314" s="96">
        <f t="shared" si="131"/>
        <v>0.26010286875372357</v>
      </c>
      <c r="G314" s="96">
        <f t="shared" si="134"/>
        <v>-3.7897131246276416E-2</v>
      </c>
      <c r="I314" s="96">
        <f t="shared" si="132"/>
        <v>0</v>
      </c>
      <c r="J314" s="96">
        <f t="shared" si="133"/>
        <v>0.31650000000000023</v>
      </c>
      <c r="X314" s="96">
        <f t="shared" si="117"/>
        <v>20</v>
      </c>
      <c r="Y314" s="517">
        <v>0.65499999999998104</v>
      </c>
      <c r="Z314" s="272">
        <f t="shared" si="119"/>
        <v>20</v>
      </c>
      <c r="AA314" s="519">
        <f t="shared" si="120"/>
        <v>17.907855349661904</v>
      </c>
      <c r="AB314" s="516">
        <f t="shared" si="118"/>
        <v>34</v>
      </c>
      <c r="AC314" s="272">
        <f t="shared" si="108"/>
        <v>19.253039794881563</v>
      </c>
      <c r="AD314" s="272">
        <f t="shared" si="121"/>
        <v>36</v>
      </c>
      <c r="AE314" s="272">
        <f t="shared" si="109"/>
        <v>19.17447803379423</v>
      </c>
      <c r="AF314" s="272">
        <f t="shared" si="122"/>
        <v>38</v>
      </c>
      <c r="AG314" s="272">
        <f t="shared" si="110"/>
        <v>19.104582069839715</v>
      </c>
      <c r="AH314" s="272">
        <f t="shared" si="123"/>
        <v>38</v>
      </c>
      <c r="AI314" s="272">
        <f t="shared" si="111"/>
        <v>19.104582069839715</v>
      </c>
      <c r="AJ314" s="272">
        <f t="shared" si="124"/>
        <v>38</v>
      </c>
      <c r="AK314" s="272">
        <f t="shared" si="112"/>
        <v>19.104582069839715</v>
      </c>
      <c r="AL314" s="272">
        <f t="shared" si="125"/>
        <v>38</v>
      </c>
      <c r="AM314" s="272">
        <f t="shared" si="113"/>
        <v>19.104582069839715</v>
      </c>
      <c r="AN314" s="272">
        <f t="shared" si="126"/>
        <v>38</v>
      </c>
      <c r="AO314" s="272">
        <f t="shared" si="114"/>
        <v>19.104582069839715</v>
      </c>
      <c r="AP314" s="272">
        <f t="shared" si="127"/>
        <v>38</v>
      </c>
      <c r="AQ314" s="272">
        <f t="shared" si="115"/>
        <v>19.104582069839715</v>
      </c>
      <c r="AR314" s="272">
        <f t="shared" si="128"/>
        <v>38</v>
      </c>
      <c r="AS314" s="508">
        <f t="shared" si="116"/>
        <v>19.104582069839715</v>
      </c>
    </row>
    <row r="315" spans="1:45" ht="12.75" customHeight="1">
      <c r="A315" s="96">
        <f>IF(MAX($F$104:F315)=$G$99,$G$99,F315)</f>
        <v>0.30596270962263655</v>
      </c>
      <c r="B315" s="481">
        <v>212</v>
      </c>
      <c r="C315" s="96">
        <f t="shared" si="107"/>
        <v>0.31800000000000023</v>
      </c>
      <c r="D315" s="96">
        <f t="shared" si="129"/>
        <v>62.91183963580891</v>
      </c>
      <c r="E315" s="96">
        <f t="shared" si="130"/>
        <v>0.99774545668197079</v>
      </c>
      <c r="F315" s="96">
        <f t="shared" si="131"/>
        <v>0.30596270962263655</v>
      </c>
      <c r="G315" s="96">
        <f t="shared" si="134"/>
        <v>7.9627096226365657E-3</v>
      </c>
      <c r="I315" s="96">
        <f t="shared" si="132"/>
        <v>0</v>
      </c>
      <c r="J315" s="96">
        <f t="shared" si="133"/>
        <v>0.31800000000000023</v>
      </c>
      <c r="X315" s="96">
        <f t="shared" si="117"/>
        <v>20</v>
      </c>
      <c r="Y315" s="96">
        <v>0.64999999999998004</v>
      </c>
      <c r="Z315" s="272">
        <f t="shared" si="119"/>
        <v>20</v>
      </c>
      <c r="AA315" s="519">
        <f t="shared" si="120"/>
        <v>18.184420452991066</v>
      </c>
      <c r="AB315" s="516">
        <f t="shared" si="118"/>
        <v>36</v>
      </c>
      <c r="AC315" s="272">
        <f t="shared" si="108"/>
        <v>19.470604588044022</v>
      </c>
      <c r="AD315" s="272">
        <f t="shared" si="121"/>
        <v>38</v>
      </c>
      <c r="AE315" s="272">
        <f t="shared" si="109"/>
        <v>19.399629165711271</v>
      </c>
      <c r="AF315" s="272">
        <f t="shared" si="122"/>
        <v>38</v>
      </c>
      <c r="AG315" s="272">
        <f t="shared" si="110"/>
        <v>19.399629165711271</v>
      </c>
      <c r="AH315" s="272">
        <f t="shared" si="123"/>
        <v>38</v>
      </c>
      <c r="AI315" s="272">
        <f t="shared" si="111"/>
        <v>19.399629165711271</v>
      </c>
      <c r="AJ315" s="272">
        <f t="shared" si="124"/>
        <v>38</v>
      </c>
      <c r="AK315" s="272">
        <f t="shared" si="112"/>
        <v>19.399629165711271</v>
      </c>
      <c r="AL315" s="272">
        <f t="shared" si="125"/>
        <v>38</v>
      </c>
      <c r="AM315" s="272">
        <f t="shared" si="113"/>
        <v>19.399629165711271</v>
      </c>
      <c r="AN315" s="272">
        <f t="shared" si="126"/>
        <v>38</v>
      </c>
      <c r="AO315" s="272">
        <f t="shared" si="114"/>
        <v>19.399629165711271</v>
      </c>
      <c r="AP315" s="272">
        <f t="shared" si="127"/>
        <v>38</v>
      </c>
      <c r="AQ315" s="272">
        <f t="shared" si="115"/>
        <v>19.399629165711271</v>
      </c>
      <c r="AR315" s="272">
        <f t="shared" si="128"/>
        <v>38</v>
      </c>
      <c r="AS315" s="508">
        <f t="shared" si="116"/>
        <v>19.399629165711271</v>
      </c>
    </row>
    <row r="316" spans="1:45" ht="12.75" customHeight="1">
      <c r="A316" s="96">
        <f>IF(MAX($F$104:F316)=$G$99,$G$99,F316)</f>
        <v>0.35863206433969563</v>
      </c>
      <c r="B316" s="481">
        <v>213</v>
      </c>
      <c r="C316" s="96">
        <f t="shared" si="107"/>
        <v>0.31950000000000023</v>
      </c>
      <c r="D316" s="96">
        <f t="shared" si="129"/>
        <v>63.506747339734211</v>
      </c>
      <c r="E316" s="96">
        <f t="shared" si="130"/>
        <v>0.99730673825779814</v>
      </c>
      <c r="F316" s="96">
        <f t="shared" si="131"/>
        <v>0.35863206433969563</v>
      </c>
      <c r="G316" s="96">
        <f t="shared" si="134"/>
        <v>6.0632064339695646E-2</v>
      </c>
      <c r="I316" s="96">
        <f t="shared" si="132"/>
        <v>0</v>
      </c>
      <c r="J316" s="96">
        <f t="shared" si="133"/>
        <v>0.31950000000000023</v>
      </c>
      <c r="X316" s="96">
        <f t="shared" si="117"/>
        <v>20</v>
      </c>
      <c r="Y316" s="517">
        <v>0.64499999999998003</v>
      </c>
      <c r="Z316" s="272">
        <f t="shared" si="119"/>
        <v>20</v>
      </c>
      <c r="AA316" s="519">
        <f t="shared" si="120"/>
        <v>18.467442200321443</v>
      </c>
      <c r="AB316" s="516">
        <f t="shared" si="118"/>
        <v>36</v>
      </c>
      <c r="AC316" s="272">
        <f t="shared" si="108"/>
        <v>19.773644464752365</v>
      </c>
      <c r="AD316" s="272">
        <f t="shared" si="121"/>
        <v>38</v>
      </c>
      <c r="AE316" s="272">
        <f t="shared" si="109"/>
        <v>19.701564383181342</v>
      </c>
      <c r="AF316" s="272">
        <f t="shared" si="122"/>
        <v>38</v>
      </c>
      <c r="AG316" s="272">
        <f t="shared" si="110"/>
        <v>19.701564383181342</v>
      </c>
      <c r="AH316" s="272">
        <f t="shared" si="123"/>
        <v>38</v>
      </c>
      <c r="AI316" s="272">
        <f t="shared" si="111"/>
        <v>19.701564383181342</v>
      </c>
      <c r="AJ316" s="272">
        <f t="shared" si="124"/>
        <v>38</v>
      </c>
      <c r="AK316" s="272">
        <f t="shared" si="112"/>
        <v>19.701564383181342</v>
      </c>
      <c r="AL316" s="272">
        <f t="shared" si="125"/>
        <v>38</v>
      </c>
      <c r="AM316" s="272">
        <f t="shared" si="113"/>
        <v>19.701564383181342</v>
      </c>
      <c r="AN316" s="272">
        <f t="shared" si="126"/>
        <v>38</v>
      </c>
      <c r="AO316" s="272">
        <f t="shared" si="114"/>
        <v>19.701564383181342</v>
      </c>
      <c r="AP316" s="272">
        <f t="shared" si="127"/>
        <v>38</v>
      </c>
      <c r="AQ316" s="272">
        <f t="shared" si="115"/>
        <v>19.701564383181342</v>
      </c>
      <c r="AR316" s="272">
        <f t="shared" si="128"/>
        <v>38</v>
      </c>
      <c r="AS316" s="508">
        <f t="shared" si="116"/>
        <v>19.701564383181342</v>
      </c>
    </row>
    <row r="317" spans="1:45" ht="12.75" customHeight="1">
      <c r="A317" s="96">
        <f>IF(MAX($F$104:F317)=$G$99,$G$99,F317)</f>
        <v>0.41888549415824572</v>
      </c>
      <c r="B317" s="96">
        <v>214</v>
      </c>
      <c r="C317" s="96">
        <f t="shared" si="107"/>
        <v>0.32100000000000023</v>
      </c>
      <c r="D317" s="96">
        <f t="shared" si="129"/>
        <v>64.104454609325046</v>
      </c>
      <c r="E317" s="96">
        <f t="shared" si="130"/>
        <v>0.99679333615717514</v>
      </c>
      <c r="F317" s="96">
        <f t="shared" si="131"/>
        <v>0.41888549415824572</v>
      </c>
      <c r="G317" s="96">
        <f t="shared" si="134"/>
        <v>0.12088549415824573</v>
      </c>
      <c r="I317" s="96">
        <f t="shared" si="132"/>
        <v>0</v>
      </c>
      <c r="J317" s="96">
        <f t="shared" si="133"/>
        <v>0.32100000000000023</v>
      </c>
      <c r="X317" s="96">
        <f t="shared" si="117"/>
        <v>21</v>
      </c>
      <c r="Y317" s="96">
        <v>0.63999999999998003</v>
      </c>
      <c r="Z317" s="272">
        <f t="shared" si="119"/>
        <v>21</v>
      </c>
      <c r="AA317" s="519">
        <f t="shared" si="120"/>
        <v>18.757123147921714</v>
      </c>
      <c r="AB317" s="516">
        <f t="shared" si="118"/>
        <v>36</v>
      </c>
      <c r="AC317" s="272">
        <f t="shared" si="108"/>
        <v>20.083814546993665</v>
      </c>
      <c r="AD317" s="272">
        <f t="shared" si="121"/>
        <v>38</v>
      </c>
      <c r="AE317" s="272">
        <f t="shared" si="109"/>
        <v>20.010603814729059</v>
      </c>
      <c r="AF317" s="272">
        <f t="shared" si="122"/>
        <v>40</v>
      </c>
      <c r="AG317" s="272">
        <f t="shared" si="110"/>
        <v>19.945047122150292</v>
      </c>
      <c r="AH317" s="272">
        <f t="shared" si="123"/>
        <v>38</v>
      </c>
      <c r="AI317" s="272">
        <f t="shared" si="111"/>
        <v>20.010603814729059</v>
      </c>
      <c r="AJ317" s="272">
        <f t="shared" si="124"/>
        <v>40</v>
      </c>
      <c r="AK317" s="272">
        <f t="shared" si="112"/>
        <v>19.945047122150292</v>
      </c>
      <c r="AL317" s="272">
        <f t="shared" si="125"/>
        <v>38</v>
      </c>
      <c r="AM317" s="272">
        <f t="shared" si="113"/>
        <v>20.010603814729059</v>
      </c>
      <c r="AN317" s="272">
        <f t="shared" si="126"/>
        <v>40</v>
      </c>
      <c r="AO317" s="272">
        <f t="shared" si="114"/>
        <v>19.945047122150292</v>
      </c>
      <c r="AP317" s="272">
        <f t="shared" si="127"/>
        <v>38</v>
      </c>
      <c r="AQ317" s="272">
        <f t="shared" si="115"/>
        <v>20.010603814729059</v>
      </c>
      <c r="AR317" s="272">
        <f t="shared" si="128"/>
        <v>40</v>
      </c>
      <c r="AS317" s="508">
        <f t="shared" si="116"/>
        <v>19.945047122150292</v>
      </c>
    </row>
    <row r="318" spans="1:45" ht="12.75" customHeight="1">
      <c r="A318" s="96">
        <f>IF(MAX($F$104:F318)=$G$99,$G$99,F318)</f>
        <v>0.48754617344307855</v>
      </c>
      <c r="B318" s="481">
        <v>215</v>
      </c>
      <c r="C318" s="96">
        <f t="shared" si="107"/>
        <v>0.32250000000000023</v>
      </c>
      <c r="D318" s="96">
        <f t="shared" si="129"/>
        <v>64.7049614445814</v>
      </c>
      <c r="E318" s="96">
        <f t="shared" si="130"/>
        <v>0.99619465287507714</v>
      </c>
      <c r="F318" s="96">
        <f t="shared" si="131"/>
        <v>0.48754617344307855</v>
      </c>
      <c r="G318" s="96">
        <f t="shared" si="134"/>
        <v>0.18954617344307856</v>
      </c>
      <c r="I318" s="96">
        <f t="shared" si="132"/>
        <v>0</v>
      </c>
      <c r="J318" s="96">
        <f t="shared" si="133"/>
        <v>0.32250000000000023</v>
      </c>
      <c r="X318" s="96">
        <f t="shared" si="117"/>
        <v>21</v>
      </c>
      <c r="Y318" s="517">
        <v>0.63499999999998002</v>
      </c>
      <c r="Z318" s="272">
        <f t="shared" si="119"/>
        <v>21</v>
      </c>
      <c r="AA318" s="519">
        <f t="shared" si="120"/>
        <v>19.053673857991782</v>
      </c>
      <c r="AB318" s="516">
        <f t="shared" si="118"/>
        <v>38</v>
      </c>
      <c r="AC318" s="272">
        <f t="shared" si="108"/>
        <v>20.32697209377649</v>
      </c>
      <c r="AD318" s="272">
        <f t="shared" si="121"/>
        <v>40</v>
      </c>
      <c r="AE318" s="272">
        <f t="shared" si="109"/>
        <v>20.260378947815145</v>
      </c>
      <c r="AF318" s="272">
        <f t="shared" si="122"/>
        <v>40</v>
      </c>
      <c r="AG318" s="272">
        <f t="shared" si="110"/>
        <v>20.260378947815145</v>
      </c>
      <c r="AH318" s="272">
        <f t="shared" si="123"/>
        <v>40</v>
      </c>
      <c r="AI318" s="272">
        <f t="shared" si="111"/>
        <v>20.260378947815145</v>
      </c>
      <c r="AJ318" s="272">
        <f t="shared" si="124"/>
        <v>40</v>
      </c>
      <c r="AK318" s="272">
        <f t="shared" si="112"/>
        <v>20.260378947815145</v>
      </c>
      <c r="AL318" s="272">
        <f t="shared" si="125"/>
        <v>40</v>
      </c>
      <c r="AM318" s="272">
        <f t="shared" si="113"/>
        <v>20.260378947815145</v>
      </c>
      <c r="AN318" s="272">
        <f t="shared" si="126"/>
        <v>40</v>
      </c>
      <c r="AO318" s="272">
        <f t="shared" si="114"/>
        <v>20.260378947815145</v>
      </c>
      <c r="AP318" s="272">
        <f t="shared" si="127"/>
        <v>40</v>
      </c>
      <c r="AQ318" s="272">
        <f t="shared" si="115"/>
        <v>20.260378947815145</v>
      </c>
      <c r="AR318" s="272">
        <f t="shared" si="128"/>
        <v>40</v>
      </c>
      <c r="AS318" s="508">
        <f t="shared" si="116"/>
        <v>20.260378947815145</v>
      </c>
    </row>
    <row r="319" spans="1:45" ht="12.75" customHeight="1">
      <c r="A319" s="96">
        <f>IF(MAX($F$104:F319)=$G$99,$G$99,F319)</f>
        <v>0.56548256070477676</v>
      </c>
      <c r="B319" s="481">
        <v>216</v>
      </c>
      <c r="C319" s="96">
        <f t="shared" si="107"/>
        <v>0.32400000000000023</v>
      </c>
      <c r="D319" s="96">
        <f t="shared" si="129"/>
        <v>65.308267845503309</v>
      </c>
      <c r="E319" s="96">
        <f t="shared" si="130"/>
        <v>0.99549896578520236</v>
      </c>
      <c r="F319" s="96">
        <f t="shared" si="131"/>
        <v>0.56548256070477676</v>
      </c>
      <c r="G319" s="96">
        <f t="shared" si="134"/>
        <v>0.26748256070477677</v>
      </c>
      <c r="I319" s="96">
        <f t="shared" si="132"/>
        <v>0</v>
      </c>
      <c r="J319" s="96">
        <f t="shared" si="133"/>
        <v>0.32400000000000023</v>
      </c>
      <c r="X319" s="96">
        <f t="shared" si="117"/>
        <v>21</v>
      </c>
      <c r="Y319" s="96">
        <v>0.62999999999998002</v>
      </c>
      <c r="Z319" s="272">
        <f t="shared" si="119"/>
        <v>21</v>
      </c>
      <c r="AA319" s="519">
        <f t="shared" si="120"/>
        <v>19.357313281402728</v>
      </c>
      <c r="AB319" s="516">
        <f t="shared" si="118"/>
        <v>38</v>
      </c>
      <c r="AC319" s="272">
        <f t="shared" si="108"/>
        <v>20.650902803005874</v>
      </c>
      <c r="AD319" s="272">
        <f t="shared" si="121"/>
        <v>40</v>
      </c>
      <c r="AE319" s="272">
        <f t="shared" si="109"/>
        <v>20.58324842840203</v>
      </c>
      <c r="AF319" s="272">
        <f t="shared" si="122"/>
        <v>40</v>
      </c>
      <c r="AG319" s="272">
        <f t="shared" si="110"/>
        <v>20.58324842840203</v>
      </c>
      <c r="AH319" s="272">
        <f t="shared" si="123"/>
        <v>40</v>
      </c>
      <c r="AI319" s="272">
        <f t="shared" si="111"/>
        <v>20.58324842840203</v>
      </c>
      <c r="AJ319" s="272">
        <f t="shared" si="124"/>
        <v>40</v>
      </c>
      <c r="AK319" s="272">
        <f t="shared" si="112"/>
        <v>20.58324842840203</v>
      </c>
      <c r="AL319" s="272">
        <f t="shared" si="125"/>
        <v>40</v>
      </c>
      <c r="AM319" s="272">
        <f t="shared" si="113"/>
        <v>20.58324842840203</v>
      </c>
      <c r="AN319" s="272">
        <f t="shared" si="126"/>
        <v>40</v>
      </c>
      <c r="AO319" s="272">
        <f t="shared" si="114"/>
        <v>20.58324842840203</v>
      </c>
      <c r="AP319" s="272">
        <f t="shared" si="127"/>
        <v>40</v>
      </c>
      <c r="AQ319" s="272">
        <f t="shared" si="115"/>
        <v>20.58324842840203</v>
      </c>
      <c r="AR319" s="272">
        <f t="shared" si="128"/>
        <v>40</v>
      </c>
      <c r="AS319" s="508">
        <f t="shared" si="116"/>
        <v>20.58324842840203</v>
      </c>
    </row>
    <row r="320" spans="1:45" ht="12.75" customHeight="1">
      <c r="A320" s="96">
        <f>IF(MAX($F$104:F320)=$G$99,$G$99,F320)</f>
        <v>0.65360326087139187</v>
      </c>
      <c r="B320" s="96">
        <v>217</v>
      </c>
      <c r="C320" s="96">
        <f t="shared" si="107"/>
        <v>0.32550000000000023</v>
      </c>
      <c r="D320" s="96">
        <f t="shared" si="129"/>
        <v>65.91437381209073</v>
      </c>
      <c r="E320" s="96">
        <f t="shared" si="130"/>
        <v>0.99469337174046268</v>
      </c>
      <c r="F320" s="96">
        <f t="shared" si="131"/>
        <v>0.65360326087139187</v>
      </c>
      <c r="G320" s="96">
        <f t="shared" si="134"/>
        <v>0.35560326087139188</v>
      </c>
      <c r="I320" s="96">
        <f t="shared" si="132"/>
        <v>0</v>
      </c>
      <c r="J320" s="96">
        <f t="shared" si="133"/>
        <v>0.32550000000000023</v>
      </c>
      <c r="X320" s="96">
        <f t="shared" si="117"/>
        <v>21</v>
      </c>
      <c r="Y320" s="517">
        <v>0.62499999999998002</v>
      </c>
      <c r="Z320" s="272">
        <f t="shared" si="119"/>
        <v>21</v>
      </c>
      <c r="AA320" s="519">
        <f t="shared" si="120"/>
        <v>19.668269161955184</v>
      </c>
      <c r="AB320" s="516">
        <f t="shared" si="118"/>
        <v>38</v>
      </c>
      <c r="AC320" s="272">
        <f t="shared" si="108"/>
        <v>20.982638905633369</v>
      </c>
      <c r="AD320" s="272">
        <f t="shared" si="121"/>
        <v>40</v>
      </c>
      <c r="AE320" s="272">
        <f t="shared" si="109"/>
        <v>20.913897731155892</v>
      </c>
      <c r="AF320" s="272">
        <f t="shared" si="122"/>
        <v>40</v>
      </c>
      <c r="AG320" s="272">
        <f t="shared" si="110"/>
        <v>20.913897731155892</v>
      </c>
      <c r="AH320" s="272">
        <f t="shared" si="123"/>
        <v>40</v>
      </c>
      <c r="AI320" s="272">
        <f t="shared" si="111"/>
        <v>20.913897731155892</v>
      </c>
      <c r="AJ320" s="272">
        <f t="shared" si="124"/>
        <v>40</v>
      </c>
      <c r="AK320" s="272">
        <f t="shared" si="112"/>
        <v>20.913897731155892</v>
      </c>
      <c r="AL320" s="272">
        <f t="shared" si="125"/>
        <v>40</v>
      </c>
      <c r="AM320" s="272">
        <f t="shared" si="113"/>
        <v>20.913897731155892</v>
      </c>
      <c r="AN320" s="272">
        <f t="shared" si="126"/>
        <v>40</v>
      </c>
      <c r="AO320" s="272">
        <f t="shared" si="114"/>
        <v>20.913897731155892</v>
      </c>
      <c r="AP320" s="272">
        <f t="shared" si="127"/>
        <v>40</v>
      </c>
      <c r="AQ320" s="272">
        <f t="shared" si="115"/>
        <v>20.913897731155892</v>
      </c>
      <c r="AR320" s="272">
        <f t="shared" si="128"/>
        <v>40</v>
      </c>
      <c r="AS320" s="508">
        <f t="shared" si="116"/>
        <v>20.913897731155892</v>
      </c>
    </row>
    <row r="321" spans="1:45" ht="12.75" customHeight="1">
      <c r="A321" s="96">
        <f>IF(MAX($F$104:F321)=$G$99,$G$99,F321)</f>
        <v>0.75285017754705075</v>
      </c>
      <c r="B321" s="481">
        <v>218</v>
      </c>
      <c r="C321" s="96">
        <f t="shared" si="107"/>
        <v>0.32700000000000023</v>
      </c>
      <c r="D321" s="96">
        <f t="shared" si="129"/>
        <v>66.523279344343678</v>
      </c>
      <c r="E321" s="96">
        <f t="shared" si="130"/>
        <v>0.99376373588908362</v>
      </c>
      <c r="F321" s="96">
        <f t="shared" si="131"/>
        <v>0.75285017754705075</v>
      </c>
      <c r="G321" s="96">
        <f t="shared" si="134"/>
        <v>0.45485017754705076</v>
      </c>
      <c r="I321" s="96">
        <f t="shared" si="132"/>
        <v>0</v>
      </c>
      <c r="J321" s="96">
        <f t="shared" si="133"/>
        <v>0.32700000000000023</v>
      </c>
      <c r="X321" s="96">
        <f t="shared" si="117"/>
        <v>22</v>
      </c>
      <c r="Y321" s="96">
        <v>0.61999999999998001</v>
      </c>
      <c r="Z321" s="272">
        <f t="shared" si="119"/>
        <v>22</v>
      </c>
      <c r="AA321" s="519">
        <f t="shared" si="120"/>
        <v>19.986778463550337</v>
      </c>
      <c r="AB321" s="516">
        <f t="shared" si="118"/>
        <v>38</v>
      </c>
      <c r="AC321" s="272">
        <f t="shared" si="108"/>
        <v>21.322433201126529</v>
      </c>
      <c r="AD321" s="272">
        <f t="shared" si="121"/>
        <v>40</v>
      </c>
      <c r="AE321" s="272">
        <f t="shared" si="109"/>
        <v>21.252578827348533</v>
      </c>
      <c r="AF321" s="272">
        <f t="shared" si="122"/>
        <v>42</v>
      </c>
      <c r="AG321" s="272">
        <f t="shared" si="110"/>
        <v>21.189665257853509</v>
      </c>
      <c r="AH321" s="272">
        <f t="shared" si="123"/>
        <v>42</v>
      </c>
      <c r="AI321" s="272">
        <f t="shared" si="111"/>
        <v>21.189665257853509</v>
      </c>
      <c r="AJ321" s="272">
        <f t="shared" si="124"/>
        <v>42</v>
      </c>
      <c r="AK321" s="272">
        <f t="shared" si="112"/>
        <v>21.189665257853509</v>
      </c>
      <c r="AL321" s="272">
        <f t="shared" si="125"/>
        <v>42</v>
      </c>
      <c r="AM321" s="272">
        <f t="shared" si="113"/>
        <v>21.189665257853509</v>
      </c>
      <c r="AN321" s="272">
        <f t="shared" si="126"/>
        <v>42</v>
      </c>
      <c r="AO321" s="272">
        <f t="shared" si="114"/>
        <v>21.189665257853509</v>
      </c>
      <c r="AP321" s="272">
        <f t="shared" si="127"/>
        <v>42</v>
      </c>
      <c r="AQ321" s="272">
        <f t="shared" si="115"/>
        <v>21.189665257853509</v>
      </c>
      <c r="AR321" s="272">
        <f t="shared" si="128"/>
        <v>42</v>
      </c>
      <c r="AS321" s="508">
        <f t="shared" si="116"/>
        <v>21.189665257853509</v>
      </c>
    </row>
    <row r="322" spans="1:45" ht="12.75" customHeight="1">
      <c r="A322" s="96">
        <f>IF(MAX($F$104:F322)=$G$99,$G$99,F322)</f>
        <v>0.86419236338301086</v>
      </c>
      <c r="B322" s="481">
        <v>219</v>
      </c>
      <c r="C322" s="96">
        <f t="shared" si="107"/>
        <v>0.32850000000000024</v>
      </c>
      <c r="D322" s="96">
        <f t="shared" si="129"/>
        <v>67.134984442262166</v>
      </c>
      <c r="E322" s="96">
        <f t="shared" si="130"/>
        <v>0.99269465445493954</v>
      </c>
      <c r="F322" s="96">
        <f t="shared" si="131"/>
        <v>0.86419236338301086</v>
      </c>
      <c r="G322" s="96">
        <f t="shared" si="134"/>
        <v>0.56619236338301082</v>
      </c>
      <c r="I322" s="96">
        <f t="shared" si="132"/>
        <v>0</v>
      </c>
      <c r="J322" s="96">
        <f t="shared" si="133"/>
        <v>0.32850000000000024</v>
      </c>
      <c r="X322" s="96">
        <f t="shared" si="117"/>
        <v>22</v>
      </c>
      <c r="Y322" s="517">
        <v>0.61499999999998001</v>
      </c>
      <c r="Z322" s="272">
        <f t="shared" si="119"/>
        <v>22</v>
      </c>
      <c r="AA322" s="519">
        <f t="shared" si="120"/>
        <v>20.313087821769457</v>
      </c>
      <c r="AB322" s="516">
        <f t="shared" si="118"/>
        <v>40</v>
      </c>
      <c r="AC322" s="272">
        <f t="shared" si="108"/>
        <v>21.59955397245761</v>
      </c>
      <c r="AD322" s="272">
        <f t="shared" si="121"/>
        <v>42</v>
      </c>
      <c r="AE322" s="272">
        <f t="shared" si="109"/>
        <v>21.535613259617673</v>
      </c>
      <c r="AF322" s="272">
        <f t="shared" si="122"/>
        <v>42</v>
      </c>
      <c r="AG322" s="272">
        <f t="shared" si="110"/>
        <v>21.535613259617673</v>
      </c>
      <c r="AH322" s="272">
        <f t="shared" si="123"/>
        <v>42</v>
      </c>
      <c r="AI322" s="272">
        <f t="shared" si="111"/>
        <v>21.535613259617673</v>
      </c>
      <c r="AJ322" s="272">
        <f t="shared" si="124"/>
        <v>42</v>
      </c>
      <c r="AK322" s="272">
        <f t="shared" si="112"/>
        <v>21.535613259617673</v>
      </c>
      <c r="AL322" s="272">
        <f t="shared" si="125"/>
        <v>42</v>
      </c>
      <c r="AM322" s="272">
        <f t="shared" si="113"/>
        <v>21.535613259617673</v>
      </c>
      <c r="AN322" s="272">
        <f t="shared" si="126"/>
        <v>42</v>
      </c>
      <c r="AO322" s="272">
        <f t="shared" si="114"/>
        <v>21.535613259617673</v>
      </c>
      <c r="AP322" s="272">
        <f t="shared" si="127"/>
        <v>42</v>
      </c>
      <c r="AQ322" s="272">
        <f t="shared" si="115"/>
        <v>21.535613259617673</v>
      </c>
      <c r="AR322" s="272">
        <f t="shared" si="128"/>
        <v>42</v>
      </c>
      <c r="AS322" s="508">
        <f t="shared" si="116"/>
        <v>21.535613259617673</v>
      </c>
    </row>
    <row r="323" spans="1:45" ht="12.75" customHeight="1">
      <c r="A323" s="96">
        <f>IF(MAX($F$104:F323)=$G$99,$G$99,F323)</f>
        <v>0.98861726715881038</v>
      </c>
      <c r="B323" s="96">
        <v>220</v>
      </c>
      <c r="C323" s="96">
        <f t="shared" ref="C323:C386" si="135">C322+$C$99</f>
        <v>0.33000000000000024</v>
      </c>
      <c r="D323" s="96">
        <f t="shared" si="129"/>
        <v>67.749489105846195</v>
      </c>
      <c r="E323" s="96">
        <f t="shared" si="130"/>
        <v>0.99146941988010218</v>
      </c>
      <c r="F323" s="96">
        <f t="shared" si="131"/>
        <v>0.98861726715881038</v>
      </c>
      <c r="G323" s="96">
        <f t="shared" si="134"/>
        <v>0.69061726715881044</v>
      </c>
      <c r="I323" s="96">
        <f t="shared" si="132"/>
        <v>0</v>
      </c>
      <c r="J323" s="96">
        <f t="shared" si="133"/>
        <v>0.33000000000000024</v>
      </c>
      <c r="X323" s="96">
        <f t="shared" si="117"/>
        <v>22</v>
      </c>
      <c r="Y323" s="96">
        <v>0.60999999999998</v>
      </c>
      <c r="Z323" s="272">
        <f t="shared" si="119"/>
        <v>22</v>
      </c>
      <c r="AA323" s="519">
        <f t="shared" si="120"/>
        <v>20.647454021469386</v>
      </c>
      <c r="AB323" s="516">
        <f t="shared" si="118"/>
        <v>40</v>
      </c>
      <c r="AC323" s="272">
        <f t="shared" si="108"/>
        <v>21.955096214009096</v>
      </c>
      <c r="AD323" s="272">
        <f t="shared" si="121"/>
        <v>42</v>
      </c>
      <c r="AE323" s="272">
        <f t="shared" si="109"/>
        <v>21.890102996825846</v>
      </c>
      <c r="AF323" s="272">
        <f t="shared" si="122"/>
        <v>42</v>
      </c>
      <c r="AG323" s="272">
        <f t="shared" si="110"/>
        <v>21.890102996825846</v>
      </c>
      <c r="AH323" s="272">
        <f t="shared" si="123"/>
        <v>42</v>
      </c>
      <c r="AI323" s="272">
        <f t="shared" si="111"/>
        <v>21.890102996825846</v>
      </c>
      <c r="AJ323" s="272">
        <f t="shared" si="124"/>
        <v>42</v>
      </c>
      <c r="AK323" s="272">
        <f t="shared" si="112"/>
        <v>21.890102996825846</v>
      </c>
      <c r="AL323" s="272">
        <f t="shared" si="125"/>
        <v>42</v>
      </c>
      <c r="AM323" s="272">
        <f t="shared" si="113"/>
        <v>21.890102996825846</v>
      </c>
      <c r="AN323" s="272">
        <f t="shared" si="126"/>
        <v>42</v>
      </c>
      <c r="AO323" s="272">
        <f t="shared" si="114"/>
        <v>21.890102996825846</v>
      </c>
      <c r="AP323" s="272">
        <f t="shared" si="127"/>
        <v>42</v>
      </c>
      <c r="AQ323" s="272">
        <f t="shared" si="115"/>
        <v>21.890102996825846</v>
      </c>
      <c r="AR323" s="272">
        <f t="shared" si="128"/>
        <v>42</v>
      </c>
      <c r="AS323" s="508">
        <f t="shared" si="116"/>
        <v>21.890102996825846</v>
      </c>
    </row>
    <row r="324" spans="1:45" ht="12.75" customHeight="1">
      <c r="A324" s="96">
        <f>IF(MAX($F$104:F324)=$G$99,$G$99,F324)</f>
        <v>1.1271193992019064</v>
      </c>
      <c r="B324" s="481">
        <v>221</v>
      </c>
      <c r="C324" s="96">
        <f t="shared" si="135"/>
        <v>0.33150000000000024</v>
      </c>
      <c r="D324" s="96">
        <f t="shared" si="129"/>
        <v>68.366793335095736</v>
      </c>
      <c r="E324" s="96">
        <f t="shared" si="130"/>
        <v>0.99007000684301349</v>
      </c>
      <c r="F324" s="96">
        <f t="shared" si="131"/>
        <v>1.1271193992019064</v>
      </c>
      <c r="G324" s="96">
        <f t="shared" si="134"/>
        <v>0.82911939920190636</v>
      </c>
      <c r="I324" s="96">
        <f t="shared" si="132"/>
        <v>0</v>
      </c>
      <c r="J324" s="96">
        <f t="shared" si="133"/>
        <v>0.33150000000000024</v>
      </c>
      <c r="X324" s="96">
        <f t="shared" si="117"/>
        <v>23</v>
      </c>
      <c r="Y324" s="517">
        <v>0.604999999999979</v>
      </c>
      <c r="Z324" s="272">
        <f t="shared" si="119"/>
        <v>23</v>
      </c>
      <c r="AA324" s="519">
        <f t="shared" si="120"/>
        <v>20.990144502120856</v>
      </c>
      <c r="AB324" s="516">
        <f t="shared" si="118"/>
        <v>40</v>
      </c>
      <c r="AC324" s="272">
        <f t="shared" si="108"/>
        <v>22.319489928919648</v>
      </c>
      <c r="AD324" s="272">
        <f t="shared" si="121"/>
        <v>42</v>
      </c>
      <c r="AE324" s="272">
        <f t="shared" si="109"/>
        <v>22.253418004559606</v>
      </c>
      <c r="AF324" s="272">
        <f t="shared" si="122"/>
        <v>44</v>
      </c>
      <c r="AG324" s="272">
        <f t="shared" si="110"/>
        <v>22.193600702466277</v>
      </c>
      <c r="AH324" s="272">
        <f t="shared" si="123"/>
        <v>44</v>
      </c>
      <c r="AI324" s="272">
        <f t="shared" si="111"/>
        <v>22.193600702466277</v>
      </c>
      <c r="AJ324" s="272">
        <f t="shared" si="124"/>
        <v>44</v>
      </c>
      <c r="AK324" s="272">
        <f t="shared" si="112"/>
        <v>22.193600702466277</v>
      </c>
      <c r="AL324" s="272">
        <f t="shared" si="125"/>
        <v>44</v>
      </c>
      <c r="AM324" s="272">
        <f t="shared" si="113"/>
        <v>22.193600702466277</v>
      </c>
      <c r="AN324" s="272">
        <f t="shared" si="126"/>
        <v>44</v>
      </c>
      <c r="AO324" s="272">
        <f t="shared" si="114"/>
        <v>22.193600702466277</v>
      </c>
      <c r="AP324" s="272">
        <f t="shared" si="127"/>
        <v>44</v>
      </c>
      <c r="AQ324" s="272">
        <f t="shared" si="115"/>
        <v>22.193600702466277</v>
      </c>
      <c r="AR324" s="272">
        <f t="shared" si="128"/>
        <v>44</v>
      </c>
      <c r="AS324" s="508">
        <f t="shared" si="116"/>
        <v>22.193600702466277</v>
      </c>
    </row>
    <row r="325" spans="1:45" ht="12.75" customHeight="1">
      <c r="A325" s="96">
        <f>IF(MAX($F$104:F325)=$G$99,$G$99,F325)</f>
        <v>1.2806868552714219</v>
      </c>
      <c r="B325" s="481">
        <v>222</v>
      </c>
      <c r="C325" s="96">
        <f t="shared" si="135"/>
        <v>0.33300000000000024</v>
      </c>
      <c r="D325" s="96">
        <f t="shared" si="129"/>
        <v>68.986897130010817</v>
      </c>
      <c r="E325" s="96">
        <f t="shared" si="130"/>
        <v>0.98847706749284048</v>
      </c>
      <c r="F325" s="96">
        <f t="shared" si="131"/>
        <v>1.2806868552714219</v>
      </c>
      <c r="G325" s="96">
        <f t="shared" si="134"/>
        <v>0.98268685527142186</v>
      </c>
      <c r="I325" s="96">
        <f t="shared" si="132"/>
        <v>0</v>
      </c>
      <c r="J325" s="96">
        <f t="shared" si="133"/>
        <v>0.33300000000000024</v>
      </c>
      <c r="X325" s="96">
        <f t="shared" si="117"/>
        <v>23</v>
      </c>
      <c r="Y325" s="96">
        <v>0.59999999999997899</v>
      </c>
      <c r="Z325" s="272">
        <f t="shared" si="119"/>
        <v>23</v>
      </c>
      <c r="AA325" s="519">
        <f t="shared" si="120"/>
        <v>21.341437892746644</v>
      </c>
      <c r="AB325" s="516">
        <f t="shared" si="118"/>
        <v>42</v>
      </c>
      <c r="AC325" s="272">
        <f t="shared" si="108"/>
        <v>22.625853680885925</v>
      </c>
      <c r="AD325" s="272">
        <f t="shared" si="121"/>
        <v>44</v>
      </c>
      <c r="AE325" s="272">
        <f t="shared" si="109"/>
        <v>22.565035269778402</v>
      </c>
      <c r="AF325" s="272">
        <f t="shared" si="122"/>
        <v>44</v>
      </c>
      <c r="AG325" s="272">
        <f t="shared" si="110"/>
        <v>22.565035269778402</v>
      </c>
      <c r="AH325" s="272">
        <f t="shared" si="123"/>
        <v>44</v>
      </c>
      <c r="AI325" s="272">
        <f t="shared" si="111"/>
        <v>22.565035269778402</v>
      </c>
      <c r="AJ325" s="272">
        <f t="shared" si="124"/>
        <v>44</v>
      </c>
      <c r="AK325" s="272">
        <f t="shared" si="112"/>
        <v>22.565035269778402</v>
      </c>
      <c r="AL325" s="272">
        <f t="shared" si="125"/>
        <v>44</v>
      </c>
      <c r="AM325" s="272">
        <f t="shared" si="113"/>
        <v>22.565035269778402</v>
      </c>
      <c r="AN325" s="272">
        <f t="shared" si="126"/>
        <v>44</v>
      </c>
      <c r="AO325" s="272">
        <f t="shared" si="114"/>
        <v>22.565035269778402</v>
      </c>
      <c r="AP325" s="272">
        <f t="shared" si="127"/>
        <v>44</v>
      </c>
      <c r="AQ325" s="272">
        <f t="shared" si="115"/>
        <v>22.565035269778402</v>
      </c>
      <c r="AR325" s="272">
        <f t="shared" si="128"/>
        <v>44</v>
      </c>
      <c r="AS325" s="508">
        <f t="shared" si="116"/>
        <v>22.565035269778402</v>
      </c>
    </row>
    <row r="326" spans="1:45" ht="12.75" customHeight="1">
      <c r="A326" s="96">
        <f>IF(MAX($F$104:F326)=$G$99,$G$99,F326)</f>
        <v>1.45029050209435</v>
      </c>
      <c r="B326" s="96">
        <v>223</v>
      </c>
      <c r="C326" s="96">
        <f t="shared" si="135"/>
        <v>0.33450000000000024</v>
      </c>
      <c r="D326" s="96">
        <f t="shared" si="129"/>
        <v>69.609800490591425</v>
      </c>
      <c r="E326" s="96">
        <f t="shared" si="130"/>
        <v>0.98666995324494777</v>
      </c>
      <c r="F326" s="96">
        <f t="shared" si="131"/>
        <v>1.45029050209435</v>
      </c>
      <c r="G326" s="96">
        <f t="shared" si="134"/>
        <v>1.1522905020943499</v>
      </c>
      <c r="I326" s="96">
        <f t="shared" si="132"/>
        <v>0</v>
      </c>
      <c r="J326" s="96">
        <f t="shared" si="133"/>
        <v>0.33450000000000024</v>
      </c>
      <c r="X326" s="96">
        <f t="shared" si="117"/>
        <v>23</v>
      </c>
      <c r="Y326" s="517">
        <v>0.59499999999997899</v>
      </c>
      <c r="Z326" s="272">
        <f t="shared" si="119"/>
        <v>23</v>
      </c>
      <c r="AA326" s="519">
        <f t="shared" si="120"/>
        <v>21.701624578458574</v>
      </c>
      <c r="AB326" s="516">
        <f t="shared" si="118"/>
        <v>42</v>
      </c>
      <c r="AC326" s="272">
        <f t="shared" si="108"/>
        <v>23.007717887490827</v>
      </c>
      <c r="AD326" s="272">
        <f t="shared" si="121"/>
        <v>44</v>
      </c>
      <c r="AE326" s="272">
        <f t="shared" si="109"/>
        <v>22.945873023431197</v>
      </c>
      <c r="AF326" s="272">
        <f t="shared" si="122"/>
        <v>44</v>
      </c>
      <c r="AG326" s="272">
        <f t="shared" si="110"/>
        <v>22.945873023431197</v>
      </c>
      <c r="AH326" s="272">
        <f t="shared" si="123"/>
        <v>44</v>
      </c>
      <c r="AI326" s="272">
        <f t="shared" si="111"/>
        <v>22.945873023431197</v>
      </c>
      <c r="AJ326" s="272">
        <f t="shared" si="124"/>
        <v>44</v>
      </c>
      <c r="AK326" s="272">
        <f t="shared" si="112"/>
        <v>22.945873023431197</v>
      </c>
      <c r="AL326" s="272">
        <f t="shared" si="125"/>
        <v>44</v>
      </c>
      <c r="AM326" s="272">
        <f t="shared" si="113"/>
        <v>22.945873023431197</v>
      </c>
      <c r="AN326" s="272">
        <f t="shared" si="126"/>
        <v>44</v>
      </c>
      <c r="AO326" s="272">
        <f t="shared" si="114"/>
        <v>22.945873023431197</v>
      </c>
      <c r="AP326" s="272">
        <f t="shared" si="127"/>
        <v>44</v>
      </c>
      <c r="AQ326" s="272">
        <f t="shared" si="115"/>
        <v>22.945873023431197</v>
      </c>
      <c r="AR326" s="272">
        <f t="shared" si="128"/>
        <v>44</v>
      </c>
      <c r="AS326" s="508">
        <f t="shared" si="116"/>
        <v>22.945873023431197</v>
      </c>
    </row>
    <row r="327" spans="1:45" ht="12.75" customHeight="1">
      <c r="A327" s="96">
        <f>IF(MAX($F$104:F327)=$G$99,$G$99,F327)</f>
        <v>1.6368705899805867</v>
      </c>
      <c r="B327" s="481">
        <v>224</v>
      </c>
      <c r="C327" s="96">
        <f t="shared" si="135"/>
        <v>0.33600000000000024</v>
      </c>
      <c r="D327" s="96">
        <f t="shared" si="129"/>
        <v>70.235503416837574</v>
      </c>
      <c r="E327" s="96">
        <f t="shared" si="130"/>
        <v>0.98462673872621831</v>
      </c>
      <c r="F327" s="96">
        <f t="shared" si="131"/>
        <v>1.6368705899805867</v>
      </c>
      <c r="G327" s="96">
        <f t="shared" si="134"/>
        <v>1.3388705899805866</v>
      </c>
      <c r="I327" s="96">
        <f t="shared" si="132"/>
        <v>0</v>
      </c>
      <c r="J327" s="96">
        <f t="shared" si="133"/>
        <v>0.33600000000000024</v>
      </c>
      <c r="X327" s="96">
        <f t="shared" si="117"/>
        <v>24</v>
      </c>
      <c r="Y327" s="96">
        <v>0.58999999999997899</v>
      </c>
      <c r="Z327" s="272">
        <f t="shared" si="119"/>
        <v>24</v>
      </c>
      <c r="AA327" s="519">
        <f t="shared" si="120"/>
        <v>22.071007300743471</v>
      </c>
      <c r="AB327" s="516">
        <f t="shared" si="118"/>
        <v>44</v>
      </c>
      <c r="AC327" s="272">
        <f t="shared" si="108"/>
        <v>23.336434062396538</v>
      </c>
      <c r="AD327" s="272">
        <f t="shared" si="121"/>
        <v>46</v>
      </c>
      <c r="AE327" s="272">
        <f t="shared" si="109"/>
        <v>23.279221861205635</v>
      </c>
      <c r="AF327" s="272">
        <f t="shared" si="122"/>
        <v>46</v>
      </c>
      <c r="AG327" s="272">
        <f t="shared" si="110"/>
        <v>23.279221861205635</v>
      </c>
      <c r="AH327" s="272">
        <f t="shared" si="123"/>
        <v>46</v>
      </c>
      <c r="AI327" s="272">
        <f t="shared" si="111"/>
        <v>23.279221861205635</v>
      </c>
      <c r="AJ327" s="272">
        <f t="shared" si="124"/>
        <v>46</v>
      </c>
      <c r="AK327" s="272">
        <f t="shared" si="112"/>
        <v>23.279221861205635</v>
      </c>
      <c r="AL327" s="272">
        <f t="shared" si="125"/>
        <v>46</v>
      </c>
      <c r="AM327" s="272">
        <f t="shared" si="113"/>
        <v>23.279221861205635</v>
      </c>
      <c r="AN327" s="272">
        <f t="shared" si="126"/>
        <v>46</v>
      </c>
      <c r="AO327" s="272">
        <f t="shared" si="114"/>
        <v>23.279221861205635</v>
      </c>
      <c r="AP327" s="272">
        <f t="shared" si="127"/>
        <v>46</v>
      </c>
      <c r="AQ327" s="272">
        <f t="shared" si="115"/>
        <v>23.279221861205635</v>
      </c>
      <c r="AR327" s="272">
        <f t="shared" si="128"/>
        <v>46</v>
      </c>
      <c r="AS327" s="508">
        <f t="shared" si="116"/>
        <v>23.279221861205635</v>
      </c>
    </row>
    <row r="328" spans="1:45" ht="12.75" customHeight="1">
      <c r="A328" s="96">
        <f>IF(MAX($F$104:F328)=$G$99,$G$99,F328)</f>
        <v>1.841314027588876</v>
      </c>
      <c r="B328" s="481">
        <v>225</v>
      </c>
      <c r="C328" s="96">
        <f t="shared" si="135"/>
        <v>0.33750000000000024</v>
      </c>
      <c r="D328" s="96">
        <f t="shared" si="129"/>
        <v>70.864005908749249</v>
      </c>
      <c r="E328" s="96">
        <f t="shared" si="130"/>
        <v>0.98232427911225595</v>
      </c>
      <c r="F328" s="96">
        <f t="shared" si="131"/>
        <v>1.841314027588876</v>
      </c>
      <c r="G328" s="96">
        <f t="shared" si="134"/>
        <v>1.5433140275888759</v>
      </c>
      <c r="I328" s="96">
        <f t="shared" si="132"/>
        <v>0</v>
      </c>
      <c r="J328" s="96">
        <f t="shared" si="133"/>
        <v>0.33750000000000024</v>
      </c>
      <c r="X328" s="96">
        <f t="shared" si="117"/>
        <v>24</v>
      </c>
      <c r="Y328" s="517">
        <v>0.58499999999997898</v>
      </c>
      <c r="Z328" s="272">
        <f t="shared" si="119"/>
        <v>24</v>
      </c>
      <c r="AA328" s="519">
        <f t="shared" si="120"/>
        <v>22.449901793816366</v>
      </c>
      <c r="AB328" s="516">
        <f t="shared" si="118"/>
        <v>44</v>
      </c>
      <c r="AC328" s="272">
        <f t="shared" si="108"/>
        <v>23.737052223304083</v>
      </c>
      <c r="AD328" s="272">
        <f t="shared" si="121"/>
        <v>46</v>
      </c>
      <c r="AE328" s="272">
        <f t="shared" si="109"/>
        <v>23.67885785633921</v>
      </c>
      <c r="AF328" s="272">
        <f t="shared" si="122"/>
        <v>46</v>
      </c>
      <c r="AG328" s="272">
        <f t="shared" si="110"/>
        <v>23.67885785633921</v>
      </c>
      <c r="AH328" s="272">
        <f t="shared" si="123"/>
        <v>46</v>
      </c>
      <c r="AI328" s="272">
        <f t="shared" si="111"/>
        <v>23.67885785633921</v>
      </c>
      <c r="AJ328" s="272">
        <f t="shared" si="124"/>
        <v>46</v>
      </c>
      <c r="AK328" s="272">
        <f t="shared" si="112"/>
        <v>23.67885785633921</v>
      </c>
      <c r="AL328" s="272">
        <f t="shared" si="125"/>
        <v>46</v>
      </c>
      <c r="AM328" s="272">
        <f t="shared" si="113"/>
        <v>23.67885785633921</v>
      </c>
      <c r="AN328" s="272">
        <f t="shared" si="126"/>
        <v>46</v>
      </c>
      <c r="AO328" s="272">
        <f t="shared" si="114"/>
        <v>23.67885785633921</v>
      </c>
      <c r="AP328" s="272">
        <f t="shared" si="127"/>
        <v>46</v>
      </c>
      <c r="AQ328" s="272">
        <f t="shared" si="115"/>
        <v>23.67885785633921</v>
      </c>
      <c r="AR328" s="272">
        <f t="shared" si="128"/>
        <v>46</v>
      </c>
      <c r="AS328" s="508">
        <f t="shared" si="116"/>
        <v>23.67885785633921</v>
      </c>
    </row>
    <row r="329" spans="1:45" ht="12.75" customHeight="1">
      <c r="A329" s="96">
        <f>IF(MAX($F$104:F329)=$G$99,$G$99,F329)</f>
        <v>2.0644433469492363</v>
      </c>
      <c r="B329" s="96">
        <v>226</v>
      </c>
      <c r="C329" s="96">
        <f t="shared" si="135"/>
        <v>0.33900000000000025</v>
      </c>
      <c r="D329" s="96">
        <f t="shared" si="129"/>
        <v>71.49530796632645</v>
      </c>
      <c r="E329" s="96">
        <f t="shared" si="130"/>
        <v>0.97973829440518589</v>
      </c>
      <c r="F329" s="96">
        <f t="shared" si="131"/>
        <v>2.0644433469492363</v>
      </c>
      <c r="G329" s="96">
        <f t="shared" si="134"/>
        <v>1.7664433469492362</v>
      </c>
      <c r="I329" s="96">
        <f t="shared" si="132"/>
        <v>0</v>
      </c>
      <c r="J329" s="96">
        <f t="shared" si="133"/>
        <v>0.33900000000000025</v>
      </c>
      <c r="X329" s="96">
        <f t="shared" si="117"/>
        <v>25</v>
      </c>
      <c r="Y329" s="96">
        <v>0.57999999999997898</v>
      </c>
      <c r="Z329" s="272">
        <f t="shared" si="119"/>
        <v>25</v>
      </c>
      <c r="AA329" s="519">
        <f t="shared" si="120"/>
        <v>22.838637459538681</v>
      </c>
      <c r="AB329" s="516">
        <f t="shared" si="118"/>
        <v>44</v>
      </c>
      <c r="AC329" s="272">
        <f t="shared" si="108"/>
        <v>24.148075794055426</v>
      </c>
      <c r="AD329" s="272">
        <f t="shared" si="121"/>
        <v>46</v>
      </c>
      <c r="AE329" s="272">
        <f t="shared" si="109"/>
        <v>24.088873751146522</v>
      </c>
      <c r="AF329" s="272">
        <f t="shared" si="122"/>
        <v>48</v>
      </c>
      <c r="AG329" s="272">
        <f t="shared" si="110"/>
        <v>24.03479182530231</v>
      </c>
      <c r="AH329" s="272">
        <f t="shared" si="123"/>
        <v>48</v>
      </c>
      <c r="AI329" s="272">
        <f t="shared" si="111"/>
        <v>24.03479182530231</v>
      </c>
      <c r="AJ329" s="272">
        <f t="shared" si="124"/>
        <v>48</v>
      </c>
      <c r="AK329" s="272">
        <f t="shared" si="112"/>
        <v>24.03479182530231</v>
      </c>
      <c r="AL329" s="272">
        <f t="shared" si="125"/>
        <v>48</v>
      </c>
      <c r="AM329" s="272">
        <f t="shared" si="113"/>
        <v>24.03479182530231</v>
      </c>
      <c r="AN329" s="272">
        <f t="shared" si="126"/>
        <v>48</v>
      </c>
      <c r="AO329" s="272">
        <f t="shared" si="114"/>
        <v>24.03479182530231</v>
      </c>
      <c r="AP329" s="272">
        <f t="shared" si="127"/>
        <v>48</v>
      </c>
      <c r="AQ329" s="272">
        <f t="shared" si="115"/>
        <v>24.03479182530231</v>
      </c>
      <c r="AR329" s="272">
        <f t="shared" si="128"/>
        <v>48</v>
      </c>
      <c r="AS329" s="508">
        <f t="shared" si="116"/>
        <v>24.03479182530231</v>
      </c>
    </row>
    <row r="330" spans="1:45" ht="12.75" customHeight="1">
      <c r="A330" s="96">
        <f>IF(MAX($F$104:F330)=$G$99,$G$99,F330)</f>
        <v>2.3069987098754678</v>
      </c>
      <c r="B330" s="481">
        <v>227</v>
      </c>
      <c r="C330" s="96">
        <f t="shared" si="135"/>
        <v>0.34050000000000025</v>
      </c>
      <c r="D330" s="96">
        <f t="shared" si="129"/>
        <v>72.129409589569178</v>
      </c>
      <c r="E330" s="96">
        <f t="shared" si="130"/>
        <v>0.97684345606725798</v>
      </c>
      <c r="F330" s="96">
        <f t="shared" si="131"/>
        <v>2.3069987098754678</v>
      </c>
      <c r="G330" s="96">
        <f t="shared" si="134"/>
        <v>2.0089987098754678</v>
      </c>
      <c r="I330" s="96">
        <f t="shared" si="132"/>
        <v>0</v>
      </c>
      <c r="J330" s="96">
        <f t="shared" si="133"/>
        <v>0.34050000000000025</v>
      </c>
      <c r="X330" s="96">
        <f t="shared" si="117"/>
        <v>25</v>
      </c>
      <c r="Y330" s="517">
        <v>0.57499999999997897</v>
      </c>
      <c r="Z330" s="272">
        <f t="shared" si="119"/>
        <v>25</v>
      </c>
      <c r="AA330" s="519">
        <f t="shared" si="120"/>
        <v>23.237558083595662</v>
      </c>
      <c r="AB330" s="516">
        <f t="shared" si="118"/>
        <v>46</v>
      </c>
      <c r="AC330" s="272">
        <f t="shared" si="108"/>
        <v>24.509632150883011</v>
      </c>
      <c r="AD330" s="272">
        <f t="shared" si="121"/>
        <v>48</v>
      </c>
      <c r="AE330" s="272">
        <f t="shared" si="109"/>
        <v>24.454605580436148</v>
      </c>
      <c r="AF330" s="272">
        <f t="shared" si="122"/>
        <v>48</v>
      </c>
      <c r="AG330" s="272">
        <f t="shared" si="110"/>
        <v>24.454605580436148</v>
      </c>
      <c r="AH330" s="272">
        <f t="shared" si="123"/>
        <v>48</v>
      </c>
      <c r="AI330" s="272">
        <f t="shared" si="111"/>
        <v>24.454605580436148</v>
      </c>
      <c r="AJ330" s="272">
        <f t="shared" si="124"/>
        <v>48</v>
      </c>
      <c r="AK330" s="272">
        <f t="shared" si="112"/>
        <v>24.454605580436148</v>
      </c>
      <c r="AL330" s="272">
        <f t="shared" si="125"/>
        <v>48</v>
      </c>
      <c r="AM330" s="272">
        <f t="shared" si="113"/>
        <v>24.454605580436148</v>
      </c>
      <c r="AN330" s="272">
        <f t="shared" si="126"/>
        <v>48</v>
      </c>
      <c r="AO330" s="272">
        <f t="shared" si="114"/>
        <v>24.454605580436148</v>
      </c>
      <c r="AP330" s="272">
        <f t="shared" si="127"/>
        <v>48</v>
      </c>
      <c r="AQ330" s="272">
        <f t="shared" si="115"/>
        <v>24.454605580436148</v>
      </c>
      <c r="AR330" s="272">
        <f t="shared" si="128"/>
        <v>48</v>
      </c>
      <c r="AS330" s="508">
        <f t="shared" si="116"/>
        <v>24.454605580436148</v>
      </c>
    </row>
    <row r="331" spans="1:45" ht="12.75" customHeight="1">
      <c r="A331" s="96">
        <f>IF(MAX($F$104:F331)=$G$99,$G$99,F331)</f>
        <v>2.5696169343728399</v>
      </c>
      <c r="B331" s="481">
        <v>228</v>
      </c>
      <c r="C331" s="96">
        <f t="shared" si="135"/>
        <v>0.34200000000000025</v>
      </c>
      <c r="D331" s="96">
        <f t="shared" si="129"/>
        <v>72.766310778477447</v>
      </c>
      <c r="E331" s="96">
        <f t="shared" si="130"/>
        <v>0.97361351906923332</v>
      </c>
      <c r="F331" s="96">
        <f t="shared" si="131"/>
        <v>2.5696169343728399</v>
      </c>
      <c r="G331" s="96">
        <f t="shared" si="134"/>
        <v>2.2716169343728398</v>
      </c>
      <c r="I331" s="96">
        <f t="shared" si="132"/>
        <v>0</v>
      </c>
      <c r="J331" s="96">
        <f t="shared" si="133"/>
        <v>0.34200000000000025</v>
      </c>
      <c r="X331" s="96">
        <f t="shared" si="117"/>
        <v>25</v>
      </c>
      <c r="Y331" s="96">
        <v>0.56999999999997897</v>
      </c>
      <c r="Z331" s="272">
        <f t="shared" si="119"/>
        <v>25</v>
      </c>
      <c r="AA331" s="519">
        <f t="shared" si="120"/>
        <v>23.647022595841246</v>
      </c>
      <c r="AB331" s="516">
        <f t="shared" si="118"/>
        <v>46</v>
      </c>
      <c r="AC331" s="272">
        <f t="shared" si="108"/>
        <v>24.941511633997237</v>
      </c>
      <c r="AD331" s="272">
        <f t="shared" si="121"/>
        <v>48</v>
      </c>
      <c r="AE331" s="272">
        <f t="shared" si="109"/>
        <v>24.885515451005563</v>
      </c>
      <c r="AF331" s="272">
        <f t="shared" si="122"/>
        <v>48</v>
      </c>
      <c r="AG331" s="272">
        <f t="shared" si="110"/>
        <v>24.885515451005563</v>
      </c>
      <c r="AH331" s="272">
        <f t="shared" si="123"/>
        <v>48</v>
      </c>
      <c r="AI331" s="272">
        <f t="shared" si="111"/>
        <v>24.885515451005563</v>
      </c>
      <c r="AJ331" s="272">
        <f t="shared" si="124"/>
        <v>48</v>
      </c>
      <c r="AK331" s="272">
        <f t="shared" si="112"/>
        <v>24.885515451005563</v>
      </c>
      <c r="AL331" s="272">
        <f t="shared" si="125"/>
        <v>48</v>
      </c>
      <c r="AM331" s="272">
        <f t="shared" si="113"/>
        <v>24.885515451005563</v>
      </c>
      <c r="AN331" s="272">
        <f t="shared" si="126"/>
        <v>48</v>
      </c>
      <c r="AO331" s="272">
        <f t="shared" si="114"/>
        <v>24.885515451005563</v>
      </c>
      <c r="AP331" s="272">
        <f t="shared" si="127"/>
        <v>48</v>
      </c>
      <c r="AQ331" s="272">
        <f t="shared" si="115"/>
        <v>24.885515451005563</v>
      </c>
      <c r="AR331" s="272">
        <f t="shared" si="128"/>
        <v>48</v>
      </c>
      <c r="AS331" s="508">
        <f t="shared" si="116"/>
        <v>24.885515451005563</v>
      </c>
    </row>
    <row r="332" spans="1:45" ht="12.75" customHeight="1">
      <c r="A332" s="96">
        <f>IF(MAX($F$104:F332)=$G$99,$G$99,F332)</f>
        <v>2.8528086457484894</v>
      </c>
      <c r="B332" s="96">
        <v>229</v>
      </c>
      <c r="C332" s="96">
        <f t="shared" si="135"/>
        <v>0.34350000000000025</v>
      </c>
      <c r="D332" s="96">
        <f t="shared" si="129"/>
        <v>73.406011533051242</v>
      </c>
      <c r="E332" s="96">
        <f t="shared" si="130"/>
        <v>0.97002146420609114</v>
      </c>
      <c r="F332" s="96">
        <f t="shared" si="131"/>
        <v>2.8528086457484894</v>
      </c>
      <c r="G332" s="96">
        <f t="shared" si="134"/>
        <v>2.5548086457484893</v>
      </c>
      <c r="I332" s="96">
        <f t="shared" si="132"/>
        <v>0</v>
      </c>
      <c r="J332" s="96">
        <f t="shared" si="133"/>
        <v>0.34350000000000025</v>
      </c>
      <c r="X332" s="96">
        <f t="shared" si="117"/>
        <v>26</v>
      </c>
      <c r="Y332" s="517">
        <v>0.56499999999997896</v>
      </c>
      <c r="Z332" s="272">
        <f t="shared" si="119"/>
        <v>26</v>
      </c>
      <c r="AA332" s="519">
        <f t="shared" si="120"/>
        <v>24.067405877950744</v>
      </c>
      <c r="AB332" s="516">
        <f t="shared" si="118"/>
        <v>48</v>
      </c>
      <c r="AC332" s="272">
        <f t="shared" si="108"/>
        <v>25.327915952797287</v>
      </c>
      <c r="AD332" s="272">
        <f t="shared" si="121"/>
        <v>50</v>
      </c>
      <c r="AE332" s="272">
        <f t="shared" si="109"/>
        <v>25.275649127037571</v>
      </c>
      <c r="AF332" s="272">
        <f t="shared" si="122"/>
        <v>50</v>
      </c>
      <c r="AG332" s="272">
        <f t="shared" si="110"/>
        <v>25.275649127037571</v>
      </c>
      <c r="AH332" s="272">
        <f t="shared" si="123"/>
        <v>50</v>
      </c>
      <c r="AI332" s="272">
        <f t="shared" si="111"/>
        <v>25.275649127037571</v>
      </c>
      <c r="AJ332" s="272">
        <f t="shared" si="124"/>
        <v>50</v>
      </c>
      <c r="AK332" s="272">
        <f t="shared" si="112"/>
        <v>25.275649127037571</v>
      </c>
      <c r="AL332" s="272">
        <f t="shared" si="125"/>
        <v>50</v>
      </c>
      <c r="AM332" s="272">
        <f t="shared" si="113"/>
        <v>25.275649127037571</v>
      </c>
      <c r="AN332" s="272">
        <f t="shared" si="126"/>
        <v>50</v>
      </c>
      <c r="AO332" s="272">
        <f t="shared" si="114"/>
        <v>25.275649127037571</v>
      </c>
      <c r="AP332" s="272">
        <f t="shared" si="127"/>
        <v>50</v>
      </c>
      <c r="AQ332" s="272">
        <f t="shared" si="115"/>
        <v>25.275649127037571</v>
      </c>
      <c r="AR332" s="272">
        <f t="shared" si="128"/>
        <v>50</v>
      </c>
      <c r="AS332" s="508">
        <f t="shared" si="116"/>
        <v>25.275649127037571</v>
      </c>
    </row>
    <row r="333" spans="1:45" ht="12.75" customHeight="1">
      <c r="A333" s="96">
        <f>IF(MAX($F$104:F333)=$G$99,$G$99,F333)</f>
        <v>3.1569459698165181</v>
      </c>
      <c r="B333" s="481">
        <v>230</v>
      </c>
      <c r="C333" s="96">
        <f t="shared" si="135"/>
        <v>0.34500000000000025</v>
      </c>
      <c r="D333" s="96">
        <f t="shared" si="129"/>
        <v>74.048511853290563</v>
      </c>
      <c r="E333" s="96">
        <f t="shared" si="130"/>
        <v>0.96603969080618424</v>
      </c>
      <c r="F333" s="96">
        <f t="shared" si="131"/>
        <v>3.1569459698165181</v>
      </c>
      <c r="G333" s="96">
        <f t="shared" si="134"/>
        <v>2.8589459698165181</v>
      </c>
      <c r="I333" s="96">
        <f t="shared" si="132"/>
        <v>0</v>
      </c>
      <c r="J333" s="96">
        <f t="shared" si="133"/>
        <v>0.34500000000000025</v>
      </c>
      <c r="X333" s="96">
        <f t="shared" si="117"/>
        <v>26</v>
      </c>
      <c r="Y333" s="96">
        <v>0.55999999999997796</v>
      </c>
      <c r="Z333" s="272">
        <f t="shared" si="119"/>
        <v>26</v>
      </c>
      <c r="AA333" s="519">
        <f t="shared" si="120"/>
        <v>24.499099621775699</v>
      </c>
      <c r="AB333" s="516">
        <f t="shared" si="118"/>
        <v>48</v>
      </c>
      <c r="AC333" s="272">
        <f t="shared" si="108"/>
        <v>25.782219292193069</v>
      </c>
      <c r="AD333" s="272">
        <f t="shared" si="121"/>
        <v>50</v>
      </c>
      <c r="AE333" s="272">
        <f t="shared" si="109"/>
        <v>25.729014963579729</v>
      </c>
      <c r="AF333" s="272">
        <f t="shared" si="122"/>
        <v>50</v>
      </c>
      <c r="AG333" s="272">
        <f t="shared" si="110"/>
        <v>25.729014963579729</v>
      </c>
      <c r="AH333" s="272">
        <f t="shared" si="123"/>
        <v>50</v>
      </c>
      <c r="AI333" s="272">
        <f t="shared" si="111"/>
        <v>25.729014963579729</v>
      </c>
      <c r="AJ333" s="272">
        <f t="shared" si="124"/>
        <v>50</v>
      </c>
      <c r="AK333" s="272">
        <f t="shared" si="112"/>
        <v>25.729014963579729</v>
      </c>
      <c r="AL333" s="272">
        <f t="shared" si="125"/>
        <v>50</v>
      </c>
      <c r="AM333" s="272">
        <f t="shared" si="113"/>
        <v>25.729014963579729</v>
      </c>
      <c r="AN333" s="272">
        <f t="shared" si="126"/>
        <v>50</v>
      </c>
      <c r="AO333" s="272">
        <f t="shared" si="114"/>
        <v>25.729014963579729</v>
      </c>
      <c r="AP333" s="272">
        <f t="shared" si="127"/>
        <v>50</v>
      </c>
      <c r="AQ333" s="272">
        <f t="shared" si="115"/>
        <v>25.729014963579729</v>
      </c>
      <c r="AR333" s="272">
        <f t="shared" si="128"/>
        <v>50</v>
      </c>
      <c r="AS333" s="508">
        <f t="shared" si="116"/>
        <v>25.729014963579729</v>
      </c>
    </row>
    <row r="334" spans="1:45" ht="12.75" customHeight="1">
      <c r="A334" s="96">
        <f>IF(MAX($F$104:F334)=$G$99,$G$99,F334)</f>
        <v>3.4822473803329101</v>
      </c>
      <c r="B334" s="481">
        <v>231</v>
      </c>
      <c r="C334" s="96">
        <f t="shared" si="135"/>
        <v>0.34650000000000025</v>
      </c>
      <c r="D334" s="96">
        <f t="shared" si="129"/>
        <v>74.693811739195425</v>
      </c>
      <c r="E334" s="96">
        <f t="shared" si="130"/>
        <v>0.9616401917198526</v>
      </c>
      <c r="F334" s="96">
        <f t="shared" si="131"/>
        <v>3.4822473803329101</v>
      </c>
      <c r="G334" s="96">
        <f t="shared" si="134"/>
        <v>3.1842473803329101</v>
      </c>
      <c r="I334" s="96">
        <f t="shared" si="132"/>
        <v>0</v>
      </c>
      <c r="J334" s="96">
        <f t="shared" si="133"/>
        <v>0.34650000000000025</v>
      </c>
      <c r="X334" s="96">
        <f t="shared" si="117"/>
        <v>27</v>
      </c>
      <c r="Y334" s="517">
        <v>0.55499999999997796</v>
      </c>
      <c r="Z334" s="272">
        <f t="shared" si="119"/>
        <v>27</v>
      </c>
      <c r="AA334" s="519">
        <f t="shared" si="120"/>
        <v>24.94251324207082</v>
      </c>
      <c r="AB334" s="516">
        <f t="shared" si="118"/>
        <v>48</v>
      </c>
      <c r="AC334" s="272">
        <f t="shared" si="108"/>
        <v>26.248856326699954</v>
      </c>
      <c r="AD334" s="272">
        <f t="shared" si="121"/>
        <v>50</v>
      </c>
      <c r="AE334" s="272">
        <f t="shared" si="109"/>
        <v>26.194689043352351</v>
      </c>
      <c r="AF334" s="272">
        <f t="shared" si="122"/>
        <v>52</v>
      </c>
      <c r="AG334" s="272">
        <f t="shared" si="110"/>
        <v>26.144833842996658</v>
      </c>
      <c r="AH334" s="272">
        <f t="shared" si="123"/>
        <v>52</v>
      </c>
      <c r="AI334" s="272">
        <f t="shared" si="111"/>
        <v>26.144833842996658</v>
      </c>
      <c r="AJ334" s="272">
        <f t="shared" si="124"/>
        <v>52</v>
      </c>
      <c r="AK334" s="272">
        <f t="shared" si="112"/>
        <v>26.144833842996658</v>
      </c>
      <c r="AL334" s="272">
        <f t="shared" si="125"/>
        <v>52</v>
      </c>
      <c r="AM334" s="272">
        <f t="shared" si="113"/>
        <v>26.144833842996658</v>
      </c>
      <c r="AN334" s="272">
        <f t="shared" si="126"/>
        <v>52</v>
      </c>
      <c r="AO334" s="272">
        <f t="shared" si="114"/>
        <v>26.144833842996658</v>
      </c>
      <c r="AP334" s="272">
        <f t="shared" si="127"/>
        <v>52</v>
      </c>
      <c r="AQ334" s="272">
        <f t="shared" si="115"/>
        <v>26.144833842996658</v>
      </c>
      <c r="AR334" s="272">
        <f t="shared" si="128"/>
        <v>52</v>
      </c>
      <c r="AS334" s="508">
        <f t="shared" si="116"/>
        <v>26.144833842996658</v>
      </c>
    </row>
    <row r="335" spans="1:45" ht="12.75" customHeight="1">
      <c r="A335" s="96">
        <f>IF(MAX($F$104:F335)=$G$99,$G$99,F335)</f>
        <v>3.8287424575559537</v>
      </c>
      <c r="B335" s="96">
        <v>232</v>
      </c>
      <c r="C335" s="96">
        <f t="shared" si="135"/>
        <v>0.34800000000000025</v>
      </c>
      <c r="D335" s="96">
        <f t="shared" si="129"/>
        <v>75.341911190765813</v>
      </c>
      <c r="E335" s="96">
        <f t="shared" si="130"/>
        <v>0.95679478625662784</v>
      </c>
      <c r="F335" s="96">
        <f t="shared" si="131"/>
        <v>3.8287424575559537</v>
      </c>
      <c r="G335" s="96">
        <f t="shared" si="134"/>
        <v>3.5307424575559536</v>
      </c>
      <c r="I335" s="96">
        <f t="shared" si="132"/>
        <v>0</v>
      </c>
      <c r="J335" s="96">
        <f t="shared" si="133"/>
        <v>0.34800000000000025</v>
      </c>
      <c r="X335" s="96">
        <f t="shared" si="117"/>
        <v>27</v>
      </c>
      <c r="Y335" s="96">
        <v>0.54999999999997795</v>
      </c>
      <c r="Z335" s="272">
        <f t="shared" si="119"/>
        <v>27</v>
      </c>
      <c r="AA335" s="519">
        <f t="shared" si="120"/>
        <v>25.398074847566512</v>
      </c>
      <c r="AB335" s="516">
        <f t="shared" si="118"/>
        <v>50</v>
      </c>
      <c r="AC335" s="272">
        <f t="shared" si="108"/>
        <v>26.673120967202031</v>
      </c>
      <c r="AD335" s="272">
        <f t="shared" si="121"/>
        <v>52</v>
      </c>
      <c r="AE335" s="272">
        <f t="shared" si="109"/>
        <v>26.622355188393559</v>
      </c>
      <c r="AF335" s="272">
        <f t="shared" si="122"/>
        <v>52</v>
      </c>
      <c r="AG335" s="272">
        <f t="shared" si="110"/>
        <v>26.622355188393559</v>
      </c>
      <c r="AH335" s="272">
        <f t="shared" si="123"/>
        <v>52</v>
      </c>
      <c r="AI335" s="272">
        <f t="shared" si="111"/>
        <v>26.622355188393559</v>
      </c>
      <c r="AJ335" s="272">
        <f t="shared" si="124"/>
        <v>52</v>
      </c>
      <c r="AK335" s="272">
        <f t="shared" si="112"/>
        <v>26.622355188393559</v>
      </c>
      <c r="AL335" s="272">
        <f t="shared" si="125"/>
        <v>52</v>
      </c>
      <c r="AM335" s="272">
        <f t="shared" si="113"/>
        <v>26.622355188393559</v>
      </c>
      <c r="AN335" s="272">
        <f t="shared" si="126"/>
        <v>52</v>
      </c>
      <c r="AO335" s="272">
        <f t="shared" si="114"/>
        <v>26.622355188393559</v>
      </c>
      <c r="AP335" s="272">
        <f t="shared" si="127"/>
        <v>52</v>
      </c>
      <c r="AQ335" s="272">
        <f t="shared" si="115"/>
        <v>26.622355188393559</v>
      </c>
      <c r="AR335" s="272">
        <f t="shared" si="128"/>
        <v>52</v>
      </c>
      <c r="AS335" s="508">
        <f t="shared" si="116"/>
        <v>26.622355188393559</v>
      </c>
    </row>
    <row r="336" spans="1:45" ht="12.75" customHeight="1">
      <c r="A336" s="96">
        <f>IF(MAX($F$104:F336)=$G$99,$G$99,F336)</f>
        <v>4.1962707686693879</v>
      </c>
      <c r="B336" s="481">
        <v>233</v>
      </c>
      <c r="C336" s="96">
        <f t="shared" si="135"/>
        <v>0.34950000000000025</v>
      </c>
      <c r="D336" s="96">
        <f t="shared" si="129"/>
        <v>75.992810208001728</v>
      </c>
      <c r="E336" s="96">
        <f t="shared" si="130"/>
        <v>0.95147538873519077</v>
      </c>
      <c r="F336" s="96">
        <f t="shared" si="131"/>
        <v>4.1962707686693879</v>
      </c>
      <c r="G336" s="96">
        <f t="shared" si="134"/>
        <v>3.8982707686693878</v>
      </c>
      <c r="I336" s="96">
        <f t="shared" si="132"/>
        <v>0</v>
      </c>
      <c r="J336" s="96">
        <f t="shared" si="133"/>
        <v>0.34950000000000025</v>
      </c>
      <c r="X336" s="96">
        <f t="shared" si="117"/>
        <v>28</v>
      </c>
      <c r="Y336" s="517">
        <v>0.54499999999997795</v>
      </c>
      <c r="Z336" s="272">
        <f t="shared" si="119"/>
        <v>28</v>
      </c>
      <c r="AA336" s="519">
        <f t="shared" si="120"/>
        <v>25.866232274686901</v>
      </c>
      <c r="AB336" s="516">
        <f t="shared" si="118"/>
        <v>50</v>
      </c>
      <c r="AC336" s="272">
        <f t="shared" si="108"/>
        <v>27.164781054048046</v>
      </c>
      <c r="AD336" s="272">
        <f t="shared" si="121"/>
        <v>52</v>
      </c>
      <c r="AE336" s="272">
        <f t="shared" si="109"/>
        <v>27.113079520205559</v>
      </c>
      <c r="AF336" s="272">
        <f t="shared" si="122"/>
        <v>54</v>
      </c>
      <c r="AG336" s="272">
        <f t="shared" si="110"/>
        <v>27.065337310370325</v>
      </c>
      <c r="AH336" s="272">
        <f t="shared" si="123"/>
        <v>54</v>
      </c>
      <c r="AI336" s="272">
        <f t="shared" si="111"/>
        <v>27.065337310370325</v>
      </c>
      <c r="AJ336" s="272">
        <f t="shared" si="124"/>
        <v>54</v>
      </c>
      <c r="AK336" s="272">
        <f t="shared" si="112"/>
        <v>27.065337310370325</v>
      </c>
      <c r="AL336" s="272">
        <f t="shared" si="125"/>
        <v>54</v>
      </c>
      <c r="AM336" s="272">
        <f t="shared" si="113"/>
        <v>27.065337310370325</v>
      </c>
      <c r="AN336" s="272">
        <f t="shared" si="126"/>
        <v>54</v>
      </c>
      <c r="AO336" s="272">
        <f t="shared" si="114"/>
        <v>27.065337310370325</v>
      </c>
      <c r="AP336" s="272">
        <f t="shared" si="127"/>
        <v>54</v>
      </c>
      <c r="AQ336" s="272">
        <f t="shared" si="115"/>
        <v>27.065337310370325</v>
      </c>
      <c r="AR336" s="272">
        <f t="shared" si="128"/>
        <v>54</v>
      </c>
      <c r="AS336" s="508">
        <f t="shared" si="116"/>
        <v>27.065337310370325</v>
      </c>
    </row>
    <row r="337" spans="1:45" ht="12.75" customHeight="1">
      <c r="A337" s="96">
        <f>IF(MAX($F$104:F337)=$G$99,$G$99,F337)</f>
        <v>4.5844699136357132</v>
      </c>
      <c r="B337" s="481">
        <v>234</v>
      </c>
      <c r="C337" s="96">
        <f t="shared" si="135"/>
        <v>0.35100000000000026</v>
      </c>
      <c r="D337" s="96">
        <f t="shared" si="129"/>
        <v>76.646508790903184</v>
      </c>
      <c r="E337" s="96">
        <f t="shared" si="130"/>
        <v>0.9456542443929038</v>
      </c>
      <c r="F337" s="96">
        <f t="shared" si="131"/>
        <v>4.5844699136357132</v>
      </c>
      <c r="G337" s="96">
        <f t="shared" si="134"/>
        <v>4.2864699136357132</v>
      </c>
      <c r="I337" s="96">
        <f t="shared" si="132"/>
        <v>0</v>
      </c>
      <c r="J337" s="96">
        <f t="shared" si="133"/>
        <v>0.35100000000000026</v>
      </c>
      <c r="X337" s="96">
        <f t="shared" si="117"/>
        <v>28</v>
      </c>
      <c r="Y337" s="96">
        <v>0.53999999999997805</v>
      </c>
      <c r="Z337" s="272">
        <f t="shared" si="119"/>
        <v>28</v>
      </c>
      <c r="AA337" s="519">
        <f t="shared" si="120"/>
        <v>26.347454188576396</v>
      </c>
      <c r="AB337" s="516">
        <f t="shared" si="118"/>
        <v>52</v>
      </c>
      <c r="AC337" s="272">
        <f t="shared" ref="AC337:AC400" si="136">MAX(2*(TINV(1-$C$80/100,AB337)/$Y337)^2,$C$79)</f>
        <v>27.617498094955625</v>
      </c>
      <c r="AD337" s="272">
        <f t="shared" si="121"/>
        <v>54</v>
      </c>
      <c r="AE337" s="272">
        <f t="shared" ref="AE337:AE400" si="137">MAX(2*(TINV(1-$C$80/100,AD337)/$Y337)^2,$C$79)</f>
        <v>27.568867676998451</v>
      </c>
      <c r="AF337" s="272">
        <f t="shared" si="122"/>
        <v>54</v>
      </c>
      <c r="AG337" s="272">
        <f t="shared" ref="AG337:AG400" si="138">MAX(2*(TINV(1-$C$80/100,AF337)/$Y337)^2,$C$79)</f>
        <v>27.568867676998451</v>
      </c>
      <c r="AH337" s="272">
        <f t="shared" si="123"/>
        <v>54</v>
      </c>
      <c r="AI337" s="272">
        <f t="shared" ref="AI337:AI400" si="139">MAX(2*(TINV(1-$C$80/100,AH337)/$Y337)^2,$C$79)</f>
        <v>27.568867676998451</v>
      </c>
      <c r="AJ337" s="272">
        <f t="shared" si="124"/>
        <v>54</v>
      </c>
      <c r="AK337" s="272">
        <f t="shared" ref="AK337:AK400" si="140">MAX(2*(TINV(1-$C$80/100,AJ337)/$Y337)^2,$C$79)</f>
        <v>27.568867676998451</v>
      </c>
      <c r="AL337" s="272">
        <f t="shared" si="125"/>
        <v>54</v>
      </c>
      <c r="AM337" s="272">
        <f t="shared" ref="AM337:AM400" si="141">MAX(2*(TINV(1-$C$80/100,AL337)/$Y337)^2,$C$79)</f>
        <v>27.568867676998451</v>
      </c>
      <c r="AN337" s="272">
        <f t="shared" si="126"/>
        <v>54</v>
      </c>
      <c r="AO337" s="272">
        <f t="shared" ref="AO337:AO400" si="142">MAX(2*(TINV(1-$C$80/100,AN337)/$Y337)^2,$C$79)</f>
        <v>27.568867676998451</v>
      </c>
      <c r="AP337" s="272">
        <f t="shared" si="127"/>
        <v>54</v>
      </c>
      <c r="AQ337" s="272">
        <f t="shared" ref="AQ337:AQ400" si="143">MAX(2*(TINV(1-$C$80/100,AP337)/$Y337)^2,$C$79)</f>
        <v>27.568867676998451</v>
      </c>
      <c r="AR337" s="272">
        <f t="shared" si="128"/>
        <v>54</v>
      </c>
      <c r="AS337" s="508">
        <f t="shared" ref="AS337:AS400" si="144">MAX(2*(TINV(1-$C$80/100,AR337)/$Y337)^2,$C$79)</f>
        <v>27.568867676998451</v>
      </c>
    </row>
    <row r="338" spans="1:45" ht="12.75" customHeight="1">
      <c r="A338" s="96">
        <f>IF(MAX($F$104:F338)=$G$99,$G$99,F338)</f>
        <v>4.9927388617374149</v>
      </c>
      <c r="B338" s="96">
        <v>235</v>
      </c>
      <c r="C338" s="96">
        <f t="shared" si="135"/>
        <v>0.35250000000000026</v>
      </c>
      <c r="D338" s="96">
        <f t="shared" si="129"/>
        <v>77.303006939470166</v>
      </c>
      <c r="E338" s="96">
        <f t="shared" si="130"/>
        <v>0.93930422967244109</v>
      </c>
      <c r="F338" s="96">
        <f t="shared" si="131"/>
        <v>4.9927388617374149</v>
      </c>
      <c r="G338" s="96">
        <f t="shared" si="134"/>
        <v>4.6947388617374148</v>
      </c>
      <c r="I338" s="96">
        <f t="shared" si="132"/>
        <v>0</v>
      </c>
      <c r="J338" s="96">
        <f t="shared" si="133"/>
        <v>0.35250000000000026</v>
      </c>
      <c r="X338" s="96">
        <f t="shared" ref="X338:X401" si="145">Z338</f>
        <v>29</v>
      </c>
      <c r="Y338" s="517">
        <v>0.53499999999997805</v>
      </c>
      <c r="Z338" s="272">
        <f t="shared" si="119"/>
        <v>29</v>
      </c>
      <c r="AA338" s="519">
        <f t="shared" si="120"/>
        <v>26.842231256490123</v>
      </c>
      <c r="AB338" s="516">
        <f t="shared" ref="AB338:AB401" si="146">2*ROUNDUP(AA338,0)-2</f>
        <v>52</v>
      </c>
      <c r="AC338" s="272">
        <f t="shared" si="136"/>
        <v>28.136125231859779</v>
      </c>
      <c r="AD338" s="272">
        <f t="shared" si="121"/>
        <v>54</v>
      </c>
      <c r="AE338" s="272">
        <f t="shared" si="137"/>
        <v>28.086581586558662</v>
      </c>
      <c r="AF338" s="272">
        <f t="shared" si="122"/>
        <v>56</v>
      </c>
      <c r="AG338" s="272">
        <f t="shared" si="138"/>
        <v>28.040690498624642</v>
      </c>
      <c r="AH338" s="272">
        <f t="shared" si="123"/>
        <v>56</v>
      </c>
      <c r="AI338" s="272">
        <f t="shared" si="139"/>
        <v>28.040690498624642</v>
      </c>
      <c r="AJ338" s="272">
        <f t="shared" si="124"/>
        <v>56</v>
      </c>
      <c r="AK338" s="272">
        <f t="shared" si="140"/>
        <v>28.040690498624642</v>
      </c>
      <c r="AL338" s="272">
        <f t="shared" si="125"/>
        <v>56</v>
      </c>
      <c r="AM338" s="272">
        <f t="shared" si="141"/>
        <v>28.040690498624642</v>
      </c>
      <c r="AN338" s="272">
        <f t="shared" si="126"/>
        <v>56</v>
      </c>
      <c r="AO338" s="272">
        <f t="shared" si="142"/>
        <v>28.040690498624642</v>
      </c>
      <c r="AP338" s="272">
        <f t="shared" si="127"/>
        <v>56</v>
      </c>
      <c r="AQ338" s="272">
        <f t="shared" si="143"/>
        <v>28.040690498624642</v>
      </c>
      <c r="AR338" s="272">
        <f t="shared" si="128"/>
        <v>56</v>
      </c>
      <c r="AS338" s="508">
        <f t="shared" si="144"/>
        <v>28.040690498624642</v>
      </c>
    </row>
    <row r="339" spans="1:45" ht="12.75" customHeight="1">
      <c r="A339" s="96">
        <f>IF(MAX($F$104:F339)=$G$99,$G$99,F339)</f>
        <v>5.4202481191303056</v>
      </c>
      <c r="B339" s="481">
        <v>236</v>
      </c>
      <c r="C339" s="96">
        <f t="shared" si="135"/>
        <v>0.35400000000000026</v>
      </c>
      <c r="D339" s="96">
        <f t="shared" si="129"/>
        <v>77.962304653702674</v>
      </c>
      <c r="E339" s="96">
        <f t="shared" si="130"/>
        <v>0.93239918546793721</v>
      </c>
      <c r="F339" s="96">
        <f t="shared" si="131"/>
        <v>5.4202481191303056</v>
      </c>
      <c r="G339" s="96">
        <f t="shared" si="134"/>
        <v>5.1222481191303055</v>
      </c>
      <c r="I339" s="96">
        <f t="shared" si="132"/>
        <v>0</v>
      </c>
      <c r="J339" s="96">
        <f t="shared" si="133"/>
        <v>0.35400000000000026</v>
      </c>
      <c r="X339" s="96">
        <f t="shared" si="145"/>
        <v>29</v>
      </c>
      <c r="Y339" s="96">
        <v>0.52999999999997804</v>
      </c>
      <c r="Z339" s="272">
        <f t="shared" ref="Z339:Z402" si="147">(2+MAX(AP339,AR339))/2</f>
        <v>29</v>
      </c>
      <c r="AA339" s="519">
        <f t="shared" ref="AA339:AA402" si="148">MAX(2*($C$83/Y339)^2,$C$79)</f>
        <v>27.351077399034857</v>
      </c>
      <c r="AB339" s="516">
        <f t="shared" si="146"/>
        <v>54</v>
      </c>
      <c r="AC339" s="272">
        <f t="shared" si="136"/>
        <v>28.619016783954294</v>
      </c>
      <c r="AD339" s="272">
        <f t="shared" ref="AD339:AD402" si="149">MAX(MIN(2*ROUNDUP(AC339,0)-2,AB339+2),AB339-2)</f>
        <v>56</v>
      </c>
      <c r="AE339" s="272">
        <f t="shared" si="137"/>
        <v>28.572255742146115</v>
      </c>
      <c r="AF339" s="272">
        <f t="shared" ref="AF339:AF402" si="150">MAX(MIN(2*ROUNDUP(AE339,0)-2,AD339+2),AD339-2)</f>
        <v>56</v>
      </c>
      <c r="AG339" s="272">
        <f t="shared" si="138"/>
        <v>28.572255742146115</v>
      </c>
      <c r="AH339" s="272">
        <f t="shared" ref="AH339:AH402" si="151">MAX(MIN(2*ROUNDUP(AG339,0)-2,AF339+2),AF339-2)</f>
        <v>56</v>
      </c>
      <c r="AI339" s="272">
        <f t="shared" si="139"/>
        <v>28.572255742146115</v>
      </c>
      <c r="AJ339" s="272">
        <f t="shared" ref="AJ339:AJ402" si="152">MAX(MIN(2*ROUNDUP(AI339,0)-2,AH339+2),AH339-2)</f>
        <v>56</v>
      </c>
      <c r="AK339" s="272">
        <f t="shared" si="140"/>
        <v>28.572255742146115</v>
      </c>
      <c r="AL339" s="272">
        <f t="shared" ref="AL339:AL402" si="153">MAX(MIN(2*ROUNDUP(AK339,0)-2,AJ339+2),AJ339-2)</f>
        <v>56</v>
      </c>
      <c r="AM339" s="272">
        <f t="shared" si="141"/>
        <v>28.572255742146115</v>
      </c>
      <c r="AN339" s="272">
        <f t="shared" ref="AN339:AN402" si="154">MAX(MIN(2*ROUNDUP(AM339,0)-2,AL339+2),AL339-2)</f>
        <v>56</v>
      </c>
      <c r="AO339" s="272">
        <f t="shared" si="142"/>
        <v>28.572255742146115</v>
      </c>
      <c r="AP339" s="272">
        <f t="shared" ref="AP339:AP402" si="155">MAX(MIN(2*ROUNDUP(AO339,0)-2,AN339+2),AN339-2)</f>
        <v>56</v>
      </c>
      <c r="AQ339" s="272">
        <f t="shared" si="143"/>
        <v>28.572255742146115</v>
      </c>
      <c r="AR339" s="272">
        <f t="shared" ref="AR339:AR402" si="156">MAX(MIN(2*ROUNDUP(AQ339,0)-2,AP339+2),AP339-2)</f>
        <v>56</v>
      </c>
      <c r="AS339" s="508">
        <f t="shared" si="144"/>
        <v>28.572255742146115</v>
      </c>
    </row>
    <row r="340" spans="1:45" ht="12.75" customHeight="1">
      <c r="A340" s="96">
        <f>IF(MAX($F$104:F340)=$G$99,$G$99,F340)</f>
        <v>5.8659313159724578</v>
      </c>
      <c r="B340" s="481">
        <v>237</v>
      </c>
      <c r="C340" s="96">
        <f t="shared" si="135"/>
        <v>0.35550000000000026</v>
      </c>
      <c r="D340" s="96">
        <f t="shared" si="129"/>
        <v>78.624401933600723</v>
      </c>
      <c r="E340" s="96">
        <f t="shared" si="130"/>
        <v>0.92491419041811285</v>
      </c>
      <c r="F340" s="96">
        <f t="shared" si="131"/>
        <v>5.8659313159724578</v>
      </c>
      <c r="G340" s="96">
        <f t="shared" si="134"/>
        <v>5.5679313159724577</v>
      </c>
      <c r="I340" s="96">
        <f t="shared" si="132"/>
        <v>0</v>
      </c>
      <c r="J340" s="96">
        <f t="shared" si="133"/>
        <v>0.35550000000000026</v>
      </c>
      <c r="X340" s="96">
        <f t="shared" si="145"/>
        <v>30</v>
      </c>
      <c r="Y340" s="517">
        <v>0.52499999999997804</v>
      </c>
      <c r="Z340" s="272">
        <f t="shared" si="147"/>
        <v>30</v>
      </c>
      <c r="AA340" s="519">
        <f t="shared" si="148"/>
        <v>27.874531125220489</v>
      </c>
      <c r="AB340" s="516">
        <f t="shared" si="146"/>
        <v>54</v>
      </c>
      <c r="AC340" s="272">
        <f t="shared" si="136"/>
        <v>29.166736742359245</v>
      </c>
      <c r="AD340" s="272">
        <f t="shared" si="149"/>
        <v>56</v>
      </c>
      <c r="AE340" s="272">
        <f t="shared" si="137"/>
        <v>29.119080772676103</v>
      </c>
      <c r="AF340" s="272">
        <f t="shared" si="150"/>
        <v>58</v>
      </c>
      <c r="AG340" s="272">
        <f t="shared" si="138"/>
        <v>29.074814125790198</v>
      </c>
      <c r="AH340" s="272">
        <f t="shared" si="151"/>
        <v>58</v>
      </c>
      <c r="AI340" s="272">
        <f t="shared" si="139"/>
        <v>29.074814125790198</v>
      </c>
      <c r="AJ340" s="272">
        <f t="shared" si="152"/>
        <v>58</v>
      </c>
      <c r="AK340" s="272">
        <f t="shared" si="140"/>
        <v>29.074814125790198</v>
      </c>
      <c r="AL340" s="272">
        <f t="shared" si="153"/>
        <v>58</v>
      </c>
      <c r="AM340" s="272">
        <f t="shared" si="141"/>
        <v>29.074814125790198</v>
      </c>
      <c r="AN340" s="272">
        <f t="shared" si="154"/>
        <v>58</v>
      </c>
      <c r="AO340" s="272">
        <f t="shared" si="142"/>
        <v>29.074814125790198</v>
      </c>
      <c r="AP340" s="272">
        <f t="shared" si="155"/>
        <v>58</v>
      </c>
      <c r="AQ340" s="272">
        <f t="shared" si="143"/>
        <v>29.074814125790198</v>
      </c>
      <c r="AR340" s="272">
        <f t="shared" si="156"/>
        <v>58</v>
      </c>
      <c r="AS340" s="508">
        <f t="shared" si="144"/>
        <v>29.074814125790198</v>
      </c>
    </row>
    <row r="341" spans="1:45" ht="12.75" customHeight="1">
      <c r="A341" s="96">
        <f>IF(MAX($F$104:F341)=$G$99,$G$99,F341)</f>
        <v>6.3284716593660075</v>
      </c>
      <c r="B341" s="96">
        <v>238</v>
      </c>
      <c r="C341" s="96">
        <f t="shared" si="135"/>
        <v>0.35700000000000026</v>
      </c>
      <c r="D341" s="96">
        <f t="shared" si="129"/>
        <v>79.289298779164284</v>
      </c>
      <c r="E341" s="96">
        <f t="shared" si="130"/>
        <v>0.91682591648747935</v>
      </c>
      <c r="F341" s="96">
        <f t="shared" si="131"/>
        <v>6.3284716593660075</v>
      </c>
      <c r="G341" s="96">
        <f t="shared" si="134"/>
        <v>6.0304716593660075</v>
      </c>
      <c r="I341" s="96">
        <f t="shared" si="132"/>
        <v>0</v>
      </c>
      <c r="J341" s="96">
        <f t="shared" si="133"/>
        <v>0.35700000000000026</v>
      </c>
      <c r="X341" s="96">
        <f t="shared" si="145"/>
        <v>30</v>
      </c>
      <c r="Y341" s="96">
        <v>0.51999999999997704</v>
      </c>
      <c r="Z341" s="272">
        <f t="shared" si="147"/>
        <v>30</v>
      </c>
      <c r="AA341" s="519">
        <f t="shared" si="148"/>
        <v>28.413156957799306</v>
      </c>
      <c r="AB341" s="516">
        <f t="shared" si="146"/>
        <v>56</v>
      </c>
      <c r="AC341" s="272">
        <f t="shared" si="136"/>
        <v>29.681755317932279</v>
      </c>
      <c r="AD341" s="272">
        <f t="shared" si="149"/>
        <v>58</v>
      </c>
      <c r="AE341" s="272">
        <f t="shared" si="137"/>
        <v>29.636633296675154</v>
      </c>
      <c r="AF341" s="272">
        <f t="shared" si="150"/>
        <v>58</v>
      </c>
      <c r="AG341" s="272">
        <f t="shared" si="138"/>
        <v>29.636633296675154</v>
      </c>
      <c r="AH341" s="272">
        <f t="shared" si="151"/>
        <v>58</v>
      </c>
      <c r="AI341" s="272">
        <f t="shared" si="139"/>
        <v>29.636633296675154</v>
      </c>
      <c r="AJ341" s="272">
        <f t="shared" si="152"/>
        <v>58</v>
      </c>
      <c r="AK341" s="272">
        <f t="shared" si="140"/>
        <v>29.636633296675154</v>
      </c>
      <c r="AL341" s="272">
        <f t="shared" si="153"/>
        <v>58</v>
      </c>
      <c r="AM341" s="272">
        <f t="shared" si="141"/>
        <v>29.636633296675154</v>
      </c>
      <c r="AN341" s="272">
        <f t="shared" si="154"/>
        <v>58</v>
      </c>
      <c r="AO341" s="272">
        <f t="shared" si="142"/>
        <v>29.636633296675154</v>
      </c>
      <c r="AP341" s="272">
        <f t="shared" si="155"/>
        <v>58</v>
      </c>
      <c r="AQ341" s="272">
        <f t="shared" si="143"/>
        <v>29.636633296675154</v>
      </c>
      <c r="AR341" s="272">
        <f t="shared" si="156"/>
        <v>58</v>
      </c>
      <c r="AS341" s="508">
        <f t="shared" si="144"/>
        <v>29.636633296675154</v>
      </c>
    </row>
    <row r="342" spans="1:45" ht="12.75" customHeight="1">
      <c r="A342" s="96">
        <f>IF(MAX($F$104:F342)=$G$99,$G$99,F342)</f>
        <v>6.8062872682352857</v>
      </c>
      <c r="B342" s="481">
        <v>239</v>
      </c>
      <c r="C342" s="96">
        <f t="shared" si="135"/>
        <v>0.35850000000000026</v>
      </c>
      <c r="D342" s="96">
        <f t="shared" si="129"/>
        <v>79.9569951903934</v>
      </c>
      <c r="E342" s="96">
        <f t="shared" si="130"/>
        <v>0.90811293822510575</v>
      </c>
      <c r="F342" s="96">
        <f t="shared" si="131"/>
        <v>6.8062872682352857</v>
      </c>
      <c r="G342" s="96">
        <f t="shared" si="134"/>
        <v>6.5082872682352857</v>
      </c>
      <c r="I342" s="96">
        <f t="shared" si="132"/>
        <v>0</v>
      </c>
      <c r="J342" s="96">
        <f t="shared" si="133"/>
        <v>0.35850000000000026</v>
      </c>
      <c r="X342" s="96">
        <f t="shared" si="145"/>
        <v>31</v>
      </c>
      <c r="Y342" s="517">
        <v>0.51499999999997703</v>
      </c>
      <c r="Z342" s="272">
        <f t="shared" si="147"/>
        <v>31</v>
      </c>
      <c r="AA342" s="519">
        <f t="shared" si="148"/>
        <v>28.967546955939071</v>
      </c>
      <c r="AB342" s="516">
        <f t="shared" si="146"/>
        <v>56</v>
      </c>
      <c r="AC342" s="272">
        <f t="shared" si="136"/>
        <v>30.260897871501161</v>
      </c>
      <c r="AD342" s="272">
        <f t="shared" si="149"/>
        <v>58</v>
      </c>
      <c r="AE342" s="272">
        <f t="shared" si="137"/>
        <v>30.214895441308204</v>
      </c>
      <c r="AF342" s="272">
        <f t="shared" si="150"/>
        <v>60</v>
      </c>
      <c r="AG342" s="272">
        <f t="shared" si="138"/>
        <v>30.172052453621767</v>
      </c>
      <c r="AH342" s="272">
        <f t="shared" si="151"/>
        <v>60</v>
      </c>
      <c r="AI342" s="272">
        <f t="shared" si="139"/>
        <v>30.172052453621767</v>
      </c>
      <c r="AJ342" s="272">
        <f t="shared" si="152"/>
        <v>60</v>
      </c>
      <c r="AK342" s="272">
        <f t="shared" si="140"/>
        <v>30.172052453621767</v>
      </c>
      <c r="AL342" s="272">
        <f t="shared" si="153"/>
        <v>60</v>
      </c>
      <c r="AM342" s="272">
        <f t="shared" si="141"/>
        <v>30.172052453621767</v>
      </c>
      <c r="AN342" s="272">
        <f t="shared" si="154"/>
        <v>60</v>
      </c>
      <c r="AO342" s="272">
        <f t="shared" si="142"/>
        <v>30.172052453621767</v>
      </c>
      <c r="AP342" s="272">
        <f t="shared" si="155"/>
        <v>60</v>
      </c>
      <c r="AQ342" s="272">
        <f t="shared" si="143"/>
        <v>30.172052453621767</v>
      </c>
      <c r="AR342" s="272">
        <f t="shared" si="156"/>
        <v>60</v>
      </c>
      <c r="AS342" s="508">
        <f t="shared" si="144"/>
        <v>30.172052453621767</v>
      </c>
    </row>
    <row r="343" spans="1:45" ht="12.75" customHeight="1">
      <c r="A343" s="96">
        <f>IF(MAX($F$104:F343)=$G$99,$G$99,F343)</f>
        <v>7.2975559013810454</v>
      </c>
      <c r="B343" s="481">
        <v>240</v>
      </c>
      <c r="C343" s="96">
        <f t="shared" si="135"/>
        <v>0.36000000000000026</v>
      </c>
      <c r="D343" s="96">
        <f t="shared" si="129"/>
        <v>80.627491167288028</v>
      </c>
      <c r="E343" s="96">
        <f t="shared" si="130"/>
        <v>0.89875612727977505</v>
      </c>
      <c r="F343" s="96">
        <f t="shared" si="131"/>
        <v>7.2975559013810454</v>
      </c>
      <c r="G343" s="96">
        <f t="shared" si="134"/>
        <v>6.9995559013810453</v>
      </c>
      <c r="I343" s="96">
        <f t="shared" si="132"/>
        <v>0</v>
      </c>
      <c r="J343" s="96">
        <f t="shared" si="133"/>
        <v>0.36000000000000026</v>
      </c>
      <c r="X343" s="96">
        <f t="shared" si="145"/>
        <v>31</v>
      </c>
      <c r="Y343" s="96">
        <v>0.50999999999997703</v>
      </c>
      <c r="Z343" s="272">
        <f t="shared" si="147"/>
        <v>31</v>
      </c>
      <c r="AA343" s="519">
        <f t="shared" si="148"/>
        <v>29.538322342902521</v>
      </c>
      <c r="AB343" s="516">
        <f t="shared" si="146"/>
        <v>58</v>
      </c>
      <c r="AC343" s="272">
        <f t="shared" si="136"/>
        <v>30.810248532952617</v>
      </c>
      <c r="AD343" s="272">
        <f t="shared" si="149"/>
        <v>60</v>
      </c>
      <c r="AE343" s="272">
        <f t="shared" si="137"/>
        <v>30.766561368749866</v>
      </c>
      <c r="AF343" s="272">
        <f t="shared" si="150"/>
        <v>60</v>
      </c>
      <c r="AG343" s="272">
        <f t="shared" si="138"/>
        <v>30.766561368749866</v>
      </c>
      <c r="AH343" s="272">
        <f t="shared" si="151"/>
        <v>60</v>
      </c>
      <c r="AI343" s="272">
        <f t="shared" si="139"/>
        <v>30.766561368749866</v>
      </c>
      <c r="AJ343" s="272">
        <f t="shared" si="152"/>
        <v>60</v>
      </c>
      <c r="AK343" s="272">
        <f t="shared" si="140"/>
        <v>30.766561368749866</v>
      </c>
      <c r="AL343" s="272">
        <f t="shared" si="153"/>
        <v>60</v>
      </c>
      <c r="AM343" s="272">
        <f t="shared" si="141"/>
        <v>30.766561368749866</v>
      </c>
      <c r="AN343" s="272">
        <f t="shared" si="154"/>
        <v>60</v>
      </c>
      <c r="AO343" s="272">
        <f t="shared" si="142"/>
        <v>30.766561368749866</v>
      </c>
      <c r="AP343" s="272">
        <f t="shared" si="155"/>
        <v>60</v>
      </c>
      <c r="AQ343" s="272">
        <f t="shared" si="143"/>
        <v>30.766561368749866</v>
      </c>
      <c r="AR343" s="272">
        <f t="shared" si="156"/>
        <v>60</v>
      </c>
      <c r="AS343" s="508">
        <f t="shared" si="144"/>
        <v>30.766561368749866</v>
      </c>
    </row>
    <row r="344" spans="1:45" ht="12.75" customHeight="1">
      <c r="A344" s="96">
        <f>IF(MAX($F$104:F344)=$G$99,$G$99,F344)</f>
        <v>7.8002324628072968</v>
      </c>
      <c r="B344" s="96">
        <v>241</v>
      </c>
      <c r="C344" s="96">
        <f t="shared" si="135"/>
        <v>0.36150000000000027</v>
      </c>
      <c r="D344" s="96">
        <f t="shared" si="129"/>
        <v>81.300786709848197</v>
      </c>
      <c r="E344" s="96">
        <f t="shared" si="130"/>
        <v>0.88873889600904987</v>
      </c>
      <c r="F344" s="96">
        <f t="shared" si="131"/>
        <v>7.8002324628072968</v>
      </c>
      <c r="G344" s="96">
        <f t="shared" si="134"/>
        <v>7.5022324628072967</v>
      </c>
      <c r="I344" s="96">
        <f t="shared" si="132"/>
        <v>0</v>
      </c>
      <c r="J344" s="96">
        <f t="shared" si="133"/>
        <v>0.36150000000000027</v>
      </c>
      <c r="X344" s="96">
        <f t="shared" si="145"/>
        <v>32</v>
      </c>
      <c r="Y344" s="517">
        <v>0.50499999999997702</v>
      </c>
      <c r="Z344" s="272">
        <f t="shared" si="147"/>
        <v>32</v>
      </c>
      <c r="AA344" s="519">
        <f t="shared" si="148"/>
        <v>30.126135247089319</v>
      </c>
      <c r="AB344" s="516">
        <f t="shared" si="146"/>
        <v>60</v>
      </c>
      <c r="AC344" s="272">
        <f t="shared" si="136"/>
        <v>31.378816241591402</v>
      </c>
      <c r="AD344" s="272">
        <f t="shared" si="149"/>
        <v>62</v>
      </c>
      <c r="AE344" s="272">
        <f t="shared" si="137"/>
        <v>31.337218303171898</v>
      </c>
      <c r="AF344" s="272">
        <f t="shared" si="150"/>
        <v>62</v>
      </c>
      <c r="AG344" s="272">
        <f t="shared" si="138"/>
        <v>31.337218303171898</v>
      </c>
      <c r="AH344" s="272">
        <f t="shared" si="151"/>
        <v>62</v>
      </c>
      <c r="AI344" s="272">
        <f t="shared" si="139"/>
        <v>31.337218303171898</v>
      </c>
      <c r="AJ344" s="272">
        <f t="shared" si="152"/>
        <v>62</v>
      </c>
      <c r="AK344" s="272">
        <f t="shared" si="140"/>
        <v>31.337218303171898</v>
      </c>
      <c r="AL344" s="272">
        <f t="shared" si="153"/>
        <v>62</v>
      </c>
      <c r="AM344" s="272">
        <f t="shared" si="141"/>
        <v>31.337218303171898</v>
      </c>
      <c r="AN344" s="272">
        <f t="shared" si="154"/>
        <v>62</v>
      </c>
      <c r="AO344" s="272">
        <f t="shared" si="142"/>
        <v>31.337218303171898</v>
      </c>
      <c r="AP344" s="272">
        <f t="shared" si="155"/>
        <v>62</v>
      </c>
      <c r="AQ344" s="272">
        <f t="shared" si="143"/>
        <v>31.337218303171898</v>
      </c>
      <c r="AR344" s="272">
        <f t="shared" si="156"/>
        <v>62</v>
      </c>
      <c r="AS344" s="508">
        <f t="shared" si="144"/>
        <v>31.337218303171898</v>
      </c>
    </row>
    <row r="345" spans="1:45" ht="12.75" customHeight="1">
      <c r="A345" s="96">
        <f>IF(MAX($F$104:F345)=$G$99,$G$99,F345)</f>
        <v>8.3120001490380151</v>
      </c>
      <c r="B345" s="481">
        <v>242</v>
      </c>
      <c r="C345" s="96">
        <f t="shared" si="135"/>
        <v>0.36300000000000027</v>
      </c>
      <c r="D345" s="96">
        <f t="shared" si="129"/>
        <v>81.976881818073892</v>
      </c>
      <c r="E345" s="96">
        <f t="shared" si="130"/>
        <v>0.87804754552010966</v>
      </c>
      <c r="F345" s="96">
        <f t="shared" si="131"/>
        <v>8.3120001490380151</v>
      </c>
      <c r="G345" s="96">
        <f t="shared" si="134"/>
        <v>8.0140001490380151</v>
      </c>
      <c r="I345" s="96">
        <f t="shared" si="132"/>
        <v>1</v>
      </c>
      <c r="J345" s="96">
        <f t="shared" si="133"/>
        <v>0.36300000000000027</v>
      </c>
      <c r="X345" s="96">
        <f t="shared" si="145"/>
        <v>32</v>
      </c>
      <c r="Y345" s="578">
        <v>0.49999999999997702</v>
      </c>
      <c r="Z345" s="272">
        <f t="shared" si="147"/>
        <v>32</v>
      </c>
      <c r="AA345" s="519">
        <f t="shared" si="148"/>
        <v>30.731670565555842</v>
      </c>
      <c r="AB345" s="516">
        <f t="shared" si="146"/>
        <v>60</v>
      </c>
      <c r="AC345" s="272">
        <f t="shared" si="136"/>
        <v>32.009530448047421</v>
      </c>
      <c r="AD345" s="272">
        <f t="shared" si="149"/>
        <v>62</v>
      </c>
      <c r="AE345" s="272">
        <f t="shared" si="137"/>
        <v>31.967096391065684</v>
      </c>
      <c r="AF345" s="272">
        <f t="shared" si="150"/>
        <v>62</v>
      </c>
      <c r="AG345" s="272">
        <f t="shared" si="138"/>
        <v>31.967096391065684</v>
      </c>
      <c r="AH345" s="272">
        <f t="shared" si="151"/>
        <v>62</v>
      </c>
      <c r="AI345" s="272">
        <f t="shared" si="139"/>
        <v>31.967096391065684</v>
      </c>
      <c r="AJ345" s="272">
        <f t="shared" si="152"/>
        <v>62</v>
      </c>
      <c r="AK345" s="272">
        <f t="shared" si="140"/>
        <v>31.967096391065684</v>
      </c>
      <c r="AL345" s="272">
        <f t="shared" si="153"/>
        <v>62</v>
      </c>
      <c r="AM345" s="272">
        <f t="shared" si="141"/>
        <v>31.967096391065684</v>
      </c>
      <c r="AN345" s="272">
        <f t="shared" si="154"/>
        <v>62</v>
      </c>
      <c r="AO345" s="272">
        <f t="shared" si="142"/>
        <v>31.967096391065684</v>
      </c>
      <c r="AP345" s="272">
        <f t="shared" si="155"/>
        <v>62</v>
      </c>
      <c r="AQ345" s="272">
        <f t="shared" si="143"/>
        <v>31.967096391065684</v>
      </c>
      <c r="AR345" s="272">
        <f t="shared" si="156"/>
        <v>62</v>
      </c>
      <c r="AS345" s="508">
        <f t="shared" si="144"/>
        <v>31.967096391065684</v>
      </c>
    </row>
    <row r="346" spans="1:45" ht="12.75" customHeight="1">
      <c r="A346" s="96">
        <f>IF(MAX($F$104:F346)=$G$99,$G$99,F346)</f>
        <v>8.830338055289662</v>
      </c>
      <c r="B346" s="481">
        <v>243</v>
      </c>
      <c r="C346" s="96">
        <f t="shared" si="135"/>
        <v>0.36450000000000027</v>
      </c>
      <c r="D346" s="96">
        <f t="shared" si="129"/>
        <v>82.655776491965128</v>
      </c>
      <c r="E346" s="96">
        <f t="shared" si="130"/>
        <v>0.86667163897620558</v>
      </c>
      <c r="F346" s="96">
        <f t="shared" si="131"/>
        <v>8.830338055289662</v>
      </c>
      <c r="G346" s="96">
        <f t="shared" si="134"/>
        <v>8.5323380552896619</v>
      </c>
      <c r="I346" s="96">
        <f t="shared" si="132"/>
        <v>1</v>
      </c>
      <c r="J346" s="96">
        <f t="shared" si="133"/>
        <v>0.36450000000000027</v>
      </c>
      <c r="X346" s="96">
        <f t="shared" si="145"/>
        <v>33</v>
      </c>
      <c r="Y346" s="96">
        <v>0.498</v>
      </c>
      <c r="Z346" s="272">
        <f t="shared" si="147"/>
        <v>33</v>
      </c>
      <c r="AA346" s="519">
        <f t="shared" si="148"/>
        <v>30.979006957098491</v>
      </c>
      <c r="AB346" s="516">
        <f t="shared" si="146"/>
        <v>60</v>
      </c>
      <c r="AC346" s="272">
        <f t="shared" si="136"/>
        <v>32.267151384699922</v>
      </c>
      <c r="AD346" s="272">
        <f t="shared" si="149"/>
        <v>62</v>
      </c>
      <c r="AE346" s="272">
        <f t="shared" si="137"/>
        <v>32.224375807509894</v>
      </c>
      <c r="AF346" s="272">
        <f t="shared" si="150"/>
        <v>64</v>
      </c>
      <c r="AG346" s="272">
        <f t="shared" si="138"/>
        <v>32.184349351624213</v>
      </c>
      <c r="AH346" s="272">
        <f t="shared" si="151"/>
        <v>64</v>
      </c>
      <c r="AI346" s="272">
        <f t="shared" si="139"/>
        <v>32.184349351624213</v>
      </c>
      <c r="AJ346" s="272">
        <f t="shared" si="152"/>
        <v>64</v>
      </c>
      <c r="AK346" s="272">
        <f t="shared" si="140"/>
        <v>32.184349351624213</v>
      </c>
      <c r="AL346" s="272">
        <f t="shared" si="153"/>
        <v>64</v>
      </c>
      <c r="AM346" s="272">
        <f t="shared" si="141"/>
        <v>32.184349351624213</v>
      </c>
      <c r="AN346" s="272">
        <f t="shared" si="154"/>
        <v>64</v>
      </c>
      <c r="AO346" s="272">
        <f t="shared" si="142"/>
        <v>32.184349351624213</v>
      </c>
      <c r="AP346" s="272">
        <f t="shared" si="155"/>
        <v>64</v>
      </c>
      <c r="AQ346" s="272">
        <f t="shared" si="143"/>
        <v>32.184349351624213</v>
      </c>
      <c r="AR346" s="272">
        <f t="shared" si="156"/>
        <v>64</v>
      </c>
      <c r="AS346" s="508">
        <f t="shared" si="144"/>
        <v>32.184349351624213</v>
      </c>
    </row>
    <row r="347" spans="1:45" ht="12.75" customHeight="1">
      <c r="A347" s="96">
        <f>IF(MAX($F$104:F347)=$G$99,$G$99,F347)</f>
        <v>9.3525502063687096</v>
      </c>
      <c r="B347" s="96">
        <v>244</v>
      </c>
      <c r="C347" s="96">
        <f t="shared" si="135"/>
        <v>0.36600000000000027</v>
      </c>
      <c r="D347" s="96">
        <f t="shared" si="129"/>
        <v>83.337470731521876</v>
      </c>
      <c r="E347" s="96">
        <f t="shared" si="130"/>
        <v>0.85460417015208401</v>
      </c>
      <c r="F347" s="96">
        <f t="shared" si="131"/>
        <v>9.3525502063687096</v>
      </c>
      <c r="G347" s="96">
        <f t="shared" si="134"/>
        <v>9.0545502063687096</v>
      </c>
      <c r="I347" s="96">
        <f t="shared" si="132"/>
        <v>1</v>
      </c>
      <c r="J347" s="96">
        <f t="shared" si="133"/>
        <v>0.36600000000000027</v>
      </c>
      <c r="X347" s="96">
        <f t="shared" si="145"/>
        <v>33</v>
      </c>
      <c r="Y347" s="96">
        <v>0.496</v>
      </c>
      <c r="Z347" s="272">
        <f t="shared" si="147"/>
        <v>33</v>
      </c>
      <c r="AA347" s="519">
        <f t="shared" si="148"/>
        <v>31.229341349295389</v>
      </c>
      <c r="AB347" s="516">
        <f t="shared" si="146"/>
        <v>62</v>
      </c>
      <c r="AC347" s="272">
        <f t="shared" si="136"/>
        <v>32.484773745470562</v>
      </c>
      <c r="AD347" s="272">
        <f t="shared" si="149"/>
        <v>64</v>
      </c>
      <c r="AE347" s="272">
        <f t="shared" si="137"/>
        <v>32.444423844791444</v>
      </c>
      <c r="AF347" s="272">
        <f t="shared" si="150"/>
        <v>64</v>
      </c>
      <c r="AG347" s="272">
        <f t="shared" si="138"/>
        <v>32.444423844791444</v>
      </c>
      <c r="AH347" s="272">
        <f t="shared" si="151"/>
        <v>64</v>
      </c>
      <c r="AI347" s="272">
        <f t="shared" si="139"/>
        <v>32.444423844791444</v>
      </c>
      <c r="AJ347" s="272">
        <f t="shared" si="152"/>
        <v>64</v>
      </c>
      <c r="AK347" s="272">
        <f t="shared" si="140"/>
        <v>32.444423844791444</v>
      </c>
      <c r="AL347" s="272">
        <f t="shared" si="153"/>
        <v>64</v>
      </c>
      <c r="AM347" s="272">
        <f t="shared" si="141"/>
        <v>32.444423844791444</v>
      </c>
      <c r="AN347" s="272">
        <f t="shared" si="154"/>
        <v>64</v>
      </c>
      <c r="AO347" s="272">
        <f t="shared" si="142"/>
        <v>32.444423844791444</v>
      </c>
      <c r="AP347" s="272">
        <f t="shared" si="155"/>
        <v>64</v>
      </c>
      <c r="AQ347" s="272">
        <f t="shared" si="143"/>
        <v>32.444423844791444</v>
      </c>
      <c r="AR347" s="272">
        <f t="shared" si="156"/>
        <v>64</v>
      </c>
      <c r="AS347" s="508">
        <f t="shared" si="144"/>
        <v>32.444423844791444</v>
      </c>
    </row>
    <row r="348" spans="1:45" ht="12.75" customHeight="1">
      <c r="A348" s="96">
        <f>IF(MAX($F$104:F348)=$G$99,$G$99,F348)</f>
        <v>9.8757087892793578</v>
      </c>
      <c r="B348" s="481">
        <v>245</v>
      </c>
      <c r="C348" s="96">
        <f t="shared" si="135"/>
        <v>0.36750000000000027</v>
      </c>
      <c r="D348" s="96">
        <f t="shared" si="129"/>
        <v>84.021964536744179</v>
      </c>
      <c r="E348" s="96">
        <f t="shared" si="130"/>
        <v>0.8418418596672621</v>
      </c>
      <c r="F348" s="96">
        <f t="shared" si="131"/>
        <v>9.8757087892793578</v>
      </c>
      <c r="G348" s="96">
        <f t="shared" si="134"/>
        <v>9.5777087892793578</v>
      </c>
      <c r="I348" s="96">
        <f t="shared" si="132"/>
        <v>1</v>
      </c>
      <c r="J348" s="96">
        <f t="shared" si="133"/>
        <v>0.36750000000000027</v>
      </c>
      <c r="X348" s="96">
        <f t="shared" si="145"/>
        <v>33</v>
      </c>
      <c r="Y348" s="96">
        <v>0.49399999999999999</v>
      </c>
      <c r="Z348" s="272">
        <f t="shared" si="147"/>
        <v>33</v>
      </c>
      <c r="AA348" s="519">
        <f t="shared" si="148"/>
        <v>31.482722390910581</v>
      </c>
      <c r="AB348" s="516">
        <f t="shared" si="146"/>
        <v>62</v>
      </c>
      <c r="AC348" s="272">
        <f t="shared" si="136"/>
        <v>32.748340809412078</v>
      </c>
      <c r="AD348" s="272">
        <f t="shared" si="149"/>
        <v>64</v>
      </c>
      <c r="AE348" s="272">
        <f t="shared" si="137"/>
        <v>32.707663527513198</v>
      </c>
      <c r="AF348" s="272">
        <f t="shared" si="150"/>
        <v>64</v>
      </c>
      <c r="AG348" s="272">
        <f t="shared" si="138"/>
        <v>32.707663527513198</v>
      </c>
      <c r="AH348" s="272">
        <f t="shared" si="151"/>
        <v>64</v>
      </c>
      <c r="AI348" s="272">
        <f t="shared" si="139"/>
        <v>32.707663527513198</v>
      </c>
      <c r="AJ348" s="272">
        <f t="shared" si="152"/>
        <v>64</v>
      </c>
      <c r="AK348" s="272">
        <f t="shared" si="140"/>
        <v>32.707663527513198</v>
      </c>
      <c r="AL348" s="272">
        <f t="shared" si="153"/>
        <v>64</v>
      </c>
      <c r="AM348" s="272">
        <f t="shared" si="141"/>
        <v>32.707663527513198</v>
      </c>
      <c r="AN348" s="272">
        <f t="shared" si="154"/>
        <v>64</v>
      </c>
      <c r="AO348" s="272">
        <f t="shared" si="142"/>
        <v>32.707663527513198</v>
      </c>
      <c r="AP348" s="272">
        <f t="shared" si="155"/>
        <v>64</v>
      </c>
      <c r="AQ348" s="272">
        <f t="shared" si="143"/>
        <v>32.707663527513198</v>
      </c>
      <c r="AR348" s="272">
        <f t="shared" si="156"/>
        <v>64</v>
      </c>
      <c r="AS348" s="508">
        <f t="shared" si="144"/>
        <v>32.707663527513198</v>
      </c>
    </row>
    <row r="349" spans="1:45" ht="12.75" customHeight="1">
      <c r="A349" s="96">
        <f>IF(MAX($F$104:F349)=$G$99,$G$99,F349)</f>
        <v>10.39676327714351</v>
      </c>
      <c r="B349" s="481">
        <v>246</v>
      </c>
      <c r="C349" s="96">
        <f t="shared" si="135"/>
        <v>0.36900000000000027</v>
      </c>
      <c r="D349" s="96">
        <f t="shared" si="129"/>
        <v>84.709257907631979</v>
      </c>
      <c r="E349" s="96">
        <f t="shared" si="130"/>
        <v>0.82838547425134235</v>
      </c>
      <c r="F349" s="96">
        <f t="shared" si="131"/>
        <v>10.39676327714351</v>
      </c>
      <c r="G349" s="96">
        <f t="shared" si="134"/>
        <v>10.09876327714351</v>
      </c>
      <c r="I349" s="96">
        <f t="shared" si="132"/>
        <v>1</v>
      </c>
      <c r="J349" s="96">
        <f t="shared" si="133"/>
        <v>0.36900000000000027</v>
      </c>
      <c r="X349" s="96">
        <f t="shared" si="145"/>
        <v>33</v>
      </c>
      <c r="Y349" s="96">
        <v>0.49199999999999999</v>
      </c>
      <c r="Z349" s="272">
        <f t="shared" si="147"/>
        <v>33</v>
      </c>
      <c r="AA349" s="519">
        <f t="shared" si="148"/>
        <v>31.739199721512719</v>
      </c>
      <c r="AB349" s="516">
        <f t="shared" si="146"/>
        <v>62</v>
      </c>
      <c r="AC349" s="272">
        <f t="shared" si="136"/>
        <v>33.01512863443422</v>
      </c>
      <c r="AD349" s="272">
        <f t="shared" si="149"/>
        <v>64</v>
      </c>
      <c r="AE349" s="272">
        <f t="shared" si="137"/>
        <v>32.974119970752412</v>
      </c>
      <c r="AF349" s="272">
        <f t="shared" si="150"/>
        <v>64</v>
      </c>
      <c r="AG349" s="272">
        <f t="shared" si="138"/>
        <v>32.974119970752412</v>
      </c>
      <c r="AH349" s="272">
        <f t="shared" si="151"/>
        <v>64</v>
      </c>
      <c r="AI349" s="272">
        <f t="shared" si="139"/>
        <v>32.974119970752412</v>
      </c>
      <c r="AJ349" s="272">
        <f t="shared" si="152"/>
        <v>64</v>
      </c>
      <c r="AK349" s="272">
        <f t="shared" si="140"/>
        <v>32.974119970752412</v>
      </c>
      <c r="AL349" s="272">
        <f t="shared" si="153"/>
        <v>64</v>
      </c>
      <c r="AM349" s="272">
        <f t="shared" si="141"/>
        <v>32.974119970752412</v>
      </c>
      <c r="AN349" s="272">
        <f t="shared" si="154"/>
        <v>64</v>
      </c>
      <c r="AO349" s="272">
        <f t="shared" si="142"/>
        <v>32.974119970752412</v>
      </c>
      <c r="AP349" s="272">
        <f t="shared" si="155"/>
        <v>64</v>
      </c>
      <c r="AQ349" s="272">
        <f t="shared" si="143"/>
        <v>32.974119970752412</v>
      </c>
      <c r="AR349" s="272">
        <f t="shared" si="156"/>
        <v>64</v>
      </c>
      <c r="AS349" s="508">
        <f t="shared" si="144"/>
        <v>32.974119970752412</v>
      </c>
    </row>
    <row r="350" spans="1:45" ht="12.75" customHeight="1">
      <c r="A350" s="96">
        <f>IF(MAX($F$104:F350)=$G$99,$G$99,F350)</f>
        <v>10.912528370290245</v>
      </c>
      <c r="B350" s="96">
        <v>247</v>
      </c>
      <c r="C350" s="96">
        <f t="shared" si="135"/>
        <v>0.37050000000000027</v>
      </c>
      <c r="D350" s="96">
        <f t="shared" si="129"/>
        <v>85.399350844185335</v>
      </c>
      <c r="E350" s="96">
        <f t="shared" si="130"/>
        <v>0.81423983326776606</v>
      </c>
      <c r="F350" s="96">
        <f t="shared" si="131"/>
        <v>10.912528370290245</v>
      </c>
      <c r="G350" s="96">
        <f t="shared" si="134"/>
        <v>10.614528370290245</v>
      </c>
      <c r="I350" s="96">
        <f t="shared" si="132"/>
        <v>1</v>
      </c>
      <c r="J350" s="96">
        <f t="shared" si="133"/>
        <v>0.37050000000000027</v>
      </c>
      <c r="X350" s="96">
        <f t="shared" si="145"/>
        <v>34</v>
      </c>
      <c r="Y350" s="96">
        <v>0.49</v>
      </c>
      <c r="Z350" s="272">
        <f t="shared" si="147"/>
        <v>34</v>
      </c>
      <c r="AA350" s="519">
        <f t="shared" si="148"/>
        <v>31.998823995786147</v>
      </c>
      <c r="AB350" s="516">
        <f t="shared" si="146"/>
        <v>62</v>
      </c>
      <c r="AC350" s="272">
        <f t="shared" si="136"/>
        <v>33.285189911560543</v>
      </c>
      <c r="AD350" s="272">
        <f t="shared" si="149"/>
        <v>64</v>
      </c>
      <c r="AE350" s="272">
        <f t="shared" si="137"/>
        <v>33.243845800084181</v>
      </c>
      <c r="AF350" s="272">
        <f t="shared" si="150"/>
        <v>66</v>
      </c>
      <c r="AG350" s="272">
        <f t="shared" si="138"/>
        <v>33.205076127087352</v>
      </c>
      <c r="AH350" s="272">
        <f t="shared" si="151"/>
        <v>66</v>
      </c>
      <c r="AI350" s="272">
        <f t="shared" si="139"/>
        <v>33.205076127087352</v>
      </c>
      <c r="AJ350" s="272">
        <f t="shared" si="152"/>
        <v>66</v>
      </c>
      <c r="AK350" s="272">
        <f t="shared" si="140"/>
        <v>33.205076127087352</v>
      </c>
      <c r="AL350" s="272">
        <f t="shared" si="153"/>
        <v>66</v>
      </c>
      <c r="AM350" s="272">
        <f t="shared" si="141"/>
        <v>33.205076127087352</v>
      </c>
      <c r="AN350" s="272">
        <f t="shared" si="154"/>
        <v>66</v>
      </c>
      <c r="AO350" s="272">
        <f t="shared" si="142"/>
        <v>33.205076127087352</v>
      </c>
      <c r="AP350" s="272">
        <f t="shared" si="155"/>
        <v>66</v>
      </c>
      <c r="AQ350" s="272">
        <f t="shared" si="143"/>
        <v>33.205076127087352</v>
      </c>
      <c r="AR350" s="272">
        <f t="shared" si="156"/>
        <v>66</v>
      </c>
      <c r="AS350" s="508">
        <f t="shared" si="144"/>
        <v>33.205076127087352</v>
      </c>
    </row>
    <row r="351" spans="1:45" ht="12.75" customHeight="1">
      <c r="A351" s="96">
        <f>IF(MAX($F$104:F351)=$G$99,$G$99,F351)</f>
        <v>11.419711659330961</v>
      </c>
      <c r="B351" s="481">
        <v>248</v>
      </c>
      <c r="C351" s="96">
        <f t="shared" si="135"/>
        <v>0.37200000000000027</v>
      </c>
      <c r="D351" s="96">
        <f t="shared" si="129"/>
        <v>86.092243346404217</v>
      </c>
      <c r="E351" s="96">
        <f t="shared" si="130"/>
        <v>0.79941415999393461</v>
      </c>
      <c r="F351" s="96">
        <f t="shared" si="131"/>
        <v>11.419711659330961</v>
      </c>
      <c r="G351" s="96">
        <f t="shared" si="134"/>
        <v>11.121711659330961</v>
      </c>
      <c r="I351" s="96">
        <f t="shared" si="132"/>
        <v>1</v>
      </c>
      <c r="J351" s="96">
        <f t="shared" si="133"/>
        <v>0.37200000000000027</v>
      </c>
      <c r="X351" s="96">
        <f t="shared" si="145"/>
        <v>34</v>
      </c>
      <c r="Y351" s="96">
        <v>0.48799999999999999</v>
      </c>
      <c r="Z351" s="272">
        <f t="shared" si="147"/>
        <v>34</v>
      </c>
      <c r="AA351" s="519">
        <f t="shared" si="148"/>
        <v>32.261646908543803</v>
      </c>
      <c r="AB351" s="516">
        <f t="shared" si="146"/>
        <v>64</v>
      </c>
      <c r="AC351" s="272">
        <f t="shared" si="136"/>
        <v>33.516894721681886</v>
      </c>
      <c r="AD351" s="272">
        <f t="shared" si="149"/>
        <v>66</v>
      </c>
      <c r="AE351" s="272">
        <f t="shared" si="137"/>
        <v>33.477806613283029</v>
      </c>
      <c r="AF351" s="272">
        <f t="shared" si="150"/>
        <v>66</v>
      </c>
      <c r="AG351" s="272">
        <f t="shared" si="138"/>
        <v>33.477806613283029</v>
      </c>
      <c r="AH351" s="272">
        <f t="shared" si="151"/>
        <v>66</v>
      </c>
      <c r="AI351" s="272">
        <f t="shared" si="139"/>
        <v>33.477806613283029</v>
      </c>
      <c r="AJ351" s="272">
        <f t="shared" si="152"/>
        <v>66</v>
      </c>
      <c r="AK351" s="272">
        <f t="shared" si="140"/>
        <v>33.477806613283029</v>
      </c>
      <c r="AL351" s="272">
        <f t="shared" si="153"/>
        <v>66</v>
      </c>
      <c r="AM351" s="272">
        <f t="shared" si="141"/>
        <v>33.477806613283029</v>
      </c>
      <c r="AN351" s="272">
        <f t="shared" si="154"/>
        <v>66</v>
      </c>
      <c r="AO351" s="272">
        <f t="shared" si="142"/>
        <v>33.477806613283029</v>
      </c>
      <c r="AP351" s="272">
        <f t="shared" si="155"/>
        <v>66</v>
      </c>
      <c r="AQ351" s="272">
        <f t="shared" si="143"/>
        <v>33.477806613283029</v>
      </c>
      <c r="AR351" s="272">
        <f t="shared" si="156"/>
        <v>66</v>
      </c>
      <c r="AS351" s="508">
        <f t="shared" si="144"/>
        <v>33.477806613283029</v>
      </c>
    </row>
    <row r="352" spans="1:45" ht="12.75" customHeight="1">
      <c r="A352" s="96">
        <f>IF(MAX($F$104:F352)=$G$99,$G$99,F352)</f>
        <v>11.915004787787545</v>
      </c>
      <c r="B352" s="481">
        <v>249</v>
      </c>
      <c r="C352" s="96">
        <f t="shared" si="135"/>
        <v>0.37350000000000028</v>
      </c>
      <c r="D352" s="96">
        <f t="shared" si="129"/>
        <v>86.78793541428864</v>
      </c>
      <c r="E352" s="96">
        <f t="shared" si="130"/>
        <v>0.78392201470317058</v>
      </c>
      <c r="F352" s="96">
        <f t="shared" si="131"/>
        <v>11.915004787787545</v>
      </c>
      <c r="G352" s="96">
        <f t="shared" si="134"/>
        <v>11.617004787787545</v>
      </c>
      <c r="I352" s="96">
        <f t="shared" si="132"/>
        <v>1</v>
      </c>
      <c r="J352" s="96">
        <f t="shared" si="133"/>
        <v>0.37350000000000028</v>
      </c>
      <c r="X352" s="96">
        <f t="shared" si="145"/>
        <v>34</v>
      </c>
      <c r="Y352" s="96">
        <v>0.48599999999999999</v>
      </c>
      <c r="Z352" s="272">
        <f t="shared" si="147"/>
        <v>34</v>
      </c>
      <c r="AA352" s="519">
        <f t="shared" si="148"/>
        <v>32.527721220462041</v>
      </c>
      <c r="AB352" s="516">
        <f t="shared" si="146"/>
        <v>64</v>
      </c>
      <c r="AC352" s="272">
        <f t="shared" si="136"/>
        <v>33.793321549053388</v>
      </c>
      <c r="AD352" s="272">
        <f t="shared" si="149"/>
        <v>66</v>
      </c>
      <c r="AE352" s="272">
        <f t="shared" si="137"/>
        <v>33.753911065867641</v>
      </c>
      <c r="AF352" s="272">
        <f t="shared" si="150"/>
        <v>66</v>
      </c>
      <c r="AG352" s="272">
        <f t="shared" si="138"/>
        <v>33.753911065867641</v>
      </c>
      <c r="AH352" s="272">
        <f t="shared" si="151"/>
        <v>66</v>
      </c>
      <c r="AI352" s="272">
        <f t="shared" si="139"/>
        <v>33.753911065867641</v>
      </c>
      <c r="AJ352" s="272">
        <f t="shared" si="152"/>
        <v>66</v>
      </c>
      <c r="AK352" s="272">
        <f t="shared" si="140"/>
        <v>33.753911065867641</v>
      </c>
      <c r="AL352" s="272">
        <f t="shared" si="153"/>
        <v>66</v>
      </c>
      <c r="AM352" s="272">
        <f t="shared" si="141"/>
        <v>33.753911065867641</v>
      </c>
      <c r="AN352" s="272">
        <f t="shared" si="154"/>
        <v>66</v>
      </c>
      <c r="AO352" s="272">
        <f t="shared" si="142"/>
        <v>33.753911065867641</v>
      </c>
      <c r="AP352" s="272">
        <f t="shared" si="155"/>
        <v>66</v>
      </c>
      <c r="AQ352" s="272">
        <f t="shared" si="143"/>
        <v>33.753911065867641</v>
      </c>
      <c r="AR352" s="272">
        <f t="shared" si="156"/>
        <v>66</v>
      </c>
      <c r="AS352" s="508">
        <f t="shared" si="144"/>
        <v>33.753911065867641</v>
      </c>
    </row>
    <row r="353" spans="1:45" ht="12.75" customHeight="1">
      <c r="A353" s="96">
        <f>IF(MAX($F$104:F353)=$G$99,$G$99,F353)</f>
        <v>12.395009056932343</v>
      </c>
      <c r="B353" s="96">
        <v>250</v>
      </c>
      <c r="C353" s="96">
        <f t="shared" si="135"/>
        <v>0.37500000000000028</v>
      </c>
      <c r="D353" s="96">
        <f t="shared" si="129"/>
        <v>87.486427047838589</v>
      </c>
      <c r="E353" s="96">
        <f t="shared" si="130"/>
        <v>0.76778140392016236</v>
      </c>
      <c r="F353" s="96">
        <f t="shared" si="131"/>
        <v>12.395009056932343</v>
      </c>
      <c r="G353" s="96">
        <f t="shared" si="134"/>
        <v>12.097009056932343</v>
      </c>
      <c r="I353" s="96">
        <f t="shared" si="132"/>
        <v>1</v>
      </c>
      <c r="J353" s="96">
        <f t="shared" si="133"/>
        <v>0.37500000000000028</v>
      </c>
      <c r="X353" s="96">
        <f t="shared" si="145"/>
        <v>35</v>
      </c>
      <c r="Y353" s="96">
        <v>0.48399999999999999</v>
      </c>
      <c r="Z353" s="272">
        <f t="shared" si="147"/>
        <v>35</v>
      </c>
      <c r="AA353" s="519">
        <f t="shared" si="148"/>
        <v>32.797100784561565</v>
      </c>
      <c r="AB353" s="516">
        <f t="shared" si="146"/>
        <v>64</v>
      </c>
      <c r="AC353" s="272">
        <f t="shared" si="136"/>
        <v>34.073182230552099</v>
      </c>
      <c r="AD353" s="272">
        <f t="shared" si="149"/>
        <v>66</v>
      </c>
      <c r="AE353" s="272">
        <f t="shared" si="137"/>
        <v>34.033445367946499</v>
      </c>
      <c r="AF353" s="272">
        <f t="shared" si="150"/>
        <v>68</v>
      </c>
      <c r="AG353" s="272">
        <f t="shared" si="138"/>
        <v>33.996108186781981</v>
      </c>
      <c r="AH353" s="272">
        <f t="shared" si="151"/>
        <v>66</v>
      </c>
      <c r="AI353" s="272">
        <f t="shared" si="139"/>
        <v>34.033445367946499</v>
      </c>
      <c r="AJ353" s="272">
        <f t="shared" si="152"/>
        <v>68</v>
      </c>
      <c r="AK353" s="272">
        <f t="shared" si="140"/>
        <v>33.996108186781981</v>
      </c>
      <c r="AL353" s="272">
        <f t="shared" si="153"/>
        <v>66</v>
      </c>
      <c r="AM353" s="272">
        <f t="shared" si="141"/>
        <v>34.033445367946499</v>
      </c>
      <c r="AN353" s="272">
        <f t="shared" si="154"/>
        <v>68</v>
      </c>
      <c r="AO353" s="272">
        <f t="shared" si="142"/>
        <v>33.996108186781981</v>
      </c>
      <c r="AP353" s="272">
        <f t="shared" si="155"/>
        <v>66</v>
      </c>
      <c r="AQ353" s="272">
        <f t="shared" si="143"/>
        <v>34.033445367946499</v>
      </c>
      <c r="AR353" s="272">
        <f t="shared" si="156"/>
        <v>68</v>
      </c>
      <c r="AS353" s="508">
        <f t="shared" si="144"/>
        <v>33.996108186781981</v>
      </c>
    </row>
    <row r="354" spans="1:45" ht="12.75" customHeight="1">
      <c r="A354" s="96">
        <f>IF(MAX($F$104:F354)=$G$99,$G$99,F354)</f>
        <v>12.856369245619682</v>
      </c>
      <c r="B354" s="481">
        <v>251</v>
      </c>
      <c r="C354" s="96">
        <f t="shared" si="135"/>
        <v>0.37650000000000028</v>
      </c>
      <c r="D354" s="96">
        <f t="shared" si="129"/>
        <v>88.18771824705405</v>
      </c>
      <c r="E354" s="96">
        <f t="shared" si="130"/>
        <v>0.75101491101219975</v>
      </c>
      <c r="F354" s="96">
        <f t="shared" si="131"/>
        <v>12.856369245619682</v>
      </c>
      <c r="G354" s="96">
        <f t="shared" si="134"/>
        <v>12.558369245619682</v>
      </c>
      <c r="I354" s="96">
        <f t="shared" si="132"/>
        <v>1</v>
      </c>
      <c r="J354" s="96">
        <f t="shared" si="133"/>
        <v>0.37650000000000028</v>
      </c>
      <c r="X354" s="96">
        <f t="shared" si="145"/>
        <v>35</v>
      </c>
      <c r="Y354" s="96">
        <v>0.48199999999999998</v>
      </c>
      <c r="Z354" s="272">
        <f t="shared" si="147"/>
        <v>35</v>
      </c>
      <c r="AA354" s="519">
        <f t="shared" si="148"/>
        <v>33.069840573458855</v>
      </c>
      <c r="AB354" s="516">
        <f t="shared" si="146"/>
        <v>66</v>
      </c>
      <c r="AC354" s="272">
        <f t="shared" si="136"/>
        <v>34.316466564425852</v>
      </c>
      <c r="AD354" s="272">
        <f t="shared" si="149"/>
        <v>68</v>
      </c>
      <c r="AE354" s="272">
        <f t="shared" si="137"/>
        <v>34.278818888288775</v>
      </c>
      <c r="AF354" s="272">
        <f t="shared" si="150"/>
        <v>68</v>
      </c>
      <c r="AG354" s="272">
        <f t="shared" si="138"/>
        <v>34.278818888288775</v>
      </c>
      <c r="AH354" s="272">
        <f t="shared" si="151"/>
        <v>68</v>
      </c>
      <c r="AI354" s="272">
        <f t="shared" si="139"/>
        <v>34.278818888288775</v>
      </c>
      <c r="AJ354" s="272">
        <f t="shared" si="152"/>
        <v>68</v>
      </c>
      <c r="AK354" s="272">
        <f t="shared" si="140"/>
        <v>34.278818888288775</v>
      </c>
      <c r="AL354" s="272">
        <f t="shared" si="153"/>
        <v>68</v>
      </c>
      <c r="AM354" s="272">
        <f t="shared" si="141"/>
        <v>34.278818888288775</v>
      </c>
      <c r="AN354" s="272">
        <f t="shared" si="154"/>
        <v>68</v>
      </c>
      <c r="AO354" s="272">
        <f t="shared" si="142"/>
        <v>34.278818888288775</v>
      </c>
      <c r="AP354" s="272">
        <f t="shared" si="155"/>
        <v>68</v>
      </c>
      <c r="AQ354" s="272">
        <f t="shared" si="143"/>
        <v>34.278818888288775</v>
      </c>
      <c r="AR354" s="272">
        <f t="shared" si="156"/>
        <v>68</v>
      </c>
      <c r="AS354" s="508">
        <f t="shared" si="144"/>
        <v>34.278818888288775</v>
      </c>
    </row>
    <row r="355" spans="1:45" ht="12.75" customHeight="1">
      <c r="A355" s="96">
        <f>IF(MAX($F$104:F355)=$G$99,$G$99,F355)</f>
        <v>13.295832870153635</v>
      </c>
      <c r="B355" s="481">
        <v>252</v>
      </c>
      <c r="C355" s="96">
        <f t="shared" si="135"/>
        <v>0.37800000000000028</v>
      </c>
      <c r="D355" s="96">
        <f t="shared" si="129"/>
        <v>88.891809011935052</v>
      </c>
      <c r="E355" s="96">
        <f t="shared" si="130"/>
        <v>0.73364945017072958</v>
      </c>
      <c r="F355" s="96">
        <f t="shared" si="131"/>
        <v>13.295832870153635</v>
      </c>
      <c r="G355" s="96">
        <f t="shared" si="134"/>
        <v>12.997832870153635</v>
      </c>
      <c r="I355" s="96">
        <f t="shared" si="132"/>
        <v>1</v>
      </c>
      <c r="J355" s="96">
        <f t="shared" si="133"/>
        <v>0.37800000000000028</v>
      </c>
      <c r="X355" s="96">
        <f t="shared" si="145"/>
        <v>35</v>
      </c>
      <c r="Y355" s="96">
        <v>0.48</v>
      </c>
      <c r="Z355" s="272">
        <f t="shared" si="147"/>
        <v>35</v>
      </c>
      <c r="AA355" s="519">
        <f t="shared" si="148"/>
        <v>33.345996707414308</v>
      </c>
      <c r="AB355" s="516">
        <f t="shared" si="146"/>
        <v>66</v>
      </c>
      <c r="AC355" s="272">
        <f t="shared" si="136"/>
        <v>34.603032891118374</v>
      </c>
      <c r="AD355" s="272">
        <f t="shared" si="149"/>
        <v>68</v>
      </c>
      <c r="AE355" s="272">
        <f t="shared" si="137"/>
        <v>34.56507083074132</v>
      </c>
      <c r="AF355" s="272">
        <f t="shared" si="150"/>
        <v>68</v>
      </c>
      <c r="AG355" s="272">
        <f t="shared" si="138"/>
        <v>34.56507083074132</v>
      </c>
      <c r="AH355" s="272">
        <f t="shared" si="151"/>
        <v>68</v>
      </c>
      <c r="AI355" s="272">
        <f t="shared" si="139"/>
        <v>34.56507083074132</v>
      </c>
      <c r="AJ355" s="272">
        <f t="shared" si="152"/>
        <v>68</v>
      </c>
      <c r="AK355" s="272">
        <f t="shared" si="140"/>
        <v>34.56507083074132</v>
      </c>
      <c r="AL355" s="272">
        <f t="shared" si="153"/>
        <v>68</v>
      </c>
      <c r="AM355" s="272">
        <f t="shared" si="141"/>
        <v>34.56507083074132</v>
      </c>
      <c r="AN355" s="272">
        <f t="shared" si="154"/>
        <v>68</v>
      </c>
      <c r="AO355" s="272">
        <f t="shared" si="142"/>
        <v>34.56507083074132</v>
      </c>
      <c r="AP355" s="272">
        <f t="shared" si="155"/>
        <v>68</v>
      </c>
      <c r="AQ355" s="272">
        <f t="shared" si="143"/>
        <v>34.56507083074132</v>
      </c>
      <c r="AR355" s="272">
        <f t="shared" si="156"/>
        <v>68</v>
      </c>
      <c r="AS355" s="508">
        <f t="shared" si="144"/>
        <v>34.56507083074132</v>
      </c>
    </row>
    <row r="356" spans="1:45" ht="12.75" customHeight="1">
      <c r="A356" s="96">
        <f>IF(MAX($F$104:F356)=$G$99,$G$99,F356)</f>
        <v>13.710151418836155</v>
      </c>
      <c r="B356" s="96">
        <v>253</v>
      </c>
      <c r="C356" s="96">
        <f t="shared" si="135"/>
        <v>0.37950000000000028</v>
      </c>
      <c r="D356" s="96">
        <f t="shared" si="129"/>
        <v>89.598699342481595</v>
      </c>
      <c r="E356" s="96">
        <f t="shared" si="130"/>
        <v>0.71571623967550868</v>
      </c>
      <c r="F356" s="96">
        <f t="shared" si="131"/>
        <v>13.710151418836155</v>
      </c>
      <c r="G356" s="96">
        <f t="shared" si="134"/>
        <v>13.412151418836155</v>
      </c>
      <c r="I356" s="96">
        <f t="shared" si="132"/>
        <v>1</v>
      </c>
      <c r="J356" s="96">
        <f t="shared" si="133"/>
        <v>0.37950000000000028</v>
      </c>
      <c r="X356" s="96">
        <f t="shared" si="145"/>
        <v>35</v>
      </c>
      <c r="Y356" s="96">
        <v>0.47799999999999998</v>
      </c>
      <c r="Z356" s="272">
        <f t="shared" si="147"/>
        <v>35</v>
      </c>
      <c r="AA356" s="519">
        <f t="shared" si="148"/>
        <v>33.625626483203433</v>
      </c>
      <c r="AB356" s="516">
        <f t="shared" si="146"/>
        <v>66</v>
      </c>
      <c r="AC356" s="272">
        <f t="shared" si="136"/>
        <v>34.893203804702615</v>
      </c>
      <c r="AD356" s="272">
        <f t="shared" si="149"/>
        <v>68</v>
      </c>
      <c r="AE356" s="272">
        <f t="shared" si="137"/>
        <v>34.854923405589886</v>
      </c>
      <c r="AF356" s="272">
        <f t="shared" si="150"/>
        <v>68</v>
      </c>
      <c r="AG356" s="272">
        <f t="shared" si="138"/>
        <v>34.854923405589886</v>
      </c>
      <c r="AH356" s="272">
        <f t="shared" si="151"/>
        <v>68</v>
      </c>
      <c r="AI356" s="272">
        <f t="shared" si="139"/>
        <v>34.854923405589886</v>
      </c>
      <c r="AJ356" s="272">
        <f t="shared" si="152"/>
        <v>68</v>
      </c>
      <c r="AK356" s="272">
        <f t="shared" si="140"/>
        <v>34.854923405589886</v>
      </c>
      <c r="AL356" s="272">
        <f t="shared" si="153"/>
        <v>68</v>
      </c>
      <c r="AM356" s="272">
        <f t="shared" si="141"/>
        <v>34.854923405589886</v>
      </c>
      <c r="AN356" s="272">
        <f t="shared" si="154"/>
        <v>68</v>
      </c>
      <c r="AO356" s="272">
        <f t="shared" si="142"/>
        <v>34.854923405589886</v>
      </c>
      <c r="AP356" s="272">
        <f t="shared" si="155"/>
        <v>68</v>
      </c>
      <c r="AQ356" s="272">
        <f t="shared" si="143"/>
        <v>34.854923405589886</v>
      </c>
      <c r="AR356" s="272">
        <f t="shared" si="156"/>
        <v>68</v>
      </c>
      <c r="AS356" s="508">
        <f t="shared" si="144"/>
        <v>34.854923405589886</v>
      </c>
    </row>
    <row r="357" spans="1:45" ht="12.75" customHeight="1">
      <c r="A357" s="96">
        <f>IF(MAX($F$104:F357)=$G$99,$G$99,F357)</f>
        <v>14.096268384497121</v>
      </c>
      <c r="B357" s="481">
        <v>254</v>
      </c>
      <c r="C357" s="96">
        <f t="shared" si="135"/>
        <v>0.38100000000000028</v>
      </c>
      <c r="D357" s="96">
        <f t="shared" si="129"/>
        <v>90.30838923869365</v>
      </c>
      <c r="E357" s="96">
        <f t="shared" si="130"/>
        <v>0.69725081808532385</v>
      </c>
      <c r="F357" s="96">
        <f t="shared" si="131"/>
        <v>14.096268384497121</v>
      </c>
      <c r="G357" s="96">
        <f t="shared" si="134"/>
        <v>13.798268384497121</v>
      </c>
      <c r="I357" s="96">
        <f t="shared" si="132"/>
        <v>1</v>
      </c>
      <c r="J357" s="96">
        <f t="shared" si="133"/>
        <v>0.38100000000000028</v>
      </c>
      <c r="X357" s="96">
        <f t="shared" si="145"/>
        <v>36</v>
      </c>
      <c r="Y357" s="96">
        <v>0.47599999999999998</v>
      </c>
      <c r="Z357" s="272">
        <f t="shared" si="147"/>
        <v>36</v>
      </c>
      <c r="AA357" s="519">
        <f t="shared" si="148"/>
        <v>33.908788403839125</v>
      </c>
      <c r="AB357" s="516">
        <f t="shared" si="146"/>
        <v>66</v>
      </c>
      <c r="AC357" s="272">
        <f t="shared" si="136"/>
        <v>35.187040013565749</v>
      </c>
      <c r="AD357" s="272">
        <f t="shared" si="149"/>
        <v>68</v>
      </c>
      <c r="AE357" s="272">
        <f t="shared" si="137"/>
        <v>35.148437254620092</v>
      </c>
      <c r="AF357" s="272">
        <f t="shared" si="150"/>
        <v>70</v>
      </c>
      <c r="AG357" s="272">
        <f t="shared" si="138"/>
        <v>35.112097393301489</v>
      </c>
      <c r="AH357" s="272">
        <f t="shared" si="151"/>
        <v>70</v>
      </c>
      <c r="AI357" s="272">
        <f t="shared" si="139"/>
        <v>35.112097393301489</v>
      </c>
      <c r="AJ357" s="272">
        <f t="shared" si="152"/>
        <v>70</v>
      </c>
      <c r="AK357" s="272">
        <f t="shared" si="140"/>
        <v>35.112097393301489</v>
      </c>
      <c r="AL357" s="272">
        <f t="shared" si="153"/>
        <v>70</v>
      </c>
      <c r="AM357" s="272">
        <f t="shared" si="141"/>
        <v>35.112097393301489</v>
      </c>
      <c r="AN357" s="272">
        <f t="shared" si="154"/>
        <v>70</v>
      </c>
      <c r="AO357" s="272">
        <f t="shared" si="142"/>
        <v>35.112097393301489</v>
      </c>
      <c r="AP357" s="272">
        <f t="shared" si="155"/>
        <v>70</v>
      </c>
      <c r="AQ357" s="272">
        <f t="shared" si="143"/>
        <v>35.112097393301489</v>
      </c>
      <c r="AR357" s="272">
        <f t="shared" si="156"/>
        <v>70</v>
      </c>
      <c r="AS357" s="508">
        <f t="shared" si="144"/>
        <v>35.112097393301489</v>
      </c>
    </row>
    <row r="358" spans="1:45" ht="12.75" customHeight="1">
      <c r="A358" s="96">
        <f>IF(MAX($F$104:F358)=$G$99,$G$99,F358)</f>
        <v>14.451284242470685</v>
      </c>
      <c r="B358" s="481">
        <v>255</v>
      </c>
      <c r="C358" s="96">
        <f t="shared" si="135"/>
        <v>0.38250000000000028</v>
      </c>
      <c r="D358" s="96">
        <f t="shared" si="129"/>
        <v>91.020878700571259</v>
      </c>
      <c r="E358" s="96">
        <f t="shared" si="130"/>
        <v>0.67829251830073756</v>
      </c>
      <c r="F358" s="96">
        <f t="shared" si="131"/>
        <v>14.451284242470685</v>
      </c>
      <c r="G358" s="96">
        <f t="shared" si="134"/>
        <v>14.153284242470685</v>
      </c>
      <c r="I358" s="96">
        <f t="shared" si="132"/>
        <v>1</v>
      </c>
      <c r="J358" s="96">
        <f t="shared" si="133"/>
        <v>0.38250000000000028</v>
      </c>
      <c r="X358" s="96">
        <f t="shared" si="145"/>
        <v>36</v>
      </c>
      <c r="Y358" s="96">
        <v>0.47399999999999998</v>
      </c>
      <c r="Z358" s="272">
        <f t="shared" si="147"/>
        <v>36</v>
      </c>
      <c r="AA358" s="519">
        <f t="shared" si="148"/>
        <v>34.195542209173446</v>
      </c>
      <c r="AB358" s="516">
        <f t="shared" si="146"/>
        <v>68</v>
      </c>
      <c r="AC358" s="272">
        <f t="shared" si="136"/>
        <v>35.44567430167352</v>
      </c>
      <c r="AD358" s="272">
        <f t="shared" si="149"/>
        <v>70</v>
      </c>
      <c r="AE358" s="272">
        <f t="shared" si="137"/>
        <v>35.409027127884954</v>
      </c>
      <c r="AF358" s="272">
        <f t="shared" si="150"/>
        <v>70</v>
      </c>
      <c r="AG358" s="272">
        <f t="shared" si="138"/>
        <v>35.409027127884954</v>
      </c>
      <c r="AH358" s="272">
        <f t="shared" si="151"/>
        <v>70</v>
      </c>
      <c r="AI358" s="272">
        <f t="shared" si="139"/>
        <v>35.409027127884954</v>
      </c>
      <c r="AJ358" s="272">
        <f t="shared" si="152"/>
        <v>70</v>
      </c>
      <c r="AK358" s="272">
        <f t="shared" si="140"/>
        <v>35.409027127884954</v>
      </c>
      <c r="AL358" s="272">
        <f t="shared" si="153"/>
        <v>70</v>
      </c>
      <c r="AM358" s="272">
        <f t="shared" si="141"/>
        <v>35.409027127884954</v>
      </c>
      <c r="AN358" s="272">
        <f t="shared" si="154"/>
        <v>70</v>
      </c>
      <c r="AO358" s="272">
        <f t="shared" si="142"/>
        <v>35.409027127884954</v>
      </c>
      <c r="AP358" s="272">
        <f t="shared" si="155"/>
        <v>70</v>
      </c>
      <c r="AQ358" s="272">
        <f t="shared" si="143"/>
        <v>35.409027127884954</v>
      </c>
      <c r="AR358" s="272">
        <f t="shared" si="156"/>
        <v>70</v>
      </c>
      <c r="AS358" s="508">
        <f t="shared" si="144"/>
        <v>35.409027127884954</v>
      </c>
    </row>
    <row r="359" spans="1:45" ht="12.75" customHeight="1">
      <c r="A359" s="96">
        <f>IF(MAX($F$104:F359)=$G$99,$G$99,F359)</f>
        <v>14.772486590091276</v>
      </c>
      <c r="B359" s="96">
        <v>256</v>
      </c>
      <c r="C359" s="96">
        <f t="shared" si="135"/>
        <v>0.38400000000000029</v>
      </c>
      <c r="D359" s="96">
        <f t="shared" si="129"/>
        <v>91.736167728114381</v>
      </c>
      <c r="E359" s="96">
        <f t="shared" si="130"/>
        <v>0.65888457673363177</v>
      </c>
      <c r="F359" s="96">
        <f t="shared" si="131"/>
        <v>14.772486590091276</v>
      </c>
      <c r="G359" s="96">
        <f t="shared" si="134"/>
        <v>14.474486590091276</v>
      </c>
      <c r="I359" s="96">
        <f t="shared" si="132"/>
        <v>1</v>
      </c>
      <c r="J359" s="96">
        <f t="shared" si="133"/>
        <v>0.38400000000000029</v>
      </c>
      <c r="X359" s="96">
        <f t="shared" si="145"/>
        <v>36</v>
      </c>
      <c r="Y359" s="96">
        <v>0.47199999999999998</v>
      </c>
      <c r="Z359" s="272">
        <f t="shared" si="147"/>
        <v>36</v>
      </c>
      <c r="AA359" s="519">
        <f t="shared" si="148"/>
        <v>34.485948907409224</v>
      </c>
      <c r="AB359" s="516">
        <f t="shared" si="146"/>
        <v>68</v>
      </c>
      <c r="AC359" s="272">
        <f t="shared" si="136"/>
        <v>35.746697785311341</v>
      </c>
      <c r="AD359" s="272">
        <f t="shared" si="149"/>
        <v>70</v>
      </c>
      <c r="AE359" s="272">
        <f t="shared" si="137"/>
        <v>35.709739384267628</v>
      </c>
      <c r="AF359" s="272">
        <f t="shared" si="150"/>
        <v>70</v>
      </c>
      <c r="AG359" s="272">
        <f t="shared" si="138"/>
        <v>35.709739384267628</v>
      </c>
      <c r="AH359" s="272">
        <f t="shared" si="151"/>
        <v>70</v>
      </c>
      <c r="AI359" s="272">
        <f t="shared" si="139"/>
        <v>35.709739384267628</v>
      </c>
      <c r="AJ359" s="272">
        <f t="shared" si="152"/>
        <v>70</v>
      </c>
      <c r="AK359" s="272">
        <f t="shared" si="140"/>
        <v>35.709739384267628</v>
      </c>
      <c r="AL359" s="272">
        <f t="shared" si="153"/>
        <v>70</v>
      </c>
      <c r="AM359" s="272">
        <f t="shared" si="141"/>
        <v>35.709739384267628</v>
      </c>
      <c r="AN359" s="272">
        <f t="shared" si="154"/>
        <v>70</v>
      </c>
      <c r="AO359" s="272">
        <f t="shared" si="142"/>
        <v>35.709739384267628</v>
      </c>
      <c r="AP359" s="272">
        <f t="shared" si="155"/>
        <v>70</v>
      </c>
      <c r="AQ359" s="272">
        <f t="shared" si="143"/>
        <v>35.709739384267628</v>
      </c>
      <c r="AR359" s="272">
        <f t="shared" si="156"/>
        <v>70</v>
      </c>
      <c r="AS359" s="508">
        <f t="shared" si="144"/>
        <v>35.709739384267628</v>
      </c>
    </row>
    <row r="360" spans="1:45" ht="12.75" customHeight="1">
      <c r="A360" s="96">
        <f>IF(MAX($F$104:F360)=$G$99,$G$99,F360)</f>
        <v>15.057484860984204</v>
      </c>
      <c r="B360" s="481">
        <v>257</v>
      </c>
      <c r="C360" s="96">
        <f t="shared" si="135"/>
        <v>0.38550000000000029</v>
      </c>
      <c r="D360" s="96">
        <f t="shared" ref="D360:D423" si="157">C360^2/$C$96</f>
        <v>92.454256321323044</v>
      </c>
      <c r="E360" s="96">
        <f t="shared" ref="E360:E423" si="158">CHIDIST(D360,$E$96)</f>
        <v>0.63907352735359257</v>
      </c>
      <c r="F360" s="96">
        <f t="shared" ref="F360:F423" si="159">IF($E$7&lt;$F$101,NA(),$E$98*(E359-E361)/(2*$C$99))</f>
        <v>15.057484860984204</v>
      </c>
      <c r="G360" s="96">
        <f t="shared" si="134"/>
        <v>14.759484860984204</v>
      </c>
      <c r="I360" s="96">
        <f t="shared" ref="I360:I423" si="160">IF(F360&gt;$G$98,1,0)</f>
        <v>1</v>
      </c>
      <c r="J360" s="96">
        <f t="shared" ref="J360:J423" si="161">C360</f>
        <v>0.38550000000000029</v>
      </c>
      <c r="X360" s="96">
        <f t="shared" si="145"/>
        <v>37</v>
      </c>
      <c r="Y360" s="96">
        <v>0.47</v>
      </c>
      <c r="Z360" s="272">
        <f t="shared" si="147"/>
        <v>37</v>
      </c>
      <c r="AA360" s="519">
        <f t="shared" si="148"/>
        <v>34.780070807552072</v>
      </c>
      <c r="AB360" s="516">
        <f t="shared" si="146"/>
        <v>68</v>
      </c>
      <c r="AC360" s="272">
        <f t="shared" si="136"/>
        <v>36.051572292452704</v>
      </c>
      <c r="AD360" s="272">
        <f t="shared" si="149"/>
        <v>70</v>
      </c>
      <c r="AE360" s="272">
        <f t="shared" si="137"/>
        <v>36.014298682592475</v>
      </c>
      <c r="AF360" s="272">
        <f t="shared" si="150"/>
        <v>72</v>
      </c>
      <c r="AG360" s="272">
        <f t="shared" si="138"/>
        <v>35.979147863285938</v>
      </c>
      <c r="AH360" s="272">
        <f t="shared" si="151"/>
        <v>70</v>
      </c>
      <c r="AI360" s="272">
        <f t="shared" si="139"/>
        <v>36.014298682592475</v>
      </c>
      <c r="AJ360" s="272">
        <f t="shared" si="152"/>
        <v>72</v>
      </c>
      <c r="AK360" s="272">
        <f t="shared" si="140"/>
        <v>35.979147863285938</v>
      </c>
      <c r="AL360" s="272">
        <f t="shared" si="153"/>
        <v>70</v>
      </c>
      <c r="AM360" s="272">
        <f t="shared" si="141"/>
        <v>36.014298682592475</v>
      </c>
      <c r="AN360" s="272">
        <f t="shared" si="154"/>
        <v>72</v>
      </c>
      <c r="AO360" s="272">
        <f t="shared" si="142"/>
        <v>35.979147863285938</v>
      </c>
      <c r="AP360" s="272">
        <f t="shared" si="155"/>
        <v>70</v>
      </c>
      <c r="AQ360" s="272">
        <f t="shared" si="143"/>
        <v>36.014298682592475</v>
      </c>
      <c r="AR360" s="272">
        <f t="shared" si="156"/>
        <v>72</v>
      </c>
      <c r="AS360" s="508">
        <f t="shared" si="144"/>
        <v>35.979147863285938</v>
      </c>
    </row>
    <row r="361" spans="1:45" ht="12.75" customHeight="1">
      <c r="A361" s="96">
        <f>IF(MAX($F$104:F361)=$G$99,$G$99,F361)</f>
        <v>15.304042524737856</v>
      </c>
      <c r="B361" s="481">
        <v>258</v>
      </c>
      <c r="C361" s="96">
        <f t="shared" si="135"/>
        <v>0.38700000000000029</v>
      </c>
      <c r="D361" s="96">
        <f t="shared" si="157"/>
        <v>93.175144480197233</v>
      </c>
      <c r="E361" s="96">
        <f t="shared" si="158"/>
        <v>0.61890895320889494</v>
      </c>
      <c r="F361" s="96">
        <f t="shared" si="159"/>
        <v>15.304042524737856</v>
      </c>
      <c r="G361" s="96">
        <f t="shared" ref="G361:G424" si="162">F361-$G$101</f>
        <v>15.006042524737856</v>
      </c>
      <c r="I361" s="96">
        <f t="shared" si="160"/>
        <v>1</v>
      </c>
      <c r="J361" s="96">
        <f t="shared" si="161"/>
        <v>0.38700000000000029</v>
      </c>
      <c r="X361" s="96">
        <f t="shared" si="145"/>
        <v>37</v>
      </c>
      <c r="Y361" s="96">
        <v>0.46800000000000003</v>
      </c>
      <c r="Z361" s="272">
        <f t="shared" si="147"/>
        <v>37</v>
      </c>
      <c r="AA361" s="519">
        <f t="shared" si="148"/>
        <v>35.077971552835557</v>
      </c>
      <c r="AB361" s="516">
        <f t="shared" si="146"/>
        <v>70</v>
      </c>
      <c r="AC361" s="272">
        <f t="shared" si="136"/>
        <v>36.322770924577569</v>
      </c>
      <c r="AD361" s="272">
        <f t="shared" si="149"/>
        <v>72</v>
      </c>
      <c r="AE361" s="272">
        <f t="shared" si="137"/>
        <v>36.287319028964241</v>
      </c>
      <c r="AF361" s="272">
        <f t="shared" si="150"/>
        <v>72</v>
      </c>
      <c r="AG361" s="272">
        <f t="shared" si="138"/>
        <v>36.287319028964241</v>
      </c>
      <c r="AH361" s="272">
        <f t="shared" si="151"/>
        <v>72</v>
      </c>
      <c r="AI361" s="272">
        <f t="shared" si="139"/>
        <v>36.287319028964241</v>
      </c>
      <c r="AJ361" s="272">
        <f t="shared" si="152"/>
        <v>72</v>
      </c>
      <c r="AK361" s="272">
        <f t="shared" si="140"/>
        <v>36.287319028964241</v>
      </c>
      <c r="AL361" s="272">
        <f t="shared" si="153"/>
        <v>72</v>
      </c>
      <c r="AM361" s="272">
        <f t="shared" si="141"/>
        <v>36.287319028964241</v>
      </c>
      <c r="AN361" s="272">
        <f t="shared" si="154"/>
        <v>72</v>
      </c>
      <c r="AO361" s="272">
        <f t="shared" si="142"/>
        <v>36.287319028964241</v>
      </c>
      <c r="AP361" s="272">
        <f t="shared" si="155"/>
        <v>72</v>
      </c>
      <c r="AQ361" s="272">
        <f t="shared" si="143"/>
        <v>36.287319028964241</v>
      </c>
      <c r="AR361" s="272">
        <f t="shared" si="156"/>
        <v>72</v>
      </c>
      <c r="AS361" s="508">
        <f t="shared" si="144"/>
        <v>36.287319028964241</v>
      </c>
    </row>
    <row r="362" spans="1:45" ht="12.75" customHeight="1">
      <c r="A362" s="96">
        <f>IF(MAX($F$104:F362)=$G$99,$G$99,F362)</f>
        <v>15.510303221540058</v>
      </c>
      <c r="B362" s="96">
        <v>259</v>
      </c>
      <c r="C362" s="96">
        <f t="shared" si="135"/>
        <v>0.38850000000000029</v>
      </c>
      <c r="D362" s="96">
        <f t="shared" si="157"/>
        <v>93.898832204736948</v>
      </c>
      <c r="E362" s="96">
        <f t="shared" si="158"/>
        <v>0.59844332596048322</v>
      </c>
      <c r="F362" s="96">
        <f t="shared" si="159"/>
        <v>15.510303221540058</v>
      </c>
      <c r="G362" s="96">
        <f t="shared" si="162"/>
        <v>15.212303221540058</v>
      </c>
      <c r="I362" s="96">
        <f t="shared" si="160"/>
        <v>1</v>
      </c>
      <c r="J362" s="96">
        <f t="shared" si="161"/>
        <v>0.38850000000000029</v>
      </c>
      <c r="X362" s="96">
        <f t="shared" si="145"/>
        <v>37</v>
      </c>
      <c r="Y362" s="96">
        <v>0.46600000000000003</v>
      </c>
      <c r="Z362" s="272">
        <f t="shared" si="147"/>
        <v>37</v>
      </c>
      <c r="AA362" s="519">
        <f t="shared" si="148"/>
        <v>35.379716155152302</v>
      </c>
      <c r="AB362" s="516">
        <f t="shared" si="146"/>
        <v>70</v>
      </c>
      <c r="AC362" s="272">
        <f t="shared" si="136"/>
        <v>36.635223429169251</v>
      </c>
      <c r="AD362" s="272">
        <f t="shared" si="149"/>
        <v>72</v>
      </c>
      <c r="AE362" s="272">
        <f t="shared" si="137"/>
        <v>36.599466572417363</v>
      </c>
      <c r="AF362" s="272">
        <f t="shared" si="150"/>
        <v>72</v>
      </c>
      <c r="AG362" s="272">
        <f t="shared" si="138"/>
        <v>36.599466572417363</v>
      </c>
      <c r="AH362" s="272">
        <f t="shared" si="151"/>
        <v>72</v>
      </c>
      <c r="AI362" s="272">
        <f t="shared" si="139"/>
        <v>36.599466572417363</v>
      </c>
      <c r="AJ362" s="272">
        <f t="shared" si="152"/>
        <v>72</v>
      </c>
      <c r="AK362" s="272">
        <f t="shared" si="140"/>
        <v>36.599466572417363</v>
      </c>
      <c r="AL362" s="272">
        <f t="shared" si="153"/>
        <v>72</v>
      </c>
      <c r="AM362" s="272">
        <f t="shared" si="141"/>
        <v>36.599466572417363</v>
      </c>
      <c r="AN362" s="272">
        <f t="shared" si="154"/>
        <v>72</v>
      </c>
      <c r="AO362" s="272">
        <f t="shared" si="142"/>
        <v>36.599466572417363</v>
      </c>
      <c r="AP362" s="272">
        <f t="shared" si="155"/>
        <v>72</v>
      </c>
      <c r="AQ362" s="272">
        <f t="shared" si="143"/>
        <v>36.599466572417363</v>
      </c>
      <c r="AR362" s="272">
        <f t="shared" si="156"/>
        <v>72</v>
      </c>
      <c r="AS362" s="508">
        <f t="shared" si="144"/>
        <v>36.599466572417363</v>
      </c>
    </row>
    <row r="363" spans="1:45" ht="12.75" customHeight="1">
      <c r="A363" s="96">
        <f>IF(MAX($F$104:F363)=$G$99,$G$99,F363)</f>
        <v>15.674715955015595</v>
      </c>
      <c r="B363" s="481">
        <v>260</v>
      </c>
      <c r="C363" s="96">
        <f t="shared" si="135"/>
        <v>0.39000000000000029</v>
      </c>
      <c r="D363" s="96">
        <f t="shared" si="157"/>
        <v>94.625319494942204</v>
      </c>
      <c r="E363" s="96">
        <f t="shared" si="158"/>
        <v>0.57773115704551425</v>
      </c>
      <c r="F363" s="96">
        <f t="shared" si="159"/>
        <v>15.674715955015595</v>
      </c>
      <c r="G363" s="96">
        <f t="shared" si="162"/>
        <v>15.376715955015595</v>
      </c>
      <c r="I363" s="96">
        <f t="shared" si="160"/>
        <v>1</v>
      </c>
      <c r="J363" s="96">
        <f t="shared" si="161"/>
        <v>0.39000000000000029</v>
      </c>
      <c r="X363" s="96">
        <f t="shared" si="145"/>
        <v>37</v>
      </c>
      <c r="Y363" s="96">
        <v>0.46400000000000002</v>
      </c>
      <c r="Z363" s="272">
        <f t="shared" si="147"/>
        <v>37</v>
      </c>
      <c r="AA363" s="519">
        <f t="shared" si="148"/>
        <v>35.685371030526589</v>
      </c>
      <c r="AB363" s="516">
        <f t="shared" si="146"/>
        <v>70</v>
      </c>
      <c r="AC363" s="272">
        <f t="shared" si="136"/>
        <v>36.95172496927335</v>
      </c>
      <c r="AD363" s="272">
        <f t="shared" si="149"/>
        <v>72</v>
      </c>
      <c r="AE363" s="272">
        <f t="shared" si="137"/>
        <v>36.915659199427125</v>
      </c>
      <c r="AF363" s="272">
        <f t="shared" si="150"/>
        <v>72</v>
      </c>
      <c r="AG363" s="272">
        <f t="shared" si="138"/>
        <v>36.915659199427125</v>
      </c>
      <c r="AH363" s="272">
        <f t="shared" si="151"/>
        <v>72</v>
      </c>
      <c r="AI363" s="272">
        <f t="shared" si="139"/>
        <v>36.915659199427125</v>
      </c>
      <c r="AJ363" s="272">
        <f t="shared" si="152"/>
        <v>72</v>
      </c>
      <c r="AK363" s="272">
        <f t="shared" si="140"/>
        <v>36.915659199427125</v>
      </c>
      <c r="AL363" s="272">
        <f t="shared" si="153"/>
        <v>72</v>
      </c>
      <c r="AM363" s="272">
        <f t="shared" si="141"/>
        <v>36.915659199427125</v>
      </c>
      <c r="AN363" s="272">
        <f t="shared" si="154"/>
        <v>72</v>
      </c>
      <c r="AO363" s="272">
        <f t="shared" si="142"/>
        <v>36.915659199427125</v>
      </c>
      <c r="AP363" s="272">
        <f t="shared" si="155"/>
        <v>72</v>
      </c>
      <c r="AQ363" s="272">
        <f t="shared" si="143"/>
        <v>36.915659199427125</v>
      </c>
      <c r="AR363" s="272">
        <f t="shared" si="156"/>
        <v>72</v>
      </c>
      <c r="AS363" s="508">
        <f t="shared" si="144"/>
        <v>36.915659199427125</v>
      </c>
    </row>
    <row r="364" spans="1:45" ht="12.75" customHeight="1">
      <c r="A364" s="96">
        <f>IF(MAX($F$104:F364)=$G$99,$G$99,F364)</f>
        <v>15.796046616633355</v>
      </c>
      <c r="B364" s="481">
        <v>261</v>
      </c>
      <c r="C364" s="96">
        <f t="shared" si="135"/>
        <v>0.39150000000000029</v>
      </c>
      <c r="D364" s="96">
        <f t="shared" si="157"/>
        <v>95.354606350812986</v>
      </c>
      <c r="E364" s="96">
        <f t="shared" si="158"/>
        <v>0.55682903581442411</v>
      </c>
      <c r="F364" s="96">
        <f t="shared" si="159"/>
        <v>15.796046616633355</v>
      </c>
      <c r="G364" s="96">
        <f t="shared" si="162"/>
        <v>15.498046616633355</v>
      </c>
      <c r="I364" s="96">
        <f t="shared" si="160"/>
        <v>1</v>
      </c>
      <c r="J364" s="96">
        <f t="shared" si="161"/>
        <v>0.39150000000000029</v>
      </c>
      <c r="X364" s="96">
        <f t="shared" si="145"/>
        <v>38</v>
      </c>
      <c r="Y364" s="96">
        <v>0.46200000000000002</v>
      </c>
      <c r="Z364" s="272">
        <f t="shared" si="147"/>
        <v>38</v>
      </c>
      <c r="AA364" s="519">
        <f t="shared" si="148"/>
        <v>35.995004035663939</v>
      </c>
      <c r="AB364" s="516">
        <f t="shared" si="146"/>
        <v>70</v>
      </c>
      <c r="AC364" s="272">
        <f t="shared" si="136"/>
        <v>37.272345809601944</v>
      </c>
      <c r="AD364" s="272">
        <f t="shared" si="149"/>
        <v>72</v>
      </c>
      <c r="AE364" s="272">
        <f t="shared" si="137"/>
        <v>37.235967106125564</v>
      </c>
      <c r="AF364" s="272">
        <f t="shared" si="150"/>
        <v>74</v>
      </c>
      <c r="AG364" s="272">
        <f t="shared" si="138"/>
        <v>37.201602886271779</v>
      </c>
      <c r="AH364" s="272">
        <f t="shared" si="151"/>
        <v>74</v>
      </c>
      <c r="AI364" s="272">
        <f t="shared" si="139"/>
        <v>37.201602886271779</v>
      </c>
      <c r="AJ364" s="272">
        <f t="shared" si="152"/>
        <v>74</v>
      </c>
      <c r="AK364" s="272">
        <f t="shared" si="140"/>
        <v>37.201602886271779</v>
      </c>
      <c r="AL364" s="272">
        <f t="shared" si="153"/>
        <v>74</v>
      </c>
      <c r="AM364" s="272">
        <f t="shared" si="141"/>
        <v>37.201602886271779</v>
      </c>
      <c r="AN364" s="272">
        <f t="shared" si="154"/>
        <v>74</v>
      </c>
      <c r="AO364" s="272">
        <f t="shared" si="142"/>
        <v>37.201602886271779</v>
      </c>
      <c r="AP364" s="272">
        <f t="shared" si="155"/>
        <v>74</v>
      </c>
      <c r="AQ364" s="272">
        <f t="shared" si="143"/>
        <v>37.201602886271779</v>
      </c>
      <c r="AR364" s="272">
        <f t="shared" si="156"/>
        <v>74</v>
      </c>
      <c r="AS364" s="508">
        <f t="shared" si="144"/>
        <v>37.201602886271779</v>
      </c>
    </row>
    <row r="365" spans="1:45" ht="12.75" customHeight="1">
      <c r="A365" s="96">
        <f>IF(MAX($F$104:F365)=$G$99,$G$99,F365)</f>
        <v>15.873526704444242</v>
      </c>
      <c r="B365" s="96">
        <v>262</v>
      </c>
      <c r="C365" s="96">
        <f t="shared" si="135"/>
        <v>0.39300000000000029</v>
      </c>
      <c r="D365" s="96">
        <f t="shared" si="157"/>
        <v>96.086692772349295</v>
      </c>
      <c r="E365" s="96">
        <f t="shared" si="158"/>
        <v>0.53579475009870003</v>
      </c>
      <c r="F365" s="96">
        <f t="shared" si="159"/>
        <v>15.873526704444242</v>
      </c>
      <c r="G365" s="96">
        <f t="shared" si="162"/>
        <v>15.575526704444242</v>
      </c>
      <c r="I365" s="96">
        <f t="shared" si="160"/>
        <v>1</v>
      </c>
      <c r="J365" s="96">
        <f t="shared" si="161"/>
        <v>0.39300000000000029</v>
      </c>
      <c r="X365" s="96">
        <f t="shared" si="145"/>
        <v>38</v>
      </c>
      <c r="Y365" s="96">
        <v>0.46</v>
      </c>
      <c r="Z365" s="272">
        <f t="shared" si="147"/>
        <v>38</v>
      </c>
      <c r="AA365" s="519">
        <f t="shared" si="148"/>
        <v>36.308684505615567</v>
      </c>
      <c r="AB365" s="516">
        <f t="shared" si="146"/>
        <v>72</v>
      </c>
      <c r="AC365" s="272">
        <f t="shared" si="136"/>
        <v>37.560462017957775</v>
      </c>
      <c r="AD365" s="272">
        <f t="shared" si="149"/>
        <v>74</v>
      </c>
      <c r="AE365" s="272">
        <f t="shared" si="137"/>
        <v>37.525798329193734</v>
      </c>
      <c r="AF365" s="272">
        <f t="shared" si="150"/>
        <v>74</v>
      </c>
      <c r="AG365" s="272">
        <f t="shared" si="138"/>
        <v>37.525798329193734</v>
      </c>
      <c r="AH365" s="272">
        <f t="shared" si="151"/>
        <v>74</v>
      </c>
      <c r="AI365" s="272">
        <f t="shared" si="139"/>
        <v>37.525798329193734</v>
      </c>
      <c r="AJ365" s="272">
        <f t="shared" si="152"/>
        <v>74</v>
      </c>
      <c r="AK365" s="272">
        <f t="shared" si="140"/>
        <v>37.525798329193734</v>
      </c>
      <c r="AL365" s="272">
        <f t="shared" si="153"/>
        <v>74</v>
      </c>
      <c r="AM365" s="272">
        <f t="shared" si="141"/>
        <v>37.525798329193734</v>
      </c>
      <c r="AN365" s="272">
        <f t="shared" si="154"/>
        <v>74</v>
      </c>
      <c r="AO365" s="272">
        <f t="shared" si="142"/>
        <v>37.525798329193734</v>
      </c>
      <c r="AP365" s="272">
        <f t="shared" si="155"/>
        <v>74</v>
      </c>
      <c r="AQ365" s="272">
        <f t="shared" si="143"/>
        <v>37.525798329193734</v>
      </c>
      <c r="AR365" s="272">
        <f t="shared" si="156"/>
        <v>74</v>
      </c>
      <c r="AS365" s="508">
        <f t="shared" si="144"/>
        <v>37.525798329193734</v>
      </c>
    </row>
    <row r="366" spans="1:45" ht="12.75" customHeight="1">
      <c r="A366" s="96">
        <f>IF(MAX($F$104:F366)=$G$99,$G$99,F366)</f>
        <v>15.906595441861038</v>
      </c>
      <c r="B366" s="481">
        <v>263</v>
      </c>
      <c r="C366" s="96">
        <f t="shared" si="135"/>
        <v>0.39450000000000029</v>
      </c>
      <c r="D366" s="96">
        <f t="shared" si="157"/>
        <v>96.82157875955113</v>
      </c>
      <c r="E366" s="96">
        <f t="shared" si="158"/>
        <v>0.5146869295194394</v>
      </c>
      <c r="F366" s="96">
        <f t="shared" si="159"/>
        <v>15.906595441861038</v>
      </c>
      <c r="G366" s="96">
        <f t="shared" si="162"/>
        <v>15.608595441861038</v>
      </c>
      <c r="I366" s="96">
        <f t="shared" si="160"/>
        <v>1</v>
      </c>
      <c r="J366" s="96">
        <f t="shared" si="161"/>
        <v>0.39450000000000029</v>
      </c>
      <c r="X366" s="96">
        <f t="shared" si="145"/>
        <v>38</v>
      </c>
      <c r="Y366" s="96">
        <v>0.45800000000000002</v>
      </c>
      <c r="Z366" s="272">
        <f t="shared" si="147"/>
        <v>38</v>
      </c>
      <c r="AA366" s="519">
        <f t="shared" si="148"/>
        <v>36.626483292596703</v>
      </c>
      <c r="AB366" s="516">
        <f t="shared" si="146"/>
        <v>72</v>
      </c>
      <c r="AC366" s="272">
        <f t="shared" si="136"/>
        <v>37.889217229838593</v>
      </c>
      <c r="AD366" s="272">
        <f t="shared" si="149"/>
        <v>74</v>
      </c>
      <c r="AE366" s="272">
        <f t="shared" si="137"/>
        <v>37.854250140431127</v>
      </c>
      <c r="AF366" s="272">
        <f t="shared" si="150"/>
        <v>74</v>
      </c>
      <c r="AG366" s="272">
        <f t="shared" si="138"/>
        <v>37.854250140431127</v>
      </c>
      <c r="AH366" s="272">
        <f t="shared" si="151"/>
        <v>74</v>
      </c>
      <c r="AI366" s="272">
        <f t="shared" si="139"/>
        <v>37.854250140431127</v>
      </c>
      <c r="AJ366" s="272">
        <f t="shared" si="152"/>
        <v>74</v>
      </c>
      <c r="AK366" s="272">
        <f t="shared" si="140"/>
        <v>37.854250140431127</v>
      </c>
      <c r="AL366" s="272">
        <f t="shared" si="153"/>
        <v>74</v>
      </c>
      <c r="AM366" s="272">
        <f t="shared" si="141"/>
        <v>37.854250140431127</v>
      </c>
      <c r="AN366" s="272">
        <f t="shared" si="154"/>
        <v>74</v>
      </c>
      <c r="AO366" s="272">
        <f t="shared" si="142"/>
        <v>37.854250140431127</v>
      </c>
      <c r="AP366" s="272">
        <f t="shared" si="155"/>
        <v>74</v>
      </c>
      <c r="AQ366" s="272">
        <f t="shared" si="143"/>
        <v>37.854250140431127</v>
      </c>
      <c r="AR366" s="272">
        <f t="shared" si="156"/>
        <v>74</v>
      </c>
      <c r="AS366" s="508">
        <f t="shared" si="144"/>
        <v>37.854250140431127</v>
      </c>
    </row>
    <row r="367" spans="1:45" ht="12.75" customHeight="1">
      <c r="A367" s="96">
        <f>IF(MAX($F$104:F367)=$G$99,$G$99,F367)</f>
        <v>15.906595441861038</v>
      </c>
      <c r="B367" s="481">
        <v>264</v>
      </c>
      <c r="C367" s="96">
        <f t="shared" si="135"/>
        <v>0.3960000000000003</v>
      </c>
      <c r="D367" s="96">
        <f t="shared" si="157"/>
        <v>97.55926431241852</v>
      </c>
      <c r="E367" s="96">
        <f t="shared" si="158"/>
        <v>0.49356485069552913</v>
      </c>
      <c r="F367" s="96">
        <f t="shared" si="159"/>
        <v>15.895218434959231</v>
      </c>
      <c r="G367" s="96">
        <f t="shared" si="162"/>
        <v>15.597218434959231</v>
      </c>
      <c r="I367" s="96">
        <f t="shared" si="160"/>
        <v>1</v>
      </c>
      <c r="J367" s="96">
        <f t="shared" si="161"/>
        <v>0.3960000000000003</v>
      </c>
      <c r="X367" s="96">
        <f t="shared" si="145"/>
        <v>39</v>
      </c>
      <c r="Y367" s="96">
        <v>0.45600000000000002</v>
      </c>
      <c r="Z367" s="272">
        <f t="shared" si="147"/>
        <v>39</v>
      </c>
      <c r="AA367" s="519">
        <f t="shared" si="148"/>
        <v>36.948472805999224</v>
      </c>
      <c r="AB367" s="516">
        <f t="shared" si="146"/>
        <v>72</v>
      </c>
      <c r="AC367" s="272">
        <f t="shared" si="136"/>
        <v>38.222307647544739</v>
      </c>
      <c r="AD367" s="272">
        <f t="shared" si="149"/>
        <v>74</v>
      </c>
      <c r="AE367" s="272">
        <f t="shared" si="137"/>
        <v>38.18703315663182</v>
      </c>
      <c r="AF367" s="272">
        <f t="shared" si="150"/>
        <v>76</v>
      </c>
      <c r="AG367" s="272">
        <f t="shared" si="138"/>
        <v>38.153659396643292</v>
      </c>
      <c r="AH367" s="272">
        <f t="shared" si="151"/>
        <v>76</v>
      </c>
      <c r="AI367" s="272">
        <f t="shared" si="139"/>
        <v>38.153659396643292</v>
      </c>
      <c r="AJ367" s="272">
        <f t="shared" si="152"/>
        <v>76</v>
      </c>
      <c r="AK367" s="272">
        <f t="shared" si="140"/>
        <v>38.153659396643292</v>
      </c>
      <c r="AL367" s="272">
        <f t="shared" si="153"/>
        <v>76</v>
      </c>
      <c r="AM367" s="272">
        <f t="shared" si="141"/>
        <v>38.153659396643292</v>
      </c>
      <c r="AN367" s="272">
        <f t="shared" si="154"/>
        <v>76</v>
      </c>
      <c r="AO367" s="272">
        <f t="shared" si="142"/>
        <v>38.153659396643292</v>
      </c>
      <c r="AP367" s="272">
        <f t="shared" si="155"/>
        <v>76</v>
      </c>
      <c r="AQ367" s="272">
        <f t="shared" si="143"/>
        <v>38.153659396643292</v>
      </c>
      <c r="AR367" s="272">
        <f t="shared" si="156"/>
        <v>76</v>
      </c>
      <c r="AS367" s="508">
        <f t="shared" si="144"/>
        <v>38.153659396643292</v>
      </c>
    </row>
    <row r="368" spans="1:45" ht="12.75" customHeight="1">
      <c r="A368" s="96">
        <f>IF(MAX($F$104:F368)=$G$99,$G$99,F368)</f>
        <v>15.906595441861038</v>
      </c>
      <c r="B368" s="96">
        <v>265</v>
      </c>
      <c r="C368" s="96">
        <f t="shared" si="135"/>
        <v>0.3975000000000003</v>
      </c>
      <c r="D368" s="96">
        <f t="shared" si="157"/>
        <v>98.299749430951422</v>
      </c>
      <c r="E368" s="96">
        <f t="shared" si="158"/>
        <v>0.47248723455937064</v>
      </c>
      <c r="F368" s="96">
        <f t="shared" si="159"/>
        <v>15.839578535168069</v>
      </c>
      <c r="G368" s="96">
        <f t="shared" si="162"/>
        <v>15.541578535168069</v>
      </c>
      <c r="I368" s="96">
        <f t="shared" si="160"/>
        <v>1</v>
      </c>
      <c r="J368" s="96">
        <f t="shared" si="161"/>
        <v>0.3975000000000003</v>
      </c>
      <c r="X368" s="96">
        <f t="shared" si="145"/>
        <v>39</v>
      </c>
      <c r="Y368" s="96">
        <v>0.45400000000000001</v>
      </c>
      <c r="Z368" s="272">
        <f t="shared" si="147"/>
        <v>39</v>
      </c>
      <c r="AA368" s="519">
        <f t="shared" si="148"/>
        <v>37.274727053640923</v>
      </c>
      <c r="AB368" s="516">
        <f t="shared" si="146"/>
        <v>74</v>
      </c>
      <c r="AC368" s="272">
        <f t="shared" si="136"/>
        <v>38.524223866450903</v>
      </c>
      <c r="AD368" s="272">
        <f t="shared" si="149"/>
        <v>76</v>
      </c>
      <c r="AE368" s="272">
        <f t="shared" si="137"/>
        <v>38.490555416854676</v>
      </c>
      <c r="AF368" s="272">
        <f t="shared" si="150"/>
        <v>76</v>
      </c>
      <c r="AG368" s="272">
        <f t="shared" si="138"/>
        <v>38.490555416854676</v>
      </c>
      <c r="AH368" s="272">
        <f t="shared" si="151"/>
        <v>76</v>
      </c>
      <c r="AI368" s="272">
        <f t="shared" si="139"/>
        <v>38.490555416854676</v>
      </c>
      <c r="AJ368" s="272">
        <f t="shared" si="152"/>
        <v>76</v>
      </c>
      <c r="AK368" s="272">
        <f t="shared" si="140"/>
        <v>38.490555416854676</v>
      </c>
      <c r="AL368" s="272">
        <f t="shared" si="153"/>
        <v>76</v>
      </c>
      <c r="AM368" s="272">
        <f t="shared" si="141"/>
        <v>38.490555416854676</v>
      </c>
      <c r="AN368" s="272">
        <f t="shared" si="154"/>
        <v>76</v>
      </c>
      <c r="AO368" s="272">
        <f t="shared" si="142"/>
        <v>38.490555416854676</v>
      </c>
      <c r="AP368" s="272">
        <f t="shared" si="155"/>
        <v>76</v>
      </c>
      <c r="AQ368" s="272">
        <f t="shared" si="143"/>
        <v>38.490555416854676</v>
      </c>
      <c r="AR368" s="272">
        <f t="shared" si="156"/>
        <v>76</v>
      </c>
      <c r="AS368" s="508">
        <f t="shared" si="144"/>
        <v>38.490555416854676</v>
      </c>
    </row>
    <row r="369" spans="1:45" ht="12.75" customHeight="1">
      <c r="A369" s="96">
        <f>IF(MAX($F$104:F369)=$G$99,$G$99,F369)</f>
        <v>15.906595441861038</v>
      </c>
      <c r="B369" s="481">
        <v>266</v>
      </c>
      <c r="C369" s="96">
        <f t="shared" si="135"/>
        <v>0.3990000000000003</v>
      </c>
      <c r="D369" s="96">
        <f t="shared" si="157"/>
        <v>99.043034115149851</v>
      </c>
      <c r="E369" s="96">
        <f t="shared" si="158"/>
        <v>0.4515128722835785</v>
      </c>
      <c r="F369" s="96">
        <f t="shared" si="159"/>
        <v>15.740250118456492</v>
      </c>
      <c r="G369" s="96">
        <f t="shared" si="162"/>
        <v>15.442250118456492</v>
      </c>
      <c r="I369" s="96">
        <f t="shared" si="160"/>
        <v>1</v>
      </c>
      <c r="J369" s="96">
        <f t="shared" si="161"/>
        <v>0.3990000000000003</v>
      </c>
      <c r="X369" s="96">
        <f t="shared" si="145"/>
        <v>39</v>
      </c>
      <c r="Y369" s="96">
        <v>0.45200000000000001</v>
      </c>
      <c r="Z369" s="272">
        <f t="shared" si="147"/>
        <v>39</v>
      </c>
      <c r="AA369" s="519">
        <f t="shared" si="148"/>
        <v>37.605321684295227</v>
      </c>
      <c r="AB369" s="516">
        <f t="shared" si="146"/>
        <v>74</v>
      </c>
      <c r="AC369" s="272">
        <f t="shared" si="136"/>
        <v>38.865900454506004</v>
      </c>
      <c r="AD369" s="272">
        <f t="shared" si="149"/>
        <v>76</v>
      </c>
      <c r="AE369" s="272">
        <f t="shared" si="137"/>
        <v>38.831933394845031</v>
      </c>
      <c r="AF369" s="272">
        <f t="shared" si="150"/>
        <v>76</v>
      </c>
      <c r="AG369" s="272">
        <f t="shared" si="138"/>
        <v>38.831933394845031</v>
      </c>
      <c r="AH369" s="272">
        <f t="shared" si="151"/>
        <v>76</v>
      </c>
      <c r="AI369" s="272">
        <f t="shared" si="139"/>
        <v>38.831933394845031</v>
      </c>
      <c r="AJ369" s="272">
        <f t="shared" si="152"/>
        <v>76</v>
      </c>
      <c r="AK369" s="272">
        <f t="shared" si="140"/>
        <v>38.831933394845031</v>
      </c>
      <c r="AL369" s="272">
        <f t="shared" si="153"/>
        <v>76</v>
      </c>
      <c r="AM369" s="272">
        <f t="shared" si="141"/>
        <v>38.831933394845031</v>
      </c>
      <c r="AN369" s="272">
        <f t="shared" si="154"/>
        <v>76</v>
      </c>
      <c r="AO369" s="272">
        <f t="shared" si="142"/>
        <v>38.831933394845031</v>
      </c>
      <c r="AP369" s="272">
        <f t="shared" si="155"/>
        <v>76</v>
      </c>
      <c r="AQ369" s="272">
        <f t="shared" si="143"/>
        <v>38.831933394845031</v>
      </c>
      <c r="AR369" s="272">
        <f t="shared" si="156"/>
        <v>76</v>
      </c>
      <c r="AS369" s="508">
        <f t="shared" si="144"/>
        <v>38.831933394845031</v>
      </c>
    </row>
    <row r="370" spans="1:45" ht="12.75" customHeight="1">
      <c r="A370" s="96">
        <f>IF(MAX($F$104:F370)=$G$99,$G$99,F370)</f>
        <v>15.906595441861038</v>
      </c>
      <c r="B370" s="481">
        <v>267</v>
      </c>
      <c r="C370" s="96">
        <f t="shared" si="135"/>
        <v>0.4005000000000003</v>
      </c>
      <c r="D370" s="96">
        <f t="shared" si="157"/>
        <v>99.789118365013834</v>
      </c>
      <c r="E370" s="96">
        <f t="shared" si="158"/>
        <v>0.43069895990860119</v>
      </c>
      <c r="F370" s="96">
        <f t="shared" si="159"/>
        <v>15.598383469748056</v>
      </c>
      <c r="G370" s="96">
        <f t="shared" si="162"/>
        <v>15.300383469748056</v>
      </c>
      <c r="I370" s="96">
        <f t="shared" si="160"/>
        <v>1</v>
      </c>
      <c r="J370" s="96">
        <f t="shared" si="161"/>
        <v>0.4005000000000003</v>
      </c>
      <c r="X370" s="96">
        <f t="shared" si="145"/>
        <v>40</v>
      </c>
      <c r="Y370" s="96">
        <v>0.45</v>
      </c>
      <c r="Z370" s="272">
        <f t="shared" si="147"/>
        <v>40</v>
      </c>
      <c r="AA370" s="519">
        <f t="shared" si="148"/>
        <v>37.940334031546925</v>
      </c>
      <c r="AB370" s="516">
        <f t="shared" si="146"/>
        <v>74</v>
      </c>
      <c r="AC370" s="272">
        <f t="shared" si="136"/>
        <v>39.212142846703181</v>
      </c>
      <c r="AD370" s="272">
        <f t="shared" si="149"/>
        <v>76</v>
      </c>
      <c r="AE370" s="272">
        <f t="shared" si="137"/>
        <v>39.177873186668727</v>
      </c>
      <c r="AF370" s="272">
        <f t="shared" si="150"/>
        <v>78</v>
      </c>
      <c r="AG370" s="272">
        <f t="shared" si="138"/>
        <v>39.145401684943394</v>
      </c>
      <c r="AH370" s="272">
        <f t="shared" si="151"/>
        <v>78</v>
      </c>
      <c r="AI370" s="272">
        <f t="shared" si="139"/>
        <v>39.145401684943394</v>
      </c>
      <c r="AJ370" s="272">
        <f t="shared" si="152"/>
        <v>78</v>
      </c>
      <c r="AK370" s="272">
        <f t="shared" si="140"/>
        <v>39.145401684943394</v>
      </c>
      <c r="AL370" s="272">
        <f t="shared" si="153"/>
        <v>78</v>
      </c>
      <c r="AM370" s="272">
        <f t="shared" si="141"/>
        <v>39.145401684943394</v>
      </c>
      <c r="AN370" s="272">
        <f t="shared" si="154"/>
        <v>78</v>
      </c>
      <c r="AO370" s="272">
        <f t="shared" si="142"/>
        <v>39.145401684943394</v>
      </c>
      <c r="AP370" s="272">
        <f t="shared" si="155"/>
        <v>78</v>
      </c>
      <c r="AQ370" s="272">
        <f t="shared" si="143"/>
        <v>39.145401684943394</v>
      </c>
      <c r="AR370" s="272">
        <f t="shared" si="156"/>
        <v>78</v>
      </c>
      <c r="AS370" s="508">
        <f t="shared" si="144"/>
        <v>39.145401684943394</v>
      </c>
    </row>
    <row r="371" spans="1:45" ht="12.75" customHeight="1">
      <c r="A371" s="96">
        <f>IF(MAX($F$104:F371)=$G$99,$G$99,F371)</f>
        <v>15.906595441861038</v>
      </c>
      <c r="B371" s="96">
        <v>268</v>
      </c>
      <c r="C371" s="96">
        <f t="shared" si="135"/>
        <v>0.4020000000000003</v>
      </c>
      <c r="D371" s="96">
        <f t="shared" si="157"/>
        <v>100.53800218054333</v>
      </c>
      <c r="E371" s="96">
        <f t="shared" si="158"/>
        <v>0.41010123475327392</v>
      </c>
      <c r="F371" s="96">
        <f t="shared" si="159"/>
        <v>15.415231048769543</v>
      </c>
      <c r="G371" s="96">
        <f t="shared" si="162"/>
        <v>15.117231048769543</v>
      </c>
      <c r="I371" s="96">
        <f t="shared" si="160"/>
        <v>1</v>
      </c>
      <c r="J371" s="96">
        <f t="shared" si="161"/>
        <v>0.4020000000000003</v>
      </c>
      <c r="X371" s="96">
        <f t="shared" si="145"/>
        <v>40</v>
      </c>
      <c r="Y371" s="96">
        <v>0.44800000000000001</v>
      </c>
      <c r="Z371" s="272">
        <f t="shared" si="147"/>
        <v>40</v>
      </c>
      <c r="AA371" s="519">
        <f t="shared" si="148"/>
        <v>38.279843159021503</v>
      </c>
      <c r="AB371" s="516">
        <f t="shared" si="146"/>
        <v>76</v>
      </c>
      <c r="AC371" s="272">
        <f t="shared" si="136"/>
        <v>39.528456434851407</v>
      </c>
      <c r="AD371" s="272">
        <f t="shared" si="149"/>
        <v>78</v>
      </c>
      <c r="AE371" s="272">
        <f t="shared" si="137"/>
        <v>39.495694361851456</v>
      </c>
      <c r="AF371" s="272">
        <f t="shared" si="150"/>
        <v>78</v>
      </c>
      <c r="AG371" s="272">
        <f t="shared" si="138"/>
        <v>39.495694361851456</v>
      </c>
      <c r="AH371" s="272">
        <f t="shared" si="151"/>
        <v>78</v>
      </c>
      <c r="AI371" s="272">
        <f t="shared" si="139"/>
        <v>39.495694361851456</v>
      </c>
      <c r="AJ371" s="272">
        <f t="shared" si="152"/>
        <v>78</v>
      </c>
      <c r="AK371" s="272">
        <f t="shared" si="140"/>
        <v>39.495694361851456</v>
      </c>
      <c r="AL371" s="272">
        <f t="shared" si="153"/>
        <v>78</v>
      </c>
      <c r="AM371" s="272">
        <f t="shared" si="141"/>
        <v>39.495694361851456</v>
      </c>
      <c r="AN371" s="272">
        <f t="shared" si="154"/>
        <v>78</v>
      </c>
      <c r="AO371" s="272">
        <f t="shared" si="142"/>
        <v>39.495694361851456</v>
      </c>
      <c r="AP371" s="272">
        <f t="shared" si="155"/>
        <v>78</v>
      </c>
      <c r="AQ371" s="272">
        <f t="shared" si="143"/>
        <v>39.495694361851456</v>
      </c>
      <c r="AR371" s="272">
        <f t="shared" si="156"/>
        <v>78</v>
      </c>
      <c r="AS371" s="508">
        <f t="shared" si="144"/>
        <v>39.495694361851456</v>
      </c>
    </row>
    <row r="372" spans="1:45" ht="12.75" customHeight="1">
      <c r="A372" s="96">
        <f>IF(MAX($F$104:F372)=$G$99,$G$99,F372)</f>
        <v>15.906595441861038</v>
      </c>
      <c r="B372" s="481">
        <v>269</v>
      </c>
      <c r="C372" s="96">
        <f t="shared" si="135"/>
        <v>0.4035000000000003</v>
      </c>
      <c r="D372" s="96">
        <f t="shared" si="157"/>
        <v>101.28968556173835</v>
      </c>
      <c r="E372" s="96">
        <f t="shared" si="158"/>
        <v>0.38977356774372629</v>
      </c>
      <c r="F372" s="96">
        <f t="shared" si="159"/>
        <v>15.192409932639432</v>
      </c>
      <c r="G372" s="96">
        <f t="shared" si="162"/>
        <v>14.894409932639432</v>
      </c>
      <c r="I372" s="96">
        <f t="shared" si="160"/>
        <v>1</v>
      </c>
      <c r="J372" s="96">
        <f t="shared" si="161"/>
        <v>0.4035000000000003</v>
      </c>
      <c r="X372" s="96">
        <f t="shared" si="145"/>
        <v>40</v>
      </c>
      <c r="Y372" s="96">
        <v>0.44600000000000001</v>
      </c>
      <c r="Z372" s="272">
        <f t="shared" si="147"/>
        <v>40</v>
      </c>
      <c r="AA372" s="519">
        <f t="shared" si="148"/>
        <v>38.623929907037414</v>
      </c>
      <c r="AB372" s="516">
        <f t="shared" si="146"/>
        <v>76</v>
      </c>
      <c r="AC372" s="272">
        <f t="shared" si="136"/>
        <v>39.883766616563861</v>
      </c>
      <c r="AD372" s="272">
        <f t="shared" si="149"/>
        <v>78</v>
      </c>
      <c r="AE372" s="272">
        <f t="shared" si="137"/>
        <v>39.850710054500581</v>
      </c>
      <c r="AF372" s="272">
        <f t="shared" si="150"/>
        <v>78</v>
      </c>
      <c r="AG372" s="272">
        <f t="shared" si="138"/>
        <v>39.850710054500581</v>
      </c>
      <c r="AH372" s="272">
        <f t="shared" si="151"/>
        <v>78</v>
      </c>
      <c r="AI372" s="272">
        <f t="shared" si="139"/>
        <v>39.850710054500581</v>
      </c>
      <c r="AJ372" s="272">
        <f t="shared" si="152"/>
        <v>78</v>
      </c>
      <c r="AK372" s="272">
        <f t="shared" si="140"/>
        <v>39.850710054500581</v>
      </c>
      <c r="AL372" s="272">
        <f t="shared" si="153"/>
        <v>78</v>
      </c>
      <c r="AM372" s="272">
        <f t="shared" si="141"/>
        <v>39.850710054500581</v>
      </c>
      <c r="AN372" s="272">
        <f t="shared" si="154"/>
        <v>78</v>
      </c>
      <c r="AO372" s="272">
        <f t="shared" si="142"/>
        <v>39.850710054500581</v>
      </c>
      <c r="AP372" s="272">
        <f t="shared" si="155"/>
        <v>78</v>
      </c>
      <c r="AQ372" s="272">
        <f t="shared" si="143"/>
        <v>39.850710054500581</v>
      </c>
      <c r="AR372" s="272">
        <f t="shared" si="156"/>
        <v>78</v>
      </c>
      <c r="AS372" s="508">
        <f t="shared" si="144"/>
        <v>39.850710054500581</v>
      </c>
    </row>
    <row r="373" spans="1:45" ht="12.75" customHeight="1">
      <c r="A373" s="96">
        <f>IF(MAX($F$104:F373)=$G$99,$G$99,F373)</f>
        <v>15.906595441861038</v>
      </c>
      <c r="B373" s="481">
        <v>270</v>
      </c>
      <c r="C373" s="96">
        <f t="shared" si="135"/>
        <v>0.4050000000000003</v>
      </c>
      <c r="D373" s="96">
        <f t="shared" si="157"/>
        <v>102.04416850859891</v>
      </c>
      <c r="E373" s="96">
        <f t="shared" si="158"/>
        <v>0.36976740307370021</v>
      </c>
      <c r="F373" s="96">
        <f t="shared" si="159"/>
        <v>14.931880769816265</v>
      </c>
      <c r="G373" s="96">
        <f t="shared" si="162"/>
        <v>14.633880769816265</v>
      </c>
      <c r="I373" s="96">
        <f t="shared" si="160"/>
        <v>1</v>
      </c>
      <c r="J373" s="96">
        <f t="shared" si="161"/>
        <v>0.4050000000000003</v>
      </c>
      <c r="X373" s="96">
        <f t="shared" si="145"/>
        <v>41</v>
      </c>
      <c r="Y373" s="96">
        <v>0.44400000000000001</v>
      </c>
      <c r="Z373" s="272">
        <f t="shared" si="147"/>
        <v>41</v>
      </c>
      <c r="AA373" s="519">
        <f t="shared" si="148"/>
        <v>38.972676940732555</v>
      </c>
      <c r="AB373" s="516">
        <f t="shared" si="146"/>
        <v>76</v>
      </c>
      <c r="AC373" s="272">
        <f t="shared" si="136"/>
        <v>40.243889093318401</v>
      </c>
      <c r="AD373" s="272">
        <f t="shared" si="149"/>
        <v>78</v>
      </c>
      <c r="AE373" s="272">
        <f t="shared" si="137"/>
        <v>40.210534053653497</v>
      </c>
      <c r="AF373" s="272">
        <f t="shared" si="150"/>
        <v>80</v>
      </c>
      <c r="AG373" s="272">
        <f t="shared" si="138"/>
        <v>40.17888445392645</v>
      </c>
      <c r="AH373" s="272">
        <f t="shared" si="151"/>
        <v>80</v>
      </c>
      <c r="AI373" s="272">
        <f t="shared" si="139"/>
        <v>40.17888445392645</v>
      </c>
      <c r="AJ373" s="272">
        <f t="shared" si="152"/>
        <v>80</v>
      </c>
      <c r="AK373" s="272">
        <f t="shared" si="140"/>
        <v>40.17888445392645</v>
      </c>
      <c r="AL373" s="272">
        <f t="shared" si="153"/>
        <v>80</v>
      </c>
      <c r="AM373" s="272">
        <f t="shared" si="141"/>
        <v>40.17888445392645</v>
      </c>
      <c r="AN373" s="272">
        <f t="shared" si="154"/>
        <v>80</v>
      </c>
      <c r="AO373" s="272">
        <f t="shared" si="142"/>
        <v>40.17888445392645</v>
      </c>
      <c r="AP373" s="272">
        <f t="shared" si="155"/>
        <v>80</v>
      </c>
      <c r="AQ373" s="272">
        <f t="shared" si="143"/>
        <v>40.17888445392645</v>
      </c>
      <c r="AR373" s="272">
        <f t="shared" si="156"/>
        <v>80</v>
      </c>
      <c r="AS373" s="508">
        <f t="shared" si="144"/>
        <v>40.17888445392645</v>
      </c>
    </row>
    <row r="374" spans="1:45" ht="12.75" customHeight="1">
      <c r="A374" s="96">
        <f>IF(MAX($F$104:F374)=$G$99,$G$99,F374)</f>
        <v>15.906595441861038</v>
      </c>
      <c r="B374" s="96">
        <v>271</v>
      </c>
      <c r="C374" s="96">
        <f t="shared" si="135"/>
        <v>0.40650000000000031</v>
      </c>
      <c r="D374" s="96">
        <f t="shared" si="157"/>
        <v>102.80145102112502</v>
      </c>
      <c r="E374" s="96">
        <f t="shared" si="158"/>
        <v>0.35013140640793089</v>
      </c>
      <c r="F374" s="96">
        <f t="shared" si="159"/>
        <v>14.635828488005741</v>
      </c>
      <c r="G374" s="96">
        <f t="shared" si="162"/>
        <v>14.337828488005741</v>
      </c>
      <c r="I374" s="96">
        <f t="shared" si="160"/>
        <v>1</v>
      </c>
      <c r="J374" s="96">
        <f t="shared" si="161"/>
        <v>0.40650000000000031</v>
      </c>
      <c r="X374" s="96">
        <f t="shared" si="145"/>
        <v>41</v>
      </c>
      <c r="Y374" s="96">
        <v>0.442</v>
      </c>
      <c r="Z374" s="272">
        <f t="shared" si="147"/>
        <v>41</v>
      </c>
      <c r="AA374" s="519">
        <f t="shared" si="148"/>
        <v>39.326168799718758</v>
      </c>
      <c r="AB374" s="516">
        <f t="shared" si="146"/>
        <v>78</v>
      </c>
      <c r="AC374" s="272">
        <f t="shared" si="136"/>
        <v>40.575253584084258</v>
      </c>
      <c r="AD374" s="272">
        <f t="shared" si="149"/>
        <v>80</v>
      </c>
      <c r="AE374" s="272">
        <f t="shared" si="137"/>
        <v>40.543316914627283</v>
      </c>
      <c r="AF374" s="272">
        <f t="shared" si="150"/>
        <v>80</v>
      </c>
      <c r="AG374" s="272">
        <f t="shared" si="138"/>
        <v>40.543316914627283</v>
      </c>
      <c r="AH374" s="272">
        <f t="shared" si="151"/>
        <v>80</v>
      </c>
      <c r="AI374" s="272">
        <f t="shared" si="139"/>
        <v>40.543316914627283</v>
      </c>
      <c r="AJ374" s="272">
        <f t="shared" si="152"/>
        <v>80</v>
      </c>
      <c r="AK374" s="272">
        <f t="shared" si="140"/>
        <v>40.543316914627283</v>
      </c>
      <c r="AL374" s="272">
        <f t="shared" si="153"/>
        <v>80</v>
      </c>
      <c r="AM374" s="272">
        <f t="shared" si="141"/>
        <v>40.543316914627283</v>
      </c>
      <c r="AN374" s="272">
        <f t="shared" si="154"/>
        <v>80</v>
      </c>
      <c r="AO374" s="272">
        <f t="shared" si="142"/>
        <v>40.543316914627283</v>
      </c>
      <c r="AP374" s="272">
        <f t="shared" si="155"/>
        <v>80</v>
      </c>
      <c r="AQ374" s="272">
        <f t="shared" si="143"/>
        <v>40.543316914627283</v>
      </c>
      <c r="AR374" s="272">
        <f t="shared" si="156"/>
        <v>80</v>
      </c>
      <c r="AS374" s="508">
        <f t="shared" si="144"/>
        <v>40.543316914627283</v>
      </c>
    </row>
    <row r="375" spans="1:45" ht="12.75" customHeight="1">
      <c r="A375" s="96">
        <f>IF(MAX($F$104:F375)=$G$99,$G$99,F375)</f>
        <v>15.906595441861038</v>
      </c>
      <c r="B375" s="481">
        <v>272</v>
      </c>
      <c r="C375" s="96">
        <f t="shared" si="135"/>
        <v>0.40800000000000031</v>
      </c>
      <c r="D375" s="96">
        <f t="shared" si="157"/>
        <v>103.56153309931663</v>
      </c>
      <c r="E375" s="96">
        <f t="shared" si="158"/>
        <v>0.33091122124713629</v>
      </c>
      <c r="F375" s="96">
        <f t="shared" si="159"/>
        <v>14.306697728922483</v>
      </c>
      <c r="G375" s="96">
        <f t="shared" si="162"/>
        <v>14.008697728922483</v>
      </c>
      <c r="I375" s="96">
        <f t="shared" si="160"/>
        <v>1</v>
      </c>
      <c r="J375" s="96">
        <f t="shared" si="161"/>
        <v>0.40800000000000031</v>
      </c>
      <c r="X375" s="96">
        <f t="shared" si="145"/>
        <v>41</v>
      </c>
      <c r="Y375" s="96">
        <v>0.44</v>
      </c>
      <c r="Z375" s="272">
        <f t="shared" si="147"/>
        <v>41</v>
      </c>
      <c r="AA375" s="519">
        <f t="shared" si="148"/>
        <v>39.684491949319487</v>
      </c>
      <c r="AB375" s="516">
        <f t="shared" si="146"/>
        <v>78</v>
      </c>
      <c r="AC375" s="272">
        <f t="shared" si="136"/>
        <v>40.944957857443377</v>
      </c>
      <c r="AD375" s="272">
        <f t="shared" si="149"/>
        <v>80</v>
      </c>
      <c r="AE375" s="272">
        <f t="shared" si="137"/>
        <v>40.912730194779158</v>
      </c>
      <c r="AF375" s="272">
        <f t="shared" si="150"/>
        <v>80</v>
      </c>
      <c r="AG375" s="272">
        <f t="shared" si="138"/>
        <v>40.912730194779158</v>
      </c>
      <c r="AH375" s="272">
        <f t="shared" si="151"/>
        <v>80</v>
      </c>
      <c r="AI375" s="272">
        <f t="shared" si="139"/>
        <v>40.912730194779158</v>
      </c>
      <c r="AJ375" s="272">
        <f t="shared" si="152"/>
        <v>80</v>
      </c>
      <c r="AK375" s="272">
        <f t="shared" si="140"/>
        <v>40.912730194779158</v>
      </c>
      <c r="AL375" s="272">
        <f t="shared" si="153"/>
        <v>80</v>
      </c>
      <c r="AM375" s="272">
        <f t="shared" si="141"/>
        <v>40.912730194779158</v>
      </c>
      <c r="AN375" s="272">
        <f t="shared" si="154"/>
        <v>80</v>
      </c>
      <c r="AO375" s="272">
        <f t="shared" si="142"/>
        <v>40.912730194779158</v>
      </c>
      <c r="AP375" s="272">
        <f t="shared" si="155"/>
        <v>80</v>
      </c>
      <c r="AQ375" s="272">
        <f t="shared" si="143"/>
        <v>40.912730194779158</v>
      </c>
      <c r="AR375" s="272">
        <f t="shared" si="156"/>
        <v>80</v>
      </c>
      <c r="AS375" s="508">
        <f t="shared" si="144"/>
        <v>40.912730194779158</v>
      </c>
    </row>
    <row r="376" spans="1:45" ht="12.75" customHeight="1">
      <c r="A376" s="96">
        <f>IF(MAX($F$104:F376)=$G$99,$G$99,F376)</f>
        <v>15.906595441861038</v>
      </c>
      <c r="B376" s="481">
        <v>273</v>
      </c>
      <c r="C376" s="96">
        <f t="shared" si="135"/>
        <v>0.40950000000000031</v>
      </c>
      <c r="D376" s="96">
        <f t="shared" si="157"/>
        <v>104.32441474317379</v>
      </c>
      <c r="E376" s="96">
        <f t="shared" si="158"/>
        <v>0.31214902305680925</v>
      </c>
      <c r="F376" s="96">
        <f t="shared" si="159"/>
        <v>13.947152085570703</v>
      </c>
      <c r="G376" s="96">
        <f t="shared" si="162"/>
        <v>13.649152085570703</v>
      </c>
      <c r="I376" s="96">
        <f t="shared" si="160"/>
        <v>1</v>
      </c>
      <c r="J376" s="96">
        <f t="shared" si="161"/>
        <v>0.40950000000000031</v>
      </c>
      <c r="X376" s="96">
        <f t="shared" si="145"/>
        <v>42</v>
      </c>
      <c r="Y376" s="96">
        <v>0.438</v>
      </c>
      <c r="Z376" s="272">
        <f t="shared" si="147"/>
        <v>42</v>
      </c>
      <c r="AA376" s="519">
        <f t="shared" si="148"/>
        <v>40.047734833449333</v>
      </c>
      <c r="AB376" s="516">
        <f t="shared" si="146"/>
        <v>80</v>
      </c>
      <c r="AC376" s="272">
        <f t="shared" si="136"/>
        <v>41.287215475642938</v>
      </c>
      <c r="AD376" s="272">
        <f t="shared" si="149"/>
        <v>82</v>
      </c>
      <c r="AE376" s="272">
        <f t="shared" si="137"/>
        <v>41.256314266013234</v>
      </c>
      <c r="AF376" s="272">
        <f t="shared" si="150"/>
        <v>82</v>
      </c>
      <c r="AG376" s="272">
        <f t="shared" si="138"/>
        <v>41.256314266013234</v>
      </c>
      <c r="AH376" s="272">
        <f t="shared" si="151"/>
        <v>82</v>
      </c>
      <c r="AI376" s="272">
        <f t="shared" si="139"/>
        <v>41.256314266013234</v>
      </c>
      <c r="AJ376" s="272">
        <f t="shared" si="152"/>
        <v>82</v>
      </c>
      <c r="AK376" s="272">
        <f t="shared" si="140"/>
        <v>41.256314266013234</v>
      </c>
      <c r="AL376" s="272">
        <f t="shared" si="153"/>
        <v>82</v>
      </c>
      <c r="AM376" s="272">
        <f t="shared" si="141"/>
        <v>41.256314266013234</v>
      </c>
      <c r="AN376" s="272">
        <f t="shared" si="154"/>
        <v>82</v>
      </c>
      <c r="AO376" s="272">
        <f t="shared" si="142"/>
        <v>41.256314266013234</v>
      </c>
      <c r="AP376" s="272">
        <f t="shared" si="155"/>
        <v>82</v>
      </c>
      <c r="AQ376" s="272">
        <f t="shared" si="143"/>
        <v>41.256314266013234</v>
      </c>
      <c r="AR376" s="272">
        <f t="shared" si="156"/>
        <v>82</v>
      </c>
      <c r="AS376" s="508">
        <f t="shared" si="144"/>
        <v>41.256314266013234</v>
      </c>
    </row>
    <row r="377" spans="1:45" ht="12.75" customHeight="1">
      <c r="A377" s="96">
        <f>IF(MAX($F$104:F377)=$G$99,$G$99,F377)</f>
        <v>15.906595441861038</v>
      </c>
      <c r="B377" s="96">
        <v>274</v>
      </c>
      <c r="C377" s="96">
        <f t="shared" si="135"/>
        <v>0.41100000000000031</v>
      </c>
      <c r="D377" s="96">
        <f t="shared" si="157"/>
        <v>105.09009595269647</v>
      </c>
      <c r="E377" s="96">
        <f t="shared" si="158"/>
        <v>0.29388338385181584</v>
      </c>
      <c r="F377" s="96">
        <f t="shared" si="159"/>
        <v>13.559988117994287</v>
      </c>
      <c r="G377" s="96">
        <f t="shared" si="162"/>
        <v>13.261988117994287</v>
      </c>
      <c r="I377" s="96">
        <f t="shared" si="160"/>
        <v>1</v>
      </c>
      <c r="J377" s="96">
        <f t="shared" si="161"/>
        <v>0.41100000000000031</v>
      </c>
      <c r="X377" s="96">
        <f t="shared" si="145"/>
        <v>42</v>
      </c>
      <c r="Y377" s="96">
        <v>0.436</v>
      </c>
      <c r="Z377" s="272">
        <f t="shared" si="147"/>
        <v>42</v>
      </c>
      <c r="AA377" s="519">
        <f t="shared" si="148"/>
        <v>40.415987929194998</v>
      </c>
      <c r="AB377" s="516">
        <f t="shared" si="146"/>
        <v>80</v>
      </c>
      <c r="AC377" s="272">
        <f t="shared" si="136"/>
        <v>41.666866034578554</v>
      </c>
      <c r="AD377" s="272">
        <f t="shared" si="149"/>
        <v>82</v>
      </c>
      <c r="AE377" s="272">
        <f t="shared" si="137"/>
        <v>41.635680677389523</v>
      </c>
      <c r="AF377" s="272">
        <f t="shared" si="150"/>
        <v>82</v>
      </c>
      <c r="AG377" s="272">
        <f t="shared" si="138"/>
        <v>41.635680677389523</v>
      </c>
      <c r="AH377" s="272">
        <f t="shared" si="151"/>
        <v>82</v>
      </c>
      <c r="AI377" s="272">
        <f t="shared" si="139"/>
        <v>41.635680677389523</v>
      </c>
      <c r="AJ377" s="272">
        <f t="shared" si="152"/>
        <v>82</v>
      </c>
      <c r="AK377" s="272">
        <f t="shared" si="140"/>
        <v>41.635680677389523</v>
      </c>
      <c r="AL377" s="272">
        <f t="shared" si="153"/>
        <v>82</v>
      </c>
      <c r="AM377" s="272">
        <f t="shared" si="141"/>
        <v>41.635680677389523</v>
      </c>
      <c r="AN377" s="272">
        <f t="shared" si="154"/>
        <v>82</v>
      </c>
      <c r="AO377" s="272">
        <f t="shared" si="142"/>
        <v>41.635680677389523</v>
      </c>
      <c r="AP377" s="272">
        <f t="shared" si="155"/>
        <v>82</v>
      </c>
      <c r="AQ377" s="272">
        <f t="shared" si="143"/>
        <v>41.635680677389523</v>
      </c>
      <c r="AR377" s="272">
        <f t="shared" si="156"/>
        <v>82</v>
      </c>
      <c r="AS377" s="508">
        <f t="shared" si="144"/>
        <v>41.635680677389523</v>
      </c>
    </row>
    <row r="378" spans="1:45" ht="12.75" customHeight="1">
      <c r="A378" s="96">
        <f>IF(MAX($F$104:F378)=$G$99,$G$99,F378)</f>
        <v>15.906595441861038</v>
      </c>
      <c r="B378" s="481">
        <v>275</v>
      </c>
      <c r="C378" s="96">
        <f t="shared" si="135"/>
        <v>0.41250000000000031</v>
      </c>
      <c r="D378" s="96">
        <f t="shared" si="157"/>
        <v>105.85857672788468</v>
      </c>
      <c r="E378" s="96">
        <f t="shared" si="158"/>
        <v>0.27614905460195716</v>
      </c>
      <c r="F378" s="96">
        <f t="shared" si="159"/>
        <v>13.148169693382609</v>
      </c>
      <c r="G378" s="96">
        <f t="shared" si="162"/>
        <v>12.850169693382609</v>
      </c>
      <c r="I378" s="96">
        <f t="shared" si="160"/>
        <v>1</v>
      </c>
      <c r="J378" s="96">
        <f t="shared" si="161"/>
        <v>0.41250000000000031</v>
      </c>
      <c r="X378" s="96">
        <f t="shared" si="145"/>
        <v>43</v>
      </c>
      <c r="Y378" s="96">
        <v>0.434</v>
      </c>
      <c r="Z378" s="272">
        <f t="shared" si="147"/>
        <v>43</v>
      </c>
      <c r="AA378" s="519">
        <f t="shared" si="148"/>
        <v>40.789343803161323</v>
      </c>
      <c r="AB378" s="516">
        <f t="shared" si="146"/>
        <v>80</v>
      </c>
      <c r="AC378" s="272">
        <f t="shared" si="136"/>
        <v>42.051777303134728</v>
      </c>
      <c r="AD378" s="272">
        <f t="shared" si="149"/>
        <v>82</v>
      </c>
      <c r="AE378" s="272">
        <f t="shared" si="137"/>
        <v>42.020303861034641</v>
      </c>
      <c r="AF378" s="272">
        <f t="shared" si="150"/>
        <v>84</v>
      </c>
      <c r="AG378" s="272">
        <f t="shared" si="138"/>
        <v>41.990361399188302</v>
      </c>
      <c r="AH378" s="272">
        <f t="shared" si="151"/>
        <v>82</v>
      </c>
      <c r="AI378" s="272">
        <f t="shared" si="139"/>
        <v>42.020303861034641</v>
      </c>
      <c r="AJ378" s="272">
        <f t="shared" si="152"/>
        <v>84</v>
      </c>
      <c r="AK378" s="272">
        <f t="shared" si="140"/>
        <v>41.990361399188302</v>
      </c>
      <c r="AL378" s="272">
        <f t="shared" si="153"/>
        <v>82</v>
      </c>
      <c r="AM378" s="272">
        <f t="shared" si="141"/>
        <v>42.020303861034641</v>
      </c>
      <c r="AN378" s="272">
        <f t="shared" si="154"/>
        <v>84</v>
      </c>
      <c r="AO378" s="272">
        <f t="shared" si="142"/>
        <v>41.990361399188302</v>
      </c>
      <c r="AP378" s="272">
        <f t="shared" si="155"/>
        <v>82</v>
      </c>
      <c r="AQ378" s="272">
        <f t="shared" si="143"/>
        <v>42.020303861034641</v>
      </c>
      <c r="AR378" s="272">
        <f t="shared" si="156"/>
        <v>84</v>
      </c>
      <c r="AS378" s="508">
        <f t="shared" si="144"/>
        <v>41.990361399188302</v>
      </c>
    </row>
    <row r="379" spans="1:45" ht="12.75" customHeight="1">
      <c r="A379" s="96">
        <f>IF(MAX($F$104:F379)=$G$99,$G$99,F379)</f>
        <v>15.906595441861038</v>
      </c>
      <c r="B379" s="481">
        <v>276</v>
      </c>
      <c r="C379" s="96">
        <f t="shared" si="135"/>
        <v>0.41400000000000031</v>
      </c>
      <c r="D379" s="96">
        <f t="shared" si="157"/>
        <v>106.62985706873843</v>
      </c>
      <c r="E379" s="96">
        <f t="shared" si="158"/>
        <v>0.25897673864814519</v>
      </c>
      <c r="F379" s="96">
        <f t="shared" si="159"/>
        <v>12.714740593900148</v>
      </c>
      <c r="G379" s="96">
        <f t="shared" si="162"/>
        <v>12.416740593900148</v>
      </c>
      <c r="I379" s="96">
        <f t="shared" si="160"/>
        <v>1</v>
      </c>
      <c r="J379" s="96">
        <f t="shared" si="161"/>
        <v>0.41400000000000031</v>
      </c>
      <c r="X379" s="96">
        <f t="shared" si="145"/>
        <v>43</v>
      </c>
      <c r="Y379" s="96">
        <v>0.432</v>
      </c>
      <c r="Z379" s="272">
        <f t="shared" si="147"/>
        <v>43</v>
      </c>
      <c r="AA379" s="519">
        <f t="shared" si="148"/>
        <v>41.167897169647276</v>
      </c>
      <c r="AB379" s="516">
        <f t="shared" si="146"/>
        <v>82</v>
      </c>
      <c r="AC379" s="272">
        <f t="shared" si="136"/>
        <v>42.410281389580341</v>
      </c>
      <c r="AD379" s="272">
        <f t="shared" si="149"/>
        <v>84</v>
      </c>
      <c r="AE379" s="272">
        <f t="shared" si="137"/>
        <v>42.380061040946025</v>
      </c>
      <c r="AF379" s="272">
        <f t="shared" si="150"/>
        <v>84</v>
      </c>
      <c r="AG379" s="272">
        <f t="shared" si="138"/>
        <v>42.380061040946025</v>
      </c>
      <c r="AH379" s="272">
        <f t="shared" si="151"/>
        <v>84</v>
      </c>
      <c r="AI379" s="272">
        <f t="shared" si="139"/>
        <v>42.380061040946025</v>
      </c>
      <c r="AJ379" s="272">
        <f t="shared" si="152"/>
        <v>84</v>
      </c>
      <c r="AK379" s="272">
        <f t="shared" si="140"/>
        <v>42.380061040946025</v>
      </c>
      <c r="AL379" s="272">
        <f t="shared" si="153"/>
        <v>84</v>
      </c>
      <c r="AM379" s="272">
        <f t="shared" si="141"/>
        <v>42.380061040946025</v>
      </c>
      <c r="AN379" s="272">
        <f t="shared" si="154"/>
        <v>84</v>
      </c>
      <c r="AO379" s="272">
        <f t="shared" si="142"/>
        <v>42.380061040946025</v>
      </c>
      <c r="AP379" s="272">
        <f t="shared" si="155"/>
        <v>84</v>
      </c>
      <c r="AQ379" s="272">
        <f t="shared" si="143"/>
        <v>42.380061040946025</v>
      </c>
      <c r="AR379" s="272">
        <f t="shared" si="156"/>
        <v>84</v>
      </c>
      <c r="AS379" s="508">
        <f t="shared" si="144"/>
        <v>42.380061040946025</v>
      </c>
    </row>
    <row r="380" spans="1:45" ht="12.75" customHeight="1">
      <c r="A380" s="96">
        <f>IF(MAX($F$104:F380)=$G$99,$G$99,F380)</f>
        <v>15.906595441861038</v>
      </c>
      <c r="B380" s="96">
        <v>277</v>
      </c>
      <c r="C380" s="96">
        <f t="shared" si="135"/>
        <v>0.41550000000000031</v>
      </c>
      <c r="D380" s="96">
        <f t="shared" si="157"/>
        <v>107.40393697525771</v>
      </c>
      <c r="E380" s="96">
        <f t="shared" si="158"/>
        <v>0.24239310612257622</v>
      </c>
      <c r="F380" s="96">
        <f t="shared" si="159"/>
        <v>12.262794410694026</v>
      </c>
      <c r="G380" s="96">
        <f t="shared" si="162"/>
        <v>11.964794410694026</v>
      </c>
      <c r="I380" s="96">
        <f t="shared" si="160"/>
        <v>1</v>
      </c>
      <c r="J380" s="96">
        <f t="shared" si="161"/>
        <v>0.41550000000000031</v>
      </c>
      <c r="X380" s="96">
        <f t="shared" si="145"/>
        <v>43</v>
      </c>
      <c r="Y380" s="96">
        <v>0.43</v>
      </c>
      <c r="Z380" s="272">
        <f t="shared" si="147"/>
        <v>43</v>
      </c>
      <c r="AA380" s="519">
        <f t="shared" si="148"/>
        <v>41.551744950720682</v>
      </c>
      <c r="AB380" s="516">
        <f t="shared" si="146"/>
        <v>82</v>
      </c>
      <c r="AC380" s="272">
        <f t="shared" si="136"/>
        <v>42.805713110054313</v>
      </c>
      <c r="AD380" s="272">
        <f t="shared" si="149"/>
        <v>84</v>
      </c>
      <c r="AE380" s="272">
        <f t="shared" si="137"/>
        <v>42.775210988131477</v>
      </c>
      <c r="AF380" s="272">
        <f t="shared" si="150"/>
        <v>84</v>
      </c>
      <c r="AG380" s="272">
        <f t="shared" si="138"/>
        <v>42.775210988131477</v>
      </c>
      <c r="AH380" s="272">
        <f t="shared" si="151"/>
        <v>84</v>
      </c>
      <c r="AI380" s="272">
        <f t="shared" si="139"/>
        <v>42.775210988131477</v>
      </c>
      <c r="AJ380" s="272">
        <f t="shared" si="152"/>
        <v>84</v>
      </c>
      <c r="AK380" s="272">
        <f t="shared" si="140"/>
        <v>42.775210988131477</v>
      </c>
      <c r="AL380" s="272">
        <f t="shared" si="153"/>
        <v>84</v>
      </c>
      <c r="AM380" s="272">
        <f t="shared" si="141"/>
        <v>42.775210988131477</v>
      </c>
      <c r="AN380" s="272">
        <f t="shared" si="154"/>
        <v>84</v>
      </c>
      <c r="AO380" s="272">
        <f t="shared" si="142"/>
        <v>42.775210988131477</v>
      </c>
      <c r="AP380" s="272">
        <f t="shared" si="155"/>
        <v>84</v>
      </c>
      <c r="AQ380" s="272">
        <f t="shared" si="143"/>
        <v>42.775210988131477</v>
      </c>
      <c r="AR380" s="272">
        <f t="shared" si="156"/>
        <v>84</v>
      </c>
      <c r="AS380" s="508">
        <f t="shared" si="144"/>
        <v>42.775210988131477</v>
      </c>
    </row>
    <row r="381" spans="1:45" ht="12.75" customHeight="1">
      <c r="A381" s="96">
        <f>IF(MAX($F$104:F381)=$G$99,$G$99,F381)</f>
        <v>15.906595441861038</v>
      </c>
      <c r="B381" s="481">
        <v>278</v>
      </c>
      <c r="C381" s="96">
        <f t="shared" si="135"/>
        <v>0.41700000000000031</v>
      </c>
      <c r="D381" s="96">
        <f t="shared" si="157"/>
        <v>108.18081644744251</v>
      </c>
      <c r="E381" s="96">
        <f t="shared" si="158"/>
        <v>0.22642064729232034</v>
      </c>
      <c r="F381" s="96">
        <f t="shared" si="159"/>
        <v>11.795479841098119</v>
      </c>
      <c r="G381" s="96">
        <f t="shared" si="162"/>
        <v>11.497479841098119</v>
      </c>
      <c r="I381" s="96">
        <f t="shared" si="160"/>
        <v>1</v>
      </c>
      <c r="J381" s="96">
        <f t="shared" si="161"/>
        <v>0.41700000000000031</v>
      </c>
      <c r="X381" s="96">
        <f t="shared" si="145"/>
        <v>44</v>
      </c>
      <c r="Y381" s="96">
        <v>0.42799999999999999</v>
      </c>
      <c r="Z381" s="272">
        <f t="shared" si="147"/>
        <v>44</v>
      </c>
      <c r="AA381" s="519">
        <f t="shared" si="148"/>
        <v>41.94098633826237</v>
      </c>
      <c r="AB381" s="516">
        <f t="shared" si="146"/>
        <v>82</v>
      </c>
      <c r="AC381" s="272">
        <f t="shared" si="136"/>
        <v>43.206701207796762</v>
      </c>
      <c r="AD381" s="272">
        <f t="shared" si="149"/>
        <v>84</v>
      </c>
      <c r="AE381" s="272">
        <f t="shared" si="137"/>
        <v>43.175913353270545</v>
      </c>
      <c r="AF381" s="272">
        <f t="shared" si="150"/>
        <v>86</v>
      </c>
      <c r="AG381" s="272">
        <f t="shared" si="138"/>
        <v>43.146587579738345</v>
      </c>
      <c r="AH381" s="272">
        <f t="shared" si="151"/>
        <v>86</v>
      </c>
      <c r="AI381" s="272">
        <f t="shared" si="139"/>
        <v>43.146587579738345</v>
      </c>
      <c r="AJ381" s="272">
        <f t="shared" si="152"/>
        <v>86</v>
      </c>
      <c r="AK381" s="272">
        <f t="shared" si="140"/>
        <v>43.146587579738345</v>
      </c>
      <c r="AL381" s="272">
        <f t="shared" si="153"/>
        <v>86</v>
      </c>
      <c r="AM381" s="272">
        <f t="shared" si="141"/>
        <v>43.146587579738345</v>
      </c>
      <c r="AN381" s="272">
        <f t="shared" si="154"/>
        <v>86</v>
      </c>
      <c r="AO381" s="272">
        <f t="shared" si="142"/>
        <v>43.146587579738345</v>
      </c>
      <c r="AP381" s="272">
        <f t="shared" si="155"/>
        <v>86</v>
      </c>
      <c r="AQ381" s="272">
        <f t="shared" si="143"/>
        <v>43.146587579738345</v>
      </c>
      <c r="AR381" s="272">
        <f t="shared" si="156"/>
        <v>86</v>
      </c>
      <c r="AS381" s="508">
        <f t="shared" si="144"/>
        <v>43.146587579738345</v>
      </c>
    </row>
    <row r="382" spans="1:45" ht="12.75" customHeight="1">
      <c r="A382" s="96">
        <f>IF(MAX($F$104:F382)=$G$99,$G$99,F382)</f>
        <v>15.906595441861038</v>
      </c>
      <c r="B382" s="481">
        <v>279</v>
      </c>
      <c r="C382" s="96">
        <f t="shared" si="135"/>
        <v>0.41850000000000032</v>
      </c>
      <c r="D382" s="96">
        <f t="shared" si="157"/>
        <v>108.96049548529285</v>
      </c>
      <c r="E382" s="96">
        <f t="shared" si="158"/>
        <v>0.21107767291612103</v>
      </c>
      <c r="F382" s="96">
        <f t="shared" si="159"/>
        <v>11.315909930431957</v>
      </c>
      <c r="G382" s="96">
        <f t="shared" si="162"/>
        <v>11.017909930431957</v>
      </c>
      <c r="I382" s="96">
        <f t="shared" si="160"/>
        <v>1</v>
      </c>
      <c r="J382" s="96">
        <f t="shared" si="161"/>
        <v>0.41850000000000032</v>
      </c>
      <c r="X382" s="96">
        <f t="shared" si="145"/>
        <v>44</v>
      </c>
      <c r="Y382" s="96">
        <v>0.42599999999999999</v>
      </c>
      <c r="Z382" s="272">
        <f t="shared" si="147"/>
        <v>44</v>
      </c>
      <c r="AA382" s="519">
        <f t="shared" si="148"/>
        <v>42.335722858054254</v>
      </c>
      <c r="AB382" s="516">
        <f t="shared" si="146"/>
        <v>84</v>
      </c>
      <c r="AC382" s="272">
        <f t="shared" si="136"/>
        <v>43.582272651510465</v>
      </c>
      <c r="AD382" s="272">
        <f t="shared" si="149"/>
        <v>86</v>
      </c>
      <c r="AE382" s="272">
        <f t="shared" si="137"/>
        <v>43.552670872218847</v>
      </c>
      <c r="AF382" s="272">
        <f t="shared" si="150"/>
        <v>86</v>
      </c>
      <c r="AG382" s="272">
        <f t="shared" si="138"/>
        <v>43.552670872218847</v>
      </c>
      <c r="AH382" s="272">
        <f t="shared" si="151"/>
        <v>86</v>
      </c>
      <c r="AI382" s="272">
        <f t="shared" si="139"/>
        <v>43.552670872218847</v>
      </c>
      <c r="AJ382" s="272">
        <f t="shared" si="152"/>
        <v>86</v>
      </c>
      <c r="AK382" s="272">
        <f t="shared" si="140"/>
        <v>43.552670872218847</v>
      </c>
      <c r="AL382" s="272">
        <f t="shared" si="153"/>
        <v>86</v>
      </c>
      <c r="AM382" s="272">
        <f t="shared" si="141"/>
        <v>43.552670872218847</v>
      </c>
      <c r="AN382" s="272">
        <f t="shared" si="154"/>
        <v>86</v>
      </c>
      <c r="AO382" s="272">
        <f t="shared" si="142"/>
        <v>43.552670872218847</v>
      </c>
      <c r="AP382" s="272">
        <f t="shared" si="155"/>
        <v>86</v>
      </c>
      <c r="AQ382" s="272">
        <f t="shared" si="143"/>
        <v>43.552670872218847</v>
      </c>
      <c r="AR382" s="272">
        <f t="shared" si="156"/>
        <v>86</v>
      </c>
      <c r="AS382" s="508">
        <f t="shared" si="144"/>
        <v>43.552670872218847</v>
      </c>
    </row>
    <row r="383" spans="1:45" ht="12.75" customHeight="1">
      <c r="A383" s="96">
        <f>IF(MAX($F$104:F383)=$G$99,$G$99,F383)</f>
        <v>15.906595441861038</v>
      </c>
      <c r="B383" s="96">
        <v>280</v>
      </c>
      <c r="C383" s="96">
        <f t="shared" si="135"/>
        <v>0.42000000000000032</v>
      </c>
      <c r="D383" s="96">
        <f t="shared" si="157"/>
        <v>109.74297408880872</v>
      </c>
      <c r="E383" s="96">
        <f t="shared" si="158"/>
        <v>0.19637840853896116</v>
      </c>
      <c r="F383" s="96">
        <f t="shared" si="159"/>
        <v>10.827171214758417</v>
      </c>
      <c r="G383" s="96">
        <f t="shared" si="162"/>
        <v>10.529171214758417</v>
      </c>
      <c r="I383" s="96">
        <f t="shared" si="160"/>
        <v>1</v>
      </c>
      <c r="J383" s="96">
        <f t="shared" si="161"/>
        <v>0.42000000000000032</v>
      </c>
      <c r="X383" s="96">
        <f t="shared" si="145"/>
        <v>44</v>
      </c>
      <c r="Y383" s="96">
        <v>0.42399999999999999</v>
      </c>
      <c r="Z383" s="272">
        <f t="shared" si="147"/>
        <v>44</v>
      </c>
      <c r="AA383" s="519">
        <f t="shared" si="148"/>
        <v>42.736058435988426</v>
      </c>
      <c r="AB383" s="516">
        <f t="shared" si="146"/>
        <v>84</v>
      </c>
      <c r="AC383" s="272">
        <f t="shared" si="136"/>
        <v>43.994395868778426</v>
      </c>
      <c r="AD383" s="272">
        <f t="shared" si="149"/>
        <v>86</v>
      </c>
      <c r="AE383" s="272">
        <f t="shared" si="137"/>
        <v>43.964514168781079</v>
      </c>
      <c r="AF383" s="272">
        <f t="shared" si="150"/>
        <v>86</v>
      </c>
      <c r="AG383" s="272">
        <f t="shared" si="138"/>
        <v>43.964514168781079</v>
      </c>
      <c r="AH383" s="272">
        <f t="shared" si="151"/>
        <v>86</v>
      </c>
      <c r="AI383" s="272">
        <f t="shared" si="139"/>
        <v>43.964514168781079</v>
      </c>
      <c r="AJ383" s="272">
        <f t="shared" si="152"/>
        <v>86</v>
      </c>
      <c r="AK383" s="272">
        <f t="shared" si="140"/>
        <v>43.964514168781079</v>
      </c>
      <c r="AL383" s="272">
        <f t="shared" si="153"/>
        <v>86</v>
      </c>
      <c r="AM383" s="272">
        <f t="shared" si="141"/>
        <v>43.964514168781079</v>
      </c>
      <c r="AN383" s="272">
        <f t="shared" si="154"/>
        <v>86</v>
      </c>
      <c r="AO383" s="272">
        <f t="shared" si="142"/>
        <v>43.964514168781079</v>
      </c>
      <c r="AP383" s="272">
        <f t="shared" si="155"/>
        <v>86</v>
      </c>
      <c r="AQ383" s="272">
        <f t="shared" si="143"/>
        <v>43.964514168781079</v>
      </c>
      <c r="AR383" s="272">
        <f t="shared" si="156"/>
        <v>86</v>
      </c>
      <c r="AS383" s="508">
        <f t="shared" si="144"/>
        <v>43.964514168781079</v>
      </c>
    </row>
    <row r="384" spans="1:45" ht="12.75" customHeight="1">
      <c r="A384" s="96">
        <f>IF(MAX($F$104:F384)=$G$99,$G$99,F384)</f>
        <v>15.906595441861038</v>
      </c>
      <c r="B384" s="481">
        <v>281</v>
      </c>
      <c r="C384" s="96">
        <f t="shared" si="135"/>
        <v>0.42150000000000032</v>
      </c>
      <c r="D384" s="96">
        <f t="shared" si="157"/>
        <v>110.52825225799012</v>
      </c>
      <c r="E384" s="96">
        <f t="shared" si="158"/>
        <v>0.18233297057605444</v>
      </c>
      <c r="F384" s="96">
        <f t="shared" si="159"/>
        <v>10.332288155561743</v>
      </c>
      <c r="G384" s="96">
        <f t="shared" si="162"/>
        <v>10.034288155561743</v>
      </c>
      <c r="I384" s="96">
        <f t="shared" si="160"/>
        <v>1</v>
      </c>
      <c r="J384" s="96">
        <f t="shared" si="161"/>
        <v>0.42150000000000032</v>
      </c>
      <c r="X384" s="96">
        <f t="shared" si="145"/>
        <v>45</v>
      </c>
      <c r="Y384" s="96">
        <v>0.42199999999999999</v>
      </c>
      <c r="Z384" s="272">
        <f t="shared" si="147"/>
        <v>45</v>
      </c>
      <c r="AA384" s="519">
        <f t="shared" si="148"/>
        <v>43.14209946647793</v>
      </c>
      <c r="AB384" s="516">
        <f t="shared" si="146"/>
        <v>86</v>
      </c>
      <c r="AC384" s="272">
        <f t="shared" si="136"/>
        <v>44.382226922164747</v>
      </c>
      <c r="AD384" s="272">
        <f t="shared" si="149"/>
        <v>88</v>
      </c>
      <c r="AE384" s="272">
        <f t="shared" si="137"/>
        <v>44.353460626876512</v>
      </c>
      <c r="AF384" s="272">
        <f t="shared" si="150"/>
        <v>88</v>
      </c>
      <c r="AG384" s="272">
        <f t="shared" si="138"/>
        <v>44.353460626876512</v>
      </c>
      <c r="AH384" s="272">
        <f t="shared" si="151"/>
        <v>88</v>
      </c>
      <c r="AI384" s="272">
        <f t="shared" si="139"/>
        <v>44.353460626876512</v>
      </c>
      <c r="AJ384" s="272">
        <f t="shared" si="152"/>
        <v>88</v>
      </c>
      <c r="AK384" s="272">
        <f t="shared" si="140"/>
        <v>44.353460626876512</v>
      </c>
      <c r="AL384" s="272">
        <f t="shared" si="153"/>
        <v>88</v>
      </c>
      <c r="AM384" s="272">
        <f t="shared" si="141"/>
        <v>44.353460626876512</v>
      </c>
      <c r="AN384" s="272">
        <f t="shared" si="154"/>
        <v>88</v>
      </c>
      <c r="AO384" s="272">
        <f t="shared" si="142"/>
        <v>44.353460626876512</v>
      </c>
      <c r="AP384" s="272">
        <f t="shared" si="155"/>
        <v>88</v>
      </c>
      <c r="AQ384" s="272">
        <f t="shared" si="143"/>
        <v>44.353460626876512</v>
      </c>
      <c r="AR384" s="272">
        <f t="shared" si="156"/>
        <v>88</v>
      </c>
      <c r="AS384" s="508">
        <f t="shared" si="144"/>
        <v>44.353460626876512</v>
      </c>
    </row>
    <row r="385" spans="1:45" ht="12.75" customHeight="1">
      <c r="A385" s="96">
        <f>IF(MAX($F$104:F385)=$G$99,$G$99,F385)</f>
        <v>15.906595441861038</v>
      </c>
      <c r="B385" s="481">
        <v>282</v>
      </c>
      <c r="C385" s="96">
        <f t="shared" si="135"/>
        <v>0.42300000000000032</v>
      </c>
      <c r="D385" s="96">
        <f t="shared" si="157"/>
        <v>111.31632999283705</v>
      </c>
      <c r="E385" s="96">
        <f t="shared" si="158"/>
        <v>0.16894755502862024</v>
      </c>
      <c r="F385" s="96">
        <f t="shared" si="159"/>
        <v>9.8341653262519451</v>
      </c>
      <c r="G385" s="96">
        <f t="shared" si="162"/>
        <v>9.536165326251945</v>
      </c>
      <c r="I385" s="96">
        <f t="shared" si="160"/>
        <v>1</v>
      </c>
      <c r="J385" s="96">
        <f t="shared" si="161"/>
        <v>0.42300000000000032</v>
      </c>
      <c r="X385" s="96">
        <f t="shared" si="145"/>
        <v>45</v>
      </c>
      <c r="Y385" s="96">
        <v>0.42</v>
      </c>
      <c r="Z385" s="272">
        <f t="shared" si="147"/>
        <v>45</v>
      </c>
      <c r="AA385" s="519">
        <f t="shared" si="148"/>
        <v>43.553954883153374</v>
      </c>
      <c r="AB385" s="516">
        <f t="shared" si="146"/>
        <v>86</v>
      </c>
      <c r="AC385" s="272">
        <f t="shared" si="136"/>
        <v>44.805921197317396</v>
      </c>
      <c r="AD385" s="272">
        <f t="shared" si="149"/>
        <v>88</v>
      </c>
      <c r="AE385" s="272">
        <f t="shared" si="137"/>
        <v>44.776880285015174</v>
      </c>
      <c r="AF385" s="272">
        <f t="shared" si="150"/>
        <v>88</v>
      </c>
      <c r="AG385" s="272">
        <f t="shared" si="138"/>
        <v>44.776880285015174</v>
      </c>
      <c r="AH385" s="272">
        <f t="shared" si="151"/>
        <v>88</v>
      </c>
      <c r="AI385" s="272">
        <f t="shared" si="139"/>
        <v>44.776880285015174</v>
      </c>
      <c r="AJ385" s="272">
        <f t="shared" si="152"/>
        <v>88</v>
      </c>
      <c r="AK385" s="272">
        <f t="shared" si="140"/>
        <v>44.776880285015174</v>
      </c>
      <c r="AL385" s="272">
        <f t="shared" si="153"/>
        <v>88</v>
      </c>
      <c r="AM385" s="272">
        <f t="shared" si="141"/>
        <v>44.776880285015174</v>
      </c>
      <c r="AN385" s="272">
        <f t="shared" si="154"/>
        <v>88</v>
      </c>
      <c r="AO385" s="272">
        <f t="shared" si="142"/>
        <v>44.776880285015174</v>
      </c>
      <c r="AP385" s="272">
        <f t="shared" si="155"/>
        <v>88</v>
      </c>
      <c r="AQ385" s="272">
        <f t="shared" si="143"/>
        <v>44.776880285015174</v>
      </c>
      <c r="AR385" s="272">
        <f t="shared" si="156"/>
        <v>88</v>
      </c>
      <c r="AS385" s="508">
        <f t="shared" si="144"/>
        <v>44.776880285015174</v>
      </c>
    </row>
    <row r="386" spans="1:45" ht="12.75" customHeight="1">
      <c r="A386" s="96">
        <f>IF(MAX($F$104:F386)=$G$99,$G$99,F386)</f>
        <v>15.906595441861038</v>
      </c>
      <c r="B386" s="96">
        <v>283</v>
      </c>
      <c r="C386" s="96">
        <f t="shared" si="135"/>
        <v>0.42450000000000032</v>
      </c>
      <c r="D386" s="96">
        <f t="shared" si="157"/>
        <v>112.1072072933495</v>
      </c>
      <c r="E386" s="96">
        <f t="shared" si="158"/>
        <v>0.15622456705503157</v>
      </c>
      <c r="F386" s="96">
        <f t="shared" si="159"/>
        <v>9.3355866712192412</v>
      </c>
      <c r="G386" s="96">
        <f t="shared" si="162"/>
        <v>9.0375866712192412</v>
      </c>
      <c r="I386" s="96">
        <f t="shared" si="160"/>
        <v>1</v>
      </c>
      <c r="J386" s="96">
        <f t="shared" si="161"/>
        <v>0.42450000000000032</v>
      </c>
      <c r="X386" s="96">
        <f t="shared" si="145"/>
        <v>46</v>
      </c>
      <c r="Y386" s="96">
        <v>0.41799999999999998</v>
      </c>
      <c r="Z386" s="272">
        <f t="shared" si="147"/>
        <v>46</v>
      </c>
      <c r="AA386" s="519">
        <f t="shared" si="148"/>
        <v>43.971736231932958</v>
      </c>
      <c r="AB386" s="516">
        <f t="shared" si="146"/>
        <v>86</v>
      </c>
      <c r="AC386" s="272">
        <f t="shared" si="136"/>
        <v>45.235711746564803</v>
      </c>
      <c r="AD386" s="272">
        <f t="shared" si="149"/>
        <v>88</v>
      </c>
      <c r="AE386" s="272">
        <f t="shared" si="137"/>
        <v>45.206392265954747</v>
      </c>
      <c r="AF386" s="272">
        <f t="shared" si="150"/>
        <v>90</v>
      </c>
      <c r="AG386" s="272">
        <f t="shared" si="138"/>
        <v>45.178402028099576</v>
      </c>
      <c r="AH386" s="272">
        <f t="shared" si="151"/>
        <v>90</v>
      </c>
      <c r="AI386" s="272">
        <f t="shared" si="139"/>
        <v>45.178402028099576</v>
      </c>
      <c r="AJ386" s="272">
        <f t="shared" si="152"/>
        <v>90</v>
      </c>
      <c r="AK386" s="272">
        <f t="shared" si="140"/>
        <v>45.178402028099576</v>
      </c>
      <c r="AL386" s="272">
        <f t="shared" si="153"/>
        <v>90</v>
      </c>
      <c r="AM386" s="272">
        <f t="shared" si="141"/>
        <v>45.178402028099576</v>
      </c>
      <c r="AN386" s="272">
        <f t="shared" si="154"/>
        <v>90</v>
      </c>
      <c r="AO386" s="272">
        <f t="shared" si="142"/>
        <v>45.178402028099576</v>
      </c>
      <c r="AP386" s="272">
        <f t="shared" si="155"/>
        <v>90</v>
      </c>
      <c r="AQ386" s="272">
        <f t="shared" si="143"/>
        <v>45.178402028099576</v>
      </c>
      <c r="AR386" s="272">
        <f t="shared" si="156"/>
        <v>90</v>
      </c>
      <c r="AS386" s="508">
        <f t="shared" si="144"/>
        <v>45.178402028099576</v>
      </c>
    </row>
    <row r="387" spans="1:45" ht="12.75" customHeight="1">
      <c r="A387" s="96">
        <f>IF(MAX($F$104:F387)=$G$99,$G$99,F387)</f>
        <v>15.906595441861038</v>
      </c>
      <c r="B387" s="481">
        <v>284</v>
      </c>
      <c r="C387" s="96">
        <f t="shared" ref="C387:C450" si="163">C386+$C$99</f>
        <v>0.42600000000000032</v>
      </c>
      <c r="D387" s="96">
        <f t="shared" si="157"/>
        <v>112.90088415952749</v>
      </c>
      <c r="E387" s="96">
        <f t="shared" si="158"/>
        <v>0.1441628116537019</v>
      </c>
      <c r="F387" s="96">
        <f t="shared" si="159"/>
        <v>8.8391988703871434</v>
      </c>
      <c r="G387" s="96">
        <f t="shared" si="162"/>
        <v>8.5411988703871433</v>
      </c>
      <c r="I387" s="96">
        <f t="shared" si="160"/>
        <v>1</v>
      </c>
      <c r="J387" s="96">
        <f t="shared" si="161"/>
        <v>0.42600000000000032</v>
      </c>
      <c r="X387" s="96">
        <f t="shared" si="145"/>
        <v>46</v>
      </c>
      <c r="Y387" s="96">
        <v>0.41599999999999998</v>
      </c>
      <c r="Z387" s="272">
        <f t="shared" si="147"/>
        <v>46</v>
      </c>
      <c r="AA387" s="519">
        <f t="shared" si="148"/>
        <v>44.395557746557493</v>
      </c>
      <c r="AB387" s="516">
        <f t="shared" si="146"/>
        <v>88</v>
      </c>
      <c r="AC387" s="272">
        <f t="shared" si="136"/>
        <v>45.64211401093678</v>
      </c>
      <c r="AD387" s="272">
        <f t="shared" si="149"/>
        <v>90</v>
      </c>
      <c r="AE387" s="272">
        <f t="shared" si="137"/>
        <v>45.613853989215464</v>
      </c>
      <c r="AF387" s="272">
        <f t="shared" si="150"/>
        <v>90</v>
      </c>
      <c r="AG387" s="272">
        <f t="shared" si="138"/>
        <v>45.613853989215464</v>
      </c>
      <c r="AH387" s="272">
        <f t="shared" si="151"/>
        <v>90</v>
      </c>
      <c r="AI387" s="272">
        <f t="shared" si="139"/>
        <v>45.613853989215464</v>
      </c>
      <c r="AJ387" s="272">
        <f t="shared" si="152"/>
        <v>90</v>
      </c>
      <c r="AK387" s="272">
        <f t="shared" si="140"/>
        <v>45.613853989215464</v>
      </c>
      <c r="AL387" s="272">
        <f t="shared" si="153"/>
        <v>90</v>
      </c>
      <c r="AM387" s="272">
        <f t="shared" si="141"/>
        <v>45.613853989215464</v>
      </c>
      <c r="AN387" s="272">
        <f t="shared" si="154"/>
        <v>90</v>
      </c>
      <c r="AO387" s="272">
        <f t="shared" si="142"/>
        <v>45.613853989215464</v>
      </c>
      <c r="AP387" s="272">
        <f t="shared" si="155"/>
        <v>90</v>
      </c>
      <c r="AQ387" s="272">
        <f t="shared" si="143"/>
        <v>45.613853989215464</v>
      </c>
      <c r="AR387" s="272">
        <f t="shared" si="156"/>
        <v>90</v>
      </c>
      <c r="AS387" s="508">
        <f t="shared" si="144"/>
        <v>45.613853989215464</v>
      </c>
    </row>
    <row r="388" spans="1:45" ht="12.75" customHeight="1">
      <c r="A388" s="96">
        <f>IF(MAX($F$104:F388)=$G$99,$G$99,F388)</f>
        <v>15.906595441861038</v>
      </c>
      <c r="B388" s="481">
        <v>285</v>
      </c>
      <c r="C388" s="96">
        <f t="shared" si="163"/>
        <v>0.42750000000000032</v>
      </c>
      <c r="D388" s="96">
        <f t="shared" si="157"/>
        <v>113.69736059137102</v>
      </c>
      <c r="E388" s="96">
        <f t="shared" si="158"/>
        <v>0.1327576673991365</v>
      </c>
      <c r="F388" s="96">
        <f t="shared" si="159"/>
        <v>8.3474730810463402</v>
      </c>
      <c r="G388" s="96">
        <f t="shared" si="162"/>
        <v>8.0494730810463402</v>
      </c>
      <c r="I388" s="96">
        <f t="shared" si="160"/>
        <v>1</v>
      </c>
      <c r="J388" s="96">
        <f t="shared" si="161"/>
        <v>0.42750000000000032</v>
      </c>
      <c r="X388" s="96">
        <f t="shared" si="145"/>
        <v>47</v>
      </c>
      <c r="Y388" s="96">
        <v>0.41399999999999998</v>
      </c>
      <c r="Z388" s="272">
        <f t="shared" si="147"/>
        <v>47</v>
      </c>
      <c r="AA388" s="519">
        <f t="shared" si="148"/>
        <v>44.825536426685893</v>
      </c>
      <c r="AB388" s="516">
        <f t="shared" si="146"/>
        <v>88</v>
      </c>
      <c r="AC388" s="272">
        <f t="shared" si="136"/>
        <v>46.08416580478351</v>
      </c>
      <c r="AD388" s="272">
        <f t="shared" si="149"/>
        <v>90</v>
      </c>
      <c r="AE388" s="272">
        <f t="shared" si="137"/>
        <v>46.055632079848252</v>
      </c>
      <c r="AF388" s="272">
        <f t="shared" si="150"/>
        <v>92</v>
      </c>
      <c r="AG388" s="272">
        <f t="shared" si="138"/>
        <v>46.02836330738846</v>
      </c>
      <c r="AH388" s="272">
        <f t="shared" si="151"/>
        <v>92</v>
      </c>
      <c r="AI388" s="272">
        <f t="shared" si="139"/>
        <v>46.02836330738846</v>
      </c>
      <c r="AJ388" s="272">
        <f t="shared" si="152"/>
        <v>92</v>
      </c>
      <c r="AK388" s="272">
        <f t="shared" si="140"/>
        <v>46.02836330738846</v>
      </c>
      <c r="AL388" s="272">
        <f t="shared" si="153"/>
        <v>92</v>
      </c>
      <c r="AM388" s="272">
        <f t="shared" si="141"/>
        <v>46.02836330738846</v>
      </c>
      <c r="AN388" s="272">
        <f t="shared" si="154"/>
        <v>92</v>
      </c>
      <c r="AO388" s="272">
        <f t="shared" si="142"/>
        <v>46.02836330738846</v>
      </c>
      <c r="AP388" s="272">
        <f t="shared" si="155"/>
        <v>92</v>
      </c>
      <c r="AQ388" s="272">
        <f t="shared" si="143"/>
        <v>46.02836330738846</v>
      </c>
      <c r="AR388" s="272">
        <f t="shared" si="156"/>
        <v>92</v>
      </c>
      <c r="AS388" s="508">
        <f t="shared" si="144"/>
        <v>46.02836330738846</v>
      </c>
    </row>
    <row r="389" spans="1:45" ht="12.75" customHeight="1">
      <c r="A389" s="96">
        <f>IF(MAX($F$104:F389)=$G$99,$G$99,F389)</f>
        <v>15.906595441861038</v>
      </c>
      <c r="B389" s="96">
        <v>286</v>
      </c>
      <c r="C389" s="96">
        <f t="shared" si="163"/>
        <v>0.42900000000000033</v>
      </c>
      <c r="D389" s="96">
        <f t="shared" si="157"/>
        <v>114.49663658888008</v>
      </c>
      <c r="E389" s="96">
        <f t="shared" si="158"/>
        <v>0.12200137869517179</v>
      </c>
      <c r="F389" s="96">
        <f t="shared" si="159"/>
        <v>7.8626919773175095</v>
      </c>
      <c r="G389" s="96">
        <f t="shared" si="162"/>
        <v>7.5646919773175094</v>
      </c>
      <c r="I389" s="96">
        <f t="shared" si="160"/>
        <v>0</v>
      </c>
      <c r="J389" s="96">
        <f t="shared" si="161"/>
        <v>0.42900000000000033</v>
      </c>
      <c r="X389" s="96">
        <f t="shared" si="145"/>
        <v>47</v>
      </c>
      <c r="Y389" s="96">
        <v>0.41199999999999998</v>
      </c>
      <c r="Z389" s="272">
        <f t="shared" si="147"/>
        <v>47</v>
      </c>
      <c r="AA389" s="519">
        <f t="shared" si="148"/>
        <v>45.26179211865076</v>
      </c>
      <c r="AB389" s="516">
        <f t="shared" si="146"/>
        <v>90</v>
      </c>
      <c r="AC389" s="272">
        <f t="shared" si="136"/>
        <v>46.503859435135674</v>
      </c>
      <c r="AD389" s="272">
        <f t="shared" si="149"/>
        <v>92</v>
      </c>
      <c r="AE389" s="272">
        <f t="shared" si="137"/>
        <v>46.476325274726371</v>
      </c>
      <c r="AF389" s="272">
        <f t="shared" si="150"/>
        <v>92</v>
      </c>
      <c r="AG389" s="272">
        <f t="shared" si="138"/>
        <v>46.476325274726371</v>
      </c>
      <c r="AH389" s="272">
        <f t="shared" si="151"/>
        <v>92</v>
      </c>
      <c r="AI389" s="272">
        <f t="shared" si="139"/>
        <v>46.476325274726371</v>
      </c>
      <c r="AJ389" s="272">
        <f t="shared" si="152"/>
        <v>92</v>
      </c>
      <c r="AK389" s="272">
        <f t="shared" si="140"/>
        <v>46.476325274726371</v>
      </c>
      <c r="AL389" s="272">
        <f t="shared" si="153"/>
        <v>92</v>
      </c>
      <c r="AM389" s="272">
        <f t="shared" si="141"/>
        <v>46.476325274726371</v>
      </c>
      <c r="AN389" s="272">
        <f t="shared" si="154"/>
        <v>92</v>
      </c>
      <c r="AO389" s="272">
        <f t="shared" si="142"/>
        <v>46.476325274726371</v>
      </c>
      <c r="AP389" s="272">
        <f t="shared" si="155"/>
        <v>92</v>
      </c>
      <c r="AQ389" s="272">
        <f t="shared" si="143"/>
        <v>46.476325274726371</v>
      </c>
      <c r="AR389" s="272">
        <f t="shared" si="156"/>
        <v>92</v>
      </c>
      <c r="AS389" s="508">
        <f t="shared" si="144"/>
        <v>46.476325274726371</v>
      </c>
    </row>
    <row r="390" spans="1:45" ht="12.75" customHeight="1">
      <c r="A390" s="96">
        <f>IF(MAX($F$104:F390)=$G$99,$G$99,F390)</f>
        <v>15.906595441861038</v>
      </c>
      <c r="B390" s="481">
        <v>287</v>
      </c>
      <c r="C390" s="96">
        <f t="shared" si="163"/>
        <v>0.43050000000000033</v>
      </c>
      <c r="D390" s="96">
        <f t="shared" si="157"/>
        <v>115.29871215205465</v>
      </c>
      <c r="E390" s="96">
        <f t="shared" si="158"/>
        <v>0.11188326391953249</v>
      </c>
      <c r="F390" s="96">
        <f t="shared" si="159"/>
        <v>7.3869549384579072</v>
      </c>
      <c r="G390" s="96">
        <f t="shared" si="162"/>
        <v>7.0889549384579071</v>
      </c>
      <c r="I390" s="96">
        <f t="shared" si="160"/>
        <v>0</v>
      </c>
      <c r="J390" s="96">
        <f t="shared" si="161"/>
        <v>0.43050000000000033</v>
      </c>
      <c r="X390" s="96">
        <f t="shared" si="145"/>
        <v>47</v>
      </c>
      <c r="Y390" s="96">
        <v>0.41</v>
      </c>
      <c r="Z390" s="272">
        <f t="shared" si="147"/>
        <v>47</v>
      </c>
      <c r="AA390" s="519">
        <f t="shared" si="148"/>
        <v>45.704447598978319</v>
      </c>
      <c r="AB390" s="516">
        <f t="shared" si="146"/>
        <v>90</v>
      </c>
      <c r="AC390" s="272">
        <f t="shared" si="136"/>
        <v>46.958662200818971</v>
      </c>
      <c r="AD390" s="272">
        <f t="shared" si="149"/>
        <v>92</v>
      </c>
      <c r="AE390" s="272">
        <f t="shared" si="137"/>
        <v>46.930858759269199</v>
      </c>
      <c r="AF390" s="272">
        <f t="shared" si="150"/>
        <v>92</v>
      </c>
      <c r="AG390" s="272">
        <f t="shared" si="138"/>
        <v>46.930858759269199</v>
      </c>
      <c r="AH390" s="272">
        <f t="shared" si="151"/>
        <v>92</v>
      </c>
      <c r="AI390" s="272">
        <f t="shared" si="139"/>
        <v>46.930858759269199</v>
      </c>
      <c r="AJ390" s="272">
        <f t="shared" si="152"/>
        <v>92</v>
      </c>
      <c r="AK390" s="272">
        <f t="shared" si="140"/>
        <v>46.930858759269199</v>
      </c>
      <c r="AL390" s="272">
        <f t="shared" si="153"/>
        <v>92</v>
      </c>
      <c r="AM390" s="272">
        <f t="shared" si="141"/>
        <v>46.930858759269199</v>
      </c>
      <c r="AN390" s="272">
        <f t="shared" si="154"/>
        <v>92</v>
      </c>
      <c r="AO390" s="272">
        <f t="shared" si="142"/>
        <v>46.930858759269199</v>
      </c>
      <c r="AP390" s="272">
        <f t="shared" si="155"/>
        <v>92</v>
      </c>
      <c r="AQ390" s="272">
        <f t="shared" si="143"/>
        <v>46.930858759269199</v>
      </c>
      <c r="AR390" s="272">
        <f t="shared" si="156"/>
        <v>92</v>
      </c>
      <c r="AS390" s="508">
        <f t="shared" si="144"/>
        <v>46.930858759269199</v>
      </c>
    </row>
    <row r="391" spans="1:45" ht="12.75" customHeight="1">
      <c r="A391" s="96">
        <f>IF(MAX($F$104:F391)=$G$99,$G$99,F391)</f>
        <v>15.906595441861038</v>
      </c>
      <c r="B391" s="481">
        <v>288</v>
      </c>
      <c r="C391" s="96">
        <f t="shared" si="163"/>
        <v>0.43200000000000033</v>
      </c>
      <c r="D391" s="96">
        <f t="shared" si="157"/>
        <v>116.10358728089477</v>
      </c>
      <c r="E391" s="96">
        <f t="shared" si="158"/>
        <v>0.10238999390280566</v>
      </c>
      <c r="F391" s="96">
        <f t="shared" si="159"/>
        <v>6.9221545330109571</v>
      </c>
      <c r="G391" s="96">
        <f t="shared" si="162"/>
        <v>6.624154533010957</v>
      </c>
      <c r="I391" s="96">
        <f t="shared" si="160"/>
        <v>0</v>
      </c>
      <c r="J391" s="96">
        <f t="shared" si="161"/>
        <v>0.43200000000000033</v>
      </c>
      <c r="X391" s="96">
        <f t="shared" si="145"/>
        <v>48</v>
      </c>
      <c r="Y391" s="96">
        <v>0.40799999999999997</v>
      </c>
      <c r="Z391" s="272">
        <f t="shared" si="147"/>
        <v>48</v>
      </c>
      <c r="AA391" s="519">
        <f t="shared" si="148"/>
        <v>46.153628660781045</v>
      </c>
      <c r="AB391" s="516">
        <f t="shared" si="146"/>
        <v>92</v>
      </c>
      <c r="AC391" s="272">
        <f t="shared" si="136"/>
        <v>47.392092929601311</v>
      </c>
      <c r="AD391" s="272">
        <f t="shared" si="149"/>
        <v>94</v>
      </c>
      <c r="AE391" s="272">
        <f t="shared" si="137"/>
        <v>47.365233943653742</v>
      </c>
      <c r="AF391" s="272">
        <f t="shared" si="150"/>
        <v>94</v>
      </c>
      <c r="AG391" s="272">
        <f t="shared" si="138"/>
        <v>47.365233943653742</v>
      </c>
      <c r="AH391" s="272">
        <f t="shared" si="151"/>
        <v>94</v>
      </c>
      <c r="AI391" s="272">
        <f t="shared" si="139"/>
        <v>47.365233943653742</v>
      </c>
      <c r="AJ391" s="272">
        <f t="shared" si="152"/>
        <v>94</v>
      </c>
      <c r="AK391" s="272">
        <f t="shared" si="140"/>
        <v>47.365233943653742</v>
      </c>
      <c r="AL391" s="272">
        <f t="shared" si="153"/>
        <v>94</v>
      </c>
      <c r="AM391" s="272">
        <f t="shared" si="141"/>
        <v>47.365233943653742</v>
      </c>
      <c r="AN391" s="272">
        <f t="shared" si="154"/>
        <v>94</v>
      </c>
      <c r="AO391" s="272">
        <f t="shared" si="142"/>
        <v>47.365233943653742</v>
      </c>
      <c r="AP391" s="272">
        <f t="shared" si="155"/>
        <v>94</v>
      </c>
      <c r="AQ391" s="272">
        <f t="shared" si="143"/>
        <v>47.365233943653742</v>
      </c>
      <c r="AR391" s="272">
        <f t="shared" si="156"/>
        <v>94</v>
      </c>
      <c r="AS391" s="508">
        <f t="shared" si="144"/>
        <v>47.365233943653742</v>
      </c>
    </row>
    <row r="392" spans="1:45" ht="12.75" customHeight="1">
      <c r="A392" s="96">
        <f>IF(MAX($F$104:F392)=$G$99,$G$99,F392)</f>
        <v>15.906595441861038</v>
      </c>
      <c r="B392" s="96">
        <v>289</v>
      </c>
      <c r="C392" s="96">
        <f t="shared" si="163"/>
        <v>0.43350000000000033</v>
      </c>
      <c r="D392" s="96">
        <f t="shared" si="157"/>
        <v>116.91126197540042</v>
      </c>
      <c r="E392" s="96">
        <f t="shared" si="158"/>
        <v>9.350586250445915E-2</v>
      </c>
      <c r="F392" s="96">
        <f t="shared" si="159"/>
        <v>6.4699664471641745</v>
      </c>
      <c r="G392" s="96">
        <f t="shared" si="162"/>
        <v>6.1719664471641744</v>
      </c>
      <c r="I392" s="96">
        <f t="shared" si="160"/>
        <v>0</v>
      </c>
      <c r="J392" s="96">
        <f t="shared" si="161"/>
        <v>0.43350000000000033</v>
      </c>
      <c r="X392" s="96">
        <f t="shared" si="145"/>
        <v>48</v>
      </c>
      <c r="Y392" s="96">
        <v>0.40600000000000003</v>
      </c>
      <c r="Z392" s="272">
        <f t="shared" si="147"/>
        <v>48</v>
      </c>
      <c r="AA392" s="519">
        <f t="shared" si="148"/>
        <v>46.609464203136774</v>
      </c>
      <c r="AB392" s="516">
        <f t="shared" si="146"/>
        <v>92</v>
      </c>
      <c r="AC392" s="272">
        <f t="shared" si="136"/>
        <v>47.86016014361639</v>
      </c>
      <c r="AD392" s="272">
        <f t="shared" si="149"/>
        <v>94</v>
      </c>
      <c r="AE392" s="272">
        <f t="shared" si="137"/>
        <v>47.833035885342859</v>
      </c>
      <c r="AF392" s="272">
        <f t="shared" si="150"/>
        <v>94</v>
      </c>
      <c r="AG392" s="272">
        <f t="shared" si="138"/>
        <v>47.833035885342859</v>
      </c>
      <c r="AH392" s="272">
        <f t="shared" si="151"/>
        <v>94</v>
      </c>
      <c r="AI392" s="272">
        <f t="shared" si="139"/>
        <v>47.833035885342859</v>
      </c>
      <c r="AJ392" s="272">
        <f t="shared" si="152"/>
        <v>94</v>
      </c>
      <c r="AK392" s="272">
        <f t="shared" si="140"/>
        <v>47.833035885342859</v>
      </c>
      <c r="AL392" s="272">
        <f t="shared" si="153"/>
        <v>94</v>
      </c>
      <c r="AM392" s="272">
        <f t="shared" si="141"/>
        <v>47.833035885342859</v>
      </c>
      <c r="AN392" s="272">
        <f t="shared" si="154"/>
        <v>94</v>
      </c>
      <c r="AO392" s="272">
        <f t="shared" si="142"/>
        <v>47.833035885342859</v>
      </c>
      <c r="AP392" s="272">
        <f t="shared" si="155"/>
        <v>94</v>
      </c>
      <c r="AQ392" s="272">
        <f t="shared" si="143"/>
        <v>47.833035885342859</v>
      </c>
      <c r="AR392" s="272">
        <f t="shared" si="156"/>
        <v>94</v>
      </c>
      <c r="AS392" s="508">
        <f t="shared" si="144"/>
        <v>47.833035885342859</v>
      </c>
    </row>
    <row r="393" spans="1:45" ht="12.75" customHeight="1">
      <c r="A393" s="96">
        <f>IF(MAX($F$104:F393)=$G$99,$G$99,F393)</f>
        <v>15.906595441861038</v>
      </c>
      <c r="B393" s="481">
        <v>290</v>
      </c>
      <c r="C393" s="96">
        <f t="shared" si="163"/>
        <v>0.43500000000000033</v>
      </c>
      <c r="D393" s="96">
        <f t="shared" si="157"/>
        <v>117.72173623557158</v>
      </c>
      <c r="E393" s="96">
        <f t="shared" si="158"/>
        <v>8.5213091830688384E-2</v>
      </c>
      <c r="F393" s="96">
        <f t="shared" si="159"/>
        <v>6.031859112635825</v>
      </c>
      <c r="G393" s="96">
        <f t="shared" si="162"/>
        <v>5.7338591126358249</v>
      </c>
      <c r="I393" s="96">
        <f t="shared" si="160"/>
        <v>0</v>
      </c>
      <c r="J393" s="96">
        <f t="shared" si="161"/>
        <v>0.43500000000000033</v>
      </c>
      <c r="X393" s="96">
        <f t="shared" si="145"/>
        <v>49</v>
      </c>
      <c r="Y393" s="96">
        <v>0.40400000000000003</v>
      </c>
      <c r="Z393" s="272">
        <f t="shared" si="147"/>
        <v>49</v>
      </c>
      <c r="AA393" s="519">
        <f t="shared" si="148"/>
        <v>47.072086323572769</v>
      </c>
      <c r="AB393" s="516">
        <f t="shared" si="146"/>
        <v>94</v>
      </c>
      <c r="AC393" s="272">
        <f t="shared" si="136"/>
        <v>48.307802563451958</v>
      </c>
      <c r="AD393" s="272">
        <f t="shared" si="149"/>
        <v>96</v>
      </c>
      <c r="AE393" s="272">
        <f t="shared" si="137"/>
        <v>48.281571947285549</v>
      </c>
      <c r="AF393" s="272">
        <f t="shared" si="150"/>
        <v>96</v>
      </c>
      <c r="AG393" s="272">
        <f t="shared" si="138"/>
        <v>48.281571947285549</v>
      </c>
      <c r="AH393" s="272">
        <f t="shared" si="151"/>
        <v>96</v>
      </c>
      <c r="AI393" s="272">
        <f t="shared" si="139"/>
        <v>48.281571947285549</v>
      </c>
      <c r="AJ393" s="272">
        <f t="shared" si="152"/>
        <v>96</v>
      </c>
      <c r="AK393" s="272">
        <f t="shared" si="140"/>
        <v>48.281571947285549</v>
      </c>
      <c r="AL393" s="272">
        <f t="shared" si="153"/>
        <v>96</v>
      </c>
      <c r="AM393" s="272">
        <f t="shared" si="141"/>
        <v>48.281571947285549</v>
      </c>
      <c r="AN393" s="272">
        <f t="shared" si="154"/>
        <v>96</v>
      </c>
      <c r="AO393" s="272">
        <f t="shared" si="142"/>
        <v>48.281571947285549</v>
      </c>
      <c r="AP393" s="272">
        <f t="shared" si="155"/>
        <v>96</v>
      </c>
      <c r="AQ393" s="272">
        <f t="shared" si="143"/>
        <v>48.281571947285549</v>
      </c>
      <c r="AR393" s="272">
        <f t="shared" si="156"/>
        <v>96</v>
      </c>
      <c r="AS393" s="508">
        <f t="shared" si="144"/>
        <v>48.281571947285549</v>
      </c>
    </row>
    <row r="394" spans="1:45" ht="12.75" customHeight="1">
      <c r="A394" s="96">
        <f>IF(MAX($F$104:F394)=$G$99,$G$99,F394)</f>
        <v>15.906595441861038</v>
      </c>
      <c r="B394" s="481">
        <v>291</v>
      </c>
      <c r="C394" s="96">
        <f t="shared" si="163"/>
        <v>0.43650000000000033</v>
      </c>
      <c r="D394" s="96">
        <f t="shared" si="157"/>
        <v>118.5350100614083</v>
      </c>
      <c r="E394" s="96">
        <f t="shared" si="158"/>
        <v>7.7492077249673774E-2</v>
      </c>
      <c r="F394" s="96">
        <f t="shared" si="159"/>
        <v>5.6090920611738948</v>
      </c>
      <c r="G394" s="96">
        <f t="shared" si="162"/>
        <v>5.3110920611738948</v>
      </c>
      <c r="I394" s="96">
        <f t="shared" si="160"/>
        <v>0</v>
      </c>
      <c r="J394" s="96">
        <f t="shared" si="161"/>
        <v>0.43650000000000033</v>
      </c>
      <c r="X394" s="96">
        <f t="shared" si="145"/>
        <v>49</v>
      </c>
      <c r="Y394" s="96">
        <v>0.40200000000000002</v>
      </c>
      <c r="Z394" s="272">
        <f t="shared" si="147"/>
        <v>49</v>
      </c>
      <c r="AA394" s="519">
        <f t="shared" si="148"/>
        <v>47.541630413778456</v>
      </c>
      <c r="AB394" s="516">
        <f t="shared" si="146"/>
        <v>94</v>
      </c>
      <c r="AC394" s="272">
        <f t="shared" si="136"/>
        <v>48.789672923915091</v>
      </c>
      <c r="AD394" s="272">
        <f t="shared" si="149"/>
        <v>96</v>
      </c>
      <c r="AE394" s="272">
        <f t="shared" si="137"/>
        <v>48.7631806573362</v>
      </c>
      <c r="AF394" s="272">
        <f t="shared" si="150"/>
        <v>96</v>
      </c>
      <c r="AG394" s="272">
        <f t="shared" si="138"/>
        <v>48.7631806573362</v>
      </c>
      <c r="AH394" s="272">
        <f t="shared" si="151"/>
        <v>96</v>
      </c>
      <c r="AI394" s="272">
        <f t="shared" si="139"/>
        <v>48.7631806573362</v>
      </c>
      <c r="AJ394" s="272">
        <f t="shared" si="152"/>
        <v>96</v>
      </c>
      <c r="AK394" s="272">
        <f t="shared" si="140"/>
        <v>48.7631806573362</v>
      </c>
      <c r="AL394" s="272">
        <f t="shared" si="153"/>
        <v>96</v>
      </c>
      <c r="AM394" s="272">
        <f t="shared" si="141"/>
        <v>48.7631806573362</v>
      </c>
      <c r="AN394" s="272">
        <f t="shared" si="154"/>
        <v>96</v>
      </c>
      <c r="AO394" s="272">
        <f t="shared" si="142"/>
        <v>48.7631806573362</v>
      </c>
      <c r="AP394" s="272">
        <f t="shared" si="155"/>
        <v>96</v>
      </c>
      <c r="AQ394" s="272">
        <f t="shared" si="143"/>
        <v>48.7631806573362</v>
      </c>
      <c r="AR394" s="272">
        <f t="shared" si="156"/>
        <v>96</v>
      </c>
      <c r="AS394" s="508">
        <f t="shared" si="144"/>
        <v>48.7631806573362</v>
      </c>
    </row>
    <row r="395" spans="1:45" ht="12.75" customHeight="1">
      <c r="A395" s="96">
        <f>IF(MAX($F$104:F395)=$G$99,$G$99,F395)</f>
        <v>15.906595441861038</v>
      </c>
      <c r="B395" s="96">
        <v>292</v>
      </c>
      <c r="C395" s="96">
        <f t="shared" si="163"/>
        <v>0.43800000000000033</v>
      </c>
      <c r="D395" s="96">
        <f t="shared" si="157"/>
        <v>119.35108345291054</v>
      </c>
      <c r="E395" s="96">
        <f t="shared" si="158"/>
        <v>7.0321696978014325E-2</v>
      </c>
      <c r="F395" s="96">
        <f t="shared" si="159"/>
        <v>5.202707309428134</v>
      </c>
      <c r="G395" s="96">
        <f t="shared" si="162"/>
        <v>4.9047073094281339</v>
      </c>
      <c r="I395" s="96">
        <f t="shared" si="160"/>
        <v>0</v>
      </c>
      <c r="J395" s="96">
        <f t="shared" si="161"/>
        <v>0.43800000000000033</v>
      </c>
      <c r="X395" s="96">
        <f t="shared" si="145"/>
        <v>50</v>
      </c>
      <c r="Y395" s="96">
        <v>0.4</v>
      </c>
      <c r="Z395" s="272">
        <f t="shared" si="147"/>
        <v>50</v>
      </c>
      <c r="AA395" s="519">
        <f t="shared" si="148"/>
        <v>48.018235258676576</v>
      </c>
      <c r="AB395" s="516">
        <f t="shared" si="146"/>
        <v>96</v>
      </c>
      <c r="AC395" s="272">
        <f t="shared" si="136"/>
        <v>49.252031543425986</v>
      </c>
      <c r="AD395" s="272">
        <f t="shared" si="149"/>
        <v>98</v>
      </c>
      <c r="AE395" s="272">
        <f t="shared" si="137"/>
        <v>49.226385970078368</v>
      </c>
      <c r="AF395" s="272">
        <f t="shared" si="150"/>
        <v>98</v>
      </c>
      <c r="AG395" s="272">
        <f t="shared" si="138"/>
        <v>49.226385970078368</v>
      </c>
      <c r="AH395" s="272">
        <f t="shared" si="151"/>
        <v>98</v>
      </c>
      <c r="AI395" s="272">
        <f t="shared" si="139"/>
        <v>49.226385970078368</v>
      </c>
      <c r="AJ395" s="272">
        <f t="shared" si="152"/>
        <v>98</v>
      </c>
      <c r="AK395" s="272">
        <f t="shared" si="140"/>
        <v>49.226385970078368</v>
      </c>
      <c r="AL395" s="272">
        <f t="shared" si="153"/>
        <v>98</v>
      </c>
      <c r="AM395" s="272">
        <f t="shared" si="141"/>
        <v>49.226385970078368</v>
      </c>
      <c r="AN395" s="272">
        <f t="shared" si="154"/>
        <v>98</v>
      </c>
      <c r="AO395" s="272">
        <f t="shared" si="142"/>
        <v>49.226385970078368</v>
      </c>
      <c r="AP395" s="272">
        <f t="shared" si="155"/>
        <v>98</v>
      </c>
      <c r="AQ395" s="272">
        <f t="shared" si="143"/>
        <v>49.226385970078368</v>
      </c>
      <c r="AR395" s="272">
        <f t="shared" si="156"/>
        <v>98</v>
      </c>
      <c r="AS395" s="508">
        <f t="shared" si="144"/>
        <v>49.226385970078368</v>
      </c>
    </row>
    <row r="396" spans="1:45" ht="12.75" customHeight="1">
      <c r="A396" s="96">
        <f>IF(MAX($F$104:F396)=$G$99,$G$99,F396)</f>
        <v>15.906595441861038</v>
      </c>
      <c r="B396" s="481">
        <v>293</v>
      </c>
      <c r="C396" s="96">
        <f t="shared" si="163"/>
        <v>0.43950000000000033</v>
      </c>
      <c r="D396" s="96">
        <f t="shared" si="157"/>
        <v>120.1699564100783</v>
      </c>
      <c r="E396" s="96">
        <f t="shared" si="158"/>
        <v>6.3679579968006161E-2</v>
      </c>
      <c r="F396" s="96">
        <f t="shared" si="159"/>
        <v>4.8135452955979892</v>
      </c>
      <c r="G396" s="96">
        <f t="shared" si="162"/>
        <v>4.5155452955979891</v>
      </c>
      <c r="I396" s="96">
        <f t="shared" si="160"/>
        <v>0</v>
      </c>
      <c r="J396" s="96">
        <f t="shared" si="161"/>
        <v>0.43950000000000033</v>
      </c>
      <c r="X396" s="96">
        <f t="shared" si="145"/>
        <v>50</v>
      </c>
      <c r="Y396" s="96">
        <v>0.39800000000000002</v>
      </c>
      <c r="Z396" s="272">
        <f t="shared" si="147"/>
        <v>50</v>
      </c>
      <c r="AA396" s="519">
        <f t="shared" si="148"/>
        <v>48.502043138987993</v>
      </c>
      <c r="AB396" s="516">
        <f t="shared" si="146"/>
        <v>96</v>
      </c>
      <c r="AC396" s="272">
        <f t="shared" si="136"/>
        <v>49.748270542083269</v>
      </c>
      <c r="AD396" s="272">
        <f t="shared" si="149"/>
        <v>98</v>
      </c>
      <c r="AE396" s="272">
        <f t="shared" si="137"/>
        <v>49.722366576680756</v>
      </c>
      <c r="AF396" s="272">
        <f t="shared" si="150"/>
        <v>98</v>
      </c>
      <c r="AG396" s="272">
        <f t="shared" si="138"/>
        <v>49.722366576680756</v>
      </c>
      <c r="AH396" s="272">
        <f t="shared" si="151"/>
        <v>98</v>
      </c>
      <c r="AI396" s="272">
        <f t="shared" si="139"/>
        <v>49.722366576680756</v>
      </c>
      <c r="AJ396" s="272">
        <f t="shared" si="152"/>
        <v>98</v>
      </c>
      <c r="AK396" s="272">
        <f t="shared" si="140"/>
        <v>49.722366576680756</v>
      </c>
      <c r="AL396" s="272">
        <f t="shared" si="153"/>
        <v>98</v>
      </c>
      <c r="AM396" s="272">
        <f t="shared" si="141"/>
        <v>49.722366576680756</v>
      </c>
      <c r="AN396" s="272">
        <f t="shared" si="154"/>
        <v>98</v>
      </c>
      <c r="AO396" s="272">
        <f t="shared" si="142"/>
        <v>49.722366576680756</v>
      </c>
      <c r="AP396" s="272">
        <f t="shared" si="155"/>
        <v>98</v>
      </c>
      <c r="AQ396" s="272">
        <f t="shared" si="143"/>
        <v>49.722366576680756</v>
      </c>
      <c r="AR396" s="272">
        <f t="shared" si="156"/>
        <v>98</v>
      </c>
      <c r="AS396" s="508">
        <f t="shared" si="144"/>
        <v>49.722366576680756</v>
      </c>
    </row>
    <row r="397" spans="1:45" ht="12.75" customHeight="1">
      <c r="A397" s="96">
        <f>IF(MAX($F$104:F397)=$G$99,$G$99,F397)</f>
        <v>15.906595441861038</v>
      </c>
      <c r="B397" s="481">
        <v>294</v>
      </c>
      <c r="C397" s="96">
        <f t="shared" si="163"/>
        <v>0.44100000000000034</v>
      </c>
      <c r="D397" s="96">
        <f t="shared" si="157"/>
        <v>120.99162893291161</v>
      </c>
      <c r="E397" s="96">
        <f t="shared" si="158"/>
        <v>5.7542373184391343E-2</v>
      </c>
      <c r="F397" s="96">
        <f t="shared" si="159"/>
        <v>4.4422483524597638</v>
      </c>
      <c r="G397" s="96">
        <f t="shared" si="162"/>
        <v>4.1442483524597638</v>
      </c>
      <c r="I397" s="96">
        <f t="shared" si="160"/>
        <v>0</v>
      </c>
      <c r="J397" s="96">
        <f t="shared" si="161"/>
        <v>0.44100000000000034</v>
      </c>
      <c r="X397" s="96">
        <f t="shared" si="145"/>
        <v>51</v>
      </c>
      <c r="Y397" s="96">
        <v>0.39600000000000002</v>
      </c>
      <c r="Z397" s="272">
        <f t="shared" si="147"/>
        <v>51</v>
      </c>
      <c r="AA397" s="519">
        <f t="shared" si="148"/>
        <v>48.993199937431463</v>
      </c>
      <c r="AB397" s="516">
        <f t="shared" si="146"/>
        <v>96</v>
      </c>
      <c r="AC397" s="272">
        <f t="shared" si="136"/>
        <v>50.252047284385263</v>
      </c>
      <c r="AD397" s="272">
        <f t="shared" si="149"/>
        <v>98</v>
      </c>
      <c r="AE397" s="272">
        <f t="shared" si="137"/>
        <v>50.225881002018539</v>
      </c>
      <c r="AF397" s="272">
        <f t="shared" si="150"/>
        <v>100</v>
      </c>
      <c r="AG397" s="272">
        <f t="shared" si="138"/>
        <v>50.200780265664605</v>
      </c>
      <c r="AH397" s="272">
        <f t="shared" si="151"/>
        <v>100</v>
      </c>
      <c r="AI397" s="272">
        <f t="shared" si="139"/>
        <v>50.200780265664605</v>
      </c>
      <c r="AJ397" s="272">
        <f t="shared" si="152"/>
        <v>100</v>
      </c>
      <c r="AK397" s="272">
        <f t="shared" si="140"/>
        <v>50.200780265664605</v>
      </c>
      <c r="AL397" s="272">
        <f t="shared" si="153"/>
        <v>100</v>
      </c>
      <c r="AM397" s="272">
        <f t="shared" si="141"/>
        <v>50.200780265664605</v>
      </c>
      <c r="AN397" s="272">
        <f t="shared" si="154"/>
        <v>100</v>
      </c>
      <c r="AO397" s="272">
        <f t="shared" si="142"/>
        <v>50.200780265664605</v>
      </c>
      <c r="AP397" s="272">
        <f t="shared" si="155"/>
        <v>100</v>
      </c>
      <c r="AQ397" s="272">
        <f t="shared" si="143"/>
        <v>50.200780265664605</v>
      </c>
      <c r="AR397" s="272">
        <f t="shared" si="156"/>
        <v>100</v>
      </c>
      <c r="AS397" s="508">
        <f t="shared" si="144"/>
        <v>50.200780265664605</v>
      </c>
    </row>
    <row r="398" spans="1:45" ht="12.75" customHeight="1">
      <c r="A398" s="96">
        <f>IF(MAX($F$104:F398)=$G$99,$G$99,F398)</f>
        <v>15.906595441861038</v>
      </c>
      <c r="B398" s="96">
        <v>295</v>
      </c>
      <c r="C398" s="96">
        <f t="shared" si="163"/>
        <v>0.44250000000000034</v>
      </c>
      <c r="D398" s="96">
        <f t="shared" si="157"/>
        <v>121.81610102141043</v>
      </c>
      <c r="E398" s="96">
        <f t="shared" si="158"/>
        <v>5.1886000271210327E-2</v>
      </c>
      <c r="F398" s="96">
        <f t="shared" si="159"/>
        <v>4.0892744486993893</v>
      </c>
      <c r="G398" s="96">
        <f t="shared" si="162"/>
        <v>3.7912744486993892</v>
      </c>
      <c r="I398" s="96">
        <f t="shared" si="160"/>
        <v>0</v>
      </c>
      <c r="J398" s="96">
        <f t="shared" si="161"/>
        <v>0.44250000000000034</v>
      </c>
      <c r="X398" s="96">
        <f t="shared" si="145"/>
        <v>51</v>
      </c>
      <c r="Y398" s="96">
        <v>0.39400000000000002</v>
      </c>
      <c r="Z398" s="272">
        <f t="shared" si="147"/>
        <v>51</v>
      </c>
      <c r="AA398" s="519">
        <f t="shared" si="148"/>
        <v>49.491855248706834</v>
      </c>
      <c r="AB398" s="516">
        <f t="shared" si="146"/>
        <v>98</v>
      </c>
      <c r="AC398" s="272">
        <f t="shared" si="136"/>
        <v>50.737082604631269</v>
      </c>
      <c r="AD398" s="272">
        <f t="shared" si="149"/>
        <v>100</v>
      </c>
      <c r="AE398" s="272">
        <f t="shared" si="137"/>
        <v>50.711726391690469</v>
      </c>
      <c r="AF398" s="272">
        <f t="shared" si="150"/>
        <v>100</v>
      </c>
      <c r="AG398" s="272">
        <f t="shared" si="138"/>
        <v>50.711726391690469</v>
      </c>
      <c r="AH398" s="272">
        <f t="shared" si="151"/>
        <v>100</v>
      </c>
      <c r="AI398" s="272">
        <f t="shared" si="139"/>
        <v>50.711726391690469</v>
      </c>
      <c r="AJ398" s="272">
        <f t="shared" si="152"/>
        <v>100</v>
      </c>
      <c r="AK398" s="272">
        <f t="shared" si="140"/>
        <v>50.711726391690469</v>
      </c>
      <c r="AL398" s="272">
        <f t="shared" si="153"/>
        <v>100</v>
      </c>
      <c r="AM398" s="272">
        <f t="shared" si="141"/>
        <v>50.711726391690469</v>
      </c>
      <c r="AN398" s="272">
        <f t="shared" si="154"/>
        <v>100</v>
      </c>
      <c r="AO398" s="272">
        <f t="shared" si="142"/>
        <v>50.711726391690469</v>
      </c>
      <c r="AP398" s="272">
        <f t="shared" si="155"/>
        <v>100</v>
      </c>
      <c r="AQ398" s="272">
        <f t="shared" si="143"/>
        <v>50.711726391690469</v>
      </c>
      <c r="AR398" s="272">
        <f t="shared" si="156"/>
        <v>100</v>
      </c>
      <c r="AS398" s="508">
        <f t="shared" si="144"/>
        <v>50.711726391690469</v>
      </c>
    </row>
    <row r="399" spans="1:45" ht="12.75" customHeight="1">
      <c r="A399" s="96">
        <f>IF(MAX($F$104:F399)=$G$99,$G$99,F399)</f>
        <v>15.906595441861038</v>
      </c>
      <c r="B399" s="481">
        <v>296</v>
      </c>
      <c r="C399" s="96">
        <f t="shared" si="163"/>
        <v>0.44400000000000034</v>
      </c>
      <c r="D399" s="96">
        <f t="shared" si="157"/>
        <v>122.64337267557481</v>
      </c>
      <c r="E399" s="96">
        <f t="shared" si="158"/>
        <v>4.6685892347136326E-2</v>
      </c>
      <c r="F399" s="96">
        <f t="shared" si="159"/>
        <v>3.7549020571890837</v>
      </c>
      <c r="G399" s="96">
        <f t="shared" si="162"/>
        <v>3.4569020571890836</v>
      </c>
      <c r="I399" s="96">
        <f t="shared" si="160"/>
        <v>0</v>
      </c>
      <c r="J399" s="96">
        <f t="shared" si="161"/>
        <v>0.44400000000000034</v>
      </c>
      <c r="X399" s="96">
        <f t="shared" si="145"/>
        <v>52</v>
      </c>
      <c r="Y399" s="96">
        <v>0.39200000000000002</v>
      </c>
      <c r="Z399" s="272">
        <f t="shared" si="147"/>
        <v>52</v>
      </c>
      <c r="AA399" s="519">
        <f t="shared" si="148"/>
        <v>49.998162493415848</v>
      </c>
      <c r="AB399" s="516">
        <f t="shared" si="146"/>
        <v>98</v>
      </c>
      <c r="AC399" s="272">
        <f t="shared" si="136"/>
        <v>51.256128665221127</v>
      </c>
      <c r="AD399" s="272">
        <f t="shared" si="149"/>
        <v>100</v>
      </c>
      <c r="AE399" s="272">
        <f t="shared" si="137"/>
        <v>51.230513055370558</v>
      </c>
      <c r="AF399" s="272">
        <f t="shared" si="150"/>
        <v>102</v>
      </c>
      <c r="AG399" s="272">
        <f t="shared" si="138"/>
        <v>51.205919755997456</v>
      </c>
      <c r="AH399" s="272">
        <f t="shared" si="151"/>
        <v>102</v>
      </c>
      <c r="AI399" s="272">
        <f t="shared" si="139"/>
        <v>51.205919755997456</v>
      </c>
      <c r="AJ399" s="272">
        <f t="shared" si="152"/>
        <v>102</v>
      </c>
      <c r="AK399" s="272">
        <f t="shared" si="140"/>
        <v>51.205919755997456</v>
      </c>
      <c r="AL399" s="272">
        <f t="shared" si="153"/>
        <v>102</v>
      </c>
      <c r="AM399" s="272">
        <f t="shared" si="141"/>
        <v>51.205919755997456</v>
      </c>
      <c r="AN399" s="272">
        <f t="shared" si="154"/>
        <v>102</v>
      </c>
      <c r="AO399" s="272">
        <f t="shared" si="142"/>
        <v>51.205919755997456</v>
      </c>
      <c r="AP399" s="272">
        <f t="shared" si="155"/>
        <v>102</v>
      </c>
      <c r="AQ399" s="272">
        <f t="shared" si="143"/>
        <v>51.205919755997456</v>
      </c>
      <c r="AR399" s="272">
        <f t="shared" si="156"/>
        <v>102</v>
      </c>
      <c r="AS399" s="508">
        <f t="shared" si="144"/>
        <v>51.205919755997456</v>
      </c>
    </row>
    <row r="400" spans="1:45" ht="12.75" customHeight="1">
      <c r="A400" s="96">
        <f>IF(MAX($F$104:F400)=$G$99,$G$99,F400)</f>
        <v>15.906595441861038</v>
      </c>
      <c r="B400" s="481">
        <v>297</v>
      </c>
      <c r="C400" s="96">
        <f t="shared" si="163"/>
        <v>0.44550000000000034</v>
      </c>
      <c r="D400" s="96">
        <f t="shared" si="157"/>
        <v>123.47344389540469</v>
      </c>
      <c r="E400" s="96">
        <f t="shared" si="158"/>
        <v>4.1917233747699484E-2</v>
      </c>
      <c r="F400" s="96">
        <f t="shared" si="159"/>
        <v>3.4392432641445141</v>
      </c>
      <c r="G400" s="96">
        <f t="shared" si="162"/>
        <v>3.141243264144514</v>
      </c>
      <c r="I400" s="96">
        <f t="shared" si="160"/>
        <v>0</v>
      </c>
      <c r="J400" s="96">
        <f t="shared" si="161"/>
        <v>0.44550000000000034</v>
      </c>
      <c r="X400" s="96">
        <f t="shared" si="145"/>
        <v>52</v>
      </c>
      <c r="Y400" s="96">
        <v>0.39</v>
      </c>
      <c r="Z400" s="272">
        <f t="shared" si="147"/>
        <v>52</v>
      </c>
      <c r="AA400" s="519">
        <f t="shared" si="148"/>
        <v>50.512279036083193</v>
      </c>
      <c r="AB400" s="516">
        <f t="shared" si="146"/>
        <v>100</v>
      </c>
      <c r="AC400" s="272">
        <f t="shared" si="136"/>
        <v>51.757301499937299</v>
      </c>
      <c r="AD400" s="272">
        <f t="shared" si="149"/>
        <v>102</v>
      </c>
      <c r="AE400" s="272">
        <f t="shared" si="137"/>
        <v>51.732455314829664</v>
      </c>
      <c r="AF400" s="272">
        <f t="shared" si="150"/>
        <v>102</v>
      </c>
      <c r="AG400" s="272">
        <f t="shared" si="138"/>
        <v>51.732455314829664</v>
      </c>
      <c r="AH400" s="272">
        <f t="shared" si="151"/>
        <v>102</v>
      </c>
      <c r="AI400" s="272">
        <f t="shared" si="139"/>
        <v>51.732455314829664</v>
      </c>
      <c r="AJ400" s="272">
        <f t="shared" si="152"/>
        <v>102</v>
      </c>
      <c r="AK400" s="272">
        <f t="shared" si="140"/>
        <v>51.732455314829664</v>
      </c>
      <c r="AL400" s="272">
        <f t="shared" si="153"/>
        <v>102</v>
      </c>
      <c r="AM400" s="272">
        <f t="shared" si="141"/>
        <v>51.732455314829664</v>
      </c>
      <c r="AN400" s="272">
        <f t="shared" si="154"/>
        <v>102</v>
      </c>
      <c r="AO400" s="272">
        <f t="shared" si="142"/>
        <v>51.732455314829664</v>
      </c>
      <c r="AP400" s="272">
        <f t="shared" si="155"/>
        <v>102</v>
      </c>
      <c r="AQ400" s="272">
        <f t="shared" si="143"/>
        <v>51.732455314829664</v>
      </c>
      <c r="AR400" s="272">
        <f t="shared" si="156"/>
        <v>102</v>
      </c>
      <c r="AS400" s="508">
        <f t="shared" si="144"/>
        <v>51.732455314829664</v>
      </c>
    </row>
    <row r="401" spans="1:45" ht="12.75" customHeight="1">
      <c r="A401" s="96">
        <f>IF(MAX($F$104:F401)=$G$99,$G$99,F401)</f>
        <v>15.906595441861038</v>
      </c>
      <c r="B401" s="96">
        <v>298</v>
      </c>
      <c r="C401" s="96">
        <f t="shared" si="163"/>
        <v>0.44700000000000034</v>
      </c>
      <c r="D401" s="96">
        <f t="shared" si="157"/>
        <v>124.3063146809001</v>
      </c>
      <c r="E401" s="96">
        <f t="shared" si="158"/>
        <v>3.755515801754912E-2</v>
      </c>
      <c r="F401" s="96">
        <f t="shared" si="159"/>
        <v>3.142262662076464</v>
      </c>
      <c r="G401" s="96">
        <f t="shared" si="162"/>
        <v>2.8442626620764639</v>
      </c>
      <c r="I401" s="96">
        <f t="shared" si="160"/>
        <v>0</v>
      </c>
      <c r="J401" s="96">
        <f t="shared" si="161"/>
        <v>0.44700000000000034</v>
      </c>
      <c r="X401" s="96">
        <f t="shared" si="145"/>
        <v>53</v>
      </c>
      <c r="Y401" s="96">
        <v>0.38800000000000001</v>
      </c>
      <c r="Z401" s="272">
        <f t="shared" si="147"/>
        <v>53</v>
      </c>
      <c r="AA401" s="519">
        <f t="shared" si="148"/>
        <v>51.034366307446682</v>
      </c>
      <c r="AB401" s="516">
        <f t="shared" si="146"/>
        <v>102</v>
      </c>
      <c r="AC401" s="272">
        <f t="shared" ref="AC401:AC464" si="164">MAX(2*(TINV(1-$C$80/100,AB401)/$Y401)^2,$C$79)</f>
        <v>52.267154143543365</v>
      </c>
      <c r="AD401" s="272">
        <f t="shared" si="149"/>
        <v>104</v>
      </c>
      <c r="AE401" s="272">
        <f t="shared" ref="AE401:AE464" si="165">MAX(2*(TINV(1-$C$80/100,AD401)/$Y401)^2,$C$79)</f>
        <v>52.243033407242066</v>
      </c>
      <c r="AF401" s="272">
        <f t="shared" si="150"/>
        <v>104</v>
      </c>
      <c r="AG401" s="272">
        <f t="shared" ref="AG401:AG464" si="166">MAX(2*(TINV(1-$C$80/100,AF401)/$Y401)^2,$C$79)</f>
        <v>52.243033407242066</v>
      </c>
      <c r="AH401" s="272">
        <f t="shared" si="151"/>
        <v>104</v>
      </c>
      <c r="AI401" s="272">
        <f t="shared" ref="AI401:AI464" si="167">MAX(2*(TINV(1-$C$80/100,AH401)/$Y401)^2,$C$79)</f>
        <v>52.243033407242066</v>
      </c>
      <c r="AJ401" s="272">
        <f t="shared" si="152"/>
        <v>104</v>
      </c>
      <c r="AK401" s="272">
        <f t="shared" ref="AK401:AK464" si="168">MAX(2*(TINV(1-$C$80/100,AJ401)/$Y401)^2,$C$79)</f>
        <v>52.243033407242066</v>
      </c>
      <c r="AL401" s="272">
        <f t="shared" si="153"/>
        <v>104</v>
      </c>
      <c r="AM401" s="272">
        <f t="shared" ref="AM401:AM464" si="169">MAX(2*(TINV(1-$C$80/100,AL401)/$Y401)^2,$C$79)</f>
        <v>52.243033407242066</v>
      </c>
      <c r="AN401" s="272">
        <f t="shared" si="154"/>
        <v>104</v>
      </c>
      <c r="AO401" s="272">
        <f t="shared" ref="AO401:AO464" si="170">MAX(2*(TINV(1-$C$80/100,AN401)/$Y401)^2,$C$79)</f>
        <v>52.243033407242066</v>
      </c>
      <c r="AP401" s="272">
        <f t="shared" si="155"/>
        <v>104</v>
      </c>
      <c r="AQ401" s="272">
        <f t="shared" ref="AQ401:AQ464" si="171">MAX(2*(TINV(1-$C$80/100,AP401)/$Y401)^2,$C$79)</f>
        <v>52.243033407242066</v>
      </c>
      <c r="AR401" s="272">
        <f t="shared" si="156"/>
        <v>104</v>
      </c>
      <c r="AS401" s="508">
        <f t="shared" ref="AS401:AS464" si="172">MAX(2*(TINV(1-$C$80/100,AR401)/$Y401)^2,$C$79)</f>
        <v>52.243033407242066</v>
      </c>
    </row>
    <row r="402" spans="1:45" ht="12.75" customHeight="1">
      <c r="A402" s="96">
        <f>IF(MAX($F$104:F402)=$G$99,$G$99,F402)</f>
        <v>15.906595441861038</v>
      </c>
      <c r="B402" s="481">
        <v>299</v>
      </c>
      <c r="C402" s="96">
        <f t="shared" si="163"/>
        <v>0.44850000000000034</v>
      </c>
      <c r="D402" s="96">
        <f t="shared" si="157"/>
        <v>125.14198503206107</v>
      </c>
      <c r="E402" s="96">
        <f t="shared" si="158"/>
        <v>3.3574943494399136E-2</v>
      </c>
      <c r="F402" s="96">
        <f t="shared" si="159"/>
        <v>2.8637860823942032</v>
      </c>
      <c r="G402" s="96">
        <f t="shared" si="162"/>
        <v>2.5657860823942031</v>
      </c>
      <c r="I402" s="96">
        <f t="shared" si="160"/>
        <v>0</v>
      </c>
      <c r="J402" s="96">
        <f t="shared" si="161"/>
        <v>0.44850000000000034</v>
      </c>
      <c r="X402" s="96">
        <f t="shared" ref="X402:X465" si="173">Z402</f>
        <v>53</v>
      </c>
      <c r="Y402" s="96">
        <v>0.38600000000000001</v>
      </c>
      <c r="Z402" s="272">
        <f t="shared" si="147"/>
        <v>53</v>
      </c>
      <c r="AA402" s="519">
        <f t="shared" si="148"/>
        <v>51.564589931194483</v>
      </c>
      <c r="AB402" s="516">
        <f t="shared" ref="AB402:AB465" si="174">2*ROUNDUP(AA402,0)-2</f>
        <v>102</v>
      </c>
      <c r="AC402" s="272">
        <f t="shared" si="164"/>
        <v>52.810185866637987</v>
      </c>
      <c r="AD402" s="272">
        <f t="shared" si="149"/>
        <v>104</v>
      </c>
      <c r="AE402" s="272">
        <f t="shared" si="165"/>
        <v>52.785814526966156</v>
      </c>
      <c r="AF402" s="272">
        <f t="shared" si="150"/>
        <v>104</v>
      </c>
      <c r="AG402" s="272">
        <f t="shared" si="166"/>
        <v>52.785814526966156</v>
      </c>
      <c r="AH402" s="272">
        <f t="shared" si="151"/>
        <v>104</v>
      </c>
      <c r="AI402" s="272">
        <f t="shared" si="167"/>
        <v>52.785814526966156</v>
      </c>
      <c r="AJ402" s="272">
        <f t="shared" si="152"/>
        <v>104</v>
      </c>
      <c r="AK402" s="272">
        <f t="shared" si="168"/>
        <v>52.785814526966156</v>
      </c>
      <c r="AL402" s="272">
        <f t="shared" si="153"/>
        <v>104</v>
      </c>
      <c r="AM402" s="272">
        <f t="shared" si="169"/>
        <v>52.785814526966156</v>
      </c>
      <c r="AN402" s="272">
        <f t="shared" si="154"/>
        <v>104</v>
      </c>
      <c r="AO402" s="272">
        <f t="shared" si="170"/>
        <v>52.785814526966156</v>
      </c>
      <c r="AP402" s="272">
        <f t="shared" si="155"/>
        <v>104</v>
      </c>
      <c r="AQ402" s="272">
        <f t="shared" si="171"/>
        <v>52.785814526966156</v>
      </c>
      <c r="AR402" s="272">
        <f t="shared" si="156"/>
        <v>104</v>
      </c>
      <c r="AS402" s="508">
        <f t="shared" si="172"/>
        <v>52.785814526966156</v>
      </c>
    </row>
    <row r="403" spans="1:45" ht="12.75" customHeight="1">
      <c r="A403" s="96">
        <f>IF(MAX($F$104:F403)=$G$99,$G$99,F403)</f>
        <v>15.906595441861038</v>
      </c>
      <c r="B403" s="481">
        <v>300</v>
      </c>
      <c r="C403" s="96">
        <f t="shared" si="163"/>
        <v>0.45000000000000034</v>
      </c>
      <c r="D403" s="96">
        <f t="shared" si="157"/>
        <v>125.98045494888756</v>
      </c>
      <c r="E403" s="96">
        <f t="shared" si="158"/>
        <v>2.9952186117387519E-2</v>
      </c>
      <c r="F403" s="96">
        <f t="shared" si="159"/>
        <v>2.6035169999368701</v>
      </c>
      <c r="G403" s="96">
        <f t="shared" si="162"/>
        <v>2.3055169999368701</v>
      </c>
      <c r="I403" s="96">
        <f t="shared" si="160"/>
        <v>0</v>
      </c>
      <c r="J403" s="96">
        <f t="shared" si="161"/>
        <v>0.45000000000000034</v>
      </c>
      <c r="X403" s="96">
        <f t="shared" si="173"/>
        <v>54</v>
      </c>
      <c r="Y403" s="96">
        <v>0.38400000000000001</v>
      </c>
      <c r="Z403" s="272">
        <f t="shared" ref="Z403:Z466" si="175">(2+MAX(AP403,AR403))/2</f>
        <v>54</v>
      </c>
      <c r="AA403" s="519">
        <f t="shared" ref="AA403:AA466" si="176">MAX(2*($C$83/Y403)^2,$C$79)</f>
        <v>52.103119855334825</v>
      </c>
      <c r="AB403" s="516">
        <f t="shared" si="174"/>
        <v>104</v>
      </c>
      <c r="AC403" s="272">
        <f t="shared" si="164"/>
        <v>53.337098668483144</v>
      </c>
      <c r="AD403" s="272">
        <f t="shared" ref="AD403:AD466" si="177">MAX(MIN(2*ROUNDUP(AC403,0)-2,AB403+2),AB403-2)</f>
        <v>106</v>
      </c>
      <c r="AE403" s="272">
        <f t="shared" si="165"/>
        <v>53.31341789860339</v>
      </c>
      <c r="AF403" s="272">
        <f t="shared" ref="AF403:AF466" si="178">MAX(MIN(2*ROUNDUP(AE403,0)-2,AD403+2),AD403-2)</f>
        <v>106</v>
      </c>
      <c r="AG403" s="272">
        <f t="shared" si="166"/>
        <v>53.31341789860339</v>
      </c>
      <c r="AH403" s="272">
        <f t="shared" ref="AH403:AH466" si="179">MAX(MIN(2*ROUNDUP(AG403,0)-2,AF403+2),AF403-2)</f>
        <v>106</v>
      </c>
      <c r="AI403" s="272">
        <f t="shared" si="167"/>
        <v>53.31341789860339</v>
      </c>
      <c r="AJ403" s="272">
        <f t="shared" ref="AJ403:AJ466" si="180">MAX(MIN(2*ROUNDUP(AI403,0)-2,AH403+2),AH403-2)</f>
        <v>106</v>
      </c>
      <c r="AK403" s="272">
        <f t="shared" si="168"/>
        <v>53.31341789860339</v>
      </c>
      <c r="AL403" s="272">
        <f t="shared" ref="AL403:AL466" si="181">MAX(MIN(2*ROUNDUP(AK403,0)-2,AJ403+2),AJ403-2)</f>
        <v>106</v>
      </c>
      <c r="AM403" s="272">
        <f t="shared" si="169"/>
        <v>53.31341789860339</v>
      </c>
      <c r="AN403" s="272">
        <f t="shared" ref="AN403:AN466" si="182">MAX(MIN(2*ROUNDUP(AM403,0)-2,AL403+2),AL403-2)</f>
        <v>106</v>
      </c>
      <c r="AO403" s="272">
        <f t="shared" si="170"/>
        <v>53.31341789860339</v>
      </c>
      <c r="AP403" s="272">
        <f t="shared" ref="AP403:AP466" si="183">MAX(MIN(2*ROUNDUP(AO403,0)-2,AN403+2),AN403-2)</f>
        <v>106</v>
      </c>
      <c r="AQ403" s="272">
        <f t="shared" si="171"/>
        <v>53.31341789860339</v>
      </c>
      <c r="AR403" s="272">
        <f t="shared" ref="AR403:AR466" si="184">MAX(MIN(2*ROUNDUP(AQ403,0)-2,AP403+2),AP403-2)</f>
        <v>106</v>
      </c>
      <c r="AS403" s="508">
        <f t="shared" si="172"/>
        <v>53.31341789860339</v>
      </c>
    </row>
    <row r="404" spans="1:45" ht="12.75" customHeight="1">
      <c r="A404" s="96">
        <f>IF(MAX($F$104:F404)=$G$99,$G$99,F404)</f>
        <v>15.906595441861038</v>
      </c>
      <c r="B404" s="96">
        <v>301</v>
      </c>
      <c r="C404" s="96">
        <f t="shared" si="163"/>
        <v>0.45150000000000035</v>
      </c>
      <c r="D404" s="96">
        <f t="shared" si="157"/>
        <v>126.82172443137958</v>
      </c>
      <c r="E404" s="96">
        <f t="shared" si="158"/>
        <v>2.6662951459168506E-2</v>
      </c>
      <c r="F404" s="96">
        <f t="shared" si="159"/>
        <v>2.3610486399312474</v>
      </c>
      <c r="G404" s="96">
        <f t="shared" si="162"/>
        <v>2.0630486399312473</v>
      </c>
      <c r="I404" s="96">
        <f t="shared" si="160"/>
        <v>0</v>
      </c>
      <c r="J404" s="96">
        <f t="shared" si="161"/>
        <v>0.45150000000000035</v>
      </c>
      <c r="X404" s="96">
        <f t="shared" si="173"/>
        <v>54</v>
      </c>
      <c r="Y404" s="96">
        <v>0.38200000000000001</v>
      </c>
      <c r="Z404" s="272">
        <f t="shared" si="175"/>
        <v>54</v>
      </c>
      <c r="AA404" s="519">
        <f t="shared" si="176"/>
        <v>52.650130488392961</v>
      </c>
      <c r="AB404" s="516">
        <f t="shared" si="174"/>
        <v>104</v>
      </c>
      <c r="AC404" s="272">
        <f t="shared" si="164"/>
        <v>53.897064370904367</v>
      </c>
      <c r="AD404" s="272">
        <f t="shared" si="177"/>
        <v>106</v>
      </c>
      <c r="AE404" s="272">
        <f t="shared" si="165"/>
        <v>53.873134985721762</v>
      </c>
      <c r="AF404" s="272">
        <f t="shared" si="178"/>
        <v>106</v>
      </c>
      <c r="AG404" s="272">
        <f t="shared" si="166"/>
        <v>53.873134985721762</v>
      </c>
      <c r="AH404" s="272">
        <f t="shared" si="179"/>
        <v>106</v>
      </c>
      <c r="AI404" s="272">
        <f t="shared" si="167"/>
        <v>53.873134985721762</v>
      </c>
      <c r="AJ404" s="272">
        <f t="shared" si="180"/>
        <v>106</v>
      </c>
      <c r="AK404" s="272">
        <f t="shared" si="168"/>
        <v>53.873134985721762</v>
      </c>
      <c r="AL404" s="272">
        <f t="shared" si="181"/>
        <v>106</v>
      </c>
      <c r="AM404" s="272">
        <f t="shared" si="169"/>
        <v>53.873134985721762</v>
      </c>
      <c r="AN404" s="272">
        <f t="shared" si="182"/>
        <v>106</v>
      </c>
      <c r="AO404" s="272">
        <f t="shared" si="170"/>
        <v>53.873134985721762</v>
      </c>
      <c r="AP404" s="272">
        <f t="shared" si="183"/>
        <v>106</v>
      </c>
      <c r="AQ404" s="272">
        <f t="shared" si="171"/>
        <v>53.873134985721762</v>
      </c>
      <c r="AR404" s="272">
        <f t="shared" si="184"/>
        <v>106</v>
      </c>
      <c r="AS404" s="508">
        <f t="shared" si="172"/>
        <v>53.873134985721762</v>
      </c>
    </row>
    <row r="405" spans="1:45" ht="12.75" customHeight="1">
      <c r="A405" s="96">
        <f>IF(MAX($F$104:F405)=$G$99,$G$99,F405)</f>
        <v>15.906595441861038</v>
      </c>
      <c r="B405" s="481">
        <v>302</v>
      </c>
      <c r="C405" s="96">
        <f t="shared" si="163"/>
        <v>0.45300000000000035</v>
      </c>
      <c r="D405" s="96">
        <f t="shared" si="157"/>
        <v>127.66579347953711</v>
      </c>
      <c r="E405" s="96">
        <f t="shared" si="158"/>
        <v>2.368391539190633E-2</v>
      </c>
      <c r="F405" s="96">
        <f t="shared" si="159"/>
        <v>2.1358818598349796</v>
      </c>
      <c r="G405" s="96">
        <f t="shared" si="162"/>
        <v>1.8378818598349795</v>
      </c>
      <c r="I405" s="96">
        <f t="shared" si="160"/>
        <v>0</v>
      </c>
      <c r="J405" s="96">
        <f t="shared" si="161"/>
        <v>0.45300000000000035</v>
      </c>
      <c r="X405" s="96">
        <f t="shared" si="173"/>
        <v>55</v>
      </c>
      <c r="Y405" s="96">
        <v>0.38</v>
      </c>
      <c r="Z405" s="272">
        <f t="shared" si="175"/>
        <v>55</v>
      </c>
      <c r="AA405" s="519">
        <f t="shared" si="176"/>
        <v>53.205800840638886</v>
      </c>
      <c r="AB405" s="516">
        <f t="shared" si="174"/>
        <v>106</v>
      </c>
      <c r="AC405" s="272">
        <f t="shared" si="164"/>
        <v>54.441712947759427</v>
      </c>
      <c r="AD405" s="272">
        <f t="shared" si="177"/>
        <v>108</v>
      </c>
      <c r="AE405" s="272">
        <f t="shared" si="165"/>
        <v>54.418441602840517</v>
      </c>
      <c r="AF405" s="272">
        <f t="shared" si="178"/>
        <v>108</v>
      </c>
      <c r="AG405" s="272">
        <f t="shared" si="166"/>
        <v>54.418441602840517</v>
      </c>
      <c r="AH405" s="272">
        <f t="shared" si="179"/>
        <v>108</v>
      </c>
      <c r="AI405" s="272">
        <f t="shared" si="167"/>
        <v>54.418441602840517</v>
      </c>
      <c r="AJ405" s="272">
        <f t="shared" si="180"/>
        <v>108</v>
      </c>
      <c r="AK405" s="272">
        <f t="shared" si="168"/>
        <v>54.418441602840517</v>
      </c>
      <c r="AL405" s="272">
        <f t="shared" si="181"/>
        <v>108</v>
      </c>
      <c r="AM405" s="272">
        <f t="shared" si="169"/>
        <v>54.418441602840517</v>
      </c>
      <c r="AN405" s="272">
        <f t="shared" si="182"/>
        <v>108</v>
      </c>
      <c r="AO405" s="272">
        <f t="shared" si="170"/>
        <v>54.418441602840517</v>
      </c>
      <c r="AP405" s="272">
        <f t="shared" si="183"/>
        <v>108</v>
      </c>
      <c r="AQ405" s="272">
        <f t="shared" si="171"/>
        <v>54.418441602840517</v>
      </c>
      <c r="AR405" s="272">
        <f t="shared" si="184"/>
        <v>108</v>
      </c>
      <c r="AS405" s="508">
        <f t="shared" si="172"/>
        <v>54.418441602840517</v>
      </c>
    </row>
    <row r="406" spans="1:45" ht="12.75" customHeight="1">
      <c r="A406" s="96">
        <f>IF(MAX($F$104:F406)=$G$99,$G$99,F406)</f>
        <v>15.906595441861038</v>
      </c>
      <c r="B406" s="481">
        <v>303</v>
      </c>
      <c r="C406" s="96">
        <f t="shared" si="163"/>
        <v>0.45450000000000035</v>
      </c>
      <c r="D406" s="96">
        <f t="shared" si="157"/>
        <v>128.51266209336021</v>
      </c>
      <c r="E406" s="96">
        <f t="shared" si="158"/>
        <v>2.0992468645447321E-2</v>
      </c>
      <c r="F406" s="96">
        <f t="shared" si="159"/>
        <v>1.9274389013828634</v>
      </c>
      <c r="G406" s="96">
        <f t="shared" si="162"/>
        <v>1.6294389013828634</v>
      </c>
      <c r="I406" s="96">
        <f t="shared" si="160"/>
        <v>0</v>
      </c>
      <c r="J406" s="96">
        <f t="shared" si="161"/>
        <v>0.45450000000000035</v>
      </c>
      <c r="X406" s="96">
        <f t="shared" si="173"/>
        <v>55</v>
      </c>
      <c r="Y406" s="96">
        <v>0.378</v>
      </c>
      <c r="Z406" s="272">
        <f t="shared" si="175"/>
        <v>55</v>
      </c>
      <c r="AA406" s="519">
        <f t="shared" si="176"/>
        <v>53.770314670559706</v>
      </c>
      <c r="AB406" s="516">
        <f t="shared" si="174"/>
        <v>106</v>
      </c>
      <c r="AC406" s="272">
        <f t="shared" si="164"/>
        <v>55.01933981171063</v>
      </c>
      <c r="AD406" s="272">
        <f t="shared" si="177"/>
        <v>108</v>
      </c>
      <c r="AE406" s="272">
        <f t="shared" si="165"/>
        <v>54.995821557698335</v>
      </c>
      <c r="AF406" s="272">
        <f t="shared" si="178"/>
        <v>108</v>
      </c>
      <c r="AG406" s="272">
        <f t="shared" si="166"/>
        <v>54.995821557698335</v>
      </c>
      <c r="AH406" s="272">
        <f t="shared" si="179"/>
        <v>108</v>
      </c>
      <c r="AI406" s="272">
        <f t="shared" si="167"/>
        <v>54.995821557698335</v>
      </c>
      <c r="AJ406" s="272">
        <f t="shared" si="180"/>
        <v>108</v>
      </c>
      <c r="AK406" s="272">
        <f t="shared" si="168"/>
        <v>54.995821557698335</v>
      </c>
      <c r="AL406" s="272">
        <f t="shared" si="181"/>
        <v>108</v>
      </c>
      <c r="AM406" s="272">
        <f t="shared" si="169"/>
        <v>54.995821557698335</v>
      </c>
      <c r="AN406" s="272">
        <f t="shared" si="182"/>
        <v>108</v>
      </c>
      <c r="AO406" s="272">
        <f t="shared" si="170"/>
        <v>54.995821557698335</v>
      </c>
      <c r="AP406" s="272">
        <f t="shared" si="183"/>
        <v>108</v>
      </c>
      <c r="AQ406" s="272">
        <f t="shared" si="171"/>
        <v>54.995821557698335</v>
      </c>
      <c r="AR406" s="272">
        <f t="shared" si="184"/>
        <v>108</v>
      </c>
      <c r="AS406" s="508">
        <f t="shared" si="172"/>
        <v>54.995821557698335</v>
      </c>
    </row>
    <row r="407" spans="1:45" ht="12.75" customHeight="1">
      <c r="A407" s="96">
        <f>IF(MAX($F$104:F407)=$G$99,$G$99,F407)</f>
        <v>15.906595441861038</v>
      </c>
      <c r="B407" s="96">
        <v>304</v>
      </c>
      <c r="C407" s="96">
        <f t="shared" si="163"/>
        <v>0.45600000000000035</v>
      </c>
      <c r="D407" s="96">
        <f t="shared" si="157"/>
        <v>129.36233027284879</v>
      </c>
      <c r="E407" s="96">
        <f t="shared" si="158"/>
        <v>1.856682096345625E-2</v>
      </c>
      <c r="F407" s="96">
        <f t="shared" si="159"/>
        <v>1.7350739973109581</v>
      </c>
      <c r="G407" s="96">
        <f t="shared" si="162"/>
        <v>1.4370739973109581</v>
      </c>
      <c r="I407" s="96">
        <f t="shared" si="160"/>
        <v>0</v>
      </c>
      <c r="J407" s="96">
        <f t="shared" si="161"/>
        <v>0.45600000000000035</v>
      </c>
      <c r="X407" s="96">
        <f t="shared" si="173"/>
        <v>56</v>
      </c>
      <c r="Y407" s="96">
        <v>0.376</v>
      </c>
      <c r="Z407" s="272">
        <f t="shared" si="175"/>
        <v>56</v>
      </c>
      <c r="AA407" s="519">
        <f t="shared" si="176"/>
        <v>54.343860636800116</v>
      </c>
      <c r="AB407" s="516">
        <f t="shared" si="174"/>
        <v>108</v>
      </c>
      <c r="AC407" s="272">
        <f t="shared" si="164"/>
        <v>55.582439504938378</v>
      </c>
      <c r="AD407" s="272">
        <f t="shared" si="177"/>
        <v>110</v>
      </c>
      <c r="AE407" s="272">
        <f t="shared" si="165"/>
        <v>55.559548899959026</v>
      </c>
      <c r="AF407" s="272">
        <f t="shared" si="178"/>
        <v>110</v>
      </c>
      <c r="AG407" s="272">
        <f t="shared" si="166"/>
        <v>55.559548899959026</v>
      </c>
      <c r="AH407" s="272">
        <f t="shared" si="179"/>
        <v>110</v>
      </c>
      <c r="AI407" s="272">
        <f t="shared" si="167"/>
        <v>55.559548899959026</v>
      </c>
      <c r="AJ407" s="272">
        <f t="shared" si="180"/>
        <v>110</v>
      </c>
      <c r="AK407" s="272">
        <f t="shared" si="168"/>
        <v>55.559548899959026</v>
      </c>
      <c r="AL407" s="272">
        <f t="shared" si="181"/>
        <v>110</v>
      </c>
      <c r="AM407" s="272">
        <f t="shared" si="169"/>
        <v>55.559548899959026</v>
      </c>
      <c r="AN407" s="272">
        <f t="shared" si="182"/>
        <v>110</v>
      </c>
      <c r="AO407" s="272">
        <f t="shared" si="170"/>
        <v>55.559548899959026</v>
      </c>
      <c r="AP407" s="272">
        <f t="shared" si="183"/>
        <v>110</v>
      </c>
      <c r="AQ407" s="272">
        <f t="shared" si="171"/>
        <v>55.559548899959026</v>
      </c>
      <c r="AR407" s="272">
        <f t="shared" si="184"/>
        <v>110</v>
      </c>
      <c r="AS407" s="508">
        <f t="shared" si="172"/>
        <v>55.559548899959026</v>
      </c>
    </row>
    <row r="408" spans="1:45" ht="12.75" customHeight="1">
      <c r="A408" s="96">
        <f>IF(MAX($F$104:F408)=$G$99,$G$99,F408)</f>
        <v>15.906595441861038</v>
      </c>
      <c r="B408" s="481">
        <v>305</v>
      </c>
      <c r="C408" s="96">
        <f t="shared" si="163"/>
        <v>0.45750000000000035</v>
      </c>
      <c r="D408" s="96">
        <f t="shared" si="157"/>
        <v>130.21479801800294</v>
      </c>
      <c r="E408" s="96">
        <f t="shared" si="158"/>
        <v>1.6386077502143891E-2</v>
      </c>
      <c r="F408" s="96">
        <f t="shared" si="159"/>
        <v>1.5580894213960887</v>
      </c>
      <c r="G408" s="96">
        <f t="shared" si="162"/>
        <v>1.2600894213960887</v>
      </c>
      <c r="I408" s="96">
        <f t="shared" si="160"/>
        <v>0</v>
      </c>
      <c r="J408" s="96">
        <f t="shared" si="161"/>
        <v>0.45750000000000035</v>
      </c>
      <c r="X408" s="96">
        <f t="shared" si="173"/>
        <v>57</v>
      </c>
      <c r="Y408" s="96">
        <v>0.374</v>
      </c>
      <c r="Z408" s="272">
        <f t="shared" si="175"/>
        <v>57</v>
      </c>
      <c r="AA408" s="519">
        <f t="shared" si="176"/>
        <v>54.926632455805532</v>
      </c>
      <c r="AB408" s="516">
        <f t="shared" si="174"/>
        <v>108</v>
      </c>
      <c r="AC408" s="272">
        <f t="shared" si="164"/>
        <v>56.178493576097189</v>
      </c>
      <c r="AD408" s="272">
        <f t="shared" si="177"/>
        <v>110</v>
      </c>
      <c r="AE408" s="272">
        <f t="shared" si="165"/>
        <v>56.155357497216166</v>
      </c>
      <c r="AF408" s="272">
        <f t="shared" si="178"/>
        <v>112</v>
      </c>
      <c r="AG408" s="272">
        <f t="shared" si="166"/>
        <v>56.133061016780601</v>
      </c>
      <c r="AH408" s="272">
        <f t="shared" si="179"/>
        <v>112</v>
      </c>
      <c r="AI408" s="272">
        <f t="shared" si="167"/>
        <v>56.133061016780601</v>
      </c>
      <c r="AJ408" s="272">
        <f t="shared" si="180"/>
        <v>112</v>
      </c>
      <c r="AK408" s="272">
        <f t="shared" si="168"/>
        <v>56.133061016780601</v>
      </c>
      <c r="AL408" s="272">
        <f t="shared" si="181"/>
        <v>112</v>
      </c>
      <c r="AM408" s="272">
        <f t="shared" si="169"/>
        <v>56.133061016780601</v>
      </c>
      <c r="AN408" s="272">
        <f t="shared" si="182"/>
        <v>112</v>
      </c>
      <c r="AO408" s="272">
        <f t="shared" si="170"/>
        <v>56.133061016780601</v>
      </c>
      <c r="AP408" s="272">
        <f t="shared" si="183"/>
        <v>112</v>
      </c>
      <c r="AQ408" s="272">
        <f t="shared" si="171"/>
        <v>56.133061016780601</v>
      </c>
      <c r="AR408" s="272">
        <f t="shared" si="184"/>
        <v>112</v>
      </c>
      <c r="AS408" s="508">
        <f t="shared" si="172"/>
        <v>56.133061016780601</v>
      </c>
    </row>
    <row r="409" spans="1:45" ht="12.75" customHeight="1">
      <c r="A409" s="96">
        <f>IF(MAX($F$104:F409)=$G$99,$G$99,F409)</f>
        <v>15.906595441861038</v>
      </c>
      <c r="B409" s="481">
        <v>306</v>
      </c>
      <c r="C409" s="96">
        <f t="shared" si="163"/>
        <v>0.45900000000000035</v>
      </c>
      <c r="D409" s="96">
        <f t="shared" si="157"/>
        <v>131.07006532882261</v>
      </c>
      <c r="E409" s="96">
        <f t="shared" si="158"/>
        <v>1.4430300375679023E-2</v>
      </c>
      <c r="F409" s="96">
        <f t="shared" si="159"/>
        <v>1.3957470914207741</v>
      </c>
      <c r="G409" s="96">
        <f t="shared" si="162"/>
        <v>1.0977470914207741</v>
      </c>
      <c r="I409" s="96">
        <f t="shared" si="160"/>
        <v>0</v>
      </c>
      <c r="J409" s="96">
        <f t="shared" si="161"/>
        <v>0.45900000000000035</v>
      </c>
      <c r="X409" s="96">
        <f t="shared" si="173"/>
        <v>57</v>
      </c>
      <c r="Y409" s="96">
        <v>0.372</v>
      </c>
      <c r="Z409" s="272">
        <f t="shared" si="175"/>
        <v>57</v>
      </c>
      <c r="AA409" s="519">
        <f t="shared" si="176"/>
        <v>55.518829065414025</v>
      </c>
      <c r="AB409" s="516">
        <f t="shared" si="174"/>
        <v>110</v>
      </c>
      <c r="AC409" s="272">
        <f t="shared" si="164"/>
        <v>56.760801720434507</v>
      </c>
      <c r="AD409" s="272">
        <f t="shared" si="177"/>
        <v>112</v>
      </c>
      <c r="AE409" s="272">
        <f t="shared" si="165"/>
        <v>56.73826484841603</v>
      </c>
      <c r="AF409" s="272">
        <f t="shared" si="178"/>
        <v>112</v>
      </c>
      <c r="AG409" s="272">
        <f t="shared" si="166"/>
        <v>56.73826484841603</v>
      </c>
      <c r="AH409" s="272">
        <f t="shared" si="179"/>
        <v>112</v>
      </c>
      <c r="AI409" s="272">
        <f t="shared" si="167"/>
        <v>56.73826484841603</v>
      </c>
      <c r="AJ409" s="272">
        <f t="shared" si="180"/>
        <v>112</v>
      </c>
      <c r="AK409" s="272">
        <f t="shared" si="168"/>
        <v>56.73826484841603</v>
      </c>
      <c r="AL409" s="272">
        <f t="shared" si="181"/>
        <v>112</v>
      </c>
      <c r="AM409" s="272">
        <f t="shared" si="169"/>
        <v>56.73826484841603</v>
      </c>
      <c r="AN409" s="272">
        <f t="shared" si="182"/>
        <v>112</v>
      </c>
      <c r="AO409" s="272">
        <f t="shared" si="170"/>
        <v>56.73826484841603</v>
      </c>
      <c r="AP409" s="272">
        <f t="shared" si="183"/>
        <v>112</v>
      </c>
      <c r="AQ409" s="272">
        <f t="shared" si="171"/>
        <v>56.73826484841603</v>
      </c>
      <c r="AR409" s="272">
        <f t="shared" si="184"/>
        <v>112</v>
      </c>
      <c r="AS409" s="508">
        <f t="shared" si="172"/>
        <v>56.73826484841603</v>
      </c>
    </row>
    <row r="410" spans="1:45" ht="12.75" customHeight="1">
      <c r="A410" s="96">
        <f>IF(MAX($F$104:F410)=$G$99,$G$99,F410)</f>
        <v>15.906595441861038</v>
      </c>
      <c r="B410" s="96">
        <v>307</v>
      </c>
      <c r="C410" s="96">
        <f t="shared" si="163"/>
        <v>0.46050000000000035</v>
      </c>
      <c r="D410" s="96">
        <f t="shared" si="157"/>
        <v>131.92813220530783</v>
      </c>
      <c r="E410" s="96">
        <f t="shared" si="158"/>
        <v>1.2680554250584314E-2</v>
      </c>
      <c r="F410" s="96">
        <f t="shared" si="159"/>
        <v>1.247280142493524</v>
      </c>
      <c r="G410" s="96">
        <f t="shared" si="162"/>
        <v>0.94928014249352399</v>
      </c>
      <c r="I410" s="96">
        <f t="shared" si="160"/>
        <v>0</v>
      </c>
      <c r="J410" s="96">
        <f t="shared" si="161"/>
        <v>0.46050000000000035</v>
      </c>
      <c r="X410" s="96">
        <f t="shared" si="173"/>
        <v>58</v>
      </c>
      <c r="Y410" s="96">
        <v>0.37</v>
      </c>
      <c r="Z410" s="272">
        <f t="shared" si="175"/>
        <v>58</v>
      </c>
      <c r="AA410" s="519">
        <f t="shared" si="176"/>
        <v>56.120654794654875</v>
      </c>
      <c r="AB410" s="516">
        <f t="shared" si="174"/>
        <v>112</v>
      </c>
      <c r="AC410" s="272">
        <f t="shared" si="164"/>
        <v>57.353309297174597</v>
      </c>
      <c r="AD410" s="272">
        <f t="shared" si="177"/>
        <v>114</v>
      </c>
      <c r="AE410" s="272">
        <f t="shared" si="165"/>
        <v>57.331340112910681</v>
      </c>
      <c r="AF410" s="272">
        <f t="shared" si="178"/>
        <v>114</v>
      </c>
      <c r="AG410" s="272">
        <f t="shared" si="166"/>
        <v>57.331340112910681</v>
      </c>
      <c r="AH410" s="272">
        <f t="shared" si="179"/>
        <v>114</v>
      </c>
      <c r="AI410" s="272">
        <f t="shared" si="167"/>
        <v>57.331340112910681</v>
      </c>
      <c r="AJ410" s="272">
        <f t="shared" si="180"/>
        <v>114</v>
      </c>
      <c r="AK410" s="272">
        <f t="shared" si="168"/>
        <v>57.331340112910681</v>
      </c>
      <c r="AL410" s="272">
        <f t="shared" si="181"/>
        <v>114</v>
      </c>
      <c r="AM410" s="272">
        <f t="shared" si="169"/>
        <v>57.331340112910681</v>
      </c>
      <c r="AN410" s="272">
        <f t="shared" si="182"/>
        <v>114</v>
      </c>
      <c r="AO410" s="272">
        <f t="shared" si="170"/>
        <v>57.331340112910681</v>
      </c>
      <c r="AP410" s="272">
        <f t="shared" si="183"/>
        <v>114</v>
      </c>
      <c r="AQ410" s="272">
        <f t="shared" si="171"/>
        <v>57.331340112910681</v>
      </c>
      <c r="AR410" s="272">
        <f t="shared" si="184"/>
        <v>114</v>
      </c>
      <c r="AS410" s="508">
        <f t="shared" si="172"/>
        <v>57.331340112910681</v>
      </c>
    </row>
    <row r="411" spans="1:45" ht="12.75" customHeight="1">
      <c r="A411" s="96">
        <f>IF(MAX($F$104:F411)=$G$99,$G$99,F411)</f>
        <v>15.906595441861038</v>
      </c>
      <c r="B411" s="481">
        <v>308</v>
      </c>
      <c r="C411" s="96">
        <f t="shared" si="163"/>
        <v>0.46200000000000035</v>
      </c>
      <c r="D411" s="96">
        <f t="shared" si="157"/>
        <v>132.78899864745856</v>
      </c>
      <c r="E411" s="96">
        <f t="shared" si="158"/>
        <v>1.1118937165519224E-2</v>
      </c>
      <c r="F411" s="96">
        <f t="shared" si="159"/>
        <v>1.1119034019171272</v>
      </c>
      <c r="G411" s="96">
        <f t="shared" si="162"/>
        <v>0.81390340191712718</v>
      </c>
      <c r="I411" s="96">
        <f t="shared" si="160"/>
        <v>0</v>
      </c>
      <c r="J411" s="96">
        <f t="shared" si="161"/>
        <v>0.46200000000000035</v>
      </c>
      <c r="X411" s="96">
        <f t="shared" si="173"/>
        <v>58</v>
      </c>
      <c r="Y411" s="96">
        <v>0.36799999999999999</v>
      </c>
      <c r="Z411" s="272">
        <f t="shared" si="175"/>
        <v>58</v>
      </c>
      <c r="AA411" s="519">
        <f t="shared" si="176"/>
        <v>56.732319540024314</v>
      </c>
      <c r="AB411" s="516">
        <f t="shared" si="174"/>
        <v>112</v>
      </c>
      <c r="AC411" s="272">
        <f t="shared" si="164"/>
        <v>57.978408869795629</v>
      </c>
      <c r="AD411" s="272">
        <f t="shared" si="177"/>
        <v>114</v>
      </c>
      <c r="AE411" s="272">
        <f t="shared" si="165"/>
        <v>57.956200241149801</v>
      </c>
      <c r="AF411" s="272">
        <f t="shared" si="178"/>
        <v>114</v>
      </c>
      <c r="AG411" s="272">
        <f t="shared" si="166"/>
        <v>57.956200241149801</v>
      </c>
      <c r="AH411" s="272">
        <f t="shared" si="179"/>
        <v>114</v>
      </c>
      <c r="AI411" s="272">
        <f t="shared" si="167"/>
        <v>57.956200241149801</v>
      </c>
      <c r="AJ411" s="272">
        <f t="shared" si="180"/>
        <v>114</v>
      </c>
      <c r="AK411" s="272">
        <f t="shared" si="168"/>
        <v>57.956200241149801</v>
      </c>
      <c r="AL411" s="272">
        <f t="shared" si="181"/>
        <v>114</v>
      </c>
      <c r="AM411" s="272">
        <f t="shared" si="169"/>
        <v>57.956200241149801</v>
      </c>
      <c r="AN411" s="272">
        <f t="shared" si="182"/>
        <v>114</v>
      </c>
      <c r="AO411" s="272">
        <f t="shared" si="170"/>
        <v>57.956200241149801</v>
      </c>
      <c r="AP411" s="272">
        <f t="shared" si="183"/>
        <v>114</v>
      </c>
      <c r="AQ411" s="272">
        <f t="shared" si="171"/>
        <v>57.956200241149801</v>
      </c>
      <c r="AR411" s="272">
        <f t="shared" si="184"/>
        <v>114</v>
      </c>
      <c r="AS411" s="508">
        <f t="shared" si="172"/>
        <v>57.956200241149801</v>
      </c>
    </row>
    <row r="412" spans="1:45" ht="12.75" customHeight="1">
      <c r="A412" s="96">
        <f>IF(MAX($F$104:F412)=$G$99,$G$99,F412)</f>
        <v>15.906595441861038</v>
      </c>
      <c r="B412" s="481">
        <v>309</v>
      </c>
      <c r="C412" s="96">
        <f t="shared" si="163"/>
        <v>0.46350000000000036</v>
      </c>
      <c r="D412" s="96">
        <f t="shared" si="157"/>
        <v>133.6526646552748</v>
      </c>
      <c r="E412" s="96">
        <f t="shared" si="158"/>
        <v>9.7285983162910556E-3</v>
      </c>
      <c r="F412" s="96">
        <f t="shared" si="159"/>
        <v>0.9888238462536918</v>
      </c>
      <c r="G412" s="96">
        <f t="shared" si="162"/>
        <v>0.69082384625369175</v>
      </c>
      <c r="I412" s="96">
        <f t="shared" si="160"/>
        <v>0</v>
      </c>
      <c r="J412" s="96">
        <f t="shared" si="161"/>
        <v>0.46350000000000036</v>
      </c>
      <c r="X412" s="96">
        <f t="shared" si="173"/>
        <v>59</v>
      </c>
      <c r="Y412" s="96">
        <v>0.36599999999999999</v>
      </c>
      <c r="Z412" s="272">
        <f t="shared" si="175"/>
        <v>59</v>
      </c>
      <c r="AA412" s="519">
        <f t="shared" si="176"/>
        <v>57.354038948522316</v>
      </c>
      <c r="AB412" s="516">
        <f t="shared" si="174"/>
        <v>114</v>
      </c>
      <c r="AC412" s="272">
        <f t="shared" si="164"/>
        <v>58.591331940767652</v>
      </c>
      <c r="AD412" s="272">
        <f t="shared" si="177"/>
        <v>116</v>
      </c>
      <c r="AE412" s="272">
        <f t="shared" si="165"/>
        <v>58.569666177623084</v>
      </c>
      <c r="AF412" s="272">
        <f t="shared" si="178"/>
        <v>116</v>
      </c>
      <c r="AG412" s="272">
        <f t="shared" si="166"/>
        <v>58.569666177623084</v>
      </c>
      <c r="AH412" s="272">
        <f t="shared" si="179"/>
        <v>116</v>
      </c>
      <c r="AI412" s="272">
        <f t="shared" si="167"/>
        <v>58.569666177623084</v>
      </c>
      <c r="AJ412" s="272">
        <f t="shared" si="180"/>
        <v>116</v>
      </c>
      <c r="AK412" s="272">
        <f t="shared" si="168"/>
        <v>58.569666177623084</v>
      </c>
      <c r="AL412" s="272">
        <f t="shared" si="181"/>
        <v>116</v>
      </c>
      <c r="AM412" s="272">
        <f t="shared" si="169"/>
        <v>58.569666177623084</v>
      </c>
      <c r="AN412" s="272">
        <f t="shared" si="182"/>
        <v>116</v>
      </c>
      <c r="AO412" s="272">
        <f t="shared" si="170"/>
        <v>58.569666177623084</v>
      </c>
      <c r="AP412" s="272">
        <f t="shared" si="183"/>
        <v>116</v>
      </c>
      <c r="AQ412" s="272">
        <f t="shared" si="171"/>
        <v>58.569666177623084</v>
      </c>
      <c r="AR412" s="272">
        <f t="shared" si="184"/>
        <v>116</v>
      </c>
      <c r="AS412" s="508">
        <f t="shared" si="172"/>
        <v>58.569666177623084</v>
      </c>
    </row>
    <row r="413" spans="1:45" ht="12.75" customHeight="1">
      <c r="A413" s="96">
        <f>IF(MAX($F$104:F413)=$G$99,$G$99,F413)</f>
        <v>15.906595441861038</v>
      </c>
      <c r="B413" s="96">
        <v>310</v>
      </c>
      <c r="C413" s="96">
        <f t="shared" si="163"/>
        <v>0.46500000000000036</v>
      </c>
      <c r="D413" s="96">
        <f t="shared" si="157"/>
        <v>134.51913022875661</v>
      </c>
      <c r="E413" s="96">
        <f t="shared" si="158"/>
        <v>8.493741113518272E-3</v>
      </c>
      <c r="F413" s="96">
        <f t="shared" si="159"/>
        <v>0.87724820822759264</v>
      </c>
      <c r="G413" s="96">
        <f t="shared" si="162"/>
        <v>0.57924820822759271</v>
      </c>
      <c r="I413" s="96">
        <f t="shared" si="160"/>
        <v>0</v>
      </c>
      <c r="J413" s="96">
        <f t="shared" si="161"/>
        <v>0.46500000000000036</v>
      </c>
      <c r="X413" s="96">
        <f t="shared" si="173"/>
        <v>60</v>
      </c>
      <c r="Y413" s="96">
        <v>0.36399999999999999</v>
      </c>
      <c r="Z413" s="272">
        <f t="shared" si="175"/>
        <v>60</v>
      </c>
      <c r="AA413" s="519">
        <f t="shared" si="176"/>
        <v>57.986034607748564</v>
      </c>
      <c r="AB413" s="516">
        <f t="shared" si="174"/>
        <v>114</v>
      </c>
      <c r="AC413" s="272">
        <f t="shared" si="164"/>
        <v>59.236961579651243</v>
      </c>
      <c r="AD413" s="272">
        <f t="shared" si="177"/>
        <v>116</v>
      </c>
      <c r="AE413" s="272">
        <f t="shared" si="165"/>
        <v>59.215057077116882</v>
      </c>
      <c r="AF413" s="272">
        <f t="shared" si="178"/>
        <v>118</v>
      </c>
      <c r="AG413" s="272">
        <f t="shared" si="166"/>
        <v>59.193909075360537</v>
      </c>
      <c r="AH413" s="272">
        <f t="shared" si="179"/>
        <v>118</v>
      </c>
      <c r="AI413" s="272">
        <f t="shared" si="167"/>
        <v>59.193909075360537</v>
      </c>
      <c r="AJ413" s="272">
        <f t="shared" si="180"/>
        <v>118</v>
      </c>
      <c r="AK413" s="272">
        <f t="shared" si="168"/>
        <v>59.193909075360537</v>
      </c>
      <c r="AL413" s="272">
        <f t="shared" si="181"/>
        <v>118</v>
      </c>
      <c r="AM413" s="272">
        <f t="shared" si="169"/>
        <v>59.193909075360537</v>
      </c>
      <c r="AN413" s="272">
        <f t="shared" si="182"/>
        <v>118</v>
      </c>
      <c r="AO413" s="272">
        <f t="shared" si="170"/>
        <v>59.193909075360537</v>
      </c>
      <c r="AP413" s="272">
        <f t="shared" si="183"/>
        <v>118</v>
      </c>
      <c r="AQ413" s="272">
        <f t="shared" si="171"/>
        <v>59.193909075360537</v>
      </c>
      <c r="AR413" s="272">
        <f t="shared" si="184"/>
        <v>118</v>
      </c>
      <c r="AS413" s="508">
        <f t="shared" si="172"/>
        <v>59.193909075360537</v>
      </c>
    </row>
    <row r="414" spans="1:45" ht="12.75" customHeight="1">
      <c r="A414" s="96">
        <f>IF(MAX($F$104:F414)=$G$99,$G$99,F414)</f>
        <v>15.906595441861038</v>
      </c>
      <c r="B414" s="481">
        <v>311</v>
      </c>
      <c r="C414" s="96">
        <f t="shared" si="163"/>
        <v>0.46650000000000036</v>
      </c>
      <c r="D414" s="96">
        <f t="shared" si="157"/>
        <v>135.38839536790391</v>
      </c>
      <c r="E414" s="96">
        <f t="shared" si="158"/>
        <v>7.3996207723239955E-3</v>
      </c>
      <c r="F414" s="96">
        <f t="shared" si="159"/>
        <v>0.77639079079616446</v>
      </c>
      <c r="G414" s="96">
        <f t="shared" si="162"/>
        <v>0.47839079079616448</v>
      </c>
      <c r="I414" s="96">
        <f t="shared" si="160"/>
        <v>0</v>
      </c>
      <c r="J414" s="96">
        <f t="shared" si="161"/>
        <v>0.46650000000000036</v>
      </c>
      <c r="X414" s="96">
        <f t="shared" si="173"/>
        <v>60</v>
      </c>
      <c r="Y414" s="96">
        <v>0.36199999999999999</v>
      </c>
      <c r="Z414" s="272">
        <f t="shared" si="175"/>
        <v>60</v>
      </c>
      <c r="AA414" s="519">
        <f t="shared" si="176"/>
        <v>58.628534243370574</v>
      </c>
      <c r="AB414" s="516">
        <f t="shared" si="174"/>
        <v>116</v>
      </c>
      <c r="AC414" s="272">
        <f t="shared" si="164"/>
        <v>59.871174586319704</v>
      </c>
      <c r="AD414" s="272">
        <f t="shared" si="177"/>
        <v>118</v>
      </c>
      <c r="AE414" s="272">
        <f t="shared" si="165"/>
        <v>59.849792259462248</v>
      </c>
      <c r="AF414" s="272">
        <f t="shared" si="178"/>
        <v>118</v>
      </c>
      <c r="AG414" s="272">
        <f t="shared" si="166"/>
        <v>59.849792259462248</v>
      </c>
      <c r="AH414" s="272">
        <f t="shared" si="179"/>
        <v>118</v>
      </c>
      <c r="AI414" s="272">
        <f t="shared" si="167"/>
        <v>59.849792259462248</v>
      </c>
      <c r="AJ414" s="272">
        <f t="shared" si="180"/>
        <v>118</v>
      </c>
      <c r="AK414" s="272">
        <f t="shared" si="168"/>
        <v>59.849792259462248</v>
      </c>
      <c r="AL414" s="272">
        <f t="shared" si="181"/>
        <v>118</v>
      </c>
      <c r="AM414" s="272">
        <f t="shared" si="169"/>
        <v>59.849792259462248</v>
      </c>
      <c r="AN414" s="272">
        <f t="shared" si="182"/>
        <v>118</v>
      </c>
      <c r="AO414" s="272">
        <f t="shared" si="170"/>
        <v>59.849792259462248</v>
      </c>
      <c r="AP414" s="272">
        <f t="shared" si="183"/>
        <v>118</v>
      </c>
      <c r="AQ414" s="272">
        <f t="shared" si="171"/>
        <v>59.849792259462248</v>
      </c>
      <c r="AR414" s="272">
        <f t="shared" si="184"/>
        <v>118</v>
      </c>
      <c r="AS414" s="508">
        <f t="shared" si="172"/>
        <v>59.849792259462248</v>
      </c>
    </row>
    <row r="415" spans="1:45" ht="12.75" customHeight="1">
      <c r="A415" s="96">
        <f>IF(MAX($F$104:F415)=$G$99,$G$99,F415)</f>
        <v>15.906595441861038</v>
      </c>
      <c r="B415" s="481">
        <v>312</v>
      </c>
      <c r="C415" s="96">
        <f t="shared" si="163"/>
        <v>0.46800000000000036</v>
      </c>
      <c r="D415" s="96">
        <f t="shared" si="157"/>
        <v>136.26046007271677</v>
      </c>
      <c r="E415" s="96">
        <f t="shared" si="158"/>
        <v>6.4325266246788972E-3</v>
      </c>
      <c r="F415" s="96">
        <f t="shared" si="159"/>
        <v>0.68548113687653822</v>
      </c>
      <c r="G415" s="96">
        <f t="shared" si="162"/>
        <v>0.38748113687653823</v>
      </c>
      <c r="I415" s="96">
        <f t="shared" si="160"/>
        <v>0</v>
      </c>
      <c r="J415" s="96">
        <f t="shared" si="161"/>
        <v>0.46800000000000036</v>
      </c>
      <c r="X415" s="96">
        <f t="shared" si="173"/>
        <v>61</v>
      </c>
      <c r="Y415" s="96">
        <v>0.36</v>
      </c>
      <c r="Z415" s="272">
        <f t="shared" si="175"/>
        <v>61</v>
      </c>
      <c r="AA415" s="519">
        <f t="shared" si="176"/>
        <v>59.281771924292087</v>
      </c>
      <c r="AB415" s="516">
        <f t="shared" si="174"/>
        <v>118</v>
      </c>
      <c r="AC415" s="272">
        <f t="shared" si="164"/>
        <v>60.516637167044529</v>
      </c>
      <c r="AD415" s="272">
        <f t="shared" si="177"/>
        <v>120</v>
      </c>
      <c r="AE415" s="272">
        <f t="shared" si="165"/>
        <v>60.495745580578365</v>
      </c>
      <c r="AF415" s="272">
        <f t="shared" si="178"/>
        <v>120</v>
      </c>
      <c r="AG415" s="272">
        <f t="shared" si="166"/>
        <v>60.495745580578365</v>
      </c>
      <c r="AH415" s="272">
        <f t="shared" si="179"/>
        <v>120</v>
      </c>
      <c r="AI415" s="272">
        <f t="shared" si="167"/>
        <v>60.495745580578365</v>
      </c>
      <c r="AJ415" s="272">
        <f t="shared" si="180"/>
        <v>120</v>
      </c>
      <c r="AK415" s="272">
        <f t="shared" si="168"/>
        <v>60.495745580578365</v>
      </c>
      <c r="AL415" s="272">
        <f t="shared" si="181"/>
        <v>120</v>
      </c>
      <c r="AM415" s="272">
        <f t="shared" si="169"/>
        <v>60.495745580578365</v>
      </c>
      <c r="AN415" s="272">
        <f t="shared" si="182"/>
        <v>120</v>
      </c>
      <c r="AO415" s="272">
        <f t="shared" si="170"/>
        <v>60.495745580578365</v>
      </c>
      <c r="AP415" s="272">
        <f t="shared" si="183"/>
        <v>120</v>
      </c>
      <c r="AQ415" s="272">
        <f t="shared" si="171"/>
        <v>60.495745580578365</v>
      </c>
      <c r="AR415" s="272">
        <f t="shared" si="184"/>
        <v>120</v>
      </c>
      <c r="AS415" s="508">
        <f t="shared" si="172"/>
        <v>60.495745580578365</v>
      </c>
    </row>
    <row r="416" spans="1:45" ht="12.75" customHeight="1">
      <c r="A416" s="96">
        <f>IF(MAX($F$104:F416)=$G$99,$G$99,F416)</f>
        <v>15.906595441861038</v>
      </c>
      <c r="B416" s="96">
        <v>313</v>
      </c>
      <c r="C416" s="96">
        <f t="shared" si="163"/>
        <v>0.46950000000000036</v>
      </c>
      <c r="D416" s="96">
        <f t="shared" si="157"/>
        <v>137.13532434319515</v>
      </c>
      <c r="E416" s="96">
        <f t="shared" si="158"/>
        <v>5.579759346988053E-3</v>
      </c>
      <c r="F416" s="96">
        <f t="shared" si="159"/>
        <v>0.6037688049034341</v>
      </c>
      <c r="G416" s="96">
        <f t="shared" si="162"/>
        <v>0.30576880490343411</v>
      </c>
      <c r="I416" s="96">
        <f t="shared" si="160"/>
        <v>0</v>
      </c>
      <c r="J416" s="96">
        <f t="shared" si="161"/>
        <v>0.46950000000000036</v>
      </c>
      <c r="X416" s="96">
        <f t="shared" si="173"/>
        <v>62</v>
      </c>
      <c r="Y416" s="96">
        <v>0.35799999999999998</v>
      </c>
      <c r="Z416" s="272">
        <f t="shared" si="175"/>
        <v>62</v>
      </c>
      <c r="AA416" s="519">
        <f t="shared" si="176"/>
        <v>59.945988275867279</v>
      </c>
      <c r="AB416" s="516">
        <f t="shared" si="174"/>
        <v>118</v>
      </c>
      <c r="AC416" s="272">
        <f t="shared" si="164"/>
        <v>61.194689435792981</v>
      </c>
      <c r="AD416" s="272">
        <f t="shared" si="177"/>
        <v>120</v>
      </c>
      <c r="AE416" s="272">
        <f t="shared" si="165"/>
        <v>61.173563771753038</v>
      </c>
      <c r="AF416" s="272">
        <f t="shared" si="178"/>
        <v>122</v>
      </c>
      <c r="AG416" s="272">
        <f t="shared" si="166"/>
        <v>61.153140991824053</v>
      </c>
      <c r="AH416" s="272">
        <f t="shared" si="179"/>
        <v>122</v>
      </c>
      <c r="AI416" s="272">
        <f t="shared" si="167"/>
        <v>61.153140991824053</v>
      </c>
      <c r="AJ416" s="272">
        <f t="shared" si="180"/>
        <v>122</v>
      </c>
      <c r="AK416" s="272">
        <f t="shared" si="168"/>
        <v>61.153140991824053</v>
      </c>
      <c r="AL416" s="272">
        <f t="shared" si="181"/>
        <v>122</v>
      </c>
      <c r="AM416" s="272">
        <f t="shared" si="169"/>
        <v>61.153140991824053</v>
      </c>
      <c r="AN416" s="272">
        <f t="shared" si="182"/>
        <v>122</v>
      </c>
      <c r="AO416" s="272">
        <f t="shared" si="170"/>
        <v>61.153140991824053</v>
      </c>
      <c r="AP416" s="272">
        <f t="shared" si="183"/>
        <v>122</v>
      </c>
      <c r="AQ416" s="272">
        <f t="shared" si="171"/>
        <v>61.153140991824053</v>
      </c>
      <c r="AR416" s="272">
        <f t="shared" si="184"/>
        <v>122</v>
      </c>
      <c r="AS416" s="508">
        <f t="shared" si="172"/>
        <v>61.153140991824053</v>
      </c>
    </row>
    <row r="417" spans="1:45" ht="12.75" customHeight="1">
      <c r="A417" s="96">
        <f>IF(MAX($F$104:F417)=$G$99,$G$99,F417)</f>
        <v>15.906595441861038</v>
      </c>
      <c r="B417" s="481">
        <v>314</v>
      </c>
      <c r="C417" s="96">
        <f t="shared" si="163"/>
        <v>0.47100000000000036</v>
      </c>
      <c r="D417" s="96">
        <f t="shared" si="157"/>
        <v>138.01298817933909</v>
      </c>
      <c r="E417" s="96">
        <f t="shared" si="158"/>
        <v>4.8296005939618154E-3</v>
      </c>
      <c r="F417" s="96">
        <f t="shared" si="159"/>
        <v>0.53052837487563709</v>
      </c>
      <c r="G417" s="96">
        <f t="shared" si="162"/>
        <v>0.2325283748756371</v>
      </c>
      <c r="I417" s="96">
        <f t="shared" si="160"/>
        <v>0</v>
      </c>
      <c r="J417" s="96">
        <f t="shared" si="161"/>
        <v>0.47100000000000036</v>
      </c>
      <c r="X417" s="96">
        <f t="shared" si="173"/>
        <v>62</v>
      </c>
      <c r="Y417" s="96">
        <v>0.35599999999999998</v>
      </c>
      <c r="Z417" s="272">
        <f t="shared" si="175"/>
        <v>62</v>
      </c>
      <c r="AA417" s="519">
        <f t="shared" si="176"/>
        <v>60.621430701523273</v>
      </c>
      <c r="AB417" s="516">
        <f t="shared" si="174"/>
        <v>120</v>
      </c>
      <c r="AC417" s="272">
        <f t="shared" si="164"/>
        <v>61.86283792484344</v>
      </c>
      <c r="AD417" s="272">
        <f t="shared" si="177"/>
        <v>122</v>
      </c>
      <c r="AE417" s="272">
        <f t="shared" si="165"/>
        <v>61.842185030899948</v>
      </c>
      <c r="AF417" s="272">
        <f t="shared" si="178"/>
        <v>122</v>
      </c>
      <c r="AG417" s="272">
        <f t="shared" si="166"/>
        <v>61.842185030899948</v>
      </c>
      <c r="AH417" s="272">
        <f t="shared" si="179"/>
        <v>122</v>
      </c>
      <c r="AI417" s="272">
        <f t="shared" si="167"/>
        <v>61.842185030899948</v>
      </c>
      <c r="AJ417" s="272">
        <f t="shared" si="180"/>
        <v>122</v>
      </c>
      <c r="AK417" s="272">
        <f t="shared" si="168"/>
        <v>61.842185030899948</v>
      </c>
      <c r="AL417" s="272">
        <f t="shared" si="181"/>
        <v>122</v>
      </c>
      <c r="AM417" s="272">
        <f t="shared" si="169"/>
        <v>61.842185030899948</v>
      </c>
      <c r="AN417" s="272">
        <f t="shared" si="182"/>
        <v>122</v>
      </c>
      <c r="AO417" s="272">
        <f t="shared" si="170"/>
        <v>61.842185030899948</v>
      </c>
      <c r="AP417" s="272">
        <f t="shared" si="183"/>
        <v>122</v>
      </c>
      <c r="AQ417" s="272">
        <f t="shared" si="171"/>
        <v>61.842185030899948</v>
      </c>
      <c r="AR417" s="272">
        <f t="shared" si="184"/>
        <v>122</v>
      </c>
      <c r="AS417" s="508">
        <f t="shared" si="172"/>
        <v>61.842185030899948</v>
      </c>
    </row>
    <row r="418" spans="1:45" ht="12.75" customHeight="1">
      <c r="A418" s="96">
        <f>IF(MAX($F$104:F418)=$G$99,$G$99,F418)</f>
        <v>15.906595441861038</v>
      </c>
      <c r="B418" s="481">
        <v>315</v>
      </c>
      <c r="C418" s="96">
        <f t="shared" si="163"/>
        <v>0.47250000000000036</v>
      </c>
      <c r="D418" s="96">
        <f t="shared" si="157"/>
        <v>138.89345158114853</v>
      </c>
      <c r="E418" s="96">
        <f t="shared" si="158"/>
        <v>4.1712769358137952E-3</v>
      </c>
      <c r="F418" s="96">
        <f t="shared" si="159"/>
        <v>0.46506330766339765</v>
      </c>
      <c r="G418" s="96">
        <f t="shared" si="162"/>
        <v>0.16706330766339766</v>
      </c>
      <c r="I418" s="96">
        <f t="shared" si="160"/>
        <v>0</v>
      </c>
      <c r="J418" s="96">
        <f t="shared" si="161"/>
        <v>0.47250000000000036</v>
      </c>
      <c r="X418" s="96">
        <f t="shared" si="173"/>
        <v>63</v>
      </c>
      <c r="Y418" s="96">
        <v>0.35399999999999998</v>
      </c>
      <c r="Z418" s="272">
        <f t="shared" si="175"/>
        <v>63</v>
      </c>
      <c r="AA418" s="519">
        <f t="shared" si="176"/>
        <v>61.308353613171946</v>
      </c>
      <c r="AB418" s="516">
        <f t="shared" si="174"/>
        <v>122</v>
      </c>
      <c r="AC418" s="272">
        <f t="shared" si="164"/>
        <v>62.54294074241227</v>
      </c>
      <c r="AD418" s="272">
        <f t="shared" si="177"/>
        <v>124</v>
      </c>
      <c r="AE418" s="272">
        <f t="shared" si="165"/>
        <v>62.5227373937688</v>
      </c>
      <c r="AF418" s="272">
        <f t="shared" si="178"/>
        <v>124</v>
      </c>
      <c r="AG418" s="272">
        <f t="shared" si="166"/>
        <v>62.5227373937688</v>
      </c>
      <c r="AH418" s="272">
        <f t="shared" si="179"/>
        <v>124</v>
      </c>
      <c r="AI418" s="272">
        <f t="shared" si="167"/>
        <v>62.5227373937688</v>
      </c>
      <c r="AJ418" s="272">
        <f t="shared" si="180"/>
        <v>124</v>
      </c>
      <c r="AK418" s="272">
        <f t="shared" si="168"/>
        <v>62.5227373937688</v>
      </c>
      <c r="AL418" s="272">
        <f t="shared" si="181"/>
        <v>124</v>
      </c>
      <c r="AM418" s="272">
        <f t="shared" si="169"/>
        <v>62.5227373937688</v>
      </c>
      <c r="AN418" s="272">
        <f t="shared" si="182"/>
        <v>124</v>
      </c>
      <c r="AO418" s="272">
        <f t="shared" si="170"/>
        <v>62.5227373937688</v>
      </c>
      <c r="AP418" s="272">
        <f t="shared" si="183"/>
        <v>124</v>
      </c>
      <c r="AQ418" s="272">
        <f t="shared" si="171"/>
        <v>62.5227373937688</v>
      </c>
      <c r="AR418" s="272">
        <f t="shared" si="184"/>
        <v>124</v>
      </c>
      <c r="AS418" s="508">
        <f t="shared" si="172"/>
        <v>62.5227373937688</v>
      </c>
    </row>
    <row r="419" spans="1:45" ht="12.75" customHeight="1">
      <c r="A419" s="96">
        <f>IF(MAX($F$104:F419)=$G$99,$G$99,F419)</f>
        <v>15.906595441861038</v>
      </c>
      <c r="B419" s="96">
        <v>316</v>
      </c>
      <c r="C419" s="96">
        <f t="shared" si="163"/>
        <v>0.47400000000000037</v>
      </c>
      <c r="D419" s="96">
        <f t="shared" si="157"/>
        <v>139.77671454862352</v>
      </c>
      <c r="E419" s="96">
        <f t="shared" si="158"/>
        <v>3.5949192461828833E-3</v>
      </c>
      <c r="F419" s="96">
        <f t="shared" si="159"/>
        <v>0.4067089706102453</v>
      </c>
      <c r="G419" s="96">
        <f t="shared" si="162"/>
        <v>0.10870897061024531</v>
      </c>
      <c r="I419" s="96">
        <f t="shared" si="160"/>
        <v>0</v>
      </c>
      <c r="J419" s="96">
        <f t="shared" si="161"/>
        <v>0.47400000000000037</v>
      </c>
      <c r="X419" s="96">
        <f t="shared" si="173"/>
        <v>64</v>
      </c>
      <c r="Y419" s="96">
        <v>0.35199999999999998</v>
      </c>
      <c r="Z419" s="272">
        <f t="shared" si="175"/>
        <v>64</v>
      </c>
      <c r="AA419" s="519">
        <f t="shared" si="176"/>
        <v>62.007018670811718</v>
      </c>
      <c r="AB419" s="516">
        <f t="shared" si="174"/>
        <v>124</v>
      </c>
      <c r="AC419" s="272">
        <f t="shared" si="164"/>
        <v>63.235241471119032</v>
      </c>
      <c r="AD419" s="272">
        <f t="shared" si="177"/>
        <v>126</v>
      </c>
      <c r="AE419" s="272">
        <f t="shared" si="165"/>
        <v>63.21546585563194</v>
      </c>
      <c r="AF419" s="272">
        <f t="shared" si="178"/>
        <v>126</v>
      </c>
      <c r="AG419" s="272">
        <f t="shared" si="166"/>
        <v>63.21546585563194</v>
      </c>
      <c r="AH419" s="272">
        <f t="shared" si="179"/>
        <v>126</v>
      </c>
      <c r="AI419" s="272">
        <f t="shared" si="167"/>
        <v>63.21546585563194</v>
      </c>
      <c r="AJ419" s="272">
        <f t="shared" si="180"/>
        <v>126</v>
      </c>
      <c r="AK419" s="272">
        <f t="shared" si="168"/>
        <v>63.21546585563194</v>
      </c>
      <c r="AL419" s="272">
        <f t="shared" si="181"/>
        <v>126</v>
      </c>
      <c r="AM419" s="272">
        <f t="shared" si="169"/>
        <v>63.21546585563194</v>
      </c>
      <c r="AN419" s="272">
        <f t="shared" si="182"/>
        <v>126</v>
      </c>
      <c r="AO419" s="272">
        <f t="shared" si="170"/>
        <v>63.21546585563194</v>
      </c>
      <c r="AP419" s="272">
        <f t="shared" si="183"/>
        <v>126</v>
      </c>
      <c r="AQ419" s="272">
        <f t="shared" si="171"/>
        <v>63.21546585563194</v>
      </c>
      <c r="AR419" s="272">
        <f t="shared" si="184"/>
        <v>126</v>
      </c>
      <c r="AS419" s="508">
        <f t="shared" si="172"/>
        <v>63.21546585563194</v>
      </c>
    </row>
    <row r="420" spans="1:45" ht="12.75" customHeight="1">
      <c r="A420" s="96">
        <f>IF(MAX($F$104:F420)=$G$99,$G$99,F420)</f>
        <v>15.906595441861038</v>
      </c>
      <c r="B420" s="481">
        <v>317</v>
      </c>
      <c r="C420" s="96">
        <f t="shared" si="163"/>
        <v>0.47550000000000037</v>
      </c>
      <c r="D420" s="96">
        <f t="shared" si="157"/>
        <v>140.66277708176401</v>
      </c>
      <c r="E420" s="96">
        <f t="shared" si="158"/>
        <v>3.0915186067600464E-3</v>
      </c>
      <c r="F420" s="96">
        <f t="shared" si="159"/>
        <v>0.35483489346433988</v>
      </c>
      <c r="G420" s="96">
        <f t="shared" si="162"/>
        <v>5.6834893464339897E-2</v>
      </c>
      <c r="I420" s="96">
        <f t="shared" si="160"/>
        <v>0</v>
      </c>
      <c r="J420" s="96">
        <f t="shared" si="161"/>
        <v>0.47550000000000037</v>
      </c>
      <c r="X420" s="96">
        <f t="shared" si="173"/>
        <v>64</v>
      </c>
      <c r="Y420" s="96">
        <v>0.35</v>
      </c>
      <c r="Z420" s="272">
        <f t="shared" si="175"/>
        <v>64</v>
      </c>
      <c r="AA420" s="519">
        <f t="shared" si="176"/>
        <v>62.71769503174086</v>
      </c>
      <c r="AB420" s="516">
        <f t="shared" si="174"/>
        <v>124</v>
      </c>
      <c r="AC420" s="272">
        <f t="shared" si="164"/>
        <v>63.959994769285984</v>
      </c>
      <c r="AD420" s="272">
        <f t="shared" si="177"/>
        <v>126</v>
      </c>
      <c r="AE420" s="272">
        <f t="shared" si="165"/>
        <v>63.939992501030368</v>
      </c>
      <c r="AF420" s="272">
        <f t="shared" si="178"/>
        <v>126</v>
      </c>
      <c r="AG420" s="272">
        <f t="shared" si="166"/>
        <v>63.939992501030368</v>
      </c>
      <c r="AH420" s="272">
        <f t="shared" si="179"/>
        <v>126</v>
      </c>
      <c r="AI420" s="272">
        <f t="shared" si="167"/>
        <v>63.939992501030368</v>
      </c>
      <c r="AJ420" s="272">
        <f t="shared" si="180"/>
        <v>126</v>
      </c>
      <c r="AK420" s="272">
        <f t="shared" si="168"/>
        <v>63.939992501030368</v>
      </c>
      <c r="AL420" s="272">
        <f t="shared" si="181"/>
        <v>126</v>
      </c>
      <c r="AM420" s="272">
        <f t="shared" si="169"/>
        <v>63.939992501030368</v>
      </c>
      <c r="AN420" s="272">
        <f t="shared" si="182"/>
        <v>126</v>
      </c>
      <c r="AO420" s="272">
        <f t="shared" si="170"/>
        <v>63.939992501030368</v>
      </c>
      <c r="AP420" s="272">
        <f t="shared" si="183"/>
        <v>126</v>
      </c>
      <c r="AQ420" s="272">
        <f t="shared" si="171"/>
        <v>63.939992501030368</v>
      </c>
      <c r="AR420" s="272">
        <f t="shared" si="184"/>
        <v>126</v>
      </c>
      <c r="AS420" s="508">
        <f t="shared" si="172"/>
        <v>63.939992501030368</v>
      </c>
    </row>
    <row r="421" spans="1:45" ht="12.75" customHeight="1">
      <c r="A421" s="96">
        <f>IF(MAX($F$104:F421)=$G$99,$G$99,F421)</f>
        <v>15.906595441861038</v>
      </c>
      <c r="B421" s="481">
        <v>318</v>
      </c>
      <c r="C421" s="96">
        <f t="shared" si="163"/>
        <v>0.47700000000000037</v>
      </c>
      <c r="D421" s="96">
        <f t="shared" si="157"/>
        <v>141.55163918057005</v>
      </c>
      <c r="E421" s="96">
        <f t="shared" si="158"/>
        <v>2.6528797060120695E-3</v>
      </c>
      <c r="F421" s="96">
        <f t="shared" si="159"/>
        <v>0.30884635778566011</v>
      </c>
      <c r="G421" s="96">
        <f t="shared" si="162"/>
        <v>1.0846357785660121E-2</v>
      </c>
      <c r="I421" s="96">
        <f t="shared" si="160"/>
        <v>0</v>
      </c>
      <c r="J421" s="96">
        <f t="shared" si="161"/>
        <v>0.47700000000000037</v>
      </c>
      <c r="X421" s="96">
        <f t="shared" si="173"/>
        <v>65</v>
      </c>
      <c r="Y421" s="96">
        <v>0.34799999999999998</v>
      </c>
      <c r="Z421" s="272">
        <f t="shared" si="175"/>
        <v>65</v>
      </c>
      <c r="AA421" s="519">
        <f t="shared" si="176"/>
        <v>63.440659609825062</v>
      </c>
      <c r="AB421" s="516">
        <f t="shared" si="174"/>
        <v>126</v>
      </c>
      <c r="AC421" s="272">
        <f t="shared" si="164"/>
        <v>64.677046847141469</v>
      </c>
      <c r="AD421" s="272">
        <f t="shared" si="177"/>
        <v>128</v>
      </c>
      <c r="AE421" s="272">
        <f t="shared" si="165"/>
        <v>64.657455190134456</v>
      </c>
      <c r="AF421" s="272">
        <f t="shared" si="178"/>
        <v>128</v>
      </c>
      <c r="AG421" s="272">
        <f t="shared" si="166"/>
        <v>64.657455190134456</v>
      </c>
      <c r="AH421" s="272">
        <f t="shared" si="179"/>
        <v>128</v>
      </c>
      <c r="AI421" s="272">
        <f t="shared" si="167"/>
        <v>64.657455190134456</v>
      </c>
      <c r="AJ421" s="272">
        <f t="shared" si="180"/>
        <v>128</v>
      </c>
      <c r="AK421" s="272">
        <f t="shared" si="168"/>
        <v>64.657455190134456</v>
      </c>
      <c r="AL421" s="272">
        <f t="shared" si="181"/>
        <v>128</v>
      </c>
      <c r="AM421" s="272">
        <f t="shared" si="169"/>
        <v>64.657455190134456</v>
      </c>
      <c r="AN421" s="272">
        <f t="shared" si="182"/>
        <v>128</v>
      </c>
      <c r="AO421" s="272">
        <f t="shared" si="170"/>
        <v>64.657455190134456</v>
      </c>
      <c r="AP421" s="272">
        <f t="shared" si="183"/>
        <v>128</v>
      </c>
      <c r="AQ421" s="272">
        <f t="shared" si="171"/>
        <v>64.657455190134456</v>
      </c>
      <c r="AR421" s="272">
        <f t="shared" si="184"/>
        <v>128</v>
      </c>
      <c r="AS421" s="508">
        <f t="shared" si="172"/>
        <v>64.657455190134456</v>
      </c>
    </row>
    <row r="422" spans="1:45" ht="12.75" customHeight="1">
      <c r="A422" s="96">
        <f>IF(MAX($F$104:F422)=$G$99,$G$99,F422)</f>
        <v>15.906595441861038</v>
      </c>
      <c r="B422" s="96">
        <v>319</v>
      </c>
      <c r="C422" s="96">
        <f t="shared" si="163"/>
        <v>0.47850000000000037</v>
      </c>
      <c r="D422" s="96">
        <f t="shared" si="157"/>
        <v>142.44330084504165</v>
      </c>
      <c r="E422" s="96">
        <f t="shared" si="158"/>
        <v>2.2715725241432496E-3</v>
      </c>
      <c r="F422" s="96">
        <f t="shared" si="159"/>
        <v>0.26818517258995461</v>
      </c>
      <c r="G422" s="96">
        <f t="shared" si="162"/>
        <v>-2.9814827410045375E-2</v>
      </c>
      <c r="I422" s="96">
        <f t="shared" si="160"/>
        <v>0</v>
      </c>
      <c r="J422" s="96">
        <f t="shared" si="161"/>
        <v>0.47850000000000037</v>
      </c>
      <c r="X422" s="96">
        <f t="shared" si="173"/>
        <v>66</v>
      </c>
      <c r="Y422" s="96">
        <v>0.34599999999999997</v>
      </c>
      <c r="Z422" s="272">
        <f t="shared" si="175"/>
        <v>66</v>
      </c>
      <c r="AA422" s="519">
        <f t="shared" si="176"/>
        <v>64.176197345285971</v>
      </c>
      <c r="AB422" s="516">
        <f t="shared" si="174"/>
        <v>128</v>
      </c>
      <c r="AC422" s="272">
        <f t="shared" si="164"/>
        <v>65.407100582595859</v>
      </c>
      <c r="AD422" s="272">
        <f t="shared" si="177"/>
        <v>130</v>
      </c>
      <c r="AE422" s="272">
        <f t="shared" si="165"/>
        <v>65.387900044754858</v>
      </c>
      <c r="AF422" s="272">
        <f t="shared" si="178"/>
        <v>130</v>
      </c>
      <c r="AG422" s="272">
        <f t="shared" si="166"/>
        <v>65.387900044754858</v>
      </c>
      <c r="AH422" s="272">
        <f t="shared" si="179"/>
        <v>130</v>
      </c>
      <c r="AI422" s="272">
        <f t="shared" si="167"/>
        <v>65.387900044754858</v>
      </c>
      <c r="AJ422" s="272">
        <f t="shared" si="180"/>
        <v>130</v>
      </c>
      <c r="AK422" s="272">
        <f t="shared" si="168"/>
        <v>65.387900044754858</v>
      </c>
      <c r="AL422" s="272">
        <f t="shared" si="181"/>
        <v>130</v>
      </c>
      <c r="AM422" s="272">
        <f t="shared" si="169"/>
        <v>65.387900044754858</v>
      </c>
      <c r="AN422" s="272">
        <f t="shared" si="182"/>
        <v>130</v>
      </c>
      <c r="AO422" s="272">
        <f t="shared" si="170"/>
        <v>65.387900044754858</v>
      </c>
      <c r="AP422" s="272">
        <f t="shared" si="183"/>
        <v>130</v>
      </c>
      <c r="AQ422" s="272">
        <f t="shared" si="171"/>
        <v>65.387900044754858</v>
      </c>
      <c r="AR422" s="272">
        <f t="shared" si="184"/>
        <v>130</v>
      </c>
      <c r="AS422" s="508">
        <f t="shared" si="172"/>
        <v>65.387900044754858</v>
      </c>
    </row>
    <row r="423" spans="1:45" ht="12.75" customHeight="1">
      <c r="A423" s="96">
        <f>IF(MAX($F$104:F423)=$G$99,$G$99,F423)</f>
        <v>15.906595441861038</v>
      </c>
      <c r="B423" s="481">
        <v>320</v>
      </c>
      <c r="C423" s="96">
        <f t="shared" si="163"/>
        <v>0.48000000000000037</v>
      </c>
      <c r="D423" s="96">
        <f t="shared" si="157"/>
        <v>143.33776207517872</v>
      </c>
      <c r="E423" s="96">
        <f t="shared" si="158"/>
        <v>1.9408836725874111E-3</v>
      </c>
      <c r="F423" s="96">
        <f t="shared" si="159"/>
        <v>0.2323302470876574</v>
      </c>
      <c r="G423" s="96">
        <f t="shared" si="162"/>
        <v>-6.5669752912342588E-2</v>
      </c>
      <c r="I423" s="96">
        <f t="shared" si="160"/>
        <v>0</v>
      </c>
      <c r="J423" s="96">
        <f t="shared" si="161"/>
        <v>0.48000000000000037</v>
      </c>
      <c r="X423" s="96">
        <f t="shared" si="173"/>
        <v>67</v>
      </c>
      <c r="Y423" s="96">
        <v>0.34399999999999997</v>
      </c>
      <c r="Z423" s="272">
        <f t="shared" si="175"/>
        <v>67</v>
      </c>
      <c r="AA423" s="519">
        <f t="shared" si="176"/>
        <v>64.924601485501071</v>
      </c>
      <c r="AB423" s="516">
        <f t="shared" si="174"/>
        <v>128</v>
      </c>
      <c r="AC423" s="272">
        <f t="shared" si="164"/>
        <v>66.169859158210897</v>
      </c>
      <c r="AD423" s="272">
        <f t="shared" si="177"/>
        <v>130</v>
      </c>
      <c r="AE423" s="272">
        <f t="shared" si="165"/>
        <v>66.15043470928434</v>
      </c>
      <c r="AF423" s="272">
        <f t="shared" si="178"/>
        <v>132</v>
      </c>
      <c r="AG423" s="272">
        <f t="shared" si="166"/>
        <v>66.13160691942079</v>
      </c>
      <c r="AH423" s="272">
        <f t="shared" si="179"/>
        <v>132</v>
      </c>
      <c r="AI423" s="272">
        <f t="shared" si="167"/>
        <v>66.13160691942079</v>
      </c>
      <c r="AJ423" s="272">
        <f t="shared" si="180"/>
        <v>132</v>
      </c>
      <c r="AK423" s="272">
        <f t="shared" si="168"/>
        <v>66.13160691942079</v>
      </c>
      <c r="AL423" s="272">
        <f t="shared" si="181"/>
        <v>132</v>
      </c>
      <c r="AM423" s="272">
        <f t="shared" si="169"/>
        <v>66.13160691942079</v>
      </c>
      <c r="AN423" s="272">
        <f t="shared" si="182"/>
        <v>132</v>
      </c>
      <c r="AO423" s="272">
        <f t="shared" si="170"/>
        <v>66.13160691942079</v>
      </c>
      <c r="AP423" s="272">
        <f t="shared" si="183"/>
        <v>132</v>
      </c>
      <c r="AQ423" s="272">
        <f t="shared" si="171"/>
        <v>66.13160691942079</v>
      </c>
      <c r="AR423" s="272">
        <f t="shared" si="184"/>
        <v>132</v>
      </c>
      <c r="AS423" s="508">
        <f t="shared" si="172"/>
        <v>66.13160691942079</v>
      </c>
    </row>
    <row r="424" spans="1:45" ht="12.75" customHeight="1">
      <c r="A424" s="96">
        <f>IF(MAX($F$104:F424)=$G$99,$G$99,F424)</f>
        <v>15.906595441861038</v>
      </c>
      <c r="B424" s="481">
        <v>321</v>
      </c>
      <c r="C424" s="96">
        <f t="shared" si="163"/>
        <v>0.48150000000000037</v>
      </c>
      <c r="D424" s="96">
        <f t="shared" ref="D424:D487" si="185">C424^2/$C$96</f>
        <v>144.23502287098137</v>
      </c>
      <c r="E424" s="96">
        <f t="shared" ref="E424:E487" si="186">CHIDIST(D424,$E$96)</f>
        <v>1.654766558423805E-3</v>
      </c>
      <c r="F424" s="96">
        <f t="shared" ref="F424:F487" si="187">IF($E$7&lt;$F$101,NA(),$E$98*(E423-E425)/(2*$C$99))</f>
        <v>0.20079744275048086</v>
      </c>
      <c r="G424" s="96">
        <f t="shared" si="162"/>
        <v>-9.7202557249519123E-2</v>
      </c>
      <c r="I424" s="96">
        <f t="shared" ref="I424:I487" si="188">IF(F424&gt;$G$98,1,0)</f>
        <v>0</v>
      </c>
      <c r="J424" s="96">
        <f t="shared" ref="J424:J487" si="189">C424</f>
        <v>0.48150000000000037</v>
      </c>
      <c r="X424" s="96">
        <f t="shared" si="173"/>
        <v>67</v>
      </c>
      <c r="Y424" s="96">
        <v>0.34200000000000003</v>
      </c>
      <c r="Z424" s="272">
        <f t="shared" si="175"/>
        <v>67</v>
      </c>
      <c r="AA424" s="519">
        <f t="shared" si="176"/>
        <v>65.686173877331939</v>
      </c>
      <c r="AB424" s="516">
        <f t="shared" si="174"/>
        <v>130</v>
      </c>
      <c r="AC424" s="272">
        <f t="shared" si="164"/>
        <v>66.926386253529884</v>
      </c>
      <c r="AD424" s="272">
        <f t="shared" si="177"/>
        <v>132</v>
      </c>
      <c r="AE424" s="272">
        <f t="shared" si="165"/>
        <v>66.907337611714496</v>
      </c>
      <c r="AF424" s="272">
        <f t="shared" si="178"/>
        <v>132</v>
      </c>
      <c r="AG424" s="272">
        <f t="shared" si="166"/>
        <v>66.907337611714496</v>
      </c>
      <c r="AH424" s="272">
        <f t="shared" si="179"/>
        <v>132</v>
      </c>
      <c r="AI424" s="272">
        <f t="shared" si="167"/>
        <v>66.907337611714496</v>
      </c>
      <c r="AJ424" s="272">
        <f t="shared" si="180"/>
        <v>132</v>
      </c>
      <c r="AK424" s="272">
        <f t="shared" si="168"/>
        <v>66.907337611714496</v>
      </c>
      <c r="AL424" s="272">
        <f t="shared" si="181"/>
        <v>132</v>
      </c>
      <c r="AM424" s="272">
        <f t="shared" si="169"/>
        <v>66.907337611714496</v>
      </c>
      <c r="AN424" s="272">
        <f t="shared" si="182"/>
        <v>132</v>
      </c>
      <c r="AO424" s="272">
        <f t="shared" si="170"/>
        <v>66.907337611714496</v>
      </c>
      <c r="AP424" s="272">
        <f t="shared" si="183"/>
        <v>132</v>
      </c>
      <c r="AQ424" s="272">
        <f t="shared" si="171"/>
        <v>66.907337611714496</v>
      </c>
      <c r="AR424" s="272">
        <f t="shared" si="184"/>
        <v>132</v>
      </c>
      <c r="AS424" s="508">
        <f t="shared" si="172"/>
        <v>66.907337611714496</v>
      </c>
    </row>
    <row r="425" spans="1:45" ht="12.75" customHeight="1">
      <c r="A425" s="96">
        <f>IF(MAX($F$104:F425)=$G$99,$G$99,F425)</f>
        <v>15.906595441861038</v>
      </c>
      <c r="B425" s="96">
        <v>322</v>
      </c>
      <c r="C425" s="96">
        <f t="shared" si="163"/>
        <v>0.48300000000000037</v>
      </c>
      <c r="D425" s="96">
        <f t="shared" si="185"/>
        <v>145.13508323244952</v>
      </c>
      <c r="E425" s="96">
        <f t="shared" si="186"/>
        <v>1.4077931166126831E-3</v>
      </c>
      <c r="F425" s="96">
        <f t="shared" si="187"/>
        <v>0.17313884184744316</v>
      </c>
      <c r="G425" s="96">
        <f t="shared" ref="G425:G488" si="190">F425-$G$101</f>
        <v>-0.12486115815255683</v>
      </c>
      <c r="I425" s="96">
        <f t="shared" si="188"/>
        <v>0</v>
      </c>
      <c r="J425" s="96">
        <f t="shared" si="189"/>
        <v>0.48300000000000037</v>
      </c>
      <c r="X425" s="96">
        <f t="shared" si="173"/>
        <v>68</v>
      </c>
      <c r="Y425" s="96">
        <v>0.34</v>
      </c>
      <c r="Z425" s="272">
        <f t="shared" si="175"/>
        <v>68</v>
      </c>
      <c r="AA425" s="519">
        <f t="shared" si="176"/>
        <v>66.461225271524668</v>
      </c>
      <c r="AB425" s="516">
        <f t="shared" si="174"/>
        <v>132</v>
      </c>
      <c r="AC425" s="272">
        <f t="shared" si="164"/>
        <v>67.696797892876944</v>
      </c>
      <c r="AD425" s="272">
        <f t="shared" si="177"/>
        <v>134</v>
      </c>
      <c r="AE425" s="272">
        <f t="shared" si="165"/>
        <v>67.678107555745754</v>
      </c>
      <c r="AF425" s="272">
        <f t="shared" si="178"/>
        <v>134</v>
      </c>
      <c r="AG425" s="272">
        <f t="shared" si="166"/>
        <v>67.678107555745754</v>
      </c>
      <c r="AH425" s="272">
        <f t="shared" si="179"/>
        <v>134</v>
      </c>
      <c r="AI425" s="272">
        <f t="shared" si="167"/>
        <v>67.678107555745754</v>
      </c>
      <c r="AJ425" s="272">
        <f t="shared" si="180"/>
        <v>134</v>
      </c>
      <c r="AK425" s="272">
        <f t="shared" si="168"/>
        <v>67.678107555745754</v>
      </c>
      <c r="AL425" s="272">
        <f t="shared" si="181"/>
        <v>134</v>
      </c>
      <c r="AM425" s="272">
        <f t="shared" si="169"/>
        <v>67.678107555745754</v>
      </c>
      <c r="AN425" s="272">
        <f t="shared" si="182"/>
        <v>134</v>
      </c>
      <c r="AO425" s="272">
        <f t="shared" si="170"/>
        <v>67.678107555745754</v>
      </c>
      <c r="AP425" s="272">
        <f t="shared" si="183"/>
        <v>134</v>
      </c>
      <c r="AQ425" s="272">
        <f t="shared" si="171"/>
        <v>67.678107555745754</v>
      </c>
      <c r="AR425" s="272">
        <f t="shared" si="184"/>
        <v>134</v>
      </c>
      <c r="AS425" s="508">
        <f t="shared" si="172"/>
        <v>67.678107555745754</v>
      </c>
    </row>
    <row r="426" spans="1:45" ht="12.75" customHeight="1">
      <c r="A426" s="96">
        <f>IF(MAX($F$104:F426)=$G$99,$G$99,F426)</f>
        <v>15.906595441861038</v>
      </c>
      <c r="B426" s="481">
        <v>323</v>
      </c>
      <c r="C426" s="96">
        <f t="shared" si="163"/>
        <v>0.48450000000000037</v>
      </c>
      <c r="D426" s="96">
        <f t="shared" si="185"/>
        <v>146.03794315958322</v>
      </c>
      <c r="E426" s="96">
        <f t="shared" si="186"/>
        <v>1.1951059163509471E-3</v>
      </c>
      <c r="F426" s="96">
        <f t="shared" si="187"/>
        <v>0.14894203275600573</v>
      </c>
      <c r="G426" s="96">
        <f t="shared" si="190"/>
        <v>-0.14905796724399425</v>
      </c>
      <c r="I426" s="96">
        <f t="shared" si="188"/>
        <v>0</v>
      </c>
      <c r="J426" s="96">
        <f t="shared" si="189"/>
        <v>0.48450000000000037</v>
      </c>
      <c r="X426" s="96">
        <f t="shared" si="173"/>
        <v>69</v>
      </c>
      <c r="Y426" s="96">
        <v>0.33800000000000002</v>
      </c>
      <c r="Z426" s="272">
        <f t="shared" si="175"/>
        <v>69</v>
      </c>
      <c r="AA426" s="519">
        <f t="shared" si="176"/>
        <v>67.250075639755735</v>
      </c>
      <c r="AB426" s="516">
        <f t="shared" si="174"/>
        <v>134</v>
      </c>
      <c r="AC426" s="272">
        <f t="shared" si="164"/>
        <v>68.481401504185854</v>
      </c>
      <c r="AD426" s="272">
        <f t="shared" si="177"/>
        <v>136</v>
      </c>
      <c r="AE426" s="272">
        <f t="shared" si="165"/>
        <v>68.463052938522452</v>
      </c>
      <c r="AF426" s="272">
        <f t="shared" si="178"/>
        <v>136</v>
      </c>
      <c r="AG426" s="272">
        <f t="shared" si="166"/>
        <v>68.463052938522452</v>
      </c>
      <c r="AH426" s="272">
        <f t="shared" si="179"/>
        <v>136</v>
      </c>
      <c r="AI426" s="272">
        <f t="shared" si="167"/>
        <v>68.463052938522452</v>
      </c>
      <c r="AJ426" s="272">
        <f t="shared" si="180"/>
        <v>136</v>
      </c>
      <c r="AK426" s="272">
        <f t="shared" si="168"/>
        <v>68.463052938522452</v>
      </c>
      <c r="AL426" s="272">
        <f t="shared" si="181"/>
        <v>136</v>
      </c>
      <c r="AM426" s="272">
        <f t="shared" si="169"/>
        <v>68.463052938522452</v>
      </c>
      <c r="AN426" s="272">
        <f t="shared" si="182"/>
        <v>136</v>
      </c>
      <c r="AO426" s="272">
        <f t="shared" si="170"/>
        <v>68.463052938522452</v>
      </c>
      <c r="AP426" s="272">
        <f t="shared" si="183"/>
        <v>136</v>
      </c>
      <c r="AQ426" s="272">
        <f t="shared" si="171"/>
        <v>68.463052938522452</v>
      </c>
      <c r="AR426" s="272">
        <f t="shared" si="184"/>
        <v>136</v>
      </c>
      <c r="AS426" s="508">
        <f t="shared" si="172"/>
        <v>68.463052938522452</v>
      </c>
    </row>
    <row r="427" spans="1:45" ht="12.75" customHeight="1">
      <c r="A427" s="96">
        <f>IF(MAX($F$104:F427)=$G$99,$G$99,F427)</f>
        <v>15.906595441861038</v>
      </c>
      <c r="B427" s="481">
        <v>324</v>
      </c>
      <c r="C427" s="96">
        <f t="shared" si="163"/>
        <v>0.48600000000000038</v>
      </c>
      <c r="D427" s="96">
        <f t="shared" si="185"/>
        <v>146.94360265238245</v>
      </c>
      <c r="E427" s="96">
        <f t="shared" si="186"/>
        <v>1.0123717907117829E-3</v>
      </c>
      <c r="F427" s="96">
        <f t="shared" si="187"/>
        <v>0.12782888208420251</v>
      </c>
      <c r="G427" s="96">
        <f t="shared" si="190"/>
        <v>-0.17017111791579748</v>
      </c>
      <c r="I427" s="96">
        <f t="shared" si="188"/>
        <v>0</v>
      </c>
      <c r="J427" s="96">
        <f t="shared" si="189"/>
        <v>0.48600000000000038</v>
      </c>
      <c r="X427" s="96">
        <f t="shared" si="173"/>
        <v>70</v>
      </c>
      <c r="Y427" s="96">
        <v>0.33600000000000002</v>
      </c>
      <c r="Z427" s="272">
        <f t="shared" si="175"/>
        <v>70</v>
      </c>
      <c r="AA427" s="519">
        <f t="shared" si="176"/>
        <v>68.053054504927118</v>
      </c>
      <c r="AB427" s="516">
        <f t="shared" si="174"/>
        <v>136</v>
      </c>
      <c r="AC427" s="272">
        <f t="shared" si="164"/>
        <v>69.280514986434937</v>
      </c>
      <c r="AD427" s="272">
        <f t="shared" si="177"/>
        <v>138</v>
      </c>
      <c r="AE427" s="272">
        <f t="shared" si="165"/>
        <v>69.262492557833284</v>
      </c>
      <c r="AF427" s="272">
        <f t="shared" si="178"/>
        <v>138</v>
      </c>
      <c r="AG427" s="272">
        <f t="shared" si="166"/>
        <v>69.262492557833284</v>
      </c>
      <c r="AH427" s="272">
        <f t="shared" si="179"/>
        <v>138</v>
      </c>
      <c r="AI427" s="272">
        <f t="shared" si="167"/>
        <v>69.262492557833284</v>
      </c>
      <c r="AJ427" s="272">
        <f t="shared" si="180"/>
        <v>138</v>
      </c>
      <c r="AK427" s="272">
        <f t="shared" si="168"/>
        <v>69.262492557833284</v>
      </c>
      <c r="AL427" s="272">
        <f t="shared" si="181"/>
        <v>138</v>
      </c>
      <c r="AM427" s="272">
        <f t="shared" si="169"/>
        <v>69.262492557833284</v>
      </c>
      <c r="AN427" s="272">
        <f t="shared" si="182"/>
        <v>138</v>
      </c>
      <c r="AO427" s="272">
        <f t="shared" si="170"/>
        <v>69.262492557833284</v>
      </c>
      <c r="AP427" s="272">
        <f t="shared" si="183"/>
        <v>138</v>
      </c>
      <c r="AQ427" s="272">
        <f t="shared" si="171"/>
        <v>69.262492557833284</v>
      </c>
      <c r="AR427" s="272">
        <f t="shared" si="184"/>
        <v>138</v>
      </c>
      <c r="AS427" s="508">
        <f t="shared" si="172"/>
        <v>69.262492557833284</v>
      </c>
    </row>
    <row r="428" spans="1:45" ht="12.75" customHeight="1">
      <c r="A428" s="96">
        <f>IF(MAX($F$104:F428)=$G$99,$G$99,F428)</f>
        <v>15.906595441861038</v>
      </c>
      <c r="B428" s="96">
        <v>325</v>
      </c>
      <c r="C428" s="96">
        <f t="shared" si="163"/>
        <v>0.48750000000000038</v>
      </c>
      <c r="D428" s="96">
        <f t="shared" si="185"/>
        <v>147.85206171084721</v>
      </c>
      <c r="E428" s="96">
        <f t="shared" si="186"/>
        <v>8.5573720285306428E-4</v>
      </c>
      <c r="F428" s="96">
        <f t="shared" si="187"/>
        <v>0.10945412525183293</v>
      </c>
      <c r="G428" s="96">
        <f t="shared" si="190"/>
        <v>-0.18854587474816706</v>
      </c>
      <c r="I428" s="96">
        <f t="shared" si="188"/>
        <v>0</v>
      </c>
      <c r="J428" s="96">
        <f t="shared" si="189"/>
        <v>0.48750000000000038</v>
      </c>
      <c r="X428" s="96">
        <f t="shared" si="173"/>
        <v>71</v>
      </c>
      <c r="Y428" s="96">
        <v>0.33400000000000002</v>
      </c>
      <c r="Z428" s="272">
        <f t="shared" si="175"/>
        <v>71</v>
      </c>
      <c r="AA428" s="519">
        <f t="shared" si="176"/>
        <v>68.870501285347743</v>
      </c>
      <c r="AB428" s="516">
        <f t="shared" si="174"/>
        <v>136</v>
      </c>
      <c r="AC428" s="272">
        <f t="shared" si="164"/>
        <v>70.112705904734469</v>
      </c>
      <c r="AD428" s="272">
        <f t="shared" si="177"/>
        <v>138</v>
      </c>
      <c r="AE428" s="272">
        <f t="shared" si="165"/>
        <v>70.09446699244458</v>
      </c>
      <c r="AF428" s="272">
        <f t="shared" si="178"/>
        <v>140</v>
      </c>
      <c r="AG428" s="272">
        <f t="shared" si="166"/>
        <v>70.076755900848653</v>
      </c>
      <c r="AH428" s="272">
        <f t="shared" si="179"/>
        <v>140</v>
      </c>
      <c r="AI428" s="272">
        <f t="shared" si="167"/>
        <v>70.076755900848653</v>
      </c>
      <c r="AJ428" s="272">
        <f t="shared" si="180"/>
        <v>140</v>
      </c>
      <c r="AK428" s="272">
        <f t="shared" si="168"/>
        <v>70.076755900848653</v>
      </c>
      <c r="AL428" s="272">
        <f t="shared" si="181"/>
        <v>140</v>
      </c>
      <c r="AM428" s="272">
        <f t="shared" si="169"/>
        <v>70.076755900848653</v>
      </c>
      <c r="AN428" s="272">
        <f t="shared" si="182"/>
        <v>140</v>
      </c>
      <c r="AO428" s="272">
        <f t="shared" si="170"/>
        <v>70.076755900848653</v>
      </c>
      <c r="AP428" s="272">
        <f t="shared" si="183"/>
        <v>140</v>
      </c>
      <c r="AQ428" s="272">
        <f t="shared" si="171"/>
        <v>70.076755900848653</v>
      </c>
      <c r="AR428" s="272">
        <f t="shared" si="184"/>
        <v>140</v>
      </c>
      <c r="AS428" s="508">
        <f t="shared" si="172"/>
        <v>70.076755900848653</v>
      </c>
    </row>
    <row r="429" spans="1:45" ht="12.75" customHeight="1">
      <c r="A429" s="96">
        <f>IF(MAX($F$104:F429)=$G$99,$G$99,F429)</f>
        <v>15.906595441861038</v>
      </c>
      <c r="B429" s="481">
        <v>326</v>
      </c>
      <c r="C429" s="96">
        <f t="shared" si="163"/>
        <v>0.48900000000000038</v>
      </c>
      <c r="D429" s="96">
        <f t="shared" si="185"/>
        <v>148.76332033497749</v>
      </c>
      <c r="E429" s="96">
        <f t="shared" si="186"/>
        <v>7.217856174768282E-4</v>
      </c>
      <c r="F429" s="96">
        <f t="shared" si="187"/>
        <v>9.3503780175683796E-2</v>
      </c>
      <c r="G429" s="96">
        <f t="shared" si="190"/>
        <v>-0.20449621982431621</v>
      </c>
      <c r="I429" s="96">
        <f t="shared" si="188"/>
        <v>0</v>
      </c>
      <c r="J429" s="96">
        <f t="shared" si="189"/>
        <v>0.48900000000000038</v>
      </c>
      <c r="X429" s="96">
        <f t="shared" si="173"/>
        <v>71</v>
      </c>
      <c r="Y429" s="96">
        <v>0.33200000000000002</v>
      </c>
      <c r="Z429" s="272">
        <f t="shared" si="175"/>
        <v>71</v>
      </c>
      <c r="AA429" s="519">
        <f t="shared" si="176"/>
        <v>69.702765653471602</v>
      </c>
      <c r="AB429" s="516">
        <f t="shared" si="174"/>
        <v>138</v>
      </c>
      <c r="AC429" s="272">
        <f t="shared" si="164"/>
        <v>70.941522352746659</v>
      </c>
      <c r="AD429" s="272">
        <f t="shared" si="177"/>
        <v>140</v>
      </c>
      <c r="AE429" s="272">
        <f t="shared" si="165"/>
        <v>70.923597231774139</v>
      </c>
      <c r="AF429" s="272">
        <f t="shared" si="178"/>
        <v>140</v>
      </c>
      <c r="AG429" s="272">
        <f t="shared" si="166"/>
        <v>70.923597231774139</v>
      </c>
      <c r="AH429" s="272">
        <f t="shared" si="179"/>
        <v>140</v>
      </c>
      <c r="AI429" s="272">
        <f t="shared" si="167"/>
        <v>70.923597231774139</v>
      </c>
      <c r="AJ429" s="272">
        <f t="shared" si="180"/>
        <v>140</v>
      </c>
      <c r="AK429" s="272">
        <f t="shared" si="168"/>
        <v>70.923597231774139</v>
      </c>
      <c r="AL429" s="272">
        <f t="shared" si="181"/>
        <v>140</v>
      </c>
      <c r="AM429" s="272">
        <f t="shared" si="169"/>
        <v>70.923597231774139</v>
      </c>
      <c r="AN429" s="272">
        <f t="shared" si="182"/>
        <v>140</v>
      </c>
      <c r="AO429" s="272">
        <f t="shared" si="170"/>
        <v>70.923597231774139</v>
      </c>
      <c r="AP429" s="272">
        <f t="shared" si="183"/>
        <v>140</v>
      </c>
      <c r="AQ429" s="272">
        <f t="shared" si="171"/>
        <v>70.923597231774139</v>
      </c>
      <c r="AR429" s="272">
        <f t="shared" si="184"/>
        <v>140</v>
      </c>
      <c r="AS429" s="508">
        <f t="shared" si="172"/>
        <v>70.923597231774139</v>
      </c>
    </row>
    <row r="430" spans="1:45" ht="12.75" customHeight="1">
      <c r="A430" s="96">
        <f>IF(MAX($F$104:F430)=$G$99,$G$99,F430)</f>
        <v>15.906595441861038</v>
      </c>
      <c r="B430" s="481">
        <v>327</v>
      </c>
      <c r="C430" s="96">
        <f t="shared" si="163"/>
        <v>0.49050000000000038</v>
      </c>
      <c r="D430" s="96">
        <f t="shared" si="185"/>
        <v>149.6773785247733</v>
      </c>
      <c r="E430" s="96">
        <f t="shared" si="186"/>
        <v>6.0749707849284181E-4</v>
      </c>
      <c r="F430" s="96">
        <f t="shared" si="187"/>
        <v>7.9693432488146143E-2</v>
      </c>
      <c r="G430" s="96">
        <f t="shared" si="190"/>
        <v>-0.21830656751185384</v>
      </c>
      <c r="I430" s="96">
        <f t="shared" si="188"/>
        <v>0</v>
      </c>
      <c r="J430" s="96">
        <f t="shared" si="189"/>
        <v>0.49050000000000038</v>
      </c>
      <c r="X430" s="96">
        <f t="shared" si="173"/>
        <v>72</v>
      </c>
      <c r="Y430" s="96">
        <v>0.33</v>
      </c>
      <c r="Z430" s="272">
        <f t="shared" si="175"/>
        <v>72</v>
      </c>
      <c r="AA430" s="519">
        <f t="shared" si="176"/>
        <v>70.550207909901317</v>
      </c>
      <c r="AB430" s="516">
        <f t="shared" si="174"/>
        <v>140</v>
      </c>
      <c r="AC430" s="272">
        <f t="shared" si="164"/>
        <v>71.785882289027299</v>
      </c>
      <c r="AD430" s="272">
        <f t="shared" si="177"/>
        <v>142</v>
      </c>
      <c r="AE430" s="272">
        <f t="shared" si="165"/>
        <v>71.768256793990901</v>
      </c>
      <c r="AF430" s="272">
        <f t="shared" si="178"/>
        <v>142</v>
      </c>
      <c r="AG430" s="272">
        <f t="shared" si="166"/>
        <v>71.768256793990901</v>
      </c>
      <c r="AH430" s="272">
        <f t="shared" si="179"/>
        <v>142</v>
      </c>
      <c r="AI430" s="272">
        <f t="shared" si="167"/>
        <v>71.768256793990901</v>
      </c>
      <c r="AJ430" s="272">
        <f t="shared" si="180"/>
        <v>142</v>
      </c>
      <c r="AK430" s="272">
        <f t="shared" si="168"/>
        <v>71.768256793990901</v>
      </c>
      <c r="AL430" s="272">
        <f t="shared" si="181"/>
        <v>142</v>
      </c>
      <c r="AM430" s="272">
        <f t="shared" si="169"/>
        <v>71.768256793990901</v>
      </c>
      <c r="AN430" s="272">
        <f t="shared" si="182"/>
        <v>142</v>
      </c>
      <c r="AO430" s="272">
        <f t="shared" si="170"/>
        <v>71.768256793990901</v>
      </c>
      <c r="AP430" s="272">
        <f t="shared" si="183"/>
        <v>142</v>
      </c>
      <c r="AQ430" s="272">
        <f t="shared" si="171"/>
        <v>71.768256793990901</v>
      </c>
      <c r="AR430" s="272">
        <f t="shared" si="184"/>
        <v>142</v>
      </c>
      <c r="AS430" s="508">
        <f t="shared" si="172"/>
        <v>71.768256793990901</v>
      </c>
    </row>
    <row r="431" spans="1:45" ht="12.75" customHeight="1">
      <c r="A431" s="96">
        <f>IF(MAX($F$104:F431)=$G$99,$G$99,F431)</f>
        <v>15.906595441861038</v>
      </c>
      <c r="B431" s="96">
        <v>328</v>
      </c>
      <c r="C431" s="96">
        <f t="shared" si="163"/>
        <v>0.49200000000000038</v>
      </c>
      <c r="D431" s="96">
        <f t="shared" si="185"/>
        <v>150.59423628023464</v>
      </c>
      <c r="E431" s="96">
        <f t="shared" si="186"/>
        <v>5.1021013299502426E-4</v>
      </c>
      <c r="F431" s="96">
        <f t="shared" si="187"/>
        <v>6.7766435501907515E-2</v>
      </c>
      <c r="G431" s="96">
        <f t="shared" si="190"/>
        <v>-0.23023356449809246</v>
      </c>
      <c r="I431" s="96">
        <f t="shared" si="188"/>
        <v>0</v>
      </c>
      <c r="J431" s="96">
        <f t="shared" si="189"/>
        <v>0.49200000000000038</v>
      </c>
      <c r="X431" s="96">
        <f t="shared" si="173"/>
        <v>73</v>
      </c>
      <c r="Y431" s="96">
        <v>0.32800000000000001</v>
      </c>
      <c r="Z431" s="272">
        <f t="shared" si="175"/>
        <v>73</v>
      </c>
      <c r="AA431" s="519">
        <f t="shared" si="176"/>
        <v>71.413199373403614</v>
      </c>
      <c r="AB431" s="516">
        <f t="shared" si="174"/>
        <v>142</v>
      </c>
      <c r="AC431" s="272">
        <f t="shared" si="164"/>
        <v>72.646147799539065</v>
      </c>
      <c r="AD431" s="272">
        <f t="shared" si="177"/>
        <v>144</v>
      </c>
      <c r="AE431" s="272">
        <f t="shared" si="165"/>
        <v>72.62880849242471</v>
      </c>
      <c r="AF431" s="272">
        <f t="shared" si="178"/>
        <v>144</v>
      </c>
      <c r="AG431" s="272">
        <f t="shared" si="166"/>
        <v>72.62880849242471</v>
      </c>
      <c r="AH431" s="272">
        <f t="shared" si="179"/>
        <v>144</v>
      </c>
      <c r="AI431" s="272">
        <f t="shared" si="167"/>
        <v>72.62880849242471</v>
      </c>
      <c r="AJ431" s="272">
        <f t="shared" si="180"/>
        <v>144</v>
      </c>
      <c r="AK431" s="272">
        <f t="shared" si="168"/>
        <v>72.62880849242471</v>
      </c>
      <c r="AL431" s="272">
        <f t="shared" si="181"/>
        <v>144</v>
      </c>
      <c r="AM431" s="272">
        <f t="shared" si="169"/>
        <v>72.62880849242471</v>
      </c>
      <c r="AN431" s="272">
        <f t="shared" si="182"/>
        <v>144</v>
      </c>
      <c r="AO431" s="272">
        <f t="shared" si="170"/>
        <v>72.62880849242471</v>
      </c>
      <c r="AP431" s="272">
        <f t="shared" si="183"/>
        <v>144</v>
      </c>
      <c r="AQ431" s="272">
        <f t="shared" si="171"/>
        <v>72.62880849242471</v>
      </c>
      <c r="AR431" s="272">
        <f t="shared" si="184"/>
        <v>144</v>
      </c>
      <c r="AS431" s="508">
        <f t="shared" si="172"/>
        <v>72.62880849242471</v>
      </c>
    </row>
    <row r="432" spans="1:45" ht="12.75" customHeight="1">
      <c r="A432" s="96">
        <f>IF(MAX($F$104:F432)=$G$99,$G$99,F432)</f>
        <v>15.906595441861038</v>
      </c>
      <c r="B432" s="481">
        <v>329</v>
      </c>
      <c r="C432" s="96">
        <f t="shared" si="163"/>
        <v>0.49350000000000038</v>
      </c>
      <c r="D432" s="96">
        <f t="shared" si="185"/>
        <v>151.51389360136153</v>
      </c>
      <c r="E432" s="96">
        <f t="shared" si="186"/>
        <v>4.27586187779813E-4</v>
      </c>
      <c r="F432" s="96">
        <f t="shared" si="187"/>
        <v>5.7492062915358681E-2</v>
      </c>
      <c r="G432" s="96">
        <f t="shared" si="190"/>
        <v>-0.2405079370846413</v>
      </c>
      <c r="I432" s="96">
        <f t="shared" si="188"/>
        <v>0</v>
      </c>
      <c r="J432" s="96">
        <f t="shared" si="189"/>
        <v>0.49350000000000038</v>
      </c>
      <c r="X432" s="96">
        <f t="shared" si="173"/>
        <v>74</v>
      </c>
      <c r="Y432" s="96">
        <v>0.32600000000000001</v>
      </c>
      <c r="Z432" s="272">
        <f t="shared" si="175"/>
        <v>74</v>
      </c>
      <c r="AA432" s="519">
        <f t="shared" si="176"/>
        <v>72.292122787724907</v>
      </c>
      <c r="AB432" s="516">
        <f t="shared" si="174"/>
        <v>144</v>
      </c>
      <c r="AC432" s="272">
        <f t="shared" si="164"/>
        <v>73.522693108971168</v>
      </c>
      <c r="AD432" s="272">
        <f t="shared" si="177"/>
        <v>146</v>
      </c>
      <c r="AE432" s="272">
        <f t="shared" si="165"/>
        <v>73.505627228907827</v>
      </c>
      <c r="AF432" s="272">
        <f t="shared" si="178"/>
        <v>146</v>
      </c>
      <c r="AG432" s="272">
        <f t="shared" si="166"/>
        <v>73.505627228907827</v>
      </c>
      <c r="AH432" s="272">
        <f t="shared" si="179"/>
        <v>146</v>
      </c>
      <c r="AI432" s="272">
        <f t="shared" si="167"/>
        <v>73.505627228907827</v>
      </c>
      <c r="AJ432" s="272">
        <f t="shared" si="180"/>
        <v>146</v>
      </c>
      <c r="AK432" s="272">
        <f t="shared" si="168"/>
        <v>73.505627228907827</v>
      </c>
      <c r="AL432" s="272">
        <f t="shared" si="181"/>
        <v>146</v>
      </c>
      <c r="AM432" s="272">
        <f t="shared" si="169"/>
        <v>73.505627228907827</v>
      </c>
      <c r="AN432" s="272">
        <f t="shared" si="182"/>
        <v>146</v>
      </c>
      <c r="AO432" s="272">
        <f t="shared" si="170"/>
        <v>73.505627228907827</v>
      </c>
      <c r="AP432" s="272">
        <f t="shared" si="183"/>
        <v>146</v>
      </c>
      <c r="AQ432" s="272">
        <f t="shared" si="171"/>
        <v>73.505627228907827</v>
      </c>
      <c r="AR432" s="272">
        <f t="shared" si="184"/>
        <v>146</v>
      </c>
      <c r="AS432" s="508">
        <f t="shared" si="172"/>
        <v>73.505627228907827</v>
      </c>
    </row>
    <row r="433" spans="1:45" ht="12.75" customHeight="1">
      <c r="A433" s="96">
        <f>IF(MAX($F$104:F433)=$G$99,$G$99,F433)</f>
        <v>15.906595441861038</v>
      </c>
      <c r="B433" s="481">
        <v>330</v>
      </c>
      <c r="C433" s="96">
        <f t="shared" si="163"/>
        <v>0.49500000000000038</v>
      </c>
      <c r="D433" s="96">
        <f t="shared" si="185"/>
        <v>152.43635048815395</v>
      </c>
      <c r="E433" s="96">
        <f t="shared" si="186"/>
        <v>3.5757633764451447E-4</v>
      </c>
      <c r="F433" s="96">
        <f t="shared" si="187"/>
        <v>4.8663647142004184E-2</v>
      </c>
      <c r="G433" s="96">
        <f t="shared" si="190"/>
        <v>-0.2493363528579958</v>
      </c>
      <c r="I433" s="96">
        <f t="shared" si="188"/>
        <v>0</v>
      </c>
      <c r="J433" s="96">
        <f t="shared" si="189"/>
        <v>0.49500000000000038</v>
      </c>
      <c r="X433" s="96">
        <f t="shared" si="173"/>
        <v>75</v>
      </c>
      <c r="Y433" s="96">
        <v>0.32400000000000001</v>
      </c>
      <c r="Z433" s="272">
        <f t="shared" si="175"/>
        <v>75</v>
      </c>
      <c r="AA433" s="519">
        <f t="shared" si="176"/>
        <v>73.1873727460396</v>
      </c>
      <c r="AB433" s="516">
        <f t="shared" si="174"/>
        <v>146</v>
      </c>
      <c r="AC433" s="272">
        <f t="shared" si="164"/>
        <v>74.415904962843015</v>
      </c>
      <c r="AD433" s="272">
        <f t="shared" si="177"/>
        <v>148</v>
      </c>
      <c r="AE433" s="272">
        <f t="shared" si="165"/>
        <v>74.399100379891607</v>
      </c>
      <c r="AF433" s="272">
        <f t="shared" si="178"/>
        <v>148</v>
      </c>
      <c r="AG433" s="272">
        <f t="shared" si="166"/>
        <v>74.399100379891607</v>
      </c>
      <c r="AH433" s="272">
        <f t="shared" si="179"/>
        <v>148</v>
      </c>
      <c r="AI433" s="272">
        <f t="shared" si="167"/>
        <v>74.399100379891607</v>
      </c>
      <c r="AJ433" s="272">
        <f t="shared" si="180"/>
        <v>148</v>
      </c>
      <c r="AK433" s="272">
        <f t="shared" si="168"/>
        <v>74.399100379891607</v>
      </c>
      <c r="AL433" s="272">
        <f t="shared" si="181"/>
        <v>148</v>
      </c>
      <c r="AM433" s="272">
        <f t="shared" si="169"/>
        <v>74.399100379891607</v>
      </c>
      <c r="AN433" s="272">
        <f t="shared" si="182"/>
        <v>148</v>
      </c>
      <c r="AO433" s="272">
        <f t="shared" si="170"/>
        <v>74.399100379891607</v>
      </c>
      <c r="AP433" s="272">
        <f t="shared" si="183"/>
        <v>148</v>
      </c>
      <c r="AQ433" s="272">
        <f t="shared" si="171"/>
        <v>74.399100379891607</v>
      </c>
      <c r="AR433" s="272">
        <f t="shared" si="184"/>
        <v>148</v>
      </c>
      <c r="AS433" s="508">
        <f t="shared" si="172"/>
        <v>74.399100379891607</v>
      </c>
    </row>
    <row r="434" spans="1:45" ht="12.75" customHeight="1">
      <c r="A434" s="96">
        <f>IF(MAX($F$104:F434)=$G$99,$G$99,F434)</f>
        <v>15.906595441861038</v>
      </c>
      <c r="B434" s="96">
        <v>331</v>
      </c>
      <c r="C434" s="96">
        <f t="shared" si="163"/>
        <v>0.49650000000000039</v>
      </c>
      <c r="D434" s="96">
        <f t="shared" si="185"/>
        <v>153.36160694061189</v>
      </c>
      <c r="E434" s="96">
        <f t="shared" si="186"/>
        <v>2.9839066439396117E-4</v>
      </c>
      <c r="F434" s="96">
        <f t="shared" si="187"/>
        <v>4.1096728207828406E-2</v>
      </c>
      <c r="G434" s="96">
        <f t="shared" si="190"/>
        <v>-0.25690327179217159</v>
      </c>
      <c r="I434" s="96">
        <f t="shared" si="188"/>
        <v>0</v>
      </c>
      <c r="J434" s="96">
        <f t="shared" si="189"/>
        <v>0.49650000000000039</v>
      </c>
      <c r="X434" s="96">
        <f t="shared" si="173"/>
        <v>76</v>
      </c>
      <c r="Y434" s="96">
        <v>0.32200000000000001</v>
      </c>
      <c r="Z434" s="272">
        <f t="shared" si="175"/>
        <v>76</v>
      </c>
      <c r="AA434" s="519">
        <f t="shared" si="176"/>
        <v>74.099356133909325</v>
      </c>
      <c r="AB434" s="516">
        <f t="shared" si="174"/>
        <v>148</v>
      </c>
      <c r="AC434" s="272">
        <f t="shared" si="164"/>
        <v>75.326183031899831</v>
      </c>
      <c r="AD434" s="272">
        <f t="shared" si="177"/>
        <v>150</v>
      </c>
      <c r="AE434" s="272">
        <f t="shared" si="165"/>
        <v>75.309628204444394</v>
      </c>
      <c r="AF434" s="272">
        <f t="shared" si="178"/>
        <v>150</v>
      </c>
      <c r="AG434" s="272">
        <f t="shared" si="166"/>
        <v>75.309628204444394</v>
      </c>
      <c r="AH434" s="272">
        <f t="shared" si="179"/>
        <v>150</v>
      </c>
      <c r="AI434" s="272">
        <f t="shared" si="167"/>
        <v>75.309628204444394</v>
      </c>
      <c r="AJ434" s="272">
        <f t="shared" si="180"/>
        <v>150</v>
      </c>
      <c r="AK434" s="272">
        <f t="shared" si="168"/>
        <v>75.309628204444394</v>
      </c>
      <c r="AL434" s="272">
        <f t="shared" si="181"/>
        <v>150</v>
      </c>
      <c r="AM434" s="272">
        <f t="shared" si="169"/>
        <v>75.309628204444394</v>
      </c>
      <c r="AN434" s="272">
        <f t="shared" si="182"/>
        <v>150</v>
      </c>
      <c r="AO434" s="272">
        <f t="shared" si="170"/>
        <v>75.309628204444394</v>
      </c>
      <c r="AP434" s="272">
        <f t="shared" si="183"/>
        <v>150</v>
      </c>
      <c r="AQ434" s="272">
        <f t="shared" si="171"/>
        <v>75.309628204444394</v>
      </c>
      <c r="AR434" s="272">
        <f t="shared" si="184"/>
        <v>150</v>
      </c>
      <c r="AS434" s="508">
        <f t="shared" si="172"/>
        <v>75.309628204444394</v>
      </c>
    </row>
    <row r="435" spans="1:45" ht="12.75" customHeight="1">
      <c r="A435" s="96">
        <f>IF(MAX($F$104:F435)=$G$99,$G$99,F435)</f>
        <v>15.906595441861038</v>
      </c>
      <c r="B435" s="481">
        <v>332</v>
      </c>
      <c r="C435" s="96">
        <f t="shared" si="163"/>
        <v>0.49800000000000039</v>
      </c>
      <c r="D435" s="96">
        <f t="shared" si="185"/>
        <v>154.28966295873536</v>
      </c>
      <c r="E435" s="96">
        <f t="shared" si="186"/>
        <v>2.4846997957063372E-4</v>
      </c>
      <c r="F435" s="96">
        <f t="shared" si="187"/>
        <v>3.4627255558365717E-2</v>
      </c>
      <c r="G435" s="96">
        <f t="shared" si="190"/>
        <v>-0.26337274444163428</v>
      </c>
      <c r="I435" s="96">
        <f t="shared" si="188"/>
        <v>0</v>
      </c>
      <c r="J435" s="96">
        <f t="shared" si="189"/>
        <v>0.49800000000000039</v>
      </c>
      <c r="X435" s="96">
        <f t="shared" si="173"/>
        <v>77</v>
      </c>
      <c r="Y435" s="96">
        <v>0.32</v>
      </c>
      <c r="Z435" s="272">
        <f t="shared" si="175"/>
        <v>77</v>
      </c>
      <c r="AA435" s="519">
        <f t="shared" si="176"/>
        <v>75.028492591682181</v>
      </c>
      <c r="AB435" s="516">
        <f t="shared" si="174"/>
        <v>150</v>
      </c>
      <c r="AC435" s="272">
        <f t="shared" si="164"/>
        <v>76.253940339351686</v>
      </c>
      <c r="AD435" s="272">
        <f t="shared" si="177"/>
        <v>152</v>
      </c>
      <c r="AE435" s="272">
        <f t="shared" si="165"/>
        <v>76.23762427481779</v>
      </c>
      <c r="AF435" s="272">
        <f t="shared" si="178"/>
        <v>152</v>
      </c>
      <c r="AG435" s="272">
        <f t="shared" si="166"/>
        <v>76.23762427481779</v>
      </c>
      <c r="AH435" s="272">
        <f t="shared" si="179"/>
        <v>152</v>
      </c>
      <c r="AI435" s="272">
        <f t="shared" si="167"/>
        <v>76.23762427481779</v>
      </c>
      <c r="AJ435" s="272">
        <f t="shared" si="180"/>
        <v>152</v>
      </c>
      <c r="AK435" s="272">
        <f t="shared" si="168"/>
        <v>76.23762427481779</v>
      </c>
      <c r="AL435" s="272">
        <f t="shared" si="181"/>
        <v>152</v>
      </c>
      <c r="AM435" s="272">
        <f t="shared" si="169"/>
        <v>76.23762427481779</v>
      </c>
      <c r="AN435" s="272">
        <f t="shared" si="182"/>
        <v>152</v>
      </c>
      <c r="AO435" s="272">
        <f t="shared" si="170"/>
        <v>76.23762427481779</v>
      </c>
      <c r="AP435" s="272">
        <f t="shared" si="183"/>
        <v>152</v>
      </c>
      <c r="AQ435" s="272">
        <f t="shared" si="171"/>
        <v>76.23762427481779</v>
      </c>
      <c r="AR435" s="272">
        <f t="shared" si="184"/>
        <v>152</v>
      </c>
      <c r="AS435" s="508">
        <f t="shared" si="172"/>
        <v>76.23762427481779</v>
      </c>
    </row>
    <row r="436" spans="1:45" ht="12.75" customHeight="1">
      <c r="A436" s="96">
        <f>IF(MAX($F$104:F436)=$G$99,$G$99,F436)</f>
        <v>15.906595441861038</v>
      </c>
      <c r="B436" s="481">
        <v>333</v>
      </c>
      <c r="C436" s="96">
        <f t="shared" si="163"/>
        <v>0.49950000000000039</v>
      </c>
      <c r="D436" s="96">
        <f t="shared" si="185"/>
        <v>155.22051854252436</v>
      </c>
      <c r="E436" s="96">
        <f t="shared" si="186"/>
        <v>2.0645989742484864E-4</v>
      </c>
      <c r="F436" s="96">
        <f t="shared" si="187"/>
        <v>2.9109814797812227E-2</v>
      </c>
      <c r="G436" s="96">
        <f t="shared" si="190"/>
        <v>-0.26889018520218777</v>
      </c>
      <c r="I436" s="96">
        <f t="shared" si="188"/>
        <v>0</v>
      </c>
      <c r="J436" s="96">
        <f t="shared" si="189"/>
        <v>0.49950000000000039</v>
      </c>
      <c r="X436" s="96">
        <f t="shared" si="173"/>
        <v>78</v>
      </c>
      <c r="Y436" s="96">
        <v>0.318</v>
      </c>
      <c r="Z436" s="272">
        <f t="shared" si="175"/>
        <v>78</v>
      </c>
      <c r="AA436" s="519">
        <f t="shared" si="176"/>
        <v>75.975214997312747</v>
      </c>
      <c r="AB436" s="516">
        <f t="shared" si="174"/>
        <v>150</v>
      </c>
      <c r="AC436" s="272">
        <f t="shared" si="164"/>
        <v>77.216125655132444</v>
      </c>
      <c r="AD436" s="272">
        <f t="shared" si="177"/>
        <v>152</v>
      </c>
      <c r="AE436" s="272">
        <f t="shared" si="165"/>
        <v>77.199603711693982</v>
      </c>
      <c r="AF436" s="272">
        <f t="shared" si="178"/>
        <v>154</v>
      </c>
      <c r="AG436" s="272">
        <f t="shared" si="166"/>
        <v>77.183515930267916</v>
      </c>
      <c r="AH436" s="272">
        <f t="shared" si="179"/>
        <v>154</v>
      </c>
      <c r="AI436" s="272">
        <f t="shared" si="167"/>
        <v>77.183515930267916</v>
      </c>
      <c r="AJ436" s="272">
        <f t="shared" si="180"/>
        <v>154</v>
      </c>
      <c r="AK436" s="272">
        <f t="shared" si="168"/>
        <v>77.183515930267916</v>
      </c>
      <c r="AL436" s="272">
        <f t="shared" si="181"/>
        <v>154</v>
      </c>
      <c r="AM436" s="272">
        <f t="shared" si="169"/>
        <v>77.183515930267916</v>
      </c>
      <c r="AN436" s="272">
        <f t="shared" si="182"/>
        <v>154</v>
      </c>
      <c r="AO436" s="272">
        <f t="shared" si="170"/>
        <v>77.183515930267916</v>
      </c>
      <c r="AP436" s="272">
        <f t="shared" si="183"/>
        <v>154</v>
      </c>
      <c r="AQ436" s="272">
        <f t="shared" si="171"/>
        <v>77.183515930267916</v>
      </c>
      <c r="AR436" s="272">
        <f t="shared" si="184"/>
        <v>154</v>
      </c>
      <c r="AS436" s="508">
        <f t="shared" si="172"/>
        <v>77.183515930267916</v>
      </c>
    </row>
    <row r="437" spans="1:45" ht="12.75" customHeight="1">
      <c r="A437" s="96">
        <f>IF(MAX($F$104:F437)=$G$99,$G$99,F437)</f>
        <v>15.906595441861038</v>
      </c>
      <c r="B437" s="96">
        <v>334</v>
      </c>
      <c r="C437" s="96">
        <f t="shared" si="163"/>
        <v>0.50100000000000033</v>
      </c>
      <c r="D437" s="96">
        <f t="shared" si="185"/>
        <v>156.15417369197885</v>
      </c>
      <c r="E437" s="96">
        <f t="shared" si="186"/>
        <v>1.7118728541714993E-4</v>
      </c>
      <c r="F437" s="96">
        <f t="shared" si="187"/>
        <v>2.4415945665698227E-2</v>
      </c>
      <c r="G437" s="96">
        <f t="shared" si="190"/>
        <v>-0.27358405433430177</v>
      </c>
      <c r="I437" s="96">
        <f t="shared" si="188"/>
        <v>0</v>
      </c>
      <c r="J437" s="96">
        <f t="shared" si="189"/>
        <v>0.50100000000000033</v>
      </c>
      <c r="X437" s="96">
        <f t="shared" si="173"/>
        <v>79</v>
      </c>
      <c r="Y437" s="96">
        <v>0.316</v>
      </c>
      <c r="Z437" s="272">
        <f t="shared" si="175"/>
        <v>79</v>
      </c>
      <c r="AA437" s="519">
        <f t="shared" si="176"/>
        <v>76.939969970640263</v>
      </c>
      <c r="AB437" s="516">
        <f t="shared" si="174"/>
        <v>152</v>
      </c>
      <c r="AC437" s="272">
        <f t="shared" si="164"/>
        <v>78.179906322517837</v>
      </c>
      <c r="AD437" s="272">
        <f t="shared" si="177"/>
        <v>154</v>
      </c>
      <c r="AE437" s="272">
        <f t="shared" si="165"/>
        <v>78.163614253849673</v>
      </c>
      <c r="AF437" s="272">
        <f t="shared" si="178"/>
        <v>156</v>
      </c>
      <c r="AG437" s="272">
        <f t="shared" si="166"/>
        <v>78.147744754929491</v>
      </c>
      <c r="AH437" s="272">
        <f t="shared" si="179"/>
        <v>156</v>
      </c>
      <c r="AI437" s="272">
        <f t="shared" si="167"/>
        <v>78.147744754929491</v>
      </c>
      <c r="AJ437" s="272">
        <f t="shared" si="180"/>
        <v>156</v>
      </c>
      <c r="AK437" s="272">
        <f t="shared" si="168"/>
        <v>78.147744754929491</v>
      </c>
      <c r="AL437" s="272">
        <f t="shared" si="181"/>
        <v>156</v>
      </c>
      <c r="AM437" s="272">
        <f t="shared" si="169"/>
        <v>78.147744754929491</v>
      </c>
      <c r="AN437" s="272">
        <f t="shared" si="182"/>
        <v>156</v>
      </c>
      <c r="AO437" s="272">
        <f t="shared" si="170"/>
        <v>78.147744754929491</v>
      </c>
      <c r="AP437" s="272">
        <f t="shared" si="183"/>
        <v>156</v>
      </c>
      <c r="AQ437" s="272">
        <f t="shared" si="171"/>
        <v>78.147744754929491</v>
      </c>
      <c r="AR437" s="272">
        <f t="shared" si="184"/>
        <v>156</v>
      </c>
      <c r="AS437" s="508">
        <f t="shared" si="172"/>
        <v>78.147744754929491</v>
      </c>
    </row>
    <row r="438" spans="1:45" ht="12.75" customHeight="1">
      <c r="A438" s="96">
        <f>IF(MAX($F$104:F438)=$G$99,$G$99,F438)</f>
        <v>15.906595441861038</v>
      </c>
      <c r="B438" s="481">
        <v>335</v>
      </c>
      <c r="C438" s="96">
        <f t="shared" si="163"/>
        <v>0.50250000000000028</v>
      </c>
      <c r="D438" s="96">
        <f t="shared" si="185"/>
        <v>157.09062840709888</v>
      </c>
      <c r="E438" s="96">
        <f t="shared" si="186"/>
        <v>1.4163880273715423E-4</v>
      </c>
      <c r="F438" s="96">
        <f t="shared" si="187"/>
        <v>2.0432556811402099E-2</v>
      </c>
      <c r="G438" s="96">
        <f t="shared" si="190"/>
        <v>-0.27756744318859788</v>
      </c>
      <c r="I438" s="96">
        <f t="shared" si="188"/>
        <v>0</v>
      </c>
      <c r="J438" s="96">
        <f t="shared" si="189"/>
        <v>0.50250000000000028</v>
      </c>
      <c r="X438" s="96">
        <f t="shared" si="173"/>
        <v>80</v>
      </c>
      <c r="Y438" s="96">
        <v>0.314</v>
      </c>
      <c r="Z438" s="272">
        <f t="shared" si="175"/>
        <v>80</v>
      </c>
      <c r="AA438" s="519">
        <f t="shared" si="176"/>
        <v>77.923218400221643</v>
      </c>
      <c r="AB438" s="516">
        <f t="shared" si="174"/>
        <v>154</v>
      </c>
      <c r="AC438" s="272">
        <f t="shared" si="164"/>
        <v>79.162500151450502</v>
      </c>
      <c r="AD438" s="272">
        <f t="shared" si="177"/>
        <v>156</v>
      </c>
      <c r="AE438" s="272">
        <f t="shared" si="165"/>
        <v>79.146427849489214</v>
      </c>
      <c r="AF438" s="272">
        <f t="shared" si="178"/>
        <v>158</v>
      </c>
      <c r="AG438" s="272">
        <f t="shared" si="166"/>
        <v>79.130767080608848</v>
      </c>
      <c r="AH438" s="272">
        <f t="shared" si="179"/>
        <v>158</v>
      </c>
      <c r="AI438" s="272">
        <f t="shared" si="167"/>
        <v>79.130767080608848</v>
      </c>
      <c r="AJ438" s="272">
        <f t="shared" si="180"/>
        <v>158</v>
      </c>
      <c r="AK438" s="272">
        <f t="shared" si="168"/>
        <v>79.130767080608848</v>
      </c>
      <c r="AL438" s="272">
        <f t="shared" si="181"/>
        <v>158</v>
      </c>
      <c r="AM438" s="272">
        <f t="shared" si="169"/>
        <v>79.130767080608848</v>
      </c>
      <c r="AN438" s="272">
        <f t="shared" si="182"/>
        <v>158</v>
      </c>
      <c r="AO438" s="272">
        <f t="shared" si="170"/>
        <v>79.130767080608848</v>
      </c>
      <c r="AP438" s="272">
        <f t="shared" si="183"/>
        <v>158</v>
      </c>
      <c r="AQ438" s="272">
        <f t="shared" si="171"/>
        <v>79.130767080608848</v>
      </c>
      <c r="AR438" s="272">
        <f t="shared" si="184"/>
        <v>158</v>
      </c>
      <c r="AS438" s="508">
        <f t="shared" si="172"/>
        <v>79.130767080608848</v>
      </c>
    </row>
    <row r="439" spans="1:45" ht="12.75" customHeight="1">
      <c r="A439" s="96">
        <f>IF(MAX($F$104:F439)=$G$99,$G$99,F439)</f>
        <v>15.906595441861038</v>
      </c>
      <c r="B439" s="481">
        <v>336</v>
      </c>
      <c r="C439" s="96">
        <f t="shared" si="163"/>
        <v>0.50400000000000023</v>
      </c>
      <c r="D439" s="96">
        <f t="shared" si="185"/>
        <v>158.02988268788445</v>
      </c>
      <c r="E439" s="96">
        <f t="shared" si="186"/>
        <v>1.1694155936917975E-4</v>
      </c>
      <c r="F439" s="96">
        <f t="shared" si="187"/>
        <v>1.7060399055555921E-2</v>
      </c>
      <c r="G439" s="96">
        <f t="shared" si="190"/>
        <v>-0.28093960094444409</v>
      </c>
      <c r="I439" s="96">
        <f t="shared" si="188"/>
        <v>0</v>
      </c>
      <c r="J439" s="96">
        <f t="shared" si="189"/>
        <v>0.50400000000000023</v>
      </c>
      <c r="X439" s="96">
        <f t="shared" si="173"/>
        <v>81</v>
      </c>
      <c r="Y439" s="96">
        <v>0.312</v>
      </c>
      <c r="Z439" s="272">
        <f t="shared" si="175"/>
        <v>81</v>
      </c>
      <c r="AA439" s="519">
        <f t="shared" si="176"/>
        <v>78.925435993879987</v>
      </c>
      <c r="AB439" s="516">
        <f t="shared" si="174"/>
        <v>156</v>
      </c>
      <c r="AC439" s="272">
        <f t="shared" si="164"/>
        <v>80.164377878947235</v>
      </c>
      <c r="AD439" s="272">
        <f t="shared" si="177"/>
        <v>158</v>
      </c>
      <c r="AE439" s="272">
        <f t="shared" si="165"/>
        <v>80.148515687455927</v>
      </c>
      <c r="AF439" s="272">
        <f t="shared" si="178"/>
        <v>160</v>
      </c>
      <c r="AG439" s="272">
        <f t="shared" si="166"/>
        <v>80.133054515495104</v>
      </c>
      <c r="AH439" s="272">
        <f t="shared" si="179"/>
        <v>160</v>
      </c>
      <c r="AI439" s="272">
        <f t="shared" si="167"/>
        <v>80.133054515495104</v>
      </c>
      <c r="AJ439" s="272">
        <f t="shared" si="180"/>
        <v>160</v>
      </c>
      <c r="AK439" s="272">
        <f t="shared" si="168"/>
        <v>80.133054515495104</v>
      </c>
      <c r="AL439" s="272">
        <f t="shared" si="181"/>
        <v>160</v>
      </c>
      <c r="AM439" s="272">
        <f t="shared" si="169"/>
        <v>80.133054515495104</v>
      </c>
      <c r="AN439" s="272">
        <f t="shared" si="182"/>
        <v>160</v>
      </c>
      <c r="AO439" s="272">
        <f t="shared" si="170"/>
        <v>80.133054515495104</v>
      </c>
      <c r="AP439" s="272">
        <f t="shared" si="183"/>
        <v>160</v>
      </c>
      <c r="AQ439" s="272">
        <f t="shared" si="171"/>
        <v>80.133054515495104</v>
      </c>
      <c r="AR439" s="272">
        <f t="shared" si="184"/>
        <v>160</v>
      </c>
      <c r="AS439" s="508">
        <f t="shared" si="172"/>
        <v>80.133054515495104</v>
      </c>
    </row>
    <row r="440" spans="1:45" ht="12.75" customHeight="1">
      <c r="A440" s="96">
        <f>IF(MAX($F$104:F440)=$G$99,$G$99,F440)</f>
        <v>15.906595441861038</v>
      </c>
      <c r="B440" s="96">
        <v>337</v>
      </c>
      <c r="C440" s="96">
        <f t="shared" si="163"/>
        <v>0.50550000000000017</v>
      </c>
      <c r="D440" s="96">
        <f t="shared" si="185"/>
        <v>158.97193653433555</v>
      </c>
      <c r="E440" s="96">
        <f t="shared" si="186"/>
        <v>9.6345707899395136E-5</v>
      </c>
      <c r="F440" s="96">
        <f t="shared" si="187"/>
        <v>1.4212654142877281E-2</v>
      </c>
      <c r="G440" s="96">
        <f t="shared" si="190"/>
        <v>-0.28378734585712273</v>
      </c>
      <c r="I440" s="96">
        <f t="shared" si="188"/>
        <v>0</v>
      </c>
      <c r="J440" s="96">
        <f t="shared" si="189"/>
        <v>0.50550000000000017</v>
      </c>
      <c r="X440" s="96">
        <f t="shared" si="173"/>
        <v>82</v>
      </c>
      <c r="Y440" s="96">
        <v>0.31</v>
      </c>
      <c r="Z440" s="272">
        <f t="shared" si="175"/>
        <v>82</v>
      </c>
      <c r="AA440" s="519">
        <f t="shared" si="176"/>
        <v>79.947113854196189</v>
      </c>
      <c r="AB440" s="516">
        <f t="shared" si="174"/>
        <v>158</v>
      </c>
      <c r="AC440" s="272">
        <f t="shared" si="164"/>
        <v>81.186026129861702</v>
      </c>
      <c r="AD440" s="272">
        <f t="shared" si="177"/>
        <v>160</v>
      </c>
      <c r="AE440" s="272">
        <f t="shared" si="165"/>
        <v>81.170364815362689</v>
      </c>
      <c r="AF440" s="272">
        <f t="shared" si="178"/>
        <v>162</v>
      </c>
      <c r="AG440" s="272">
        <f t="shared" si="166"/>
        <v>81.155094499811511</v>
      </c>
      <c r="AH440" s="272">
        <f t="shared" si="179"/>
        <v>162</v>
      </c>
      <c r="AI440" s="272">
        <f t="shared" si="167"/>
        <v>81.155094499811511</v>
      </c>
      <c r="AJ440" s="272">
        <f t="shared" si="180"/>
        <v>162</v>
      </c>
      <c r="AK440" s="272">
        <f t="shared" si="168"/>
        <v>81.155094499811511</v>
      </c>
      <c r="AL440" s="272">
        <f t="shared" si="181"/>
        <v>162</v>
      </c>
      <c r="AM440" s="272">
        <f t="shared" si="169"/>
        <v>81.155094499811511</v>
      </c>
      <c r="AN440" s="272">
        <f t="shared" si="182"/>
        <v>162</v>
      </c>
      <c r="AO440" s="272">
        <f t="shared" si="170"/>
        <v>81.155094499811511</v>
      </c>
      <c r="AP440" s="272">
        <f t="shared" si="183"/>
        <v>162</v>
      </c>
      <c r="AQ440" s="272">
        <f t="shared" si="171"/>
        <v>81.155094499811511</v>
      </c>
      <c r="AR440" s="272">
        <f t="shared" si="184"/>
        <v>162</v>
      </c>
      <c r="AS440" s="508">
        <f t="shared" si="172"/>
        <v>81.155094499811511</v>
      </c>
    </row>
    <row r="441" spans="1:45" ht="12.75" customHeight="1">
      <c r="A441" s="96">
        <f>IF(MAX($F$104:F441)=$G$99,$G$99,F441)</f>
        <v>15.906595441861038</v>
      </c>
      <c r="B441" s="481">
        <v>338</v>
      </c>
      <c r="C441" s="96">
        <f t="shared" si="163"/>
        <v>0.50700000000000012</v>
      </c>
      <c r="D441" s="96">
        <f t="shared" si="185"/>
        <v>159.91678994645218</v>
      </c>
      <c r="E441" s="96">
        <f t="shared" si="186"/>
        <v>7.9208849255346254E-5</v>
      </c>
      <c r="F441" s="96">
        <f t="shared" si="187"/>
        <v>1.1813618167385558E-2</v>
      </c>
      <c r="G441" s="96">
        <f t="shared" si="190"/>
        <v>-0.28618638183261441</v>
      </c>
      <c r="I441" s="96">
        <f t="shared" si="188"/>
        <v>0</v>
      </c>
      <c r="J441" s="96">
        <f t="shared" si="189"/>
        <v>0.50700000000000012</v>
      </c>
      <c r="X441" s="96">
        <f t="shared" si="173"/>
        <v>83</v>
      </c>
      <c r="Y441" s="96">
        <v>0.308</v>
      </c>
      <c r="Z441" s="272">
        <f t="shared" si="175"/>
        <v>83</v>
      </c>
      <c r="AA441" s="519">
        <f t="shared" si="176"/>
        <v>80.988759080243867</v>
      </c>
      <c r="AB441" s="516">
        <f t="shared" si="174"/>
        <v>160</v>
      </c>
      <c r="AC441" s="272">
        <f t="shared" si="164"/>
        <v>82.22794799667264</v>
      </c>
      <c r="AD441" s="272">
        <f t="shared" si="177"/>
        <v>162</v>
      </c>
      <c r="AE441" s="272">
        <f t="shared" si="165"/>
        <v>82.212478721452683</v>
      </c>
      <c r="AF441" s="272">
        <f t="shared" si="178"/>
        <v>164</v>
      </c>
      <c r="AG441" s="272">
        <f t="shared" si="166"/>
        <v>82.197390889578784</v>
      </c>
      <c r="AH441" s="272">
        <f t="shared" si="179"/>
        <v>164</v>
      </c>
      <c r="AI441" s="272">
        <f t="shared" si="167"/>
        <v>82.197390889578784</v>
      </c>
      <c r="AJ441" s="272">
        <f t="shared" si="180"/>
        <v>164</v>
      </c>
      <c r="AK441" s="272">
        <f t="shared" si="168"/>
        <v>82.197390889578784</v>
      </c>
      <c r="AL441" s="272">
        <f t="shared" si="181"/>
        <v>164</v>
      </c>
      <c r="AM441" s="272">
        <f t="shared" si="169"/>
        <v>82.197390889578784</v>
      </c>
      <c r="AN441" s="272">
        <f t="shared" si="182"/>
        <v>164</v>
      </c>
      <c r="AO441" s="272">
        <f t="shared" si="170"/>
        <v>82.197390889578784</v>
      </c>
      <c r="AP441" s="272">
        <f t="shared" si="183"/>
        <v>164</v>
      </c>
      <c r="AQ441" s="272">
        <f t="shared" si="171"/>
        <v>82.197390889578784</v>
      </c>
      <c r="AR441" s="272">
        <f t="shared" si="184"/>
        <v>164</v>
      </c>
      <c r="AS441" s="508">
        <f t="shared" si="172"/>
        <v>82.197390889578784</v>
      </c>
    </row>
    <row r="442" spans="1:45" ht="12.75" customHeight="1">
      <c r="A442" s="96">
        <f>IF(MAX($F$104:F442)=$G$99,$G$99,F442)</f>
        <v>15.906595441861038</v>
      </c>
      <c r="B442" s="481">
        <v>339</v>
      </c>
      <c r="C442" s="96">
        <f t="shared" si="163"/>
        <v>0.50850000000000006</v>
      </c>
      <c r="D442" s="96">
        <f t="shared" si="185"/>
        <v>160.86444292423431</v>
      </c>
      <c r="E442" s="96">
        <f t="shared" si="186"/>
        <v>6.4982119844389223E-5</v>
      </c>
      <c r="F442" s="96">
        <f t="shared" si="187"/>
        <v>9.7974848126108332E-3</v>
      </c>
      <c r="G442" s="96">
        <f t="shared" si="190"/>
        <v>-0.28820251518738915</v>
      </c>
      <c r="I442" s="96">
        <f t="shared" si="188"/>
        <v>0</v>
      </c>
      <c r="J442" s="96">
        <f t="shared" si="189"/>
        <v>0.50850000000000006</v>
      </c>
      <c r="X442" s="96">
        <f t="shared" si="173"/>
        <v>84</v>
      </c>
      <c r="Y442" s="96">
        <v>0.30599999999999999</v>
      </c>
      <c r="Z442" s="272">
        <f t="shared" si="175"/>
        <v>84</v>
      </c>
      <c r="AA442" s="519">
        <f t="shared" si="176"/>
        <v>82.050895396944057</v>
      </c>
      <c r="AB442" s="516">
        <f t="shared" si="174"/>
        <v>164</v>
      </c>
      <c r="AC442" s="272">
        <f t="shared" si="164"/>
        <v>83.275377945971655</v>
      </c>
      <c r="AD442" s="272">
        <f t="shared" si="177"/>
        <v>166</v>
      </c>
      <c r="AE442" s="272">
        <f t="shared" si="165"/>
        <v>83.260464569721066</v>
      </c>
      <c r="AF442" s="272">
        <f t="shared" si="178"/>
        <v>166</v>
      </c>
      <c r="AG442" s="272">
        <f t="shared" si="166"/>
        <v>83.260464569721066</v>
      </c>
      <c r="AH442" s="272">
        <f t="shared" si="179"/>
        <v>166</v>
      </c>
      <c r="AI442" s="272">
        <f t="shared" si="167"/>
        <v>83.260464569721066</v>
      </c>
      <c r="AJ442" s="272">
        <f t="shared" si="180"/>
        <v>166</v>
      </c>
      <c r="AK442" s="272">
        <f t="shared" si="168"/>
        <v>83.260464569721066</v>
      </c>
      <c r="AL442" s="272">
        <f t="shared" si="181"/>
        <v>166</v>
      </c>
      <c r="AM442" s="272">
        <f t="shared" si="169"/>
        <v>83.260464569721066</v>
      </c>
      <c r="AN442" s="272">
        <f t="shared" si="182"/>
        <v>166</v>
      </c>
      <c r="AO442" s="272">
        <f t="shared" si="170"/>
        <v>83.260464569721066</v>
      </c>
      <c r="AP442" s="272">
        <f t="shared" si="183"/>
        <v>166</v>
      </c>
      <c r="AQ442" s="272">
        <f t="shared" si="171"/>
        <v>83.260464569721066</v>
      </c>
      <c r="AR442" s="272">
        <f t="shared" si="184"/>
        <v>166</v>
      </c>
      <c r="AS442" s="508">
        <f t="shared" si="172"/>
        <v>83.260464569721066</v>
      </c>
    </row>
    <row r="443" spans="1:45" ht="12.75" customHeight="1">
      <c r="A443" s="96">
        <f>IF(MAX($F$104:F443)=$G$99,$G$99,F443)</f>
        <v>15.906595441861038</v>
      </c>
      <c r="B443" s="96">
        <v>340</v>
      </c>
      <c r="C443" s="96">
        <f t="shared" si="163"/>
        <v>0.51</v>
      </c>
      <c r="D443" s="96">
        <f t="shared" si="185"/>
        <v>161.81489546768199</v>
      </c>
      <c r="E443" s="96">
        <f t="shared" si="186"/>
        <v>5.319782762894581E-5</v>
      </c>
      <c r="F443" s="96">
        <f t="shared" si="187"/>
        <v>8.1072275718173312E-3</v>
      </c>
      <c r="G443" s="96">
        <f t="shared" si="190"/>
        <v>-0.28989277242818268</v>
      </c>
      <c r="I443" s="96">
        <f t="shared" si="188"/>
        <v>0</v>
      </c>
      <c r="J443" s="96">
        <f t="shared" si="189"/>
        <v>0.51</v>
      </c>
      <c r="X443" s="96">
        <f t="shared" si="173"/>
        <v>85</v>
      </c>
      <c r="Y443" s="96">
        <v>0.30399999999999999</v>
      </c>
      <c r="Z443" s="272">
        <f t="shared" si="175"/>
        <v>85</v>
      </c>
      <c r="AA443" s="519">
        <f t="shared" si="176"/>
        <v>83.134063813498258</v>
      </c>
      <c r="AB443" s="516">
        <f t="shared" si="174"/>
        <v>166</v>
      </c>
      <c r="AC443" s="272">
        <f t="shared" si="164"/>
        <v>84.359600723363954</v>
      </c>
      <c r="AD443" s="272">
        <f t="shared" si="177"/>
        <v>168</v>
      </c>
      <c r="AE443" s="272">
        <f t="shared" si="165"/>
        <v>84.344854097826129</v>
      </c>
      <c r="AF443" s="272">
        <f t="shared" si="178"/>
        <v>168</v>
      </c>
      <c r="AG443" s="272">
        <f t="shared" si="166"/>
        <v>84.344854097826129</v>
      </c>
      <c r="AH443" s="272">
        <f t="shared" si="179"/>
        <v>168</v>
      </c>
      <c r="AI443" s="272">
        <f t="shared" si="167"/>
        <v>84.344854097826129</v>
      </c>
      <c r="AJ443" s="272">
        <f t="shared" si="180"/>
        <v>168</v>
      </c>
      <c r="AK443" s="272">
        <f t="shared" si="168"/>
        <v>84.344854097826129</v>
      </c>
      <c r="AL443" s="272">
        <f t="shared" si="181"/>
        <v>168</v>
      </c>
      <c r="AM443" s="272">
        <f t="shared" si="169"/>
        <v>84.344854097826129</v>
      </c>
      <c r="AN443" s="272">
        <f t="shared" si="182"/>
        <v>168</v>
      </c>
      <c r="AO443" s="272">
        <f t="shared" si="170"/>
        <v>84.344854097826129</v>
      </c>
      <c r="AP443" s="272">
        <f t="shared" si="183"/>
        <v>168</v>
      </c>
      <c r="AQ443" s="272">
        <f t="shared" si="171"/>
        <v>84.344854097826129</v>
      </c>
      <c r="AR443" s="272">
        <f t="shared" si="184"/>
        <v>168</v>
      </c>
      <c r="AS443" s="508">
        <f t="shared" si="172"/>
        <v>84.344854097826129</v>
      </c>
    </row>
    <row r="444" spans="1:45" ht="12.75" customHeight="1">
      <c r="A444" s="96">
        <f>IF(MAX($F$104:F444)=$G$99,$G$99,F444)</f>
        <v>15.906595441861038</v>
      </c>
      <c r="B444" s="481">
        <v>341</v>
      </c>
      <c r="C444" s="96">
        <f t="shared" si="163"/>
        <v>0.51149999999999995</v>
      </c>
      <c r="D444" s="96">
        <f t="shared" si="185"/>
        <v>162.7681475767952</v>
      </c>
      <c r="E444" s="96">
        <f t="shared" si="186"/>
        <v>4.3458506821865336E-5</v>
      </c>
      <c r="F444" s="96">
        <f t="shared" si="187"/>
        <v>6.6935787030199282E-3</v>
      </c>
      <c r="G444" s="96">
        <f t="shared" si="190"/>
        <v>-0.29130642129698003</v>
      </c>
      <c r="I444" s="96">
        <f t="shared" si="188"/>
        <v>0</v>
      </c>
      <c r="J444" s="96">
        <f t="shared" si="189"/>
        <v>0.51149999999999995</v>
      </c>
      <c r="X444" s="96">
        <f t="shared" si="173"/>
        <v>86</v>
      </c>
      <c r="Y444" s="96">
        <v>0.30199999999999999</v>
      </c>
      <c r="Z444" s="272">
        <f t="shared" si="175"/>
        <v>86</v>
      </c>
      <c r="AA444" s="519">
        <f t="shared" si="176"/>
        <v>84.23882331244522</v>
      </c>
      <c r="AB444" s="516">
        <f t="shared" si="174"/>
        <v>168</v>
      </c>
      <c r="AC444" s="272">
        <f t="shared" si="164"/>
        <v>85.465703656689385</v>
      </c>
      <c r="AD444" s="272">
        <f t="shared" si="177"/>
        <v>170</v>
      </c>
      <c r="AE444" s="272">
        <f t="shared" si="165"/>
        <v>85.451116380042379</v>
      </c>
      <c r="AF444" s="272">
        <f t="shared" si="178"/>
        <v>170</v>
      </c>
      <c r="AG444" s="272">
        <f t="shared" si="166"/>
        <v>85.451116380042379</v>
      </c>
      <c r="AH444" s="272">
        <f t="shared" si="179"/>
        <v>170</v>
      </c>
      <c r="AI444" s="272">
        <f t="shared" si="167"/>
        <v>85.451116380042379</v>
      </c>
      <c r="AJ444" s="272">
        <f t="shared" si="180"/>
        <v>170</v>
      </c>
      <c r="AK444" s="272">
        <f t="shared" si="168"/>
        <v>85.451116380042379</v>
      </c>
      <c r="AL444" s="272">
        <f t="shared" si="181"/>
        <v>170</v>
      </c>
      <c r="AM444" s="272">
        <f t="shared" si="169"/>
        <v>85.451116380042379</v>
      </c>
      <c r="AN444" s="272">
        <f t="shared" si="182"/>
        <v>170</v>
      </c>
      <c r="AO444" s="272">
        <f t="shared" si="170"/>
        <v>85.451116380042379</v>
      </c>
      <c r="AP444" s="272">
        <f t="shared" si="183"/>
        <v>170</v>
      </c>
      <c r="AQ444" s="272">
        <f t="shared" si="171"/>
        <v>85.451116380042379</v>
      </c>
      <c r="AR444" s="272">
        <f t="shared" si="184"/>
        <v>170</v>
      </c>
      <c r="AS444" s="508">
        <f t="shared" si="172"/>
        <v>85.451116380042379</v>
      </c>
    </row>
    <row r="445" spans="1:45" ht="12.75" customHeight="1">
      <c r="A445" s="96">
        <f>IF(MAX($F$104:F445)=$G$99,$G$99,F445)</f>
        <v>15.906595441861038</v>
      </c>
      <c r="B445" s="481">
        <v>342</v>
      </c>
      <c r="C445" s="96">
        <f t="shared" si="163"/>
        <v>0.5129999999999999</v>
      </c>
      <c r="D445" s="96">
        <f t="shared" si="185"/>
        <v>163.72419925157394</v>
      </c>
      <c r="E445" s="96">
        <f t="shared" si="186"/>
        <v>3.5427264700574317E-5</v>
      </c>
      <c r="F445" s="96">
        <f t="shared" si="187"/>
        <v>5.514101553268232E-3</v>
      </c>
      <c r="G445" s="96">
        <f t="shared" si="190"/>
        <v>-0.29248589844673173</v>
      </c>
      <c r="I445" s="96">
        <f t="shared" si="188"/>
        <v>0</v>
      </c>
      <c r="J445" s="96">
        <f t="shared" si="189"/>
        <v>0.5129999999999999</v>
      </c>
      <c r="X445" s="96">
        <f t="shared" si="173"/>
        <v>87</v>
      </c>
      <c r="Y445" s="96">
        <v>0.3</v>
      </c>
      <c r="Z445" s="272">
        <f t="shared" si="175"/>
        <v>87</v>
      </c>
      <c r="AA445" s="519">
        <f t="shared" si="176"/>
        <v>85.36575157098062</v>
      </c>
      <c r="AB445" s="516">
        <f t="shared" si="174"/>
        <v>170</v>
      </c>
      <c r="AC445" s="272">
        <f t="shared" si="164"/>
        <v>86.594262425837613</v>
      </c>
      <c r="AD445" s="272">
        <f t="shared" si="177"/>
        <v>172</v>
      </c>
      <c r="AE445" s="272">
        <f t="shared" si="165"/>
        <v>86.579827380619648</v>
      </c>
      <c r="AF445" s="272">
        <f t="shared" si="178"/>
        <v>172</v>
      </c>
      <c r="AG445" s="272">
        <f t="shared" si="166"/>
        <v>86.579827380619648</v>
      </c>
      <c r="AH445" s="272">
        <f t="shared" si="179"/>
        <v>172</v>
      </c>
      <c r="AI445" s="272">
        <f t="shared" si="167"/>
        <v>86.579827380619648</v>
      </c>
      <c r="AJ445" s="272">
        <f t="shared" si="180"/>
        <v>172</v>
      </c>
      <c r="AK445" s="272">
        <f t="shared" si="168"/>
        <v>86.579827380619648</v>
      </c>
      <c r="AL445" s="272">
        <f t="shared" si="181"/>
        <v>172</v>
      </c>
      <c r="AM445" s="272">
        <f t="shared" si="169"/>
        <v>86.579827380619648</v>
      </c>
      <c r="AN445" s="272">
        <f t="shared" si="182"/>
        <v>172</v>
      </c>
      <c r="AO445" s="272">
        <f t="shared" si="170"/>
        <v>86.579827380619648</v>
      </c>
      <c r="AP445" s="272">
        <f t="shared" si="183"/>
        <v>172</v>
      </c>
      <c r="AQ445" s="272">
        <f t="shared" si="171"/>
        <v>86.579827380619648</v>
      </c>
      <c r="AR445" s="272">
        <f t="shared" si="184"/>
        <v>172</v>
      </c>
      <c r="AS445" s="508">
        <f t="shared" si="172"/>
        <v>86.579827380619648</v>
      </c>
    </row>
    <row r="446" spans="1:45" ht="12.75" customHeight="1">
      <c r="A446" s="96">
        <f>IF(MAX($F$104:F446)=$G$99,$G$99,F446)</f>
        <v>15.906595441861038</v>
      </c>
      <c r="B446" s="96">
        <v>343</v>
      </c>
      <c r="C446" s="96">
        <f t="shared" si="163"/>
        <v>0.51449999999999985</v>
      </c>
      <c r="D446" s="96">
        <f t="shared" si="185"/>
        <v>164.68305049201825</v>
      </c>
      <c r="E446" s="96">
        <f t="shared" si="186"/>
        <v>2.8819299158321355E-5</v>
      </c>
      <c r="F446" s="96">
        <f t="shared" si="187"/>
        <v>4.532352026944215E-3</v>
      </c>
      <c r="G446" s="96">
        <f t="shared" si="190"/>
        <v>-0.29346764797305575</v>
      </c>
      <c r="I446" s="96">
        <f t="shared" si="188"/>
        <v>0</v>
      </c>
      <c r="J446" s="96">
        <f t="shared" si="189"/>
        <v>0.51449999999999985</v>
      </c>
      <c r="X446" s="96">
        <f t="shared" si="173"/>
        <v>88</v>
      </c>
      <c r="Y446" s="96">
        <v>0.29799999999999999</v>
      </c>
      <c r="Z446" s="272">
        <f t="shared" si="175"/>
        <v>88</v>
      </c>
      <c r="AA446" s="519">
        <f t="shared" si="176"/>
        <v>86.515445716276901</v>
      </c>
      <c r="AB446" s="516">
        <f t="shared" si="174"/>
        <v>172</v>
      </c>
      <c r="AC446" s="272">
        <f t="shared" si="164"/>
        <v>87.745872531144641</v>
      </c>
      <c r="AD446" s="272">
        <f t="shared" si="177"/>
        <v>174</v>
      </c>
      <c r="AE446" s="272">
        <f t="shared" si="165"/>
        <v>87.731582866746251</v>
      </c>
      <c r="AF446" s="272">
        <f t="shared" si="178"/>
        <v>174</v>
      </c>
      <c r="AG446" s="272">
        <f t="shared" si="166"/>
        <v>87.731582866746251</v>
      </c>
      <c r="AH446" s="272">
        <f t="shared" si="179"/>
        <v>174</v>
      </c>
      <c r="AI446" s="272">
        <f t="shared" si="167"/>
        <v>87.731582866746251</v>
      </c>
      <c r="AJ446" s="272">
        <f t="shared" si="180"/>
        <v>174</v>
      </c>
      <c r="AK446" s="272">
        <f t="shared" si="168"/>
        <v>87.731582866746251</v>
      </c>
      <c r="AL446" s="272">
        <f t="shared" si="181"/>
        <v>174</v>
      </c>
      <c r="AM446" s="272">
        <f t="shared" si="169"/>
        <v>87.731582866746251</v>
      </c>
      <c r="AN446" s="272">
        <f t="shared" si="182"/>
        <v>174</v>
      </c>
      <c r="AO446" s="272">
        <f t="shared" si="170"/>
        <v>87.731582866746251</v>
      </c>
      <c r="AP446" s="272">
        <f t="shared" si="183"/>
        <v>174</v>
      </c>
      <c r="AQ446" s="272">
        <f t="shared" si="171"/>
        <v>87.731582866746251</v>
      </c>
      <c r="AR446" s="272">
        <f t="shared" si="184"/>
        <v>174</v>
      </c>
      <c r="AS446" s="508">
        <f t="shared" si="172"/>
        <v>87.731582866746251</v>
      </c>
    </row>
    <row r="447" spans="1:45" ht="12.75" customHeight="1">
      <c r="A447" s="96">
        <f>IF(MAX($F$104:F447)=$G$99,$G$99,F447)</f>
        <v>15.906595441861038</v>
      </c>
      <c r="B447" s="481">
        <v>344</v>
      </c>
      <c r="C447" s="96">
        <f t="shared" si="163"/>
        <v>0.51599999999999979</v>
      </c>
      <c r="D447" s="96">
        <f t="shared" si="185"/>
        <v>165.64470129812801</v>
      </c>
      <c r="E447" s="96">
        <f t="shared" si="186"/>
        <v>2.339447170868702E-5</v>
      </c>
      <c r="F447" s="96">
        <f t="shared" si="187"/>
        <v>3.7171243436447308E-3</v>
      </c>
      <c r="G447" s="96">
        <f t="shared" si="190"/>
        <v>-0.29428287565635525</v>
      </c>
      <c r="I447" s="96">
        <f t="shared" si="188"/>
        <v>0</v>
      </c>
      <c r="J447" s="96">
        <f t="shared" si="189"/>
        <v>0.51599999999999979</v>
      </c>
      <c r="X447" s="96">
        <f t="shared" si="173"/>
        <v>89</v>
      </c>
      <c r="Y447" s="96">
        <v>0.29599999999999999</v>
      </c>
      <c r="Z447" s="272">
        <f t="shared" si="175"/>
        <v>89</v>
      </c>
      <c r="AA447" s="519">
        <f t="shared" si="176"/>
        <v>87.688523116648284</v>
      </c>
      <c r="AB447" s="516">
        <f t="shared" si="174"/>
        <v>174</v>
      </c>
      <c r="AC447" s="272">
        <f t="shared" si="164"/>
        <v>88.921150074170626</v>
      </c>
      <c r="AD447" s="272">
        <f t="shared" si="177"/>
        <v>176</v>
      </c>
      <c r="AE447" s="272">
        <f t="shared" si="165"/>
        <v>88.906999190411312</v>
      </c>
      <c r="AF447" s="272">
        <f t="shared" si="178"/>
        <v>176</v>
      </c>
      <c r="AG447" s="272">
        <f t="shared" si="166"/>
        <v>88.906999190411312</v>
      </c>
      <c r="AH447" s="272">
        <f t="shared" si="179"/>
        <v>176</v>
      </c>
      <c r="AI447" s="272">
        <f t="shared" si="167"/>
        <v>88.906999190411312</v>
      </c>
      <c r="AJ447" s="272">
        <f t="shared" si="180"/>
        <v>176</v>
      </c>
      <c r="AK447" s="272">
        <f t="shared" si="168"/>
        <v>88.906999190411312</v>
      </c>
      <c r="AL447" s="272">
        <f t="shared" si="181"/>
        <v>176</v>
      </c>
      <c r="AM447" s="272">
        <f t="shared" si="169"/>
        <v>88.906999190411312</v>
      </c>
      <c r="AN447" s="272">
        <f t="shared" si="182"/>
        <v>176</v>
      </c>
      <c r="AO447" s="272">
        <f t="shared" si="170"/>
        <v>88.906999190411312</v>
      </c>
      <c r="AP447" s="272">
        <f t="shared" si="183"/>
        <v>176</v>
      </c>
      <c r="AQ447" s="272">
        <f t="shared" si="171"/>
        <v>88.906999190411312</v>
      </c>
      <c r="AR447" s="272">
        <f t="shared" si="184"/>
        <v>176</v>
      </c>
      <c r="AS447" s="508">
        <f t="shared" si="172"/>
        <v>88.906999190411312</v>
      </c>
    </row>
    <row r="448" spans="1:45" ht="12.75" customHeight="1">
      <c r="A448" s="96">
        <f>IF(MAX($F$104:F448)=$G$99,$G$99,F448)</f>
        <v>15.906595441861038</v>
      </c>
      <c r="B448" s="481">
        <v>345</v>
      </c>
      <c r="C448" s="96">
        <f t="shared" si="163"/>
        <v>0.51749999999999974</v>
      </c>
      <c r="D448" s="96">
        <f t="shared" si="185"/>
        <v>166.60915166990338</v>
      </c>
      <c r="E448" s="96">
        <f t="shared" si="186"/>
        <v>1.8950827449530033E-5</v>
      </c>
      <c r="F448" s="96">
        <f t="shared" si="187"/>
        <v>3.0417758032892199E-3</v>
      </c>
      <c r="G448" s="96">
        <f t="shared" si="190"/>
        <v>-0.29495822419671075</v>
      </c>
      <c r="I448" s="96">
        <f t="shared" si="188"/>
        <v>0</v>
      </c>
      <c r="J448" s="96">
        <f t="shared" si="189"/>
        <v>0.51749999999999974</v>
      </c>
      <c r="X448" s="96">
        <f t="shared" si="173"/>
        <v>91</v>
      </c>
      <c r="Y448" s="96">
        <v>0.29399999999999998</v>
      </c>
      <c r="Z448" s="272">
        <f t="shared" si="175"/>
        <v>91</v>
      </c>
      <c r="AA448" s="519">
        <f t="shared" si="176"/>
        <v>88.88562221051707</v>
      </c>
      <c r="AB448" s="516">
        <f t="shared" si="174"/>
        <v>176</v>
      </c>
      <c r="AC448" s="272">
        <f t="shared" si="164"/>
        <v>90.120732577480183</v>
      </c>
      <c r="AD448" s="272">
        <f t="shared" si="177"/>
        <v>178</v>
      </c>
      <c r="AE448" s="272">
        <f t="shared" si="165"/>
        <v>90.106714109314169</v>
      </c>
      <c r="AF448" s="272">
        <f t="shared" si="178"/>
        <v>180</v>
      </c>
      <c r="AG448" s="272">
        <f t="shared" si="166"/>
        <v>90.093010278973722</v>
      </c>
      <c r="AH448" s="272">
        <f t="shared" si="179"/>
        <v>180</v>
      </c>
      <c r="AI448" s="272">
        <f t="shared" si="167"/>
        <v>90.093010278973722</v>
      </c>
      <c r="AJ448" s="272">
        <f t="shared" si="180"/>
        <v>180</v>
      </c>
      <c r="AK448" s="272">
        <f t="shared" si="168"/>
        <v>90.093010278973722</v>
      </c>
      <c r="AL448" s="272">
        <f t="shared" si="181"/>
        <v>180</v>
      </c>
      <c r="AM448" s="272">
        <f t="shared" si="169"/>
        <v>90.093010278973722</v>
      </c>
      <c r="AN448" s="272">
        <f t="shared" si="182"/>
        <v>180</v>
      </c>
      <c r="AO448" s="272">
        <f t="shared" si="170"/>
        <v>90.093010278973722</v>
      </c>
      <c r="AP448" s="272">
        <f t="shared" si="183"/>
        <v>180</v>
      </c>
      <c r="AQ448" s="272">
        <f t="shared" si="171"/>
        <v>90.093010278973722</v>
      </c>
      <c r="AR448" s="272">
        <f t="shared" si="184"/>
        <v>180</v>
      </c>
      <c r="AS448" s="508">
        <f t="shared" si="172"/>
        <v>90.093010278973722</v>
      </c>
    </row>
    <row r="449" spans="1:45" ht="12.75" customHeight="1">
      <c r="A449" s="96">
        <f>IF(MAX($F$104:F449)=$G$99,$G$99,F449)</f>
        <v>15.906595441861038</v>
      </c>
      <c r="B449" s="96">
        <v>346</v>
      </c>
      <c r="C449" s="96">
        <f t="shared" si="163"/>
        <v>0.51899999999999968</v>
      </c>
      <c r="D449" s="96">
        <f t="shared" si="185"/>
        <v>167.57640160734425</v>
      </c>
      <c r="E449" s="96">
        <f t="shared" si="186"/>
        <v>1.531896072650325E-5</v>
      </c>
      <c r="F449" s="96">
        <f t="shared" si="187"/>
        <v>2.4836250207767702E-3</v>
      </c>
      <c r="G449" s="96">
        <f t="shared" si="190"/>
        <v>-0.29551637497922323</v>
      </c>
      <c r="I449" s="96">
        <f t="shared" si="188"/>
        <v>0</v>
      </c>
      <c r="J449" s="96">
        <f t="shared" si="189"/>
        <v>0.51899999999999968</v>
      </c>
      <c r="X449" s="96">
        <f t="shared" si="173"/>
        <v>92</v>
      </c>
      <c r="Y449" s="96">
        <v>0.29199999999999998</v>
      </c>
      <c r="Z449" s="272">
        <f t="shared" si="175"/>
        <v>92</v>
      </c>
      <c r="AA449" s="519">
        <f t="shared" si="176"/>
        <v>90.107403375261029</v>
      </c>
      <c r="AB449" s="516">
        <f t="shared" si="174"/>
        <v>180</v>
      </c>
      <c r="AC449" s="272">
        <f t="shared" si="164"/>
        <v>91.331387648636863</v>
      </c>
      <c r="AD449" s="272">
        <f t="shared" si="177"/>
        <v>182</v>
      </c>
      <c r="AE449" s="272">
        <f t="shared" si="165"/>
        <v>91.317803795346592</v>
      </c>
      <c r="AF449" s="272">
        <f t="shared" si="178"/>
        <v>182</v>
      </c>
      <c r="AG449" s="272">
        <f t="shared" si="166"/>
        <v>91.317803795346592</v>
      </c>
      <c r="AH449" s="272">
        <f t="shared" si="179"/>
        <v>182</v>
      </c>
      <c r="AI449" s="272">
        <f t="shared" si="167"/>
        <v>91.317803795346592</v>
      </c>
      <c r="AJ449" s="272">
        <f t="shared" si="180"/>
        <v>182</v>
      </c>
      <c r="AK449" s="272">
        <f t="shared" si="168"/>
        <v>91.317803795346592</v>
      </c>
      <c r="AL449" s="272">
        <f t="shared" si="181"/>
        <v>182</v>
      </c>
      <c r="AM449" s="272">
        <f t="shared" si="169"/>
        <v>91.317803795346592</v>
      </c>
      <c r="AN449" s="272">
        <f t="shared" si="182"/>
        <v>182</v>
      </c>
      <c r="AO449" s="272">
        <f t="shared" si="170"/>
        <v>91.317803795346592</v>
      </c>
      <c r="AP449" s="272">
        <f t="shared" si="183"/>
        <v>182</v>
      </c>
      <c r="AQ449" s="272">
        <f t="shared" si="171"/>
        <v>91.317803795346592</v>
      </c>
      <c r="AR449" s="272">
        <f t="shared" si="184"/>
        <v>182</v>
      </c>
      <c r="AS449" s="508">
        <f t="shared" si="172"/>
        <v>91.317803795346592</v>
      </c>
    </row>
    <row r="450" spans="1:45" ht="12.75" customHeight="1">
      <c r="A450" s="96">
        <f>IF(MAX($F$104:F450)=$G$99,$G$99,F450)</f>
        <v>15.906595441861038</v>
      </c>
      <c r="B450" s="481">
        <v>347</v>
      </c>
      <c r="C450" s="96">
        <f t="shared" si="163"/>
        <v>0.52049999999999963</v>
      </c>
      <c r="D450" s="96">
        <f t="shared" si="185"/>
        <v>168.54645111045065</v>
      </c>
      <c r="E450" s="96">
        <f t="shared" si="186"/>
        <v>1.2357132704104979E-5</v>
      </c>
      <c r="F450" s="96">
        <f t="shared" si="187"/>
        <v>2.0234179826597773E-3</v>
      </c>
      <c r="G450" s="96">
        <f t="shared" si="190"/>
        <v>-0.29597658201734023</v>
      </c>
      <c r="I450" s="96">
        <f t="shared" si="188"/>
        <v>0</v>
      </c>
      <c r="J450" s="96">
        <f t="shared" si="189"/>
        <v>0.52049999999999963</v>
      </c>
      <c r="X450" s="96">
        <f t="shared" si="173"/>
        <v>93</v>
      </c>
      <c r="Y450" s="96">
        <v>0.28999999999999998</v>
      </c>
      <c r="Z450" s="272">
        <f t="shared" si="175"/>
        <v>93</v>
      </c>
      <c r="AA450" s="519">
        <f t="shared" si="176"/>
        <v>91.354549838148088</v>
      </c>
      <c r="AB450" s="516">
        <f t="shared" si="174"/>
        <v>182</v>
      </c>
      <c r="AC450" s="272">
        <f t="shared" si="164"/>
        <v>92.581703006021755</v>
      </c>
      <c r="AD450" s="272">
        <f t="shared" si="177"/>
        <v>184</v>
      </c>
      <c r="AE450" s="272">
        <f t="shared" si="165"/>
        <v>92.568233461087559</v>
      </c>
      <c r="AF450" s="272">
        <f t="shared" si="178"/>
        <v>184</v>
      </c>
      <c r="AG450" s="272">
        <f t="shared" si="166"/>
        <v>92.568233461087559</v>
      </c>
      <c r="AH450" s="272">
        <f t="shared" si="179"/>
        <v>184</v>
      </c>
      <c r="AI450" s="272">
        <f t="shared" si="167"/>
        <v>92.568233461087559</v>
      </c>
      <c r="AJ450" s="272">
        <f t="shared" si="180"/>
        <v>184</v>
      </c>
      <c r="AK450" s="272">
        <f t="shared" si="168"/>
        <v>92.568233461087559</v>
      </c>
      <c r="AL450" s="272">
        <f t="shared" si="181"/>
        <v>184</v>
      </c>
      <c r="AM450" s="272">
        <f t="shared" si="169"/>
        <v>92.568233461087559</v>
      </c>
      <c r="AN450" s="272">
        <f t="shared" si="182"/>
        <v>184</v>
      </c>
      <c r="AO450" s="272">
        <f t="shared" si="170"/>
        <v>92.568233461087559</v>
      </c>
      <c r="AP450" s="272">
        <f t="shared" si="183"/>
        <v>184</v>
      </c>
      <c r="AQ450" s="272">
        <f t="shared" si="171"/>
        <v>92.568233461087559</v>
      </c>
      <c r="AR450" s="272">
        <f t="shared" si="184"/>
        <v>184</v>
      </c>
      <c r="AS450" s="508">
        <f t="shared" si="172"/>
        <v>92.568233461087559</v>
      </c>
    </row>
    <row r="451" spans="1:45" ht="12.75" customHeight="1">
      <c r="A451" s="96">
        <f>IF(MAX($F$104:F451)=$G$99,$G$99,F451)</f>
        <v>15.906595441861038</v>
      </c>
      <c r="B451" s="481">
        <v>348</v>
      </c>
      <c r="C451" s="96">
        <f t="shared" ref="C451:C514" si="191">C450+$C$99</f>
        <v>0.52199999999999958</v>
      </c>
      <c r="D451" s="96">
        <f t="shared" si="185"/>
        <v>169.51930017922257</v>
      </c>
      <c r="E451" s="96">
        <f t="shared" si="186"/>
        <v>9.9470545778489725E-6</v>
      </c>
      <c r="F451" s="96">
        <f t="shared" si="187"/>
        <v>1.6448562889660519E-3</v>
      </c>
      <c r="G451" s="96">
        <f t="shared" si="190"/>
        <v>-0.29635514371103394</v>
      </c>
      <c r="I451" s="96">
        <f t="shared" si="188"/>
        <v>0</v>
      </c>
      <c r="J451" s="96">
        <f t="shared" si="189"/>
        <v>0.52199999999999958</v>
      </c>
      <c r="X451" s="96">
        <f t="shared" si="173"/>
        <v>94</v>
      </c>
      <c r="Y451" s="96">
        <v>0.28799999999999998</v>
      </c>
      <c r="Z451" s="272">
        <f t="shared" si="175"/>
        <v>94</v>
      </c>
      <c r="AA451" s="519">
        <f t="shared" si="176"/>
        <v>92.627768631706388</v>
      </c>
      <c r="AB451" s="516">
        <f t="shared" si="174"/>
        <v>184</v>
      </c>
      <c r="AC451" s="272">
        <f t="shared" si="164"/>
        <v>93.858367501898442</v>
      </c>
      <c r="AD451" s="272">
        <f t="shared" si="177"/>
        <v>186</v>
      </c>
      <c r="AE451" s="272">
        <f t="shared" si="165"/>
        <v>93.845006778132387</v>
      </c>
      <c r="AF451" s="272">
        <f t="shared" si="178"/>
        <v>186</v>
      </c>
      <c r="AG451" s="272">
        <f t="shared" si="166"/>
        <v>93.845006778132387</v>
      </c>
      <c r="AH451" s="272">
        <f t="shared" si="179"/>
        <v>186</v>
      </c>
      <c r="AI451" s="272">
        <f t="shared" si="167"/>
        <v>93.845006778132387</v>
      </c>
      <c r="AJ451" s="272">
        <f t="shared" si="180"/>
        <v>186</v>
      </c>
      <c r="AK451" s="272">
        <f t="shared" si="168"/>
        <v>93.845006778132387</v>
      </c>
      <c r="AL451" s="272">
        <f t="shared" si="181"/>
        <v>186</v>
      </c>
      <c r="AM451" s="272">
        <f t="shared" si="169"/>
        <v>93.845006778132387</v>
      </c>
      <c r="AN451" s="272">
        <f t="shared" si="182"/>
        <v>186</v>
      </c>
      <c r="AO451" s="272">
        <f t="shared" si="170"/>
        <v>93.845006778132387</v>
      </c>
      <c r="AP451" s="272">
        <f t="shared" si="183"/>
        <v>186</v>
      </c>
      <c r="AQ451" s="272">
        <f t="shared" si="171"/>
        <v>93.845006778132387</v>
      </c>
      <c r="AR451" s="272">
        <f t="shared" si="184"/>
        <v>186</v>
      </c>
      <c r="AS451" s="508">
        <f t="shared" si="172"/>
        <v>93.845006778132387</v>
      </c>
    </row>
    <row r="452" spans="1:45" ht="12.75" customHeight="1">
      <c r="A452" s="96">
        <f>IF(MAX($F$104:F452)=$G$99,$G$99,F452)</f>
        <v>15.906595441861038</v>
      </c>
      <c r="B452" s="96">
        <v>349</v>
      </c>
      <c r="C452" s="96">
        <f t="shared" si="191"/>
        <v>0.52349999999999952</v>
      </c>
      <c r="D452" s="96">
        <f t="shared" si="185"/>
        <v>170.49494881366002</v>
      </c>
      <c r="E452" s="96">
        <f t="shared" si="186"/>
        <v>7.9902576006552824E-6</v>
      </c>
      <c r="F452" s="96">
        <f t="shared" si="187"/>
        <v>1.3341821119761028E-3</v>
      </c>
      <c r="G452" s="96">
        <f t="shared" si="190"/>
        <v>-0.29666581788802387</v>
      </c>
      <c r="I452" s="96">
        <f t="shared" si="188"/>
        <v>0</v>
      </c>
      <c r="J452" s="96">
        <f t="shared" si="189"/>
        <v>0.52349999999999952</v>
      </c>
      <c r="X452" s="96">
        <f t="shared" si="173"/>
        <v>96</v>
      </c>
      <c r="Y452" s="96">
        <v>0.28599999999999998</v>
      </c>
      <c r="Z452" s="272">
        <f t="shared" si="175"/>
        <v>96</v>
      </c>
      <c r="AA452" s="519">
        <f t="shared" si="176"/>
        <v>93.927791596022487</v>
      </c>
      <c r="AB452" s="516">
        <f t="shared" si="174"/>
        <v>186</v>
      </c>
      <c r="AC452" s="272">
        <f t="shared" si="164"/>
        <v>95.16211357774722</v>
      </c>
      <c r="AD452" s="272">
        <f t="shared" si="177"/>
        <v>188</v>
      </c>
      <c r="AE452" s="272">
        <f t="shared" si="165"/>
        <v>95.148856358280995</v>
      </c>
      <c r="AF452" s="272">
        <f t="shared" si="178"/>
        <v>190</v>
      </c>
      <c r="AG452" s="272">
        <f t="shared" si="166"/>
        <v>95.135880882724123</v>
      </c>
      <c r="AH452" s="272">
        <f t="shared" si="179"/>
        <v>190</v>
      </c>
      <c r="AI452" s="272">
        <f t="shared" si="167"/>
        <v>95.135880882724123</v>
      </c>
      <c r="AJ452" s="272">
        <f t="shared" si="180"/>
        <v>190</v>
      </c>
      <c r="AK452" s="272">
        <f t="shared" si="168"/>
        <v>95.135880882724123</v>
      </c>
      <c r="AL452" s="272">
        <f t="shared" si="181"/>
        <v>190</v>
      </c>
      <c r="AM452" s="272">
        <f t="shared" si="169"/>
        <v>95.135880882724123</v>
      </c>
      <c r="AN452" s="272">
        <f t="shared" si="182"/>
        <v>190</v>
      </c>
      <c r="AO452" s="272">
        <f t="shared" si="170"/>
        <v>95.135880882724123</v>
      </c>
      <c r="AP452" s="272">
        <f t="shared" si="183"/>
        <v>190</v>
      </c>
      <c r="AQ452" s="272">
        <f t="shared" si="171"/>
        <v>95.135880882724123</v>
      </c>
      <c r="AR452" s="272">
        <f t="shared" si="184"/>
        <v>190</v>
      </c>
      <c r="AS452" s="508">
        <f t="shared" si="172"/>
        <v>95.135880882724123</v>
      </c>
    </row>
    <row r="453" spans="1:45" ht="12.75" customHeight="1">
      <c r="A453" s="96">
        <f>IF(MAX($F$104:F453)=$G$99,$G$99,F453)</f>
        <v>15.906595441861038</v>
      </c>
      <c r="B453" s="481">
        <v>350</v>
      </c>
      <c r="C453" s="96">
        <f t="shared" si="191"/>
        <v>0.52499999999999947</v>
      </c>
      <c r="D453" s="96">
        <f t="shared" si="185"/>
        <v>171.47339701376302</v>
      </c>
      <c r="E453" s="96">
        <f t="shared" si="186"/>
        <v>6.4049781743725932E-6</v>
      </c>
      <c r="F453" s="96">
        <f t="shared" si="187"/>
        <v>1.0798141455184104E-3</v>
      </c>
      <c r="G453" s="96">
        <f t="shared" si="190"/>
        <v>-0.2969201858544816</v>
      </c>
      <c r="I453" s="96">
        <f t="shared" si="188"/>
        <v>0</v>
      </c>
      <c r="J453" s="96">
        <f t="shared" si="189"/>
        <v>0.52499999999999947</v>
      </c>
      <c r="X453" s="96">
        <f t="shared" si="173"/>
        <v>97</v>
      </c>
      <c r="Y453" s="96">
        <v>0.28399999999999997</v>
      </c>
      <c r="Z453" s="272">
        <f t="shared" si="175"/>
        <v>97</v>
      </c>
      <c r="AA453" s="519">
        <f t="shared" si="176"/>
        <v>95.255376430622093</v>
      </c>
      <c r="AB453" s="516">
        <f t="shared" si="174"/>
        <v>190</v>
      </c>
      <c r="AC453" s="272">
        <f t="shared" si="164"/>
        <v>96.480540972566232</v>
      </c>
      <c r="AD453" s="272">
        <f t="shared" si="177"/>
        <v>192</v>
      </c>
      <c r="AE453" s="272">
        <f t="shared" si="165"/>
        <v>96.467658813934221</v>
      </c>
      <c r="AF453" s="272">
        <f t="shared" si="178"/>
        <v>192</v>
      </c>
      <c r="AG453" s="272">
        <f t="shared" si="166"/>
        <v>96.467658813934221</v>
      </c>
      <c r="AH453" s="272">
        <f t="shared" si="179"/>
        <v>192</v>
      </c>
      <c r="AI453" s="272">
        <f t="shared" si="167"/>
        <v>96.467658813934221</v>
      </c>
      <c r="AJ453" s="272">
        <f t="shared" si="180"/>
        <v>192</v>
      </c>
      <c r="AK453" s="272">
        <f t="shared" si="168"/>
        <v>96.467658813934221</v>
      </c>
      <c r="AL453" s="272">
        <f t="shared" si="181"/>
        <v>192</v>
      </c>
      <c r="AM453" s="272">
        <f t="shared" si="169"/>
        <v>96.467658813934221</v>
      </c>
      <c r="AN453" s="272">
        <f t="shared" si="182"/>
        <v>192</v>
      </c>
      <c r="AO453" s="272">
        <f t="shared" si="170"/>
        <v>96.467658813934221</v>
      </c>
      <c r="AP453" s="272">
        <f t="shared" si="183"/>
        <v>192</v>
      </c>
      <c r="AQ453" s="272">
        <f t="shared" si="171"/>
        <v>96.467658813934221</v>
      </c>
      <c r="AR453" s="272">
        <f t="shared" si="184"/>
        <v>192</v>
      </c>
      <c r="AS453" s="508">
        <f t="shared" si="172"/>
        <v>96.467658813934221</v>
      </c>
    </row>
    <row r="454" spans="1:45" ht="12.75" customHeight="1">
      <c r="A454" s="96">
        <f>IF(MAX($F$104:F454)=$G$99,$G$99,F454)</f>
        <v>15.906595441861038</v>
      </c>
      <c r="B454" s="481">
        <v>351</v>
      </c>
      <c r="C454" s="96">
        <f t="shared" si="191"/>
        <v>0.52649999999999941</v>
      </c>
      <c r="D454" s="96">
        <f t="shared" si="185"/>
        <v>172.45464477953152</v>
      </c>
      <c r="E454" s="96">
        <f t="shared" si="186"/>
        <v>5.1234943824648122E-6</v>
      </c>
      <c r="F454" s="96">
        <f t="shared" si="187"/>
        <v>8.7203038739151674E-4</v>
      </c>
      <c r="G454" s="96">
        <f t="shared" si="190"/>
        <v>-0.29712796961260846</v>
      </c>
      <c r="I454" s="96">
        <f t="shared" si="188"/>
        <v>0</v>
      </c>
      <c r="J454" s="96">
        <f t="shared" si="189"/>
        <v>0.52649999999999941</v>
      </c>
      <c r="X454" s="96">
        <f t="shared" si="173"/>
        <v>98</v>
      </c>
      <c r="Y454" s="96">
        <v>0.28199999999999997</v>
      </c>
      <c r="Z454" s="272">
        <f t="shared" si="175"/>
        <v>98</v>
      </c>
      <c r="AA454" s="519">
        <f t="shared" si="176"/>
        <v>96.611307798755789</v>
      </c>
      <c r="AB454" s="516">
        <f t="shared" si="174"/>
        <v>192</v>
      </c>
      <c r="AC454" s="272">
        <f t="shared" si="164"/>
        <v>97.840846653798579</v>
      </c>
      <c r="AD454" s="272">
        <f t="shared" si="177"/>
        <v>194</v>
      </c>
      <c r="AE454" s="272">
        <f t="shared" si="165"/>
        <v>97.828053013743528</v>
      </c>
      <c r="AF454" s="272">
        <f t="shared" si="178"/>
        <v>194</v>
      </c>
      <c r="AG454" s="272">
        <f t="shared" si="166"/>
        <v>97.828053013743528</v>
      </c>
      <c r="AH454" s="272">
        <f t="shared" si="179"/>
        <v>194</v>
      </c>
      <c r="AI454" s="272">
        <f t="shared" si="167"/>
        <v>97.828053013743528</v>
      </c>
      <c r="AJ454" s="272">
        <f t="shared" si="180"/>
        <v>194</v>
      </c>
      <c r="AK454" s="272">
        <f t="shared" si="168"/>
        <v>97.828053013743528</v>
      </c>
      <c r="AL454" s="272">
        <f t="shared" si="181"/>
        <v>194</v>
      </c>
      <c r="AM454" s="272">
        <f t="shared" si="169"/>
        <v>97.828053013743528</v>
      </c>
      <c r="AN454" s="272">
        <f t="shared" si="182"/>
        <v>194</v>
      </c>
      <c r="AO454" s="272">
        <f t="shared" si="170"/>
        <v>97.828053013743528</v>
      </c>
      <c r="AP454" s="272">
        <f t="shared" si="183"/>
        <v>194</v>
      </c>
      <c r="AQ454" s="272">
        <f t="shared" si="171"/>
        <v>97.828053013743528</v>
      </c>
      <c r="AR454" s="272">
        <f t="shared" si="184"/>
        <v>194</v>
      </c>
      <c r="AS454" s="508">
        <f t="shared" si="172"/>
        <v>97.828053013743528</v>
      </c>
    </row>
    <row r="455" spans="1:45" ht="12.75" customHeight="1">
      <c r="A455" s="96">
        <f>IF(MAX($F$104:F455)=$G$99,$G$99,F455)</f>
        <v>15.906595441861038</v>
      </c>
      <c r="B455" s="96">
        <v>352</v>
      </c>
      <c r="C455" s="96">
        <f t="shared" si="191"/>
        <v>0.52799999999999936</v>
      </c>
      <c r="D455" s="96">
        <f t="shared" si="185"/>
        <v>173.43869211096558</v>
      </c>
      <c r="E455" s="96">
        <f t="shared" si="186"/>
        <v>4.0898532520942297E-6</v>
      </c>
      <c r="F455" s="96">
        <f t="shared" si="187"/>
        <v>7.026919055294473E-4</v>
      </c>
      <c r="G455" s="96">
        <f t="shared" si="190"/>
        <v>-0.29729730809447052</v>
      </c>
      <c r="I455" s="96">
        <f t="shared" si="188"/>
        <v>0</v>
      </c>
      <c r="J455" s="96">
        <f t="shared" si="189"/>
        <v>0.52799999999999936</v>
      </c>
      <c r="X455" s="96">
        <f t="shared" si="173"/>
        <v>100</v>
      </c>
      <c r="Y455" s="96">
        <v>0.28000000000000003</v>
      </c>
      <c r="Z455" s="272">
        <f t="shared" si="175"/>
        <v>100</v>
      </c>
      <c r="AA455" s="519">
        <f t="shared" si="176"/>
        <v>97.99639848709505</v>
      </c>
      <c r="AB455" s="516">
        <f t="shared" si="174"/>
        <v>194</v>
      </c>
      <c r="AC455" s="272">
        <f t="shared" si="164"/>
        <v>99.230587855420112</v>
      </c>
      <c r="AD455" s="272">
        <f t="shared" si="177"/>
        <v>196</v>
      </c>
      <c r="AE455" s="272">
        <f t="shared" si="165"/>
        <v>99.217878066627875</v>
      </c>
      <c r="AF455" s="272">
        <f t="shared" si="178"/>
        <v>198</v>
      </c>
      <c r="AG455" s="272">
        <f t="shared" si="166"/>
        <v>99.205427375538989</v>
      </c>
      <c r="AH455" s="272">
        <f t="shared" si="179"/>
        <v>198</v>
      </c>
      <c r="AI455" s="272">
        <f t="shared" si="167"/>
        <v>99.205427375538989</v>
      </c>
      <c r="AJ455" s="272">
        <f t="shared" si="180"/>
        <v>198</v>
      </c>
      <c r="AK455" s="272">
        <f t="shared" si="168"/>
        <v>99.205427375538989</v>
      </c>
      <c r="AL455" s="272">
        <f t="shared" si="181"/>
        <v>198</v>
      </c>
      <c r="AM455" s="272">
        <f t="shared" si="169"/>
        <v>99.205427375538989</v>
      </c>
      <c r="AN455" s="272">
        <f t="shared" si="182"/>
        <v>198</v>
      </c>
      <c r="AO455" s="272">
        <f t="shared" si="170"/>
        <v>99.205427375538989</v>
      </c>
      <c r="AP455" s="272">
        <f t="shared" si="183"/>
        <v>198</v>
      </c>
      <c r="AQ455" s="272">
        <f t="shared" si="171"/>
        <v>99.205427375538989</v>
      </c>
      <c r="AR455" s="272">
        <f t="shared" si="184"/>
        <v>198</v>
      </c>
      <c r="AS455" s="508">
        <f t="shared" si="172"/>
        <v>99.205427375538989</v>
      </c>
    </row>
    <row r="456" spans="1:45" ht="12.75" customHeight="1">
      <c r="A456" s="96">
        <f>IF(MAX($F$104:F456)=$G$99,$G$99,F456)</f>
        <v>15.906595441861038</v>
      </c>
      <c r="B456" s="481">
        <v>353</v>
      </c>
      <c r="C456" s="96">
        <f t="shared" si="191"/>
        <v>0.5294999999999993</v>
      </c>
      <c r="D456" s="96">
        <f t="shared" si="185"/>
        <v>174.42553900806516</v>
      </c>
      <c r="E456" s="96">
        <f t="shared" si="186"/>
        <v>3.257940650970704E-6</v>
      </c>
      <c r="F456" s="96">
        <f t="shared" si="187"/>
        <v>5.6500320395666786E-4</v>
      </c>
      <c r="G456" s="96">
        <f t="shared" si="190"/>
        <v>-0.29743499679604329</v>
      </c>
      <c r="I456" s="96">
        <f t="shared" si="188"/>
        <v>0</v>
      </c>
      <c r="J456" s="96">
        <f t="shared" si="189"/>
        <v>0.5294999999999993</v>
      </c>
      <c r="X456" s="96">
        <f t="shared" si="173"/>
        <v>101</v>
      </c>
      <c r="Y456" s="96">
        <v>0.27800000000000002</v>
      </c>
      <c r="Z456" s="272">
        <f t="shared" si="175"/>
        <v>101</v>
      </c>
      <c r="AA456" s="519">
        <f t="shared" si="176"/>
        <v>99.411490624039288</v>
      </c>
      <c r="AB456" s="516">
        <f t="shared" si="174"/>
        <v>198</v>
      </c>
      <c r="AC456" s="272">
        <f t="shared" si="164"/>
        <v>100.63797818749363</v>
      </c>
      <c r="AD456" s="272">
        <f t="shared" si="177"/>
        <v>200</v>
      </c>
      <c r="AE456" s="272">
        <f t="shared" si="165"/>
        <v>100.62560258849436</v>
      </c>
      <c r="AF456" s="272">
        <f t="shared" si="178"/>
        <v>200</v>
      </c>
      <c r="AG456" s="272">
        <f t="shared" si="166"/>
        <v>100.62560258849436</v>
      </c>
      <c r="AH456" s="272">
        <f t="shared" si="179"/>
        <v>200</v>
      </c>
      <c r="AI456" s="272">
        <f t="shared" si="167"/>
        <v>100.62560258849436</v>
      </c>
      <c r="AJ456" s="272">
        <f t="shared" si="180"/>
        <v>200</v>
      </c>
      <c r="AK456" s="272">
        <f t="shared" si="168"/>
        <v>100.62560258849436</v>
      </c>
      <c r="AL456" s="272">
        <f t="shared" si="181"/>
        <v>200</v>
      </c>
      <c r="AM456" s="272">
        <f t="shared" si="169"/>
        <v>100.62560258849436</v>
      </c>
      <c r="AN456" s="272">
        <f t="shared" si="182"/>
        <v>200</v>
      </c>
      <c r="AO456" s="272">
        <f t="shared" si="170"/>
        <v>100.62560258849436</v>
      </c>
      <c r="AP456" s="272">
        <f t="shared" si="183"/>
        <v>200</v>
      </c>
      <c r="AQ456" s="272">
        <f t="shared" si="171"/>
        <v>100.62560258849436</v>
      </c>
      <c r="AR456" s="272">
        <f t="shared" si="184"/>
        <v>200</v>
      </c>
      <c r="AS456" s="508">
        <f t="shared" si="172"/>
        <v>100.62560258849436</v>
      </c>
    </row>
    <row r="457" spans="1:45" ht="12.75" customHeight="1">
      <c r="A457" s="96">
        <f>IF(MAX($F$104:F457)=$G$99,$G$99,F457)</f>
        <v>15.906595441861038</v>
      </c>
      <c r="B457" s="481">
        <v>354</v>
      </c>
      <c r="C457" s="96">
        <f t="shared" si="191"/>
        <v>0.53099999999999925</v>
      </c>
      <c r="D457" s="96">
        <f t="shared" si="185"/>
        <v>175.41518547083027</v>
      </c>
      <c r="E457" s="96">
        <f t="shared" si="186"/>
        <v>2.5898447460145805E-6</v>
      </c>
      <c r="F457" s="96">
        <f t="shared" si="187"/>
        <v>4.5330594913980509E-4</v>
      </c>
      <c r="G457" s="96">
        <f t="shared" si="190"/>
        <v>-0.29754669405086021</v>
      </c>
      <c r="I457" s="96">
        <f t="shared" si="188"/>
        <v>0</v>
      </c>
      <c r="J457" s="96">
        <f t="shared" si="189"/>
        <v>0.53099999999999925</v>
      </c>
      <c r="X457" s="96">
        <f t="shared" si="173"/>
        <v>103</v>
      </c>
      <c r="Y457" s="96">
        <v>0.27600000000000002</v>
      </c>
      <c r="Z457" s="272">
        <f t="shared" si="175"/>
        <v>103</v>
      </c>
      <c r="AA457" s="519">
        <f t="shared" si="176"/>
        <v>100.85745696004324</v>
      </c>
      <c r="AB457" s="516">
        <f t="shared" si="174"/>
        <v>200</v>
      </c>
      <c r="AC457" s="272">
        <f t="shared" si="164"/>
        <v>102.08922850306129</v>
      </c>
      <c r="AD457" s="272">
        <f t="shared" si="177"/>
        <v>202</v>
      </c>
      <c r="AE457" s="272">
        <f t="shared" si="165"/>
        <v>102.07692373897351</v>
      </c>
      <c r="AF457" s="272">
        <f t="shared" si="178"/>
        <v>204</v>
      </c>
      <c r="AG457" s="272">
        <f t="shared" si="166"/>
        <v>102.0648623734922</v>
      </c>
      <c r="AH457" s="272">
        <f t="shared" si="179"/>
        <v>204</v>
      </c>
      <c r="AI457" s="272">
        <f t="shared" si="167"/>
        <v>102.0648623734922</v>
      </c>
      <c r="AJ457" s="272">
        <f t="shared" si="180"/>
        <v>204</v>
      </c>
      <c r="AK457" s="272">
        <f t="shared" si="168"/>
        <v>102.0648623734922</v>
      </c>
      <c r="AL457" s="272">
        <f t="shared" si="181"/>
        <v>204</v>
      </c>
      <c r="AM457" s="272">
        <f t="shared" si="169"/>
        <v>102.0648623734922</v>
      </c>
      <c r="AN457" s="272">
        <f t="shared" si="182"/>
        <v>204</v>
      </c>
      <c r="AO457" s="272">
        <f t="shared" si="170"/>
        <v>102.0648623734922</v>
      </c>
      <c r="AP457" s="272">
        <f t="shared" si="183"/>
        <v>204</v>
      </c>
      <c r="AQ457" s="272">
        <f t="shared" si="171"/>
        <v>102.0648623734922</v>
      </c>
      <c r="AR457" s="272">
        <f t="shared" si="184"/>
        <v>204</v>
      </c>
      <c r="AS457" s="508">
        <f t="shared" si="172"/>
        <v>102.0648623734922</v>
      </c>
    </row>
    <row r="458" spans="1:45" ht="12.75" customHeight="1">
      <c r="A458" s="96">
        <f>IF(MAX($F$104:F458)=$G$99,$G$99,F458)</f>
        <v>15.906595441861038</v>
      </c>
      <c r="B458" s="96">
        <v>355</v>
      </c>
      <c r="C458" s="96">
        <f t="shared" si="191"/>
        <v>0.5324999999999992</v>
      </c>
      <c r="D458" s="96">
        <f t="shared" si="185"/>
        <v>176.4076314992609</v>
      </c>
      <c r="E458" s="96">
        <f t="shared" si="186"/>
        <v>2.0544735293606018E-6</v>
      </c>
      <c r="F458" s="96">
        <f t="shared" si="187"/>
        <v>3.629011793914025E-4</v>
      </c>
      <c r="G458" s="96">
        <f t="shared" si="190"/>
        <v>-0.29763709882060857</v>
      </c>
      <c r="I458" s="96">
        <f t="shared" si="188"/>
        <v>0</v>
      </c>
      <c r="J458" s="96">
        <f t="shared" si="189"/>
        <v>0.5324999999999992</v>
      </c>
      <c r="X458" s="96">
        <f t="shared" si="173"/>
        <v>104</v>
      </c>
      <c r="Y458" s="96">
        <v>0.27400000000000002</v>
      </c>
      <c r="Z458" s="272">
        <f t="shared" si="175"/>
        <v>104</v>
      </c>
      <c r="AA458" s="519">
        <f t="shared" si="176"/>
        <v>102.33520221360025</v>
      </c>
      <c r="AB458" s="516">
        <f t="shared" si="174"/>
        <v>204</v>
      </c>
      <c r="AC458" s="272">
        <f t="shared" si="164"/>
        <v>103.56029831321786</v>
      </c>
      <c r="AD458" s="272">
        <f t="shared" si="177"/>
        <v>206</v>
      </c>
      <c r="AE458" s="272">
        <f t="shared" si="165"/>
        <v>103.54829993575433</v>
      </c>
      <c r="AF458" s="272">
        <f t="shared" si="178"/>
        <v>206</v>
      </c>
      <c r="AG458" s="272">
        <f t="shared" si="166"/>
        <v>103.54829993575433</v>
      </c>
      <c r="AH458" s="272">
        <f t="shared" si="179"/>
        <v>206</v>
      </c>
      <c r="AI458" s="272">
        <f t="shared" si="167"/>
        <v>103.54829993575433</v>
      </c>
      <c r="AJ458" s="272">
        <f t="shared" si="180"/>
        <v>206</v>
      </c>
      <c r="AK458" s="272">
        <f t="shared" si="168"/>
        <v>103.54829993575433</v>
      </c>
      <c r="AL458" s="272">
        <f t="shared" si="181"/>
        <v>206</v>
      </c>
      <c r="AM458" s="272">
        <f t="shared" si="169"/>
        <v>103.54829993575433</v>
      </c>
      <c r="AN458" s="272">
        <f t="shared" si="182"/>
        <v>206</v>
      </c>
      <c r="AO458" s="272">
        <f t="shared" si="170"/>
        <v>103.54829993575433</v>
      </c>
      <c r="AP458" s="272">
        <f t="shared" si="183"/>
        <v>206</v>
      </c>
      <c r="AQ458" s="272">
        <f t="shared" si="171"/>
        <v>103.54829993575433</v>
      </c>
      <c r="AR458" s="272">
        <f t="shared" si="184"/>
        <v>206</v>
      </c>
      <c r="AS458" s="508">
        <f t="shared" si="172"/>
        <v>103.54829993575433</v>
      </c>
    </row>
    <row r="459" spans="1:45" ht="12.75" customHeight="1">
      <c r="A459" s="96">
        <f>IF(MAX($F$104:F459)=$G$99,$G$99,F459)</f>
        <v>15.906595441861038</v>
      </c>
      <c r="B459" s="481">
        <v>356</v>
      </c>
      <c r="C459" s="96">
        <f t="shared" si="191"/>
        <v>0.53399999999999914</v>
      </c>
      <c r="D459" s="96">
        <f t="shared" si="185"/>
        <v>177.40287709335709</v>
      </c>
      <c r="E459" s="96">
        <f t="shared" si="186"/>
        <v>1.6263902874533348E-6</v>
      </c>
      <c r="F459" s="96">
        <f t="shared" si="187"/>
        <v>2.8989697357039492E-4</v>
      </c>
      <c r="G459" s="96">
        <f t="shared" si="190"/>
        <v>-0.29771010302642958</v>
      </c>
      <c r="I459" s="96">
        <f t="shared" si="188"/>
        <v>0</v>
      </c>
      <c r="J459" s="96">
        <f t="shared" si="189"/>
        <v>0.53399999999999914</v>
      </c>
      <c r="X459" s="96">
        <f t="shared" si="173"/>
        <v>106</v>
      </c>
      <c r="Y459" s="96">
        <v>0.27200000000000002</v>
      </c>
      <c r="Z459" s="272">
        <f t="shared" si="175"/>
        <v>106</v>
      </c>
      <c r="AA459" s="519">
        <f t="shared" si="176"/>
        <v>103.84566448675731</v>
      </c>
      <c r="AB459" s="516">
        <f t="shared" si="174"/>
        <v>206</v>
      </c>
      <c r="AC459" s="272">
        <f t="shared" si="164"/>
        <v>105.07666746832682</v>
      </c>
      <c r="AD459" s="272">
        <f t="shared" si="177"/>
        <v>208</v>
      </c>
      <c r="AE459" s="272">
        <f t="shared" si="165"/>
        <v>105.06472816514291</v>
      </c>
      <c r="AF459" s="272">
        <f t="shared" si="178"/>
        <v>210</v>
      </c>
      <c r="AG459" s="272">
        <f t="shared" si="166"/>
        <v>105.05301822624048</v>
      </c>
      <c r="AH459" s="272">
        <f t="shared" si="179"/>
        <v>210</v>
      </c>
      <c r="AI459" s="272">
        <f t="shared" si="167"/>
        <v>105.05301822624048</v>
      </c>
      <c r="AJ459" s="272">
        <f t="shared" si="180"/>
        <v>210</v>
      </c>
      <c r="AK459" s="272">
        <f t="shared" si="168"/>
        <v>105.05301822624048</v>
      </c>
      <c r="AL459" s="272">
        <f t="shared" si="181"/>
        <v>210</v>
      </c>
      <c r="AM459" s="272">
        <f t="shared" si="169"/>
        <v>105.05301822624048</v>
      </c>
      <c r="AN459" s="272">
        <f t="shared" si="182"/>
        <v>210</v>
      </c>
      <c r="AO459" s="272">
        <f t="shared" si="170"/>
        <v>105.05301822624048</v>
      </c>
      <c r="AP459" s="272">
        <f t="shared" si="183"/>
        <v>210</v>
      </c>
      <c r="AQ459" s="272">
        <f t="shared" si="171"/>
        <v>105.05301822624048</v>
      </c>
      <c r="AR459" s="272">
        <f t="shared" si="184"/>
        <v>210</v>
      </c>
      <c r="AS459" s="508">
        <f t="shared" si="172"/>
        <v>105.05301822624048</v>
      </c>
    </row>
    <row r="460" spans="1:45" ht="12.75" customHeight="1">
      <c r="A460" s="96">
        <f>IF(MAX($F$104:F460)=$G$99,$G$99,F460)</f>
        <v>15.906595441861038</v>
      </c>
      <c r="B460" s="481">
        <v>357</v>
      </c>
      <c r="C460" s="96">
        <f t="shared" si="191"/>
        <v>0.53549999999999909</v>
      </c>
      <c r="D460" s="96">
        <f t="shared" si="185"/>
        <v>178.40092225311881</v>
      </c>
      <c r="E460" s="96">
        <f t="shared" si="186"/>
        <v>1.2848355464303496E-6</v>
      </c>
      <c r="F460" s="96">
        <f t="shared" si="187"/>
        <v>2.3107831748947298E-4</v>
      </c>
      <c r="G460" s="96">
        <f t="shared" si="190"/>
        <v>-0.29776892168251051</v>
      </c>
      <c r="I460" s="96">
        <f t="shared" si="188"/>
        <v>0</v>
      </c>
      <c r="J460" s="96">
        <f t="shared" si="189"/>
        <v>0.53549999999999909</v>
      </c>
      <c r="X460" s="96">
        <f t="shared" si="173"/>
        <v>107</v>
      </c>
      <c r="Y460" s="96">
        <v>0.27</v>
      </c>
      <c r="Z460" s="272">
        <f t="shared" si="175"/>
        <v>107</v>
      </c>
      <c r="AA460" s="519">
        <f t="shared" si="176"/>
        <v>105.38981675429703</v>
      </c>
      <c r="AB460" s="516">
        <f t="shared" si="174"/>
        <v>210</v>
      </c>
      <c r="AC460" s="272">
        <f t="shared" si="164"/>
        <v>106.61512346296537</v>
      </c>
      <c r="AD460" s="272">
        <f t="shared" si="177"/>
        <v>212</v>
      </c>
      <c r="AE460" s="272">
        <f t="shared" si="165"/>
        <v>106.60346553202707</v>
      </c>
      <c r="AF460" s="272">
        <f t="shared" si="178"/>
        <v>212</v>
      </c>
      <c r="AG460" s="272">
        <f t="shared" si="166"/>
        <v>106.60346553202707</v>
      </c>
      <c r="AH460" s="272">
        <f t="shared" si="179"/>
        <v>212</v>
      </c>
      <c r="AI460" s="272">
        <f t="shared" si="167"/>
        <v>106.60346553202707</v>
      </c>
      <c r="AJ460" s="272">
        <f t="shared" si="180"/>
        <v>212</v>
      </c>
      <c r="AK460" s="272">
        <f t="shared" si="168"/>
        <v>106.60346553202707</v>
      </c>
      <c r="AL460" s="272">
        <f t="shared" si="181"/>
        <v>212</v>
      </c>
      <c r="AM460" s="272">
        <f t="shared" si="169"/>
        <v>106.60346553202707</v>
      </c>
      <c r="AN460" s="272">
        <f t="shared" si="182"/>
        <v>212</v>
      </c>
      <c r="AO460" s="272">
        <f t="shared" si="170"/>
        <v>106.60346553202707</v>
      </c>
      <c r="AP460" s="272">
        <f t="shared" si="183"/>
        <v>212</v>
      </c>
      <c r="AQ460" s="272">
        <f t="shared" si="171"/>
        <v>106.60346553202707</v>
      </c>
      <c r="AR460" s="272">
        <f t="shared" si="184"/>
        <v>212</v>
      </c>
      <c r="AS460" s="508">
        <f t="shared" si="172"/>
        <v>106.60346553202707</v>
      </c>
    </row>
    <row r="461" spans="1:45" ht="12.75" customHeight="1">
      <c r="A461" s="96">
        <f>IF(MAX($F$104:F461)=$G$99,$G$99,F461)</f>
        <v>15.906595441861038</v>
      </c>
      <c r="B461" s="96">
        <v>358</v>
      </c>
      <c r="C461" s="96">
        <f t="shared" si="191"/>
        <v>0.53699999999999903</v>
      </c>
      <c r="D461" s="96">
        <f t="shared" si="185"/>
        <v>179.40176697854602</v>
      </c>
      <c r="E461" s="96">
        <f t="shared" si="186"/>
        <v>1.012908028631725E-6</v>
      </c>
      <c r="F461" s="96">
        <f t="shared" si="187"/>
        <v>1.8379630747327813E-4</v>
      </c>
      <c r="G461" s="96">
        <f t="shared" si="190"/>
        <v>-0.2978162036925267</v>
      </c>
      <c r="I461" s="96">
        <f t="shared" si="188"/>
        <v>0</v>
      </c>
      <c r="J461" s="96">
        <f t="shared" si="189"/>
        <v>0.53699999999999903</v>
      </c>
      <c r="X461" s="96">
        <f t="shared" si="173"/>
        <v>109</v>
      </c>
      <c r="Y461" s="96">
        <v>0.26800000000000002</v>
      </c>
      <c r="Z461" s="272">
        <f t="shared" si="175"/>
        <v>109</v>
      </c>
      <c r="AA461" s="519">
        <f t="shared" si="176"/>
        <v>106.96866843100152</v>
      </c>
      <c r="AB461" s="516">
        <f t="shared" si="174"/>
        <v>212</v>
      </c>
      <c r="AC461" s="272">
        <f t="shared" si="164"/>
        <v>108.20049895974569</v>
      </c>
      <c r="AD461" s="272">
        <f t="shared" si="177"/>
        <v>214</v>
      </c>
      <c r="AE461" s="272">
        <f t="shared" si="165"/>
        <v>108.18888941021775</v>
      </c>
      <c r="AF461" s="272">
        <f t="shared" si="178"/>
        <v>216</v>
      </c>
      <c r="AG461" s="272">
        <f t="shared" si="166"/>
        <v>108.17749664352711</v>
      </c>
      <c r="AH461" s="272">
        <f t="shared" si="179"/>
        <v>216</v>
      </c>
      <c r="AI461" s="272">
        <f t="shared" si="167"/>
        <v>108.17749664352711</v>
      </c>
      <c r="AJ461" s="272">
        <f t="shared" si="180"/>
        <v>216</v>
      </c>
      <c r="AK461" s="272">
        <f t="shared" si="168"/>
        <v>108.17749664352711</v>
      </c>
      <c r="AL461" s="272">
        <f t="shared" si="181"/>
        <v>216</v>
      </c>
      <c r="AM461" s="272">
        <f t="shared" si="169"/>
        <v>108.17749664352711</v>
      </c>
      <c r="AN461" s="272">
        <f t="shared" si="182"/>
        <v>216</v>
      </c>
      <c r="AO461" s="272">
        <f t="shared" si="170"/>
        <v>108.17749664352711</v>
      </c>
      <c r="AP461" s="272">
        <f t="shared" si="183"/>
        <v>216</v>
      </c>
      <c r="AQ461" s="272">
        <f t="shared" si="171"/>
        <v>108.17749664352711</v>
      </c>
      <c r="AR461" s="272">
        <f t="shared" si="184"/>
        <v>216</v>
      </c>
      <c r="AS461" s="508">
        <f t="shared" si="172"/>
        <v>108.17749664352711</v>
      </c>
    </row>
    <row r="462" spans="1:45" ht="12.75" customHeight="1">
      <c r="A462" s="96">
        <f>IF(MAX($F$104:F462)=$G$99,$G$99,F462)</f>
        <v>15.906595441861038</v>
      </c>
      <c r="B462" s="481">
        <v>359</v>
      </c>
      <c r="C462" s="96">
        <f t="shared" si="191"/>
        <v>0.53849999999999898</v>
      </c>
      <c r="D462" s="96">
        <f t="shared" si="185"/>
        <v>180.40541126963876</v>
      </c>
      <c r="E462" s="96">
        <f t="shared" si="186"/>
        <v>7.9688074782872622E-7</v>
      </c>
      <c r="F462" s="96">
        <f t="shared" si="187"/>
        <v>1.4587412987242363E-4</v>
      </c>
      <c r="G462" s="96">
        <f t="shared" si="190"/>
        <v>-0.29785412587012755</v>
      </c>
      <c r="I462" s="96">
        <f t="shared" si="188"/>
        <v>0</v>
      </c>
      <c r="J462" s="96">
        <f t="shared" si="189"/>
        <v>0.53849999999999898</v>
      </c>
      <c r="X462" s="96">
        <f t="shared" si="173"/>
        <v>110</v>
      </c>
      <c r="Y462" s="96">
        <v>0.26600000000000001</v>
      </c>
      <c r="Z462" s="272">
        <f t="shared" si="175"/>
        <v>110</v>
      </c>
      <c r="AA462" s="519">
        <f t="shared" si="176"/>
        <v>108.58326702171199</v>
      </c>
      <c r="AB462" s="516">
        <f t="shared" si="174"/>
        <v>216</v>
      </c>
      <c r="AC462" s="272">
        <f t="shared" si="164"/>
        <v>109.81034143994418</v>
      </c>
      <c r="AD462" s="272">
        <f t="shared" si="177"/>
        <v>218</v>
      </c>
      <c r="AE462" s="272">
        <f t="shared" si="165"/>
        <v>109.79899065791643</v>
      </c>
      <c r="AF462" s="272">
        <f t="shared" si="178"/>
        <v>218</v>
      </c>
      <c r="AG462" s="272">
        <f t="shared" si="166"/>
        <v>109.79899065791643</v>
      </c>
      <c r="AH462" s="272">
        <f t="shared" si="179"/>
        <v>218</v>
      </c>
      <c r="AI462" s="272">
        <f t="shared" si="167"/>
        <v>109.79899065791643</v>
      </c>
      <c r="AJ462" s="272">
        <f t="shared" si="180"/>
        <v>218</v>
      </c>
      <c r="AK462" s="272">
        <f t="shared" si="168"/>
        <v>109.79899065791643</v>
      </c>
      <c r="AL462" s="272">
        <f t="shared" si="181"/>
        <v>218</v>
      </c>
      <c r="AM462" s="272">
        <f t="shared" si="169"/>
        <v>109.79899065791643</v>
      </c>
      <c r="AN462" s="272">
        <f t="shared" si="182"/>
        <v>218</v>
      </c>
      <c r="AO462" s="272">
        <f t="shared" si="170"/>
        <v>109.79899065791643</v>
      </c>
      <c r="AP462" s="272">
        <f t="shared" si="183"/>
        <v>218</v>
      </c>
      <c r="AQ462" s="272">
        <f t="shared" si="171"/>
        <v>109.79899065791643</v>
      </c>
      <c r="AR462" s="272">
        <f t="shared" si="184"/>
        <v>218</v>
      </c>
      <c r="AS462" s="508">
        <f t="shared" si="172"/>
        <v>109.79899065791643</v>
      </c>
    </row>
    <row r="463" spans="1:45" ht="12.75" customHeight="1">
      <c r="A463" s="96">
        <f>IF(MAX($F$104:F463)=$G$99,$G$99,F463)</f>
        <v>15.906595441861038</v>
      </c>
      <c r="B463" s="481">
        <v>360</v>
      </c>
      <c r="C463" s="96">
        <f t="shared" si="191"/>
        <v>0.53999999999999893</v>
      </c>
      <c r="D463" s="96">
        <f t="shared" si="185"/>
        <v>181.41185512639709</v>
      </c>
      <c r="E463" s="96">
        <f t="shared" si="186"/>
        <v>6.2563157764298967E-7</v>
      </c>
      <c r="F463" s="96">
        <f t="shared" si="187"/>
        <v>1.1552753636032126E-4</v>
      </c>
      <c r="G463" s="96">
        <f t="shared" si="190"/>
        <v>-0.29788447246363969</v>
      </c>
      <c r="I463" s="96">
        <f t="shared" si="188"/>
        <v>0</v>
      </c>
      <c r="J463" s="96">
        <f t="shared" si="189"/>
        <v>0.53999999999999893</v>
      </c>
      <c r="X463" s="96">
        <f t="shared" si="173"/>
        <v>112</v>
      </c>
      <c r="Y463" s="96">
        <v>0.26400000000000001</v>
      </c>
      <c r="Z463" s="272">
        <f t="shared" si="175"/>
        <v>112</v>
      </c>
      <c r="AA463" s="519">
        <f t="shared" si="176"/>
        <v>110.23469985922081</v>
      </c>
      <c r="AB463" s="516">
        <f t="shared" si="174"/>
        <v>220</v>
      </c>
      <c r="AC463" s="272">
        <f t="shared" si="164"/>
        <v>111.45760113879211</v>
      </c>
      <c r="AD463" s="272">
        <f t="shared" si="177"/>
        <v>222</v>
      </c>
      <c r="AE463" s="272">
        <f t="shared" si="165"/>
        <v>111.4464944293895</v>
      </c>
      <c r="AF463" s="272">
        <f t="shared" si="178"/>
        <v>222</v>
      </c>
      <c r="AG463" s="272">
        <f t="shared" si="166"/>
        <v>111.4464944293895</v>
      </c>
      <c r="AH463" s="272">
        <f t="shared" si="179"/>
        <v>222</v>
      </c>
      <c r="AI463" s="272">
        <f t="shared" si="167"/>
        <v>111.4464944293895</v>
      </c>
      <c r="AJ463" s="272">
        <f t="shared" si="180"/>
        <v>222</v>
      </c>
      <c r="AK463" s="272">
        <f t="shared" si="168"/>
        <v>111.4464944293895</v>
      </c>
      <c r="AL463" s="272">
        <f t="shared" si="181"/>
        <v>222</v>
      </c>
      <c r="AM463" s="272">
        <f t="shared" si="169"/>
        <v>111.4464944293895</v>
      </c>
      <c r="AN463" s="272">
        <f t="shared" si="182"/>
        <v>222</v>
      </c>
      <c r="AO463" s="272">
        <f t="shared" si="170"/>
        <v>111.4464944293895</v>
      </c>
      <c r="AP463" s="272">
        <f t="shared" si="183"/>
        <v>222</v>
      </c>
      <c r="AQ463" s="272">
        <f t="shared" si="171"/>
        <v>111.4464944293895</v>
      </c>
      <c r="AR463" s="272">
        <f t="shared" si="184"/>
        <v>222</v>
      </c>
      <c r="AS463" s="508">
        <f t="shared" si="172"/>
        <v>111.4464944293895</v>
      </c>
    </row>
    <row r="464" spans="1:45" ht="12.75" customHeight="1">
      <c r="A464" s="96">
        <f>IF(MAX($F$104:F464)=$G$99,$G$99,F464)</f>
        <v>15.906595441861038</v>
      </c>
      <c r="B464" s="96">
        <v>361</v>
      </c>
      <c r="C464" s="96">
        <f t="shared" si="191"/>
        <v>0.54149999999999887</v>
      </c>
      <c r="D464" s="96">
        <f t="shared" si="185"/>
        <v>182.42109854882091</v>
      </c>
      <c r="E464" s="96">
        <f t="shared" si="186"/>
        <v>4.9017047430574938E-7</v>
      </c>
      <c r="F464" s="96">
        <f t="shared" si="187"/>
        <v>9.1297795952189253E-5</v>
      </c>
      <c r="G464" s="96">
        <f t="shared" si="190"/>
        <v>-0.2979087022040478</v>
      </c>
      <c r="I464" s="96">
        <f t="shared" si="188"/>
        <v>0</v>
      </c>
      <c r="J464" s="96">
        <f t="shared" si="189"/>
        <v>0.54149999999999887</v>
      </c>
      <c r="X464" s="96">
        <f t="shared" si="173"/>
        <v>114</v>
      </c>
      <c r="Y464" s="96">
        <v>0.26200000000000001</v>
      </c>
      <c r="Z464" s="272">
        <f t="shared" si="175"/>
        <v>114</v>
      </c>
      <c r="AA464" s="519">
        <f t="shared" si="176"/>
        <v>111.92409593538044</v>
      </c>
      <c r="AB464" s="516">
        <f t="shared" si="174"/>
        <v>222</v>
      </c>
      <c r="AC464" s="272">
        <f t="shared" si="164"/>
        <v>113.15446179929388</v>
      </c>
      <c r="AD464" s="272">
        <f t="shared" si="177"/>
        <v>224</v>
      </c>
      <c r="AE464" s="272">
        <f t="shared" si="165"/>
        <v>113.14338786587696</v>
      </c>
      <c r="AF464" s="272">
        <f t="shared" si="178"/>
        <v>226</v>
      </c>
      <c r="AG464" s="272">
        <f t="shared" si="166"/>
        <v>113.13251149177964</v>
      </c>
      <c r="AH464" s="272">
        <f t="shared" si="179"/>
        <v>226</v>
      </c>
      <c r="AI464" s="272">
        <f t="shared" si="167"/>
        <v>113.13251149177964</v>
      </c>
      <c r="AJ464" s="272">
        <f t="shared" si="180"/>
        <v>226</v>
      </c>
      <c r="AK464" s="272">
        <f t="shared" si="168"/>
        <v>113.13251149177964</v>
      </c>
      <c r="AL464" s="272">
        <f t="shared" si="181"/>
        <v>226</v>
      </c>
      <c r="AM464" s="272">
        <f t="shared" si="169"/>
        <v>113.13251149177964</v>
      </c>
      <c r="AN464" s="272">
        <f t="shared" si="182"/>
        <v>226</v>
      </c>
      <c r="AO464" s="272">
        <f t="shared" si="170"/>
        <v>113.13251149177964</v>
      </c>
      <c r="AP464" s="272">
        <f t="shared" si="183"/>
        <v>226</v>
      </c>
      <c r="AQ464" s="272">
        <f t="shared" si="171"/>
        <v>113.13251149177964</v>
      </c>
      <c r="AR464" s="272">
        <f t="shared" si="184"/>
        <v>226</v>
      </c>
      <c r="AS464" s="508">
        <f t="shared" si="172"/>
        <v>113.13251149177964</v>
      </c>
    </row>
    <row r="465" spans="1:45" ht="12.75" customHeight="1">
      <c r="A465" s="96">
        <f>IF(MAX($F$104:F465)=$G$99,$G$99,F465)</f>
        <v>15.906595441861038</v>
      </c>
      <c r="B465" s="481">
        <v>362</v>
      </c>
      <c r="C465" s="96">
        <f t="shared" si="191"/>
        <v>0.54299999999999882</v>
      </c>
      <c r="D465" s="96">
        <f t="shared" si="185"/>
        <v>183.43314153691026</v>
      </c>
      <c r="E465" s="96">
        <f t="shared" si="186"/>
        <v>3.8324804856638103E-7</v>
      </c>
      <c r="F465" s="96">
        <f t="shared" si="187"/>
        <v>7.1995345078794252E-5</v>
      </c>
      <c r="G465" s="96">
        <f t="shared" si="190"/>
        <v>-0.2979280046549212</v>
      </c>
      <c r="I465" s="96">
        <f t="shared" si="188"/>
        <v>0</v>
      </c>
      <c r="J465" s="96">
        <f t="shared" si="189"/>
        <v>0.54299999999999882</v>
      </c>
      <c r="X465" s="96">
        <f t="shared" si="173"/>
        <v>115</v>
      </c>
      <c r="Y465" s="96">
        <v>0.26</v>
      </c>
      <c r="Z465" s="272">
        <f t="shared" si="175"/>
        <v>115</v>
      </c>
      <c r="AA465" s="519">
        <f t="shared" si="176"/>
        <v>113.65262783118717</v>
      </c>
      <c r="AB465" s="516">
        <f t="shared" si="174"/>
        <v>226</v>
      </c>
      <c r="AC465" s="272">
        <f t="shared" ref="AC465:AC528" si="192">MAX(2*(TINV(1-$C$80/100,AB465)/$Y465)^2,$C$79)</f>
        <v>114.87970590002546</v>
      </c>
      <c r="AD465" s="272">
        <f t="shared" si="177"/>
        <v>228</v>
      </c>
      <c r="AE465" s="272">
        <f t="shared" ref="AE465:AE528" si="193">MAX(2*(TINV(1-$C$80/100,AD465)/$Y465)^2,$C$79)</f>
        <v>114.86885684305707</v>
      </c>
      <c r="AF465" s="272">
        <f t="shared" si="178"/>
        <v>228</v>
      </c>
      <c r="AG465" s="272">
        <f t="shared" ref="AG465:AG528" si="194">MAX(2*(TINV(1-$C$80/100,AF465)/$Y465)^2,$C$79)</f>
        <v>114.86885684305707</v>
      </c>
      <c r="AH465" s="272">
        <f t="shared" si="179"/>
        <v>228</v>
      </c>
      <c r="AI465" s="272">
        <f t="shared" ref="AI465:AI528" si="195">MAX(2*(TINV(1-$C$80/100,AH465)/$Y465)^2,$C$79)</f>
        <v>114.86885684305707</v>
      </c>
      <c r="AJ465" s="272">
        <f t="shared" si="180"/>
        <v>228</v>
      </c>
      <c r="AK465" s="272">
        <f t="shared" ref="AK465:AK528" si="196">MAX(2*(TINV(1-$C$80/100,AJ465)/$Y465)^2,$C$79)</f>
        <v>114.86885684305707</v>
      </c>
      <c r="AL465" s="272">
        <f t="shared" si="181"/>
        <v>228</v>
      </c>
      <c r="AM465" s="272">
        <f t="shared" ref="AM465:AM528" si="197">MAX(2*(TINV(1-$C$80/100,AL465)/$Y465)^2,$C$79)</f>
        <v>114.86885684305707</v>
      </c>
      <c r="AN465" s="272">
        <f t="shared" si="182"/>
        <v>228</v>
      </c>
      <c r="AO465" s="272">
        <f t="shared" ref="AO465:AO528" si="198">MAX(2*(TINV(1-$C$80/100,AN465)/$Y465)^2,$C$79)</f>
        <v>114.86885684305707</v>
      </c>
      <c r="AP465" s="272">
        <f t="shared" si="183"/>
        <v>228</v>
      </c>
      <c r="AQ465" s="272">
        <f t="shared" ref="AQ465:AQ528" si="199">MAX(2*(TINV(1-$C$80/100,AP465)/$Y465)^2,$C$79)</f>
        <v>114.86885684305707</v>
      </c>
      <c r="AR465" s="272">
        <f t="shared" si="184"/>
        <v>228</v>
      </c>
      <c r="AS465" s="508">
        <f t="shared" ref="AS465:AS528" si="200">MAX(2*(TINV(1-$C$80/100,AR465)/$Y465)^2,$C$79)</f>
        <v>114.86885684305707</v>
      </c>
    </row>
    <row r="466" spans="1:45" ht="12.75" customHeight="1">
      <c r="A466" s="96">
        <f>IF(MAX($F$104:F466)=$G$99,$G$99,F466)</f>
        <v>15.906595441861038</v>
      </c>
      <c r="B466" s="481">
        <v>363</v>
      </c>
      <c r="C466" s="96">
        <f t="shared" si="191"/>
        <v>0.54449999999999876</v>
      </c>
      <c r="D466" s="96">
        <f t="shared" si="185"/>
        <v>184.44798409066516</v>
      </c>
      <c r="E466" s="96">
        <f t="shared" si="186"/>
        <v>2.9903239002576461E-7</v>
      </c>
      <c r="F466" s="96">
        <f t="shared" si="187"/>
        <v>5.6652576525699013E-5</v>
      </c>
      <c r="G466" s="96">
        <f t="shared" si="190"/>
        <v>-0.29794334742347428</v>
      </c>
      <c r="I466" s="96">
        <f t="shared" si="188"/>
        <v>0</v>
      </c>
      <c r="J466" s="96">
        <f t="shared" si="189"/>
        <v>0.54449999999999876</v>
      </c>
      <c r="X466" s="96">
        <f t="shared" ref="X466:X529" si="201">Z466</f>
        <v>117</v>
      </c>
      <c r="Y466" s="96">
        <v>0.25800000000000001</v>
      </c>
      <c r="Z466" s="272">
        <f t="shared" si="175"/>
        <v>117</v>
      </c>
      <c r="AA466" s="519">
        <f t="shared" si="176"/>
        <v>115.42151375200187</v>
      </c>
      <c r="AB466" s="516">
        <f t="shared" ref="AB466:AB529" si="202">2*ROUNDUP(AA466,0)-2</f>
        <v>230</v>
      </c>
      <c r="AC466" s="272">
        <f t="shared" si="192"/>
        <v>116.64584731740943</v>
      </c>
      <c r="AD466" s="272">
        <f t="shared" si="177"/>
        <v>232</v>
      </c>
      <c r="AE466" s="272">
        <f t="shared" si="193"/>
        <v>116.63521060271174</v>
      </c>
      <c r="AF466" s="272">
        <f t="shared" si="178"/>
        <v>232</v>
      </c>
      <c r="AG466" s="272">
        <f t="shared" si="194"/>
        <v>116.63521060271174</v>
      </c>
      <c r="AH466" s="272">
        <f t="shared" si="179"/>
        <v>232</v>
      </c>
      <c r="AI466" s="272">
        <f t="shared" si="195"/>
        <v>116.63521060271174</v>
      </c>
      <c r="AJ466" s="272">
        <f t="shared" si="180"/>
        <v>232</v>
      </c>
      <c r="AK466" s="272">
        <f t="shared" si="196"/>
        <v>116.63521060271174</v>
      </c>
      <c r="AL466" s="272">
        <f t="shared" si="181"/>
        <v>232</v>
      </c>
      <c r="AM466" s="272">
        <f t="shared" si="197"/>
        <v>116.63521060271174</v>
      </c>
      <c r="AN466" s="272">
        <f t="shared" si="182"/>
        <v>232</v>
      </c>
      <c r="AO466" s="272">
        <f t="shared" si="198"/>
        <v>116.63521060271174</v>
      </c>
      <c r="AP466" s="272">
        <f t="shared" si="183"/>
        <v>232</v>
      </c>
      <c r="AQ466" s="272">
        <f t="shared" si="199"/>
        <v>116.63521060271174</v>
      </c>
      <c r="AR466" s="272">
        <f t="shared" si="184"/>
        <v>232</v>
      </c>
      <c r="AS466" s="508">
        <f t="shared" si="200"/>
        <v>116.63521060271174</v>
      </c>
    </row>
    <row r="467" spans="1:45" ht="12.75" customHeight="1">
      <c r="A467" s="96">
        <f>IF(MAX($F$104:F467)=$G$99,$G$99,F467)</f>
        <v>15.906595441861038</v>
      </c>
      <c r="B467" s="96">
        <v>364</v>
      </c>
      <c r="C467" s="96">
        <f t="shared" si="191"/>
        <v>0.54599999999999871</v>
      </c>
      <c r="D467" s="96">
        <f t="shared" si="185"/>
        <v>185.46562621008559</v>
      </c>
      <c r="E467" s="96">
        <f t="shared" si="186"/>
        <v>2.3284297814417124E-7</v>
      </c>
      <c r="F467" s="96">
        <f t="shared" si="187"/>
        <v>4.4484406906188217E-5</v>
      </c>
      <c r="G467" s="96">
        <f t="shared" si="190"/>
        <v>-0.2979555155930938</v>
      </c>
      <c r="I467" s="96">
        <f t="shared" si="188"/>
        <v>0</v>
      </c>
      <c r="J467" s="96">
        <f t="shared" si="189"/>
        <v>0.54599999999999871</v>
      </c>
      <c r="X467" s="96">
        <f t="shared" si="201"/>
        <v>119</v>
      </c>
      <c r="Y467" s="96">
        <v>0.25600000000000001</v>
      </c>
      <c r="Z467" s="272">
        <f t="shared" ref="Z467:Z530" si="203">(2+MAX(AP467,AR467))/2</f>
        <v>119</v>
      </c>
      <c r="AA467" s="519">
        <f t="shared" ref="AA467:AA530" si="204">MAX(2*($C$83/Y467)^2,$C$79)</f>
        <v>117.23201967450339</v>
      </c>
      <c r="AB467" s="516">
        <f t="shared" si="202"/>
        <v>234</v>
      </c>
      <c r="AC467" s="272">
        <f t="shared" si="192"/>
        <v>118.45413715032151</v>
      </c>
      <c r="AD467" s="272">
        <f t="shared" ref="AD467:AD530" si="205">MAX(MIN(2*ROUNDUP(AC467,0)-2,AB467+2),AB467-2)</f>
        <v>236</v>
      </c>
      <c r="AE467" s="272">
        <f t="shared" si="193"/>
        <v>118.44370101288206</v>
      </c>
      <c r="AF467" s="272">
        <f t="shared" ref="AF467:AF530" si="206">MAX(MIN(2*ROUNDUP(AE467,0)-2,AD467+2),AD467-2)</f>
        <v>236</v>
      </c>
      <c r="AG467" s="272">
        <f t="shared" si="194"/>
        <v>118.44370101288206</v>
      </c>
      <c r="AH467" s="272">
        <f t="shared" ref="AH467:AH530" si="207">MAX(MIN(2*ROUNDUP(AG467,0)-2,AF467+2),AF467-2)</f>
        <v>236</v>
      </c>
      <c r="AI467" s="272">
        <f t="shared" si="195"/>
        <v>118.44370101288206</v>
      </c>
      <c r="AJ467" s="272">
        <f t="shared" ref="AJ467:AJ530" si="208">MAX(MIN(2*ROUNDUP(AI467,0)-2,AH467+2),AH467-2)</f>
        <v>236</v>
      </c>
      <c r="AK467" s="272">
        <f t="shared" si="196"/>
        <v>118.44370101288206</v>
      </c>
      <c r="AL467" s="272">
        <f t="shared" ref="AL467:AL530" si="209">MAX(MIN(2*ROUNDUP(AK467,0)-2,AJ467+2),AJ467-2)</f>
        <v>236</v>
      </c>
      <c r="AM467" s="272">
        <f t="shared" si="197"/>
        <v>118.44370101288206</v>
      </c>
      <c r="AN467" s="272">
        <f t="shared" ref="AN467:AN530" si="210">MAX(MIN(2*ROUNDUP(AM467,0)-2,AL467+2),AL467-2)</f>
        <v>236</v>
      </c>
      <c r="AO467" s="272">
        <f t="shared" si="198"/>
        <v>118.44370101288206</v>
      </c>
      <c r="AP467" s="272">
        <f t="shared" ref="AP467:AP530" si="211">MAX(MIN(2*ROUNDUP(AO467,0)-2,AN467+2),AN467-2)</f>
        <v>236</v>
      </c>
      <c r="AQ467" s="272">
        <f t="shared" si="199"/>
        <v>118.44370101288206</v>
      </c>
      <c r="AR467" s="272">
        <f t="shared" ref="AR467:AR530" si="212">MAX(MIN(2*ROUNDUP(AQ467,0)-2,AP467+2),AP467-2)</f>
        <v>236</v>
      </c>
      <c r="AS467" s="508">
        <f t="shared" si="200"/>
        <v>118.44370101288206</v>
      </c>
    </row>
    <row r="468" spans="1:45" ht="12.75" customHeight="1">
      <c r="A468" s="96">
        <f>IF(MAX($F$104:F468)=$G$99,$G$99,F468)</f>
        <v>15.906595441861038</v>
      </c>
      <c r="B468" s="481">
        <v>365</v>
      </c>
      <c r="C468" s="96">
        <f t="shared" si="191"/>
        <v>0.54749999999999865</v>
      </c>
      <c r="D468" s="96">
        <f t="shared" si="185"/>
        <v>186.48606789517149</v>
      </c>
      <c r="E468" s="96">
        <f t="shared" si="186"/>
        <v>1.8093219469960118E-7</v>
      </c>
      <c r="F468" s="96">
        <f t="shared" si="187"/>
        <v>3.48554412374902E-5</v>
      </c>
      <c r="G468" s="96">
        <f t="shared" si="190"/>
        <v>-0.2979651445587625</v>
      </c>
      <c r="I468" s="96">
        <f t="shared" si="188"/>
        <v>0</v>
      </c>
      <c r="J468" s="96">
        <f t="shared" si="189"/>
        <v>0.54749999999999865</v>
      </c>
      <c r="X468" s="96">
        <f t="shared" si="201"/>
        <v>121</v>
      </c>
      <c r="Y468" s="96">
        <v>0.254</v>
      </c>
      <c r="Z468" s="272">
        <f t="shared" si="203"/>
        <v>121</v>
      </c>
      <c r="AA468" s="519">
        <f t="shared" si="204"/>
        <v>119.08546161244115</v>
      </c>
      <c r="AB468" s="516">
        <f t="shared" si="202"/>
        <v>238</v>
      </c>
      <c r="AC468" s="272">
        <f t="shared" si="192"/>
        <v>120.30587805513306</v>
      </c>
      <c r="AD468" s="272">
        <f t="shared" si="205"/>
        <v>240</v>
      </c>
      <c r="AE468" s="272">
        <f t="shared" si="193"/>
        <v>120.29563143478001</v>
      </c>
      <c r="AF468" s="272">
        <f t="shared" si="206"/>
        <v>240</v>
      </c>
      <c r="AG468" s="272">
        <f t="shared" si="194"/>
        <v>120.29563143478001</v>
      </c>
      <c r="AH468" s="272">
        <f t="shared" si="207"/>
        <v>240</v>
      </c>
      <c r="AI468" s="272">
        <f t="shared" si="195"/>
        <v>120.29563143478001</v>
      </c>
      <c r="AJ468" s="272">
        <f t="shared" si="208"/>
        <v>240</v>
      </c>
      <c r="AK468" s="272">
        <f t="shared" si="196"/>
        <v>120.29563143478001</v>
      </c>
      <c r="AL468" s="272">
        <f t="shared" si="209"/>
        <v>240</v>
      </c>
      <c r="AM468" s="272">
        <f t="shared" si="197"/>
        <v>120.29563143478001</v>
      </c>
      <c r="AN468" s="272">
        <f t="shared" si="210"/>
        <v>240</v>
      </c>
      <c r="AO468" s="272">
        <f t="shared" si="198"/>
        <v>120.29563143478001</v>
      </c>
      <c r="AP468" s="272">
        <f t="shared" si="211"/>
        <v>240</v>
      </c>
      <c r="AQ468" s="272">
        <f t="shared" si="199"/>
        <v>120.29563143478001</v>
      </c>
      <c r="AR468" s="272">
        <f t="shared" si="212"/>
        <v>240</v>
      </c>
      <c r="AS468" s="508">
        <f t="shared" si="200"/>
        <v>120.29563143478001</v>
      </c>
    </row>
    <row r="469" spans="1:45" ht="12.75" customHeight="1">
      <c r="A469" s="96">
        <f>IF(MAX($F$104:F469)=$G$99,$G$99,F469)</f>
        <v>15.906595441861038</v>
      </c>
      <c r="B469" s="481">
        <v>366</v>
      </c>
      <c r="C469" s="96">
        <f t="shared" si="191"/>
        <v>0.5489999999999986</v>
      </c>
      <c r="D469" s="96">
        <f t="shared" si="185"/>
        <v>187.509309145923</v>
      </c>
      <c r="E469" s="96">
        <f t="shared" si="186"/>
        <v>1.4030640848711759E-7</v>
      </c>
      <c r="F469" s="96">
        <f t="shared" si="187"/>
        <v>2.7252713080211865E-5</v>
      </c>
      <c r="G469" s="96">
        <f t="shared" si="190"/>
        <v>-0.29797274728691975</v>
      </c>
      <c r="I469" s="96">
        <f t="shared" si="188"/>
        <v>0</v>
      </c>
      <c r="J469" s="96">
        <f t="shared" si="189"/>
        <v>0.5489999999999986</v>
      </c>
      <c r="X469" s="96">
        <f t="shared" si="201"/>
        <v>123</v>
      </c>
      <c r="Y469" s="96">
        <v>0.252</v>
      </c>
      <c r="Z469" s="272">
        <f t="shared" si="203"/>
        <v>123</v>
      </c>
      <c r="AA469" s="519">
        <f t="shared" si="204"/>
        <v>120.98320800875935</v>
      </c>
      <c r="AB469" s="516">
        <f t="shared" si="202"/>
        <v>240</v>
      </c>
      <c r="AC469" s="272">
        <f t="shared" si="192"/>
        <v>122.21266310226547</v>
      </c>
      <c r="AD469" s="272">
        <f t="shared" si="205"/>
        <v>242</v>
      </c>
      <c r="AE469" s="272">
        <f t="shared" si="193"/>
        <v>122.20242653546194</v>
      </c>
      <c r="AF469" s="272">
        <f t="shared" si="206"/>
        <v>244</v>
      </c>
      <c r="AG469" s="272">
        <f t="shared" si="194"/>
        <v>122.1923590184887</v>
      </c>
      <c r="AH469" s="272">
        <f t="shared" si="207"/>
        <v>244</v>
      </c>
      <c r="AI469" s="272">
        <f t="shared" si="195"/>
        <v>122.1923590184887</v>
      </c>
      <c r="AJ469" s="272">
        <f t="shared" si="208"/>
        <v>244</v>
      </c>
      <c r="AK469" s="272">
        <f t="shared" si="196"/>
        <v>122.1923590184887</v>
      </c>
      <c r="AL469" s="272">
        <f t="shared" si="209"/>
        <v>244</v>
      </c>
      <c r="AM469" s="272">
        <f t="shared" si="197"/>
        <v>122.1923590184887</v>
      </c>
      <c r="AN469" s="272">
        <f t="shared" si="210"/>
        <v>244</v>
      </c>
      <c r="AO469" s="272">
        <f t="shared" si="198"/>
        <v>122.1923590184887</v>
      </c>
      <c r="AP469" s="272">
        <f t="shared" si="211"/>
        <v>244</v>
      </c>
      <c r="AQ469" s="272">
        <f t="shared" si="199"/>
        <v>122.1923590184887</v>
      </c>
      <c r="AR469" s="272">
        <f t="shared" si="212"/>
        <v>244</v>
      </c>
      <c r="AS469" s="508">
        <f t="shared" si="200"/>
        <v>122.1923590184887</v>
      </c>
    </row>
    <row r="470" spans="1:45" ht="12.75" customHeight="1">
      <c r="A470" s="96">
        <f>IF(MAX($F$104:F470)=$G$99,$G$99,F470)</f>
        <v>15.906595441861038</v>
      </c>
      <c r="B470" s="96">
        <v>367</v>
      </c>
      <c r="C470" s="96">
        <f t="shared" si="191"/>
        <v>0.55049999999999855</v>
      </c>
      <c r="D470" s="96">
        <f t="shared" si="185"/>
        <v>188.53534996234001</v>
      </c>
      <c r="E470" s="96">
        <f t="shared" si="186"/>
        <v>1.0857985908841923E-7</v>
      </c>
      <c r="F470" s="96">
        <f t="shared" si="187"/>
        <v>2.1263120718466219E-5</v>
      </c>
      <c r="G470" s="96">
        <f t="shared" si="190"/>
        <v>-0.2979787368792815</v>
      </c>
      <c r="I470" s="96">
        <f t="shared" si="188"/>
        <v>0</v>
      </c>
      <c r="J470" s="96">
        <f t="shared" si="189"/>
        <v>0.55049999999999855</v>
      </c>
      <c r="X470" s="96">
        <f t="shared" si="201"/>
        <v>125</v>
      </c>
      <c r="Y470" s="96">
        <v>0.25</v>
      </c>
      <c r="Z470" s="272">
        <f t="shared" si="203"/>
        <v>125</v>
      </c>
      <c r="AA470" s="519">
        <f t="shared" si="204"/>
        <v>122.92668226221207</v>
      </c>
      <c r="AB470" s="516">
        <f t="shared" si="202"/>
        <v>244</v>
      </c>
      <c r="AC470" s="272">
        <f t="shared" si="192"/>
        <v>124.15525707376172</v>
      </c>
      <c r="AD470" s="272">
        <f t="shared" si="205"/>
        <v>246</v>
      </c>
      <c r="AE470" s="272">
        <f t="shared" si="193"/>
        <v>124.14519537762362</v>
      </c>
      <c r="AF470" s="272">
        <f t="shared" si="206"/>
        <v>248</v>
      </c>
      <c r="AG470" s="272">
        <f t="shared" si="194"/>
        <v>124.13529714406967</v>
      </c>
      <c r="AH470" s="272">
        <f t="shared" si="207"/>
        <v>248</v>
      </c>
      <c r="AI470" s="272">
        <f t="shared" si="195"/>
        <v>124.13529714406967</v>
      </c>
      <c r="AJ470" s="272">
        <f t="shared" si="208"/>
        <v>248</v>
      </c>
      <c r="AK470" s="272">
        <f t="shared" si="196"/>
        <v>124.13529714406967</v>
      </c>
      <c r="AL470" s="272">
        <f t="shared" si="209"/>
        <v>248</v>
      </c>
      <c r="AM470" s="272">
        <f t="shared" si="197"/>
        <v>124.13529714406967</v>
      </c>
      <c r="AN470" s="272">
        <f t="shared" si="210"/>
        <v>248</v>
      </c>
      <c r="AO470" s="272">
        <f t="shared" si="198"/>
        <v>124.13529714406967</v>
      </c>
      <c r="AP470" s="272">
        <f t="shared" si="211"/>
        <v>248</v>
      </c>
      <c r="AQ470" s="272">
        <f t="shared" si="199"/>
        <v>124.13529714406967</v>
      </c>
      <c r="AR470" s="272">
        <f t="shared" si="212"/>
        <v>248</v>
      </c>
      <c r="AS470" s="508">
        <f t="shared" si="200"/>
        <v>124.13529714406967</v>
      </c>
    </row>
    <row r="471" spans="1:45" ht="12.75" customHeight="1">
      <c r="A471" s="96">
        <f>IF(MAX($F$104:F471)=$G$99,$G$99,F471)</f>
        <v>15.906595441861038</v>
      </c>
      <c r="B471" s="481">
        <v>368</v>
      </c>
      <c r="C471" s="96">
        <f t="shared" si="191"/>
        <v>0.55199999999999849</v>
      </c>
      <c r="D471" s="96">
        <f t="shared" si="185"/>
        <v>189.56419034442251</v>
      </c>
      <c r="E471" s="96">
        <f t="shared" si="186"/>
        <v>8.3855645517738251E-8</v>
      </c>
      <c r="F471" s="96">
        <f t="shared" si="187"/>
        <v>1.6554805265908548E-5</v>
      </c>
      <c r="G471" s="96">
        <f t="shared" si="190"/>
        <v>-0.29798344519473408</v>
      </c>
      <c r="I471" s="96">
        <f t="shared" si="188"/>
        <v>0</v>
      </c>
      <c r="J471" s="96">
        <f t="shared" si="189"/>
        <v>0.55199999999999849</v>
      </c>
      <c r="X471" s="96">
        <f t="shared" si="201"/>
        <v>127</v>
      </c>
      <c r="Y471" s="96">
        <v>0.248</v>
      </c>
      <c r="Z471" s="272">
        <f t="shared" si="203"/>
        <v>127</v>
      </c>
      <c r="AA471" s="519">
        <f t="shared" si="204"/>
        <v>124.91736539718156</v>
      </c>
      <c r="AB471" s="516">
        <f t="shared" si="202"/>
        <v>248</v>
      </c>
      <c r="AC471" s="272">
        <f t="shared" si="192"/>
        <v>126.14555267144178</v>
      </c>
      <c r="AD471" s="272">
        <f t="shared" si="205"/>
        <v>250</v>
      </c>
      <c r="AE471" s="272">
        <f t="shared" si="193"/>
        <v>126.1356562396322</v>
      </c>
      <c r="AF471" s="272">
        <f t="shared" si="206"/>
        <v>252</v>
      </c>
      <c r="AG471" s="272">
        <f t="shared" si="194"/>
        <v>126.12591801533289</v>
      </c>
      <c r="AH471" s="272">
        <f t="shared" si="207"/>
        <v>252</v>
      </c>
      <c r="AI471" s="272">
        <f t="shared" si="195"/>
        <v>126.12591801533289</v>
      </c>
      <c r="AJ471" s="272">
        <f t="shared" si="208"/>
        <v>252</v>
      </c>
      <c r="AK471" s="272">
        <f t="shared" si="196"/>
        <v>126.12591801533289</v>
      </c>
      <c r="AL471" s="272">
        <f t="shared" si="209"/>
        <v>252</v>
      </c>
      <c r="AM471" s="272">
        <f t="shared" si="197"/>
        <v>126.12591801533289</v>
      </c>
      <c r="AN471" s="272">
        <f t="shared" si="210"/>
        <v>252</v>
      </c>
      <c r="AO471" s="272">
        <f t="shared" si="198"/>
        <v>126.12591801533289</v>
      </c>
      <c r="AP471" s="272">
        <f t="shared" si="211"/>
        <v>252</v>
      </c>
      <c r="AQ471" s="272">
        <f t="shared" si="199"/>
        <v>126.12591801533289</v>
      </c>
      <c r="AR471" s="272">
        <f t="shared" si="212"/>
        <v>252</v>
      </c>
      <c r="AS471" s="508">
        <f t="shared" si="200"/>
        <v>126.12591801533289</v>
      </c>
    </row>
    <row r="472" spans="1:45" ht="12.75" customHeight="1">
      <c r="A472" s="96">
        <f>IF(MAX($F$104:F472)=$G$99,$G$99,F472)</f>
        <v>15.906595441861038</v>
      </c>
      <c r="B472" s="481">
        <v>369</v>
      </c>
      <c r="C472" s="96">
        <f t="shared" si="191"/>
        <v>0.55349999999999844</v>
      </c>
      <c r="D472" s="96">
        <f t="shared" si="185"/>
        <v>190.59583029217063</v>
      </c>
      <c r="E472" s="96">
        <f t="shared" si="186"/>
        <v>6.4629048647954057E-8</v>
      </c>
      <c r="F472" s="96">
        <f t="shared" si="187"/>
        <v>1.2861826711153203E-5</v>
      </c>
      <c r="G472" s="96">
        <f t="shared" si="190"/>
        <v>-0.29798713817328881</v>
      </c>
      <c r="I472" s="96">
        <f t="shared" si="188"/>
        <v>0</v>
      </c>
      <c r="J472" s="96">
        <f t="shared" si="189"/>
        <v>0.55349999999999844</v>
      </c>
      <c r="X472" s="96">
        <f t="shared" si="201"/>
        <v>129</v>
      </c>
      <c r="Y472" s="96">
        <v>0.246</v>
      </c>
      <c r="Z472" s="272">
        <f t="shared" si="203"/>
        <v>129</v>
      </c>
      <c r="AA472" s="519">
        <f t="shared" si="204"/>
        <v>126.95679888605088</v>
      </c>
      <c r="AB472" s="516">
        <f t="shared" si="202"/>
        <v>252</v>
      </c>
      <c r="AC472" s="272">
        <f t="shared" si="192"/>
        <v>128.18508264946519</v>
      </c>
      <c r="AD472" s="272">
        <f t="shared" si="205"/>
        <v>254</v>
      </c>
      <c r="AE472" s="272">
        <f t="shared" si="193"/>
        <v>128.17534240178369</v>
      </c>
      <c r="AF472" s="272">
        <f t="shared" si="206"/>
        <v>256</v>
      </c>
      <c r="AG472" s="272">
        <f t="shared" si="194"/>
        <v>128.16575541482038</v>
      </c>
      <c r="AH472" s="272">
        <f t="shared" si="207"/>
        <v>256</v>
      </c>
      <c r="AI472" s="272">
        <f t="shared" si="195"/>
        <v>128.16575541482038</v>
      </c>
      <c r="AJ472" s="272">
        <f t="shared" si="208"/>
        <v>256</v>
      </c>
      <c r="AK472" s="272">
        <f t="shared" si="196"/>
        <v>128.16575541482038</v>
      </c>
      <c r="AL472" s="272">
        <f t="shared" si="209"/>
        <v>256</v>
      </c>
      <c r="AM472" s="272">
        <f t="shared" si="197"/>
        <v>128.16575541482038</v>
      </c>
      <c r="AN472" s="272">
        <f t="shared" si="210"/>
        <v>256</v>
      </c>
      <c r="AO472" s="272">
        <f t="shared" si="198"/>
        <v>128.16575541482038</v>
      </c>
      <c r="AP472" s="272">
        <f t="shared" si="211"/>
        <v>256</v>
      </c>
      <c r="AQ472" s="272">
        <f t="shared" si="199"/>
        <v>128.16575541482038</v>
      </c>
      <c r="AR472" s="272">
        <f t="shared" si="212"/>
        <v>256</v>
      </c>
      <c r="AS472" s="508">
        <f t="shared" si="200"/>
        <v>128.16575541482038</v>
      </c>
    </row>
    <row r="473" spans="1:45" ht="12.75" customHeight="1">
      <c r="A473" s="96">
        <f>IF(MAX($F$104:F473)=$G$99,$G$99,F473)</f>
        <v>15.906595441861038</v>
      </c>
      <c r="B473" s="96">
        <v>370</v>
      </c>
      <c r="C473" s="96">
        <f t="shared" si="191"/>
        <v>0.55499999999999838</v>
      </c>
      <c r="D473" s="96">
        <f t="shared" si="185"/>
        <v>191.63026980558422</v>
      </c>
      <c r="E473" s="96">
        <f t="shared" si="186"/>
        <v>4.9709202921756292E-8</v>
      </c>
      <c r="F473" s="96">
        <f t="shared" si="187"/>
        <v>9.9715901181844206E-6</v>
      </c>
      <c r="G473" s="96">
        <f t="shared" si="190"/>
        <v>-0.29799002840988181</v>
      </c>
      <c r="I473" s="96">
        <f t="shared" si="188"/>
        <v>0</v>
      </c>
      <c r="J473" s="96">
        <f t="shared" si="189"/>
        <v>0.55499999999999838</v>
      </c>
      <c r="X473" s="96">
        <f t="shared" si="201"/>
        <v>131</v>
      </c>
      <c r="Y473" s="96">
        <v>0.24399999999999999</v>
      </c>
      <c r="Z473" s="272">
        <f t="shared" si="203"/>
        <v>131</v>
      </c>
      <c r="AA473" s="519">
        <f t="shared" si="204"/>
        <v>129.04658763417521</v>
      </c>
      <c r="AB473" s="516">
        <f t="shared" si="202"/>
        <v>258</v>
      </c>
      <c r="AC473" s="272">
        <f t="shared" si="192"/>
        <v>130.26585168826091</v>
      </c>
      <c r="AD473" s="272">
        <f t="shared" si="205"/>
        <v>260</v>
      </c>
      <c r="AE473" s="272">
        <f t="shared" si="193"/>
        <v>130.25640762916561</v>
      </c>
      <c r="AF473" s="272">
        <f t="shared" si="206"/>
        <v>260</v>
      </c>
      <c r="AG473" s="272">
        <f t="shared" si="194"/>
        <v>130.25640762916561</v>
      </c>
      <c r="AH473" s="272">
        <f t="shared" si="207"/>
        <v>260</v>
      </c>
      <c r="AI473" s="272">
        <f t="shared" si="195"/>
        <v>130.25640762916561</v>
      </c>
      <c r="AJ473" s="272">
        <f t="shared" si="208"/>
        <v>260</v>
      </c>
      <c r="AK473" s="272">
        <f t="shared" si="196"/>
        <v>130.25640762916561</v>
      </c>
      <c r="AL473" s="272">
        <f t="shared" si="209"/>
        <v>260</v>
      </c>
      <c r="AM473" s="272">
        <f t="shared" si="197"/>
        <v>130.25640762916561</v>
      </c>
      <c r="AN473" s="272">
        <f t="shared" si="210"/>
        <v>260</v>
      </c>
      <c r="AO473" s="272">
        <f t="shared" si="198"/>
        <v>130.25640762916561</v>
      </c>
      <c r="AP473" s="272">
        <f t="shared" si="211"/>
        <v>260</v>
      </c>
      <c r="AQ473" s="272">
        <f t="shared" si="199"/>
        <v>130.25640762916561</v>
      </c>
      <c r="AR473" s="272">
        <f t="shared" si="212"/>
        <v>260</v>
      </c>
      <c r="AS473" s="508">
        <f t="shared" si="200"/>
        <v>130.25640762916561</v>
      </c>
    </row>
    <row r="474" spans="1:45" ht="12.75" customHeight="1">
      <c r="A474" s="96">
        <f>IF(MAX($F$104:F474)=$G$99,$G$99,F474)</f>
        <v>15.906595441861038</v>
      </c>
      <c r="B474" s="481">
        <v>371</v>
      </c>
      <c r="C474" s="96">
        <f t="shared" si="191"/>
        <v>0.55649999999999833</v>
      </c>
      <c r="D474" s="96">
        <f t="shared" si="185"/>
        <v>192.66750888466333</v>
      </c>
      <c r="E474" s="96">
        <f t="shared" si="186"/>
        <v>3.8155800546579485E-8</v>
      </c>
      <c r="F474" s="96">
        <f t="shared" si="187"/>
        <v>7.7145578104487486E-6</v>
      </c>
      <c r="G474" s="96">
        <f t="shared" si="190"/>
        <v>-0.29799228544218953</v>
      </c>
      <c r="I474" s="96">
        <f t="shared" si="188"/>
        <v>0</v>
      </c>
      <c r="J474" s="96">
        <f t="shared" si="189"/>
        <v>0.55649999999999833</v>
      </c>
      <c r="X474" s="96">
        <f t="shared" si="201"/>
        <v>133</v>
      </c>
      <c r="Y474" s="96">
        <v>0.24199999999999999</v>
      </c>
      <c r="Z474" s="272">
        <f t="shared" si="203"/>
        <v>133</v>
      </c>
      <c r="AA474" s="519">
        <f t="shared" si="204"/>
        <v>131.18840313824626</v>
      </c>
      <c r="AB474" s="516">
        <f t="shared" si="202"/>
        <v>262</v>
      </c>
      <c r="AC474" s="272">
        <f t="shared" si="192"/>
        <v>132.40884956941267</v>
      </c>
      <c r="AD474" s="272">
        <f t="shared" si="205"/>
        <v>264</v>
      </c>
      <c r="AE474" s="272">
        <f t="shared" si="193"/>
        <v>132.39954055496753</v>
      </c>
      <c r="AF474" s="272">
        <f t="shared" si="206"/>
        <v>264</v>
      </c>
      <c r="AG474" s="272">
        <f t="shared" si="194"/>
        <v>132.39954055496753</v>
      </c>
      <c r="AH474" s="272">
        <f t="shared" si="207"/>
        <v>264</v>
      </c>
      <c r="AI474" s="272">
        <f t="shared" si="195"/>
        <v>132.39954055496753</v>
      </c>
      <c r="AJ474" s="272">
        <f t="shared" si="208"/>
        <v>264</v>
      </c>
      <c r="AK474" s="272">
        <f t="shared" si="196"/>
        <v>132.39954055496753</v>
      </c>
      <c r="AL474" s="272">
        <f t="shared" si="209"/>
        <v>264</v>
      </c>
      <c r="AM474" s="272">
        <f t="shared" si="197"/>
        <v>132.39954055496753</v>
      </c>
      <c r="AN474" s="272">
        <f t="shared" si="210"/>
        <v>264</v>
      </c>
      <c r="AO474" s="272">
        <f t="shared" si="198"/>
        <v>132.39954055496753</v>
      </c>
      <c r="AP474" s="272">
        <f t="shared" si="211"/>
        <v>264</v>
      </c>
      <c r="AQ474" s="272">
        <f t="shared" si="199"/>
        <v>132.39954055496753</v>
      </c>
      <c r="AR474" s="272">
        <f t="shared" si="212"/>
        <v>264</v>
      </c>
      <c r="AS474" s="508">
        <f t="shared" si="200"/>
        <v>132.39954055496753</v>
      </c>
    </row>
    <row r="475" spans="1:45" ht="12.75" customHeight="1">
      <c r="A475" s="96">
        <f>IF(MAX($F$104:F475)=$G$99,$G$99,F475)</f>
        <v>15.906595441861038</v>
      </c>
      <c r="B475" s="481">
        <v>372</v>
      </c>
      <c r="C475" s="96">
        <f t="shared" si="191"/>
        <v>0.55799999999999828</v>
      </c>
      <c r="D475" s="96">
        <f t="shared" si="185"/>
        <v>193.707547529408</v>
      </c>
      <c r="E475" s="96">
        <f t="shared" si="186"/>
        <v>2.9228075991361382E-8</v>
      </c>
      <c r="F475" s="96">
        <f t="shared" si="187"/>
        <v>5.955855688192862E-6</v>
      </c>
      <c r="G475" s="96">
        <f t="shared" si="190"/>
        <v>-0.2979940441443118</v>
      </c>
      <c r="I475" s="96">
        <f t="shared" si="188"/>
        <v>0</v>
      </c>
      <c r="J475" s="96">
        <f t="shared" si="189"/>
        <v>0.55799999999999828</v>
      </c>
      <c r="X475" s="96">
        <f t="shared" si="201"/>
        <v>135</v>
      </c>
      <c r="Y475" s="96">
        <v>0.24</v>
      </c>
      <c r="Z475" s="272">
        <f t="shared" si="203"/>
        <v>135</v>
      </c>
      <c r="AA475" s="519">
        <f t="shared" si="204"/>
        <v>133.38398682965723</v>
      </c>
      <c r="AB475" s="516">
        <f t="shared" si="202"/>
        <v>266</v>
      </c>
      <c r="AC475" s="272">
        <f t="shared" si="192"/>
        <v>134.60607245595989</v>
      </c>
      <c r="AD475" s="272">
        <f t="shared" si="205"/>
        <v>268</v>
      </c>
      <c r="AE475" s="272">
        <f t="shared" si="193"/>
        <v>134.59689099600212</v>
      </c>
      <c r="AF475" s="272">
        <f t="shared" si="206"/>
        <v>268</v>
      </c>
      <c r="AG475" s="272">
        <f t="shared" si="194"/>
        <v>134.59689099600212</v>
      </c>
      <c r="AH475" s="272">
        <f t="shared" si="207"/>
        <v>268</v>
      </c>
      <c r="AI475" s="272">
        <f t="shared" si="195"/>
        <v>134.59689099600212</v>
      </c>
      <c r="AJ475" s="272">
        <f t="shared" si="208"/>
        <v>268</v>
      </c>
      <c r="AK475" s="272">
        <f t="shared" si="196"/>
        <v>134.59689099600212</v>
      </c>
      <c r="AL475" s="272">
        <f t="shared" si="209"/>
        <v>268</v>
      </c>
      <c r="AM475" s="272">
        <f t="shared" si="197"/>
        <v>134.59689099600212</v>
      </c>
      <c r="AN475" s="272">
        <f t="shared" si="210"/>
        <v>268</v>
      </c>
      <c r="AO475" s="272">
        <f t="shared" si="198"/>
        <v>134.59689099600212</v>
      </c>
      <c r="AP475" s="272">
        <f t="shared" si="211"/>
        <v>268</v>
      </c>
      <c r="AQ475" s="272">
        <f t="shared" si="199"/>
        <v>134.59689099600212</v>
      </c>
      <c r="AR475" s="272">
        <f t="shared" si="212"/>
        <v>268</v>
      </c>
      <c r="AS475" s="508">
        <f t="shared" si="200"/>
        <v>134.59689099600212</v>
      </c>
    </row>
    <row r="476" spans="1:45" ht="12.75" customHeight="1">
      <c r="A476" s="96">
        <f>IF(MAX($F$104:F476)=$G$99,$G$99,F476)</f>
        <v>15.906595441861038</v>
      </c>
      <c r="B476" s="96">
        <v>373</v>
      </c>
      <c r="C476" s="96">
        <f t="shared" si="191"/>
        <v>0.55949999999999822</v>
      </c>
      <c r="D476" s="96">
        <f t="shared" si="185"/>
        <v>194.7503857398182</v>
      </c>
      <c r="E476" s="96">
        <f t="shared" si="186"/>
        <v>2.2343794294740028E-8</v>
      </c>
      <c r="F476" s="96">
        <f t="shared" si="187"/>
        <v>4.5884440913024136E-6</v>
      </c>
      <c r="G476" s="96">
        <f t="shared" si="190"/>
        <v>-0.2979954115559087</v>
      </c>
      <c r="I476" s="96">
        <f t="shared" si="188"/>
        <v>0</v>
      </c>
      <c r="J476" s="96">
        <f t="shared" si="189"/>
        <v>0.55949999999999822</v>
      </c>
      <c r="X476" s="96">
        <f t="shared" si="201"/>
        <v>137</v>
      </c>
      <c r="Y476" s="96">
        <v>0.23799999999999999</v>
      </c>
      <c r="Z476" s="272">
        <f t="shared" si="203"/>
        <v>137</v>
      </c>
      <c r="AA476" s="519">
        <f t="shared" si="204"/>
        <v>135.6351536153565</v>
      </c>
      <c r="AB476" s="516">
        <f t="shared" si="202"/>
        <v>270</v>
      </c>
      <c r="AC476" s="272">
        <f t="shared" si="192"/>
        <v>136.85933119679416</v>
      </c>
      <c r="AD476" s="272">
        <f t="shared" si="205"/>
        <v>272</v>
      </c>
      <c r="AE476" s="272">
        <f t="shared" si="193"/>
        <v>136.85027016381213</v>
      </c>
      <c r="AF476" s="272">
        <f t="shared" si="206"/>
        <v>272</v>
      </c>
      <c r="AG476" s="272">
        <f t="shared" si="194"/>
        <v>136.85027016381213</v>
      </c>
      <c r="AH476" s="272">
        <f t="shared" si="207"/>
        <v>272</v>
      </c>
      <c r="AI476" s="272">
        <f t="shared" si="195"/>
        <v>136.85027016381213</v>
      </c>
      <c r="AJ476" s="272">
        <f t="shared" si="208"/>
        <v>272</v>
      </c>
      <c r="AK476" s="272">
        <f t="shared" si="196"/>
        <v>136.85027016381213</v>
      </c>
      <c r="AL476" s="272">
        <f t="shared" si="209"/>
        <v>272</v>
      </c>
      <c r="AM476" s="272">
        <f t="shared" si="197"/>
        <v>136.85027016381213</v>
      </c>
      <c r="AN476" s="272">
        <f t="shared" si="210"/>
        <v>272</v>
      </c>
      <c r="AO476" s="272">
        <f t="shared" si="198"/>
        <v>136.85027016381213</v>
      </c>
      <c r="AP476" s="272">
        <f t="shared" si="211"/>
        <v>272</v>
      </c>
      <c r="AQ476" s="272">
        <f t="shared" si="199"/>
        <v>136.85027016381213</v>
      </c>
      <c r="AR476" s="272">
        <f t="shared" si="212"/>
        <v>272</v>
      </c>
      <c r="AS476" s="508">
        <f t="shared" si="200"/>
        <v>136.85027016381213</v>
      </c>
    </row>
    <row r="477" spans="1:45" ht="12.75" customHeight="1">
      <c r="A477" s="96">
        <f>IF(MAX($F$104:F477)=$G$99,$G$99,F477)</f>
        <v>15.906595441861038</v>
      </c>
      <c r="B477" s="481">
        <v>374</v>
      </c>
      <c r="C477" s="96">
        <f t="shared" si="191"/>
        <v>0.56099999999999817</v>
      </c>
      <c r="D477" s="96">
        <f t="shared" si="185"/>
        <v>195.79602351589392</v>
      </c>
      <c r="E477" s="96">
        <f t="shared" si="186"/>
        <v>1.7046366014452318E-8</v>
      </c>
      <c r="F477" s="96">
        <f t="shared" si="187"/>
        <v>3.527576982471949E-6</v>
      </c>
      <c r="G477" s="96">
        <f t="shared" si="190"/>
        <v>-0.29799647242301752</v>
      </c>
      <c r="I477" s="96">
        <f t="shared" si="188"/>
        <v>0</v>
      </c>
      <c r="J477" s="96">
        <f t="shared" si="189"/>
        <v>0.56099999999999817</v>
      </c>
      <c r="X477" s="96">
        <f t="shared" si="201"/>
        <v>140</v>
      </c>
      <c r="Y477" s="96">
        <v>0.23599999999999999</v>
      </c>
      <c r="Z477" s="272">
        <f t="shared" si="203"/>
        <v>140</v>
      </c>
      <c r="AA477" s="519">
        <f t="shared" si="204"/>
        <v>137.9437956296369</v>
      </c>
      <c r="AB477" s="516">
        <f t="shared" si="202"/>
        <v>274</v>
      </c>
      <c r="AC477" s="272">
        <f t="shared" si="192"/>
        <v>139.17051479339429</v>
      </c>
      <c r="AD477" s="272">
        <f t="shared" si="205"/>
        <v>276</v>
      </c>
      <c r="AE477" s="272">
        <f t="shared" si="193"/>
        <v>139.16156739464589</v>
      </c>
      <c r="AF477" s="272">
        <f t="shared" si="206"/>
        <v>278</v>
      </c>
      <c r="AG477" s="272">
        <f t="shared" si="194"/>
        <v>139.15274956826613</v>
      </c>
      <c r="AH477" s="272">
        <f t="shared" si="207"/>
        <v>278</v>
      </c>
      <c r="AI477" s="272">
        <f t="shared" si="195"/>
        <v>139.15274956826613</v>
      </c>
      <c r="AJ477" s="272">
        <f t="shared" si="208"/>
        <v>278</v>
      </c>
      <c r="AK477" s="272">
        <f t="shared" si="196"/>
        <v>139.15274956826613</v>
      </c>
      <c r="AL477" s="272">
        <f t="shared" si="209"/>
        <v>278</v>
      </c>
      <c r="AM477" s="272">
        <f t="shared" si="197"/>
        <v>139.15274956826613</v>
      </c>
      <c r="AN477" s="272">
        <f t="shared" si="210"/>
        <v>278</v>
      </c>
      <c r="AO477" s="272">
        <f t="shared" si="198"/>
        <v>139.15274956826613</v>
      </c>
      <c r="AP477" s="272">
        <f t="shared" si="211"/>
        <v>278</v>
      </c>
      <c r="AQ477" s="272">
        <f t="shared" si="199"/>
        <v>139.15274956826613</v>
      </c>
      <c r="AR477" s="272">
        <f t="shared" si="212"/>
        <v>278</v>
      </c>
      <c r="AS477" s="508">
        <f t="shared" si="200"/>
        <v>139.15274956826613</v>
      </c>
    </row>
    <row r="478" spans="1:45" ht="12.75" customHeight="1">
      <c r="A478" s="96">
        <f>IF(MAX($F$104:F478)=$G$99,$G$99,F478)</f>
        <v>15.906595441861038</v>
      </c>
      <c r="B478" s="481">
        <v>375</v>
      </c>
      <c r="C478" s="96">
        <f t="shared" si="191"/>
        <v>0.56249999999999811</v>
      </c>
      <c r="D478" s="96">
        <f t="shared" si="185"/>
        <v>196.8444608576352</v>
      </c>
      <c r="E478" s="96">
        <f t="shared" si="186"/>
        <v>1.2978545668708304E-8</v>
      </c>
      <c r="F478" s="96">
        <f t="shared" si="187"/>
        <v>2.7063187617543925E-6</v>
      </c>
      <c r="G478" s="96">
        <f t="shared" si="190"/>
        <v>-0.29799729368123823</v>
      </c>
      <c r="I478" s="96">
        <f t="shared" si="188"/>
        <v>0</v>
      </c>
      <c r="J478" s="96">
        <f t="shared" si="189"/>
        <v>0.56249999999999811</v>
      </c>
      <c r="X478" s="96">
        <f t="shared" si="201"/>
        <v>142</v>
      </c>
      <c r="Y478" s="96">
        <v>0.23400000000000001</v>
      </c>
      <c r="Z478" s="272">
        <f t="shared" si="203"/>
        <v>142</v>
      </c>
      <c r="AA478" s="519">
        <f t="shared" si="204"/>
        <v>140.31188621134223</v>
      </c>
      <c r="AB478" s="516">
        <f t="shared" si="202"/>
        <v>280</v>
      </c>
      <c r="AC478" s="272">
        <f t="shared" si="192"/>
        <v>141.53275409676357</v>
      </c>
      <c r="AD478" s="272">
        <f t="shared" si="205"/>
        <v>282</v>
      </c>
      <c r="AE478" s="272">
        <f t="shared" si="193"/>
        <v>141.52404004177222</v>
      </c>
      <c r="AF478" s="272">
        <f t="shared" si="206"/>
        <v>282</v>
      </c>
      <c r="AG478" s="272">
        <f t="shared" si="194"/>
        <v>141.52404004177222</v>
      </c>
      <c r="AH478" s="272">
        <f t="shared" si="207"/>
        <v>282</v>
      </c>
      <c r="AI478" s="272">
        <f t="shared" si="195"/>
        <v>141.52404004177222</v>
      </c>
      <c r="AJ478" s="272">
        <f t="shared" si="208"/>
        <v>282</v>
      </c>
      <c r="AK478" s="272">
        <f t="shared" si="196"/>
        <v>141.52404004177222</v>
      </c>
      <c r="AL478" s="272">
        <f t="shared" si="209"/>
        <v>282</v>
      </c>
      <c r="AM478" s="272">
        <f t="shared" si="197"/>
        <v>141.52404004177222</v>
      </c>
      <c r="AN478" s="272">
        <f t="shared" si="210"/>
        <v>282</v>
      </c>
      <c r="AO478" s="272">
        <f t="shared" si="198"/>
        <v>141.52404004177222</v>
      </c>
      <c r="AP478" s="272">
        <f t="shared" si="211"/>
        <v>282</v>
      </c>
      <c r="AQ478" s="272">
        <f t="shared" si="199"/>
        <v>141.52404004177222</v>
      </c>
      <c r="AR478" s="272">
        <f t="shared" si="212"/>
        <v>282</v>
      </c>
      <c r="AS478" s="508">
        <f t="shared" si="200"/>
        <v>141.52404004177222</v>
      </c>
    </row>
    <row r="479" spans="1:45" ht="12.75" customHeight="1">
      <c r="A479" s="96">
        <f>IF(MAX($F$104:F479)=$G$99,$G$99,F479)</f>
        <v>15.906595441861038</v>
      </c>
      <c r="B479" s="96">
        <v>376</v>
      </c>
      <c r="C479" s="96">
        <f t="shared" si="191"/>
        <v>0.56399999999999806</v>
      </c>
      <c r="D479" s="96">
        <f t="shared" si="185"/>
        <v>197.89569776504197</v>
      </c>
      <c r="E479" s="96">
        <f t="shared" si="186"/>
        <v>9.8614489478477354E-9</v>
      </c>
      <c r="F479" s="96">
        <f t="shared" si="187"/>
        <v>2.0719267174939475E-6</v>
      </c>
      <c r="G479" s="96">
        <f t="shared" si="190"/>
        <v>-0.29799792807328251</v>
      </c>
      <c r="I479" s="96">
        <f t="shared" si="188"/>
        <v>0</v>
      </c>
      <c r="J479" s="96">
        <f t="shared" si="189"/>
        <v>0.56399999999999806</v>
      </c>
      <c r="X479" s="96">
        <f t="shared" si="201"/>
        <v>144</v>
      </c>
      <c r="Y479" s="96">
        <v>0.23200000000000001</v>
      </c>
      <c r="Z479" s="272">
        <f t="shared" si="203"/>
        <v>144</v>
      </c>
      <c r="AA479" s="519">
        <f t="shared" si="204"/>
        <v>142.74148412210636</v>
      </c>
      <c r="AB479" s="516">
        <f t="shared" si="202"/>
        <v>284</v>
      </c>
      <c r="AC479" s="272">
        <f t="shared" si="192"/>
        <v>143.96588794334048</v>
      </c>
      <c r="AD479" s="272">
        <f t="shared" si="205"/>
        <v>286</v>
      </c>
      <c r="AE479" s="272">
        <f t="shared" si="193"/>
        <v>143.95727164383888</v>
      </c>
      <c r="AF479" s="272">
        <f t="shared" si="206"/>
        <v>286</v>
      </c>
      <c r="AG479" s="272">
        <f t="shared" si="194"/>
        <v>143.95727164383888</v>
      </c>
      <c r="AH479" s="272">
        <f t="shared" si="207"/>
        <v>286</v>
      </c>
      <c r="AI479" s="272">
        <f t="shared" si="195"/>
        <v>143.95727164383888</v>
      </c>
      <c r="AJ479" s="272">
        <f t="shared" si="208"/>
        <v>286</v>
      </c>
      <c r="AK479" s="272">
        <f t="shared" si="196"/>
        <v>143.95727164383888</v>
      </c>
      <c r="AL479" s="272">
        <f t="shared" si="209"/>
        <v>286</v>
      </c>
      <c r="AM479" s="272">
        <f t="shared" si="197"/>
        <v>143.95727164383888</v>
      </c>
      <c r="AN479" s="272">
        <f t="shared" si="210"/>
        <v>286</v>
      </c>
      <c r="AO479" s="272">
        <f t="shared" si="198"/>
        <v>143.95727164383888</v>
      </c>
      <c r="AP479" s="272">
        <f t="shared" si="211"/>
        <v>286</v>
      </c>
      <c r="AQ479" s="272">
        <f t="shared" si="199"/>
        <v>143.95727164383888</v>
      </c>
      <c r="AR479" s="272">
        <f t="shared" si="212"/>
        <v>286</v>
      </c>
      <c r="AS479" s="508">
        <f t="shared" si="200"/>
        <v>143.95727164383888</v>
      </c>
    </row>
    <row r="480" spans="1:45" ht="12.75" customHeight="1">
      <c r="A480" s="96">
        <f>IF(MAX($F$104:F480)=$G$99,$G$99,F480)</f>
        <v>15.906595441861038</v>
      </c>
      <c r="B480" s="481">
        <v>377</v>
      </c>
      <c r="C480" s="96">
        <f t="shared" si="191"/>
        <v>0.565499999999998</v>
      </c>
      <c r="D480" s="96">
        <f t="shared" si="185"/>
        <v>198.94973423811427</v>
      </c>
      <c r="E480" s="96">
        <f t="shared" si="186"/>
        <v>7.4778552682818945E-9</v>
      </c>
      <c r="F480" s="96">
        <f t="shared" si="187"/>
        <v>1.5829398638620663E-6</v>
      </c>
      <c r="G480" s="96">
        <f t="shared" si="190"/>
        <v>-0.29799841706013613</v>
      </c>
      <c r="I480" s="96">
        <f t="shared" si="188"/>
        <v>0</v>
      </c>
      <c r="J480" s="96">
        <f t="shared" si="189"/>
        <v>0.565499999999998</v>
      </c>
      <c r="X480" s="96">
        <f t="shared" si="201"/>
        <v>147</v>
      </c>
      <c r="Y480" s="96">
        <v>0.23</v>
      </c>
      <c r="Z480" s="272">
        <f t="shared" si="203"/>
        <v>147</v>
      </c>
      <c r="AA480" s="519">
        <f t="shared" si="204"/>
        <v>145.23473802246227</v>
      </c>
      <c r="AB480" s="516">
        <f t="shared" si="202"/>
        <v>290</v>
      </c>
      <c r="AC480" s="272">
        <f t="shared" si="192"/>
        <v>146.45459302004843</v>
      </c>
      <c r="AD480" s="272">
        <f t="shared" si="205"/>
        <v>292</v>
      </c>
      <c r="AE480" s="272">
        <f t="shared" si="193"/>
        <v>146.44618620288347</v>
      </c>
      <c r="AF480" s="272">
        <f t="shared" si="206"/>
        <v>292</v>
      </c>
      <c r="AG480" s="272">
        <f t="shared" si="194"/>
        <v>146.44618620288347</v>
      </c>
      <c r="AH480" s="272">
        <f t="shared" si="207"/>
        <v>292</v>
      </c>
      <c r="AI480" s="272">
        <f t="shared" si="195"/>
        <v>146.44618620288347</v>
      </c>
      <c r="AJ480" s="272">
        <f t="shared" si="208"/>
        <v>292</v>
      </c>
      <c r="AK480" s="272">
        <f t="shared" si="196"/>
        <v>146.44618620288347</v>
      </c>
      <c r="AL480" s="272">
        <f t="shared" si="209"/>
        <v>292</v>
      </c>
      <c r="AM480" s="272">
        <f t="shared" si="197"/>
        <v>146.44618620288347</v>
      </c>
      <c r="AN480" s="272">
        <f t="shared" si="210"/>
        <v>292</v>
      </c>
      <c r="AO480" s="272">
        <f t="shared" si="198"/>
        <v>146.44618620288347</v>
      </c>
      <c r="AP480" s="272">
        <f t="shared" si="211"/>
        <v>292</v>
      </c>
      <c r="AQ480" s="272">
        <f t="shared" si="199"/>
        <v>146.44618620288347</v>
      </c>
      <c r="AR480" s="272">
        <f t="shared" si="212"/>
        <v>292</v>
      </c>
      <c r="AS480" s="508">
        <f t="shared" si="200"/>
        <v>146.44618620288347</v>
      </c>
    </row>
    <row r="481" spans="1:45" ht="12.75" customHeight="1">
      <c r="A481" s="96">
        <f>IF(MAX($F$104:F481)=$G$99,$G$99,F481)</f>
        <v>15.906595441861038</v>
      </c>
      <c r="B481" s="481">
        <v>378</v>
      </c>
      <c r="C481" s="96">
        <f t="shared" si="191"/>
        <v>0.56699999999999795</v>
      </c>
      <c r="D481" s="96">
        <f t="shared" si="185"/>
        <v>200.00657027685213</v>
      </c>
      <c r="E481" s="96">
        <f t="shared" si="186"/>
        <v>5.6589537340546384E-9</v>
      </c>
      <c r="F481" s="96">
        <f t="shared" si="187"/>
        <v>1.2068425158815578E-6</v>
      </c>
      <c r="G481" s="96">
        <f t="shared" si="190"/>
        <v>-0.29799879315748412</v>
      </c>
      <c r="I481" s="96">
        <f t="shared" si="188"/>
        <v>0</v>
      </c>
      <c r="J481" s="96">
        <f t="shared" si="189"/>
        <v>0.56699999999999795</v>
      </c>
      <c r="X481" s="96">
        <f t="shared" si="201"/>
        <v>150</v>
      </c>
      <c r="Y481" s="96">
        <v>0.22800000000000001</v>
      </c>
      <c r="Z481" s="272">
        <f t="shared" si="203"/>
        <v>150</v>
      </c>
      <c r="AA481" s="519">
        <f t="shared" si="204"/>
        <v>147.79389122399689</v>
      </c>
      <c r="AB481" s="516">
        <f t="shared" si="202"/>
        <v>294</v>
      </c>
      <c r="AC481" s="272">
        <f t="shared" si="192"/>
        <v>149.01824825196852</v>
      </c>
      <c r="AD481" s="272">
        <f t="shared" si="205"/>
        <v>296</v>
      </c>
      <c r="AE481" s="272">
        <f t="shared" si="193"/>
        <v>149.00992512328025</v>
      </c>
      <c r="AF481" s="272">
        <f t="shared" si="206"/>
        <v>298</v>
      </c>
      <c r="AG481" s="272">
        <f t="shared" si="194"/>
        <v>149.00171438855475</v>
      </c>
      <c r="AH481" s="272">
        <f t="shared" si="207"/>
        <v>298</v>
      </c>
      <c r="AI481" s="272">
        <f t="shared" si="195"/>
        <v>149.00171438855475</v>
      </c>
      <c r="AJ481" s="272">
        <f t="shared" si="208"/>
        <v>298</v>
      </c>
      <c r="AK481" s="272">
        <f t="shared" si="196"/>
        <v>149.00171438855475</v>
      </c>
      <c r="AL481" s="272">
        <f t="shared" si="209"/>
        <v>298</v>
      </c>
      <c r="AM481" s="272">
        <f t="shared" si="197"/>
        <v>149.00171438855475</v>
      </c>
      <c r="AN481" s="272">
        <f t="shared" si="210"/>
        <v>298</v>
      </c>
      <c r="AO481" s="272">
        <f t="shared" si="198"/>
        <v>149.00171438855475</v>
      </c>
      <c r="AP481" s="272">
        <f t="shared" si="211"/>
        <v>298</v>
      </c>
      <c r="AQ481" s="272">
        <f t="shared" si="199"/>
        <v>149.00171438855475</v>
      </c>
      <c r="AR481" s="272">
        <f t="shared" si="212"/>
        <v>298</v>
      </c>
      <c r="AS481" s="508">
        <f t="shared" si="200"/>
        <v>149.00171438855475</v>
      </c>
    </row>
    <row r="482" spans="1:45" ht="12.75" customHeight="1">
      <c r="A482" s="96">
        <f>IF(MAX($F$104:F482)=$G$99,$G$99,F482)</f>
        <v>15.906595441861038</v>
      </c>
      <c r="B482" s="96">
        <v>379</v>
      </c>
      <c r="C482" s="96">
        <f t="shared" si="191"/>
        <v>0.5684999999999979</v>
      </c>
      <c r="D482" s="96">
        <f t="shared" si="185"/>
        <v>201.06620588125551</v>
      </c>
      <c r="E482" s="96">
        <f t="shared" si="186"/>
        <v>4.273848588950325E-9</v>
      </c>
      <c r="F482" s="96">
        <f t="shared" si="187"/>
        <v>9.1819412680448132E-7</v>
      </c>
      <c r="G482" s="96">
        <f t="shared" si="190"/>
        <v>-0.2979990818058732</v>
      </c>
      <c r="I482" s="96">
        <f t="shared" si="188"/>
        <v>0</v>
      </c>
      <c r="J482" s="96">
        <f t="shared" si="189"/>
        <v>0.5684999999999979</v>
      </c>
      <c r="X482" s="96">
        <f t="shared" si="201"/>
        <v>152</v>
      </c>
      <c r="Y482" s="96">
        <v>0.22600000000000001</v>
      </c>
      <c r="Z482" s="272">
        <f t="shared" si="203"/>
        <v>152</v>
      </c>
      <c r="AA482" s="519">
        <f t="shared" si="204"/>
        <v>150.42128673718091</v>
      </c>
      <c r="AB482" s="516">
        <f t="shared" si="202"/>
        <v>300</v>
      </c>
      <c r="AC482" s="272">
        <f t="shared" si="192"/>
        <v>151.64233728314568</v>
      </c>
      <c r="AD482" s="272">
        <f t="shared" si="205"/>
        <v>302</v>
      </c>
      <c r="AE482" s="272">
        <f t="shared" si="193"/>
        <v>151.63420252342024</v>
      </c>
      <c r="AF482" s="272">
        <f t="shared" si="206"/>
        <v>302</v>
      </c>
      <c r="AG482" s="272">
        <f t="shared" si="194"/>
        <v>151.63420252342024</v>
      </c>
      <c r="AH482" s="272">
        <f t="shared" si="207"/>
        <v>302</v>
      </c>
      <c r="AI482" s="272">
        <f t="shared" si="195"/>
        <v>151.63420252342024</v>
      </c>
      <c r="AJ482" s="272">
        <f t="shared" si="208"/>
        <v>302</v>
      </c>
      <c r="AK482" s="272">
        <f t="shared" si="196"/>
        <v>151.63420252342024</v>
      </c>
      <c r="AL482" s="272">
        <f t="shared" si="209"/>
        <v>302</v>
      </c>
      <c r="AM482" s="272">
        <f t="shared" si="197"/>
        <v>151.63420252342024</v>
      </c>
      <c r="AN482" s="272">
        <f t="shared" si="210"/>
        <v>302</v>
      </c>
      <c r="AO482" s="272">
        <f t="shared" si="198"/>
        <v>151.63420252342024</v>
      </c>
      <c r="AP482" s="272">
        <f t="shared" si="211"/>
        <v>302</v>
      </c>
      <c r="AQ482" s="272">
        <f t="shared" si="199"/>
        <v>151.63420252342024</v>
      </c>
      <c r="AR482" s="272">
        <f t="shared" si="212"/>
        <v>302</v>
      </c>
      <c r="AS482" s="508">
        <f t="shared" si="200"/>
        <v>151.63420252342024</v>
      </c>
    </row>
    <row r="483" spans="1:45" ht="12.75" customHeight="1">
      <c r="A483" s="96">
        <f>IF(MAX($F$104:F483)=$G$99,$G$99,F483)</f>
        <v>15.906595441861038</v>
      </c>
      <c r="B483" s="481">
        <v>380</v>
      </c>
      <c r="C483" s="96">
        <f t="shared" si="191"/>
        <v>0.56999999999999784</v>
      </c>
      <c r="D483" s="96">
        <f t="shared" si="185"/>
        <v>202.12864105132439</v>
      </c>
      <c r="E483" s="96">
        <f t="shared" si="186"/>
        <v>3.2212702115648647E-9</v>
      </c>
      <c r="F483" s="96">
        <f t="shared" si="187"/>
        <v>6.9713628347780649E-7</v>
      </c>
      <c r="G483" s="96">
        <f t="shared" si="190"/>
        <v>-0.29799930286371651</v>
      </c>
      <c r="I483" s="96">
        <f t="shared" si="188"/>
        <v>0</v>
      </c>
      <c r="J483" s="96">
        <f t="shared" si="189"/>
        <v>0.56999999999999784</v>
      </c>
      <c r="X483" s="96">
        <f t="shared" si="201"/>
        <v>155</v>
      </c>
      <c r="Y483" s="96">
        <v>0.224</v>
      </c>
      <c r="Z483" s="272">
        <f t="shared" si="203"/>
        <v>155</v>
      </c>
      <c r="AA483" s="519">
        <f t="shared" si="204"/>
        <v>153.11937263608601</v>
      </c>
      <c r="AB483" s="516">
        <f t="shared" si="202"/>
        <v>306</v>
      </c>
      <c r="AC483" s="272">
        <f t="shared" si="192"/>
        <v>154.33780962235423</v>
      </c>
      <c r="AD483" s="272">
        <f t="shared" si="205"/>
        <v>308</v>
      </c>
      <c r="AE483" s="272">
        <f t="shared" si="193"/>
        <v>154.32985132398483</v>
      </c>
      <c r="AF483" s="272">
        <f t="shared" si="206"/>
        <v>308</v>
      </c>
      <c r="AG483" s="272">
        <f t="shared" si="194"/>
        <v>154.32985132398483</v>
      </c>
      <c r="AH483" s="272">
        <f t="shared" si="207"/>
        <v>308</v>
      </c>
      <c r="AI483" s="272">
        <f t="shared" si="195"/>
        <v>154.32985132398483</v>
      </c>
      <c r="AJ483" s="272">
        <f t="shared" si="208"/>
        <v>308</v>
      </c>
      <c r="AK483" s="272">
        <f t="shared" si="196"/>
        <v>154.32985132398483</v>
      </c>
      <c r="AL483" s="272">
        <f t="shared" si="209"/>
        <v>308</v>
      </c>
      <c r="AM483" s="272">
        <f t="shared" si="197"/>
        <v>154.32985132398483</v>
      </c>
      <c r="AN483" s="272">
        <f t="shared" si="210"/>
        <v>308</v>
      </c>
      <c r="AO483" s="272">
        <f t="shared" si="198"/>
        <v>154.32985132398483</v>
      </c>
      <c r="AP483" s="272">
        <f t="shared" si="211"/>
        <v>308</v>
      </c>
      <c r="AQ483" s="272">
        <f t="shared" si="199"/>
        <v>154.32985132398483</v>
      </c>
      <c r="AR483" s="272">
        <f t="shared" si="212"/>
        <v>308</v>
      </c>
      <c r="AS483" s="508">
        <f t="shared" si="200"/>
        <v>154.32985132398483</v>
      </c>
    </row>
    <row r="484" spans="1:45" ht="12.75" customHeight="1">
      <c r="A484" s="96">
        <f>IF(MAX($F$104:F484)=$G$99,$G$99,F484)</f>
        <v>15.906595441861038</v>
      </c>
      <c r="B484" s="481">
        <v>381</v>
      </c>
      <c r="C484" s="96">
        <f t="shared" si="191"/>
        <v>0.57149999999999779</v>
      </c>
      <c r="D484" s="96">
        <f t="shared" si="185"/>
        <v>203.19387578705886</v>
      </c>
      <c r="E484" s="96">
        <f t="shared" si="186"/>
        <v>2.4230442965313695E-9</v>
      </c>
      <c r="F484" s="96">
        <f t="shared" si="187"/>
        <v>5.2820400089585294E-7</v>
      </c>
      <c r="G484" s="96">
        <f t="shared" si="190"/>
        <v>-0.29799947179599912</v>
      </c>
      <c r="I484" s="96">
        <f t="shared" si="188"/>
        <v>0</v>
      </c>
      <c r="J484" s="96">
        <f t="shared" si="189"/>
        <v>0.57149999999999779</v>
      </c>
      <c r="X484" s="96">
        <f t="shared" si="201"/>
        <v>158</v>
      </c>
      <c r="Y484" s="96">
        <v>0.222</v>
      </c>
      <c r="Z484" s="272">
        <f t="shared" si="203"/>
        <v>158</v>
      </c>
      <c r="AA484" s="519">
        <f t="shared" si="204"/>
        <v>155.89070776293022</v>
      </c>
      <c r="AB484" s="516">
        <f t="shared" si="202"/>
        <v>310</v>
      </c>
      <c r="AC484" s="272">
        <f t="shared" si="192"/>
        <v>157.11509793837087</v>
      </c>
      <c r="AD484" s="272">
        <f t="shared" si="205"/>
        <v>312</v>
      </c>
      <c r="AE484" s="272">
        <f t="shared" si="193"/>
        <v>157.10720387277857</v>
      </c>
      <c r="AF484" s="272">
        <f t="shared" si="206"/>
        <v>314</v>
      </c>
      <c r="AG484" s="272">
        <f t="shared" si="194"/>
        <v>157.09941094431562</v>
      </c>
      <c r="AH484" s="272">
        <f t="shared" si="207"/>
        <v>314</v>
      </c>
      <c r="AI484" s="272">
        <f t="shared" si="195"/>
        <v>157.09941094431562</v>
      </c>
      <c r="AJ484" s="272">
        <f t="shared" si="208"/>
        <v>314</v>
      </c>
      <c r="AK484" s="272">
        <f t="shared" si="196"/>
        <v>157.09941094431562</v>
      </c>
      <c r="AL484" s="272">
        <f t="shared" si="209"/>
        <v>314</v>
      </c>
      <c r="AM484" s="272">
        <f t="shared" si="197"/>
        <v>157.09941094431562</v>
      </c>
      <c r="AN484" s="272">
        <f t="shared" si="210"/>
        <v>314</v>
      </c>
      <c r="AO484" s="272">
        <f t="shared" si="198"/>
        <v>157.09941094431562</v>
      </c>
      <c r="AP484" s="272">
        <f t="shared" si="211"/>
        <v>314</v>
      </c>
      <c r="AQ484" s="272">
        <f t="shared" si="199"/>
        <v>157.09941094431562</v>
      </c>
      <c r="AR484" s="272">
        <f t="shared" si="212"/>
        <v>314</v>
      </c>
      <c r="AS484" s="508">
        <f t="shared" si="200"/>
        <v>157.09941094431562</v>
      </c>
    </row>
    <row r="485" spans="1:45" ht="12.75" customHeight="1">
      <c r="A485" s="96">
        <f>IF(MAX($F$104:F485)=$G$99,$G$99,F485)</f>
        <v>15.906595441861038</v>
      </c>
      <c r="B485" s="96">
        <v>382</v>
      </c>
      <c r="C485" s="96">
        <f t="shared" si="191"/>
        <v>0.57299999999999773</v>
      </c>
      <c r="D485" s="96">
        <f t="shared" si="185"/>
        <v>204.26191008845885</v>
      </c>
      <c r="E485" s="96">
        <f t="shared" si="186"/>
        <v>1.8189587047617149E-9</v>
      </c>
      <c r="F485" s="96">
        <f t="shared" si="187"/>
        <v>3.9938159013041572E-7</v>
      </c>
      <c r="G485" s="96">
        <f t="shared" si="190"/>
        <v>-0.29799960061840985</v>
      </c>
      <c r="I485" s="96">
        <f t="shared" si="188"/>
        <v>0</v>
      </c>
      <c r="J485" s="96">
        <f t="shared" si="189"/>
        <v>0.57299999999999773</v>
      </c>
      <c r="X485" s="96">
        <f t="shared" si="201"/>
        <v>160</v>
      </c>
      <c r="Y485" s="96">
        <v>0.22</v>
      </c>
      <c r="Z485" s="272">
        <f t="shared" si="203"/>
        <v>160</v>
      </c>
      <c r="AA485" s="519">
        <f t="shared" si="204"/>
        <v>158.73796779727795</v>
      </c>
      <c r="AB485" s="516">
        <f t="shared" si="202"/>
        <v>316</v>
      </c>
      <c r="AC485" s="272">
        <f t="shared" si="192"/>
        <v>159.96091304869498</v>
      </c>
      <c r="AD485" s="272">
        <f t="shared" si="205"/>
        <v>318</v>
      </c>
      <c r="AE485" s="272">
        <f t="shared" si="193"/>
        <v>159.9531779054897</v>
      </c>
      <c r="AF485" s="272">
        <f t="shared" si="206"/>
        <v>318</v>
      </c>
      <c r="AG485" s="272">
        <f t="shared" si="194"/>
        <v>159.9531779054897</v>
      </c>
      <c r="AH485" s="272">
        <f t="shared" si="207"/>
        <v>318</v>
      </c>
      <c r="AI485" s="272">
        <f t="shared" si="195"/>
        <v>159.9531779054897</v>
      </c>
      <c r="AJ485" s="272">
        <f t="shared" si="208"/>
        <v>318</v>
      </c>
      <c r="AK485" s="272">
        <f t="shared" si="196"/>
        <v>159.9531779054897</v>
      </c>
      <c r="AL485" s="272">
        <f t="shared" si="209"/>
        <v>318</v>
      </c>
      <c r="AM485" s="272">
        <f t="shared" si="197"/>
        <v>159.9531779054897</v>
      </c>
      <c r="AN485" s="272">
        <f t="shared" si="210"/>
        <v>318</v>
      </c>
      <c r="AO485" s="272">
        <f t="shared" si="198"/>
        <v>159.9531779054897</v>
      </c>
      <c r="AP485" s="272">
        <f t="shared" si="211"/>
        <v>318</v>
      </c>
      <c r="AQ485" s="272">
        <f t="shared" si="199"/>
        <v>159.9531779054897</v>
      </c>
      <c r="AR485" s="272">
        <f t="shared" si="212"/>
        <v>318</v>
      </c>
      <c r="AS485" s="508">
        <f t="shared" si="200"/>
        <v>159.9531779054897</v>
      </c>
    </row>
    <row r="486" spans="1:45" ht="12.75" customHeight="1">
      <c r="A486" s="96">
        <f>IF(MAX($F$104:F486)=$G$99,$G$99,F486)</f>
        <v>15.906595441861038</v>
      </c>
      <c r="B486" s="481">
        <v>383</v>
      </c>
      <c r="C486" s="96">
        <f t="shared" si="191"/>
        <v>0.57449999999999768</v>
      </c>
      <c r="D486" s="96">
        <f t="shared" si="185"/>
        <v>205.33274395552431</v>
      </c>
      <c r="E486" s="96">
        <f t="shared" si="186"/>
        <v>1.3627391899904427E-9</v>
      </c>
      <c r="F486" s="96">
        <f t="shared" si="187"/>
        <v>3.0135488740573776E-7</v>
      </c>
      <c r="G486" s="96">
        <f t="shared" si="190"/>
        <v>-0.29799969864511255</v>
      </c>
      <c r="I486" s="96">
        <f t="shared" si="188"/>
        <v>0</v>
      </c>
      <c r="J486" s="96">
        <f t="shared" si="189"/>
        <v>0.57449999999999768</v>
      </c>
      <c r="X486" s="96">
        <f t="shared" si="201"/>
        <v>163</v>
      </c>
      <c r="Y486" s="96">
        <v>0.218</v>
      </c>
      <c r="Z486" s="272">
        <f t="shared" si="203"/>
        <v>163</v>
      </c>
      <c r="AA486" s="519">
        <f t="shared" si="204"/>
        <v>161.66395171677999</v>
      </c>
      <c r="AB486" s="516">
        <f t="shared" si="202"/>
        <v>322</v>
      </c>
      <c r="AC486" s="272">
        <f t="shared" si="192"/>
        <v>162.88610131182767</v>
      </c>
      <c r="AD486" s="272">
        <f t="shared" si="205"/>
        <v>324</v>
      </c>
      <c r="AE486" s="272">
        <f t="shared" si="193"/>
        <v>162.87851514229988</v>
      </c>
      <c r="AF486" s="272">
        <f t="shared" si="206"/>
        <v>324</v>
      </c>
      <c r="AG486" s="272">
        <f t="shared" si="194"/>
        <v>162.87851514229988</v>
      </c>
      <c r="AH486" s="272">
        <f t="shared" si="207"/>
        <v>324</v>
      </c>
      <c r="AI486" s="272">
        <f t="shared" si="195"/>
        <v>162.87851514229988</v>
      </c>
      <c r="AJ486" s="272">
        <f t="shared" si="208"/>
        <v>324</v>
      </c>
      <c r="AK486" s="272">
        <f t="shared" si="196"/>
        <v>162.87851514229988</v>
      </c>
      <c r="AL486" s="272">
        <f t="shared" si="209"/>
        <v>324</v>
      </c>
      <c r="AM486" s="272">
        <f t="shared" si="197"/>
        <v>162.87851514229988</v>
      </c>
      <c r="AN486" s="272">
        <f t="shared" si="210"/>
        <v>324</v>
      </c>
      <c r="AO486" s="272">
        <f t="shared" si="198"/>
        <v>162.87851514229988</v>
      </c>
      <c r="AP486" s="272">
        <f t="shared" si="211"/>
        <v>324</v>
      </c>
      <c r="AQ486" s="272">
        <f t="shared" si="199"/>
        <v>162.87851514229988</v>
      </c>
      <c r="AR486" s="272">
        <f t="shared" si="212"/>
        <v>324</v>
      </c>
      <c r="AS486" s="508">
        <f t="shared" si="200"/>
        <v>162.87851514229988</v>
      </c>
    </row>
    <row r="487" spans="1:45" ht="12.75" customHeight="1">
      <c r="A487" s="96">
        <f>IF(MAX($F$104:F487)=$G$99,$G$99,F487)</f>
        <v>15.906595441861038</v>
      </c>
      <c r="B487" s="481">
        <v>384</v>
      </c>
      <c r="C487" s="96">
        <f t="shared" si="191"/>
        <v>0.57599999999999763</v>
      </c>
      <c r="D487" s="96">
        <f t="shared" si="185"/>
        <v>206.40637738825532</v>
      </c>
      <c r="E487" s="96">
        <f t="shared" si="186"/>
        <v>1.0189014815606411E-9</v>
      </c>
      <c r="F487" s="96">
        <f t="shared" si="187"/>
        <v>2.2692053438916871E-7</v>
      </c>
      <c r="G487" s="96">
        <f t="shared" si="190"/>
        <v>-0.29799977307946562</v>
      </c>
      <c r="I487" s="96">
        <f t="shared" si="188"/>
        <v>0</v>
      </c>
      <c r="J487" s="96">
        <f t="shared" si="189"/>
        <v>0.57599999999999763</v>
      </c>
      <c r="X487" s="96">
        <f t="shared" si="201"/>
        <v>166</v>
      </c>
      <c r="Y487" s="96">
        <v>0.216</v>
      </c>
      <c r="Z487" s="272">
        <f t="shared" si="203"/>
        <v>166</v>
      </c>
      <c r="AA487" s="519">
        <f t="shared" si="204"/>
        <v>164.6715886785891</v>
      </c>
      <c r="AB487" s="516">
        <f t="shared" si="202"/>
        <v>328</v>
      </c>
      <c r="AC487" s="272">
        <f t="shared" si="192"/>
        <v>165.89357779526159</v>
      </c>
      <c r="AD487" s="272">
        <f t="shared" si="205"/>
        <v>330</v>
      </c>
      <c r="AE487" s="272">
        <f t="shared" si="193"/>
        <v>165.88613128214652</v>
      </c>
      <c r="AF487" s="272">
        <f t="shared" si="206"/>
        <v>330</v>
      </c>
      <c r="AG487" s="272">
        <f t="shared" si="194"/>
        <v>165.88613128214652</v>
      </c>
      <c r="AH487" s="272">
        <f t="shared" si="207"/>
        <v>330</v>
      </c>
      <c r="AI487" s="272">
        <f t="shared" si="195"/>
        <v>165.88613128214652</v>
      </c>
      <c r="AJ487" s="272">
        <f t="shared" si="208"/>
        <v>330</v>
      </c>
      <c r="AK487" s="272">
        <f t="shared" si="196"/>
        <v>165.88613128214652</v>
      </c>
      <c r="AL487" s="272">
        <f t="shared" si="209"/>
        <v>330</v>
      </c>
      <c r="AM487" s="272">
        <f t="shared" si="197"/>
        <v>165.88613128214652</v>
      </c>
      <c r="AN487" s="272">
        <f t="shared" si="210"/>
        <v>330</v>
      </c>
      <c r="AO487" s="272">
        <f t="shared" si="198"/>
        <v>165.88613128214652</v>
      </c>
      <c r="AP487" s="272">
        <f t="shared" si="211"/>
        <v>330</v>
      </c>
      <c r="AQ487" s="272">
        <f t="shared" si="199"/>
        <v>165.88613128214652</v>
      </c>
      <c r="AR487" s="272">
        <f t="shared" si="212"/>
        <v>330</v>
      </c>
      <c r="AS487" s="508">
        <f t="shared" si="200"/>
        <v>165.88613128214652</v>
      </c>
    </row>
    <row r="488" spans="1:45" ht="12.75" customHeight="1">
      <c r="A488" s="96">
        <f>IF(MAX($F$104:F488)=$G$99,$G$99,F488)</f>
        <v>15.906595441861038</v>
      </c>
      <c r="B488" s="96">
        <v>385</v>
      </c>
      <c r="C488" s="96">
        <f t="shared" si="191"/>
        <v>0.57749999999999757</v>
      </c>
      <c r="D488" s="96">
        <f t="shared" ref="D488:D551" si="213">C488^2/$C$96</f>
        <v>207.48281038665189</v>
      </c>
      <c r="E488" s="96">
        <f t="shared" ref="E488:E551" si="214">CHIDIST(D488,$E$96)</f>
        <v>7.6029529338203015E-10</v>
      </c>
      <c r="F488" s="96">
        <f t="shared" ref="F488:F551" si="215">IF($E$7&lt;$F$101,NA(),$E$98*(E487-E489)/(2*$C$99))</f>
        <v>1.7052034732676555E-7</v>
      </c>
      <c r="G488" s="96">
        <f t="shared" si="190"/>
        <v>-0.29799982947965264</v>
      </c>
      <c r="I488" s="96">
        <f t="shared" ref="I488:I551" si="216">IF(F488&gt;$G$98,1,0)</f>
        <v>0</v>
      </c>
      <c r="J488" s="96">
        <f t="shared" ref="J488:J551" si="217">C488</f>
        <v>0.57749999999999757</v>
      </c>
      <c r="X488" s="96">
        <f t="shared" si="201"/>
        <v>169</v>
      </c>
      <c r="Y488" s="96">
        <v>0.214</v>
      </c>
      <c r="Z488" s="272">
        <f t="shared" si="203"/>
        <v>169</v>
      </c>
      <c r="AA488" s="519">
        <f t="shared" si="204"/>
        <v>167.76394535304948</v>
      </c>
      <c r="AB488" s="516">
        <f t="shared" si="202"/>
        <v>334</v>
      </c>
      <c r="AC488" s="272">
        <f t="shared" si="192"/>
        <v>168.98639709945729</v>
      </c>
      <c r="AD488" s="272">
        <f t="shared" si="205"/>
        <v>336</v>
      </c>
      <c r="AE488" s="272">
        <f t="shared" si="193"/>
        <v>168.9790814995462</v>
      </c>
      <c r="AF488" s="272">
        <f t="shared" si="206"/>
        <v>336</v>
      </c>
      <c r="AG488" s="272">
        <f t="shared" si="194"/>
        <v>168.9790814995462</v>
      </c>
      <c r="AH488" s="272">
        <f t="shared" si="207"/>
        <v>336</v>
      </c>
      <c r="AI488" s="272">
        <f t="shared" si="195"/>
        <v>168.9790814995462</v>
      </c>
      <c r="AJ488" s="272">
        <f t="shared" si="208"/>
        <v>336</v>
      </c>
      <c r="AK488" s="272">
        <f t="shared" si="196"/>
        <v>168.9790814995462</v>
      </c>
      <c r="AL488" s="272">
        <f t="shared" si="209"/>
        <v>336</v>
      </c>
      <c r="AM488" s="272">
        <f t="shared" si="197"/>
        <v>168.9790814995462</v>
      </c>
      <c r="AN488" s="272">
        <f t="shared" si="210"/>
        <v>336</v>
      </c>
      <c r="AO488" s="272">
        <f t="shared" si="198"/>
        <v>168.9790814995462</v>
      </c>
      <c r="AP488" s="272">
        <f t="shared" si="211"/>
        <v>336</v>
      </c>
      <c r="AQ488" s="272">
        <f t="shared" si="199"/>
        <v>168.9790814995462</v>
      </c>
      <c r="AR488" s="272">
        <f t="shared" si="212"/>
        <v>336</v>
      </c>
      <c r="AS488" s="508">
        <f t="shared" si="200"/>
        <v>168.9790814995462</v>
      </c>
    </row>
    <row r="489" spans="1:45" ht="12.75" customHeight="1">
      <c r="A489" s="96">
        <f>IF(MAX($F$104:F489)=$G$99,$G$99,F489)</f>
        <v>15.906595441861038</v>
      </c>
      <c r="B489" s="481">
        <v>386</v>
      </c>
      <c r="C489" s="96">
        <f t="shared" si="191"/>
        <v>0.57899999999999752</v>
      </c>
      <c r="D489" s="96">
        <f t="shared" si="213"/>
        <v>208.56204295071402</v>
      </c>
      <c r="E489" s="96">
        <f t="shared" si="214"/>
        <v>5.6619259485241388E-10</v>
      </c>
      <c r="F489" s="96">
        <f t="shared" si="215"/>
        <v>1.2787538440561638E-7</v>
      </c>
      <c r="G489" s="96">
        <f t="shared" ref="G489:G552" si="218">F489-$G$101</f>
        <v>-0.29799987212461559</v>
      </c>
      <c r="I489" s="96">
        <f t="shared" si="216"/>
        <v>0</v>
      </c>
      <c r="J489" s="96">
        <f t="shared" si="217"/>
        <v>0.57899999999999752</v>
      </c>
      <c r="X489" s="96">
        <f t="shared" si="201"/>
        <v>173</v>
      </c>
      <c r="Y489" s="96">
        <v>0.21199999999999999</v>
      </c>
      <c r="Z489" s="272">
        <f t="shared" si="203"/>
        <v>173</v>
      </c>
      <c r="AA489" s="519">
        <f t="shared" si="204"/>
        <v>170.9442337439537</v>
      </c>
      <c r="AB489" s="516">
        <f t="shared" si="202"/>
        <v>340</v>
      </c>
      <c r="AC489" s="272">
        <f t="shared" si="192"/>
        <v>172.16776105510138</v>
      </c>
      <c r="AD489" s="272">
        <f t="shared" si="205"/>
        <v>342</v>
      </c>
      <c r="AE489" s="272">
        <f t="shared" si="193"/>
        <v>172.16056814751045</v>
      </c>
      <c r="AF489" s="272">
        <f t="shared" si="206"/>
        <v>344</v>
      </c>
      <c r="AG489" s="272">
        <f t="shared" si="194"/>
        <v>172.15345931543649</v>
      </c>
      <c r="AH489" s="272">
        <f t="shared" si="207"/>
        <v>344</v>
      </c>
      <c r="AI489" s="272">
        <f t="shared" si="195"/>
        <v>172.15345931543649</v>
      </c>
      <c r="AJ489" s="272">
        <f t="shared" si="208"/>
        <v>344</v>
      </c>
      <c r="AK489" s="272">
        <f t="shared" si="196"/>
        <v>172.15345931543649</v>
      </c>
      <c r="AL489" s="272">
        <f t="shared" si="209"/>
        <v>344</v>
      </c>
      <c r="AM489" s="272">
        <f t="shared" si="197"/>
        <v>172.15345931543649</v>
      </c>
      <c r="AN489" s="272">
        <f t="shared" si="210"/>
        <v>344</v>
      </c>
      <c r="AO489" s="272">
        <f t="shared" si="198"/>
        <v>172.15345931543649</v>
      </c>
      <c r="AP489" s="272">
        <f t="shared" si="211"/>
        <v>344</v>
      </c>
      <c r="AQ489" s="272">
        <f t="shared" si="199"/>
        <v>172.15345931543649</v>
      </c>
      <c r="AR489" s="272">
        <f t="shared" si="212"/>
        <v>344</v>
      </c>
      <c r="AS489" s="508">
        <f t="shared" si="200"/>
        <v>172.15345931543649</v>
      </c>
    </row>
    <row r="490" spans="1:45" ht="12.75" customHeight="1">
      <c r="A490" s="96">
        <f>IF(MAX($F$104:F490)=$G$99,$G$99,F490)</f>
        <v>15.906595441861038</v>
      </c>
      <c r="B490" s="481">
        <v>387</v>
      </c>
      <c r="C490" s="96">
        <f t="shared" si="191"/>
        <v>0.58049999999999746</v>
      </c>
      <c r="D490" s="96">
        <f t="shared" si="213"/>
        <v>209.64407508044161</v>
      </c>
      <c r="E490" s="96">
        <f t="shared" si="214"/>
        <v>4.2080312239366804E-10</v>
      </c>
      <c r="F490" s="96">
        <f t="shared" si="215"/>
        <v>9.5699021524279922E-8</v>
      </c>
      <c r="G490" s="96">
        <f t="shared" si="218"/>
        <v>-0.29799990430097845</v>
      </c>
      <c r="I490" s="96">
        <f t="shared" si="216"/>
        <v>0</v>
      </c>
      <c r="J490" s="96">
        <f t="shared" si="217"/>
        <v>0.58049999999999746</v>
      </c>
      <c r="X490" s="96">
        <f t="shared" si="201"/>
        <v>176</v>
      </c>
      <c r="Y490" s="96">
        <v>0.21</v>
      </c>
      <c r="Z490" s="272">
        <f t="shared" si="203"/>
        <v>176</v>
      </c>
      <c r="AA490" s="519">
        <f t="shared" si="204"/>
        <v>174.21581953261349</v>
      </c>
      <c r="AB490" s="516">
        <f t="shared" si="202"/>
        <v>348</v>
      </c>
      <c r="AC490" s="272">
        <f t="shared" si="192"/>
        <v>175.43394900003568</v>
      </c>
      <c r="AD490" s="272">
        <f t="shared" si="205"/>
        <v>350</v>
      </c>
      <c r="AE490" s="272">
        <f t="shared" si="193"/>
        <v>175.42695234618202</v>
      </c>
      <c r="AF490" s="272">
        <f t="shared" si="206"/>
        <v>350</v>
      </c>
      <c r="AG490" s="272">
        <f t="shared" si="194"/>
        <v>175.42695234618202</v>
      </c>
      <c r="AH490" s="272">
        <f t="shared" si="207"/>
        <v>350</v>
      </c>
      <c r="AI490" s="272">
        <f t="shared" si="195"/>
        <v>175.42695234618202</v>
      </c>
      <c r="AJ490" s="272">
        <f t="shared" si="208"/>
        <v>350</v>
      </c>
      <c r="AK490" s="272">
        <f t="shared" si="196"/>
        <v>175.42695234618202</v>
      </c>
      <c r="AL490" s="272">
        <f t="shared" si="209"/>
        <v>350</v>
      </c>
      <c r="AM490" s="272">
        <f t="shared" si="197"/>
        <v>175.42695234618202</v>
      </c>
      <c r="AN490" s="272">
        <f t="shared" si="210"/>
        <v>350</v>
      </c>
      <c r="AO490" s="272">
        <f t="shared" si="198"/>
        <v>175.42695234618202</v>
      </c>
      <c r="AP490" s="272">
        <f t="shared" si="211"/>
        <v>350</v>
      </c>
      <c r="AQ490" s="272">
        <f t="shared" si="199"/>
        <v>175.42695234618202</v>
      </c>
      <c r="AR490" s="272">
        <f t="shared" si="212"/>
        <v>350</v>
      </c>
      <c r="AS490" s="508">
        <f t="shared" si="200"/>
        <v>175.42695234618202</v>
      </c>
    </row>
    <row r="491" spans="1:45" ht="12.75" customHeight="1">
      <c r="A491" s="96">
        <f>IF(MAX($F$104:F491)=$G$99,$G$99,F491)</f>
        <v>15.906595441861038</v>
      </c>
      <c r="B491" s="96">
        <v>388</v>
      </c>
      <c r="C491" s="96">
        <f t="shared" si="191"/>
        <v>0.58199999999999741</v>
      </c>
      <c r="D491" s="96">
        <f t="shared" si="213"/>
        <v>210.72890677583476</v>
      </c>
      <c r="E491" s="96">
        <f t="shared" si="214"/>
        <v>3.1212439611538749E-10</v>
      </c>
      <c r="F491" s="96">
        <f t="shared" si="215"/>
        <v>7.1472553955121565E-8</v>
      </c>
      <c r="G491" s="96">
        <f t="shared" si="218"/>
        <v>-0.29799992852744606</v>
      </c>
      <c r="I491" s="96">
        <f t="shared" si="216"/>
        <v>0</v>
      </c>
      <c r="J491" s="96">
        <f t="shared" si="217"/>
        <v>0.58199999999999741</v>
      </c>
      <c r="X491" s="96">
        <f t="shared" si="201"/>
        <v>179</v>
      </c>
      <c r="Y491" s="96">
        <v>0.20799999999999999</v>
      </c>
      <c r="Z491" s="272">
        <f t="shared" si="203"/>
        <v>179</v>
      </c>
      <c r="AA491" s="519">
        <f t="shared" si="204"/>
        <v>177.58223098622997</v>
      </c>
      <c r="AB491" s="516">
        <f t="shared" si="202"/>
        <v>354</v>
      </c>
      <c r="AC491" s="272">
        <f t="shared" si="192"/>
        <v>178.80274607314311</v>
      </c>
      <c r="AD491" s="272">
        <f t="shared" si="205"/>
        <v>356</v>
      </c>
      <c r="AE491" s="272">
        <f t="shared" si="193"/>
        <v>178.79585446264443</v>
      </c>
      <c r="AF491" s="272">
        <f t="shared" si="206"/>
        <v>356</v>
      </c>
      <c r="AG491" s="272">
        <f t="shared" si="194"/>
        <v>178.79585446264443</v>
      </c>
      <c r="AH491" s="272">
        <f t="shared" si="207"/>
        <v>356</v>
      </c>
      <c r="AI491" s="272">
        <f t="shared" si="195"/>
        <v>178.79585446264443</v>
      </c>
      <c r="AJ491" s="272">
        <f t="shared" si="208"/>
        <v>356</v>
      </c>
      <c r="AK491" s="272">
        <f t="shared" si="196"/>
        <v>178.79585446264443</v>
      </c>
      <c r="AL491" s="272">
        <f t="shared" si="209"/>
        <v>356</v>
      </c>
      <c r="AM491" s="272">
        <f t="shared" si="197"/>
        <v>178.79585446264443</v>
      </c>
      <c r="AN491" s="272">
        <f t="shared" si="210"/>
        <v>356</v>
      </c>
      <c r="AO491" s="272">
        <f t="shared" si="198"/>
        <v>178.79585446264443</v>
      </c>
      <c r="AP491" s="272">
        <f t="shared" si="211"/>
        <v>356</v>
      </c>
      <c r="AQ491" s="272">
        <f t="shared" si="199"/>
        <v>178.79585446264443</v>
      </c>
      <c r="AR491" s="272">
        <f t="shared" si="212"/>
        <v>356</v>
      </c>
      <c r="AS491" s="508">
        <f t="shared" si="200"/>
        <v>178.79585446264443</v>
      </c>
    </row>
    <row r="492" spans="1:45" ht="12.75" customHeight="1">
      <c r="A492" s="96">
        <f>IF(MAX($F$104:F492)=$G$99,$G$99,F492)</f>
        <v>15.906595441861038</v>
      </c>
      <c r="B492" s="481">
        <v>389</v>
      </c>
      <c r="C492" s="96">
        <f t="shared" si="191"/>
        <v>0.58349999999999735</v>
      </c>
      <c r="D492" s="96">
        <f t="shared" si="213"/>
        <v>211.81653803689346</v>
      </c>
      <c r="E492" s="96">
        <f t="shared" si="214"/>
        <v>2.3105297914998244E-10</v>
      </c>
      <c r="F492" s="96">
        <f t="shared" si="215"/>
        <v>5.3270136523748295E-8</v>
      </c>
      <c r="G492" s="96">
        <f t="shared" si="218"/>
        <v>-0.29799994672986346</v>
      </c>
      <c r="I492" s="96">
        <f t="shared" si="216"/>
        <v>0</v>
      </c>
      <c r="J492" s="96">
        <f t="shared" si="217"/>
        <v>0.58349999999999735</v>
      </c>
      <c r="X492" s="96">
        <f t="shared" si="201"/>
        <v>183</v>
      </c>
      <c r="Y492" s="96">
        <v>0.20599999999999999</v>
      </c>
      <c r="Z492" s="272">
        <f t="shared" si="203"/>
        <v>183</v>
      </c>
      <c r="AA492" s="519">
        <f t="shared" si="204"/>
        <v>181.04716847460304</v>
      </c>
      <c r="AB492" s="516">
        <f t="shared" si="202"/>
        <v>362</v>
      </c>
      <c r="AC492" s="272">
        <f t="shared" si="192"/>
        <v>182.26386174780873</v>
      </c>
      <c r="AD492" s="272">
        <f t="shared" si="205"/>
        <v>364</v>
      </c>
      <c r="AE492" s="272">
        <f t="shared" si="193"/>
        <v>182.25714344868416</v>
      </c>
      <c r="AF492" s="272">
        <f t="shared" si="206"/>
        <v>364</v>
      </c>
      <c r="AG492" s="272">
        <f t="shared" si="194"/>
        <v>182.25714344868416</v>
      </c>
      <c r="AH492" s="272">
        <f t="shared" si="207"/>
        <v>364</v>
      </c>
      <c r="AI492" s="272">
        <f t="shared" si="195"/>
        <v>182.25714344868416</v>
      </c>
      <c r="AJ492" s="272">
        <f t="shared" si="208"/>
        <v>364</v>
      </c>
      <c r="AK492" s="272">
        <f t="shared" si="196"/>
        <v>182.25714344868416</v>
      </c>
      <c r="AL492" s="272">
        <f t="shared" si="209"/>
        <v>364</v>
      </c>
      <c r="AM492" s="272">
        <f t="shared" si="197"/>
        <v>182.25714344868416</v>
      </c>
      <c r="AN492" s="272">
        <f t="shared" si="210"/>
        <v>364</v>
      </c>
      <c r="AO492" s="272">
        <f t="shared" si="198"/>
        <v>182.25714344868416</v>
      </c>
      <c r="AP492" s="272">
        <f t="shared" si="211"/>
        <v>364</v>
      </c>
      <c r="AQ492" s="272">
        <f t="shared" si="199"/>
        <v>182.25714344868416</v>
      </c>
      <c r="AR492" s="272">
        <f t="shared" si="212"/>
        <v>364</v>
      </c>
      <c r="AS492" s="508">
        <f t="shared" si="200"/>
        <v>182.25714344868416</v>
      </c>
    </row>
    <row r="493" spans="1:45" ht="12.75" customHeight="1">
      <c r="A493" s="96">
        <f>IF(MAX($F$104:F493)=$G$99,$G$99,F493)</f>
        <v>15.906595441861038</v>
      </c>
      <c r="B493" s="481">
        <v>390</v>
      </c>
      <c r="C493" s="96">
        <f t="shared" si="191"/>
        <v>0.5849999999999973</v>
      </c>
      <c r="D493" s="96">
        <f t="shared" si="213"/>
        <v>212.90696886361766</v>
      </c>
      <c r="E493" s="96">
        <f t="shared" si="214"/>
        <v>1.7069925490189641E-10</v>
      </c>
      <c r="F493" s="96">
        <f t="shared" si="215"/>
        <v>3.9622553292334565E-8</v>
      </c>
      <c r="G493" s="96">
        <f t="shared" si="218"/>
        <v>-0.29799996037744669</v>
      </c>
      <c r="I493" s="96">
        <f t="shared" si="216"/>
        <v>0</v>
      </c>
      <c r="J493" s="96">
        <f t="shared" si="217"/>
        <v>0.5849999999999973</v>
      </c>
      <c r="X493" s="96">
        <f t="shared" si="201"/>
        <v>186</v>
      </c>
      <c r="Y493" s="96">
        <v>0.20399999999999999</v>
      </c>
      <c r="Z493" s="272">
        <f t="shared" si="203"/>
        <v>186</v>
      </c>
      <c r="AA493" s="519">
        <f t="shared" si="204"/>
        <v>184.61451464312418</v>
      </c>
      <c r="AB493" s="516">
        <f t="shared" si="202"/>
        <v>368</v>
      </c>
      <c r="AC493" s="272">
        <f t="shared" si="192"/>
        <v>185.83485404593551</v>
      </c>
      <c r="AD493" s="272">
        <f t="shared" si="205"/>
        <v>370</v>
      </c>
      <c r="AE493" s="272">
        <f t="shared" si="193"/>
        <v>185.82822541375026</v>
      </c>
      <c r="AF493" s="272">
        <f t="shared" si="206"/>
        <v>370</v>
      </c>
      <c r="AG493" s="272">
        <f t="shared" si="194"/>
        <v>185.82822541375026</v>
      </c>
      <c r="AH493" s="272">
        <f t="shared" si="207"/>
        <v>370</v>
      </c>
      <c r="AI493" s="272">
        <f t="shared" si="195"/>
        <v>185.82822541375026</v>
      </c>
      <c r="AJ493" s="272">
        <f t="shared" si="208"/>
        <v>370</v>
      </c>
      <c r="AK493" s="272">
        <f t="shared" si="196"/>
        <v>185.82822541375026</v>
      </c>
      <c r="AL493" s="272">
        <f t="shared" si="209"/>
        <v>370</v>
      </c>
      <c r="AM493" s="272">
        <f t="shared" si="197"/>
        <v>185.82822541375026</v>
      </c>
      <c r="AN493" s="272">
        <f t="shared" si="210"/>
        <v>370</v>
      </c>
      <c r="AO493" s="272">
        <f t="shared" si="198"/>
        <v>185.82822541375026</v>
      </c>
      <c r="AP493" s="272">
        <f t="shared" si="211"/>
        <v>370</v>
      </c>
      <c r="AQ493" s="272">
        <f t="shared" si="199"/>
        <v>185.82822541375026</v>
      </c>
      <c r="AR493" s="272">
        <f t="shared" si="212"/>
        <v>370</v>
      </c>
      <c r="AS493" s="508">
        <f t="shared" si="200"/>
        <v>185.82822541375026</v>
      </c>
    </row>
    <row r="494" spans="1:45" ht="12.75" customHeight="1">
      <c r="A494" s="96">
        <f>IF(MAX($F$104:F494)=$G$99,$G$99,F494)</f>
        <v>15.906595441861038</v>
      </c>
      <c r="B494" s="96">
        <v>391</v>
      </c>
      <c r="C494" s="96">
        <f t="shared" si="191"/>
        <v>0.58649999999999725</v>
      </c>
      <c r="D494" s="96">
        <f t="shared" si="213"/>
        <v>214.00019925600742</v>
      </c>
      <c r="E494" s="96">
        <f t="shared" si="214"/>
        <v>1.2586035978980218E-10</v>
      </c>
      <c r="F494" s="96">
        <f t="shared" si="215"/>
        <v>2.9411465866012167E-8</v>
      </c>
      <c r="G494" s="96">
        <f t="shared" si="218"/>
        <v>-0.29799997058853411</v>
      </c>
      <c r="I494" s="96">
        <f t="shared" si="216"/>
        <v>0</v>
      </c>
      <c r="J494" s="96">
        <f t="shared" si="217"/>
        <v>0.58649999999999725</v>
      </c>
      <c r="X494" s="96">
        <f t="shared" si="201"/>
        <v>190</v>
      </c>
      <c r="Y494" s="96">
        <v>0.20200000000000001</v>
      </c>
      <c r="Z494" s="272">
        <f t="shared" si="203"/>
        <v>190</v>
      </c>
      <c r="AA494" s="519">
        <f t="shared" si="204"/>
        <v>188.28834529429108</v>
      </c>
      <c r="AB494" s="516">
        <f t="shared" si="202"/>
        <v>376</v>
      </c>
      <c r="AC494" s="272">
        <f t="shared" si="192"/>
        <v>189.50636088161218</v>
      </c>
      <c r="AD494" s="272">
        <f t="shared" si="205"/>
        <v>378</v>
      </c>
      <c r="AE494" s="272">
        <f t="shared" si="193"/>
        <v>189.49988555561205</v>
      </c>
      <c r="AF494" s="272">
        <f t="shared" si="206"/>
        <v>378</v>
      </c>
      <c r="AG494" s="272">
        <f t="shared" si="194"/>
        <v>189.49988555561205</v>
      </c>
      <c r="AH494" s="272">
        <f t="shared" si="207"/>
        <v>378</v>
      </c>
      <c r="AI494" s="272">
        <f t="shared" si="195"/>
        <v>189.49988555561205</v>
      </c>
      <c r="AJ494" s="272">
        <f t="shared" si="208"/>
        <v>378</v>
      </c>
      <c r="AK494" s="272">
        <f t="shared" si="196"/>
        <v>189.49988555561205</v>
      </c>
      <c r="AL494" s="272">
        <f t="shared" si="209"/>
        <v>378</v>
      </c>
      <c r="AM494" s="272">
        <f t="shared" si="197"/>
        <v>189.49988555561205</v>
      </c>
      <c r="AN494" s="272">
        <f t="shared" si="210"/>
        <v>378</v>
      </c>
      <c r="AO494" s="272">
        <f t="shared" si="198"/>
        <v>189.49988555561205</v>
      </c>
      <c r="AP494" s="272">
        <f t="shared" si="211"/>
        <v>378</v>
      </c>
      <c r="AQ494" s="272">
        <f t="shared" si="199"/>
        <v>189.49988555561205</v>
      </c>
      <c r="AR494" s="272">
        <f t="shared" si="212"/>
        <v>378</v>
      </c>
      <c r="AS494" s="508">
        <f t="shared" si="200"/>
        <v>189.49988555561205</v>
      </c>
    </row>
    <row r="495" spans="1:45" ht="12.75" customHeight="1">
      <c r="A495" s="96">
        <f>IF(MAX($F$104:F495)=$G$99,$G$99,F495)</f>
        <v>15.906595441861038</v>
      </c>
      <c r="B495" s="481">
        <v>392</v>
      </c>
      <c r="C495" s="96">
        <f t="shared" si="191"/>
        <v>0.58799999999999719</v>
      </c>
      <c r="D495" s="96">
        <f t="shared" si="213"/>
        <v>215.0962292140627</v>
      </c>
      <c r="E495" s="96">
        <f t="shared" si="214"/>
        <v>9.2615717204518974E-11</v>
      </c>
      <c r="F495" s="96">
        <f t="shared" si="215"/>
        <v>2.1787523021787113E-8</v>
      </c>
      <c r="G495" s="96">
        <f t="shared" si="218"/>
        <v>-0.29799997821247698</v>
      </c>
      <c r="I495" s="96">
        <f t="shared" si="216"/>
        <v>0</v>
      </c>
      <c r="J495" s="96">
        <f t="shared" si="217"/>
        <v>0.58799999999999719</v>
      </c>
      <c r="X495" s="96">
        <f t="shared" si="201"/>
        <v>194</v>
      </c>
      <c r="Y495" s="96">
        <v>0.2</v>
      </c>
      <c r="Z495" s="272">
        <f t="shared" si="203"/>
        <v>194</v>
      </c>
      <c r="AA495" s="519">
        <f t="shared" si="204"/>
        <v>192.0729410347063</v>
      </c>
      <c r="AB495" s="516">
        <f t="shared" si="202"/>
        <v>384</v>
      </c>
      <c r="AC495" s="272">
        <f t="shared" si="192"/>
        <v>193.28943158973141</v>
      </c>
      <c r="AD495" s="272">
        <f t="shared" si="205"/>
        <v>386</v>
      </c>
      <c r="AE495" s="272">
        <f t="shared" si="193"/>
        <v>193.2830990275917</v>
      </c>
      <c r="AF495" s="272">
        <f t="shared" si="206"/>
        <v>386</v>
      </c>
      <c r="AG495" s="272">
        <f t="shared" si="194"/>
        <v>193.2830990275917</v>
      </c>
      <c r="AH495" s="272">
        <f t="shared" si="207"/>
        <v>386</v>
      </c>
      <c r="AI495" s="272">
        <f t="shared" si="195"/>
        <v>193.2830990275917</v>
      </c>
      <c r="AJ495" s="272">
        <f t="shared" si="208"/>
        <v>386</v>
      </c>
      <c r="AK495" s="272">
        <f t="shared" si="196"/>
        <v>193.2830990275917</v>
      </c>
      <c r="AL495" s="272">
        <f t="shared" si="209"/>
        <v>386</v>
      </c>
      <c r="AM495" s="272">
        <f t="shared" si="197"/>
        <v>193.2830990275917</v>
      </c>
      <c r="AN495" s="272">
        <f t="shared" si="210"/>
        <v>386</v>
      </c>
      <c r="AO495" s="272">
        <f t="shared" si="198"/>
        <v>193.2830990275917</v>
      </c>
      <c r="AP495" s="272">
        <f t="shared" si="211"/>
        <v>386</v>
      </c>
      <c r="AQ495" s="272">
        <f t="shared" si="199"/>
        <v>193.2830990275917</v>
      </c>
      <c r="AR495" s="272">
        <f t="shared" si="212"/>
        <v>386</v>
      </c>
      <c r="AS495" s="508">
        <f t="shared" si="200"/>
        <v>193.2830990275917</v>
      </c>
    </row>
    <row r="496" spans="1:45" ht="12.75" customHeight="1">
      <c r="A496" s="96">
        <f>IF(MAX($F$104:F496)=$G$99,$G$99,F496)</f>
        <v>15.906595441861038</v>
      </c>
      <c r="B496" s="481">
        <v>393</v>
      </c>
      <c r="C496" s="96">
        <f t="shared" si="191"/>
        <v>0.58949999999999714</v>
      </c>
      <c r="D496" s="96">
        <f t="shared" si="213"/>
        <v>216.19505873778351</v>
      </c>
      <c r="E496" s="96">
        <f t="shared" si="214"/>
        <v>6.8017378316031074E-11</v>
      </c>
      <c r="F496" s="96">
        <f t="shared" si="215"/>
        <v>1.6107102659717685E-8</v>
      </c>
      <c r="G496" s="96">
        <f t="shared" si="218"/>
        <v>-0.29799998389289734</v>
      </c>
      <c r="I496" s="96">
        <f t="shared" si="216"/>
        <v>0</v>
      </c>
      <c r="J496" s="96">
        <f t="shared" si="217"/>
        <v>0.58949999999999714</v>
      </c>
      <c r="X496" s="96">
        <f t="shared" si="201"/>
        <v>198</v>
      </c>
      <c r="Y496" s="96">
        <v>0.19800000000000001</v>
      </c>
      <c r="Z496" s="272">
        <f t="shared" si="203"/>
        <v>198</v>
      </c>
      <c r="AA496" s="519">
        <f t="shared" si="204"/>
        <v>195.97279974972585</v>
      </c>
      <c r="AB496" s="516">
        <f t="shared" si="202"/>
        <v>390</v>
      </c>
      <c r="AC496" s="272">
        <f t="shared" si="192"/>
        <v>197.19480629452502</v>
      </c>
      <c r="AD496" s="272">
        <f t="shared" si="205"/>
        <v>392</v>
      </c>
      <c r="AE496" s="272">
        <f t="shared" si="193"/>
        <v>197.18854282880793</v>
      </c>
      <c r="AF496" s="272">
        <f t="shared" si="206"/>
        <v>394</v>
      </c>
      <c r="AG496" s="272">
        <f t="shared" si="194"/>
        <v>197.18234324157723</v>
      </c>
      <c r="AH496" s="272">
        <f t="shared" si="207"/>
        <v>394</v>
      </c>
      <c r="AI496" s="272">
        <f t="shared" si="195"/>
        <v>197.18234324157723</v>
      </c>
      <c r="AJ496" s="272">
        <f t="shared" si="208"/>
        <v>394</v>
      </c>
      <c r="AK496" s="272">
        <f t="shared" si="196"/>
        <v>197.18234324157723</v>
      </c>
      <c r="AL496" s="272">
        <f t="shared" si="209"/>
        <v>394</v>
      </c>
      <c r="AM496" s="272">
        <f t="shared" si="197"/>
        <v>197.18234324157723</v>
      </c>
      <c r="AN496" s="272">
        <f t="shared" si="210"/>
        <v>394</v>
      </c>
      <c r="AO496" s="272">
        <f t="shared" si="198"/>
        <v>197.18234324157723</v>
      </c>
      <c r="AP496" s="272">
        <f t="shared" si="211"/>
        <v>394</v>
      </c>
      <c r="AQ496" s="272">
        <f t="shared" si="199"/>
        <v>197.18234324157723</v>
      </c>
      <c r="AR496" s="272">
        <f t="shared" si="212"/>
        <v>394</v>
      </c>
      <c r="AS496" s="508">
        <f t="shared" si="200"/>
        <v>197.18234324157723</v>
      </c>
    </row>
    <row r="497" spans="1:45" ht="12.75" customHeight="1">
      <c r="A497" s="96">
        <f>IF(MAX($F$104:F497)=$G$99,$G$99,F497)</f>
        <v>15.906595441861038</v>
      </c>
      <c r="B497" s="96">
        <v>394</v>
      </c>
      <c r="C497" s="96">
        <f t="shared" si="191"/>
        <v>0.59099999999999708</v>
      </c>
      <c r="D497" s="96">
        <f t="shared" si="213"/>
        <v>217.29668782716985</v>
      </c>
      <c r="E497" s="96">
        <f t="shared" si="214"/>
        <v>4.9853497753941043E-11</v>
      </c>
      <c r="F497" s="96">
        <f t="shared" si="215"/>
        <v>1.1883565516075768E-8</v>
      </c>
      <c r="G497" s="96">
        <f t="shared" si="218"/>
        <v>-0.29799998811643447</v>
      </c>
      <c r="I497" s="96">
        <f t="shared" si="216"/>
        <v>0</v>
      </c>
      <c r="J497" s="96">
        <f t="shared" si="217"/>
        <v>0.59099999999999708</v>
      </c>
      <c r="X497" s="96">
        <f t="shared" si="201"/>
        <v>202</v>
      </c>
      <c r="Y497" s="96">
        <v>0.19600000000000001</v>
      </c>
      <c r="Z497" s="272">
        <f t="shared" si="203"/>
        <v>202</v>
      </c>
      <c r="AA497" s="519">
        <f t="shared" si="204"/>
        <v>199.99264997366339</v>
      </c>
      <c r="AB497" s="516">
        <f t="shared" si="202"/>
        <v>398</v>
      </c>
      <c r="AC497" s="272">
        <f t="shared" si="192"/>
        <v>201.21454207609844</v>
      </c>
      <c r="AD497" s="272">
        <f t="shared" si="205"/>
        <v>400</v>
      </c>
      <c r="AE497" s="272">
        <f t="shared" si="193"/>
        <v>201.20840501414847</v>
      </c>
      <c r="AF497" s="272">
        <f t="shared" si="206"/>
        <v>402</v>
      </c>
      <c r="AG497" s="272">
        <f t="shared" si="194"/>
        <v>201.20232929043794</v>
      </c>
      <c r="AH497" s="272">
        <f t="shared" si="207"/>
        <v>402</v>
      </c>
      <c r="AI497" s="272">
        <f t="shared" si="195"/>
        <v>201.20232929043794</v>
      </c>
      <c r="AJ497" s="272">
        <f t="shared" si="208"/>
        <v>402</v>
      </c>
      <c r="AK497" s="272">
        <f t="shared" si="196"/>
        <v>201.20232929043794</v>
      </c>
      <c r="AL497" s="272">
        <f t="shared" si="209"/>
        <v>402</v>
      </c>
      <c r="AM497" s="272">
        <f t="shared" si="197"/>
        <v>201.20232929043794</v>
      </c>
      <c r="AN497" s="272">
        <f t="shared" si="210"/>
        <v>402</v>
      </c>
      <c r="AO497" s="272">
        <f t="shared" si="198"/>
        <v>201.20232929043794</v>
      </c>
      <c r="AP497" s="272">
        <f t="shared" si="211"/>
        <v>402</v>
      </c>
      <c r="AQ497" s="272">
        <f t="shared" si="199"/>
        <v>201.20232929043794</v>
      </c>
      <c r="AR497" s="272">
        <f t="shared" si="212"/>
        <v>402</v>
      </c>
      <c r="AS497" s="508">
        <f t="shared" si="200"/>
        <v>201.20232929043794</v>
      </c>
    </row>
    <row r="498" spans="1:45" ht="12.75" customHeight="1">
      <c r="A498" s="96">
        <f>IF(MAX($F$104:F498)=$G$99,$G$99,F498)</f>
        <v>15.906595441861038</v>
      </c>
      <c r="B498" s="481">
        <v>395</v>
      </c>
      <c r="C498" s="96">
        <f t="shared" si="191"/>
        <v>0.59249999999999703</v>
      </c>
      <c r="D498" s="96">
        <f t="shared" si="213"/>
        <v>218.40111648222168</v>
      </c>
      <c r="E498" s="96">
        <f t="shared" si="214"/>
        <v>3.6468089335298941E-11</v>
      </c>
      <c r="F498" s="96">
        <f t="shared" si="215"/>
        <v>8.749782437566481E-9</v>
      </c>
      <c r="G498" s="96">
        <f t="shared" si="218"/>
        <v>-0.29799999125021753</v>
      </c>
      <c r="I498" s="96">
        <f t="shared" si="216"/>
        <v>0</v>
      </c>
      <c r="J498" s="96">
        <f t="shared" si="217"/>
        <v>0.59249999999999703</v>
      </c>
      <c r="X498" s="96">
        <f t="shared" si="201"/>
        <v>206</v>
      </c>
      <c r="Y498" s="96">
        <v>0.19400000000000001</v>
      </c>
      <c r="Z498" s="272">
        <f t="shared" si="203"/>
        <v>206</v>
      </c>
      <c r="AA498" s="519">
        <f t="shared" si="204"/>
        <v>204.13746522978673</v>
      </c>
      <c r="AB498" s="516">
        <f t="shared" si="202"/>
        <v>408</v>
      </c>
      <c r="AC498" s="272">
        <f t="shared" si="192"/>
        <v>205.3539764372432</v>
      </c>
      <c r="AD498" s="272">
        <f t="shared" si="205"/>
        <v>410</v>
      </c>
      <c r="AE498" s="272">
        <f t="shared" si="193"/>
        <v>205.34801607596702</v>
      </c>
      <c r="AF498" s="272">
        <f t="shared" si="206"/>
        <v>410</v>
      </c>
      <c r="AG498" s="272">
        <f t="shared" si="194"/>
        <v>205.34801607596702</v>
      </c>
      <c r="AH498" s="272">
        <f t="shared" si="207"/>
        <v>410</v>
      </c>
      <c r="AI498" s="272">
        <f t="shared" si="195"/>
        <v>205.34801607596702</v>
      </c>
      <c r="AJ498" s="272">
        <f t="shared" si="208"/>
        <v>410</v>
      </c>
      <c r="AK498" s="272">
        <f t="shared" si="196"/>
        <v>205.34801607596702</v>
      </c>
      <c r="AL498" s="272">
        <f t="shared" si="209"/>
        <v>410</v>
      </c>
      <c r="AM498" s="272">
        <f t="shared" si="197"/>
        <v>205.34801607596702</v>
      </c>
      <c r="AN498" s="272">
        <f t="shared" si="210"/>
        <v>410</v>
      </c>
      <c r="AO498" s="272">
        <f t="shared" si="198"/>
        <v>205.34801607596702</v>
      </c>
      <c r="AP498" s="272">
        <f t="shared" si="211"/>
        <v>410</v>
      </c>
      <c r="AQ498" s="272">
        <f t="shared" si="199"/>
        <v>205.34801607596702</v>
      </c>
      <c r="AR498" s="272">
        <f t="shared" si="212"/>
        <v>410</v>
      </c>
      <c r="AS498" s="508">
        <f t="shared" si="200"/>
        <v>205.34801607596702</v>
      </c>
    </row>
    <row r="499" spans="1:45" ht="12.75" customHeight="1">
      <c r="A499" s="96">
        <f>IF(MAX($F$104:F499)=$G$99,$G$99,F499)</f>
        <v>15.906595441861038</v>
      </c>
      <c r="B499" s="481">
        <v>396</v>
      </c>
      <c r="C499" s="96">
        <f t="shared" si="191"/>
        <v>0.59399999999999697</v>
      </c>
      <c r="D499" s="96">
        <f t="shared" si="213"/>
        <v>219.50834470293913</v>
      </c>
      <c r="E499" s="96">
        <f t="shared" si="214"/>
        <v>2.6623986857746844E-11</v>
      </c>
      <c r="F499" s="96">
        <f t="shared" si="215"/>
        <v>6.4293973375483875E-9</v>
      </c>
      <c r="G499" s="96">
        <f t="shared" si="218"/>
        <v>-0.29799999357060264</v>
      </c>
      <c r="I499" s="96">
        <f t="shared" si="216"/>
        <v>0</v>
      </c>
      <c r="J499" s="96">
        <f t="shared" si="217"/>
        <v>0.59399999999999697</v>
      </c>
      <c r="X499" s="96">
        <f t="shared" si="201"/>
        <v>210</v>
      </c>
      <c r="Y499" s="96">
        <v>0.192</v>
      </c>
      <c r="Z499" s="272">
        <f t="shared" si="203"/>
        <v>210</v>
      </c>
      <c r="AA499" s="519">
        <f t="shared" si="204"/>
        <v>208.4124794213393</v>
      </c>
      <c r="AB499" s="516">
        <f t="shared" si="202"/>
        <v>416</v>
      </c>
      <c r="AC499" s="272">
        <f t="shared" si="192"/>
        <v>209.63047846790957</v>
      </c>
      <c r="AD499" s="272">
        <f t="shared" si="205"/>
        <v>418</v>
      </c>
      <c r="AE499" s="272">
        <f t="shared" si="193"/>
        <v>209.62462551833394</v>
      </c>
      <c r="AF499" s="272">
        <f t="shared" si="206"/>
        <v>418</v>
      </c>
      <c r="AG499" s="272">
        <f t="shared" si="194"/>
        <v>209.62462551833394</v>
      </c>
      <c r="AH499" s="272">
        <f t="shared" si="207"/>
        <v>418</v>
      </c>
      <c r="AI499" s="272">
        <f t="shared" si="195"/>
        <v>209.62462551833394</v>
      </c>
      <c r="AJ499" s="272">
        <f t="shared" si="208"/>
        <v>418</v>
      </c>
      <c r="AK499" s="272">
        <f t="shared" si="196"/>
        <v>209.62462551833394</v>
      </c>
      <c r="AL499" s="272">
        <f t="shared" si="209"/>
        <v>418</v>
      </c>
      <c r="AM499" s="272">
        <f t="shared" si="197"/>
        <v>209.62462551833394</v>
      </c>
      <c r="AN499" s="272">
        <f t="shared" si="210"/>
        <v>418</v>
      </c>
      <c r="AO499" s="272">
        <f t="shared" si="198"/>
        <v>209.62462551833394</v>
      </c>
      <c r="AP499" s="272">
        <f t="shared" si="211"/>
        <v>418</v>
      </c>
      <c r="AQ499" s="272">
        <f t="shared" si="199"/>
        <v>209.62462551833394</v>
      </c>
      <c r="AR499" s="272">
        <f t="shared" si="212"/>
        <v>418</v>
      </c>
      <c r="AS499" s="508">
        <f t="shared" si="200"/>
        <v>209.62462551833394</v>
      </c>
    </row>
    <row r="500" spans="1:45" ht="12.75" customHeight="1">
      <c r="A500" s="96">
        <f>IF(MAX($F$104:F500)=$G$99,$G$99,F500)</f>
        <v>15.906595441861038</v>
      </c>
      <c r="B500" s="96">
        <v>397</v>
      </c>
      <c r="C500" s="96">
        <f t="shared" si="191"/>
        <v>0.59549999999999692</v>
      </c>
      <c r="D500" s="96">
        <f t="shared" si="213"/>
        <v>220.61837248932201</v>
      </c>
      <c r="E500" s="96">
        <f t="shared" si="214"/>
        <v>1.9398892863931539E-11</v>
      </c>
      <c r="F500" s="96">
        <f t="shared" si="215"/>
        <v>4.7148421751829576E-9</v>
      </c>
      <c r="G500" s="96">
        <f t="shared" si="218"/>
        <v>-0.2979999952851578</v>
      </c>
      <c r="I500" s="96">
        <f t="shared" si="216"/>
        <v>0</v>
      </c>
      <c r="J500" s="96">
        <f t="shared" si="217"/>
        <v>0.59549999999999692</v>
      </c>
      <c r="X500" s="96">
        <f t="shared" si="201"/>
        <v>215</v>
      </c>
      <c r="Y500" s="96">
        <v>0.19</v>
      </c>
      <c r="Z500" s="272">
        <f t="shared" si="203"/>
        <v>215</v>
      </c>
      <c r="AA500" s="519">
        <f t="shared" si="204"/>
        <v>212.82320336255555</v>
      </c>
      <c r="AB500" s="516">
        <f t="shared" si="202"/>
        <v>424</v>
      </c>
      <c r="AC500" s="272">
        <f t="shared" si="192"/>
        <v>214.04341192448391</v>
      </c>
      <c r="AD500" s="272">
        <f t="shared" si="205"/>
        <v>426</v>
      </c>
      <c r="AE500" s="272">
        <f t="shared" si="193"/>
        <v>214.03765893290162</v>
      </c>
      <c r="AF500" s="272">
        <f t="shared" si="206"/>
        <v>428</v>
      </c>
      <c r="AG500" s="272">
        <f t="shared" si="194"/>
        <v>214.03195993330547</v>
      </c>
      <c r="AH500" s="272">
        <f t="shared" si="207"/>
        <v>428</v>
      </c>
      <c r="AI500" s="272">
        <f t="shared" si="195"/>
        <v>214.03195993330547</v>
      </c>
      <c r="AJ500" s="272">
        <f t="shared" si="208"/>
        <v>428</v>
      </c>
      <c r="AK500" s="272">
        <f t="shared" si="196"/>
        <v>214.03195993330547</v>
      </c>
      <c r="AL500" s="272">
        <f t="shared" si="209"/>
        <v>428</v>
      </c>
      <c r="AM500" s="272">
        <f t="shared" si="197"/>
        <v>214.03195993330547</v>
      </c>
      <c r="AN500" s="272">
        <f t="shared" si="210"/>
        <v>428</v>
      </c>
      <c r="AO500" s="272">
        <f t="shared" si="198"/>
        <v>214.03195993330547</v>
      </c>
      <c r="AP500" s="272">
        <f t="shared" si="211"/>
        <v>428</v>
      </c>
      <c r="AQ500" s="272">
        <f t="shared" si="199"/>
        <v>214.03195993330547</v>
      </c>
      <c r="AR500" s="272">
        <f t="shared" si="212"/>
        <v>428</v>
      </c>
      <c r="AS500" s="508">
        <f t="shared" si="200"/>
        <v>214.03195993330547</v>
      </c>
    </row>
    <row r="501" spans="1:45" ht="12.75" customHeight="1">
      <c r="A501" s="96">
        <f>IF(MAX($F$104:F501)=$G$99,$G$99,F501)</f>
        <v>15.906595441861038</v>
      </c>
      <c r="B501" s="481">
        <v>398</v>
      </c>
      <c r="C501" s="96">
        <f t="shared" si="191"/>
        <v>0.59699999999999687</v>
      </c>
      <c r="D501" s="96">
        <f t="shared" si="213"/>
        <v>221.73119984137048</v>
      </c>
      <c r="E501" s="96">
        <f t="shared" si="214"/>
        <v>1.4106706746641646E-11</v>
      </c>
      <c r="F501" s="96">
        <f t="shared" si="215"/>
        <v>3.4505576313393325E-9</v>
      </c>
      <c r="G501" s="96">
        <f t="shared" si="218"/>
        <v>-0.29799999654944237</v>
      </c>
      <c r="I501" s="96">
        <f t="shared" si="216"/>
        <v>0</v>
      </c>
      <c r="J501" s="96">
        <f t="shared" si="217"/>
        <v>0.59699999999999687</v>
      </c>
      <c r="X501" s="96">
        <f t="shared" si="201"/>
        <v>219</v>
      </c>
      <c r="Y501" s="96">
        <v>0.188</v>
      </c>
      <c r="Z501" s="272">
        <f t="shared" si="203"/>
        <v>219</v>
      </c>
      <c r="AA501" s="519">
        <f t="shared" si="204"/>
        <v>217.37544254720046</v>
      </c>
      <c r="AB501" s="516">
        <f t="shared" si="202"/>
        <v>434</v>
      </c>
      <c r="AC501" s="272">
        <f t="shared" si="192"/>
        <v>218.59291466804507</v>
      </c>
      <c r="AD501" s="272">
        <f t="shared" si="205"/>
        <v>436</v>
      </c>
      <c r="AE501" s="272">
        <f t="shared" si="193"/>
        <v>218.58730677065668</v>
      </c>
      <c r="AF501" s="272">
        <f t="shared" si="206"/>
        <v>436</v>
      </c>
      <c r="AG501" s="272">
        <f t="shared" si="194"/>
        <v>218.58730677065668</v>
      </c>
      <c r="AH501" s="272">
        <f t="shared" si="207"/>
        <v>436</v>
      </c>
      <c r="AI501" s="272">
        <f t="shared" si="195"/>
        <v>218.58730677065668</v>
      </c>
      <c r="AJ501" s="272">
        <f t="shared" si="208"/>
        <v>436</v>
      </c>
      <c r="AK501" s="272">
        <f t="shared" si="196"/>
        <v>218.58730677065668</v>
      </c>
      <c r="AL501" s="272">
        <f t="shared" si="209"/>
        <v>436</v>
      </c>
      <c r="AM501" s="272">
        <f t="shared" si="197"/>
        <v>218.58730677065668</v>
      </c>
      <c r="AN501" s="272">
        <f t="shared" si="210"/>
        <v>436</v>
      </c>
      <c r="AO501" s="272">
        <f t="shared" si="198"/>
        <v>218.58730677065668</v>
      </c>
      <c r="AP501" s="272">
        <f t="shared" si="211"/>
        <v>436</v>
      </c>
      <c r="AQ501" s="272">
        <f t="shared" si="199"/>
        <v>218.58730677065668</v>
      </c>
      <c r="AR501" s="272">
        <f t="shared" si="212"/>
        <v>436</v>
      </c>
      <c r="AS501" s="508">
        <f t="shared" si="200"/>
        <v>218.58730677065668</v>
      </c>
    </row>
    <row r="502" spans="1:45" ht="12.75" customHeight="1">
      <c r="A502" s="96">
        <f>IF(MAX($F$104:F502)=$G$99,$G$99,F502)</f>
        <v>15.906595441861038</v>
      </c>
      <c r="B502" s="481">
        <v>399</v>
      </c>
      <c r="C502" s="96">
        <f t="shared" si="191"/>
        <v>0.59849999999999681</v>
      </c>
      <c r="D502" s="96">
        <f t="shared" si="213"/>
        <v>222.84682675908448</v>
      </c>
      <c r="E502" s="96">
        <f t="shared" si="214"/>
        <v>1.0238120391349239E-11</v>
      </c>
      <c r="F502" s="96">
        <f t="shared" si="215"/>
        <v>2.5202172673056401E-9</v>
      </c>
      <c r="G502" s="96">
        <f t="shared" si="218"/>
        <v>-0.29799999747978273</v>
      </c>
      <c r="I502" s="96">
        <f t="shared" si="216"/>
        <v>0</v>
      </c>
      <c r="J502" s="96">
        <f t="shared" si="217"/>
        <v>0.59849999999999681</v>
      </c>
      <c r="X502" s="96">
        <f t="shared" si="201"/>
        <v>224</v>
      </c>
      <c r="Y502" s="96">
        <v>0.186</v>
      </c>
      <c r="Z502" s="272">
        <f t="shared" si="203"/>
        <v>224</v>
      </c>
      <c r="AA502" s="519">
        <f t="shared" si="204"/>
        <v>222.0753162616561</v>
      </c>
      <c r="AB502" s="516">
        <f t="shared" si="202"/>
        <v>444</v>
      </c>
      <c r="AC502" s="272">
        <f t="shared" si="192"/>
        <v>223.29098384246259</v>
      </c>
      <c r="AD502" s="272">
        <f t="shared" si="205"/>
        <v>446</v>
      </c>
      <c r="AE502" s="272">
        <f t="shared" si="193"/>
        <v>223.2855103108362</v>
      </c>
      <c r="AF502" s="272">
        <f t="shared" si="206"/>
        <v>446</v>
      </c>
      <c r="AG502" s="272">
        <f t="shared" si="194"/>
        <v>223.2855103108362</v>
      </c>
      <c r="AH502" s="272">
        <f t="shared" si="207"/>
        <v>446</v>
      </c>
      <c r="AI502" s="272">
        <f t="shared" si="195"/>
        <v>223.2855103108362</v>
      </c>
      <c r="AJ502" s="272">
        <f t="shared" si="208"/>
        <v>446</v>
      </c>
      <c r="AK502" s="272">
        <f t="shared" si="196"/>
        <v>223.2855103108362</v>
      </c>
      <c r="AL502" s="272">
        <f t="shared" si="209"/>
        <v>446</v>
      </c>
      <c r="AM502" s="272">
        <f t="shared" si="197"/>
        <v>223.2855103108362</v>
      </c>
      <c r="AN502" s="272">
        <f t="shared" si="210"/>
        <v>446</v>
      </c>
      <c r="AO502" s="272">
        <f t="shared" si="198"/>
        <v>223.2855103108362</v>
      </c>
      <c r="AP502" s="272">
        <f t="shared" si="211"/>
        <v>446</v>
      </c>
      <c r="AQ502" s="272">
        <f t="shared" si="199"/>
        <v>223.2855103108362</v>
      </c>
      <c r="AR502" s="272">
        <f t="shared" si="212"/>
        <v>446</v>
      </c>
      <c r="AS502" s="508">
        <f t="shared" si="200"/>
        <v>223.2855103108362</v>
      </c>
    </row>
    <row r="503" spans="1:45" ht="12.75" customHeight="1">
      <c r="A503" s="96">
        <f>IF(MAX($F$104:F503)=$G$99,$G$99,F503)</f>
        <v>15.906595441861038</v>
      </c>
      <c r="B503" s="96">
        <v>400</v>
      </c>
      <c r="C503" s="96">
        <f t="shared" si="191"/>
        <v>0.59999999999999676</v>
      </c>
      <c r="D503" s="96">
        <f t="shared" si="213"/>
        <v>223.965253242464</v>
      </c>
      <c r="E503" s="96">
        <f t="shared" si="214"/>
        <v>7.4158644440602996E-12</v>
      </c>
      <c r="F503" s="96">
        <f t="shared" si="215"/>
        <v>1.8370229484758162E-9</v>
      </c>
      <c r="G503" s="96">
        <f t="shared" si="218"/>
        <v>-0.29799999816297706</v>
      </c>
      <c r="I503" s="96">
        <f t="shared" si="216"/>
        <v>0</v>
      </c>
      <c r="J503" s="96">
        <f t="shared" si="217"/>
        <v>0.59999999999999676</v>
      </c>
      <c r="X503" s="96">
        <f t="shared" si="201"/>
        <v>229</v>
      </c>
      <c r="Y503" s="96">
        <v>0.184</v>
      </c>
      <c r="Z503" s="272">
        <f t="shared" si="203"/>
        <v>229</v>
      </c>
      <c r="AA503" s="519">
        <f t="shared" si="204"/>
        <v>226.92927816009725</v>
      </c>
      <c r="AB503" s="516">
        <f t="shared" si="202"/>
        <v>452</v>
      </c>
      <c r="AC503" s="272">
        <f t="shared" si="192"/>
        <v>228.14944241528266</v>
      </c>
      <c r="AD503" s="272">
        <f t="shared" si="205"/>
        <v>454</v>
      </c>
      <c r="AE503" s="272">
        <f t="shared" si="193"/>
        <v>228.14404582456794</v>
      </c>
      <c r="AF503" s="272">
        <f t="shared" si="206"/>
        <v>456</v>
      </c>
      <c r="AG503" s="272">
        <f t="shared" si="194"/>
        <v>228.13869675886332</v>
      </c>
      <c r="AH503" s="272">
        <f t="shared" si="207"/>
        <v>456</v>
      </c>
      <c r="AI503" s="272">
        <f t="shared" si="195"/>
        <v>228.13869675886332</v>
      </c>
      <c r="AJ503" s="272">
        <f t="shared" si="208"/>
        <v>456</v>
      </c>
      <c r="AK503" s="272">
        <f t="shared" si="196"/>
        <v>228.13869675886332</v>
      </c>
      <c r="AL503" s="272">
        <f t="shared" si="209"/>
        <v>456</v>
      </c>
      <c r="AM503" s="272">
        <f t="shared" si="197"/>
        <v>228.13869675886332</v>
      </c>
      <c r="AN503" s="272">
        <f t="shared" si="210"/>
        <v>456</v>
      </c>
      <c r="AO503" s="272">
        <f t="shared" si="198"/>
        <v>228.13869675886332</v>
      </c>
      <c r="AP503" s="272">
        <f t="shared" si="211"/>
        <v>456</v>
      </c>
      <c r="AQ503" s="272">
        <f t="shared" si="199"/>
        <v>228.13869675886332</v>
      </c>
      <c r="AR503" s="272">
        <f t="shared" si="212"/>
        <v>456</v>
      </c>
      <c r="AS503" s="508">
        <f t="shared" si="200"/>
        <v>228.13869675886332</v>
      </c>
    </row>
    <row r="504" spans="1:45" ht="12.75" customHeight="1">
      <c r="A504" s="96">
        <f>IF(MAX($F$104:F504)=$G$99,$G$99,F504)</f>
        <v>15.906595441861038</v>
      </c>
      <c r="B504" s="481">
        <v>401</v>
      </c>
      <c r="C504" s="96">
        <f t="shared" si="191"/>
        <v>0.6014999999999967</v>
      </c>
      <c r="D504" s="96">
        <f t="shared" si="213"/>
        <v>225.08647929150905</v>
      </c>
      <c r="E504" s="96">
        <f t="shared" si="214"/>
        <v>5.3610683157497266E-12</v>
      </c>
      <c r="F504" s="96">
        <f t="shared" si="215"/>
        <v>1.336350564975307E-9</v>
      </c>
      <c r="G504" s="96">
        <f t="shared" si="218"/>
        <v>-0.2979999986636494</v>
      </c>
      <c r="I504" s="96">
        <f t="shared" si="216"/>
        <v>0</v>
      </c>
      <c r="J504" s="96">
        <f t="shared" si="217"/>
        <v>0.6014999999999967</v>
      </c>
      <c r="X504" s="96">
        <f t="shared" si="201"/>
        <v>234</v>
      </c>
      <c r="Y504" s="96">
        <v>0.182</v>
      </c>
      <c r="Z504" s="272">
        <f t="shared" si="203"/>
        <v>234</v>
      </c>
      <c r="AA504" s="519">
        <f t="shared" si="204"/>
        <v>231.94413843099426</v>
      </c>
      <c r="AB504" s="516">
        <f t="shared" si="202"/>
        <v>462</v>
      </c>
      <c r="AC504" s="272">
        <f t="shared" si="192"/>
        <v>233.16416700384579</v>
      </c>
      <c r="AD504" s="272">
        <f t="shared" si="205"/>
        <v>464</v>
      </c>
      <c r="AE504" s="272">
        <f t="shared" si="193"/>
        <v>233.15888775325851</v>
      </c>
      <c r="AF504" s="272">
        <f t="shared" si="206"/>
        <v>466</v>
      </c>
      <c r="AG504" s="272">
        <f t="shared" si="194"/>
        <v>233.15365399281328</v>
      </c>
      <c r="AH504" s="272">
        <f t="shared" si="207"/>
        <v>466</v>
      </c>
      <c r="AI504" s="272">
        <f t="shared" si="195"/>
        <v>233.15365399281328</v>
      </c>
      <c r="AJ504" s="272">
        <f t="shared" si="208"/>
        <v>466</v>
      </c>
      <c r="AK504" s="272">
        <f t="shared" si="196"/>
        <v>233.15365399281328</v>
      </c>
      <c r="AL504" s="272">
        <f t="shared" si="209"/>
        <v>466</v>
      </c>
      <c r="AM504" s="272">
        <f t="shared" si="197"/>
        <v>233.15365399281328</v>
      </c>
      <c r="AN504" s="272">
        <f t="shared" si="210"/>
        <v>466</v>
      </c>
      <c r="AO504" s="272">
        <f t="shared" si="198"/>
        <v>233.15365399281328</v>
      </c>
      <c r="AP504" s="272">
        <f t="shared" si="211"/>
        <v>466</v>
      </c>
      <c r="AQ504" s="272">
        <f t="shared" si="199"/>
        <v>233.15365399281328</v>
      </c>
      <c r="AR504" s="272">
        <f t="shared" si="212"/>
        <v>466</v>
      </c>
      <c r="AS504" s="508">
        <f t="shared" si="200"/>
        <v>233.15365399281328</v>
      </c>
    </row>
    <row r="505" spans="1:45" ht="12.75" customHeight="1">
      <c r="A505" s="96">
        <f>IF(MAX($F$104:F505)=$G$99,$G$99,F505)</f>
        <v>15.906595441861038</v>
      </c>
      <c r="B505" s="481">
        <v>402</v>
      </c>
      <c r="C505" s="96">
        <f t="shared" si="191"/>
        <v>0.60299999999999665</v>
      </c>
      <c r="D505" s="96">
        <f t="shared" si="213"/>
        <v>226.21050490621963</v>
      </c>
      <c r="E505" s="96">
        <f t="shared" si="214"/>
        <v>3.8680310857187763E-12</v>
      </c>
      <c r="F505" s="96">
        <f t="shared" si="215"/>
        <v>9.701899076244063E-10</v>
      </c>
      <c r="G505" s="96">
        <f t="shared" si="218"/>
        <v>-0.29799999902981006</v>
      </c>
      <c r="I505" s="96">
        <f t="shared" si="216"/>
        <v>0</v>
      </c>
      <c r="J505" s="96">
        <f t="shared" si="217"/>
        <v>0.60299999999999665</v>
      </c>
      <c r="X505" s="96">
        <f t="shared" si="201"/>
        <v>239</v>
      </c>
      <c r="Y505" s="96">
        <v>0.18</v>
      </c>
      <c r="Z505" s="272">
        <f t="shared" si="203"/>
        <v>239</v>
      </c>
      <c r="AA505" s="519">
        <f t="shared" si="204"/>
        <v>237.12708769716835</v>
      </c>
      <c r="AB505" s="516">
        <f t="shared" si="202"/>
        <v>474</v>
      </c>
      <c r="AC505" s="272">
        <f t="shared" si="192"/>
        <v>238.34268110429647</v>
      </c>
      <c r="AD505" s="272">
        <f t="shared" si="205"/>
        <v>476</v>
      </c>
      <c r="AE505" s="272">
        <f t="shared" si="193"/>
        <v>238.33755414874366</v>
      </c>
      <c r="AF505" s="272">
        <f t="shared" si="206"/>
        <v>476</v>
      </c>
      <c r="AG505" s="272">
        <f t="shared" si="194"/>
        <v>238.33755414874366</v>
      </c>
      <c r="AH505" s="272">
        <f t="shared" si="207"/>
        <v>476</v>
      </c>
      <c r="AI505" s="272">
        <f t="shared" si="195"/>
        <v>238.33755414874366</v>
      </c>
      <c r="AJ505" s="272">
        <f t="shared" si="208"/>
        <v>476</v>
      </c>
      <c r="AK505" s="272">
        <f t="shared" si="196"/>
        <v>238.33755414874366</v>
      </c>
      <c r="AL505" s="272">
        <f t="shared" si="209"/>
        <v>476</v>
      </c>
      <c r="AM505" s="272">
        <f t="shared" si="197"/>
        <v>238.33755414874366</v>
      </c>
      <c r="AN505" s="272">
        <f t="shared" si="210"/>
        <v>476</v>
      </c>
      <c r="AO505" s="272">
        <f t="shared" si="198"/>
        <v>238.33755414874366</v>
      </c>
      <c r="AP505" s="272">
        <f t="shared" si="211"/>
        <v>476</v>
      </c>
      <c r="AQ505" s="272">
        <f t="shared" si="199"/>
        <v>238.33755414874366</v>
      </c>
      <c r="AR505" s="272">
        <f t="shared" si="212"/>
        <v>476</v>
      </c>
      <c r="AS505" s="508">
        <f t="shared" si="200"/>
        <v>238.33755414874366</v>
      </c>
    </row>
    <row r="506" spans="1:45" ht="12.75" customHeight="1">
      <c r="A506" s="96">
        <f>IF(MAX($F$104:F506)=$G$99,$G$99,F506)</f>
        <v>15.906595441861038</v>
      </c>
      <c r="B506" s="96">
        <v>403</v>
      </c>
      <c r="C506" s="96">
        <f t="shared" si="191"/>
        <v>0.6044999999999966</v>
      </c>
      <c r="D506" s="96">
        <f t="shared" si="213"/>
        <v>227.33733008659576</v>
      </c>
      <c r="E506" s="96">
        <f t="shared" si="214"/>
        <v>2.7853428972778512E-12</v>
      </c>
      <c r="F506" s="96">
        <f t="shared" si="215"/>
        <v>7.029508083602556E-10</v>
      </c>
      <c r="G506" s="96">
        <f t="shared" si="218"/>
        <v>-0.29799999929704918</v>
      </c>
      <c r="I506" s="96">
        <f t="shared" si="216"/>
        <v>0</v>
      </c>
      <c r="J506" s="96">
        <f t="shared" si="217"/>
        <v>0.6044999999999966</v>
      </c>
      <c r="X506" s="96">
        <f t="shared" si="201"/>
        <v>244</v>
      </c>
      <c r="Y506" s="96">
        <v>0.17799999999999999</v>
      </c>
      <c r="Z506" s="272">
        <f t="shared" si="203"/>
        <v>244</v>
      </c>
      <c r="AA506" s="519">
        <f t="shared" si="204"/>
        <v>242.48572280609309</v>
      </c>
      <c r="AB506" s="516">
        <f t="shared" si="202"/>
        <v>484</v>
      </c>
      <c r="AC506" s="272">
        <f t="shared" si="192"/>
        <v>243.7030072057286</v>
      </c>
      <c r="AD506" s="272">
        <f t="shared" si="205"/>
        <v>486</v>
      </c>
      <c r="AE506" s="272">
        <f t="shared" si="193"/>
        <v>243.69797914531537</v>
      </c>
      <c r="AF506" s="272">
        <f t="shared" si="206"/>
        <v>486</v>
      </c>
      <c r="AG506" s="272">
        <f t="shared" si="194"/>
        <v>243.69797914531537</v>
      </c>
      <c r="AH506" s="272">
        <f t="shared" si="207"/>
        <v>486</v>
      </c>
      <c r="AI506" s="272">
        <f t="shared" si="195"/>
        <v>243.69797914531537</v>
      </c>
      <c r="AJ506" s="272">
        <f t="shared" si="208"/>
        <v>486</v>
      </c>
      <c r="AK506" s="272">
        <f t="shared" si="196"/>
        <v>243.69797914531537</v>
      </c>
      <c r="AL506" s="272">
        <f t="shared" si="209"/>
        <v>486</v>
      </c>
      <c r="AM506" s="272">
        <f t="shared" si="197"/>
        <v>243.69797914531537</v>
      </c>
      <c r="AN506" s="272">
        <f t="shared" si="210"/>
        <v>486</v>
      </c>
      <c r="AO506" s="272">
        <f t="shared" si="198"/>
        <v>243.69797914531537</v>
      </c>
      <c r="AP506" s="272">
        <f t="shared" si="211"/>
        <v>486</v>
      </c>
      <c r="AQ506" s="272">
        <f t="shared" si="199"/>
        <v>243.69797914531537</v>
      </c>
      <c r="AR506" s="272">
        <f t="shared" si="212"/>
        <v>486</v>
      </c>
      <c r="AS506" s="508">
        <f t="shared" si="200"/>
        <v>243.69797914531537</v>
      </c>
    </row>
    <row r="507" spans="1:45" ht="12.75" customHeight="1">
      <c r="A507" s="96">
        <f>IF(MAX($F$104:F507)=$G$99,$G$99,F507)</f>
        <v>15.906595441861038</v>
      </c>
      <c r="B507" s="481">
        <v>404</v>
      </c>
      <c r="C507" s="96">
        <f t="shared" si="191"/>
        <v>0.60599999999999654</v>
      </c>
      <c r="D507" s="96">
        <f t="shared" si="213"/>
        <v>228.46695483263738</v>
      </c>
      <c r="E507" s="96">
        <f t="shared" si="214"/>
        <v>2.0017900015765046E-12</v>
      </c>
      <c r="F507" s="96">
        <f t="shared" si="215"/>
        <v>5.0830717308519238E-10</v>
      </c>
      <c r="G507" s="96">
        <f t="shared" si="218"/>
        <v>-0.29799999949169281</v>
      </c>
      <c r="I507" s="96">
        <f t="shared" si="216"/>
        <v>0</v>
      </c>
      <c r="J507" s="96">
        <f t="shared" si="217"/>
        <v>0.60599999999999654</v>
      </c>
      <c r="X507" s="96">
        <f t="shared" si="201"/>
        <v>250</v>
      </c>
      <c r="Y507" s="96">
        <v>0.17599999999999999</v>
      </c>
      <c r="Z507" s="272">
        <f t="shared" si="203"/>
        <v>250</v>
      </c>
      <c r="AA507" s="519">
        <f t="shared" si="204"/>
        <v>248.02807468324687</v>
      </c>
      <c r="AB507" s="516">
        <f t="shared" si="202"/>
        <v>496</v>
      </c>
      <c r="AC507" s="272">
        <f t="shared" si="192"/>
        <v>249.24294831345105</v>
      </c>
      <c r="AD507" s="272">
        <f t="shared" si="205"/>
        <v>498</v>
      </c>
      <c r="AE507" s="272">
        <f t="shared" si="193"/>
        <v>249.2380515616903</v>
      </c>
      <c r="AF507" s="272">
        <f t="shared" si="206"/>
        <v>498</v>
      </c>
      <c r="AG507" s="272">
        <f t="shared" si="194"/>
        <v>249.2380515616903</v>
      </c>
      <c r="AH507" s="272">
        <f t="shared" si="207"/>
        <v>498</v>
      </c>
      <c r="AI507" s="272">
        <f t="shared" si="195"/>
        <v>249.2380515616903</v>
      </c>
      <c r="AJ507" s="272">
        <f t="shared" si="208"/>
        <v>498</v>
      </c>
      <c r="AK507" s="272">
        <f t="shared" si="196"/>
        <v>249.2380515616903</v>
      </c>
      <c r="AL507" s="272">
        <f t="shared" si="209"/>
        <v>498</v>
      </c>
      <c r="AM507" s="272">
        <f t="shared" si="197"/>
        <v>249.2380515616903</v>
      </c>
      <c r="AN507" s="272">
        <f t="shared" si="210"/>
        <v>498</v>
      </c>
      <c r="AO507" s="272">
        <f t="shared" si="198"/>
        <v>249.2380515616903</v>
      </c>
      <c r="AP507" s="272">
        <f t="shared" si="211"/>
        <v>498</v>
      </c>
      <c r="AQ507" s="272">
        <f t="shared" si="199"/>
        <v>249.2380515616903</v>
      </c>
      <c r="AR507" s="272">
        <f t="shared" si="212"/>
        <v>498</v>
      </c>
      <c r="AS507" s="508">
        <f t="shared" si="200"/>
        <v>249.2380515616903</v>
      </c>
    </row>
    <row r="508" spans="1:45" ht="12.75" customHeight="1">
      <c r="A508" s="96">
        <f>IF(MAX($F$104:F508)=$G$99,$G$99,F508)</f>
        <v>15.906595441861038</v>
      </c>
      <c r="B508" s="481">
        <v>405</v>
      </c>
      <c r="C508" s="96">
        <f t="shared" si="191"/>
        <v>0.60749999999999649</v>
      </c>
      <c r="D508" s="96">
        <f t="shared" si="213"/>
        <v>229.59937914434457</v>
      </c>
      <c r="E508" s="96">
        <f t="shared" si="214"/>
        <v>1.4358548271401721E-12</v>
      </c>
      <c r="F508" s="96">
        <f t="shared" si="215"/>
        <v>3.6682754945215565E-10</v>
      </c>
      <c r="G508" s="96">
        <f t="shared" si="218"/>
        <v>-0.29799999963317242</v>
      </c>
      <c r="I508" s="96">
        <f t="shared" si="216"/>
        <v>0</v>
      </c>
      <c r="J508" s="96">
        <f t="shared" si="217"/>
        <v>0.60749999999999649</v>
      </c>
      <c r="X508" s="96">
        <f t="shared" si="201"/>
        <v>255</v>
      </c>
      <c r="Y508" s="96">
        <v>0.17399999999999999</v>
      </c>
      <c r="Z508" s="272">
        <f t="shared" si="203"/>
        <v>255</v>
      </c>
      <c r="AA508" s="519">
        <f t="shared" si="204"/>
        <v>253.76263843930025</v>
      </c>
      <c r="AB508" s="516">
        <f t="shared" si="202"/>
        <v>506</v>
      </c>
      <c r="AC508" s="272">
        <f t="shared" si="192"/>
        <v>254.98094831780344</v>
      </c>
      <c r="AD508" s="272">
        <f t="shared" si="205"/>
        <v>508</v>
      </c>
      <c r="AE508" s="272">
        <f t="shared" si="193"/>
        <v>254.97613472011363</v>
      </c>
      <c r="AF508" s="272">
        <f t="shared" si="206"/>
        <v>508</v>
      </c>
      <c r="AG508" s="272">
        <f t="shared" si="194"/>
        <v>254.97613472011363</v>
      </c>
      <c r="AH508" s="272">
        <f t="shared" si="207"/>
        <v>508</v>
      </c>
      <c r="AI508" s="272">
        <f t="shared" si="195"/>
        <v>254.97613472011363</v>
      </c>
      <c r="AJ508" s="272">
        <f t="shared" si="208"/>
        <v>508</v>
      </c>
      <c r="AK508" s="272">
        <f t="shared" si="196"/>
        <v>254.97613472011363</v>
      </c>
      <c r="AL508" s="272">
        <f t="shared" si="209"/>
        <v>508</v>
      </c>
      <c r="AM508" s="272">
        <f t="shared" si="197"/>
        <v>254.97613472011363</v>
      </c>
      <c r="AN508" s="272">
        <f t="shared" si="210"/>
        <v>508</v>
      </c>
      <c r="AO508" s="272">
        <f t="shared" si="198"/>
        <v>254.97613472011363</v>
      </c>
      <c r="AP508" s="272">
        <f t="shared" si="211"/>
        <v>508</v>
      </c>
      <c r="AQ508" s="272">
        <f t="shared" si="199"/>
        <v>254.97613472011363</v>
      </c>
      <c r="AR508" s="272">
        <f t="shared" si="212"/>
        <v>508</v>
      </c>
      <c r="AS508" s="508">
        <f t="shared" si="200"/>
        <v>254.97613472011363</v>
      </c>
    </row>
    <row r="509" spans="1:45" ht="12.75" customHeight="1">
      <c r="A509" s="96">
        <f>IF(MAX($F$104:F509)=$G$99,$G$99,F509)</f>
        <v>15.906595441861038</v>
      </c>
      <c r="B509" s="96">
        <v>406</v>
      </c>
      <c r="C509" s="96">
        <f t="shared" si="191"/>
        <v>0.60899999999999643</v>
      </c>
      <c r="D509" s="96">
        <f t="shared" si="213"/>
        <v>230.73460302171725</v>
      </c>
      <c r="E509" s="96">
        <f t="shared" si="214"/>
        <v>1.0279115517035248E-12</v>
      </c>
      <c r="F509" s="96">
        <f t="shared" si="215"/>
        <v>2.6420031109994312E-10</v>
      </c>
      <c r="G509" s="96">
        <f t="shared" si="218"/>
        <v>-0.29799999973579966</v>
      </c>
      <c r="I509" s="96">
        <f t="shared" si="216"/>
        <v>0</v>
      </c>
      <c r="J509" s="96">
        <f t="shared" si="217"/>
        <v>0.60899999999999643</v>
      </c>
      <c r="X509" s="96">
        <f t="shared" si="201"/>
        <v>261</v>
      </c>
      <c r="Y509" s="96">
        <v>0.17199999999999999</v>
      </c>
      <c r="Z509" s="272">
        <f t="shared" si="203"/>
        <v>261</v>
      </c>
      <c r="AA509" s="519">
        <f t="shared" si="204"/>
        <v>259.69840594200429</v>
      </c>
      <c r="AB509" s="516">
        <f t="shared" si="202"/>
        <v>518</v>
      </c>
      <c r="AC509" s="272">
        <f t="shared" si="192"/>
        <v>260.91622875800414</v>
      </c>
      <c r="AD509" s="272">
        <f t="shared" si="205"/>
        <v>520</v>
      </c>
      <c r="AE509" s="272">
        <f t="shared" si="193"/>
        <v>260.91152850361931</v>
      </c>
      <c r="AF509" s="272">
        <f t="shared" si="206"/>
        <v>520</v>
      </c>
      <c r="AG509" s="272">
        <f t="shared" si="194"/>
        <v>260.91152850361931</v>
      </c>
      <c r="AH509" s="272">
        <f t="shared" si="207"/>
        <v>520</v>
      </c>
      <c r="AI509" s="272">
        <f t="shared" si="195"/>
        <v>260.91152850361931</v>
      </c>
      <c r="AJ509" s="272">
        <f t="shared" si="208"/>
        <v>520</v>
      </c>
      <c r="AK509" s="272">
        <f t="shared" si="196"/>
        <v>260.91152850361931</v>
      </c>
      <c r="AL509" s="272">
        <f t="shared" si="209"/>
        <v>520</v>
      </c>
      <c r="AM509" s="272">
        <f t="shared" si="197"/>
        <v>260.91152850361931</v>
      </c>
      <c r="AN509" s="272">
        <f t="shared" si="210"/>
        <v>520</v>
      </c>
      <c r="AO509" s="272">
        <f t="shared" si="198"/>
        <v>260.91152850361931</v>
      </c>
      <c r="AP509" s="272">
        <f t="shared" si="211"/>
        <v>520</v>
      </c>
      <c r="AQ509" s="272">
        <f t="shared" si="199"/>
        <v>260.91152850361931</v>
      </c>
      <c r="AR509" s="272">
        <f t="shared" si="212"/>
        <v>520</v>
      </c>
      <c r="AS509" s="508">
        <f t="shared" si="200"/>
        <v>260.91152850361931</v>
      </c>
    </row>
    <row r="510" spans="1:45" ht="12.75" customHeight="1">
      <c r="A510" s="96">
        <f>IF(MAX($F$104:F510)=$G$99,$G$99,F510)</f>
        <v>15.906595441861038</v>
      </c>
      <c r="B510" s="481">
        <v>407</v>
      </c>
      <c r="C510" s="96">
        <f t="shared" si="191"/>
        <v>0.61049999999999638</v>
      </c>
      <c r="D510" s="96">
        <f t="shared" si="213"/>
        <v>231.87262646475551</v>
      </c>
      <c r="E510" s="96">
        <f t="shared" si="214"/>
        <v>7.3443807200757957E-13</v>
      </c>
      <c r="F510" s="96">
        <f t="shared" si="215"/>
        <v>1.8990729189654716E-10</v>
      </c>
      <c r="G510" s="96">
        <f t="shared" si="218"/>
        <v>-0.29799999981009268</v>
      </c>
      <c r="I510" s="96">
        <f t="shared" si="216"/>
        <v>0</v>
      </c>
      <c r="J510" s="96">
        <f t="shared" si="217"/>
        <v>0.61049999999999638</v>
      </c>
      <c r="X510" s="96">
        <f t="shared" si="201"/>
        <v>268</v>
      </c>
      <c r="Y510" s="96">
        <v>0.17</v>
      </c>
      <c r="Z510" s="272">
        <f t="shared" si="203"/>
        <v>268</v>
      </c>
      <c r="AA510" s="519">
        <f t="shared" si="204"/>
        <v>265.84490108609867</v>
      </c>
      <c r="AB510" s="516">
        <f t="shared" si="202"/>
        <v>530</v>
      </c>
      <c r="AC510" s="272">
        <f t="shared" si="192"/>
        <v>267.06322466250737</v>
      </c>
      <c r="AD510" s="272">
        <f t="shared" si="205"/>
        <v>532</v>
      </c>
      <c r="AE510" s="272">
        <f t="shared" si="193"/>
        <v>267.05862889470393</v>
      </c>
      <c r="AF510" s="272">
        <f t="shared" si="206"/>
        <v>534</v>
      </c>
      <c r="AG510" s="272">
        <f t="shared" si="194"/>
        <v>267.05406766801451</v>
      </c>
      <c r="AH510" s="272">
        <f t="shared" si="207"/>
        <v>534</v>
      </c>
      <c r="AI510" s="272">
        <f t="shared" si="195"/>
        <v>267.05406766801451</v>
      </c>
      <c r="AJ510" s="272">
        <f t="shared" si="208"/>
        <v>534</v>
      </c>
      <c r="AK510" s="272">
        <f t="shared" si="196"/>
        <v>267.05406766801451</v>
      </c>
      <c r="AL510" s="272">
        <f t="shared" si="209"/>
        <v>534</v>
      </c>
      <c r="AM510" s="272">
        <f t="shared" si="197"/>
        <v>267.05406766801451</v>
      </c>
      <c r="AN510" s="272">
        <f t="shared" si="210"/>
        <v>534</v>
      </c>
      <c r="AO510" s="272">
        <f t="shared" si="198"/>
        <v>267.05406766801451</v>
      </c>
      <c r="AP510" s="272">
        <f t="shared" si="211"/>
        <v>534</v>
      </c>
      <c r="AQ510" s="272">
        <f t="shared" si="199"/>
        <v>267.05406766801451</v>
      </c>
      <c r="AR510" s="272">
        <f t="shared" si="212"/>
        <v>534</v>
      </c>
      <c r="AS510" s="508">
        <f t="shared" si="200"/>
        <v>267.05406766801451</v>
      </c>
    </row>
    <row r="511" spans="1:45" ht="12.75" customHeight="1">
      <c r="A511" s="96">
        <f>IF(MAX($F$104:F511)=$G$99,$G$99,F511)</f>
        <v>15.906595441861038</v>
      </c>
      <c r="B511" s="481">
        <v>408</v>
      </c>
      <c r="C511" s="96">
        <f t="shared" si="191"/>
        <v>0.61199999999999632</v>
      </c>
      <c r="D511" s="96">
        <f t="shared" si="213"/>
        <v>233.01344947345925</v>
      </c>
      <c r="E511" s="96">
        <f t="shared" si="214"/>
        <v>5.2373290065074465E-13</v>
      </c>
      <c r="F511" s="96">
        <f t="shared" si="215"/>
        <v>1.3623482728716116E-10</v>
      </c>
      <c r="G511" s="96">
        <f t="shared" si="218"/>
        <v>-0.29799999986376519</v>
      </c>
      <c r="I511" s="96">
        <f t="shared" si="216"/>
        <v>0</v>
      </c>
      <c r="J511" s="96">
        <f t="shared" si="217"/>
        <v>0.61199999999999632</v>
      </c>
      <c r="X511" s="96">
        <f t="shared" si="201"/>
        <v>274</v>
      </c>
      <c r="Y511" s="96">
        <v>0.16800000000000001</v>
      </c>
      <c r="Z511" s="272">
        <f t="shared" si="203"/>
        <v>274</v>
      </c>
      <c r="AA511" s="519">
        <f t="shared" si="204"/>
        <v>272.21221801970847</v>
      </c>
      <c r="AB511" s="516">
        <f t="shared" si="202"/>
        <v>544</v>
      </c>
      <c r="AC511" s="272">
        <f t="shared" si="192"/>
        <v>273.42751010679103</v>
      </c>
      <c r="AD511" s="272">
        <f t="shared" si="205"/>
        <v>546</v>
      </c>
      <c r="AE511" s="272">
        <f t="shared" si="193"/>
        <v>273.42304370449239</v>
      </c>
      <c r="AF511" s="272">
        <f t="shared" si="206"/>
        <v>546</v>
      </c>
      <c r="AG511" s="272">
        <f t="shared" si="194"/>
        <v>273.42304370449239</v>
      </c>
      <c r="AH511" s="272">
        <f t="shared" si="207"/>
        <v>546</v>
      </c>
      <c r="AI511" s="272">
        <f t="shared" si="195"/>
        <v>273.42304370449239</v>
      </c>
      <c r="AJ511" s="272">
        <f t="shared" si="208"/>
        <v>546</v>
      </c>
      <c r="AK511" s="272">
        <f t="shared" si="196"/>
        <v>273.42304370449239</v>
      </c>
      <c r="AL511" s="272">
        <f t="shared" si="209"/>
        <v>546</v>
      </c>
      <c r="AM511" s="272">
        <f t="shared" si="197"/>
        <v>273.42304370449239</v>
      </c>
      <c r="AN511" s="272">
        <f t="shared" si="210"/>
        <v>546</v>
      </c>
      <c r="AO511" s="272">
        <f t="shared" si="198"/>
        <v>273.42304370449239</v>
      </c>
      <c r="AP511" s="272">
        <f t="shared" si="211"/>
        <v>546</v>
      </c>
      <c r="AQ511" s="272">
        <f t="shared" si="199"/>
        <v>273.42304370449239</v>
      </c>
      <c r="AR511" s="272">
        <f t="shared" si="212"/>
        <v>546</v>
      </c>
      <c r="AS511" s="508">
        <f t="shared" si="200"/>
        <v>273.42304370449239</v>
      </c>
    </row>
    <row r="512" spans="1:45" ht="12.75" customHeight="1">
      <c r="A512" s="96">
        <f>IF(MAX($F$104:F512)=$G$99,$G$99,F512)</f>
        <v>15.906595441861038</v>
      </c>
      <c r="B512" s="96">
        <v>409</v>
      </c>
      <c r="C512" s="96">
        <f t="shared" si="191"/>
        <v>0.61349999999999627</v>
      </c>
      <c r="D512" s="96">
        <f t="shared" si="213"/>
        <v>234.15707204782856</v>
      </c>
      <c r="E512" s="96">
        <f t="shared" si="214"/>
        <v>3.7275268982927562E-13</v>
      </c>
      <c r="F512" s="96">
        <f t="shared" si="215"/>
        <v>9.7538053083235063E-11</v>
      </c>
      <c r="G512" s="96">
        <f t="shared" si="218"/>
        <v>-0.29799999990246195</v>
      </c>
      <c r="I512" s="96">
        <f t="shared" si="216"/>
        <v>0</v>
      </c>
      <c r="J512" s="96">
        <f t="shared" si="217"/>
        <v>0.61349999999999627</v>
      </c>
      <c r="X512" s="96">
        <f t="shared" si="201"/>
        <v>281</v>
      </c>
      <c r="Y512" s="96">
        <v>0.16600000000000001</v>
      </c>
      <c r="Z512" s="272">
        <f t="shared" si="203"/>
        <v>281</v>
      </c>
      <c r="AA512" s="519">
        <f t="shared" si="204"/>
        <v>278.81106261388641</v>
      </c>
      <c r="AB512" s="516">
        <f t="shared" si="202"/>
        <v>556</v>
      </c>
      <c r="AC512" s="272">
        <f t="shared" si="192"/>
        <v>280.02886247427045</v>
      </c>
      <c r="AD512" s="272">
        <f t="shared" si="205"/>
        <v>558</v>
      </c>
      <c r="AE512" s="272">
        <f t="shared" si="193"/>
        <v>280.02448341215074</v>
      </c>
      <c r="AF512" s="272">
        <f t="shared" si="206"/>
        <v>560</v>
      </c>
      <c r="AG512" s="272">
        <f t="shared" si="194"/>
        <v>280.02013572947942</v>
      </c>
      <c r="AH512" s="272">
        <f t="shared" si="207"/>
        <v>560</v>
      </c>
      <c r="AI512" s="272">
        <f t="shared" si="195"/>
        <v>280.02013572947942</v>
      </c>
      <c r="AJ512" s="272">
        <f t="shared" si="208"/>
        <v>560</v>
      </c>
      <c r="AK512" s="272">
        <f t="shared" si="196"/>
        <v>280.02013572947942</v>
      </c>
      <c r="AL512" s="272">
        <f t="shared" si="209"/>
        <v>560</v>
      </c>
      <c r="AM512" s="272">
        <f t="shared" si="197"/>
        <v>280.02013572947942</v>
      </c>
      <c r="AN512" s="272">
        <f t="shared" si="210"/>
        <v>560</v>
      </c>
      <c r="AO512" s="272">
        <f t="shared" si="198"/>
        <v>280.02013572947942</v>
      </c>
      <c r="AP512" s="272">
        <f t="shared" si="211"/>
        <v>560</v>
      </c>
      <c r="AQ512" s="272">
        <f t="shared" si="199"/>
        <v>280.02013572947942</v>
      </c>
      <c r="AR512" s="272">
        <f t="shared" si="212"/>
        <v>560</v>
      </c>
      <c r="AS512" s="508">
        <f t="shared" si="200"/>
        <v>280.02013572947942</v>
      </c>
    </row>
    <row r="513" spans="1:45" ht="12.75" customHeight="1">
      <c r="A513" s="96">
        <f>IF(MAX($F$104:F513)=$G$99,$G$99,F513)</f>
        <v>15.906595441861038</v>
      </c>
      <c r="B513" s="481">
        <v>410</v>
      </c>
      <c r="C513" s="96">
        <f t="shared" si="191"/>
        <v>0.61499999999999622</v>
      </c>
      <c r="D513" s="96">
        <f t="shared" si="213"/>
        <v>235.30349418786341</v>
      </c>
      <c r="E513" s="96">
        <f t="shared" si="214"/>
        <v>2.6478231724392588E-13</v>
      </c>
      <c r="F513" s="96">
        <f t="shared" si="215"/>
        <v>6.969484978725658E-11</v>
      </c>
      <c r="G513" s="96">
        <f t="shared" si="218"/>
        <v>-0.29799999993030513</v>
      </c>
      <c r="I513" s="96">
        <f t="shared" si="216"/>
        <v>0</v>
      </c>
      <c r="J513" s="96">
        <f t="shared" si="217"/>
        <v>0.61499999999999622</v>
      </c>
      <c r="X513" s="96">
        <f t="shared" si="201"/>
        <v>287</v>
      </c>
      <c r="Y513" s="96">
        <v>0.16400000000000001</v>
      </c>
      <c r="Z513" s="272">
        <f t="shared" si="203"/>
        <v>287</v>
      </c>
      <c r="AA513" s="519">
        <f t="shared" si="204"/>
        <v>285.65279749361446</v>
      </c>
      <c r="AB513" s="516">
        <f t="shared" si="202"/>
        <v>570</v>
      </c>
      <c r="AC513" s="272">
        <f t="shared" si="192"/>
        <v>286.86973851855862</v>
      </c>
      <c r="AD513" s="272">
        <f t="shared" si="205"/>
        <v>572</v>
      </c>
      <c r="AE513" s="272">
        <f t="shared" si="193"/>
        <v>286.86546998195354</v>
      </c>
      <c r="AF513" s="272">
        <f t="shared" si="206"/>
        <v>572</v>
      </c>
      <c r="AG513" s="272">
        <f t="shared" si="194"/>
        <v>286.86546998195354</v>
      </c>
      <c r="AH513" s="272">
        <f t="shared" si="207"/>
        <v>572</v>
      </c>
      <c r="AI513" s="272">
        <f t="shared" si="195"/>
        <v>286.86546998195354</v>
      </c>
      <c r="AJ513" s="272">
        <f t="shared" si="208"/>
        <v>572</v>
      </c>
      <c r="AK513" s="272">
        <f t="shared" si="196"/>
        <v>286.86546998195354</v>
      </c>
      <c r="AL513" s="272">
        <f t="shared" si="209"/>
        <v>572</v>
      </c>
      <c r="AM513" s="272">
        <f t="shared" si="197"/>
        <v>286.86546998195354</v>
      </c>
      <c r="AN513" s="272">
        <f t="shared" si="210"/>
        <v>572</v>
      </c>
      <c r="AO513" s="272">
        <f t="shared" si="198"/>
        <v>286.86546998195354</v>
      </c>
      <c r="AP513" s="272">
        <f t="shared" si="211"/>
        <v>572</v>
      </c>
      <c r="AQ513" s="272">
        <f t="shared" si="199"/>
        <v>286.86546998195354</v>
      </c>
      <c r="AR513" s="272">
        <f t="shared" si="212"/>
        <v>572</v>
      </c>
      <c r="AS513" s="508">
        <f t="shared" si="200"/>
        <v>286.86546998195354</v>
      </c>
    </row>
    <row r="514" spans="1:45" ht="12.75" customHeight="1">
      <c r="A514" s="96">
        <f>IF(MAX($F$104:F514)=$G$99,$G$99,F514)</f>
        <v>15.906595441861038</v>
      </c>
      <c r="B514" s="481">
        <v>411</v>
      </c>
      <c r="C514" s="96">
        <f t="shared" si="191"/>
        <v>0.61649999999999616</v>
      </c>
      <c r="D514" s="96">
        <f t="shared" si="213"/>
        <v>236.45271589356375</v>
      </c>
      <c r="E514" s="96">
        <f t="shared" si="214"/>
        <v>1.8772211517284219E-13</v>
      </c>
      <c r="F514" s="96">
        <f t="shared" si="215"/>
        <v>4.9701464112767787E-11</v>
      </c>
      <c r="G514" s="96">
        <f t="shared" si="218"/>
        <v>-0.29799999995029852</v>
      </c>
      <c r="I514" s="96">
        <f t="shared" si="216"/>
        <v>0</v>
      </c>
      <c r="J514" s="96">
        <f t="shared" si="217"/>
        <v>0.61649999999999616</v>
      </c>
      <c r="X514" s="96">
        <f t="shared" si="201"/>
        <v>294</v>
      </c>
      <c r="Y514" s="96">
        <v>0.16200000000000001</v>
      </c>
      <c r="Z514" s="272">
        <f t="shared" si="203"/>
        <v>294</v>
      </c>
      <c r="AA514" s="519">
        <f t="shared" si="204"/>
        <v>292.7494909841584</v>
      </c>
      <c r="AB514" s="516">
        <f t="shared" si="202"/>
        <v>584</v>
      </c>
      <c r="AC514" s="272">
        <f t="shared" si="192"/>
        <v>293.96667449030764</v>
      </c>
      <c r="AD514" s="272">
        <f t="shared" si="205"/>
        <v>586</v>
      </c>
      <c r="AE514" s="272">
        <f t="shared" si="193"/>
        <v>293.96250741145889</v>
      </c>
      <c r="AF514" s="272">
        <f t="shared" si="206"/>
        <v>586</v>
      </c>
      <c r="AG514" s="272">
        <f t="shared" si="194"/>
        <v>293.96250741145889</v>
      </c>
      <c r="AH514" s="272">
        <f t="shared" si="207"/>
        <v>586</v>
      </c>
      <c r="AI514" s="272">
        <f t="shared" si="195"/>
        <v>293.96250741145889</v>
      </c>
      <c r="AJ514" s="272">
        <f t="shared" si="208"/>
        <v>586</v>
      </c>
      <c r="AK514" s="272">
        <f t="shared" si="196"/>
        <v>293.96250741145889</v>
      </c>
      <c r="AL514" s="272">
        <f t="shared" si="209"/>
        <v>586</v>
      </c>
      <c r="AM514" s="272">
        <f t="shared" si="197"/>
        <v>293.96250741145889</v>
      </c>
      <c r="AN514" s="272">
        <f t="shared" si="210"/>
        <v>586</v>
      </c>
      <c r="AO514" s="272">
        <f t="shared" si="198"/>
        <v>293.96250741145889</v>
      </c>
      <c r="AP514" s="272">
        <f t="shared" si="211"/>
        <v>586</v>
      </c>
      <c r="AQ514" s="272">
        <f t="shared" si="199"/>
        <v>293.96250741145889</v>
      </c>
      <c r="AR514" s="272">
        <f t="shared" si="212"/>
        <v>586</v>
      </c>
      <c r="AS514" s="508">
        <f t="shared" si="200"/>
        <v>293.96250741145889</v>
      </c>
    </row>
    <row r="515" spans="1:45" ht="12.75" customHeight="1">
      <c r="A515" s="96">
        <f>IF(MAX($F$104:F515)=$G$99,$G$99,F515)</f>
        <v>15.906595441861038</v>
      </c>
      <c r="B515" s="96">
        <v>412</v>
      </c>
      <c r="C515" s="96">
        <f t="shared" ref="C515:C578" si="219">C514+$C$99</f>
        <v>0.61799999999999611</v>
      </c>
      <c r="D515" s="96">
        <f t="shared" si="213"/>
        <v>237.60473716492965</v>
      </c>
      <c r="E515" s="96">
        <f t="shared" si="214"/>
        <v>1.3283152756401137E-13</v>
      </c>
      <c r="F515" s="96">
        <f t="shared" si="215"/>
        <v>3.5373724345075363E-11</v>
      </c>
      <c r="G515" s="96">
        <f t="shared" si="218"/>
        <v>-0.29799999996462628</v>
      </c>
      <c r="I515" s="96">
        <f t="shared" si="216"/>
        <v>0</v>
      </c>
      <c r="J515" s="96">
        <f t="shared" si="217"/>
        <v>0.61799999999999611</v>
      </c>
      <c r="X515" s="96">
        <f t="shared" si="201"/>
        <v>302</v>
      </c>
      <c r="Y515" s="96">
        <v>0.16</v>
      </c>
      <c r="Z515" s="272">
        <f t="shared" si="203"/>
        <v>302</v>
      </c>
      <c r="AA515" s="519">
        <f t="shared" si="204"/>
        <v>300.11397036672872</v>
      </c>
      <c r="AB515" s="516">
        <f t="shared" si="202"/>
        <v>600</v>
      </c>
      <c r="AC515" s="272">
        <f t="shared" si="192"/>
        <v>301.32839819972276</v>
      </c>
      <c r="AD515" s="272">
        <f t="shared" si="205"/>
        <v>602</v>
      </c>
      <c r="AE515" s="272">
        <f t="shared" si="193"/>
        <v>301.3243513832586</v>
      </c>
      <c r="AF515" s="272">
        <f t="shared" si="206"/>
        <v>602</v>
      </c>
      <c r="AG515" s="272">
        <f t="shared" si="194"/>
        <v>301.3243513832586</v>
      </c>
      <c r="AH515" s="272">
        <f t="shared" si="207"/>
        <v>602</v>
      </c>
      <c r="AI515" s="272">
        <f t="shared" si="195"/>
        <v>301.3243513832586</v>
      </c>
      <c r="AJ515" s="272">
        <f t="shared" si="208"/>
        <v>602</v>
      </c>
      <c r="AK515" s="272">
        <f t="shared" si="196"/>
        <v>301.3243513832586</v>
      </c>
      <c r="AL515" s="272">
        <f t="shared" si="209"/>
        <v>602</v>
      </c>
      <c r="AM515" s="272">
        <f t="shared" si="197"/>
        <v>301.3243513832586</v>
      </c>
      <c r="AN515" s="272">
        <f t="shared" si="210"/>
        <v>602</v>
      </c>
      <c r="AO515" s="272">
        <f t="shared" si="198"/>
        <v>301.3243513832586</v>
      </c>
      <c r="AP515" s="272">
        <f t="shared" si="211"/>
        <v>602</v>
      </c>
      <c r="AQ515" s="272">
        <f t="shared" si="199"/>
        <v>301.3243513832586</v>
      </c>
      <c r="AR515" s="272">
        <f t="shared" si="212"/>
        <v>602</v>
      </c>
      <c r="AS515" s="508">
        <f t="shared" si="200"/>
        <v>301.3243513832586</v>
      </c>
    </row>
    <row r="516" spans="1:45" ht="12.75" customHeight="1">
      <c r="A516" s="96">
        <f>IF(MAX($F$104:F516)=$G$99,$G$99,F516)</f>
        <v>15.906595441861038</v>
      </c>
      <c r="B516" s="481">
        <v>413</v>
      </c>
      <c r="C516" s="96">
        <f t="shared" si="219"/>
        <v>0.61949999999999605</v>
      </c>
      <c r="D516" s="96">
        <f t="shared" si="213"/>
        <v>238.75955800196104</v>
      </c>
      <c r="E516" s="96">
        <f t="shared" si="214"/>
        <v>9.3809572663792545E-14</v>
      </c>
      <c r="F516" s="96">
        <f t="shared" si="215"/>
        <v>2.5126772542212858E-11</v>
      </c>
      <c r="G516" s="96">
        <f t="shared" si="218"/>
        <v>-0.2979999999748732</v>
      </c>
      <c r="I516" s="96">
        <f t="shared" si="216"/>
        <v>0</v>
      </c>
      <c r="J516" s="96">
        <f t="shared" si="217"/>
        <v>0.61949999999999605</v>
      </c>
      <c r="X516" s="96">
        <f t="shared" si="201"/>
        <v>309</v>
      </c>
      <c r="Y516" s="96">
        <v>0.158</v>
      </c>
      <c r="Z516" s="272">
        <f t="shared" si="203"/>
        <v>309</v>
      </c>
      <c r="AA516" s="519">
        <f t="shared" si="204"/>
        <v>307.75987988256105</v>
      </c>
      <c r="AB516" s="516">
        <f t="shared" si="202"/>
        <v>614</v>
      </c>
      <c r="AC516" s="272">
        <f t="shared" si="192"/>
        <v>308.97676730271661</v>
      </c>
      <c r="AD516" s="272">
        <f t="shared" si="205"/>
        <v>616</v>
      </c>
      <c r="AE516" s="272">
        <f t="shared" si="193"/>
        <v>308.97280471516228</v>
      </c>
      <c r="AF516" s="272">
        <f t="shared" si="206"/>
        <v>616</v>
      </c>
      <c r="AG516" s="272">
        <f t="shared" si="194"/>
        <v>308.97280471516228</v>
      </c>
      <c r="AH516" s="272">
        <f t="shared" si="207"/>
        <v>616</v>
      </c>
      <c r="AI516" s="272">
        <f t="shared" si="195"/>
        <v>308.97280471516228</v>
      </c>
      <c r="AJ516" s="272">
        <f t="shared" si="208"/>
        <v>616</v>
      </c>
      <c r="AK516" s="272">
        <f t="shared" si="196"/>
        <v>308.97280471516228</v>
      </c>
      <c r="AL516" s="272">
        <f t="shared" si="209"/>
        <v>616</v>
      </c>
      <c r="AM516" s="272">
        <f t="shared" si="197"/>
        <v>308.97280471516228</v>
      </c>
      <c r="AN516" s="272">
        <f t="shared" si="210"/>
        <v>616</v>
      </c>
      <c r="AO516" s="272">
        <f t="shared" si="198"/>
        <v>308.97280471516228</v>
      </c>
      <c r="AP516" s="272">
        <f t="shared" si="211"/>
        <v>616</v>
      </c>
      <c r="AQ516" s="272">
        <f t="shared" si="199"/>
        <v>308.97280471516228</v>
      </c>
      <c r="AR516" s="272">
        <f t="shared" si="212"/>
        <v>616</v>
      </c>
      <c r="AS516" s="508">
        <f t="shared" si="200"/>
        <v>308.97280471516228</v>
      </c>
    </row>
    <row r="517" spans="1:45" ht="12.75" customHeight="1">
      <c r="A517" s="96">
        <f>IF(MAX($F$104:F517)=$G$99,$G$99,F517)</f>
        <v>15.906595441861038</v>
      </c>
      <c r="B517" s="481">
        <v>414</v>
      </c>
      <c r="C517" s="96">
        <f t="shared" si="219"/>
        <v>0.620999999999996</v>
      </c>
      <c r="D517" s="96">
        <f t="shared" si="213"/>
        <v>239.91717840465799</v>
      </c>
      <c r="E517" s="96">
        <f t="shared" si="214"/>
        <v>6.6123281876720594E-14</v>
      </c>
      <c r="F517" s="96">
        <f t="shared" si="215"/>
        <v>1.7813044172851519E-11</v>
      </c>
      <c r="G517" s="96">
        <f t="shared" si="218"/>
        <v>-0.29799999998218696</v>
      </c>
      <c r="I517" s="96">
        <f t="shared" si="216"/>
        <v>0</v>
      </c>
      <c r="J517" s="96">
        <f t="shared" si="217"/>
        <v>0.620999999999996</v>
      </c>
      <c r="X517" s="96">
        <f t="shared" si="201"/>
        <v>317</v>
      </c>
      <c r="Y517" s="96">
        <v>0.156</v>
      </c>
      <c r="Z517" s="272">
        <f t="shared" si="203"/>
        <v>317</v>
      </c>
      <c r="AA517" s="519">
        <f t="shared" si="204"/>
        <v>315.70174397551995</v>
      </c>
      <c r="AB517" s="516">
        <f t="shared" si="202"/>
        <v>630</v>
      </c>
      <c r="AC517" s="272">
        <f t="shared" si="192"/>
        <v>316.91823960111049</v>
      </c>
      <c r="AD517" s="272">
        <f t="shared" si="205"/>
        <v>632</v>
      </c>
      <c r="AE517" s="272">
        <f t="shared" si="193"/>
        <v>316.91437885729869</v>
      </c>
      <c r="AF517" s="272">
        <f t="shared" si="206"/>
        <v>632</v>
      </c>
      <c r="AG517" s="272">
        <f t="shared" si="194"/>
        <v>316.91437885729869</v>
      </c>
      <c r="AH517" s="272">
        <f t="shared" si="207"/>
        <v>632</v>
      </c>
      <c r="AI517" s="272">
        <f t="shared" si="195"/>
        <v>316.91437885729869</v>
      </c>
      <c r="AJ517" s="272">
        <f t="shared" si="208"/>
        <v>632</v>
      </c>
      <c r="AK517" s="272">
        <f t="shared" si="196"/>
        <v>316.91437885729869</v>
      </c>
      <c r="AL517" s="272">
        <f t="shared" si="209"/>
        <v>632</v>
      </c>
      <c r="AM517" s="272">
        <f t="shared" si="197"/>
        <v>316.91437885729869</v>
      </c>
      <c r="AN517" s="272">
        <f t="shared" si="210"/>
        <v>632</v>
      </c>
      <c r="AO517" s="272">
        <f t="shared" si="198"/>
        <v>316.91437885729869</v>
      </c>
      <c r="AP517" s="272">
        <f t="shared" si="211"/>
        <v>632</v>
      </c>
      <c r="AQ517" s="272">
        <f t="shared" si="199"/>
        <v>316.91437885729869</v>
      </c>
      <c r="AR517" s="272">
        <f t="shared" si="212"/>
        <v>632</v>
      </c>
      <c r="AS517" s="508">
        <f t="shared" si="200"/>
        <v>316.91437885729869</v>
      </c>
    </row>
    <row r="518" spans="1:45" ht="12.75" customHeight="1">
      <c r="A518" s="96">
        <f>IF(MAX($F$104:F518)=$G$99,$G$99,F518)</f>
        <v>15.906595441861038</v>
      </c>
      <c r="B518" s="96">
        <v>415</v>
      </c>
      <c r="C518" s="96">
        <f t="shared" si="219"/>
        <v>0.62249999999999595</v>
      </c>
      <c r="D518" s="96">
        <f t="shared" si="213"/>
        <v>241.07759837302046</v>
      </c>
      <c r="E518" s="96">
        <f t="shared" si="214"/>
        <v>4.651830494825753E-14</v>
      </c>
      <c r="F518" s="96">
        <f t="shared" si="215"/>
        <v>1.2603358416091394E-11</v>
      </c>
      <c r="G518" s="96">
        <f t="shared" si="218"/>
        <v>-0.29799999998739662</v>
      </c>
      <c r="I518" s="96">
        <f t="shared" si="216"/>
        <v>0</v>
      </c>
      <c r="J518" s="96">
        <f t="shared" si="217"/>
        <v>0.62249999999999595</v>
      </c>
      <c r="X518" s="96">
        <f t="shared" si="201"/>
        <v>326</v>
      </c>
      <c r="Y518" s="96">
        <v>0.154</v>
      </c>
      <c r="Z518" s="272">
        <f t="shared" si="203"/>
        <v>326</v>
      </c>
      <c r="AA518" s="519">
        <f t="shared" si="204"/>
        <v>323.95503632097547</v>
      </c>
      <c r="AB518" s="516">
        <f t="shared" si="202"/>
        <v>646</v>
      </c>
      <c r="AC518" s="272">
        <f t="shared" si="192"/>
        <v>325.17234714142967</v>
      </c>
      <c r="AD518" s="272">
        <f t="shared" si="205"/>
        <v>648</v>
      </c>
      <c r="AE518" s="272">
        <f t="shared" si="193"/>
        <v>325.16857953100919</v>
      </c>
      <c r="AF518" s="272">
        <f t="shared" si="206"/>
        <v>650</v>
      </c>
      <c r="AG518" s="272">
        <f t="shared" si="194"/>
        <v>325.16483516999784</v>
      </c>
      <c r="AH518" s="272">
        <f t="shared" si="207"/>
        <v>650</v>
      </c>
      <c r="AI518" s="272">
        <f t="shared" si="195"/>
        <v>325.16483516999784</v>
      </c>
      <c r="AJ518" s="272">
        <f t="shared" si="208"/>
        <v>650</v>
      </c>
      <c r="AK518" s="272">
        <f t="shared" si="196"/>
        <v>325.16483516999784</v>
      </c>
      <c r="AL518" s="272">
        <f t="shared" si="209"/>
        <v>650</v>
      </c>
      <c r="AM518" s="272">
        <f t="shared" si="197"/>
        <v>325.16483516999784</v>
      </c>
      <c r="AN518" s="272">
        <f t="shared" si="210"/>
        <v>650</v>
      </c>
      <c r="AO518" s="272">
        <f t="shared" si="198"/>
        <v>325.16483516999784</v>
      </c>
      <c r="AP518" s="272">
        <f t="shared" si="211"/>
        <v>650</v>
      </c>
      <c r="AQ518" s="272">
        <f t="shared" si="199"/>
        <v>325.16483516999784</v>
      </c>
      <c r="AR518" s="272">
        <f t="shared" si="212"/>
        <v>650</v>
      </c>
      <c r="AS518" s="508">
        <f t="shared" si="200"/>
        <v>325.16483516999784</v>
      </c>
    </row>
    <row r="519" spans="1:45" ht="12.75" customHeight="1">
      <c r="A519" s="96">
        <f>IF(MAX($F$104:F519)=$G$99,$G$99,F519)</f>
        <v>15.906595441861038</v>
      </c>
      <c r="B519" s="481">
        <v>416</v>
      </c>
      <c r="C519" s="96">
        <f t="shared" si="219"/>
        <v>0.62399999999999589</v>
      </c>
      <c r="D519" s="96">
        <f t="shared" si="213"/>
        <v>242.24081790704849</v>
      </c>
      <c r="E519" s="96">
        <f t="shared" si="214"/>
        <v>3.2663038294177066E-14</v>
      </c>
      <c r="F519" s="96">
        <f t="shared" si="215"/>
        <v>8.8998424031495039E-12</v>
      </c>
      <c r="G519" s="96">
        <f t="shared" si="218"/>
        <v>-0.29799999999110016</v>
      </c>
      <c r="I519" s="96">
        <f t="shared" si="216"/>
        <v>0</v>
      </c>
      <c r="J519" s="96">
        <f t="shared" si="217"/>
        <v>0.62399999999999589</v>
      </c>
      <c r="X519" s="96">
        <f t="shared" si="201"/>
        <v>334</v>
      </c>
      <c r="Y519" s="96">
        <v>0.152</v>
      </c>
      <c r="Z519" s="272">
        <f t="shared" si="203"/>
        <v>334</v>
      </c>
      <c r="AA519" s="519">
        <f t="shared" si="204"/>
        <v>332.53625525399303</v>
      </c>
      <c r="AB519" s="516">
        <f t="shared" si="202"/>
        <v>664</v>
      </c>
      <c r="AC519" s="272">
        <f t="shared" si="192"/>
        <v>333.75184561463061</v>
      </c>
      <c r="AD519" s="272">
        <f t="shared" si="205"/>
        <v>666</v>
      </c>
      <c r="AE519" s="272">
        <f t="shared" si="193"/>
        <v>333.74818528500305</v>
      </c>
      <c r="AF519" s="272">
        <f t="shared" si="206"/>
        <v>666</v>
      </c>
      <c r="AG519" s="272">
        <f t="shared" si="194"/>
        <v>333.74818528500305</v>
      </c>
      <c r="AH519" s="272">
        <f t="shared" si="207"/>
        <v>666</v>
      </c>
      <c r="AI519" s="272">
        <f t="shared" si="195"/>
        <v>333.74818528500305</v>
      </c>
      <c r="AJ519" s="272">
        <f t="shared" si="208"/>
        <v>666</v>
      </c>
      <c r="AK519" s="272">
        <f t="shared" si="196"/>
        <v>333.74818528500305</v>
      </c>
      <c r="AL519" s="272">
        <f t="shared" si="209"/>
        <v>666</v>
      </c>
      <c r="AM519" s="272">
        <f t="shared" si="197"/>
        <v>333.74818528500305</v>
      </c>
      <c r="AN519" s="272">
        <f t="shared" si="210"/>
        <v>666</v>
      </c>
      <c r="AO519" s="272">
        <f t="shared" si="198"/>
        <v>333.74818528500305</v>
      </c>
      <c r="AP519" s="272">
        <f t="shared" si="211"/>
        <v>666</v>
      </c>
      <c r="AQ519" s="272">
        <f t="shared" si="199"/>
        <v>333.74818528500305</v>
      </c>
      <c r="AR519" s="272">
        <f t="shared" si="212"/>
        <v>666</v>
      </c>
      <c r="AS519" s="508">
        <f t="shared" si="200"/>
        <v>333.74818528500305</v>
      </c>
    </row>
    <row r="520" spans="1:45" ht="12.75" customHeight="1">
      <c r="A520" s="96">
        <f>IF(MAX($F$104:F520)=$G$99,$G$99,F520)</f>
        <v>15.906595441861038</v>
      </c>
      <c r="B520" s="481">
        <v>417</v>
      </c>
      <c r="C520" s="96">
        <f t="shared" si="219"/>
        <v>0.62549999999999584</v>
      </c>
      <c r="D520" s="96">
        <f t="shared" si="213"/>
        <v>243.40683700674205</v>
      </c>
      <c r="E520" s="96">
        <f t="shared" si="214"/>
        <v>2.2890404762904861E-14</v>
      </c>
      <c r="F520" s="96">
        <f t="shared" si="215"/>
        <v>6.272308432380428E-12</v>
      </c>
      <c r="G520" s="96">
        <f t="shared" si="218"/>
        <v>-0.29799999999372767</v>
      </c>
      <c r="I520" s="96">
        <f t="shared" si="216"/>
        <v>0</v>
      </c>
      <c r="J520" s="96">
        <f t="shared" si="217"/>
        <v>0.62549999999999584</v>
      </c>
      <c r="X520" s="96">
        <f t="shared" si="201"/>
        <v>343</v>
      </c>
      <c r="Y520" s="96">
        <v>0.15</v>
      </c>
      <c r="Z520" s="272">
        <f t="shared" si="203"/>
        <v>343</v>
      </c>
      <c r="AA520" s="519">
        <f t="shared" si="204"/>
        <v>341.46300628392248</v>
      </c>
      <c r="AB520" s="516">
        <f t="shared" si="202"/>
        <v>682</v>
      </c>
      <c r="AC520" s="272">
        <f t="shared" si="192"/>
        <v>342.67819688295981</v>
      </c>
      <c r="AD520" s="272">
        <f t="shared" si="205"/>
        <v>684</v>
      </c>
      <c r="AE520" s="272">
        <f t="shared" si="193"/>
        <v>342.67463430107153</v>
      </c>
      <c r="AF520" s="272">
        <f t="shared" si="206"/>
        <v>684</v>
      </c>
      <c r="AG520" s="272">
        <f t="shared" si="194"/>
        <v>342.67463430107153</v>
      </c>
      <c r="AH520" s="272">
        <f t="shared" si="207"/>
        <v>684</v>
      </c>
      <c r="AI520" s="272">
        <f t="shared" si="195"/>
        <v>342.67463430107153</v>
      </c>
      <c r="AJ520" s="272">
        <f t="shared" si="208"/>
        <v>684</v>
      </c>
      <c r="AK520" s="272">
        <f t="shared" si="196"/>
        <v>342.67463430107153</v>
      </c>
      <c r="AL520" s="272">
        <f t="shared" si="209"/>
        <v>684</v>
      </c>
      <c r="AM520" s="272">
        <f t="shared" si="197"/>
        <v>342.67463430107153</v>
      </c>
      <c r="AN520" s="272">
        <f t="shared" si="210"/>
        <v>684</v>
      </c>
      <c r="AO520" s="272">
        <f t="shared" si="198"/>
        <v>342.67463430107153</v>
      </c>
      <c r="AP520" s="272">
        <f t="shared" si="211"/>
        <v>684</v>
      </c>
      <c r="AQ520" s="272">
        <f t="shared" si="199"/>
        <v>342.67463430107153</v>
      </c>
      <c r="AR520" s="272">
        <f t="shared" si="212"/>
        <v>684</v>
      </c>
      <c r="AS520" s="508">
        <f t="shared" si="200"/>
        <v>342.67463430107153</v>
      </c>
    </row>
    <row r="521" spans="1:45" ht="12.75" customHeight="1">
      <c r="A521" s="96">
        <f>IF(MAX($F$104:F521)=$G$99,$G$99,F521)</f>
        <v>15.906595441861038</v>
      </c>
      <c r="B521" s="96">
        <v>418</v>
      </c>
      <c r="C521" s="96">
        <f t="shared" si="219"/>
        <v>0.62699999999999578</v>
      </c>
      <c r="D521" s="96">
        <f t="shared" si="213"/>
        <v>244.57565567210111</v>
      </c>
      <c r="E521" s="96">
        <f t="shared" si="214"/>
        <v>1.601089201352106E-14</v>
      </c>
      <c r="F521" s="96">
        <f t="shared" si="215"/>
        <v>4.411870141128334E-12</v>
      </c>
      <c r="G521" s="96">
        <f t="shared" si="218"/>
        <v>-0.29799999999558813</v>
      </c>
      <c r="I521" s="96">
        <f t="shared" si="216"/>
        <v>0</v>
      </c>
      <c r="J521" s="96">
        <f t="shared" si="217"/>
        <v>0.62699999999999578</v>
      </c>
      <c r="X521" s="96">
        <f t="shared" si="201"/>
        <v>352</v>
      </c>
      <c r="Y521" s="96">
        <v>0.14799999999999999</v>
      </c>
      <c r="Z521" s="272">
        <f t="shared" si="203"/>
        <v>352</v>
      </c>
      <c r="AA521" s="519">
        <f t="shared" si="204"/>
        <v>350.75409246659314</v>
      </c>
      <c r="AB521" s="516">
        <f t="shared" si="202"/>
        <v>700</v>
      </c>
      <c r="AC521" s="272">
        <f t="shared" si="192"/>
        <v>351.97016704767049</v>
      </c>
      <c r="AD521" s="272">
        <f t="shared" si="205"/>
        <v>702</v>
      </c>
      <c r="AE521" s="272">
        <f t="shared" si="193"/>
        <v>351.96669352121319</v>
      </c>
      <c r="AF521" s="272">
        <f t="shared" si="206"/>
        <v>702</v>
      </c>
      <c r="AG521" s="272">
        <f t="shared" si="194"/>
        <v>351.96669352121319</v>
      </c>
      <c r="AH521" s="272">
        <f t="shared" si="207"/>
        <v>702</v>
      </c>
      <c r="AI521" s="272">
        <f t="shared" si="195"/>
        <v>351.96669352121319</v>
      </c>
      <c r="AJ521" s="272">
        <f t="shared" si="208"/>
        <v>702</v>
      </c>
      <c r="AK521" s="272">
        <f t="shared" si="196"/>
        <v>351.96669352121319</v>
      </c>
      <c r="AL521" s="272">
        <f t="shared" si="209"/>
        <v>702</v>
      </c>
      <c r="AM521" s="272">
        <f t="shared" si="197"/>
        <v>351.96669352121319</v>
      </c>
      <c r="AN521" s="272">
        <f t="shared" si="210"/>
        <v>702</v>
      </c>
      <c r="AO521" s="272">
        <f t="shared" si="198"/>
        <v>351.96669352121319</v>
      </c>
      <c r="AP521" s="272">
        <f t="shared" si="211"/>
        <v>702</v>
      </c>
      <c r="AQ521" s="272">
        <f t="shared" si="199"/>
        <v>351.96669352121319</v>
      </c>
      <c r="AR521" s="272">
        <f t="shared" si="212"/>
        <v>702</v>
      </c>
      <c r="AS521" s="508">
        <f t="shared" si="200"/>
        <v>351.96669352121319</v>
      </c>
    </row>
    <row r="522" spans="1:45" ht="12.75" customHeight="1">
      <c r="A522" s="96">
        <f>IF(MAX($F$104:F522)=$G$99,$G$99,F522)</f>
        <v>15.906595441861038</v>
      </c>
      <c r="B522" s="481">
        <v>419</v>
      </c>
      <c r="C522" s="96">
        <f t="shared" si="219"/>
        <v>0.62849999999999573</v>
      </c>
      <c r="D522" s="96">
        <f t="shared" si="213"/>
        <v>245.74727390312569</v>
      </c>
      <c r="E522" s="96">
        <f t="shared" si="214"/>
        <v>1.1177475184688044E-14</v>
      </c>
      <c r="F522" s="96">
        <f t="shared" si="215"/>
        <v>3.0972011893758623E-12</v>
      </c>
      <c r="G522" s="96">
        <f t="shared" si="218"/>
        <v>-0.2979999999969028</v>
      </c>
      <c r="I522" s="96">
        <f t="shared" si="216"/>
        <v>0</v>
      </c>
      <c r="J522" s="96">
        <f t="shared" si="217"/>
        <v>0.62849999999999573</v>
      </c>
      <c r="X522" s="96">
        <f t="shared" si="201"/>
        <v>362</v>
      </c>
      <c r="Y522" s="96">
        <v>0.14599999999999999</v>
      </c>
      <c r="Z522" s="272">
        <f t="shared" si="203"/>
        <v>362</v>
      </c>
      <c r="AA522" s="519">
        <f t="shared" si="204"/>
        <v>360.42961350104412</v>
      </c>
      <c r="AB522" s="516">
        <f t="shared" si="202"/>
        <v>720</v>
      </c>
      <c r="AC522" s="272">
        <f t="shared" si="192"/>
        <v>361.64443452112079</v>
      </c>
      <c r="AD522" s="272">
        <f t="shared" si="205"/>
        <v>722</v>
      </c>
      <c r="AE522" s="272">
        <f t="shared" si="193"/>
        <v>361.64106093293753</v>
      </c>
      <c r="AF522" s="272">
        <f t="shared" si="206"/>
        <v>722</v>
      </c>
      <c r="AG522" s="272">
        <f t="shared" si="194"/>
        <v>361.64106093293753</v>
      </c>
      <c r="AH522" s="272">
        <f t="shared" si="207"/>
        <v>722</v>
      </c>
      <c r="AI522" s="272">
        <f t="shared" si="195"/>
        <v>361.64106093293753</v>
      </c>
      <c r="AJ522" s="272">
        <f t="shared" si="208"/>
        <v>722</v>
      </c>
      <c r="AK522" s="272">
        <f t="shared" si="196"/>
        <v>361.64106093293753</v>
      </c>
      <c r="AL522" s="272">
        <f t="shared" si="209"/>
        <v>722</v>
      </c>
      <c r="AM522" s="272">
        <f t="shared" si="197"/>
        <v>361.64106093293753</v>
      </c>
      <c r="AN522" s="272">
        <f t="shared" si="210"/>
        <v>722</v>
      </c>
      <c r="AO522" s="272">
        <f t="shared" si="198"/>
        <v>361.64106093293753</v>
      </c>
      <c r="AP522" s="272">
        <f t="shared" si="211"/>
        <v>722</v>
      </c>
      <c r="AQ522" s="272">
        <f t="shared" si="199"/>
        <v>361.64106093293753</v>
      </c>
      <c r="AR522" s="272">
        <f t="shared" si="212"/>
        <v>722</v>
      </c>
      <c r="AS522" s="508">
        <f t="shared" si="200"/>
        <v>361.64106093293753</v>
      </c>
    </row>
    <row r="523" spans="1:45" ht="12.75" customHeight="1">
      <c r="A523" s="96">
        <f>IF(MAX($F$104:F523)=$G$99,$G$99,F523)</f>
        <v>15.906595441861038</v>
      </c>
      <c r="B523" s="481">
        <v>420</v>
      </c>
      <c r="C523" s="96">
        <f t="shared" si="219"/>
        <v>0.62999999999999567</v>
      </c>
      <c r="D523" s="96">
        <f t="shared" si="213"/>
        <v>246.92169169981582</v>
      </c>
      <c r="E523" s="96">
        <f t="shared" si="214"/>
        <v>7.7882339886293889E-15</v>
      </c>
      <c r="F523" s="96">
        <f t="shared" si="215"/>
        <v>2.1700445182534884E-12</v>
      </c>
      <c r="G523" s="96">
        <f t="shared" si="218"/>
        <v>-0.29799999999782995</v>
      </c>
      <c r="I523" s="96">
        <f t="shared" si="216"/>
        <v>0</v>
      </c>
      <c r="J523" s="96">
        <f t="shared" si="217"/>
        <v>0.62999999999999567</v>
      </c>
      <c r="X523" s="96">
        <f t="shared" si="201"/>
        <v>372</v>
      </c>
      <c r="Y523" s="96">
        <v>0.14399999999999999</v>
      </c>
      <c r="Z523" s="272">
        <f t="shared" si="203"/>
        <v>372</v>
      </c>
      <c r="AA523" s="519">
        <f t="shared" si="204"/>
        <v>370.51107452682555</v>
      </c>
      <c r="AB523" s="516">
        <f t="shared" si="202"/>
        <v>740</v>
      </c>
      <c r="AC523" s="272">
        <f t="shared" si="192"/>
        <v>371.72604102158408</v>
      </c>
      <c r="AD523" s="272">
        <f t="shared" si="205"/>
        <v>742</v>
      </c>
      <c r="AE523" s="272">
        <f t="shared" si="193"/>
        <v>371.72275819114878</v>
      </c>
      <c r="AF523" s="272">
        <f t="shared" si="206"/>
        <v>742</v>
      </c>
      <c r="AG523" s="272">
        <f t="shared" si="194"/>
        <v>371.72275819114878</v>
      </c>
      <c r="AH523" s="272">
        <f t="shared" si="207"/>
        <v>742</v>
      </c>
      <c r="AI523" s="272">
        <f t="shared" si="195"/>
        <v>371.72275819114878</v>
      </c>
      <c r="AJ523" s="272">
        <f t="shared" si="208"/>
        <v>742</v>
      </c>
      <c r="AK523" s="272">
        <f t="shared" si="196"/>
        <v>371.72275819114878</v>
      </c>
      <c r="AL523" s="272">
        <f t="shared" si="209"/>
        <v>742</v>
      </c>
      <c r="AM523" s="272">
        <f t="shared" si="197"/>
        <v>371.72275819114878</v>
      </c>
      <c r="AN523" s="272">
        <f t="shared" si="210"/>
        <v>742</v>
      </c>
      <c r="AO523" s="272">
        <f t="shared" si="198"/>
        <v>371.72275819114878</v>
      </c>
      <c r="AP523" s="272">
        <f t="shared" si="211"/>
        <v>742</v>
      </c>
      <c r="AQ523" s="272">
        <f t="shared" si="199"/>
        <v>371.72275819114878</v>
      </c>
      <c r="AR523" s="272">
        <f t="shared" si="212"/>
        <v>742</v>
      </c>
      <c r="AS523" s="508">
        <f t="shared" si="200"/>
        <v>371.72275819114878</v>
      </c>
    </row>
    <row r="524" spans="1:45" ht="12.75" customHeight="1">
      <c r="A524" s="96">
        <f>IF(MAX($F$104:F524)=$G$99,$G$99,F524)</f>
        <v>15.906595441861038</v>
      </c>
      <c r="B524" s="96">
        <v>421</v>
      </c>
      <c r="C524" s="96">
        <f t="shared" si="219"/>
        <v>0.63149999999999562</v>
      </c>
      <c r="D524" s="96">
        <f t="shared" si="213"/>
        <v>248.09890906217149</v>
      </c>
      <c r="E524" s="96">
        <f t="shared" si="214"/>
        <v>5.4162950477318791E-15</v>
      </c>
      <c r="F524" s="96">
        <f t="shared" si="215"/>
        <v>1.5174749797632948E-12</v>
      </c>
      <c r="G524" s="96">
        <f t="shared" si="218"/>
        <v>-0.29799999999848253</v>
      </c>
      <c r="I524" s="96">
        <f t="shared" si="216"/>
        <v>0</v>
      </c>
      <c r="J524" s="96">
        <f t="shared" si="217"/>
        <v>0.63149999999999562</v>
      </c>
      <c r="X524" s="96">
        <f t="shared" si="201"/>
        <v>383</v>
      </c>
      <c r="Y524" s="96">
        <v>0.14199999999999999</v>
      </c>
      <c r="Z524" s="272">
        <f t="shared" si="203"/>
        <v>383</v>
      </c>
      <c r="AA524" s="519">
        <f t="shared" si="204"/>
        <v>381.02150572248837</v>
      </c>
      <c r="AB524" s="516">
        <f t="shared" si="202"/>
        <v>762</v>
      </c>
      <c r="AC524" s="272">
        <f t="shared" si="192"/>
        <v>382.23477911136342</v>
      </c>
      <c r="AD524" s="272">
        <f t="shared" si="205"/>
        <v>764</v>
      </c>
      <c r="AE524" s="272">
        <f t="shared" si="193"/>
        <v>382.23159547582384</v>
      </c>
      <c r="AF524" s="272">
        <f t="shared" si="206"/>
        <v>764</v>
      </c>
      <c r="AG524" s="272">
        <f t="shared" si="194"/>
        <v>382.23159547582384</v>
      </c>
      <c r="AH524" s="272">
        <f t="shared" si="207"/>
        <v>764</v>
      </c>
      <c r="AI524" s="272">
        <f t="shared" si="195"/>
        <v>382.23159547582384</v>
      </c>
      <c r="AJ524" s="272">
        <f t="shared" si="208"/>
        <v>764</v>
      </c>
      <c r="AK524" s="272">
        <f t="shared" si="196"/>
        <v>382.23159547582384</v>
      </c>
      <c r="AL524" s="272">
        <f t="shared" si="209"/>
        <v>764</v>
      </c>
      <c r="AM524" s="272">
        <f t="shared" si="197"/>
        <v>382.23159547582384</v>
      </c>
      <c r="AN524" s="272">
        <f t="shared" si="210"/>
        <v>764</v>
      </c>
      <c r="AO524" s="272">
        <f t="shared" si="198"/>
        <v>382.23159547582384</v>
      </c>
      <c r="AP524" s="272">
        <f t="shared" si="211"/>
        <v>764</v>
      </c>
      <c r="AQ524" s="272">
        <f t="shared" si="199"/>
        <v>382.23159547582384</v>
      </c>
      <c r="AR524" s="272">
        <f t="shared" si="212"/>
        <v>764</v>
      </c>
      <c r="AS524" s="508">
        <f t="shared" si="200"/>
        <v>382.23159547582384</v>
      </c>
    </row>
    <row r="525" spans="1:45" ht="12.75" customHeight="1">
      <c r="A525" s="96">
        <f>IF(MAX($F$104:F525)=$G$99,$G$99,F525)</f>
        <v>15.906595441861038</v>
      </c>
      <c r="B525" s="481">
        <v>422</v>
      </c>
      <c r="C525" s="96">
        <f t="shared" si="219"/>
        <v>0.63299999999999557</v>
      </c>
      <c r="D525" s="96">
        <f t="shared" si="213"/>
        <v>249.2789259901927</v>
      </c>
      <c r="E525" s="96">
        <f t="shared" si="214"/>
        <v>3.7595393520896678E-15</v>
      </c>
      <c r="F525" s="96">
        <f t="shared" si="215"/>
        <v>1.059081144867103E-12</v>
      </c>
      <c r="G525" s="96">
        <f t="shared" si="218"/>
        <v>-0.29799999999894089</v>
      </c>
      <c r="I525" s="96">
        <f t="shared" si="216"/>
        <v>0</v>
      </c>
      <c r="J525" s="96">
        <f t="shared" si="217"/>
        <v>0.63299999999999557</v>
      </c>
      <c r="X525" s="96">
        <f t="shared" si="201"/>
        <v>394</v>
      </c>
      <c r="Y525" s="96">
        <v>0.14000000000000001</v>
      </c>
      <c r="Z525" s="272">
        <f t="shared" si="203"/>
        <v>394</v>
      </c>
      <c r="AA525" s="519">
        <f t="shared" si="204"/>
        <v>391.9855939483802</v>
      </c>
      <c r="AB525" s="516">
        <f t="shared" si="202"/>
        <v>782</v>
      </c>
      <c r="AC525" s="272">
        <f t="shared" si="192"/>
        <v>393.20178305938708</v>
      </c>
      <c r="AD525" s="272">
        <f t="shared" si="205"/>
        <v>784</v>
      </c>
      <c r="AE525" s="272">
        <f t="shared" si="193"/>
        <v>393.19867336831499</v>
      </c>
      <c r="AF525" s="272">
        <f t="shared" si="206"/>
        <v>786</v>
      </c>
      <c r="AG525" s="272">
        <f t="shared" si="194"/>
        <v>393.19557953862193</v>
      </c>
      <c r="AH525" s="272">
        <f t="shared" si="207"/>
        <v>786</v>
      </c>
      <c r="AI525" s="272">
        <f t="shared" si="195"/>
        <v>393.19557953862193</v>
      </c>
      <c r="AJ525" s="272">
        <f t="shared" si="208"/>
        <v>786</v>
      </c>
      <c r="AK525" s="272">
        <f t="shared" si="196"/>
        <v>393.19557953862193</v>
      </c>
      <c r="AL525" s="272">
        <f t="shared" si="209"/>
        <v>786</v>
      </c>
      <c r="AM525" s="272">
        <f t="shared" si="197"/>
        <v>393.19557953862193</v>
      </c>
      <c r="AN525" s="272">
        <f t="shared" si="210"/>
        <v>786</v>
      </c>
      <c r="AO525" s="272">
        <f t="shared" si="198"/>
        <v>393.19557953862193</v>
      </c>
      <c r="AP525" s="272">
        <f t="shared" si="211"/>
        <v>786</v>
      </c>
      <c r="AQ525" s="272">
        <f t="shared" si="199"/>
        <v>393.19557953862193</v>
      </c>
      <c r="AR525" s="272">
        <f t="shared" si="212"/>
        <v>786</v>
      </c>
      <c r="AS525" s="508">
        <f t="shared" si="200"/>
        <v>393.19557953862193</v>
      </c>
    </row>
    <row r="526" spans="1:45" ht="12.75" customHeight="1">
      <c r="A526" s="96">
        <f>IF(MAX($F$104:F526)=$G$99,$G$99,F526)</f>
        <v>15.906595441861038</v>
      </c>
      <c r="B526" s="481">
        <v>423</v>
      </c>
      <c r="C526" s="96">
        <f t="shared" si="219"/>
        <v>0.63449999999999551</v>
      </c>
      <c r="D526" s="96">
        <f t="shared" si="213"/>
        <v>250.46174248387942</v>
      </c>
      <c r="E526" s="96">
        <f t="shared" si="214"/>
        <v>2.604575194102402E-15</v>
      </c>
      <c r="F526" s="96">
        <f t="shared" si="215"/>
        <v>7.3772220993737243E-13</v>
      </c>
      <c r="G526" s="96">
        <f t="shared" si="218"/>
        <v>-0.29799999999926224</v>
      </c>
      <c r="I526" s="96">
        <f t="shared" si="216"/>
        <v>0</v>
      </c>
      <c r="J526" s="96">
        <f t="shared" si="217"/>
        <v>0.63449999999999551</v>
      </c>
      <c r="X526" s="96">
        <f t="shared" si="201"/>
        <v>405</v>
      </c>
      <c r="Y526" s="96">
        <v>0.13800000000000001</v>
      </c>
      <c r="Z526" s="272">
        <f t="shared" si="203"/>
        <v>405</v>
      </c>
      <c r="AA526" s="519">
        <f t="shared" si="204"/>
        <v>403.42982784017295</v>
      </c>
      <c r="AB526" s="516">
        <f t="shared" si="202"/>
        <v>806</v>
      </c>
      <c r="AC526" s="272">
        <f t="shared" si="192"/>
        <v>404.64416912630418</v>
      </c>
      <c r="AD526" s="272">
        <f t="shared" si="205"/>
        <v>808</v>
      </c>
      <c r="AE526" s="272">
        <f t="shared" si="193"/>
        <v>404.64115658987998</v>
      </c>
      <c r="AF526" s="272">
        <f t="shared" si="206"/>
        <v>808</v>
      </c>
      <c r="AG526" s="272">
        <f t="shared" si="194"/>
        <v>404.64115658987998</v>
      </c>
      <c r="AH526" s="272">
        <f t="shared" si="207"/>
        <v>808</v>
      </c>
      <c r="AI526" s="272">
        <f t="shared" si="195"/>
        <v>404.64115658987998</v>
      </c>
      <c r="AJ526" s="272">
        <f t="shared" si="208"/>
        <v>808</v>
      </c>
      <c r="AK526" s="272">
        <f t="shared" si="196"/>
        <v>404.64115658987998</v>
      </c>
      <c r="AL526" s="272">
        <f t="shared" si="209"/>
        <v>808</v>
      </c>
      <c r="AM526" s="272">
        <f t="shared" si="197"/>
        <v>404.64115658987998</v>
      </c>
      <c r="AN526" s="272">
        <f t="shared" si="210"/>
        <v>808</v>
      </c>
      <c r="AO526" s="272">
        <f t="shared" si="198"/>
        <v>404.64115658987998</v>
      </c>
      <c r="AP526" s="272">
        <f t="shared" si="211"/>
        <v>808</v>
      </c>
      <c r="AQ526" s="272">
        <f t="shared" si="199"/>
        <v>404.64115658987998</v>
      </c>
      <c r="AR526" s="272">
        <f t="shared" si="212"/>
        <v>808</v>
      </c>
      <c r="AS526" s="508">
        <f t="shared" si="200"/>
        <v>404.64115658987998</v>
      </c>
    </row>
    <row r="527" spans="1:45" ht="12.75" customHeight="1">
      <c r="A527" s="96">
        <f>IF(MAX($F$104:F527)=$G$99,$G$99,F527)</f>
        <v>15.906595441861038</v>
      </c>
      <c r="B527" s="96">
        <v>424</v>
      </c>
      <c r="C527" s="96">
        <f t="shared" si="219"/>
        <v>0.63599999999999546</v>
      </c>
      <c r="D527" s="96">
        <f t="shared" si="213"/>
        <v>251.64735854323169</v>
      </c>
      <c r="E527" s="96">
        <f t="shared" si="214"/>
        <v>1.8009848124329266E-15</v>
      </c>
      <c r="F527" s="96">
        <f t="shared" si="215"/>
        <v>5.1287735243085705E-13</v>
      </c>
      <c r="G527" s="96">
        <f t="shared" si="218"/>
        <v>-0.29799999999948712</v>
      </c>
      <c r="I527" s="96">
        <f t="shared" si="216"/>
        <v>0</v>
      </c>
      <c r="J527" s="96">
        <f t="shared" si="217"/>
        <v>0.63599999999999546</v>
      </c>
      <c r="X527" s="96">
        <f t="shared" si="201"/>
        <v>417</v>
      </c>
      <c r="Y527" s="96">
        <v>0.13600000000000001</v>
      </c>
      <c r="Z527" s="272">
        <f t="shared" si="203"/>
        <v>417</v>
      </c>
      <c r="AA527" s="519">
        <f t="shared" si="204"/>
        <v>415.38265794702926</v>
      </c>
      <c r="AB527" s="516">
        <f t="shared" si="202"/>
        <v>830</v>
      </c>
      <c r="AC527" s="272">
        <f t="shared" si="192"/>
        <v>416.59674499467923</v>
      </c>
      <c r="AD527" s="272">
        <f t="shared" si="205"/>
        <v>832</v>
      </c>
      <c r="AE527" s="272">
        <f t="shared" si="193"/>
        <v>416.59382015647765</v>
      </c>
      <c r="AF527" s="272">
        <f t="shared" si="206"/>
        <v>832</v>
      </c>
      <c r="AG527" s="272">
        <f t="shared" si="194"/>
        <v>416.59382015647765</v>
      </c>
      <c r="AH527" s="272">
        <f t="shared" si="207"/>
        <v>832</v>
      </c>
      <c r="AI527" s="272">
        <f t="shared" si="195"/>
        <v>416.59382015647765</v>
      </c>
      <c r="AJ527" s="272">
        <f t="shared" si="208"/>
        <v>832</v>
      </c>
      <c r="AK527" s="272">
        <f t="shared" si="196"/>
        <v>416.59382015647765</v>
      </c>
      <c r="AL527" s="272">
        <f t="shared" si="209"/>
        <v>832</v>
      </c>
      <c r="AM527" s="272">
        <f t="shared" si="197"/>
        <v>416.59382015647765</v>
      </c>
      <c r="AN527" s="272">
        <f t="shared" si="210"/>
        <v>832</v>
      </c>
      <c r="AO527" s="272">
        <f t="shared" si="198"/>
        <v>416.59382015647765</v>
      </c>
      <c r="AP527" s="272">
        <f t="shared" si="211"/>
        <v>832</v>
      </c>
      <c r="AQ527" s="272">
        <f t="shared" si="199"/>
        <v>416.59382015647765</v>
      </c>
      <c r="AR527" s="272">
        <f t="shared" si="212"/>
        <v>832</v>
      </c>
      <c r="AS527" s="508">
        <f t="shared" si="200"/>
        <v>416.59382015647765</v>
      </c>
    </row>
    <row r="528" spans="1:45" ht="12.75" customHeight="1">
      <c r="A528" s="96">
        <f>IF(MAX($F$104:F528)=$G$99,$G$99,F528)</f>
        <v>15.906595441861038</v>
      </c>
      <c r="B528" s="481">
        <v>425</v>
      </c>
      <c r="C528" s="96">
        <f t="shared" si="219"/>
        <v>0.6374999999999954</v>
      </c>
      <c r="D528" s="96">
        <f t="shared" si="213"/>
        <v>252.83577416824946</v>
      </c>
      <c r="E528" s="96">
        <f t="shared" si="214"/>
        <v>1.2429539044629584E-15</v>
      </c>
      <c r="F528" s="96">
        <f t="shared" si="215"/>
        <v>3.5587078343385534E-13</v>
      </c>
      <c r="G528" s="96">
        <f t="shared" si="218"/>
        <v>-0.29799999999964411</v>
      </c>
      <c r="I528" s="96">
        <f t="shared" si="216"/>
        <v>0</v>
      </c>
      <c r="J528" s="96">
        <f t="shared" si="217"/>
        <v>0.6374999999999954</v>
      </c>
      <c r="X528" s="96">
        <f t="shared" si="201"/>
        <v>430</v>
      </c>
      <c r="Y528" s="96">
        <v>0.13400000000000001</v>
      </c>
      <c r="Z528" s="272">
        <f t="shared" si="203"/>
        <v>430</v>
      </c>
      <c r="AA528" s="519">
        <f t="shared" si="204"/>
        <v>427.87467372400607</v>
      </c>
      <c r="AB528" s="516">
        <f t="shared" si="202"/>
        <v>854</v>
      </c>
      <c r="AC528" s="272">
        <f t="shared" si="192"/>
        <v>429.09005236981017</v>
      </c>
      <c r="AD528" s="272">
        <f t="shared" si="205"/>
        <v>856</v>
      </c>
      <c r="AE528" s="272">
        <f t="shared" si="193"/>
        <v>429.08720668267938</v>
      </c>
      <c r="AF528" s="272">
        <f t="shared" si="206"/>
        <v>858</v>
      </c>
      <c r="AG528" s="272">
        <f t="shared" si="194"/>
        <v>429.08437428999457</v>
      </c>
      <c r="AH528" s="272">
        <f t="shared" si="207"/>
        <v>858</v>
      </c>
      <c r="AI528" s="272">
        <f t="shared" si="195"/>
        <v>429.08437428999457</v>
      </c>
      <c r="AJ528" s="272">
        <f t="shared" si="208"/>
        <v>858</v>
      </c>
      <c r="AK528" s="272">
        <f t="shared" si="196"/>
        <v>429.08437428999457</v>
      </c>
      <c r="AL528" s="272">
        <f t="shared" si="209"/>
        <v>858</v>
      </c>
      <c r="AM528" s="272">
        <f t="shared" si="197"/>
        <v>429.08437428999457</v>
      </c>
      <c r="AN528" s="272">
        <f t="shared" si="210"/>
        <v>858</v>
      </c>
      <c r="AO528" s="272">
        <f t="shared" si="198"/>
        <v>429.08437428999457</v>
      </c>
      <c r="AP528" s="272">
        <f t="shared" si="211"/>
        <v>858</v>
      </c>
      <c r="AQ528" s="272">
        <f t="shared" si="199"/>
        <v>429.08437428999457</v>
      </c>
      <c r="AR528" s="272">
        <f t="shared" si="212"/>
        <v>858</v>
      </c>
      <c r="AS528" s="508">
        <f t="shared" si="200"/>
        <v>429.08437428999457</v>
      </c>
    </row>
    <row r="529" spans="1:45" ht="12.75" customHeight="1">
      <c r="A529" s="96">
        <f>IF(MAX($F$104:F529)=$G$99,$G$99,F529)</f>
        <v>15.906595441861038</v>
      </c>
      <c r="B529" s="481">
        <v>426</v>
      </c>
      <c r="C529" s="96">
        <f t="shared" si="219"/>
        <v>0.63899999999999535</v>
      </c>
      <c r="D529" s="96">
        <f t="shared" si="213"/>
        <v>254.02698935893278</v>
      </c>
      <c r="E529" s="96">
        <f t="shared" si="214"/>
        <v>8.5619512190056716E-16</v>
      </c>
      <c r="F529" s="96">
        <f t="shared" si="215"/>
        <v>2.4645089294432895E-13</v>
      </c>
      <c r="G529" s="96">
        <f t="shared" si="218"/>
        <v>-0.29799999999975352</v>
      </c>
      <c r="I529" s="96">
        <f t="shared" si="216"/>
        <v>0</v>
      </c>
      <c r="J529" s="96">
        <f t="shared" si="217"/>
        <v>0.63899999999999535</v>
      </c>
      <c r="X529" s="96">
        <f t="shared" si="201"/>
        <v>443</v>
      </c>
      <c r="Y529" s="96">
        <v>0.13200000000000001</v>
      </c>
      <c r="Z529" s="272">
        <f t="shared" si="203"/>
        <v>443</v>
      </c>
      <c r="AA529" s="519">
        <f t="shared" si="204"/>
        <v>440.93879943688324</v>
      </c>
      <c r="AB529" s="516">
        <f t="shared" si="202"/>
        <v>880</v>
      </c>
      <c r="AC529" s="272">
        <f t="shared" ref="AC529:AC545" si="220">MAX(2*(TINV(1-$C$80/100,AB529)/$Y529)^2,$C$79)</f>
        <v>442.15420514951677</v>
      </c>
      <c r="AD529" s="272">
        <f t="shared" si="205"/>
        <v>882</v>
      </c>
      <c r="AE529" s="272">
        <f t="shared" ref="AE529:AE545" si="221">MAX(2*(TINV(1-$C$80/100,AD529)/$Y529)^2,$C$79)</f>
        <v>442.15144345627533</v>
      </c>
      <c r="AF529" s="272">
        <f t="shared" si="206"/>
        <v>884</v>
      </c>
      <c r="AG529" s="272">
        <f t="shared" ref="AG529:AG545" si="222">MAX(2*(TINV(1-$C$80/100,AF529)/$Y529)^2,$C$79)</f>
        <v>442.14869428491062</v>
      </c>
      <c r="AH529" s="272">
        <f t="shared" si="207"/>
        <v>884</v>
      </c>
      <c r="AI529" s="272">
        <f t="shared" ref="AI529:AI545" si="223">MAX(2*(TINV(1-$C$80/100,AH529)/$Y529)^2,$C$79)</f>
        <v>442.14869428491062</v>
      </c>
      <c r="AJ529" s="272">
        <f t="shared" si="208"/>
        <v>884</v>
      </c>
      <c r="AK529" s="272">
        <f t="shared" ref="AK529:AK545" si="224">MAX(2*(TINV(1-$C$80/100,AJ529)/$Y529)^2,$C$79)</f>
        <v>442.14869428491062</v>
      </c>
      <c r="AL529" s="272">
        <f t="shared" si="209"/>
        <v>884</v>
      </c>
      <c r="AM529" s="272">
        <f t="shared" ref="AM529:AM545" si="225">MAX(2*(TINV(1-$C$80/100,AL529)/$Y529)^2,$C$79)</f>
        <v>442.14869428491062</v>
      </c>
      <c r="AN529" s="272">
        <f t="shared" si="210"/>
        <v>884</v>
      </c>
      <c r="AO529" s="272">
        <f t="shared" ref="AO529:AO545" si="226">MAX(2*(TINV(1-$C$80/100,AN529)/$Y529)^2,$C$79)</f>
        <v>442.14869428491062</v>
      </c>
      <c r="AP529" s="272">
        <f t="shared" si="211"/>
        <v>884</v>
      </c>
      <c r="AQ529" s="272">
        <f t="shared" ref="AQ529:AQ545" si="227">MAX(2*(TINV(1-$C$80/100,AP529)/$Y529)^2,$C$79)</f>
        <v>442.14869428491062</v>
      </c>
      <c r="AR529" s="272">
        <f t="shared" si="212"/>
        <v>884</v>
      </c>
      <c r="AS529" s="508">
        <f t="shared" ref="AS529:AS545" si="228">MAX(2*(TINV(1-$C$80/100,AR529)/$Y529)^2,$C$79)</f>
        <v>442.14869428491062</v>
      </c>
    </row>
    <row r="530" spans="1:45" ht="12.75" customHeight="1">
      <c r="A530" s="96">
        <f>IF(MAX($F$104:F530)=$G$99,$G$99,F530)</f>
        <v>15.906595441861038</v>
      </c>
      <c r="B530" s="96">
        <v>427</v>
      </c>
      <c r="C530" s="96">
        <f t="shared" si="219"/>
        <v>0.6404999999999953</v>
      </c>
      <c r="D530" s="96">
        <f t="shared" si="213"/>
        <v>255.22100411528163</v>
      </c>
      <c r="E530" s="96">
        <f t="shared" si="214"/>
        <v>5.8865949841606727E-16</v>
      </c>
      <c r="F530" s="96">
        <f t="shared" si="215"/>
        <v>1.70344768063717E-13</v>
      </c>
      <c r="G530" s="96">
        <f t="shared" si="218"/>
        <v>-0.29799999999982962</v>
      </c>
      <c r="I530" s="96">
        <f t="shared" si="216"/>
        <v>0</v>
      </c>
      <c r="J530" s="96">
        <f t="shared" si="217"/>
        <v>0.6404999999999953</v>
      </c>
      <c r="X530" s="96">
        <f t="shared" ref="X530:X545" si="229">Z530</f>
        <v>456</v>
      </c>
      <c r="Y530" s="96">
        <v>0.13</v>
      </c>
      <c r="Z530" s="272">
        <f t="shared" si="203"/>
        <v>456</v>
      </c>
      <c r="AA530" s="519">
        <f t="shared" si="204"/>
        <v>454.6105113247487</v>
      </c>
      <c r="AB530" s="516">
        <f t="shared" ref="AB530:AB545" si="230">2*ROUNDUP(AA530,0)-2</f>
        <v>908</v>
      </c>
      <c r="AC530" s="272">
        <f t="shared" si="220"/>
        <v>455.82488299270238</v>
      </c>
      <c r="AD530" s="272">
        <f t="shared" si="205"/>
        <v>910</v>
      </c>
      <c r="AE530" s="272">
        <f t="shared" si="221"/>
        <v>455.82220871773711</v>
      </c>
      <c r="AF530" s="272">
        <f t="shared" si="206"/>
        <v>910</v>
      </c>
      <c r="AG530" s="272">
        <f t="shared" si="222"/>
        <v>455.82220871773711</v>
      </c>
      <c r="AH530" s="272">
        <f t="shared" si="207"/>
        <v>910</v>
      </c>
      <c r="AI530" s="272">
        <f t="shared" si="223"/>
        <v>455.82220871773711</v>
      </c>
      <c r="AJ530" s="272">
        <f t="shared" si="208"/>
        <v>910</v>
      </c>
      <c r="AK530" s="272">
        <f t="shared" si="224"/>
        <v>455.82220871773711</v>
      </c>
      <c r="AL530" s="272">
        <f t="shared" si="209"/>
        <v>910</v>
      </c>
      <c r="AM530" s="272">
        <f t="shared" si="225"/>
        <v>455.82220871773711</v>
      </c>
      <c r="AN530" s="272">
        <f t="shared" si="210"/>
        <v>910</v>
      </c>
      <c r="AO530" s="272">
        <f t="shared" si="226"/>
        <v>455.82220871773711</v>
      </c>
      <c r="AP530" s="272">
        <f t="shared" si="211"/>
        <v>910</v>
      </c>
      <c r="AQ530" s="272">
        <f t="shared" si="227"/>
        <v>455.82220871773711</v>
      </c>
      <c r="AR530" s="272">
        <f t="shared" si="212"/>
        <v>910</v>
      </c>
      <c r="AS530" s="508">
        <f t="shared" si="228"/>
        <v>455.82220871773711</v>
      </c>
    </row>
    <row r="531" spans="1:45" ht="12.75" customHeight="1">
      <c r="A531" s="96">
        <f>IF(MAX($F$104:F531)=$G$99,$G$99,F531)</f>
        <v>15.906595441861038</v>
      </c>
      <c r="B531" s="481">
        <v>428</v>
      </c>
      <c r="C531" s="96">
        <f t="shared" si="219"/>
        <v>0.64199999999999524</v>
      </c>
      <c r="D531" s="96">
        <f t="shared" si="213"/>
        <v>256.41781843729598</v>
      </c>
      <c r="E531" s="96">
        <f t="shared" si="214"/>
        <v>4.0395237482875206E-16</v>
      </c>
      <c r="F531" s="96">
        <f t="shared" si="215"/>
        <v>1.1751373472544501E-13</v>
      </c>
      <c r="G531" s="96">
        <f t="shared" si="218"/>
        <v>-0.29799999999988247</v>
      </c>
      <c r="I531" s="96">
        <f t="shared" si="216"/>
        <v>0</v>
      </c>
      <c r="J531" s="96">
        <f t="shared" si="217"/>
        <v>0.64199999999999524</v>
      </c>
      <c r="X531" s="96">
        <f t="shared" si="229"/>
        <v>471</v>
      </c>
      <c r="Y531" s="96">
        <v>0.128</v>
      </c>
      <c r="Z531" s="272">
        <f t="shared" ref="Z531:Z545" si="231">(2+MAX(AP531,AR531))/2</f>
        <v>471</v>
      </c>
      <c r="AA531" s="519">
        <f t="shared" ref="AA531:AA545" si="232">MAX(2*($C$83/Y531)^2,$C$79)</f>
        <v>468.92807869801356</v>
      </c>
      <c r="AB531" s="516">
        <f t="shared" si="230"/>
        <v>936</v>
      </c>
      <c r="AC531" s="272">
        <f t="shared" si="220"/>
        <v>470.1431517795603</v>
      </c>
      <c r="AD531" s="272">
        <f t="shared" ref="AD531:AD545" si="233">MAX(MIN(2*ROUNDUP(AC531,0)-2,AB531+2),AB531-2)</f>
        <v>938</v>
      </c>
      <c r="AE531" s="272">
        <f t="shared" si="221"/>
        <v>470.14055598620223</v>
      </c>
      <c r="AF531" s="272">
        <f t="shared" ref="AF531:AF545" si="234">MAX(MIN(2*ROUNDUP(AE531,0)-2,AD531+2),AD531-2)</f>
        <v>940</v>
      </c>
      <c r="AG531" s="272">
        <f t="shared" si="222"/>
        <v>470.13797125999156</v>
      </c>
      <c r="AH531" s="272">
        <f t="shared" ref="AH531:AH545" si="235">MAX(MIN(2*ROUNDUP(AG531,0)-2,AF531+2),AF531-2)</f>
        <v>940</v>
      </c>
      <c r="AI531" s="272">
        <f t="shared" si="223"/>
        <v>470.13797125999156</v>
      </c>
      <c r="AJ531" s="272">
        <f t="shared" ref="AJ531:AJ545" si="236">MAX(MIN(2*ROUNDUP(AI531,0)-2,AH531+2),AH531-2)</f>
        <v>940</v>
      </c>
      <c r="AK531" s="272">
        <f t="shared" si="224"/>
        <v>470.13797125999156</v>
      </c>
      <c r="AL531" s="272">
        <f t="shared" ref="AL531:AL545" si="237">MAX(MIN(2*ROUNDUP(AK531,0)-2,AJ531+2),AJ531-2)</f>
        <v>940</v>
      </c>
      <c r="AM531" s="272">
        <f t="shared" si="225"/>
        <v>470.13797125999156</v>
      </c>
      <c r="AN531" s="272">
        <f t="shared" ref="AN531:AN545" si="238">MAX(MIN(2*ROUNDUP(AM531,0)-2,AL531+2),AL531-2)</f>
        <v>940</v>
      </c>
      <c r="AO531" s="272">
        <f t="shared" si="226"/>
        <v>470.13797125999156</v>
      </c>
      <c r="AP531" s="272">
        <f t="shared" ref="AP531:AP545" si="239">MAX(MIN(2*ROUNDUP(AO531,0)-2,AN531+2),AN531-2)</f>
        <v>940</v>
      </c>
      <c r="AQ531" s="272">
        <f t="shared" si="227"/>
        <v>470.13797125999156</v>
      </c>
      <c r="AR531" s="272">
        <f t="shared" ref="AR531:AR545" si="240">MAX(MIN(2*ROUNDUP(AQ531,0)-2,AP531+2),AP531-2)</f>
        <v>940</v>
      </c>
      <c r="AS531" s="508">
        <f t="shared" si="228"/>
        <v>470.13797125999156</v>
      </c>
    </row>
    <row r="532" spans="1:45" ht="12.75" customHeight="1">
      <c r="A532" s="96">
        <f>IF(MAX($F$104:F532)=$G$99,$G$99,F532)</f>
        <v>15.906595441861038</v>
      </c>
      <c r="B532" s="481">
        <v>429</v>
      </c>
      <c r="C532" s="96">
        <f t="shared" si="219"/>
        <v>0.64349999999999519</v>
      </c>
      <c r="D532" s="96">
        <f t="shared" si="213"/>
        <v>257.61743232497594</v>
      </c>
      <c r="E532" s="96">
        <f t="shared" si="214"/>
        <v>2.7667613188833707E-16</v>
      </c>
      <c r="F532" s="96">
        <f t="shared" si="215"/>
        <v>8.0911632182522334E-14</v>
      </c>
      <c r="G532" s="96">
        <f t="shared" si="218"/>
        <v>-0.29799999999991905</v>
      </c>
      <c r="I532" s="96">
        <f t="shared" si="216"/>
        <v>0</v>
      </c>
      <c r="J532" s="96">
        <f t="shared" si="217"/>
        <v>0.64349999999999519</v>
      </c>
      <c r="X532" s="96">
        <f t="shared" si="229"/>
        <v>486</v>
      </c>
      <c r="Y532" s="96">
        <v>0.126</v>
      </c>
      <c r="Z532" s="272">
        <f t="shared" si="231"/>
        <v>486</v>
      </c>
      <c r="AA532" s="519">
        <f t="shared" si="232"/>
        <v>483.93283203503739</v>
      </c>
      <c r="AB532" s="516">
        <f t="shared" si="230"/>
        <v>966</v>
      </c>
      <c r="AC532" s="272">
        <f t="shared" si="220"/>
        <v>485.14776908770386</v>
      </c>
      <c r="AD532" s="272">
        <f t="shared" si="233"/>
        <v>968</v>
      </c>
      <c r="AE532" s="272">
        <f t="shared" si="221"/>
        <v>485.14525417131239</v>
      </c>
      <c r="AF532" s="272">
        <f t="shared" si="234"/>
        <v>970</v>
      </c>
      <c r="AG532" s="272">
        <f t="shared" si="222"/>
        <v>485.14274964492114</v>
      </c>
      <c r="AH532" s="272">
        <f t="shared" si="235"/>
        <v>970</v>
      </c>
      <c r="AI532" s="272">
        <f t="shared" si="223"/>
        <v>485.14274964492114</v>
      </c>
      <c r="AJ532" s="272">
        <f t="shared" si="236"/>
        <v>970</v>
      </c>
      <c r="AK532" s="272">
        <f t="shared" si="224"/>
        <v>485.14274964492114</v>
      </c>
      <c r="AL532" s="272">
        <f t="shared" si="237"/>
        <v>970</v>
      </c>
      <c r="AM532" s="272">
        <f t="shared" si="225"/>
        <v>485.14274964492114</v>
      </c>
      <c r="AN532" s="272">
        <f t="shared" si="238"/>
        <v>970</v>
      </c>
      <c r="AO532" s="272">
        <f t="shared" si="226"/>
        <v>485.14274964492114</v>
      </c>
      <c r="AP532" s="272">
        <f t="shared" si="239"/>
        <v>970</v>
      </c>
      <c r="AQ532" s="272">
        <f t="shared" si="227"/>
        <v>485.14274964492114</v>
      </c>
      <c r="AR532" s="272">
        <f t="shared" si="240"/>
        <v>970</v>
      </c>
      <c r="AS532" s="508">
        <f t="shared" si="228"/>
        <v>485.14274964492114</v>
      </c>
    </row>
    <row r="533" spans="1:45" ht="12.75" customHeight="1">
      <c r="A533" s="96">
        <f>IF(MAX($F$104:F533)=$G$99,$G$99,F533)</f>
        <v>15.906595441861038</v>
      </c>
      <c r="B533" s="96">
        <v>430</v>
      </c>
      <c r="C533" s="96">
        <f t="shared" si="219"/>
        <v>0.64499999999999513</v>
      </c>
      <c r="D533" s="96">
        <f t="shared" si="213"/>
        <v>258.81984577832134</v>
      </c>
      <c r="E533" s="96">
        <f t="shared" si="214"/>
        <v>1.8914273186630333E-16</v>
      </c>
      <c r="F533" s="96">
        <f t="shared" si="215"/>
        <v>5.5602826424064448E-14</v>
      </c>
      <c r="G533" s="96">
        <f t="shared" si="218"/>
        <v>-0.29799999999994436</v>
      </c>
      <c r="I533" s="96">
        <f t="shared" si="216"/>
        <v>0</v>
      </c>
      <c r="J533" s="96">
        <f t="shared" si="217"/>
        <v>0.64499999999999513</v>
      </c>
      <c r="X533" s="96">
        <f t="shared" si="229"/>
        <v>501</v>
      </c>
      <c r="Y533" s="96">
        <v>0.124</v>
      </c>
      <c r="Z533" s="272">
        <f t="shared" si="231"/>
        <v>501</v>
      </c>
      <c r="AA533" s="519">
        <f t="shared" si="232"/>
        <v>499.66946158872622</v>
      </c>
      <c r="AB533" s="516">
        <f t="shared" si="230"/>
        <v>998</v>
      </c>
      <c r="AC533" s="272">
        <f t="shared" si="220"/>
        <v>500.88361022982536</v>
      </c>
      <c r="AD533" s="272">
        <f t="shared" si="233"/>
        <v>1000</v>
      </c>
      <c r="AE533" s="272">
        <f t="shared" si="221"/>
        <v>500.88117751322255</v>
      </c>
      <c r="AF533" s="272">
        <f t="shared" si="234"/>
        <v>1000</v>
      </c>
      <c r="AG533" s="272">
        <f t="shared" si="222"/>
        <v>500.88117751322255</v>
      </c>
      <c r="AH533" s="272">
        <f t="shared" si="235"/>
        <v>1000</v>
      </c>
      <c r="AI533" s="272">
        <f t="shared" si="223"/>
        <v>500.88117751322255</v>
      </c>
      <c r="AJ533" s="272">
        <f t="shared" si="236"/>
        <v>1000</v>
      </c>
      <c r="AK533" s="272">
        <f t="shared" si="224"/>
        <v>500.88117751322255</v>
      </c>
      <c r="AL533" s="272">
        <f t="shared" si="237"/>
        <v>1000</v>
      </c>
      <c r="AM533" s="272">
        <f t="shared" si="225"/>
        <v>500.88117751322255</v>
      </c>
      <c r="AN533" s="272">
        <f t="shared" si="238"/>
        <v>1000</v>
      </c>
      <c r="AO533" s="272">
        <f t="shared" si="226"/>
        <v>500.88117751322255</v>
      </c>
      <c r="AP533" s="272">
        <f t="shared" si="239"/>
        <v>1000</v>
      </c>
      <c r="AQ533" s="272">
        <f t="shared" si="227"/>
        <v>500.88117751322255</v>
      </c>
      <c r="AR533" s="272">
        <f t="shared" si="240"/>
        <v>1000</v>
      </c>
      <c r="AS533" s="508">
        <f t="shared" si="228"/>
        <v>500.88117751322255</v>
      </c>
    </row>
    <row r="534" spans="1:45" ht="12.75" customHeight="1">
      <c r="A534" s="96">
        <f>IF(MAX($F$104:F534)=$G$99,$G$99,F534)</f>
        <v>15.906595441861038</v>
      </c>
      <c r="B534" s="481">
        <v>431</v>
      </c>
      <c r="C534" s="96">
        <f t="shared" si="219"/>
        <v>0.64649999999999508</v>
      </c>
      <c r="D534" s="96">
        <f t="shared" si="213"/>
        <v>260.02505879733235</v>
      </c>
      <c r="E534" s="96">
        <f t="shared" si="214"/>
        <v>1.2905800863860844E-16</v>
      </c>
      <c r="F534" s="96">
        <f t="shared" si="215"/>
        <v>3.8137077564387598E-14</v>
      </c>
      <c r="G534" s="96">
        <f t="shared" si="218"/>
        <v>-0.29799999999996185</v>
      </c>
      <c r="I534" s="96">
        <f t="shared" si="216"/>
        <v>0</v>
      </c>
      <c r="J534" s="96">
        <f t="shared" si="217"/>
        <v>0.64649999999999508</v>
      </c>
      <c r="X534" s="96">
        <f t="shared" si="229"/>
        <v>518</v>
      </c>
      <c r="Y534" s="96">
        <v>0.122</v>
      </c>
      <c r="Z534" s="272">
        <f t="shared" si="231"/>
        <v>518</v>
      </c>
      <c r="AA534" s="519">
        <f t="shared" si="232"/>
        <v>516.18635053670084</v>
      </c>
      <c r="AB534" s="516">
        <f t="shared" si="230"/>
        <v>1032</v>
      </c>
      <c r="AC534" s="272">
        <f t="shared" si="220"/>
        <v>517.39923744507621</v>
      </c>
      <c r="AD534" s="272">
        <f t="shared" si="233"/>
        <v>1034</v>
      </c>
      <c r="AE534" s="272">
        <f t="shared" si="221"/>
        <v>517.39688730279249</v>
      </c>
      <c r="AF534" s="272">
        <f t="shared" si="234"/>
        <v>1034</v>
      </c>
      <c r="AG534" s="272">
        <f t="shared" si="222"/>
        <v>517.39688730279249</v>
      </c>
      <c r="AH534" s="272">
        <f t="shared" si="235"/>
        <v>1034</v>
      </c>
      <c r="AI534" s="272">
        <f t="shared" si="223"/>
        <v>517.39688730279249</v>
      </c>
      <c r="AJ534" s="272">
        <f t="shared" si="236"/>
        <v>1034</v>
      </c>
      <c r="AK534" s="272">
        <f t="shared" si="224"/>
        <v>517.39688730279249</v>
      </c>
      <c r="AL534" s="272">
        <f t="shared" si="237"/>
        <v>1034</v>
      </c>
      <c r="AM534" s="272">
        <f t="shared" si="225"/>
        <v>517.39688730279249</v>
      </c>
      <c r="AN534" s="272">
        <f t="shared" si="238"/>
        <v>1034</v>
      </c>
      <c r="AO534" s="272">
        <f t="shared" si="226"/>
        <v>517.39688730279249</v>
      </c>
      <c r="AP534" s="272">
        <f t="shared" si="239"/>
        <v>1034</v>
      </c>
      <c r="AQ534" s="272">
        <f t="shared" si="227"/>
        <v>517.39688730279249</v>
      </c>
      <c r="AR534" s="272">
        <f t="shared" si="240"/>
        <v>1034</v>
      </c>
      <c r="AS534" s="508">
        <f t="shared" si="228"/>
        <v>517.39688730279249</v>
      </c>
    </row>
    <row r="535" spans="1:45" ht="12.75" customHeight="1">
      <c r="A535" s="96">
        <f>IF(MAX($F$104:F535)=$G$99,$G$99,F535)</f>
        <v>15.906595441861038</v>
      </c>
      <c r="B535" s="481">
        <v>432</v>
      </c>
      <c r="C535" s="96">
        <f t="shared" si="219"/>
        <v>0.64799999999999502</v>
      </c>
      <c r="D535" s="96">
        <f t="shared" si="213"/>
        <v>261.2330713820088</v>
      </c>
      <c r="E535" s="96">
        <f t="shared" si="214"/>
        <v>8.7893853376778719E-17</v>
      </c>
      <c r="F535" s="96">
        <f t="shared" si="215"/>
        <v>2.6107401133414926E-14</v>
      </c>
      <c r="G535" s="96">
        <f t="shared" si="218"/>
        <v>-0.2979999999999739</v>
      </c>
      <c r="I535" s="96">
        <f t="shared" si="216"/>
        <v>0</v>
      </c>
      <c r="J535" s="96">
        <f t="shared" si="217"/>
        <v>0.64799999999999502</v>
      </c>
      <c r="X535" s="96">
        <f t="shared" si="229"/>
        <v>535</v>
      </c>
      <c r="Y535" s="96">
        <v>0.12</v>
      </c>
      <c r="Z535" s="272">
        <f t="shared" si="231"/>
        <v>535</v>
      </c>
      <c r="AA535" s="519">
        <f t="shared" si="232"/>
        <v>533.53594731862893</v>
      </c>
      <c r="AB535" s="516">
        <f t="shared" si="230"/>
        <v>1066</v>
      </c>
      <c r="AC535" s="272">
        <f t="shared" si="220"/>
        <v>534.74954716031061</v>
      </c>
      <c r="AD535" s="272">
        <f t="shared" si="233"/>
        <v>1068</v>
      </c>
      <c r="AE535" s="272">
        <f t="shared" si="221"/>
        <v>534.74727062171235</v>
      </c>
      <c r="AF535" s="272">
        <f t="shared" si="234"/>
        <v>1068</v>
      </c>
      <c r="AG535" s="272">
        <f t="shared" si="222"/>
        <v>534.74727062171235</v>
      </c>
      <c r="AH535" s="272">
        <f t="shared" si="235"/>
        <v>1068</v>
      </c>
      <c r="AI535" s="272">
        <f t="shared" si="223"/>
        <v>534.74727062171235</v>
      </c>
      <c r="AJ535" s="272">
        <f t="shared" si="236"/>
        <v>1068</v>
      </c>
      <c r="AK535" s="272">
        <f t="shared" si="224"/>
        <v>534.74727062171235</v>
      </c>
      <c r="AL535" s="272">
        <f t="shared" si="237"/>
        <v>1068</v>
      </c>
      <c r="AM535" s="272">
        <f t="shared" si="225"/>
        <v>534.74727062171235</v>
      </c>
      <c r="AN535" s="272">
        <f t="shared" si="238"/>
        <v>1068</v>
      </c>
      <c r="AO535" s="272">
        <f t="shared" si="226"/>
        <v>534.74727062171235</v>
      </c>
      <c r="AP535" s="272">
        <f t="shared" si="239"/>
        <v>1068</v>
      </c>
      <c r="AQ535" s="272">
        <f t="shared" si="227"/>
        <v>534.74727062171235</v>
      </c>
      <c r="AR535" s="272">
        <f t="shared" si="240"/>
        <v>1068</v>
      </c>
      <c r="AS535" s="508">
        <f t="shared" si="228"/>
        <v>534.74727062171235</v>
      </c>
    </row>
    <row r="536" spans="1:45" ht="12.75" customHeight="1">
      <c r="A536" s="96">
        <f>IF(MAX($F$104:F536)=$G$99,$G$99,F536)</f>
        <v>15.906595441861038</v>
      </c>
      <c r="B536" s="96">
        <v>433</v>
      </c>
      <c r="C536" s="96">
        <f t="shared" si="219"/>
        <v>0.64949999999999497</v>
      </c>
      <c r="D536" s="96">
        <f t="shared" si="213"/>
        <v>262.44388353235087</v>
      </c>
      <c r="E536" s="96">
        <f t="shared" si="214"/>
        <v>5.9746324213613054E-17</v>
      </c>
      <c r="F536" s="96">
        <f t="shared" si="215"/>
        <v>1.7838018570086432E-14</v>
      </c>
      <c r="G536" s="96">
        <f t="shared" si="218"/>
        <v>-0.29799999999998217</v>
      </c>
      <c r="I536" s="96">
        <f t="shared" si="216"/>
        <v>0</v>
      </c>
      <c r="J536" s="96">
        <f t="shared" si="217"/>
        <v>0.64949999999999497</v>
      </c>
      <c r="X536" s="96">
        <f t="shared" si="229"/>
        <v>553</v>
      </c>
      <c r="Y536" s="96">
        <v>0.11799999999999999</v>
      </c>
      <c r="Z536" s="272">
        <f t="shared" si="231"/>
        <v>553</v>
      </c>
      <c r="AA536" s="519">
        <f t="shared" si="232"/>
        <v>551.77518251854758</v>
      </c>
      <c r="AB536" s="516">
        <f t="shared" si="230"/>
        <v>1102</v>
      </c>
      <c r="AC536" s="272">
        <f t="shared" si="220"/>
        <v>552.98920106927062</v>
      </c>
      <c r="AD536" s="272">
        <f t="shared" si="233"/>
        <v>1104</v>
      </c>
      <c r="AE536" s="272">
        <f t="shared" si="221"/>
        <v>552.98699812473194</v>
      </c>
      <c r="AF536" s="272">
        <f t="shared" si="234"/>
        <v>1104</v>
      </c>
      <c r="AG536" s="272">
        <f t="shared" si="222"/>
        <v>552.98699812473194</v>
      </c>
      <c r="AH536" s="272">
        <f t="shared" si="235"/>
        <v>1104</v>
      </c>
      <c r="AI536" s="272">
        <f t="shared" si="223"/>
        <v>552.98699812473194</v>
      </c>
      <c r="AJ536" s="272">
        <f t="shared" si="236"/>
        <v>1104</v>
      </c>
      <c r="AK536" s="272">
        <f t="shared" si="224"/>
        <v>552.98699812473194</v>
      </c>
      <c r="AL536" s="272">
        <f t="shared" si="237"/>
        <v>1104</v>
      </c>
      <c r="AM536" s="272">
        <f t="shared" si="225"/>
        <v>552.98699812473194</v>
      </c>
      <c r="AN536" s="272">
        <f t="shared" si="238"/>
        <v>1104</v>
      </c>
      <c r="AO536" s="272">
        <f t="shared" si="226"/>
        <v>552.98699812473194</v>
      </c>
      <c r="AP536" s="272">
        <f t="shared" si="239"/>
        <v>1104</v>
      </c>
      <c r="AQ536" s="272">
        <f t="shared" si="227"/>
        <v>552.98699812473194</v>
      </c>
      <c r="AR536" s="272">
        <f t="shared" si="240"/>
        <v>1104</v>
      </c>
      <c r="AS536" s="508">
        <f t="shared" si="228"/>
        <v>552.98699812473194</v>
      </c>
    </row>
    <row r="537" spans="1:45" ht="12.75" customHeight="1">
      <c r="A537" s="96">
        <f>IF(MAX($F$104:F537)=$G$99,$G$99,F537)</f>
        <v>15.906595441861038</v>
      </c>
      <c r="B537" s="481">
        <v>434</v>
      </c>
      <c r="C537" s="96">
        <f t="shared" si="219"/>
        <v>0.65099999999999492</v>
      </c>
      <c r="D537" s="96">
        <f t="shared" si="213"/>
        <v>263.65749524835843</v>
      </c>
      <c r="E537" s="96">
        <f t="shared" si="214"/>
        <v>4.0536281951770482E-17</v>
      </c>
      <c r="F537" s="96">
        <f t="shared" si="215"/>
        <v>1.2164586735980783E-14</v>
      </c>
      <c r="G537" s="96">
        <f t="shared" si="218"/>
        <v>-0.29799999999998783</v>
      </c>
      <c r="I537" s="96">
        <f t="shared" si="216"/>
        <v>0</v>
      </c>
      <c r="J537" s="96">
        <f t="shared" si="217"/>
        <v>0.65099999999999492</v>
      </c>
      <c r="X537" s="96">
        <f t="shared" si="229"/>
        <v>573</v>
      </c>
      <c r="Y537" s="96">
        <v>0.11600000000000001</v>
      </c>
      <c r="Z537" s="272">
        <f t="shared" si="231"/>
        <v>573</v>
      </c>
      <c r="AA537" s="519">
        <f t="shared" si="232"/>
        <v>570.96593648842543</v>
      </c>
      <c r="AB537" s="516">
        <f t="shared" si="230"/>
        <v>1140</v>
      </c>
      <c r="AC537" s="272">
        <f t="shared" si="220"/>
        <v>572.18023682850276</v>
      </c>
      <c r="AD537" s="272">
        <f t="shared" si="233"/>
        <v>1142</v>
      </c>
      <c r="AE537" s="272">
        <f t="shared" si="221"/>
        <v>572.17810680563207</v>
      </c>
      <c r="AF537" s="272">
        <f t="shared" si="234"/>
        <v>1144</v>
      </c>
      <c r="AG537" s="272">
        <f t="shared" si="222"/>
        <v>572.17598424232767</v>
      </c>
      <c r="AH537" s="272">
        <f t="shared" si="235"/>
        <v>1144</v>
      </c>
      <c r="AI537" s="272">
        <f t="shared" si="223"/>
        <v>572.17598424232767</v>
      </c>
      <c r="AJ537" s="272">
        <f t="shared" si="236"/>
        <v>1144</v>
      </c>
      <c r="AK537" s="272">
        <f t="shared" si="224"/>
        <v>572.17598424232767</v>
      </c>
      <c r="AL537" s="272">
        <f t="shared" si="237"/>
        <v>1144</v>
      </c>
      <c r="AM537" s="272">
        <f t="shared" si="225"/>
        <v>572.17598424232767</v>
      </c>
      <c r="AN537" s="272">
        <f t="shared" si="238"/>
        <v>1144</v>
      </c>
      <c r="AO537" s="272">
        <f t="shared" si="226"/>
        <v>572.17598424232767</v>
      </c>
      <c r="AP537" s="272">
        <f t="shared" si="239"/>
        <v>1144</v>
      </c>
      <c r="AQ537" s="272">
        <f t="shared" si="227"/>
        <v>572.17598424232767</v>
      </c>
      <c r="AR537" s="272">
        <f t="shared" si="240"/>
        <v>1144</v>
      </c>
      <c r="AS537" s="508">
        <f t="shared" si="228"/>
        <v>572.17598424232767</v>
      </c>
    </row>
    <row r="538" spans="1:45" ht="12.75" customHeight="1">
      <c r="A538" s="96">
        <f>IF(MAX($F$104:F538)=$G$99,$G$99,F538)</f>
        <v>15.906595441861038</v>
      </c>
      <c r="B538" s="481">
        <v>435</v>
      </c>
      <c r="C538" s="96">
        <f t="shared" si="219"/>
        <v>0.65249999999999486</v>
      </c>
      <c r="D538" s="96">
        <f t="shared" si="213"/>
        <v>264.87390653003149</v>
      </c>
      <c r="E538" s="96">
        <f t="shared" si="214"/>
        <v>2.7450961197734869E-17</v>
      </c>
      <c r="F538" s="96">
        <f t="shared" si="215"/>
        <v>8.2797441707758139E-15</v>
      </c>
      <c r="G538" s="96">
        <f t="shared" si="218"/>
        <v>-0.29799999999999172</v>
      </c>
      <c r="I538" s="96">
        <f t="shared" si="216"/>
        <v>0</v>
      </c>
      <c r="J538" s="96">
        <f t="shared" si="217"/>
        <v>0.65249999999999486</v>
      </c>
      <c r="X538" s="96">
        <f t="shared" si="229"/>
        <v>593</v>
      </c>
      <c r="Y538" s="96">
        <v>0.114</v>
      </c>
      <c r="Z538" s="272">
        <f t="shared" si="231"/>
        <v>593</v>
      </c>
      <c r="AA538" s="519">
        <f t="shared" si="232"/>
        <v>591.17556489598758</v>
      </c>
      <c r="AB538" s="516">
        <f t="shared" si="230"/>
        <v>1182</v>
      </c>
      <c r="AC538" s="272">
        <f t="shared" si="220"/>
        <v>592.38810195905683</v>
      </c>
      <c r="AD538" s="272">
        <f t="shared" si="233"/>
        <v>1184</v>
      </c>
      <c r="AE538" s="272">
        <f t="shared" si="221"/>
        <v>592.38605059018778</v>
      </c>
      <c r="AF538" s="272">
        <f t="shared" si="234"/>
        <v>1184</v>
      </c>
      <c r="AG538" s="272">
        <f t="shared" si="222"/>
        <v>592.38605059018778</v>
      </c>
      <c r="AH538" s="272">
        <f t="shared" si="235"/>
        <v>1184</v>
      </c>
      <c r="AI538" s="272">
        <f t="shared" si="223"/>
        <v>592.38605059018778</v>
      </c>
      <c r="AJ538" s="272">
        <f t="shared" si="236"/>
        <v>1184</v>
      </c>
      <c r="AK538" s="272">
        <f t="shared" si="224"/>
        <v>592.38605059018778</v>
      </c>
      <c r="AL538" s="272">
        <f t="shared" si="237"/>
        <v>1184</v>
      </c>
      <c r="AM538" s="272">
        <f t="shared" si="225"/>
        <v>592.38605059018778</v>
      </c>
      <c r="AN538" s="272">
        <f t="shared" si="238"/>
        <v>1184</v>
      </c>
      <c r="AO538" s="272">
        <f t="shared" si="226"/>
        <v>592.38605059018778</v>
      </c>
      <c r="AP538" s="272">
        <f t="shared" si="239"/>
        <v>1184</v>
      </c>
      <c r="AQ538" s="272">
        <f t="shared" si="227"/>
        <v>592.38605059018778</v>
      </c>
      <c r="AR538" s="272">
        <f t="shared" si="240"/>
        <v>1184</v>
      </c>
      <c r="AS538" s="508">
        <f t="shared" si="228"/>
        <v>592.38605059018778</v>
      </c>
    </row>
    <row r="539" spans="1:45" ht="12.75" customHeight="1">
      <c r="A539" s="96">
        <f>IF(MAX($F$104:F539)=$G$99,$G$99,F539)</f>
        <v>15.906595441861038</v>
      </c>
      <c r="B539" s="96">
        <v>436</v>
      </c>
      <c r="C539" s="96">
        <f t="shared" si="219"/>
        <v>0.65399999999999481</v>
      </c>
      <c r="D539" s="96">
        <f t="shared" si="213"/>
        <v>266.09311737737011</v>
      </c>
      <c r="E539" s="96">
        <f t="shared" si="214"/>
        <v>1.8554660259445311E-17</v>
      </c>
      <c r="F539" s="96">
        <f t="shared" si="215"/>
        <v>5.624790013084957E-15</v>
      </c>
      <c r="G539" s="96">
        <f t="shared" si="218"/>
        <v>-0.29799999999999438</v>
      </c>
      <c r="I539" s="96">
        <f t="shared" si="216"/>
        <v>0</v>
      </c>
      <c r="J539" s="96">
        <f t="shared" si="217"/>
        <v>0.65399999999999481</v>
      </c>
      <c r="X539" s="96">
        <f t="shared" si="229"/>
        <v>614</v>
      </c>
      <c r="Y539" s="96">
        <v>0.112</v>
      </c>
      <c r="Z539" s="272">
        <f t="shared" si="231"/>
        <v>614</v>
      </c>
      <c r="AA539" s="519">
        <f t="shared" si="232"/>
        <v>612.47749054434405</v>
      </c>
      <c r="AB539" s="516">
        <f t="shared" si="230"/>
        <v>1224</v>
      </c>
      <c r="AC539" s="272">
        <f t="shared" si="220"/>
        <v>613.6905488134347</v>
      </c>
      <c r="AD539" s="272">
        <f t="shared" si="233"/>
        <v>1226</v>
      </c>
      <c r="AE539" s="272">
        <f t="shared" si="221"/>
        <v>613.68856696919488</v>
      </c>
      <c r="AF539" s="272">
        <f t="shared" si="234"/>
        <v>1226</v>
      </c>
      <c r="AG539" s="272">
        <f t="shared" si="222"/>
        <v>613.68856696919488</v>
      </c>
      <c r="AH539" s="272">
        <f t="shared" si="235"/>
        <v>1226</v>
      </c>
      <c r="AI539" s="272">
        <f t="shared" si="223"/>
        <v>613.68856696919488</v>
      </c>
      <c r="AJ539" s="272">
        <f t="shared" si="236"/>
        <v>1226</v>
      </c>
      <c r="AK539" s="272">
        <f t="shared" si="224"/>
        <v>613.68856696919488</v>
      </c>
      <c r="AL539" s="272">
        <f t="shared" si="237"/>
        <v>1226</v>
      </c>
      <c r="AM539" s="272">
        <f t="shared" si="225"/>
        <v>613.68856696919488</v>
      </c>
      <c r="AN539" s="272">
        <f t="shared" si="238"/>
        <v>1226</v>
      </c>
      <c r="AO539" s="272">
        <f t="shared" si="226"/>
        <v>613.68856696919488</v>
      </c>
      <c r="AP539" s="272">
        <f t="shared" si="239"/>
        <v>1226</v>
      </c>
      <c r="AQ539" s="272">
        <f t="shared" si="227"/>
        <v>613.68856696919488</v>
      </c>
      <c r="AR539" s="272">
        <f t="shared" si="240"/>
        <v>1226</v>
      </c>
      <c r="AS539" s="508">
        <f t="shared" si="228"/>
        <v>613.68856696919488</v>
      </c>
    </row>
    <row r="540" spans="1:45" ht="12.75" customHeight="1">
      <c r="A540" s="96">
        <f>IF(MAX($F$104:F540)=$G$99,$G$99,F540)</f>
        <v>15.906595441861038</v>
      </c>
      <c r="B540" s="481">
        <v>437</v>
      </c>
      <c r="C540" s="96">
        <f t="shared" si="219"/>
        <v>0.65549999999999475</v>
      </c>
      <c r="D540" s="96">
        <f t="shared" si="213"/>
        <v>267.31512779037428</v>
      </c>
      <c r="E540" s="96">
        <f t="shared" si="214"/>
        <v>1.2517890366535866E-17</v>
      </c>
      <c r="F540" s="96">
        <f t="shared" si="215"/>
        <v>3.8138759716131964E-15</v>
      </c>
      <c r="G540" s="96">
        <f t="shared" si="218"/>
        <v>-0.29799999999999616</v>
      </c>
      <c r="I540" s="96">
        <f t="shared" si="216"/>
        <v>0</v>
      </c>
      <c r="J540" s="96">
        <f t="shared" si="217"/>
        <v>0.65549999999999475</v>
      </c>
      <c r="X540" s="96">
        <f t="shared" si="229"/>
        <v>637</v>
      </c>
      <c r="Y540" s="96">
        <v>0.11</v>
      </c>
      <c r="Z540" s="272">
        <f t="shared" si="231"/>
        <v>637</v>
      </c>
      <c r="AA540" s="519">
        <f t="shared" si="232"/>
        <v>634.95187118911178</v>
      </c>
      <c r="AB540" s="516">
        <f t="shared" si="230"/>
        <v>1268</v>
      </c>
      <c r="AC540" s="272">
        <f t="shared" si="220"/>
        <v>636.16574051441285</v>
      </c>
      <c r="AD540" s="272">
        <f t="shared" si="233"/>
        <v>1270</v>
      </c>
      <c r="AE540" s="272">
        <f t="shared" si="221"/>
        <v>636.16382614825432</v>
      </c>
      <c r="AF540" s="272">
        <f t="shared" si="234"/>
        <v>1272</v>
      </c>
      <c r="AG540" s="272">
        <f t="shared" si="222"/>
        <v>636.16191781091777</v>
      </c>
      <c r="AH540" s="272">
        <f t="shared" si="235"/>
        <v>1272</v>
      </c>
      <c r="AI540" s="272">
        <f t="shared" si="223"/>
        <v>636.16191781091777</v>
      </c>
      <c r="AJ540" s="272">
        <f t="shared" si="236"/>
        <v>1272</v>
      </c>
      <c r="AK540" s="272">
        <f t="shared" si="224"/>
        <v>636.16191781091777</v>
      </c>
      <c r="AL540" s="272">
        <f t="shared" si="237"/>
        <v>1272</v>
      </c>
      <c r="AM540" s="272">
        <f t="shared" si="225"/>
        <v>636.16191781091777</v>
      </c>
      <c r="AN540" s="272">
        <f t="shared" si="238"/>
        <v>1272</v>
      </c>
      <c r="AO540" s="272">
        <f t="shared" si="226"/>
        <v>636.16191781091777</v>
      </c>
      <c r="AP540" s="272">
        <f t="shared" si="239"/>
        <v>1272</v>
      </c>
      <c r="AQ540" s="272">
        <f t="shared" si="227"/>
        <v>636.16191781091777</v>
      </c>
      <c r="AR540" s="272">
        <f t="shared" si="240"/>
        <v>1272</v>
      </c>
      <c r="AS540" s="508">
        <f t="shared" si="228"/>
        <v>636.16191781091777</v>
      </c>
    </row>
    <row r="541" spans="1:45" ht="12.75" customHeight="1">
      <c r="A541" s="96">
        <f>IF(MAX($F$104:F541)=$G$99,$G$99,F541)</f>
        <v>15.906595441861038</v>
      </c>
      <c r="B541" s="481">
        <v>438</v>
      </c>
      <c r="C541" s="96">
        <f t="shared" si="219"/>
        <v>0.6569999999999947</v>
      </c>
      <c r="D541" s="96">
        <f t="shared" si="213"/>
        <v>268.53993776904395</v>
      </c>
      <c r="E541" s="96">
        <f t="shared" si="214"/>
        <v>8.4293258215341685E-18</v>
      </c>
      <c r="F541" s="96">
        <f t="shared" si="215"/>
        <v>2.5810634755212406E-15</v>
      </c>
      <c r="G541" s="96">
        <f t="shared" si="218"/>
        <v>-0.29799999999999743</v>
      </c>
      <c r="I541" s="96">
        <f t="shared" si="216"/>
        <v>0</v>
      </c>
      <c r="J541" s="96">
        <f t="shared" si="217"/>
        <v>0.6569999999999947</v>
      </c>
      <c r="X541" s="96">
        <f t="shared" si="229"/>
        <v>660</v>
      </c>
      <c r="Y541" s="96">
        <v>0.108</v>
      </c>
      <c r="Z541" s="272">
        <f t="shared" si="231"/>
        <v>660</v>
      </c>
      <c r="AA541" s="519">
        <f t="shared" si="232"/>
        <v>658.68635471435641</v>
      </c>
      <c r="AB541" s="516">
        <f t="shared" si="230"/>
        <v>1316</v>
      </c>
      <c r="AC541" s="272">
        <f t="shared" si="220"/>
        <v>659.89960452108096</v>
      </c>
      <c r="AD541" s="272">
        <f t="shared" si="233"/>
        <v>1318</v>
      </c>
      <c r="AE541" s="272">
        <f t="shared" si="221"/>
        <v>659.89776090814564</v>
      </c>
      <c r="AF541" s="272">
        <f t="shared" si="234"/>
        <v>1318</v>
      </c>
      <c r="AG541" s="272">
        <f t="shared" si="222"/>
        <v>659.89776090814564</v>
      </c>
      <c r="AH541" s="272">
        <f t="shared" si="235"/>
        <v>1318</v>
      </c>
      <c r="AI541" s="272">
        <f t="shared" si="223"/>
        <v>659.89776090814564</v>
      </c>
      <c r="AJ541" s="272">
        <f t="shared" si="236"/>
        <v>1318</v>
      </c>
      <c r="AK541" s="272">
        <f t="shared" si="224"/>
        <v>659.89776090814564</v>
      </c>
      <c r="AL541" s="272">
        <f t="shared" si="237"/>
        <v>1318</v>
      </c>
      <c r="AM541" s="272">
        <f t="shared" si="225"/>
        <v>659.89776090814564</v>
      </c>
      <c r="AN541" s="272">
        <f t="shared" si="238"/>
        <v>1318</v>
      </c>
      <c r="AO541" s="272">
        <f t="shared" si="226"/>
        <v>659.89776090814564</v>
      </c>
      <c r="AP541" s="272">
        <f t="shared" si="239"/>
        <v>1318</v>
      </c>
      <c r="AQ541" s="272">
        <f t="shared" si="227"/>
        <v>659.89776090814564</v>
      </c>
      <c r="AR541" s="272">
        <f t="shared" si="240"/>
        <v>1318</v>
      </c>
      <c r="AS541" s="508">
        <f t="shared" si="228"/>
        <v>659.89776090814564</v>
      </c>
    </row>
    <row r="542" spans="1:45" ht="12.75" customHeight="1">
      <c r="A542" s="96">
        <f>IF(MAX($F$104:F542)=$G$99,$G$99,F542)</f>
        <v>15.906595441861038</v>
      </c>
      <c r="B542" s="96">
        <v>439</v>
      </c>
      <c r="C542" s="96">
        <f t="shared" si="219"/>
        <v>0.65849999999999465</v>
      </c>
      <c r="D542" s="96">
        <f t="shared" si="213"/>
        <v>269.76754731337917</v>
      </c>
      <c r="E542" s="96">
        <f t="shared" si="214"/>
        <v>5.6655094580723938E-18</v>
      </c>
      <c r="F542" s="96">
        <f t="shared" si="215"/>
        <v>1.743426639646937E-15</v>
      </c>
      <c r="G542" s="96">
        <f t="shared" si="218"/>
        <v>-0.29799999999999827</v>
      </c>
      <c r="I542" s="96">
        <f t="shared" si="216"/>
        <v>0</v>
      </c>
      <c r="J542" s="96">
        <f t="shared" si="217"/>
        <v>0.65849999999999465</v>
      </c>
      <c r="X542" s="96">
        <f t="shared" si="229"/>
        <v>685</v>
      </c>
      <c r="Y542" s="96">
        <v>0.106</v>
      </c>
      <c r="Z542" s="272">
        <f t="shared" si="231"/>
        <v>685</v>
      </c>
      <c r="AA542" s="519">
        <f t="shared" si="232"/>
        <v>683.77693497581481</v>
      </c>
      <c r="AB542" s="516">
        <f t="shared" si="230"/>
        <v>1366</v>
      </c>
      <c r="AC542" s="272">
        <f t="shared" si="220"/>
        <v>684.99023719909349</v>
      </c>
      <c r="AD542" s="272">
        <f t="shared" si="233"/>
        <v>1368</v>
      </c>
      <c r="AE542" s="272">
        <f t="shared" si="221"/>
        <v>684.98846097933381</v>
      </c>
      <c r="AF542" s="272">
        <f t="shared" si="234"/>
        <v>1368</v>
      </c>
      <c r="AG542" s="272">
        <f t="shared" si="222"/>
        <v>684.98846097933381</v>
      </c>
      <c r="AH542" s="272">
        <f t="shared" si="235"/>
        <v>1368</v>
      </c>
      <c r="AI542" s="272">
        <f t="shared" si="223"/>
        <v>684.98846097933381</v>
      </c>
      <c r="AJ542" s="272">
        <f t="shared" si="236"/>
        <v>1368</v>
      </c>
      <c r="AK542" s="272">
        <f t="shared" si="224"/>
        <v>684.98846097933381</v>
      </c>
      <c r="AL542" s="272">
        <f t="shared" si="237"/>
        <v>1368</v>
      </c>
      <c r="AM542" s="272">
        <f t="shared" si="225"/>
        <v>684.98846097933381</v>
      </c>
      <c r="AN542" s="272">
        <f t="shared" si="238"/>
        <v>1368</v>
      </c>
      <c r="AO542" s="272">
        <f t="shared" si="226"/>
        <v>684.98846097933381</v>
      </c>
      <c r="AP542" s="272">
        <f t="shared" si="239"/>
        <v>1368</v>
      </c>
      <c r="AQ542" s="272">
        <f t="shared" si="227"/>
        <v>684.98846097933381</v>
      </c>
      <c r="AR542" s="272">
        <f t="shared" si="240"/>
        <v>1368</v>
      </c>
      <c r="AS542" s="508">
        <f t="shared" si="228"/>
        <v>684.98846097933381</v>
      </c>
    </row>
    <row r="543" spans="1:45" ht="12.75" customHeight="1">
      <c r="A543" s="96">
        <f>IF(MAX($F$104:F543)=$G$99,$G$99,F543)</f>
        <v>15.906595441861038</v>
      </c>
      <c r="B543" s="481">
        <v>440</v>
      </c>
      <c r="C543" s="96">
        <f t="shared" si="219"/>
        <v>0.65999999999999459</v>
      </c>
      <c r="D543" s="96">
        <f t="shared" si="213"/>
        <v>270.99795642337995</v>
      </c>
      <c r="E543" s="96">
        <f t="shared" si="214"/>
        <v>3.8007595215865473E-18</v>
      </c>
      <c r="F543" s="96">
        <f t="shared" si="215"/>
        <v>1.1753914882665291E-15</v>
      </c>
      <c r="G543" s="96">
        <f t="shared" si="218"/>
        <v>-0.29799999999999882</v>
      </c>
      <c r="I543" s="96">
        <f t="shared" si="216"/>
        <v>0</v>
      </c>
      <c r="J543" s="96">
        <f t="shared" si="217"/>
        <v>0.65999999999999459</v>
      </c>
      <c r="X543" s="96">
        <f t="shared" si="229"/>
        <v>712</v>
      </c>
      <c r="Y543" s="96">
        <v>0.104</v>
      </c>
      <c r="Z543" s="272">
        <f t="shared" si="231"/>
        <v>712</v>
      </c>
      <c r="AA543" s="519">
        <f t="shared" si="232"/>
        <v>710.32892394491989</v>
      </c>
      <c r="AB543" s="516">
        <f t="shared" si="230"/>
        <v>1420</v>
      </c>
      <c r="AC543" s="272">
        <f t="shared" si="220"/>
        <v>711.54134684941005</v>
      </c>
      <c r="AD543" s="272">
        <f t="shared" si="233"/>
        <v>1422</v>
      </c>
      <c r="AE543" s="272">
        <f t="shared" si="221"/>
        <v>711.53963940256097</v>
      </c>
      <c r="AF543" s="272">
        <f t="shared" si="234"/>
        <v>1422</v>
      </c>
      <c r="AG543" s="272">
        <f t="shared" si="222"/>
        <v>711.53963940256097</v>
      </c>
      <c r="AH543" s="272">
        <f t="shared" si="235"/>
        <v>1422</v>
      </c>
      <c r="AI543" s="272">
        <f t="shared" si="223"/>
        <v>711.53963940256097</v>
      </c>
      <c r="AJ543" s="272">
        <f t="shared" si="236"/>
        <v>1422</v>
      </c>
      <c r="AK543" s="272">
        <f t="shared" si="224"/>
        <v>711.53963940256097</v>
      </c>
      <c r="AL543" s="272">
        <f t="shared" si="237"/>
        <v>1422</v>
      </c>
      <c r="AM543" s="272">
        <f t="shared" si="225"/>
        <v>711.53963940256097</v>
      </c>
      <c r="AN543" s="272">
        <f t="shared" si="238"/>
        <v>1422</v>
      </c>
      <c r="AO543" s="272">
        <f t="shared" si="226"/>
        <v>711.53963940256097</v>
      </c>
      <c r="AP543" s="272">
        <f t="shared" si="239"/>
        <v>1422</v>
      </c>
      <c r="AQ543" s="272">
        <f t="shared" si="227"/>
        <v>711.53963940256097</v>
      </c>
      <c r="AR543" s="272">
        <f t="shared" si="240"/>
        <v>1422</v>
      </c>
      <c r="AS543" s="508">
        <f t="shared" si="228"/>
        <v>711.53963940256097</v>
      </c>
    </row>
    <row r="544" spans="1:45" ht="12.75" customHeight="1">
      <c r="A544" s="96">
        <f>IF(MAX($F$104:F544)=$G$99,$G$99,F544)</f>
        <v>15.906595441861038</v>
      </c>
      <c r="B544" s="481">
        <v>441</v>
      </c>
      <c r="C544" s="96">
        <f t="shared" si="219"/>
        <v>0.66149999999999454</v>
      </c>
      <c r="D544" s="96">
        <f t="shared" si="213"/>
        <v>272.23116509904622</v>
      </c>
      <c r="E544" s="96">
        <f t="shared" si="214"/>
        <v>2.5450010821435551E-18</v>
      </c>
      <c r="F544" s="96">
        <f t="shared" si="215"/>
        <v>7.9092675622360975E-16</v>
      </c>
      <c r="G544" s="96">
        <f t="shared" si="218"/>
        <v>-0.29799999999999921</v>
      </c>
      <c r="I544" s="96">
        <f t="shared" si="216"/>
        <v>0</v>
      </c>
      <c r="J544" s="96">
        <f t="shared" si="217"/>
        <v>0.66149999999999454</v>
      </c>
      <c r="X544" s="96">
        <f t="shared" si="229"/>
        <v>740</v>
      </c>
      <c r="Y544" s="96">
        <v>0.10199999999999999</v>
      </c>
      <c r="Z544" s="272">
        <f t="shared" si="231"/>
        <v>740</v>
      </c>
      <c r="AA544" s="519">
        <f t="shared" si="232"/>
        <v>738.45805857249672</v>
      </c>
      <c r="AB544" s="516">
        <f t="shared" si="230"/>
        <v>1476</v>
      </c>
      <c r="AC544" s="272">
        <f t="shared" si="220"/>
        <v>739.6706124364423</v>
      </c>
      <c r="AD544" s="272">
        <f t="shared" si="233"/>
        <v>1478</v>
      </c>
      <c r="AE544" s="272">
        <f t="shared" si="221"/>
        <v>739.66896958204313</v>
      </c>
      <c r="AF544" s="272">
        <f t="shared" si="234"/>
        <v>1478</v>
      </c>
      <c r="AG544" s="272">
        <f t="shared" si="222"/>
        <v>739.66896958204313</v>
      </c>
      <c r="AH544" s="272">
        <f t="shared" si="235"/>
        <v>1478</v>
      </c>
      <c r="AI544" s="272">
        <f t="shared" si="223"/>
        <v>739.66896958204313</v>
      </c>
      <c r="AJ544" s="272">
        <f t="shared" si="236"/>
        <v>1478</v>
      </c>
      <c r="AK544" s="272">
        <f t="shared" si="224"/>
        <v>739.66896958204313</v>
      </c>
      <c r="AL544" s="272">
        <f t="shared" si="237"/>
        <v>1478</v>
      </c>
      <c r="AM544" s="272">
        <f t="shared" si="225"/>
        <v>739.66896958204313</v>
      </c>
      <c r="AN544" s="272">
        <f t="shared" si="238"/>
        <v>1478</v>
      </c>
      <c r="AO544" s="272">
        <f t="shared" si="226"/>
        <v>739.66896958204313</v>
      </c>
      <c r="AP544" s="272">
        <f t="shared" si="239"/>
        <v>1478</v>
      </c>
      <c r="AQ544" s="272">
        <f t="shared" si="227"/>
        <v>739.66896958204313</v>
      </c>
      <c r="AR544" s="272">
        <f t="shared" si="240"/>
        <v>1478</v>
      </c>
      <c r="AS544" s="508">
        <f t="shared" si="228"/>
        <v>739.66896958204313</v>
      </c>
    </row>
    <row r="545" spans="1:45" ht="12.75" customHeight="1">
      <c r="A545" s="96">
        <f>IF(MAX($F$104:F545)=$G$99,$G$99,F545)</f>
        <v>15.906595441861038</v>
      </c>
      <c r="B545" s="96">
        <v>442</v>
      </c>
      <c r="C545" s="96">
        <f t="shared" si="219"/>
        <v>0.66299999999999448</v>
      </c>
      <c r="D545" s="96">
        <f t="shared" si="213"/>
        <v>273.467173340378</v>
      </c>
      <c r="E545" s="96">
        <f t="shared" si="214"/>
        <v>1.7009539740902377E-18</v>
      </c>
      <c r="F545" s="96">
        <f t="shared" si="215"/>
        <v>5.3120951144250267E-16</v>
      </c>
      <c r="G545" s="96">
        <f t="shared" si="218"/>
        <v>-0.29799999999999943</v>
      </c>
      <c r="I545" s="96">
        <f t="shared" si="216"/>
        <v>0</v>
      </c>
      <c r="J545" s="96">
        <f t="shared" si="217"/>
        <v>0.66299999999999448</v>
      </c>
      <c r="X545" s="96">
        <f t="shared" si="229"/>
        <v>770</v>
      </c>
      <c r="Y545" s="96">
        <v>0.1</v>
      </c>
      <c r="Z545" s="272">
        <f t="shared" si="231"/>
        <v>770</v>
      </c>
      <c r="AA545" s="519">
        <f t="shared" si="232"/>
        <v>768.29176413882522</v>
      </c>
      <c r="AB545" s="516">
        <f t="shared" si="230"/>
        <v>1536</v>
      </c>
      <c r="AC545" s="272">
        <f t="shared" si="220"/>
        <v>769.50396689765068</v>
      </c>
      <c r="AD545" s="272">
        <f t="shared" si="233"/>
        <v>1538</v>
      </c>
      <c r="AE545" s="272">
        <f t="shared" si="221"/>
        <v>769.50238866359064</v>
      </c>
      <c r="AF545" s="272">
        <f t="shared" si="234"/>
        <v>1538</v>
      </c>
      <c r="AG545" s="272">
        <f t="shared" si="222"/>
        <v>769.50238866359064</v>
      </c>
      <c r="AH545" s="272">
        <f t="shared" si="235"/>
        <v>1538</v>
      </c>
      <c r="AI545" s="272">
        <f t="shared" si="223"/>
        <v>769.50238866359064</v>
      </c>
      <c r="AJ545" s="272">
        <f t="shared" si="236"/>
        <v>1538</v>
      </c>
      <c r="AK545" s="272">
        <f t="shared" si="224"/>
        <v>769.50238866359064</v>
      </c>
      <c r="AL545" s="272">
        <f t="shared" si="237"/>
        <v>1538</v>
      </c>
      <c r="AM545" s="272">
        <f t="shared" si="225"/>
        <v>769.50238866359064</v>
      </c>
      <c r="AN545" s="272">
        <f t="shared" si="238"/>
        <v>1538</v>
      </c>
      <c r="AO545" s="272">
        <f t="shared" si="226"/>
        <v>769.50238866359064</v>
      </c>
      <c r="AP545" s="272">
        <f t="shared" si="239"/>
        <v>1538</v>
      </c>
      <c r="AQ545" s="272">
        <f t="shared" si="227"/>
        <v>769.50238866359064</v>
      </c>
      <c r="AR545" s="272">
        <f t="shared" si="240"/>
        <v>1538</v>
      </c>
      <c r="AS545" s="508">
        <f t="shared" si="228"/>
        <v>769.50238866359064</v>
      </c>
    </row>
    <row r="546" spans="1:45" ht="12.75" customHeight="1">
      <c r="A546" s="96">
        <f>IF(MAX($F$104:F546)=$G$99,$G$99,F546)</f>
        <v>15.906595441861038</v>
      </c>
      <c r="B546" s="481">
        <v>443</v>
      </c>
      <c r="C546" s="96">
        <f t="shared" si="219"/>
        <v>0.66449999999999443</v>
      </c>
      <c r="D546" s="96">
        <f t="shared" si="213"/>
        <v>274.70598114737533</v>
      </c>
      <c r="E546" s="96">
        <f t="shared" si="214"/>
        <v>1.1347103438006276E-18</v>
      </c>
      <c r="F546" s="96">
        <f t="shared" si="215"/>
        <v>3.5610021900641891E-16</v>
      </c>
      <c r="G546" s="96">
        <f t="shared" si="218"/>
        <v>-0.29799999999999965</v>
      </c>
      <c r="I546" s="96">
        <f t="shared" si="216"/>
        <v>0</v>
      </c>
      <c r="J546" s="96">
        <f t="shared" si="217"/>
        <v>0.66449999999999443</v>
      </c>
    </row>
    <row r="547" spans="1:45" ht="12.75" customHeight="1">
      <c r="A547" s="96">
        <f>IF(MAX($F$104:F547)=$G$99,$G$99,F547)</f>
        <v>15.906595441861038</v>
      </c>
      <c r="B547" s="481">
        <v>444</v>
      </c>
      <c r="C547" s="96">
        <f t="shared" si="219"/>
        <v>0.66599999999999437</v>
      </c>
      <c r="D547" s="96">
        <f t="shared" si="213"/>
        <v>275.94758852003821</v>
      </c>
      <c r="E547" s="96">
        <f t="shared" si="214"/>
        <v>7.5555516256877145E-19</v>
      </c>
      <c r="F547" s="96">
        <f t="shared" si="215"/>
        <v>2.3826290429450288E-16</v>
      </c>
      <c r="G547" s="96">
        <f t="shared" si="218"/>
        <v>-0.29799999999999977</v>
      </c>
      <c r="I547" s="96">
        <f t="shared" si="216"/>
        <v>0</v>
      </c>
      <c r="J547" s="96">
        <f t="shared" si="217"/>
        <v>0.66599999999999437</v>
      </c>
      <c r="Y547" s="581"/>
    </row>
    <row r="548" spans="1:45" ht="12.75" customHeight="1">
      <c r="A548" s="96">
        <f>IF(MAX($F$104:F548)=$G$99,$G$99,F548)</f>
        <v>15.906595441861038</v>
      </c>
      <c r="B548" s="96">
        <v>445</v>
      </c>
      <c r="C548" s="96">
        <f t="shared" si="219"/>
        <v>0.66749999999999432</v>
      </c>
      <c r="D548" s="96">
        <f t="shared" si="213"/>
        <v>277.19199545836665</v>
      </c>
      <c r="E548" s="96">
        <f t="shared" si="214"/>
        <v>5.0215396071787652E-19</v>
      </c>
      <c r="F548" s="96">
        <f t="shared" si="215"/>
        <v>1.5911802784849863E-16</v>
      </c>
      <c r="G548" s="96">
        <f t="shared" si="218"/>
        <v>-0.29799999999999982</v>
      </c>
      <c r="I548" s="96">
        <f t="shared" si="216"/>
        <v>0</v>
      </c>
      <c r="J548" s="96">
        <f t="shared" si="217"/>
        <v>0.66749999999999432</v>
      </c>
    </row>
    <row r="549" spans="1:45" ht="12.75" customHeight="1">
      <c r="A549" s="96">
        <f>IF(MAX($F$104:F549)=$G$99,$G$99,F549)</f>
        <v>15.906595441861038</v>
      </c>
      <c r="B549" s="481">
        <v>446</v>
      </c>
      <c r="C549" s="96">
        <f t="shared" si="219"/>
        <v>0.66899999999999427</v>
      </c>
      <c r="D549" s="96">
        <f t="shared" si="213"/>
        <v>278.43920196236053</v>
      </c>
      <c r="E549" s="96">
        <f t="shared" si="214"/>
        <v>3.3311792049311129E-19</v>
      </c>
      <c r="F549" s="96">
        <f t="shared" si="215"/>
        <v>1.0606254966257155E-16</v>
      </c>
      <c r="G549" s="96">
        <f t="shared" si="218"/>
        <v>-0.29799999999999988</v>
      </c>
      <c r="I549" s="96">
        <f t="shared" si="216"/>
        <v>0</v>
      </c>
      <c r="J549" s="96">
        <f t="shared" si="217"/>
        <v>0.66899999999999427</v>
      </c>
    </row>
    <row r="550" spans="1:45" ht="12.75" customHeight="1">
      <c r="A550" s="96">
        <f>IF(MAX($F$104:F550)=$G$99,$G$99,F550)</f>
        <v>15.906595441861038</v>
      </c>
      <c r="B550" s="481">
        <v>447</v>
      </c>
      <c r="C550" s="96">
        <f t="shared" si="219"/>
        <v>0.67049999999999421</v>
      </c>
      <c r="D550" s="96">
        <f t="shared" si="213"/>
        <v>279.68920803202002</v>
      </c>
      <c r="E550" s="96">
        <f t="shared" si="214"/>
        <v>2.2057197046326175E-19</v>
      </c>
      <c r="F550" s="96">
        <f t="shared" si="215"/>
        <v>7.0564360503400109E-17</v>
      </c>
      <c r="G550" s="96">
        <f t="shared" si="218"/>
        <v>-0.29799999999999993</v>
      </c>
      <c r="I550" s="96">
        <f t="shared" si="216"/>
        <v>0</v>
      </c>
      <c r="J550" s="96">
        <f t="shared" si="217"/>
        <v>0.67049999999999421</v>
      </c>
    </row>
    <row r="551" spans="1:45" ht="12.75" customHeight="1">
      <c r="A551" s="96">
        <f>IF(MAX($F$104:F551)=$G$99,$G$99,F551)</f>
        <v>15.906595441861038</v>
      </c>
      <c r="B551" s="96">
        <v>448</v>
      </c>
      <c r="C551" s="96">
        <f t="shared" si="219"/>
        <v>0.67199999999999416</v>
      </c>
      <c r="D551" s="96">
        <f t="shared" si="213"/>
        <v>280.94201366734501</v>
      </c>
      <c r="E551" s="96">
        <f t="shared" si="214"/>
        <v>1.4577891030709329E-19</v>
      </c>
      <c r="F551" s="96">
        <f t="shared" si="215"/>
        <v>4.6858714909367785E-17</v>
      </c>
      <c r="G551" s="96">
        <f t="shared" si="218"/>
        <v>-0.29799999999999993</v>
      </c>
      <c r="I551" s="96">
        <f t="shared" si="216"/>
        <v>0</v>
      </c>
      <c r="J551" s="96">
        <f t="shared" si="217"/>
        <v>0.67199999999999416</v>
      </c>
    </row>
    <row r="552" spans="1:45" ht="12.75" customHeight="1">
      <c r="A552" s="96">
        <f>IF(MAX($F$104:F552)=$G$99,$G$99,F552)</f>
        <v>15.906595441861038</v>
      </c>
      <c r="B552" s="481">
        <v>449</v>
      </c>
      <c r="C552" s="96">
        <f t="shared" si="219"/>
        <v>0.6734999999999941</v>
      </c>
      <c r="D552" s="96">
        <f t="shared" ref="D552:D615" si="241">C552^2/$C$96</f>
        <v>282.1976188683355</v>
      </c>
      <c r="E552" s="96">
        <f t="shared" ref="E552:E615" si="242">CHIDIST(D552,$E$96)</f>
        <v>9.6168302562285283E-20</v>
      </c>
      <c r="F552" s="96">
        <f t="shared" ref="F552:F615" si="243">IF($E$7&lt;$F$101,NA(),$E$98*(E551-E553)/(2*$C$99))</f>
        <v>3.1058315261431439E-17</v>
      </c>
      <c r="G552" s="96">
        <f t="shared" si="218"/>
        <v>-0.29799999999999993</v>
      </c>
      <c r="I552" s="96">
        <f t="shared" ref="I552:I615" si="244">IF(F552&gt;$G$98,1,0)</f>
        <v>0</v>
      </c>
      <c r="J552" s="96">
        <f t="shared" ref="J552:J615" si="245">C552</f>
        <v>0.6734999999999941</v>
      </c>
    </row>
    <row r="553" spans="1:45" ht="12.75" customHeight="1">
      <c r="A553" s="96">
        <f>IF(MAX($F$104:F553)=$G$99,$G$99,F553)</f>
        <v>15.906595441861038</v>
      </c>
      <c r="B553" s="481">
        <v>450</v>
      </c>
      <c r="C553" s="96">
        <f t="shared" si="219"/>
        <v>0.67499999999999405</v>
      </c>
      <c r="D553" s="96">
        <f t="shared" si="241"/>
        <v>283.45602363499154</v>
      </c>
      <c r="E553" s="96">
        <f t="shared" si="242"/>
        <v>6.3323206073204489E-20</v>
      </c>
      <c r="F553" s="96">
        <f t="shared" si="243"/>
        <v>2.0547022807741094E-17</v>
      </c>
      <c r="G553" s="96">
        <f t="shared" ref="G553:G616" si="246">F553-$G$101</f>
        <v>-0.29799999999999999</v>
      </c>
      <c r="I553" s="96">
        <f t="shared" si="244"/>
        <v>0</v>
      </c>
      <c r="J553" s="96">
        <f t="shared" si="245"/>
        <v>0.67499999999999405</v>
      </c>
    </row>
    <row r="554" spans="1:45" ht="12.75" customHeight="1">
      <c r="A554" s="96">
        <f>IF(MAX($F$104:F554)=$G$99,$G$99,F554)</f>
        <v>15.906595441861038</v>
      </c>
      <c r="B554" s="96">
        <v>451</v>
      </c>
      <c r="C554" s="96">
        <f t="shared" si="219"/>
        <v>0.676499999999994</v>
      </c>
      <c r="D554" s="96">
        <f t="shared" si="241"/>
        <v>284.71722796731314</v>
      </c>
      <c r="E554" s="96">
        <f t="shared" si="242"/>
        <v>4.1618684488636358E-20</v>
      </c>
      <c r="F554" s="96">
        <f t="shared" si="243"/>
        <v>1.3567640502561368E-17</v>
      </c>
      <c r="G554" s="96">
        <f t="shared" si="246"/>
        <v>-0.29799999999999999</v>
      </c>
      <c r="I554" s="96">
        <f t="shared" si="244"/>
        <v>0</v>
      </c>
      <c r="J554" s="96">
        <f t="shared" si="245"/>
        <v>0.676499999999994</v>
      </c>
    </row>
    <row r="555" spans="1:45" ht="12.75" customHeight="1">
      <c r="A555" s="96">
        <f>IF(MAX($F$104:F555)=$G$99,$G$99,F555)</f>
        <v>15.906595441861038</v>
      </c>
      <c r="B555" s="481">
        <v>452</v>
      </c>
      <c r="C555" s="96">
        <f t="shared" si="219"/>
        <v>0.67799999999999394</v>
      </c>
      <c r="D555" s="96">
        <f t="shared" si="241"/>
        <v>285.98123186530023</v>
      </c>
      <c r="E555" s="96">
        <f t="shared" si="242"/>
        <v>2.7302921553130057E-20</v>
      </c>
      <c r="F555" s="96">
        <f t="shared" si="243"/>
        <v>8.942214611281212E-18</v>
      </c>
      <c r="G555" s="96">
        <f t="shared" si="246"/>
        <v>-0.29799999999999999</v>
      </c>
      <c r="I555" s="96">
        <f t="shared" si="244"/>
        <v>0</v>
      </c>
      <c r="J555" s="96">
        <f t="shared" si="245"/>
        <v>0.67799999999999394</v>
      </c>
    </row>
    <row r="556" spans="1:45" ht="12.75" customHeight="1">
      <c r="A556" s="96">
        <f>IF(MAX($F$104:F556)=$G$99,$G$99,F556)</f>
        <v>15.906595441861038</v>
      </c>
      <c r="B556" s="481">
        <v>453</v>
      </c>
      <c r="C556" s="96">
        <f t="shared" si="219"/>
        <v>0.67949999999999389</v>
      </c>
      <c r="D556" s="96">
        <f t="shared" si="241"/>
        <v>287.24803532895288</v>
      </c>
      <c r="E556" s="96">
        <f t="shared" si="242"/>
        <v>1.7878291715323402E-20</v>
      </c>
      <c r="F556" s="96">
        <f t="shared" si="243"/>
        <v>5.8826376779660118E-18</v>
      </c>
      <c r="G556" s="96">
        <f t="shared" si="246"/>
        <v>-0.29799999999999999</v>
      </c>
      <c r="I556" s="96">
        <f t="shared" si="244"/>
        <v>0</v>
      </c>
      <c r="J556" s="96">
        <f t="shared" si="245"/>
        <v>0.67949999999999389</v>
      </c>
    </row>
    <row r="557" spans="1:45" ht="12.75" customHeight="1">
      <c r="A557" s="96">
        <f>IF(MAX($F$104:F557)=$G$99,$G$99,F557)</f>
        <v>15.906595441861038</v>
      </c>
      <c r="B557" s="96">
        <v>454</v>
      </c>
      <c r="C557" s="96">
        <f t="shared" si="219"/>
        <v>0.68099999999999383</v>
      </c>
      <c r="D557" s="96">
        <f t="shared" si="241"/>
        <v>288.51763835827109</v>
      </c>
      <c r="E557" s="96">
        <f t="shared" si="242"/>
        <v>1.1685299399237989E-20</v>
      </c>
      <c r="F557" s="96">
        <f t="shared" si="243"/>
        <v>3.8626581206091826E-18</v>
      </c>
      <c r="G557" s="96">
        <f t="shared" si="246"/>
        <v>-0.29799999999999999</v>
      </c>
      <c r="I557" s="96">
        <f t="shared" si="244"/>
        <v>0</v>
      </c>
      <c r="J557" s="96">
        <f t="shared" si="245"/>
        <v>0.68099999999999383</v>
      </c>
    </row>
    <row r="558" spans="1:45" ht="12.75" customHeight="1">
      <c r="A558" s="96">
        <f>IF(MAX($F$104:F558)=$G$99,$G$99,F558)</f>
        <v>15.906595441861038</v>
      </c>
      <c r="B558" s="481">
        <v>455</v>
      </c>
      <c r="C558" s="96">
        <f t="shared" si="219"/>
        <v>0.68249999999999378</v>
      </c>
      <c r="D558" s="96">
        <f t="shared" si="241"/>
        <v>289.79004095325479</v>
      </c>
      <c r="E558" s="96">
        <f t="shared" si="242"/>
        <v>7.623447147334422E-21</v>
      </c>
      <c r="F558" s="96">
        <f t="shared" si="243"/>
        <v>2.5315616214342314E-18</v>
      </c>
      <c r="G558" s="96">
        <f t="shared" si="246"/>
        <v>-0.29799999999999999</v>
      </c>
      <c r="I558" s="96">
        <f t="shared" si="244"/>
        <v>0</v>
      </c>
      <c r="J558" s="96">
        <f t="shared" si="245"/>
        <v>0.68249999999999378</v>
      </c>
    </row>
    <row r="559" spans="1:45" ht="12.75" customHeight="1">
      <c r="A559" s="96">
        <f>IF(MAX($F$104:F559)=$G$99,$G$99,F559)</f>
        <v>15.906595441861038</v>
      </c>
      <c r="B559" s="481">
        <v>456</v>
      </c>
      <c r="C559" s="96">
        <f t="shared" si="219"/>
        <v>0.68399999999999372</v>
      </c>
      <c r="D559" s="96">
        <f t="shared" si="241"/>
        <v>291.06524311390399</v>
      </c>
      <c r="E559" s="96">
        <f t="shared" si="242"/>
        <v>4.9643393423329489E-21</v>
      </c>
      <c r="F559" s="96">
        <f t="shared" si="243"/>
        <v>1.6560738260496971E-18</v>
      </c>
      <c r="G559" s="96">
        <f t="shared" si="246"/>
        <v>-0.29799999999999999</v>
      </c>
      <c r="I559" s="96">
        <f t="shared" si="244"/>
        <v>0</v>
      </c>
      <c r="J559" s="96">
        <f t="shared" si="245"/>
        <v>0.68399999999999372</v>
      </c>
    </row>
    <row r="560" spans="1:45" ht="12.75" customHeight="1">
      <c r="A560" s="96">
        <f>IF(MAX($F$104:F560)=$G$99,$G$99,F560)</f>
        <v>15.906595441861038</v>
      </c>
      <c r="B560" s="96">
        <v>457</v>
      </c>
      <c r="C560" s="96">
        <f t="shared" si="219"/>
        <v>0.68549999999999367</v>
      </c>
      <c r="D560" s="96">
        <f t="shared" si="241"/>
        <v>292.3432448402188</v>
      </c>
      <c r="E560" s="96">
        <f t="shared" si="242"/>
        <v>3.2267909719812436E-21</v>
      </c>
      <c r="F560" s="96">
        <f t="shared" si="243"/>
        <v>1.0813361746117698E-18</v>
      </c>
      <c r="G560" s="96">
        <f t="shared" si="246"/>
        <v>-0.29799999999999999</v>
      </c>
      <c r="I560" s="96">
        <f t="shared" si="244"/>
        <v>0</v>
      </c>
      <c r="J560" s="96">
        <f t="shared" si="245"/>
        <v>0.68549999999999367</v>
      </c>
    </row>
    <row r="561" spans="1:10" ht="12.75" customHeight="1">
      <c r="A561" s="96">
        <f>IF(MAX($F$104:F561)=$G$99,$G$99,F561)</f>
        <v>15.906595441861038</v>
      </c>
      <c r="B561" s="481">
        <v>458</v>
      </c>
      <c r="C561" s="96">
        <f t="shared" si="219"/>
        <v>0.68699999999999362</v>
      </c>
      <c r="D561" s="96">
        <f t="shared" si="241"/>
        <v>293.62404613219906</v>
      </c>
      <c r="E561" s="96">
        <f t="shared" si="242"/>
        <v>2.0935353389388698E-21</v>
      </c>
      <c r="F561" s="96">
        <f t="shared" si="243"/>
        <v>7.0474581230243413E-19</v>
      </c>
      <c r="G561" s="96">
        <f t="shared" si="246"/>
        <v>-0.29799999999999999</v>
      </c>
      <c r="I561" s="96">
        <f t="shared" si="244"/>
        <v>0</v>
      </c>
      <c r="J561" s="96">
        <f t="shared" si="245"/>
        <v>0.68699999999999362</v>
      </c>
    </row>
    <row r="562" spans="1:10" ht="12.75" customHeight="1">
      <c r="A562" s="96">
        <f>IF(MAX($F$104:F562)=$G$99,$G$99,F562)</f>
        <v>15.906595441861038</v>
      </c>
      <c r="B562" s="481">
        <v>459</v>
      </c>
      <c r="C562" s="96">
        <f t="shared" si="219"/>
        <v>0.68849999999999356</v>
      </c>
      <c r="D562" s="96">
        <f t="shared" si="241"/>
        <v>294.90764698984492</v>
      </c>
      <c r="E562" s="96">
        <f t="shared" si="242"/>
        <v>1.3557843906473474E-21</v>
      </c>
      <c r="F562" s="96">
        <f t="shared" si="243"/>
        <v>4.5845412858606371E-19</v>
      </c>
      <c r="G562" s="96">
        <f t="shared" si="246"/>
        <v>-0.29799999999999999</v>
      </c>
      <c r="I562" s="96">
        <f t="shared" si="244"/>
        <v>0</v>
      </c>
      <c r="J562" s="96">
        <f t="shared" si="245"/>
        <v>0.68849999999999356</v>
      </c>
    </row>
    <row r="563" spans="1:10" ht="12.75" customHeight="1">
      <c r="A563" s="96">
        <f>IF(MAX($F$104:F563)=$G$99,$G$99,F563)</f>
        <v>15.906595441861038</v>
      </c>
      <c r="B563" s="96">
        <v>460</v>
      </c>
      <c r="C563" s="96">
        <f t="shared" si="219"/>
        <v>0.68999999999999351</v>
      </c>
      <c r="D563" s="96">
        <f t="shared" si="241"/>
        <v>296.19404741315628</v>
      </c>
      <c r="E563" s="96">
        <f t="shared" si="242"/>
        <v>8.764004842856032E-22</v>
      </c>
      <c r="F563" s="96">
        <f t="shared" si="243"/>
        <v>2.9768143991113532E-19</v>
      </c>
      <c r="G563" s="96">
        <f t="shared" si="246"/>
        <v>-0.29799999999999999</v>
      </c>
      <c r="I563" s="96">
        <f t="shared" si="244"/>
        <v>0</v>
      </c>
      <c r="J563" s="96">
        <f t="shared" si="245"/>
        <v>0.68999999999999351</v>
      </c>
    </row>
    <row r="564" spans="1:10" ht="12.75" customHeight="1">
      <c r="A564" s="96">
        <f>IF(MAX($F$104:F564)=$G$99,$G$99,F564)</f>
        <v>15.906595441861038</v>
      </c>
      <c r="B564" s="481">
        <v>461</v>
      </c>
      <c r="C564" s="96">
        <f t="shared" si="219"/>
        <v>0.69149999999999345</v>
      </c>
      <c r="D564" s="96">
        <f t="shared" si="241"/>
        <v>297.48324740213314</v>
      </c>
      <c r="E564" s="96">
        <f t="shared" si="242"/>
        <v>5.6547968291866947E-22</v>
      </c>
      <c r="F564" s="96">
        <f t="shared" si="243"/>
        <v>1.9293054021971384E-19</v>
      </c>
      <c r="G564" s="96">
        <f t="shared" si="246"/>
        <v>-0.29799999999999999</v>
      </c>
      <c r="I564" s="96">
        <f t="shared" si="244"/>
        <v>0</v>
      </c>
      <c r="J564" s="96">
        <f t="shared" si="245"/>
        <v>0.69149999999999345</v>
      </c>
    </row>
    <row r="565" spans="1:10" ht="12.75" customHeight="1">
      <c r="A565" s="96">
        <f>IF(MAX($F$104:F565)=$G$99,$G$99,F565)</f>
        <v>15.906595441861038</v>
      </c>
      <c r="B565" s="481">
        <v>462</v>
      </c>
      <c r="C565" s="96">
        <f t="shared" si="219"/>
        <v>0.6929999999999934</v>
      </c>
      <c r="D565" s="96">
        <f t="shared" si="241"/>
        <v>298.77524695677562</v>
      </c>
      <c r="E565" s="96">
        <f t="shared" si="242"/>
        <v>3.6419551025096458E-22</v>
      </c>
      <c r="F565" s="96">
        <f t="shared" si="243"/>
        <v>1.2480857304435367E-19</v>
      </c>
      <c r="G565" s="96">
        <f t="shared" si="246"/>
        <v>-0.29799999999999999</v>
      </c>
      <c r="I565" s="96">
        <f t="shared" si="244"/>
        <v>0</v>
      </c>
      <c r="J565" s="96">
        <f t="shared" si="245"/>
        <v>0.6929999999999934</v>
      </c>
    </row>
    <row r="566" spans="1:10" ht="12.75" customHeight="1">
      <c r="A566" s="96">
        <f>IF(MAX($F$104:F566)=$G$99,$G$99,F566)</f>
        <v>15.906595441861038</v>
      </c>
      <c r="B566" s="96">
        <v>463</v>
      </c>
      <c r="C566" s="96">
        <f t="shared" si="219"/>
        <v>0.69449999999999334</v>
      </c>
      <c r="D566" s="96">
        <f t="shared" si="241"/>
        <v>300.07004607708353</v>
      </c>
      <c r="E566" s="96">
        <f t="shared" si="242"/>
        <v>2.3412948899560656E-22</v>
      </c>
      <c r="F566" s="96">
        <f t="shared" si="243"/>
        <v>8.0590328595995443E-20</v>
      </c>
      <c r="G566" s="96">
        <f t="shared" si="246"/>
        <v>-0.29799999999999999</v>
      </c>
      <c r="I566" s="96">
        <f t="shared" si="244"/>
        <v>0</v>
      </c>
      <c r="J566" s="96">
        <f t="shared" si="245"/>
        <v>0.69449999999999334</v>
      </c>
    </row>
    <row r="567" spans="1:10" ht="12.75" customHeight="1">
      <c r="A567" s="96">
        <f>IF(MAX($F$104:F567)=$G$99,$G$99,F567)</f>
        <v>15.906595441861038</v>
      </c>
      <c r="B567" s="481">
        <v>464</v>
      </c>
      <c r="C567" s="96">
        <f t="shared" si="219"/>
        <v>0.69599999999999329</v>
      </c>
      <c r="D567" s="96">
        <f t="shared" si="241"/>
        <v>301.367644763057</v>
      </c>
      <c r="E567" s="96">
        <f t="shared" si="242"/>
        <v>1.5023888565982624E-22</v>
      </c>
      <c r="F567" s="96">
        <f t="shared" si="243"/>
        <v>5.1941843239002909E-20</v>
      </c>
      <c r="G567" s="96">
        <f t="shared" si="246"/>
        <v>-0.29799999999999999</v>
      </c>
      <c r="I567" s="96">
        <f t="shared" si="244"/>
        <v>0</v>
      </c>
      <c r="J567" s="96">
        <f t="shared" si="245"/>
        <v>0.69599999999999329</v>
      </c>
    </row>
    <row r="568" spans="1:10" ht="12.75" customHeight="1">
      <c r="A568" s="96">
        <f>IF(MAX($F$104:F568)=$G$99,$G$99,F568)</f>
        <v>15.906595441861038</v>
      </c>
      <c r="B568" s="481">
        <v>465</v>
      </c>
      <c r="C568" s="96">
        <f t="shared" si="219"/>
        <v>0.69749999999999324</v>
      </c>
      <c r="D568" s="96">
        <f t="shared" si="241"/>
        <v>302.66804301469602</v>
      </c>
      <c r="E568" s="96">
        <f t="shared" si="242"/>
        <v>9.6230790130997032E-23</v>
      </c>
      <c r="F568" s="96">
        <f t="shared" si="243"/>
        <v>3.3415545485787925E-20</v>
      </c>
      <c r="G568" s="96">
        <f t="shared" si="246"/>
        <v>-0.29799999999999999</v>
      </c>
      <c r="I568" s="96">
        <f t="shared" si="244"/>
        <v>0</v>
      </c>
      <c r="J568" s="96">
        <f t="shared" si="245"/>
        <v>0.69749999999999324</v>
      </c>
    </row>
    <row r="569" spans="1:10" ht="12.75" customHeight="1">
      <c r="A569" s="96">
        <f>IF(MAX($F$104:F569)=$G$99,$G$99,F569)</f>
        <v>15.906595441861038</v>
      </c>
      <c r="B569" s="96">
        <v>466</v>
      </c>
      <c r="C569" s="96">
        <f t="shared" si="219"/>
        <v>0.69899999999999318</v>
      </c>
      <c r="D569" s="96">
        <f t="shared" si="241"/>
        <v>303.97124083200055</v>
      </c>
      <c r="E569" s="96">
        <f t="shared" si="242"/>
        <v>6.1525048086937931E-23</v>
      </c>
      <c r="F569" s="96">
        <f t="shared" si="243"/>
        <v>2.1457412984330969E-20</v>
      </c>
      <c r="G569" s="96">
        <f t="shared" si="246"/>
        <v>-0.29799999999999999</v>
      </c>
      <c r="I569" s="96">
        <f t="shared" si="244"/>
        <v>0</v>
      </c>
      <c r="J569" s="96">
        <f t="shared" si="245"/>
        <v>0.69899999999999318</v>
      </c>
    </row>
    <row r="570" spans="1:10" ht="12.75" customHeight="1">
      <c r="A570" s="96">
        <f>IF(MAX($F$104:F570)=$G$99,$G$99,F570)</f>
        <v>15.906595441861038</v>
      </c>
      <c r="B570" s="481">
        <v>467</v>
      </c>
      <c r="C570" s="96">
        <f t="shared" si="219"/>
        <v>0.70049999999999313</v>
      </c>
      <c r="D570" s="96">
        <f t="shared" si="241"/>
        <v>305.27723821497062</v>
      </c>
      <c r="E570" s="96">
        <f t="shared" si="242"/>
        <v>3.9264206986755516E-23</v>
      </c>
      <c r="F570" s="96">
        <f t="shared" si="243"/>
        <v>1.3753226850555896E-20</v>
      </c>
      <c r="G570" s="96">
        <f t="shared" si="246"/>
        <v>-0.29799999999999999</v>
      </c>
      <c r="I570" s="96">
        <f t="shared" si="244"/>
        <v>0</v>
      </c>
      <c r="J570" s="96">
        <f t="shared" si="245"/>
        <v>0.70049999999999313</v>
      </c>
    </row>
    <row r="571" spans="1:10" ht="12.75" customHeight="1">
      <c r="A571" s="96">
        <f>IF(MAX($F$104:F571)=$G$99,$G$99,F571)</f>
        <v>15.906595441861038</v>
      </c>
      <c r="B571" s="481">
        <v>468</v>
      </c>
      <c r="C571" s="96">
        <f t="shared" si="219"/>
        <v>0.70199999999999307</v>
      </c>
      <c r="D571" s="96">
        <f t="shared" si="241"/>
        <v>306.5860351636062</v>
      </c>
      <c r="E571" s="96">
        <f t="shared" si="242"/>
        <v>2.5012056448293954E-23</v>
      </c>
      <c r="F571" s="96">
        <f t="shared" si="243"/>
        <v>8.7989555440122371E-21</v>
      </c>
      <c r="G571" s="96">
        <f t="shared" si="246"/>
        <v>-0.29799999999999999</v>
      </c>
      <c r="I571" s="96">
        <f t="shared" si="244"/>
        <v>0</v>
      </c>
      <c r="J571" s="96">
        <f t="shared" si="245"/>
        <v>0.70199999999999307</v>
      </c>
    </row>
    <row r="572" spans="1:10" ht="12.75" customHeight="1">
      <c r="A572" s="96">
        <f>IF(MAX($F$104:F572)=$G$99,$G$99,F572)</f>
        <v>15.906595441861038</v>
      </c>
      <c r="B572" s="96">
        <v>469</v>
      </c>
      <c r="C572" s="96">
        <f t="shared" si="219"/>
        <v>0.70349999999999302</v>
      </c>
      <c r="D572" s="96">
        <f t="shared" si="241"/>
        <v>307.89763167790738</v>
      </c>
      <c r="E572" s="96">
        <f t="shared" si="242"/>
        <v>1.5904148020351344E-23</v>
      </c>
      <c r="F572" s="96">
        <f t="shared" si="243"/>
        <v>5.6189832157552278E-21</v>
      </c>
      <c r="G572" s="96">
        <f t="shared" si="246"/>
        <v>-0.29799999999999999</v>
      </c>
      <c r="I572" s="96">
        <f t="shared" si="244"/>
        <v>0</v>
      </c>
      <c r="J572" s="96">
        <f t="shared" si="245"/>
        <v>0.70349999999999302</v>
      </c>
    </row>
    <row r="573" spans="1:10" ht="12.75" customHeight="1">
      <c r="A573" s="96">
        <f>IF(MAX($F$104:F573)=$G$99,$G$99,F573)</f>
        <v>15.906595441861038</v>
      </c>
      <c r="B573" s="481">
        <v>470</v>
      </c>
      <c r="C573" s="96">
        <f t="shared" si="219"/>
        <v>0.70499999999999297</v>
      </c>
      <c r="D573" s="96">
        <f t="shared" si="241"/>
        <v>309.21202775787401</v>
      </c>
      <c r="E573" s="96">
        <f t="shared" si="242"/>
        <v>1.0094401893191575E-23</v>
      </c>
      <c r="F573" s="96">
        <f t="shared" si="243"/>
        <v>3.5816674414871118E-21</v>
      </c>
      <c r="G573" s="96">
        <f t="shared" si="246"/>
        <v>-0.29799999999999999</v>
      </c>
      <c r="I573" s="96">
        <f t="shared" si="244"/>
        <v>0</v>
      </c>
      <c r="J573" s="96">
        <f t="shared" si="245"/>
        <v>0.70499999999999297</v>
      </c>
    </row>
    <row r="574" spans="1:10" ht="12.75" customHeight="1">
      <c r="A574" s="96">
        <f>IF(MAX($F$104:F574)=$G$99,$G$99,F574)</f>
        <v>15.906595441861038</v>
      </c>
      <c r="B574" s="481">
        <v>471</v>
      </c>
      <c r="C574" s="96">
        <f t="shared" si="219"/>
        <v>0.70649999999999291</v>
      </c>
      <c r="D574" s="96">
        <f t="shared" si="241"/>
        <v>310.52922340350619</v>
      </c>
      <c r="E574" s="96">
        <f t="shared" si="242"/>
        <v>6.395296405783789E-24</v>
      </c>
      <c r="F574" s="96">
        <f t="shared" si="243"/>
        <v>2.2788435445576904E-21</v>
      </c>
      <c r="G574" s="96">
        <f t="shared" si="246"/>
        <v>-0.29799999999999999</v>
      </c>
      <c r="I574" s="96">
        <f t="shared" si="244"/>
        <v>0</v>
      </c>
      <c r="J574" s="96">
        <f t="shared" si="245"/>
        <v>0.70649999999999291</v>
      </c>
    </row>
    <row r="575" spans="1:10" ht="12.75" customHeight="1">
      <c r="A575" s="96">
        <f>IF(MAX($F$104:F575)=$G$99,$G$99,F575)</f>
        <v>15.906595441861038</v>
      </c>
      <c r="B575" s="96">
        <v>472</v>
      </c>
      <c r="C575" s="96">
        <f t="shared" si="219"/>
        <v>0.70799999999999286</v>
      </c>
      <c r="D575" s="96">
        <f t="shared" si="241"/>
        <v>311.84921861480399</v>
      </c>
      <c r="E575" s="96">
        <f t="shared" si="242"/>
        <v>4.0443747837463783E-24</v>
      </c>
      <c r="F575" s="96">
        <f t="shared" si="243"/>
        <v>1.4472591170777464E-21</v>
      </c>
      <c r="G575" s="96">
        <f t="shared" si="246"/>
        <v>-0.29799999999999999</v>
      </c>
      <c r="I575" s="96">
        <f t="shared" si="244"/>
        <v>0</v>
      </c>
      <c r="J575" s="96">
        <f t="shared" si="245"/>
        <v>0.70799999999999286</v>
      </c>
    </row>
    <row r="576" spans="1:10" ht="12.75" customHeight="1">
      <c r="A576" s="96">
        <f>IF(MAX($F$104:F576)=$G$99,$G$99,F576)</f>
        <v>15.906595441861038</v>
      </c>
      <c r="B576" s="481">
        <v>473</v>
      </c>
      <c r="C576" s="96">
        <f t="shared" si="219"/>
        <v>0.7094999999999928</v>
      </c>
      <c r="D576" s="96">
        <f t="shared" si="241"/>
        <v>313.17201339176722</v>
      </c>
      <c r="E576" s="96">
        <f t="shared" si="242"/>
        <v>2.5530155639844621E-24</v>
      </c>
      <c r="F576" s="96">
        <f t="shared" si="243"/>
        <v>9.1744791081859856E-22</v>
      </c>
      <c r="G576" s="96">
        <f t="shared" si="246"/>
        <v>-0.29799999999999999</v>
      </c>
      <c r="I576" s="96">
        <f t="shared" si="244"/>
        <v>0</v>
      </c>
      <c r="J576" s="96">
        <f t="shared" si="245"/>
        <v>0.7094999999999928</v>
      </c>
    </row>
    <row r="577" spans="1:10" ht="12.75" customHeight="1">
      <c r="A577" s="96">
        <f>IF(MAX($F$104:F577)=$G$99,$G$99,F577)</f>
        <v>15.906595441861038</v>
      </c>
      <c r="B577" s="481">
        <v>474</v>
      </c>
      <c r="C577" s="96">
        <f t="shared" si="219"/>
        <v>0.71099999999999275</v>
      </c>
      <c r="D577" s="96">
        <f t="shared" si="241"/>
        <v>314.49760773439601</v>
      </c>
      <c r="E577" s="96">
        <f t="shared" si="242"/>
        <v>1.6086723656439039E-24</v>
      </c>
      <c r="F577" s="96">
        <f t="shared" si="243"/>
        <v>5.8052466051705146E-22</v>
      </c>
      <c r="G577" s="96">
        <f t="shared" si="246"/>
        <v>-0.29799999999999999</v>
      </c>
      <c r="I577" s="96">
        <f t="shared" si="244"/>
        <v>0</v>
      </c>
      <c r="J577" s="96">
        <f t="shared" si="245"/>
        <v>0.71099999999999275</v>
      </c>
    </row>
    <row r="578" spans="1:10" ht="12.75" customHeight="1">
      <c r="A578" s="96">
        <f>IF(MAX($F$104:F578)=$G$99,$G$99,F578)</f>
        <v>15.906595441861038</v>
      </c>
      <c r="B578" s="96">
        <v>475</v>
      </c>
      <c r="C578" s="96">
        <f t="shared" si="219"/>
        <v>0.71249999999999269</v>
      </c>
      <c r="D578" s="96">
        <f t="shared" si="241"/>
        <v>315.8260016426903</v>
      </c>
      <c r="E578" s="96">
        <f t="shared" si="242"/>
        <v>1.0117996511073343E-24</v>
      </c>
      <c r="F578" s="96">
        <f t="shared" si="243"/>
        <v>3.6666111801075461E-22</v>
      </c>
      <c r="G578" s="96">
        <f t="shared" si="246"/>
        <v>-0.29799999999999999</v>
      </c>
      <c r="I578" s="96">
        <f t="shared" si="244"/>
        <v>0</v>
      </c>
      <c r="J578" s="96">
        <f t="shared" si="245"/>
        <v>0.71249999999999269</v>
      </c>
    </row>
    <row r="579" spans="1:10" ht="12.75" customHeight="1">
      <c r="A579" s="96">
        <f>IF(MAX($F$104:F579)=$G$99,$G$99,F579)</f>
        <v>15.906595441861038</v>
      </c>
      <c r="B579" s="481">
        <v>476</v>
      </c>
      <c r="C579" s="96">
        <f t="shared" ref="C579:C642" si="247">C578+$C$99</f>
        <v>0.71399999999999264</v>
      </c>
      <c r="D579" s="96">
        <f t="shared" si="241"/>
        <v>317.15719511665014</v>
      </c>
      <c r="E579" s="96">
        <f t="shared" si="242"/>
        <v>6.3523576915517488E-25</v>
      </c>
      <c r="F579" s="96">
        <f t="shared" si="243"/>
        <v>2.3116110372799047E-22</v>
      </c>
      <c r="G579" s="96">
        <f t="shared" si="246"/>
        <v>-0.29799999999999999</v>
      </c>
      <c r="I579" s="96">
        <f t="shared" si="244"/>
        <v>0</v>
      </c>
      <c r="J579" s="96">
        <f t="shared" si="245"/>
        <v>0.71399999999999264</v>
      </c>
    </row>
    <row r="580" spans="1:10" ht="12.75" customHeight="1">
      <c r="A580" s="96">
        <f>IF(MAX($F$104:F580)=$G$99,$G$99,F580)</f>
        <v>15.906595441861038</v>
      </c>
      <c r="B580" s="481">
        <v>477</v>
      </c>
      <c r="C580" s="96">
        <f t="shared" si="247"/>
        <v>0.71549999999999259</v>
      </c>
      <c r="D580" s="96">
        <f t="shared" si="241"/>
        <v>318.49118815627554</v>
      </c>
      <c r="E580" s="96">
        <f t="shared" si="242"/>
        <v>3.9809760581178423E-25</v>
      </c>
      <c r="F580" s="96">
        <f t="shared" si="243"/>
        <v>1.4546923647035173E-22</v>
      </c>
      <c r="G580" s="96">
        <f t="shared" si="246"/>
        <v>-0.29799999999999999</v>
      </c>
      <c r="I580" s="96">
        <f t="shared" si="244"/>
        <v>0</v>
      </c>
      <c r="J580" s="96">
        <f t="shared" si="245"/>
        <v>0.71549999999999259</v>
      </c>
    </row>
    <row r="581" spans="1:10" ht="12.75" customHeight="1">
      <c r="A581" s="96">
        <f>IF(MAX($F$104:F581)=$G$99,$G$99,F581)</f>
        <v>15.906595441861038</v>
      </c>
      <c r="B581" s="96">
        <v>478</v>
      </c>
      <c r="C581" s="96">
        <f t="shared" si="247"/>
        <v>0.71699999999999253</v>
      </c>
      <c r="D581" s="96">
        <f t="shared" si="241"/>
        <v>319.82798076156644</v>
      </c>
      <c r="E581" s="96">
        <f t="shared" si="242"/>
        <v>2.4903425640202867E-25</v>
      </c>
      <c r="F581" s="96">
        <f t="shared" si="243"/>
        <v>9.1376566664543778E-23</v>
      </c>
      <c r="G581" s="96">
        <f t="shared" si="246"/>
        <v>-0.29799999999999999</v>
      </c>
      <c r="I581" s="96">
        <f t="shared" si="244"/>
        <v>0</v>
      </c>
      <c r="J581" s="96">
        <f t="shared" si="245"/>
        <v>0.71699999999999253</v>
      </c>
    </row>
    <row r="582" spans="1:10" ht="12.75" customHeight="1">
      <c r="A582" s="96">
        <f>IF(MAX($F$104:F582)=$G$99,$G$99,F582)</f>
        <v>15.906595441861038</v>
      </c>
      <c r="B582" s="481">
        <v>479</v>
      </c>
      <c r="C582" s="96">
        <f t="shared" si="247"/>
        <v>0.71849999999999248</v>
      </c>
      <c r="D582" s="96">
        <f t="shared" si="241"/>
        <v>321.16757293252294</v>
      </c>
      <c r="E582" s="96">
        <f t="shared" si="242"/>
        <v>1.5550495095016358E-25</v>
      </c>
      <c r="F582" s="96">
        <f t="shared" si="243"/>
        <v>5.7293659505094205E-23</v>
      </c>
      <c r="G582" s="96">
        <f t="shared" si="246"/>
        <v>-0.29799999999999999</v>
      </c>
      <c r="I582" s="96">
        <f t="shared" si="244"/>
        <v>0</v>
      </c>
      <c r="J582" s="96">
        <f t="shared" si="245"/>
        <v>0.71849999999999248</v>
      </c>
    </row>
    <row r="583" spans="1:10" ht="12.75" customHeight="1">
      <c r="A583" s="96">
        <f>IF(MAX($F$104:F583)=$G$99,$G$99,F583)</f>
        <v>15.906595441861038</v>
      </c>
      <c r="B583" s="481">
        <v>480</v>
      </c>
      <c r="C583" s="96">
        <f t="shared" si="247"/>
        <v>0.71999999999999242</v>
      </c>
      <c r="D583" s="96">
        <f t="shared" si="241"/>
        <v>322.50996466914484</v>
      </c>
      <c r="E583" s="96">
        <f t="shared" si="242"/>
        <v>9.6927195769035173E-26</v>
      </c>
      <c r="F583" s="96">
        <f t="shared" si="243"/>
        <v>3.5858086258044824E-23</v>
      </c>
      <c r="G583" s="96">
        <f t="shared" si="246"/>
        <v>-0.29799999999999999</v>
      </c>
      <c r="I583" s="96">
        <f t="shared" si="244"/>
        <v>0</v>
      </c>
      <c r="J583" s="96">
        <f t="shared" si="245"/>
        <v>0.71999999999999242</v>
      </c>
    </row>
    <row r="584" spans="1:10" ht="12.75" customHeight="1">
      <c r="A584" s="96">
        <f>IF(MAX($F$104:F584)=$G$99,$G$99,F584)</f>
        <v>15.906595441861038</v>
      </c>
      <c r="B584" s="96">
        <v>481</v>
      </c>
      <c r="C584" s="96">
        <f t="shared" si="247"/>
        <v>0.72149999999999237</v>
      </c>
      <c r="D584" s="96">
        <f t="shared" si="241"/>
        <v>323.8551559714324</v>
      </c>
      <c r="E584" s="96">
        <f t="shared" si="242"/>
        <v>6.0306491858009169E-26</v>
      </c>
      <c r="F584" s="96">
        <f t="shared" si="243"/>
        <v>2.2401506941894746E-23</v>
      </c>
      <c r="G584" s="96">
        <f t="shared" si="246"/>
        <v>-0.29799999999999999</v>
      </c>
      <c r="I584" s="96">
        <f t="shared" si="244"/>
        <v>0</v>
      </c>
      <c r="J584" s="96">
        <f t="shared" si="245"/>
        <v>0.72149999999999237</v>
      </c>
    </row>
    <row r="585" spans="1:10" ht="12.75" customHeight="1">
      <c r="A585" s="96">
        <f>IF(MAX($F$104:F585)=$G$99,$G$99,F585)</f>
        <v>15.906595441861038</v>
      </c>
      <c r="B585" s="481">
        <v>482</v>
      </c>
      <c r="C585" s="96">
        <f t="shared" si="247"/>
        <v>0.72299999999999232</v>
      </c>
      <c r="D585" s="96">
        <f t="shared" si="241"/>
        <v>325.2031468393854</v>
      </c>
      <c r="E585" s="96">
        <f t="shared" si="242"/>
        <v>3.7454168489668578E-26</v>
      </c>
      <c r="F585" s="96">
        <f t="shared" si="243"/>
        <v>1.3969398328290667E-23</v>
      </c>
      <c r="G585" s="96">
        <f t="shared" si="246"/>
        <v>-0.29799999999999999</v>
      </c>
      <c r="I585" s="96">
        <f t="shared" si="244"/>
        <v>0</v>
      </c>
      <c r="J585" s="96">
        <f t="shared" si="245"/>
        <v>0.72299999999999232</v>
      </c>
    </row>
    <row r="586" spans="1:10" ht="12.75" customHeight="1">
      <c r="A586" s="96">
        <f>IF(MAX($F$104:F586)=$G$99,$G$99,F586)</f>
        <v>15.906595441861038</v>
      </c>
      <c r="B586" s="481">
        <v>483</v>
      </c>
      <c r="C586" s="96">
        <f t="shared" si="247"/>
        <v>0.72449999999999226</v>
      </c>
      <c r="D586" s="96">
        <f t="shared" si="241"/>
        <v>326.55393727300395</v>
      </c>
      <c r="E586" s="96">
        <f t="shared" si="242"/>
        <v>2.3219593641308278E-26</v>
      </c>
      <c r="F586" s="96">
        <f t="shared" si="243"/>
        <v>8.6953939465389378E-24</v>
      </c>
      <c r="G586" s="96">
        <f t="shared" si="246"/>
        <v>-0.29799999999999999</v>
      </c>
      <c r="I586" s="96">
        <f t="shared" si="244"/>
        <v>0</v>
      </c>
      <c r="J586" s="96">
        <f t="shared" si="245"/>
        <v>0.72449999999999226</v>
      </c>
    </row>
    <row r="587" spans="1:10" ht="12.75" customHeight="1">
      <c r="A587" s="96">
        <f>IF(MAX($F$104:F587)=$G$99,$G$99,F587)</f>
        <v>15.906595441861038</v>
      </c>
      <c r="B587" s="96">
        <v>484</v>
      </c>
      <c r="C587" s="96">
        <f t="shared" si="247"/>
        <v>0.72599999999999221</v>
      </c>
      <c r="D587" s="96">
        <f t="shared" si="241"/>
        <v>327.90752727228801</v>
      </c>
      <c r="E587" s="96">
        <f t="shared" si="242"/>
        <v>1.4369051817441308E-26</v>
      </c>
      <c r="F587" s="96">
        <f t="shared" si="243"/>
        <v>5.4027225789105796E-24</v>
      </c>
      <c r="G587" s="96">
        <f t="shared" si="246"/>
        <v>-0.29799999999999999</v>
      </c>
      <c r="I587" s="96">
        <f t="shared" si="244"/>
        <v>0</v>
      </c>
      <c r="J587" s="96">
        <f t="shared" si="245"/>
        <v>0.72599999999999221</v>
      </c>
    </row>
    <row r="588" spans="1:10" ht="12.75" customHeight="1">
      <c r="A588" s="96">
        <f>IF(MAX($F$104:F588)=$G$99,$G$99,F588)</f>
        <v>15.906595441861038</v>
      </c>
      <c r="B588" s="481">
        <v>485</v>
      </c>
      <c r="C588" s="96">
        <f t="shared" si="247"/>
        <v>0.72749999999999215</v>
      </c>
      <c r="D588" s="96">
        <f t="shared" si="241"/>
        <v>329.26391683723767</v>
      </c>
      <c r="E588" s="96">
        <f t="shared" si="242"/>
        <v>8.8760823698642597E-27</v>
      </c>
      <c r="F588" s="96">
        <f t="shared" si="243"/>
        <v>3.3508011936488895E-24</v>
      </c>
      <c r="G588" s="96">
        <f t="shared" si="246"/>
        <v>-0.29799999999999999</v>
      </c>
      <c r="I588" s="96">
        <f t="shared" si="244"/>
        <v>0</v>
      </c>
      <c r="J588" s="96">
        <f t="shared" si="245"/>
        <v>0.72749999999999215</v>
      </c>
    </row>
    <row r="589" spans="1:10" ht="12.75" customHeight="1">
      <c r="A589" s="96">
        <f>IF(MAX($F$104:F589)=$G$99,$G$99,F589)</f>
        <v>15.906595441861038</v>
      </c>
      <c r="B589" s="481">
        <v>486</v>
      </c>
      <c r="C589" s="96">
        <f t="shared" si="247"/>
        <v>0.7289999999999921</v>
      </c>
      <c r="D589" s="96">
        <f t="shared" si="241"/>
        <v>330.62310596785284</v>
      </c>
      <c r="E589" s="96">
        <f t="shared" si="242"/>
        <v>5.4731194449221334E-27</v>
      </c>
      <c r="F589" s="96">
        <f t="shared" si="243"/>
        <v>2.0744261752089738E-24</v>
      </c>
      <c r="G589" s="96">
        <f t="shared" si="246"/>
        <v>-0.29799999999999999</v>
      </c>
      <c r="I589" s="96">
        <f t="shared" si="244"/>
        <v>0</v>
      </c>
      <c r="J589" s="96">
        <f t="shared" si="245"/>
        <v>0.7289999999999921</v>
      </c>
    </row>
    <row r="590" spans="1:10" ht="12.75" customHeight="1">
      <c r="A590" s="96">
        <f>IF(MAX($F$104:F590)=$G$99,$G$99,F590)</f>
        <v>15.906595441861038</v>
      </c>
      <c r="B590" s="96">
        <v>487</v>
      </c>
      <c r="C590" s="96">
        <f t="shared" si="247"/>
        <v>0.73049999999999204</v>
      </c>
      <c r="D590" s="96">
        <f t="shared" si="241"/>
        <v>331.98509466413356</v>
      </c>
      <c r="E590" s="96">
        <f t="shared" si="242"/>
        <v>3.3687562409908772E-27</v>
      </c>
      <c r="F590" s="96">
        <f t="shared" si="243"/>
        <v>1.2819213189810612E-24</v>
      </c>
      <c r="G590" s="96">
        <f t="shared" si="246"/>
        <v>-0.29799999999999999</v>
      </c>
      <c r="I590" s="96">
        <f t="shared" si="244"/>
        <v>0</v>
      </c>
      <c r="J590" s="96">
        <f t="shared" si="245"/>
        <v>0.73049999999999204</v>
      </c>
    </row>
    <row r="591" spans="1:10" ht="12.75" customHeight="1">
      <c r="A591" s="96">
        <f>IF(MAX($F$104:F591)=$G$99,$G$99,F591)</f>
        <v>15.906595441861038</v>
      </c>
      <c r="B591" s="481">
        <v>488</v>
      </c>
      <c r="C591" s="96">
        <f t="shared" si="247"/>
        <v>0.73199999999999199</v>
      </c>
      <c r="D591" s="96">
        <f t="shared" si="241"/>
        <v>333.34988292607977</v>
      </c>
      <c r="E591" s="96">
        <f t="shared" si="242"/>
        <v>2.0697885095741832E-27</v>
      </c>
      <c r="F591" s="96">
        <f t="shared" si="243"/>
        <v>7.907506391860142E-25</v>
      </c>
      <c r="G591" s="96">
        <f t="shared" si="246"/>
        <v>-0.29799999999999999</v>
      </c>
      <c r="I591" s="96">
        <f t="shared" si="244"/>
        <v>0</v>
      </c>
      <c r="J591" s="96">
        <f t="shared" si="245"/>
        <v>0.73199999999999199</v>
      </c>
    </row>
    <row r="592" spans="1:10" ht="12.75" customHeight="1">
      <c r="A592" s="96">
        <f>IF(MAX($F$104:F592)=$G$99,$G$99,F592)</f>
        <v>15.906595441861038</v>
      </c>
      <c r="B592" s="481">
        <v>489</v>
      </c>
      <c r="C592" s="96">
        <f t="shared" si="247"/>
        <v>0.73349999999999194</v>
      </c>
      <c r="D592" s="96">
        <f t="shared" si="241"/>
        <v>334.71747075369149</v>
      </c>
      <c r="E592" s="96">
        <f t="shared" si="242"/>
        <v>1.2694182608510161E-27</v>
      </c>
      <c r="F592" s="96">
        <f t="shared" si="243"/>
        <v>4.8689269059080393E-25</v>
      </c>
      <c r="G592" s="96">
        <f t="shared" si="246"/>
        <v>-0.29799999999999999</v>
      </c>
      <c r="I592" s="96">
        <f t="shared" si="244"/>
        <v>0</v>
      </c>
      <c r="J592" s="96">
        <f t="shared" si="245"/>
        <v>0.73349999999999194</v>
      </c>
    </row>
    <row r="593" spans="1:10" ht="12.75" customHeight="1">
      <c r="A593" s="96">
        <f>IF(MAX($F$104:F593)=$G$99,$G$99,F593)</f>
        <v>15.906595441861038</v>
      </c>
      <c r="B593" s="96">
        <v>490</v>
      </c>
      <c r="C593" s="96">
        <f t="shared" si="247"/>
        <v>0.73499999999999188</v>
      </c>
      <c r="D593" s="96">
        <f t="shared" si="241"/>
        <v>336.08785814696876</v>
      </c>
      <c r="E593" s="96">
        <f t="shared" si="242"/>
        <v>7.7715304782868586E-28</v>
      </c>
      <c r="F593" s="96">
        <f t="shared" si="243"/>
        <v>2.9925623087588457E-25</v>
      </c>
      <c r="G593" s="96">
        <f t="shared" si="246"/>
        <v>-0.29799999999999999</v>
      </c>
      <c r="I593" s="96">
        <f t="shared" si="244"/>
        <v>0</v>
      </c>
      <c r="J593" s="96">
        <f t="shared" si="245"/>
        <v>0.73499999999999188</v>
      </c>
    </row>
    <row r="594" spans="1:10" ht="12.75" customHeight="1">
      <c r="A594" s="96">
        <f>IF(MAX($F$104:F594)=$G$99,$G$99,F594)</f>
        <v>15.906595441861038</v>
      </c>
      <c r="B594" s="481">
        <v>491</v>
      </c>
      <c r="C594" s="96">
        <f t="shared" si="247"/>
        <v>0.73649999999999183</v>
      </c>
      <c r="D594" s="96">
        <f t="shared" si="241"/>
        <v>337.46104510591158</v>
      </c>
      <c r="E594" s="96">
        <f t="shared" si="242"/>
        <v>4.7493269215397731E-28</v>
      </c>
      <c r="F594" s="96">
        <f t="shared" si="243"/>
        <v>1.8359891484772996E-25</v>
      </c>
      <c r="G594" s="96">
        <f t="shared" si="246"/>
        <v>-0.29799999999999999</v>
      </c>
      <c r="I594" s="96">
        <f t="shared" si="244"/>
        <v>0</v>
      </c>
      <c r="J594" s="96">
        <f t="shared" si="245"/>
        <v>0.73649999999999183</v>
      </c>
    </row>
    <row r="595" spans="1:10" ht="12.75" customHeight="1">
      <c r="A595" s="96">
        <f>IF(MAX($F$104:F595)=$G$99,$G$99,F595)</f>
        <v>15.906595441861038</v>
      </c>
      <c r="B595" s="481">
        <v>492</v>
      </c>
      <c r="C595" s="96">
        <f t="shared" si="247"/>
        <v>0.73799999999999177</v>
      </c>
      <c r="D595" s="96">
        <f t="shared" si="241"/>
        <v>338.83703163051985</v>
      </c>
      <c r="E595" s="96">
        <f t="shared" si="242"/>
        <v>2.8972230044533195E-28</v>
      </c>
      <c r="F595" s="96">
        <f t="shared" si="243"/>
        <v>1.124384093188729E-25</v>
      </c>
      <c r="G595" s="96">
        <f t="shared" si="246"/>
        <v>-0.29799999999999999</v>
      </c>
      <c r="I595" s="96">
        <f t="shared" si="244"/>
        <v>0</v>
      </c>
      <c r="J595" s="96">
        <f t="shared" si="245"/>
        <v>0.73799999999999177</v>
      </c>
    </row>
    <row r="596" spans="1:10" ht="12.75" customHeight="1">
      <c r="A596" s="96">
        <f>IF(MAX($F$104:F596)=$G$99,$G$99,F596)</f>
        <v>15.906595441861038</v>
      </c>
      <c r="B596" s="96">
        <v>493</v>
      </c>
      <c r="C596" s="96">
        <f t="shared" si="247"/>
        <v>0.73949999999999172</v>
      </c>
      <c r="D596" s="96">
        <f t="shared" si="241"/>
        <v>340.21581772079372</v>
      </c>
      <c r="E596" s="96">
        <f t="shared" si="242"/>
        <v>1.7642364086493418E-28</v>
      </c>
      <c r="F596" s="96">
        <f t="shared" si="243"/>
        <v>6.8734956084086388E-26</v>
      </c>
      <c r="G596" s="96">
        <f t="shared" si="246"/>
        <v>-0.29799999999999999</v>
      </c>
      <c r="I596" s="96">
        <f t="shared" si="244"/>
        <v>0</v>
      </c>
      <c r="J596" s="96">
        <f t="shared" si="245"/>
        <v>0.73949999999999172</v>
      </c>
    </row>
    <row r="597" spans="1:10" ht="12.75" customHeight="1">
      <c r="A597" s="96">
        <f>IF(MAX($F$104:F597)=$G$99,$G$99,F597)</f>
        <v>15.906595441861038</v>
      </c>
      <c r="B597" s="481">
        <v>494</v>
      </c>
      <c r="C597" s="96">
        <f t="shared" si="247"/>
        <v>0.74099999999999167</v>
      </c>
      <c r="D597" s="96">
        <f t="shared" si="241"/>
        <v>341.59740337673315</v>
      </c>
      <c r="E597" s="96">
        <f t="shared" si="242"/>
        <v>1.072401161512973E-28</v>
      </c>
      <c r="F597" s="96">
        <f t="shared" si="243"/>
        <v>4.194302162387465E-26</v>
      </c>
      <c r="G597" s="96">
        <f t="shared" si="246"/>
        <v>-0.29799999999999999</v>
      </c>
      <c r="I597" s="96">
        <f t="shared" si="244"/>
        <v>0</v>
      </c>
      <c r="J597" s="96">
        <f t="shared" si="245"/>
        <v>0.74099999999999167</v>
      </c>
    </row>
    <row r="598" spans="1:10" ht="12.75" customHeight="1">
      <c r="A598" s="96">
        <f>IF(MAX($F$104:F598)=$G$99,$G$99,F598)</f>
        <v>15.906595441861038</v>
      </c>
      <c r="B598" s="481">
        <v>495</v>
      </c>
      <c r="C598" s="96">
        <f t="shared" si="247"/>
        <v>0.74249999999999161</v>
      </c>
      <c r="D598" s="96">
        <f t="shared" si="241"/>
        <v>342.98178859833808</v>
      </c>
      <c r="E598" s="96">
        <f t="shared" si="242"/>
        <v>6.5070486111284661E-29</v>
      </c>
      <c r="F598" s="96">
        <f t="shared" si="243"/>
        <v>2.5548273559182905E-26</v>
      </c>
      <c r="G598" s="96">
        <f t="shared" si="246"/>
        <v>-0.29799999999999999</v>
      </c>
      <c r="I598" s="96">
        <f t="shared" si="244"/>
        <v>0</v>
      </c>
      <c r="J598" s="96">
        <f t="shared" si="245"/>
        <v>0.74249999999999161</v>
      </c>
    </row>
    <row r="599" spans="1:10" ht="12.75" customHeight="1">
      <c r="A599" s="96">
        <f>IF(MAX($F$104:F599)=$G$99,$G$99,F599)</f>
        <v>15.906595441861038</v>
      </c>
      <c r="B599" s="96">
        <v>496</v>
      </c>
      <c r="C599" s="96">
        <f t="shared" si="247"/>
        <v>0.74399999999999156</v>
      </c>
      <c r="D599" s="96">
        <f t="shared" si="241"/>
        <v>344.36897338560857</v>
      </c>
      <c r="E599" s="96">
        <f t="shared" si="242"/>
        <v>3.9412841215413468E-29</v>
      </c>
      <c r="F599" s="96">
        <f t="shared" si="243"/>
        <v>1.5534020925697866E-26</v>
      </c>
      <c r="G599" s="96">
        <f t="shared" si="246"/>
        <v>-0.29799999999999999</v>
      </c>
      <c r="I599" s="96">
        <f t="shared" si="244"/>
        <v>0</v>
      </c>
      <c r="J599" s="96">
        <f t="shared" si="245"/>
        <v>0.74399999999999156</v>
      </c>
    </row>
    <row r="600" spans="1:10" ht="12.75" customHeight="1">
      <c r="A600" s="96">
        <f>IF(MAX($F$104:F600)=$G$99,$G$99,F600)</f>
        <v>15.906595441861038</v>
      </c>
      <c r="B600" s="481">
        <v>497</v>
      </c>
      <c r="C600" s="96">
        <f t="shared" si="247"/>
        <v>0.7454999999999915</v>
      </c>
      <c r="D600" s="96">
        <f t="shared" si="241"/>
        <v>345.75895773854455</v>
      </c>
      <c r="E600" s="96">
        <f t="shared" si="242"/>
        <v>2.3829722591732799E-29</v>
      </c>
      <c r="F600" s="96">
        <f t="shared" si="243"/>
        <v>9.4281696933570969E-27</v>
      </c>
      <c r="G600" s="96">
        <f t="shared" si="246"/>
        <v>-0.29799999999999999</v>
      </c>
      <c r="I600" s="96">
        <f t="shared" si="244"/>
        <v>0</v>
      </c>
      <c r="J600" s="96">
        <f t="shared" si="245"/>
        <v>0.7454999999999915</v>
      </c>
    </row>
    <row r="601" spans="1:10" ht="12.75" customHeight="1">
      <c r="A601" s="96">
        <f>IF(MAX($F$104:F601)=$G$99,$G$99,F601)</f>
        <v>15.906595441861038</v>
      </c>
      <c r="B601" s="481">
        <v>498</v>
      </c>
      <c r="C601" s="96">
        <f t="shared" si="247"/>
        <v>0.74699999999999145</v>
      </c>
      <c r="D601" s="96">
        <f t="shared" si="241"/>
        <v>347.15174165714603</v>
      </c>
      <c r="E601" s="96">
        <f t="shared" si="242"/>
        <v>1.4382302206500818E-29</v>
      </c>
      <c r="F601" s="96">
        <f t="shared" si="243"/>
        <v>5.7120599873610122E-27</v>
      </c>
      <c r="G601" s="96">
        <f t="shared" si="246"/>
        <v>-0.29799999999999999</v>
      </c>
      <c r="I601" s="96">
        <f t="shared" si="244"/>
        <v>0</v>
      </c>
      <c r="J601" s="96">
        <f t="shared" si="245"/>
        <v>0.74699999999999145</v>
      </c>
    </row>
    <row r="602" spans="1:10" ht="12.75" customHeight="1">
      <c r="A602" s="96">
        <f>IF(MAX($F$104:F602)=$G$99,$G$99,F602)</f>
        <v>15.906595441861038</v>
      </c>
      <c r="B602" s="96">
        <v>499</v>
      </c>
      <c r="C602" s="96">
        <f t="shared" si="247"/>
        <v>0.74849999999999139</v>
      </c>
      <c r="D602" s="96">
        <f t="shared" si="241"/>
        <v>348.54732514141313</v>
      </c>
      <c r="E602" s="96">
        <f t="shared" si="242"/>
        <v>8.6649615633407286E-30</v>
      </c>
      <c r="F602" s="96">
        <f t="shared" si="243"/>
        <v>3.4544640449274116E-27</v>
      </c>
      <c r="G602" s="96">
        <f t="shared" si="246"/>
        <v>-0.29799999999999999</v>
      </c>
      <c r="I602" s="96">
        <f t="shared" si="244"/>
        <v>0</v>
      </c>
      <c r="J602" s="96">
        <f t="shared" si="245"/>
        <v>0.74849999999999139</v>
      </c>
    </row>
    <row r="603" spans="1:10" ht="12.75" customHeight="1">
      <c r="A603" s="96">
        <f>IF(MAX($F$104:F603)=$G$99,$G$99,F603)</f>
        <v>15.906595441861038</v>
      </c>
      <c r="B603" s="481">
        <v>500</v>
      </c>
      <c r="C603" s="96">
        <f t="shared" si="247"/>
        <v>0.74999999999999134</v>
      </c>
      <c r="D603" s="96">
        <f t="shared" si="241"/>
        <v>349.94570819134572</v>
      </c>
      <c r="E603" s="96">
        <f t="shared" si="242"/>
        <v>5.2111587243926438E-30</v>
      </c>
      <c r="F603" s="96">
        <f t="shared" si="243"/>
        <v>2.0854117746766747E-27</v>
      </c>
      <c r="G603" s="96">
        <f t="shared" si="246"/>
        <v>-0.29799999999999999</v>
      </c>
      <c r="I603" s="96">
        <f t="shared" si="244"/>
        <v>0</v>
      </c>
      <c r="J603" s="96">
        <f t="shared" si="245"/>
        <v>0.74999999999999134</v>
      </c>
    </row>
    <row r="604" spans="1:10" ht="12.75" customHeight="1">
      <c r="A604" s="96">
        <f>IF(MAX($F$104:F604)=$G$99,$G$99,F604)</f>
        <v>15.906595441861038</v>
      </c>
      <c r="B604" s="481">
        <v>501</v>
      </c>
      <c r="C604" s="96">
        <f t="shared" si="247"/>
        <v>0.75149999999999129</v>
      </c>
      <c r="D604" s="96">
        <f t="shared" si="241"/>
        <v>351.3468908069438</v>
      </c>
      <c r="E604" s="96">
        <f t="shared" si="242"/>
        <v>3.1284701261460163E-30</v>
      </c>
      <c r="F604" s="96">
        <f t="shared" si="243"/>
        <v>1.2566862659056773E-27</v>
      </c>
      <c r="G604" s="96">
        <f t="shared" si="246"/>
        <v>-0.29799999999999999</v>
      </c>
      <c r="I604" s="96">
        <f t="shared" si="244"/>
        <v>0</v>
      </c>
      <c r="J604" s="96">
        <f t="shared" si="245"/>
        <v>0.75149999999999129</v>
      </c>
    </row>
    <row r="605" spans="1:10" ht="12.75" customHeight="1">
      <c r="A605" s="96">
        <f>IF(MAX($F$104:F605)=$G$99,$G$99,F605)</f>
        <v>15.906595441861038</v>
      </c>
      <c r="B605" s="96">
        <v>502</v>
      </c>
      <c r="C605" s="96">
        <f t="shared" si="247"/>
        <v>0.75299999999999123</v>
      </c>
      <c r="D605" s="96">
        <f t="shared" si="241"/>
        <v>352.75087298820745</v>
      </c>
      <c r="E605" s="96">
        <f t="shared" si="242"/>
        <v>1.8748235051740314E-30</v>
      </c>
      <c r="F605" s="96">
        <f t="shared" si="243"/>
        <v>7.5593854520426665E-28</v>
      </c>
      <c r="G605" s="96">
        <f t="shared" si="246"/>
        <v>-0.29799999999999999</v>
      </c>
      <c r="I605" s="96">
        <f t="shared" si="244"/>
        <v>0</v>
      </c>
      <c r="J605" s="96">
        <f t="shared" si="245"/>
        <v>0.75299999999999123</v>
      </c>
    </row>
    <row r="606" spans="1:10" ht="12.75" customHeight="1">
      <c r="A606" s="96">
        <f>IF(MAX($F$104:F606)=$G$99,$G$99,F606)</f>
        <v>15.906595441861038</v>
      </c>
      <c r="B606" s="481">
        <v>503</v>
      </c>
      <c r="C606" s="96">
        <f t="shared" si="247"/>
        <v>0.75449999999999118</v>
      </c>
      <c r="D606" s="96">
        <f t="shared" si="241"/>
        <v>354.15765473513659</v>
      </c>
      <c r="E606" s="96">
        <f t="shared" si="242"/>
        <v>1.1215536344532727E-30</v>
      </c>
      <c r="F606" s="96">
        <f t="shared" si="243"/>
        <v>4.5391167564895703E-28</v>
      </c>
      <c r="G606" s="96">
        <f t="shared" si="246"/>
        <v>-0.29799999999999999</v>
      </c>
      <c r="I606" s="96">
        <f t="shared" si="244"/>
        <v>0</v>
      </c>
      <c r="J606" s="96">
        <f t="shared" si="245"/>
        <v>0.75449999999999118</v>
      </c>
    </row>
    <row r="607" spans="1:10" ht="12.75" customHeight="1">
      <c r="A607" s="96">
        <f>IF(MAX($F$104:F607)=$G$99,$G$99,F607)</f>
        <v>15.906595441861038</v>
      </c>
      <c r="B607" s="481">
        <v>504</v>
      </c>
      <c r="C607" s="96">
        <f t="shared" si="247"/>
        <v>0.75599999999999112</v>
      </c>
      <c r="D607" s="96">
        <f t="shared" si="241"/>
        <v>355.56723604773134</v>
      </c>
      <c r="E607" s="96">
        <f t="shared" si="242"/>
        <v>6.697482600883047E-31</v>
      </c>
      <c r="F607" s="96">
        <f t="shared" si="243"/>
        <v>2.7207091828034593E-28</v>
      </c>
      <c r="G607" s="96">
        <f t="shared" si="246"/>
        <v>-0.29799999999999999</v>
      </c>
      <c r="I607" s="96">
        <f t="shared" si="244"/>
        <v>0</v>
      </c>
      <c r="J607" s="96">
        <f t="shared" si="245"/>
        <v>0.75599999999999112</v>
      </c>
    </row>
    <row r="608" spans="1:10" ht="12.75" customHeight="1">
      <c r="A608" s="96">
        <f>IF(MAX($F$104:F608)=$G$99,$G$99,F608)</f>
        <v>15.906595441861038</v>
      </c>
      <c r="B608" s="96">
        <v>505</v>
      </c>
      <c r="C608" s="96">
        <f t="shared" si="247"/>
        <v>0.75749999999999107</v>
      </c>
      <c r="D608" s="96">
        <f t="shared" si="241"/>
        <v>356.97961692599154</v>
      </c>
      <c r="E608" s="96">
        <f t="shared" si="242"/>
        <v>3.9924146202757543E-31</v>
      </c>
      <c r="F608" s="96">
        <f t="shared" si="243"/>
        <v>1.6278690098126449E-28</v>
      </c>
      <c r="G608" s="96">
        <f t="shared" si="246"/>
        <v>-0.29799999999999999</v>
      </c>
      <c r="I608" s="96">
        <f t="shared" si="244"/>
        <v>0</v>
      </c>
      <c r="J608" s="96">
        <f t="shared" si="245"/>
        <v>0.75749999999999107</v>
      </c>
    </row>
    <row r="609" spans="1:10" ht="12.75" customHeight="1">
      <c r="A609" s="96">
        <f>IF(MAX($F$104:F609)=$G$99,$G$99,F609)</f>
        <v>15.906595441861038</v>
      </c>
      <c r="B609" s="481">
        <v>506</v>
      </c>
      <c r="C609" s="96">
        <f t="shared" si="247"/>
        <v>0.75899999999999102</v>
      </c>
      <c r="D609" s="96">
        <f t="shared" si="241"/>
        <v>358.3947973699174</v>
      </c>
      <c r="E609" s="96">
        <f t="shared" si="242"/>
        <v>2.375706468637087E-31</v>
      </c>
      <c r="F609" s="96">
        <f t="shared" si="243"/>
        <v>9.7226355932557981E-29</v>
      </c>
      <c r="G609" s="96">
        <f t="shared" si="246"/>
        <v>-0.29799999999999999</v>
      </c>
      <c r="I609" s="96">
        <f t="shared" si="244"/>
        <v>0</v>
      </c>
      <c r="J609" s="96">
        <f t="shared" si="245"/>
        <v>0.75899999999999102</v>
      </c>
    </row>
    <row r="610" spans="1:10" ht="12.75" customHeight="1">
      <c r="A610" s="96">
        <f>IF(MAX($F$104:F610)=$G$99,$G$99,F610)</f>
        <v>15.906595441861038</v>
      </c>
      <c r="B610" s="481">
        <v>507</v>
      </c>
      <c r="C610" s="96">
        <f t="shared" si="247"/>
        <v>0.76049999999999096</v>
      </c>
      <c r="D610" s="96">
        <f t="shared" si="241"/>
        <v>359.81277737950865</v>
      </c>
      <c r="E610" s="96">
        <f t="shared" si="242"/>
        <v>1.4111839318007635E-31</v>
      </c>
      <c r="F610" s="96">
        <f t="shared" si="243"/>
        <v>5.7966413896279978E-29</v>
      </c>
      <c r="G610" s="96">
        <f t="shared" si="246"/>
        <v>-0.29799999999999999</v>
      </c>
      <c r="I610" s="96">
        <f t="shared" si="244"/>
        <v>0</v>
      </c>
      <c r="J610" s="96">
        <f t="shared" si="245"/>
        <v>0.76049999999999096</v>
      </c>
    </row>
    <row r="611" spans="1:10" ht="12.75" customHeight="1">
      <c r="A611" s="96">
        <f>IF(MAX($F$104:F611)=$G$99,$G$99,F611)</f>
        <v>15.906595441861038</v>
      </c>
      <c r="B611" s="96">
        <v>508</v>
      </c>
      <c r="C611" s="96">
        <f t="shared" si="247"/>
        <v>0.76199999999999091</v>
      </c>
      <c r="D611" s="96">
        <f t="shared" si="241"/>
        <v>361.2335569547655</v>
      </c>
      <c r="E611" s="96">
        <f t="shared" si="242"/>
        <v>8.3677512625797229E-32</v>
      </c>
      <c r="F611" s="96">
        <f t="shared" si="243"/>
        <v>3.4498274853538094E-29</v>
      </c>
      <c r="G611" s="96">
        <f t="shared" si="246"/>
        <v>-0.29799999999999999</v>
      </c>
      <c r="I611" s="96">
        <f t="shared" si="244"/>
        <v>0</v>
      </c>
      <c r="J611" s="96">
        <f t="shared" si="245"/>
        <v>0.76199999999999091</v>
      </c>
    </row>
    <row r="612" spans="1:10" ht="12.75" customHeight="1">
      <c r="A612" s="96">
        <f>IF(MAX($F$104:F612)=$G$99,$G$99,F612)</f>
        <v>15.906595441861038</v>
      </c>
      <c r="B612" s="481">
        <v>509</v>
      </c>
      <c r="C612" s="96">
        <f t="shared" si="247"/>
        <v>0.76349999999999085</v>
      </c>
      <c r="D612" s="96">
        <f t="shared" si="241"/>
        <v>362.65713609568786</v>
      </c>
      <c r="E612" s="96">
        <f t="shared" si="242"/>
        <v>4.9530052860948661E-32</v>
      </c>
      <c r="F612" s="96">
        <f t="shared" si="243"/>
        <v>2.0494979394540999E-29</v>
      </c>
      <c r="G612" s="96">
        <f t="shared" si="246"/>
        <v>-0.29799999999999999</v>
      </c>
      <c r="I612" s="96">
        <f t="shared" si="244"/>
        <v>0</v>
      </c>
      <c r="J612" s="96">
        <f t="shared" si="245"/>
        <v>0.76349999999999085</v>
      </c>
    </row>
    <row r="613" spans="1:10" ht="12.75" customHeight="1">
      <c r="A613" s="96">
        <f>IF(MAX($F$104:F613)=$G$99,$G$99,F613)</f>
        <v>15.906595441861038</v>
      </c>
      <c r="B613" s="481">
        <v>510</v>
      </c>
      <c r="C613" s="96">
        <f t="shared" si="247"/>
        <v>0.7649999999999908</v>
      </c>
      <c r="D613" s="96">
        <f t="shared" si="241"/>
        <v>364.08351480227572</v>
      </c>
      <c r="E613" s="96">
        <f t="shared" si="242"/>
        <v>2.9266062905776869E-32</v>
      </c>
      <c r="F613" s="96">
        <f t="shared" si="243"/>
        <v>1.2154228528434611E-29</v>
      </c>
      <c r="G613" s="96">
        <f t="shared" si="246"/>
        <v>-0.29799999999999999</v>
      </c>
      <c r="I613" s="96">
        <f t="shared" si="244"/>
        <v>0</v>
      </c>
      <c r="J613" s="96">
        <f t="shared" si="245"/>
        <v>0.7649999999999908</v>
      </c>
    </row>
    <row r="614" spans="1:10" ht="12.75" customHeight="1">
      <c r="A614" s="96">
        <f>IF(MAX($F$104:F614)=$G$99,$G$99,F614)</f>
        <v>15.906595441861038</v>
      </c>
      <c r="B614" s="96">
        <v>511</v>
      </c>
      <c r="C614" s="96">
        <f t="shared" si="247"/>
        <v>0.76649999999999074</v>
      </c>
      <c r="D614" s="96">
        <f t="shared" si="241"/>
        <v>365.51269307452912</v>
      </c>
      <c r="E614" s="96">
        <f t="shared" si="242"/>
        <v>1.7262189511122262E-32</v>
      </c>
      <c r="F614" s="96">
        <f t="shared" si="243"/>
        <v>7.1951151697520414E-30</v>
      </c>
      <c r="G614" s="96">
        <f t="shared" si="246"/>
        <v>-0.29799999999999999</v>
      </c>
      <c r="I614" s="96">
        <f t="shared" si="244"/>
        <v>0</v>
      </c>
      <c r="J614" s="96">
        <f t="shared" si="245"/>
        <v>0.76649999999999074</v>
      </c>
    </row>
    <row r="615" spans="1:10" ht="12.75" customHeight="1">
      <c r="A615" s="96">
        <f>IF(MAX($F$104:F615)=$G$99,$G$99,F615)</f>
        <v>15.906595441861038</v>
      </c>
      <c r="B615" s="481">
        <v>512</v>
      </c>
      <c r="C615" s="96">
        <f t="shared" si="247"/>
        <v>0.76799999999999069</v>
      </c>
      <c r="D615" s="96">
        <f t="shared" si="241"/>
        <v>366.94467091244809</v>
      </c>
      <c r="E615" s="96">
        <f t="shared" si="242"/>
        <v>1.0163987233868792E-32</v>
      </c>
      <c r="F615" s="96">
        <f t="shared" si="243"/>
        <v>4.2518621418919905E-30</v>
      </c>
      <c r="G615" s="96">
        <f t="shared" si="246"/>
        <v>-0.29799999999999999</v>
      </c>
      <c r="I615" s="96">
        <f t="shared" si="244"/>
        <v>0</v>
      </c>
      <c r="J615" s="96">
        <f t="shared" si="245"/>
        <v>0.76799999999999069</v>
      </c>
    </row>
    <row r="616" spans="1:10" ht="12.75" customHeight="1">
      <c r="A616" s="96">
        <f>IF(MAX($F$104:F616)=$G$99,$G$99,F616)</f>
        <v>15.906595441861038</v>
      </c>
      <c r="B616" s="481">
        <v>513</v>
      </c>
      <c r="C616" s="96">
        <f t="shared" si="247"/>
        <v>0.76949999999999064</v>
      </c>
      <c r="D616" s="96">
        <f t="shared" ref="D616:D679" si="248">C616^2/$C$96</f>
        <v>368.37944831603255</v>
      </c>
      <c r="E616" s="96">
        <f t="shared" ref="E616:E679" si="249">CHIDIST(D616,$E$96)</f>
        <v>5.9740599308780365E-33</v>
      </c>
      <c r="F616" s="96">
        <f t="shared" ref="F616:F679" si="250">IF($E$7&lt;$F$101,NA(),$E$98*(E615-E617)/(2*$C$99))</f>
        <v>2.508143046613742E-30</v>
      </c>
      <c r="G616" s="96">
        <f t="shared" si="246"/>
        <v>-0.29799999999999999</v>
      </c>
      <c r="I616" s="96">
        <f t="shared" ref="I616:I679" si="251">IF(F616&gt;$G$98,1,0)</f>
        <v>0</v>
      </c>
      <c r="J616" s="96">
        <f t="shared" ref="J616:J679" si="252">C616</f>
        <v>0.76949999999999064</v>
      </c>
    </row>
    <row r="617" spans="1:10" ht="12.75" customHeight="1">
      <c r="A617" s="96">
        <f>IF(MAX($F$104:F617)=$G$99,$G$99,F617)</f>
        <v>15.906595441861038</v>
      </c>
      <c r="B617" s="96">
        <v>514</v>
      </c>
      <c r="C617" s="96">
        <f t="shared" si="247"/>
        <v>0.77099999999999058</v>
      </c>
      <c r="D617" s="96">
        <f t="shared" si="248"/>
        <v>369.81702528528257</v>
      </c>
      <c r="E617" s="96">
        <f t="shared" si="249"/>
        <v>3.505200384451776E-33</v>
      </c>
      <c r="F617" s="96">
        <f t="shared" si="250"/>
        <v>1.4769226681704973E-30</v>
      </c>
      <c r="G617" s="96">
        <f t="shared" ref="G617:G680" si="253">F617-$G$101</f>
        <v>-0.29799999999999999</v>
      </c>
      <c r="I617" s="96">
        <f t="shared" si="251"/>
        <v>0</v>
      </c>
      <c r="J617" s="96">
        <f t="shared" si="252"/>
        <v>0.77099999999999058</v>
      </c>
    </row>
    <row r="618" spans="1:10" ht="12.75" customHeight="1">
      <c r="A618" s="96">
        <f>IF(MAX($F$104:F618)=$G$99,$G$99,F618)</f>
        <v>15.906595441861038</v>
      </c>
      <c r="B618" s="481">
        <v>515</v>
      </c>
      <c r="C618" s="96">
        <f t="shared" si="247"/>
        <v>0.77249999999999053</v>
      </c>
      <c r="D618" s="96">
        <f t="shared" si="248"/>
        <v>371.25740182019808</v>
      </c>
      <c r="E618" s="96">
        <f t="shared" si="249"/>
        <v>2.0530262985669811E-33</v>
      </c>
      <c r="F618" s="96">
        <f t="shared" si="250"/>
        <v>8.681527783596258E-31</v>
      </c>
      <c r="G618" s="96">
        <f t="shared" si="253"/>
        <v>-0.29799999999999999</v>
      </c>
      <c r="I618" s="96">
        <f t="shared" si="251"/>
        <v>0</v>
      </c>
      <c r="J618" s="96">
        <f t="shared" si="252"/>
        <v>0.77249999999999053</v>
      </c>
    </row>
    <row r="619" spans="1:10" ht="12.75" customHeight="1">
      <c r="A619" s="96">
        <f>IF(MAX($F$104:F619)=$G$99,$G$99,F619)</f>
        <v>15.906595441861038</v>
      </c>
      <c r="B619" s="481">
        <v>516</v>
      </c>
      <c r="C619" s="96">
        <f t="shared" si="247"/>
        <v>0.77399999999999047</v>
      </c>
      <c r="D619" s="96">
        <f t="shared" si="248"/>
        <v>372.70057792077921</v>
      </c>
      <c r="E619" s="96">
        <f t="shared" si="249"/>
        <v>1.2003699994262203E-33</v>
      </c>
      <c r="F619" s="96">
        <f t="shared" si="250"/>
        <v>5.0941077841651893E-31</v>
      </c>
      <c r="G619" s="96">
        <f t="shared" si="253"/>
        <v>-0.29799999999999999</v>
      </c>
      <c r="I619" s="96">
        <f t="shared" si="251"/>
        <v>0</v>
      </c>
      <c r="J619" s="96">
        <f t="shared" si="252"/>
        <v>0.77399999999999047</v>
      </c>
    </row>
    <row r="620" spans="1:10" ht="12.75" customHeight="1">
      <c r="A620" s="96">
        <f>IF(MAX($F$104:F620)=$G$99,$G$99,F620)</f>
        <v>15.906595441861038</v>
      </c>
      <c r="B620" s="96">
        <v>517</v>
      </c>
      <c r="C620" s="96">
        <f t="shared" si="247"/>
        <v>0.77549999999999042</v>
      </c>
      <c r="D620" s="96">
        <f t="shared" si="248"/>
        <v>374.14655358702578</v>
      </c>
      <c r="E620" s="96">
        <f t="shared" si="249"/>
        <v>7.0060830277091312E-34</v>
      </c>
      <c r="F620" s="96">
        <f t="shared" si="250"/>
        <v>2.9838314121784233E-31</v>
      </c>
      <c r="G620" s="96">
        <f t="shared" si="253"/>
        <v>-0.29799999999999999</v>
      </c>
      <c r="I620" s="96">
        <f t="shared" si="251"/>
        <v>0</v>
      </c>
      <c r="J620" s="96">
        <f t="shared" si="252"/>
        <v>0.77549999999999042</v>
      </c>
    </row>
    <row r="621" spans="1:10" ht="12.75" customHeight="1">
      <c r="A621" s="96">
        <f>IF(MAX($F$104:F621)=$G$99,$G$99,F621)</f>
        <v>15.906595441861038</v>
      </c>
      <c r="B621" s="481">
        <v>518</v>
      </c>
      <c r="C621" s="96">
        <f t="shared" si="247"/>
        <v>0.77699999999999037</v>
      </c>
      <c r="D621" s="96">
        <f t="shared" si="248"/>
        <v>375.5953288189379</v>
      </c>
      <c r="E621" s="96">
        <f t="shared" si="249"/>
        <v>4.082023678744264E-34</v>
      </c>
      <c r="F621" s="96">
        <f t="shared" si="250"/>
        <v>1.7446777640314889E-31</v>
      </c>
      <c r="G621" s="96">
        <f t="shared" si="253"/>
        <v>-0.29799999999999999</v>
      </c>
      <c r="I621" s="96">
        <f t="shared" si="251"/>
        <v>0</v>
      </c>
      <c r="J621" s="96">
        <f t="shared" si="252"/>
        <v>0.77699999999999037</v>
      </c>
    </row>
    <row r="622" spans="1:10" ht="12.75" customHeight="1">
      <c r="A622" s="96">
        <f>IF(MAX($F$104:F622)=$G$99,$G$99,F622)</f>
        <v>15.906595441861038</v>
      </c>
      <c r="B622" s="481">
        <v>519</v>
      </c>
      <c r="C622" s="96">
        <f t="shared" si="247"/>
        <v>0.77849999999999031</v>
      </c>
      <c r="D622" s="96">
        <f t="shared" si="248"/>
        <v>377.04690361651558</v>
      </c>
      <c r="E622" s="96">
        <f t="shared" si="249"/>
        <v>2.3741951585989833E-34</v>
      </c>
      <c r="F622" s="96">
        <f t="shared" si="250"/>
        <v>1.0183371093210692E-31</v>
      </c>
      <c r="G622" s="96">
        <f t="shared" si="253"/>
        <v>-0.29799999999999999</v>
      </c>
      <c r="I622" s="96">
        <f t="shared" si="251"/>
        <v>0</v>
      </c>
      <c r="J622" s="96">
        <f t="shared" si="252"/>
        <v>0.77849999999999031</v>
      </c>
    </row>
    <row r="623" spans="1:10" ht="12.75" customHeight="1">
      <c r="A623" s="96">
        <f>IF(MAX($F$104:F623)=$G$99,$G$99,F623)</f>
        <v>15.906595441861038</v>
      </c>
      <c r="B623" s="96">
        <v>520</v>
      </c>
      <c r="C623" s="96">
        <f t="shared" si="247"/>
        <v>0.77999999999999026</v>
      </c>
      <c r="D623" s="96">
        <f t="shared" si="248"/>
        <v>378.50127797975881</v>
      </c>
      <c r="E623" s="96">
        <f t="shared" si="249"/>
        <v>1.3784738309892124E-34</v>
      </c>
      <c r="F623" s="96">
        <f t="shared" si="250"/>
        <v>5.9334039745180449E-32</v>
      </c>
      <c r="G623" s="96">
        <f t="shared" si="253"/>
        <v>-0.29799999999999999</v>
      </c>
      <c r="I623" s="96">
        <f t="shared" si="251"/>
        <v>0</v>
      </c>
      <c r="J623" s="96">
        <f t="shared" si="252"/>
        <v>0.77999999999999026</v>
      </c>
    </row>
    <row r="624" spans="1:10" ht="12.75" customHeight="1">
      <c r="A624" s="96">
        <f>IF(MAX($F$104:F624)=$G$99,$G$99,F624)</f>
        <v>15.906595441861038</v>
      </c>
      <c r="B624" s="481">
        <v>521</v>
      </c>
      <c r="C624" s="96">
        <f t="shared" si="247"/>
        <v>0.7814999999999902</v>
      </c>
      <c r="D624" s="96">
        <f t="shared" si="248"/>
        <v>379.95845190866754</v>
      </c>
      <c r="E624" s="96">
        <f t="shared" si="249"/>
        <v>7.9895516536410391E-35</v>
      </c>
      <c r="F624" s="96">
        <f t="shared" si="250"/>
        <v>3.4510628632904099E-32</v>
      </c>
      <c r="G624" s="96">
        <f t="shared" si="253"/>
        <v>-0.29799999999999999</v>
      </c>
      <c r="I624" s="96">
        <f t="shared" si="251"/>
        <v>0</v>
      </c>
      <c r="J624" s="96">
        <f t="shared" si="252"/>
        <v>0.7814999999999902</v>
      </c>
    </row>
    <row r="625" spans="1:10" ht="12.75" customHeight="1">
      <c r="A625" s="96">
        <f>IF(MAX($F$104:F625)=$G$99,$G$99,F625)</f>
        <v>15.906595441861038</v>
      </c>
      <c r="B625" s="481">
        <v>522</v>
      </c>
      <c r="C625" s="96">
        <f t="shared" si="247"/>
        <v>0.78299999999999015</v>
      </c>
      <c r="D625" s="96">
        <f t="shared" si="248"/>
        <v>381.41842540324177</v>
      </c>
      <c r="E625" s="96">
        <f t="shared" si="249"/>
        <v>4.6226245135459006E-35</v>
      </c>
      <c r="F625" s="96">
        <f t="shared" si="250"/>
        <v>2.0037291834550572E-32</v>
      </c>
      <c r="G625" s="96">
        <f t="shared" si="253"/>
        <v>-0.29799999999999999</v>
      </c>
      <c r="I625" s="96">
        <f t="shared" si="251"/>
        <v>0</v>
      </c>
      <c r="J625" s="96">
        <f t="shared" si="252"/>
        <v>0.78299999999999015</v>
      </c>
    </row>
    <row r="626" spans="1:10" ht="12.75" customHeight="1">
      <c r="A626" s="96">
        <f>IF(MAX($F$104:F626)=$G$99,$G$99,F626)</f>
        <v>15.906595441861038</v>
      </c>
      <c r="B626" s="96">
        <v>523</v>
      </c>
      <c r="C626" s="96">
        <f t="shared" si="247"/>
        <v>0.78449999999999009</v>
      </c>
      <c r="D626" s="96">
        <f t="shared" si="248"/>
        <v>382.88119846348155</v>
      </c>
      <c r="E626" s="96">
        <f t="shared" si="249"/>
        <v>2.6699166533178775E-35</v>
      </c>
      <c r="F626" s="96">
        <f t="shared" si="250"/>
        <v>1.1613495912303751E-32</v>
      </c>
      <c r="G626" s="96">
        <f t="shared" si="253"/>
        <v>-0.29799999999999999</v>
      </c>
      <c r="I626" s="96">
        <f t="shared" si="251"/>
        <v>0</v>
      </c>
      <c r="J626" s="96">
        <f t="shared" si="252"/>
        <v>0.78449999999999009</v>
      </c>
    </row>
    <row r="627" spans="1:10" ht="12.75" customHeight="1">
      <c r="A627" s="96">
        <f>IF(MAX($F$104:F627)=$G$99,$G$99,F627)</f>
        <v>15.906595441861038</v>
      </c>
      <c r="B627" s="481">
        <v>524</v>
      </c>
      <c r="C627" s="96">
        <f t="shared" si="247"/>
        <v>0.78599999999999004</v>
      </c>
      <c r="D627" s="96">
        <f t="shared" si="248"/>
        <v>384.34677108938689</v>
      </c>
      <c r="E627" s="96">
        <f t="shared" si="249"/>
        <v>1.5393955102794177E-35</v>
      </c>
      <c r="F627" s="96">
        <f t="shared" si="250"/>
        <v>6.7193196854284355E-33</v>
      </c>
      <c r="G627" s="96">
        <f t="shared" si="253"/>
        <v>-0.29799999999999999</v>
      </c>
      <c r="I627" s="96">
        <f t="shared" si="251"/>
        <v>0</v>
      </c>
      <c r="J627" s="96">
        <f t="shared" si="252"/>
        <v>0.78599999999999004</v>
      </c>
    </row>
    <row r="628" spans="1:10" ht="12.75" customHeight="1">
      <c r="A628" s="96">
        <f>IF(MAX($F$104:F628)=$G$99,$G$99,F628)</f>
        <v>15.906595441861038</v>
      </c>
      <c r="B628" s="481">
        <v>525</v>
      </c>
      <c r="C628" s="96">
        <f t="shared" si="247"/>
        <v>0.78749999999998999</v>
      </c>
      <c r="D628" s="96">
        <f t="shared" si="248"/>
        <v>385.81514328095773</v>
      </c>
      <c r="E628" s="96">
        <f t="shared" si="249"/>
        <v>8.8602647134572633E-36</v>
      </c>
      <c r="F628" s="96">
        <f t="shared" si="250"/>
        <v>3.8808477763752188E-33</v>
      </c>
      <c r="G628" s="96">
        <f t="shared" si="253"/>
        <v>-0.29799999999999999</v>
      </c>
      <c r="I628" s="96">
        <f t="shared" si="251"/>
        <v>0</v>
      </c>
      <c r="J628" s="96">
        <f t="shared" si="252"/>
        <v>0.78749999999998999</v>
      </c>
    </row>
    <row r="629" spans="1:10" ht="12.75" customHeight="1">
      <c r="A629" s="96">
        <f>IF(MAX($F$104:F629)=$G$99,$G$99,F629)</f>
        <v>15.906595441861038</v>
      </c>
      <c r="B629" s="96">
        <v>526</v>
      </c>
      <c r="C629" s="96">
        <f t="shared" si="247"/>
        <v>0.78899999999998993</v>
      </c>
      <c r="D629" s="96">
        <f t="shared" si="248"/>
        <v>387.28631503819412</v>
      </c>
      <c r="E629" s="96">
        <f t="shared" si="249"/>
        <v>5.0908194133024442E-36</v>
      </c>
      <c r="F629" s="96">
        <f t="shared" si="250"/>
        <v>2.2375227887251519E-33</v>
      </c>
      <c r="G629" s="96">
        <f t="shared" si="253"/>
        <v>-0.29799999999999999</v>
      </c>
      <c r="I629" s="96">
        <f t="shared" si="251"/>
        <v>0</v>
      </c>
      <c r="J629" s="96">
        <f t="shared" si="252"/>
        <v>0.78899999999998993</v>
      </c>
    </row>
    <row r="630" spans="1:10" ht="12.75" customHeight="1">
      <c r="A630" s="96">
        <f>IF(MAX($F$104:F630)=$G$99,$G$99,F630)</f>
        <v>15.906595441861038</v>
      </c>
      <c r="B630" s="481">
        <v>527</v>
      </c>
      <c r="C630" s="96">
        <f t="shared" si="247"/>
        <v>0.79049999999998988</v>
      </c>
      <c r="D630" s="96">
        <f t="shared" si="248"/>
        <v>388.76028636109601</v>
      </c>
      <c r="E630" s="96">
        <f t="shared" si="249"/>
        <v>2.9199387256913721E-36</v>
      </c>
      <c r="F630" s="96">
        <f t="shared" si="250"/>
        <v>1.2878001200750021E-33</v>
      </c>
      <c r="G630" s="96">
        <f t="shared" si="253"/>
        <v>-0.29799999999999999</v>
      </c>
      <c r="I630" s="96">
        <f t="shared" si="251"/>
        <v>0</v>
      </c>
      <c r="J630" s="96">
        <f t="shared" si="252"/>
        <v>0.79049999999998988</v>
      </c>
    </row>
    <row r="631" spans="1:10" ht="12.75" customHeight="1">
      <c r="A631" s="96">
        <f>IF(MAX($F$104:F631)=$G$99,$G$99,F631)</f>
        <v>15.906595441861038</v>
      </c>
      <c r="B631" s="481">
        <v>528</v>
      </c>
      <c r="C631" s="96">
        <f t="shared" si="247"/>
        <v>0.79199999999998982</v>
      </c>
      <c r="D631" s="96">
        <f t="shared" si="248"/>
        <v>390.23705724966345</v>
      </c>
      <c r="E631" s="96">
        <f t="shared" si="249"/>
        <v>1.6718810414219071E-36</v>
      </c>
      <c r="F631" s="96">
        <f t="shared" si="250"/>
        <v>7.3989512703207653E-34</v>
      </c>
      <c r="G631" s="96">
        <f t="shared" si="253"/>
        <v>-0.29799999999999999</v>
      </c>
      <c r="I631" s="96">
        <f t="shared" si="251"/>
        <v>0</v>
      </c>
      <c r="J631" s="96">
        <f t="shared" si="252"/>
        <v>0.79199999999998982</v>
      </c>
    </row>
    <row r="632" spans="1:10" ht="12.75" customHeight="1">
      <c r="A632" s="96">
        <f>IF(MAX($F$104:F632)=$G$99,$G$99,F632)</f>
        <v>15.906595441861038</v>
      </c>
      <c r="B632" s="96">
        <v>529</v>
      </c>
      <c r="C632" s="96">
        <f t="shared" si="247"/>
        <v>0.79349999999998977</v>
      </c>
      <c r="D632" s="96">
        <f t="shared" si="248"/>
        <v>391.71662770389645</v>
      </c>
      <c r="E632" s="96">
        <f t="shared" si="249"/>
        <v>9.5561537958851353E-37</v>
      </c>
      <c r="F632" s="96">
        <f t="shared" si="250"/>
        <v>4.2435874674381331E-34</v>
      </c>
      <c r="G632" s="96">
        <f t="shared" si="253"/>
        <v>-0.29799999999999999</v>
      </c>
      <c r="I632" s="96">
        <f t="shared" si="251"/>
        <v>0</v>
      </c>
      <c r="J632" s="96">
        <f t="shared" si="252"/>
        <v>0.79349999999998977</v>
      </c>
    </row>
    <row r="633" spans="1:10" ht="12.75" customHeight="1">
      <c r="A633" s="96">
        <f>IF(MAX($F$104:F633)=$G$99,$G$99,F633)</f>
        <v>15.906595441861038</v>
      </c>
      <c r="B633" s="481">
        <v>530</v>
      </c>
      <c r="C633" s="96">
        <f t="shared" si="247"/>
        <v>0.79499999999998971</v>
      </c>
      <c r="D633" s="96">
        <f t="shared" si="248"/>
        <v>393.19899772379495</v>
      </c>
      <c r="E633" s="96">
        <f t="shared" si="249"/>
        <v>5.4526489962417228E-37</v>
      </c>
      <c r="F633" s="96">
        <f t="shared" si="250"/>
        <v>2.4296180466386123E-34</v>
      </c>
      <c r="G633" s="96">
        <f t="shared" si="253"/>
        <v>-0.29799999999999999</v>
      </c>
      <c r="I633" s="96">
        <f t="shared" si="251"/>
        <v>0</v>
      </c>
      <c r="J633" s="96">
        <f t="shared" si="252"/>
        <v>0.79499999999998971</v>
      </c>
    </row>
    <row r="634" spans="1:10" ht="12.75" customHeight="1">
      <c r="A634" s="96">
        <f>IF(MAX($F$104:F634)=$G$99,$G$99,F634)</f>
        <v>15.906595441861038</v>
      </c>
      <c r="B634" s="481">
        <v>531</v>
      </c>
      <c r="C634" s="96">
        <f t="shared" si="247"/>
        <v>0.79649999999998966</v>
      </c>
      <c r="D634" s="96">
        <f t="shared" si="248"/>
        <v>394.684167309359</v>
      </c>
      <c r="E634" s="96">
        <f t="shared" si="249"/>
        <v>3.1058403977295275E-37</v>
      </c>
      <c r="F634" s="96">
        <f t="shared" si="250"/>
        <v>1.3886259405988767E-34</v>
      </c>
      <c r="G634" s="96">
        <f t="shared" si="253"/>
        <v>-0.29799999999999999</v>
      </c>
      <c r="I634" s="96">
        <f t="shared" si="251"/>
        <v>0</v>
      </c>
      <c r="J634" s="96">
        <f t="shared" si="252"/>
        <v>0.79649999999998966</v>
      </c>
    </row>
    <row r="635" spans="1:10" ht="12.75" customHeight="1">
      <c r="A635" s="96">
        <f>IF(MAX($F$104:F635)=$G$99,$G$99,F635)</f>
        <v>15.906595441861038</v>
      </c>
      <c r="B635" s="96">
        <v>532</v>
      </c>
      <c r="C635" s="96">
        <f t="shared" si="247"/>
        <v>0.79799999999998961</v>
      </c>
      <c r="D635" s="96">
        <f t="shared" si="248"/>
        <v>396.17213646058849</v>
      </c>
      <c r="E635" s="96">
        <f t="shared" si="249"/>
        <v>1.7660314548287752E-37</v>
      </c>
      <c r="F635" s="96">
        <f t="shared" si="250"/>
        <v>7.9227422912242664E-35</v>
      </c>
      <c r="G635" s="96">
        <f t="shared" si="253"/>
        <v>-0.29799999999999999</v>
      </c>
      <c r="I635" s="96">
        <f t="shared" si="251"/>
        <v>0</v>
      </c>
      <c r="J635" s="96">
        <f t="shared" si="252"/>
        <v>0.79799999999998961</v>
      </c>
    </row>
    <row r="636" spans="1:10" ht="12.75" customHeight="1">
      <c r="A636" s="96">
        <f>IF(MAX($F$104:F636)=$G$99,$G$99,F636)</f>
        <v>15.906595441861038</v>
      </c>
      <c r="B636" s="481">
        <v>533</v>
      </c>
      <c r="C636" s="96">
        <f t="shared" si="247"/>
        <v>0.79949999999998955</v>
      </c>
      <c r="D636" s="96">
        <f t="shared" si="248"/>
        <v>397.66290517748359</v>
      </c>
      <c r="E636" s="96">
        <f t="shared" si="249"/>
        <v>1.0024574885549433E-37</v>
      </c>
      <c r="F636" s="96">
        <f t="shared" si="250"/>
        <v>4.512418096105457E-35</v>
      </c>
      <c r="G636" s="96">
        <f t="shared" si="253"/>
        <v>-0.29799999999999999</v>
      </c>
      <c r="I636" s="96">
        <f t="shared" si="251"/>
        <v>0</v>
      </c>
      <c r="J636" s="96">
        <f t="shared" si="252"/>
        <v>0.79949999999998955</v>
      </c>
    </row>
    <row r="637" spans="1:10" ht="12.75" customHeight="1">
      <c r="A637" s="96">
        <f>IF(MAX($F$104:F637)=$G$99,$G$99,F637)</f>
        <v>15.906595441861038</v>
      </c>
      <c r="B637" s="481">
        <v>534</v>
      </c>
      <c r="C637" s="96">
        <f t="shared" si="247"/>
        <v>0.8009999999999895</v>
      </c>
      <c r="D637" s="96">
        <f t="shared" si="248"/>
        <v>399.15647346004425</v>
      </c>
      <c r="E637" s="96">
        <f t="shared" si="249"/>
        <v>5.6804434966803435E-38</v>
      </c>
      <c r="F637" s="96">
        <f t="shared" si="250"/>
        <v>2.5655899130030954E-35</v>
      </c>
      <c r="G637" s="96">
        <f t="shared" si="253"/>
        <v>-0.29799999999999999</v>
      </c>
      <c r="I637" s="96">
        <f t="shared" si="251"/>
        <v>0</v>
      </c>
      <c r="J637" s="96">
        <f t="shared" si="252"/>
        <v>0.8009999999999895</v>
      </c>
    </row>
    <row r="638" spans="1:10" ht="12.75" customHeight="1">
      <c r="A638" s="96">
        <f>IF(MAX($F$104:F638)=$G$99,$G$99,F638)</f>
        <v>15.906595441861038</v>
      </c>
      <c r="B638" s="96">
        <v>535</v>
      </c>
      <c r="C638" s="96">
        <f t="shared" si="247"/>
        <v>0.80249999999998944</v>
      </c>
      <c r="D638" s="96">
        <f t="shared" si="248"/>
        <v>400.65284130827035</v>
      </c>
      <c r="E638" s="96">
        <f t="shared" si="249"/>
        <v>3.2132742315589152E-38</v>
      </c>
      <c r="F638" s="96">
        <f t="shared" si="250"/>
        <v>1.4561623758331539E-35</v>
      </c>
      <c r="G638" s="96">
        <f t="shared" si="253"/>
        <v>-0.29799999999999999</v>
      </c>
      <c r="I638" s="96">
        <f t="shared" si="251"/>
        <v>0</v>
      </c>
      <c r="J638" s="96">
        <f t="shared" si="252"/>
        <v>0.80249999999998944</v>
      </c>
    </row>
    <row r="639" spans="1:10" ht="12.75" customHeight="1">
      <c r="A639" s="96">
        <f>IF(MAX($F$104:F639)=$G$99,$G$99,F639)</f>
        <v>15.906595441861038</v>
      </c>
      <c r="B639" s="481">
        <v>536</v>
      </c>
      <c r="C639" s="96">
        <f t="shared" si="247"/>
        <v>0.80399999999998939</v>
      </c>
      <c r="D639" s="96">
        <f t="shared" si="248"/>
        <v>402.15200872216207</v>
      </c>
      <c r="E639" s="96">
        <f t="shared" si="249"/>
        <v>1.8145256847339163E-38</v>
      </c>
      <c r="F639" s="96">
        <f t="shared" si="250"/>
        <v>8.2504489610304268E-36</v>
      </c>
      <c r="G639" s="96">
        <f t="shared" si="253"/>
        <v>-0.29799999999999999</v>
      </c>
      <c r="I639" s="96">
        <f t="shared" si="251"/>
        <v>0</v>
      </c>
      <c r="J639" s="96">
        <f t="shared" si="252"/>
        <v>0.80399999999998939</v>
      </c>
    </row>
    <row r="640" spans="1:10" ht="12.75" customHeight="1">
      <c r="A640" s="96">
        <f>IF(MAX($F$104:F640)=$G$99,$G$99,F640)</f>
        <v>15.906595441861038</v>
      </c>
      <c r="B640" s="481">
        <v>537</v>
      </c>
      <c r="C640" s="96">
        <f t="shared" si="247"/>
        <v>0.80549999999998934</v>
      </c>
      <c r="D640" s="96">
        <f t="shared" si="248"/>
        <v>403.65397570171933</v>
      </c>
      <c r="E640" s="96">
        <f t="shared" si="249"/>
        <v>1.0228895516393324E-38</v>
      </c>
      <c r="F640" s="96">
        <f t="shared" si="250"/>
        <v>4.6664983522408801E-36</v>
      </c>
      <c r="G640" s="96">
        <f t="shared" si="253"/>
        <v>-0.29799999999999999</v>
      </c>
      <c r="I640" s="96">
        <f t="shared" si="251"/>
        <v>0</v>
      </c>
      <c r="J640" s="96">
        <f t="shared" si="252"/>
        <v>0.80549999999998934</v>
      </c>
    </row>
    <row r="641" spans="1:10" ht="12.75" customHeight="1">
      <c r="A641" s="96">
        <f>IF(MAX($F$104:F641)=$G$99,$G$99,F641)</f>
        <v>15.906595441861038</v>
      </c>
      <c r="B641" s="96">
        <v>538</v>
      </c>
      <c r="C641" s="96">
        <f t="shared" si="247"/>
        <v>0.80699999999998928</v>
      </c>
      <c r="D641" s="96">
        <f t="shared" si="248"/>
        <v>405.15874224694204</v>
      </c>
      <c r="E641" s="96">
        <f t="shared" si="249"/>
        <v>5.7563231688235523E-39</v>
      </c>
      <c r="F641" s="96">
        <f t="shared" si="250"/>
        <v>2.6348200231013939E-36</v>
      </c>
      <c r="G641" s="96">
        <f t="shared" si="253"/>
        <v>-0.29799999999999999</v>
      </c>
      <c r="I641" s="96">
        <f t="shared" si="251"/>
        <v>0</v>
      </c>
      <c r="J641" s="96">
        <f t="shared" si="252"/>
        <v>0.80699999999998928</v>
      </c>
    </row>
    <row r="642" spans="1:10" ht="12.75" customHeight="1">
      <c r="A642" s="96">
        <f>IF(MAX($F$104:F642)=$G$99,$G$99,F642)</f>
        <v>15.906595441861038</v>
      </c>
      <c r="B642" s="481">
        <v>539</v>
      </c>
      <c r="C642" s="96">
        <f t="shared" si="247"/>
        <v>0.80849999999998923</v>
      </c>
      <c r="D642" s="96">
        <f t="shared" si="248"/>
        <v>406.66630835783036</v>
      </c>
      <c r="E642" s="96">
        <f t="shared" si="249"/>
        <v>3.233798109929445E-39</v>
      </c>
      <c r="F642" s="96">
        <f t="shared" si="250"/>
        <v>1.4851066376538607E-36</v>
      </c>
      <c r="G642" s="96">
        <f t="shared" si="253"/>
        <v>-0.29799999999999999</v>
      </c>
      <c r="I642" s="96">
        <f t="shared" si="251"/>
        <v>0</v>
      </c>
      <c r="J642" s="96">
        <f t="shared" si="252"/>
        <v>0.80849999999998923</v>
      </c>
    </row>
    <row r="643" spans="1:10" ht="12.75" customHeight="1">
      <c r="A643" s="96">
        <f>IF(MAX($F$104:F643)=$G$99,$G$99,F643)</f>
        <v>15.906595441861038</v>
      </c>
      <c r="B643" s="481">
        <v>540</v>
      </c>
      <c r="C643" s="96">
        <f t="shared" ref="C643:C706" si="254">C642+$C$99</f>
        <v>0.80999999999998917</v>
      </c>
      <c r="D643" s="96">
        <f t="shared" si="248"/>
        <v>408.17667403438412</v>
      </c>
      <c r="E643" s="96">
        <f t="shared" si="249"/>
        <v>1.8135621839017977E-39</v>
      </c>
      <c r="F643" s="96">
        <f t="shared" si="250"/>
        <v>8.3562554504845337E-37</v>
      </c>
      <c r="G643" s="96">
        <f t="shared" si="253"/>
        <v>-0.29799999999999999</v>
      </c>
      <c r="I643" s="96">
        <f t="shared" si="251"/>
        <v>0</v>
      </c>
      <c r="J643" s="96">
        <f t="shared" si="252"/>
        <v>0.80999999999998917</v>
      </c>
    </row>
    <row r="644" spans="1:10" ht="12.75" customHeight="1">
      <c r="A644" s="96">
        <f>IF(MAX($F$104:F644)=$G$99,$G$99,F644)</f>
        <v>15.906595441861038</v>
      </c>
      <c r="B644" s="96">
        <v>541</v>
      </c>
      <c r="C644" s="96">
        <f t="shared" si="254"/>
        <v>0.81149999999998912</v>
      </c>
      <c r="D644" s="96">
        <f t="shared" si="248"/>
        <v>409.68983927660349</v>
      </c>
      <c r="E644" s="96">
        <f t="shared" si="249"/>
        <v>1.0153232115707186E-39</v>
      </c>
      <c r="F644" s="96">
        <f t="shared" si="250"/>
        <v>4.6936823770299356E-37</v>
      </c>
      <c r="G644" s="96">
        <f t="shared" si="253"/>
        <v>-0.29799999999999999</v>
      </c>
      <c r="I644" s="96">
        <f t="shared" si="251"/>
        <v>0</v>
      </c>
      <c r="J644" s="96">
        <f t="shared" si="252"/>
        <v>0.81149999999998912</v>
      </c>
    </row>
    <row r="645" spans="1:10" ht="12.75" customHeight="1">
      <c r="A645" s="96">
        <f>IF(MAX($F$104:F645)=$G$99,$G$99,F645)</f>
        <v>15.906595441861038</v>
      </c>
      <c r="B645" s="481">
        <v>542</v>
      </c>
      <c r="C645" s="96">
        <f t="shared" si="254"/>
        <v>0.81299999999998906</v>
      </c>
      <c r="D645" s="96">
        <f t="shared" si="248"/>
        <v>411.20580408448836</v>
      </c>
      <c r="E645" s="96">
        <f t="shared" si="249"/>
        <v>5.6745181831862863E-40</v>
      </c>
      <c r="F645" s="96">
        <f t="shared" si="250"/>
        <v>2.6318682254861074E-37</v>
      </c>
      <c r="G645" s="96">
        <f t="shared" si="253"/>
        <v>-0.29799999999999999</v>
      </c>
      <c r="I645" s="96">
        <f t="shared" si="251"/>
        <v>0</v>
      </c>
      <c r="J645" s="96">
        <f t="shared" si="252"/>
        <v>0.81299999999998906</v>
      </c>
    </row>
    <row r="646" spans="1:10" ht="12.75" customHeight="1">
      <c r="A646" s="96">
        <f>IF(MAX($F$104:F646)=$G$99,$G$99,F646)</f>
        <v>15.906595441861038</v>
      </c>
      <c r="B646" s="481">
        <v>543</v>
      </c>
      <c r="C646" s="96">
        <f t="shared" si="254"/>
        <v>0.81449999999998901</v>
      </c>
      <c r="D646" s="96">
        <f t="shared" si="248"/>
        <v>412.72456845803873</v>
      </c>
      <c r="E646" s="96">
        <f t="shared" si="249"/>
        <v>3.1659713400803515E-40</v>
      </c>
      <c r="F646" s="96">
        <f t="shared" si="250"/>
        <v>1.4732063035733117E-37</v>
      </c>
      <c r="G646" s="96">
        <f t="shared" si="253"/>
        <v>-0.29799999999999999</v>
      </c>
      <c r="I646" s="96">
        <f t="shared" si="251"/>
        <v>0</v>
      </c>
      <c r="J646" s="96">
        <f t="shared" si="252"/>
        <v>0.81449999999998901</v>
      </c>
    </row>
    <row r="647" spans="1:10" ht="12.75" customHeight="1">
      <c r="A647" s="96">
        <f>IF(MAX($F$104:F647)=$G$99,$G$99,F647)</f>
        <v>15.906595441861038</v>
      </c>
      <c r="B647" s="96">
        <v>544</v>
      </c>
      <c r="C647" s="96">
        <f t="shared" si="254"/>
        <v>0.81599999999998896</v>
      </c>
      <c r="D647" s="96">
        <f t="shared" si="248"/>
        <v>414.24613239725471</v>
      </c>
      <c r="E647" s="96">
        <f t="shared" si="249"/>
        <v>1.7633510055580245E-40</v>
      </c>
      <c r="F647" s="96">
        <f t="shared" si="250"/>
        <v>8.2321354456121685E-38</v>
      </c>
      <c r="G647" s="96">
        <f t="shared" si="253"/>
        <v>-0.29799999999999999</v>
      </c>
      <c r="I647" s="96">
        <f t="shared" si="251"/>
        <v>0</v>
      </c>
      <c r="J647" s="96">
        <f t="shared" si="252"/>
        <v>0.81599999999998896</v>
      </c>
    </row>
    <row r="648" spans="1:10" ht="12.75" customHeight="1">
      <c r="A648" s="96">
        <f>IF(MAX($F$104:F648)=$G$99,$G$99,F648)</f>
        <v>15.906595441861038</v>
      </c>
      <c r="B648" s="481">
        <v>545</v>
      </c>
      <c r="C648" s="96">
        <f t="shared" si="254"/>
        <v>0.8174999999999889</v>
      </c>
      <c r="D648" s="96">
        <f t="shared" si="248"/>
        <v>415.77049590213619</v>
      </c>
      <c r="E648" s="96">
        <f t="shared" si="249"/>
        <v>9.8044865540455451E-41</v>
      </c>
      <c r="F648" s="96">
        <f t="shared" si="250"/>
        <v>4.5921015341399182E-38</v>
      </c>
      <c r="G648" s="96">
        <f t="shared" si="253"/>
        <v>-0.29799999999999999</v>
      </c>
      <c r="I648" s="96">
        <f t="shared" si="251"/>
        <v>0</v>
      </c>
      <c r="J648" s="96">
        <f t="shared" si="252"/>
        <v>0.8174999999999889</v>
      </c>
    </row>
    <row r="649" spans="1:10" ht="12.75" customHeight="1">
      <c r="A649" s="96">
        <f>IF(MAX($F$104:F649)=$G$99,$G$99,F649)</f>
        <v>15.906595441861038</v>
      </c>
      <c r="B649" s="481">
        <v>546</v>
      </c>
      <c r="C649" s="96">
        <f t="shared" si="254"/>
        <v>0.81899999999998885</v>
      </c>
      <c r="D649" s="96">
        <f t="shared" si="248"/>
        <v>417.29765897268311</v>
      </c>
      <c r="E649" s="96">
        <f t="shared" si="249"/>
        <v>5.4420900534388679E-41</v>
      </c>
      <c r="F649" s="96">
        <f t="shared" si="250"/>
        <v>2.5571783200570811E-38</v>
      </c>
      <c r="G649" s="96">
        <f t="shared" si="253"/>
        <v>-0.29799999999999999</v>
      </c>
      <c r="I649" s="96">
        <f t="shared" si="251"/>
        <v>0</v>
      </c>
      <c r="J649" s="96">
        <f t="shared" si="252"/>
        <v>0.81899999999998885</v>
      </c>
    </row>
    <row r="650" spans="1:10" ht="12.75" customHeight="1">
      <c r="A650" s="96">
        <f>IF(MAX($F$104:F650)=$G$99,$G$99,F650)</f>
        <v>15.906595441861038</v>
      </c>
      <c r="B650" s="96">
        <v>547</v>
      </c>
      <c r="C650" s="96">
        <f t="shared" si="254"/>
        <v>0.82049999999998879</v>
      </c>
      <c r="D650" s="96">
        <f t="shared" si="248"/>
        <v>418.8276216088957</v>
      </c>
      <c r="E650" s="96">
        <f t="shared" si="249"/>
        <v>3.015517562743559E-41</v>
      </c>
      <c r="F650" s="96">
        <f t="shared" si="250"/>
        <v>1.4215483033573409E-38</v>
      </c>
      <c r="G650" s="96">
        <f t="shared" si="253"/>
        <v>-0.29799999999999999</v>
      </c>
      <c r="I650" s="96">
        <f t="shared" si="251"/>
        <v>0</v>
      </c>
      <c r="J650" s="96">
        <f t="shared" si="252"/>
        <v>0.82049999999998879</v>
      </c>
    </row>
    <row r="651" spans="1:10" ht="12.75" customHeight="1">
      <c r="A651" s="96">
        <f>IF(MAX($F$104:F651)=$G$99,$G$99,F651)</f>
        <v>15.906595441861038</v>
      </c>
      <c r="B651" s="481">
        <v>548</v>
      </c>
      <c r="C651" s="96">
        <f t="shared" si="254"/>
        <v>0.82199999999998874</v>
      </c>
      <c r="D651" s="96">
        <f t="shared" si="248"/>
        <v>420.36038381077373</v>
      </c>
      <c r="E651" s="96">
        <f t="shared" si="249"/>
        <v>1.6680680091273426E-41</v>
      </c>
      <c r="F651" s="96">
        <f t="shared" si="250"/>
        <v>7.8888522163998016E-39</v>
      </c>
      <c r="G651" s="96">
        <f t="shared" si="253"/>
        <v>-0.29799999999999999</v>
      </c>
      <c r="I651" s="96">
        <f t="shared" si="251"/>
        <v>0</v>
      </c>
      <c r="J651" s="96">
        <f t="shared" si="252"/>
        <v>0.82199999999998874</v>
      </c>
    </row>
    <row r="652" spans="1:10" ht="12.75" customHeight="1">
      <c r="A652" s="96">
        <f>IF(MAX($F$104:F652)=$G$99,$G$99,F652)</f>
        <v>15.906595441861038</v>
      </c>
      <c r="B652" s="481">
        <v>549</v>
      </c>
      <c r="C652" s="96">
        <f t="shared" si="254"/>
        <v>0.82349999999998869</v>
      </c>
      <c r="D652" s="96">
        <f t="shared" si="248"/>
        <v>421.89594557831731</v>
      </c>
      <c r="E652" s="96">
        <f t="shared" si="249"/>
        <v>9.2113201856662034E-42</v>
      </c>
      <c r="F652" s="96">
        <f t="shared" si="250"/>
        <v>4.3703691705087651E-39</v>
      </c>
      <c r="G652" s="96">
        <f t="shared" si="253"/>
        <v>-0.29799999999999999</v>
      </c>
      <c r="I652" s="96">
        <f t="shared" si="251"/>
        <v>0</v>
      </c>
      <c r="J652" s="96">
        <f t="shared" si="252"/>
        <v>0.82349999999998869</v>
      </c>
    </row>
    <row r="653" spans="1:10" ht="12.75" customHeight="1">
      <c r="A653" s="96">
        <f>IF(MAX($F$104:F653)=$G$99,$G$99,F653)</f>
        <v>15.906595441861038</v>
      </c>
      <c r="B653" s="96">
        <v>550</v>
      </c>
      <c r="C653" s="96">
        <f t="shared" si="254"/>
        <v>0.82499999999998863</v>
      </c>
      <c r="D653" s="96">
        <f t="shared" si="248"/>
        <v>423.43430691152645</v>
      </c>
      <c r="E653" s="96">
        <f t="shared" si="249"/>
        <v>5.0779300810731617E-42</v>
      </c>
      <c r="F653" s="96">
        <f t="shared" si="250"/>
        <v>2.4169910487414488E-39</v>
      </c>
      <c r="G653" s="96">
        <f t="shared" si="253"/>
        <v>-0.29799999999999999</v>
      </c>
      <c r="I653" s="96">
        <f t="shared" si="251"/>
        <v>0</v>
      </c>
      <c r="J653" s="96">
        <f t="shared" si="252"/>
        <v>0.82499999999998863</v>
      </c>
    </row>
    <row r="654" spans="1:10" ht="12.75" customHeight="1">
      <c r="A654" s="96">
        <f>IF(MAX($F$104:F654)=$G$99,$G$99,F654)</f>
        <v>15.906595441861038</v>
      </c>
      <c r="B654" s="481">
        <v>551</v>
      </c>
      <c r="C654" s="96">
        <f t="shared" si="254"/>
        <v>0.82649999999998858</v>
      </c>
      <c r="D654" s="96">
        <f t="shared" si="248"/>
        <v>424.97546781040108</v>
      </c>
      <c r="E654" s="96">
        <f t="shared" si="249"/>
        <v>2.7945297907774014E-42</v>
      </c>
      <c r="F654" s="96">
        <f t="shared" si="250"/>
        <v>1.3343970772644563E-39</v>
      </c>
      <c r="G654" s="96">
        <f t="shared" si="253"/>
        <v>-0.29799999999999999</v>
      </c>
      <c r="I654" s="96">
        <f t="shared" si="251"/>
        <v>0</v>
      </c>
      <c r="J654" s="96">
        <f t="shared" si="252"/>
        <v>0.82649999999998858</v>
      </c>
    </row>
    <row r="655" spans="1:10" ht="12.75" customHeight="1">
      <c r="A655" s="96">
        <f>IF(MAX($F$104:F655)=$G$99,$G$99,F655)</f>
        <v>15.906595441861038</v>
      </c>
      <c r="B655" s="481">
        <v>552</v>
      </c>
      <c r="C655" s="96">
        <f t="shared" si="254"/>
        <v>0.82799999999998852</v>
      </c>
      <c r="D655" s="96">
        <f t="shared" si="248"/>
        <v>426.51942827494122</v>
      </c>
      <c r="E655" s="96">
        <f t="shared" si="249"/>
        <v>1.5352829732914191E-42</v>
      </c>
      <c r="F655" s="96">
        <f t="shared" si="250"/>
        <v>7.3544254272640493E-40</v>
      </c>
      <c r="G655" s="96">
        <f t="shared" si="253"/>
        <v>-0.29799999999999999</v>
      </c>
      <c r="I655" s="96">
        <f t="shared" si="251"/>
        <v>0</v>
      </c>
      <c r="J655" s="96">
        <f t="shared" si="252"/>
        <v>0.82799999999998852</v>
      </c>
    </row>
    <row r="656" spans="1:10" ht="12.75" customHeight="1">
      <c r="A656" s="96">
        <f>IF(MAX($F$104:F656)=$G$99,$G$99,F656)</f>
        <v>15.906595441861038</v>
      </c>
      <c r="B656" s="96">
        <v>553</v>
      </c>
      <c r="C656" s="96">
        <f t="shared" si="254"/>
        <v>0.82949999999998847</v>
      </c>
      <c r="D656" s="96">
        <f t="shared" si="248"/>
        <v>428.06618830514697</v>
      </c>
      <c r="E656" s="96">
        <f t="shared" si="249"/>
        <v>8.4202746495508682E-43</v>
      </c>
      <c r="F656" s="96">
        <f t="shared" si="250"/>
        <v>4.0463788652814713E-40</v>
      </c>
      <c r="G656" s="96">
        <f t="shared" si="253"/>
        <v>-0.29799999999999999</v>
      </c>
      <c r="I656" s="96">
        <f t="shared" si="251"/>
        <v>0</v>
      </c>
      <c r="J656" s="96">
        <f t="shared" si="252"/>
        <v>0.82949999999998847</v>
      </c>
    </row>
    <row r="657" spans="1:10" ht="12.75" customHeight="1">
      <c r="A657" s="96">
        <f>IF(MAX($F$104:F657)=$G$99,$G$99,F657)</f>
        <v>15.906595441861038</v>
      </c>
      <c r="B657" s="481">
        <v>554</v>
      </c>
      <c r="C657" s="96">
        <f t="shared" si="254"/>
        <v>0.83099999999998841</v>
      </c>
      <c r="D657" s="96">
        <f t="shared" si="248"/>
        <v>429.61574790101821</v>
      </c>
      <c r="E657" s="96">
        <f t="shared" si="249"/>
        <v>4.6102309755297518E-43</v>
      </c>
      <c r="F657" s="96">
        <f t="shared" si="250"/>
        <v>2.2224856532581088E-40</v>
      </c>
      <c r="G657" s="96">
        <f t="shared" si="253"/>
        <v>-0.29799999999999999</v>
      </c>
      <c r="I657" s="96">
        <f t="shared" si="251"/>
        <v>0</v>
      </c>
      <c r="J657" s="96">
        <f t="shared" si="252"/>
        <v>0.83099999999998841</v>
      </c>
    </row>
    <row r="658" spans="1:10" ht="12.75" customHeight="1">
      <c r="A658" s="96">
        <f>IF(MAX($F$104:F658)=$G$99,$G$99,F658)</f>
        <v>15.906595441861038</v>
      </c>
      <c r="B658" s="481">
        <v>555</v>
      </c>
      <c r="C658" s="96">
        <f t="shared" si="254"/>
        <v>0.83249999999998836</v>
      </c>
      <c r="D658" s="96">
        <f t="shared" si="248"/>
        <v>431.16810706255495</v>
      </c>
      <c r="E658" s="96">
        <f t="shared" si="249"/>
        <v>2.5198702603700467E-43</v>
      </c>
      <c r="F658" s="96">
        <f t="shared" si="250"/>
        <v>1.2186149806264921E-40</v>
      </c>
      <c r="G658" s="96">
        <f t="shared" si="253"/>
        <v>-0.29799999999999999</v>
      </c>
      <c r="I658" s="96">
        <f t="shared" si="251"/>
        <v>0</v>
      </c>
      <c r="J658" s="96">
        <f t="shared" si="252"/>
        <v>0.83249999999998836</v>
      </c>
    </row>
    <row r="659" spans="1:10" ht="12.75" customHeight="1">
      <c r="A659" s="96">
        <f>IF(MAX($F$104:F659)=$G$99,$G$99,F659)</f>
        <v>15.906595441861038</v>
      </c>
      <c r="B659" s="96">
        <v>556</v>
      </c>
      <c r="C659" s="96">
        <f t="shared" si="254"/>
        <v>0.83399999999998831</v>
      </c>
      <c r="D659" s="96">
        <f t="shared" si="248"/>
        <v>432.72326578975725</v>
      </c>
      <c r="E659" s="96">
        <f t="shared" si="249"/>
        <v>1.3749699650169407E-43</v>
      </c>
      <c r="F659" s="96">
        <f t="shared" si="250"/>
        <v>6.6703661966381896E-41</v>
      </c>
      <c r="G659" s="96">
        <f t="shared" si="253"/>
        <v>-0.29799999999999999</v>
      </c>
      <c r="I659" s="96">
        <f t="shared" si="251"/>
        <v>0</v>
      </c>
      <c r="J659" s="96">
        <f t="shared" si="252"/>
        <v>0.83399999999998831</v>
      </c>
    </row>
    <row r="660" spans="1:10" ht="12.75" customHeight="1">
      <c r="A660" s="96">
        <f>IF(MAX($F$104:F660)=$G$99,$G$99,F660)</f>
        <v>15.906595441861038</v>
      </c>
      <c r="B660" s="481">
        <v>557</v>
      </c>
      <c r="C660" s="96">
        <f t="shared" si="254"/>
        <v>0.83549999999998825</v>
      </c>
      <c r="D660" s="96">
        <f t="shared" si="248"/>
        <v>434.2812240826251</v>
      </c>
      <c r="E660" s="96">
        <f t="shared" si="249"/>
        <v>7.4897657984663316E-44</v>
      </c>
      <c r="F660" s="96">
        <f t="shared" si="250"/>
        <v>3.6449279671258455E-41</v>
      </c>
      <c r="G660" s="96">
        <f t="shared" si="253"/>
        <v>-0.29799999999999999</v>
      </c>
      <c r="I660" s="96">
        <f t="shared" si="251"/>
        <v>0</v>
      </c>
      <c r="J660" s="96">
        <f t="shared" si="252"/>
        <v>0.83549999999998825</v>
      </c>
    </row>
    <row r="661" spans="1:10" ht="12.75" customHeight="1">
      <c r="A661" s="96">
        <f>IF(MAX($F$104:F661)=$G$99,$G$99,F661)</f>
        <v>15.906595441861038</v>
      </c>
      <c r="B661" s="481">
        <v>558</v>
      </c>
      <c r="C661" s="96">
        <f t="shared" si="254"/>
        <v>0.8369999999999882</v>
      </c>
      <c r="D661" s="96">
        <f t="shared" si="248"/>
        <v>435.84198194115839</v>
      </c>
      <c r="E661" s="96">
        <f t="shared" si="249"/>
        <v>4.0728997374459239E-44</v>
      </c>
      <c r="F661" s="96">
        <f t="shared" si="250"/>
        <v>1.9883133128468397E-41</v>
      </c>
      <c r="G661" s="96">
        <f t="shared" si="253"/>
        <v>-0.29799999999999999</v>
      </c>
      <c r="I661" s="96">
        <f t="shared" si="251"/>
        <v>0</v>
      </c>
      <c r="J661" s="96">
        <f t="shared" si="252"/>
        <v>0.8369999999999882</v>
      </c>
    </row>
    <row r="662" spans="1:10" ht="12.75" customHeight="1">
      <c r="A662" s="96">
        <f>IF(MAX($F$104:F662)=$G$99,$G$99,F662)</f>
        <v>15.906595441861038</v>
      </c>
      <c r="B662" s="96">
        <v>559</v>
      </c>
      <c r="C662" s="96">
        <f t="shared" si="254"/>
        <v>0.83849999999998814</v>
      </c>
      <c r="D662" s="96">
        <f t="shared" si="248"/>
        <v>437.40553936535736</v>
      </c>
      <c r="E662" s="96">
        <f t="shared" si="249"/>
        <v>2.2110578882534819E-44</v>
      </c>
      <c r="F662" s="96">
        <f t="shared" si="250"/>
        <v>1.082773887998669E-41</v>
      </c>
      <c r="G662" s="96">
        <f t="shared" si="253"/>
        <v>-0.29799999999999999</v>
      </c>
      <c r="I662" s="96">
        <f t="shared" si="251"/>
        <v>0</v>
      </c>
      <c r="J662" s="96">
        <f t="shared" si="252"/>
        <v>0.83849999999998814</v>
      </c>
    </row>
    <row r="663" spans="1:10" ht="12.75" customHeight="1">
      <c r="A663" s="96">
        <f>IF(MAX($F$104:F663)=$G$99,$G$99,F663)</f>
        <v>15.906595441861038</v>
      </c>
      <c r="B663" s="481">
        <v>560</v>
      </c>
      <c r="C663" s="96">
        <f t="shared" si="254"/>
        <v>0.83999999999998809</v>
      </c>
      <c r="D663" s="96">
        <f t="shared" si="248"/>
        <v>438.97189635522176</v>
      </c>
      <c r="E663" s="96">
        <f t="shared" si="249"/>
        <v>1.1982787958565369E-44</v>
      </c>
      <c r="F663" s="96">
        <f t="shared" si="250"/>
        <v>5.8863799834879958E-42</v>
      </c>
      <c r="G663" s="96">
        <f t="shared" si="253"/>
        <v>-0.29799999999999999</v>
      </c>
      <c r="I663" s="96">
        <f t="shared" si="251"/>
        <v>0</v>
      </c>
      <c r="J663" s="96">
        <f t="shared" si="252"/>
        <v>0.83999999999998809</v>
      </c>
    </row>
    <row r="664" spans="1:10" ht="12.75" customHeight="1">
      <c r="A664" s="96">
        <f>IF(MAX($F$104:F664)=$G$99,$G$99,F664)</f>
        <v>15.906595441861038</v>
      </c>
      <c r="B664" s="481">
        <v>561</v>
      </c>
      <c r="C664" s="96">
        <f t="shared" si="254"/>
        <v>0.84149999999998804</v>
      </c>
      <c r="D664" s="96">
        <f t="shared" si="248"/>
        <v>440.54105291075166</v>
      </c>
      <c r="E664" s="96">
        <f t="shared" si="249"/>
        <v>6.4830214042481009E-45</v>
      </c>
      <c r="F664" s="96">
        <f t="shared" si="250"/>
        <v>3.194602745004308E-42</v>
      </c>
      <c r="G664" s="96">
        <f t="shared" si="253"/>
        <v>-0.29799999999999999</v>
      </c>
      <c r="I664" s="96">
        <f t="shared" si="251"/>
        <v>0</v>
      </c>
      <c r="J664" s="96">
        <f t="shared" si="252"/>
        <v>0.84149999999998804</v>
      </c>
    </row>
    <row r="665" spans="1:10" ht="12.75" customHeight="1">
      <c r="A665" s="96">
        <f>IF(MAX($F$104:F665)=$G$99,$G$99,F665)</f>
        <v>15.906595441861038</v>
      </c>
      <c r="B665" s="96">
        <v>562</v>
      </c>
      <c r="C665" s="96">
        <f t="shared" si="254"/>
        <v>0.84299999999998798</v>
      </c>
      <c r="D665" s="96">
        <f t="shared" si="248"/>
        <v>442.11300903194717</v>
      </c>
      <c r="E665" s="96">
        <f t="shared" si="249"/>
        <v>3.5015417328902139E-45</v>
      </c>
      <c r="F665" s="96">
        <f t="shared" si="250"/>
        <v>1.7307883065198728E-42</v>
      </c>
      <c r="G665" s="96">
        <f t="shared" si="253"/>
        <v>-0.29799999999999999</v>
      </c>
      <c r="I665" s="96">
        <f t="shared" si="251"/>
        <v>0</v>
      </c>
      <c r="J665" s="96">
        <f t="shared" si="252"/>
        <v>0.84299999999998798</v>
      </c>
    </row>
    <row r="666" spans="1:10" ht="12.75" customHeight="1">
      <c r="A666" s="96">
        <f>IF(MAX($F$104:F666)=$G$99,$G$99,F666)</f>
        <v>15.906595441861038</v>
      </c>
      <c r="B666" s="481">
        <v>563</v>
      </c>
      <c r="C666" s="96">
        <f t="shared" si="254"/>
        <v>0.84449999999998793</v>
      </c>
      <c r="D666" s="96">
        <f t="shared" si="248"/>
        <v>443.68776471880818</v>
      </c>
      <c r="E666" s="96">
        <f t="shared" si="249"/>
        <v>1.8880082010979953E-45</v>
      </c>
      <c r="F666" s="96">
        <f t="shared" si="250"/>
        <v>9.3611681177654939E-43</v>
      </c>
      <c r="G666" s="96">
        <f t="shared" si="253"/>
        <v>-0.29799999999999999</v>
      </c>
      <c r="I666" s="96">
        <f t="shared" si="251"/>
        <v>0</v>
      </c>
      <c r="J666" s="96">
        <f t="shared" si="252"/>
        <v>0.84449999999998793</v>
      </c>
    </row>
    <row r="667" spans="1:10" ht="12.75" customHeight="1">
      <c r="A667" s="96">
        <f>IF(MAX($F$104:F667)=$G$99,$G$99,F667)</f>
        <v>15.906595441861038</v>
      </c>
      <c r="B667" s="481">
        <v>564</v>
      </c>
      <c r="C667" s="96">
        <f t="shared" si="254"/>
        <v>0.84599999999998787</v>
      </c>
      <c r="D667" s="96">
        <f t="shared" si="248"/>
        <v>445.26531997133475</v>
      </c>
      <c r="E667" s="96">
        <f t="shared" si="249"/>
        <v>1.0162758609170737E-45</v>
      </c>
      <c r="F667" s="96">
        <f t="shared" si="250"/>
        <v>5.0544698564217063E-43</v>
      </c>
      <c r="G667" s="96">
        <f t="shared" si="253"/>
        <v>-0.29799999999999999</v>
      </c>
      <c r="I667" s="96">
        <f t="shared" si="251"/>
        <v>0</v>
      </c>
      <c r="J667" s="96">
        <f t="shared" si="252"/>
        <v>0.84599999999998787</v>
      </c>
    </row>
    <row r="668" spans="1:10" ht="12.75" customHeight="1">
      <c r="A668" s="96">
        <f>IF(MAX($F$104:F668)=$G$99,$G$99,F668)</f>
        <v>15.906595441861038</v>
      </c>
      <c r="B668" s="96">
        <v>565</v>
      </c>
      <c r="C668" s="96">
        <f t="shared" si="254"/>
        <v>0.84749999999998782</v>
      </c>
      <c r="D668" s="96">
        <f t="shared" si="248"/>
        <v>446.84567478952681</v>
      </c>
      <c r="E668" s="96">
        <f t="shared" si="249"/>
        <v>5.4611354895063951E-46</v>
      </c>
      <c r="F668" s="96">
        <f t="shared" si="250"/>
        <v>2.7244642965446269E-43</v>
      </c>
      <c r="G668" s="96">
        <f t="shared" si="253"/>
        <v>-0.29799999999999999</v>
      </c>
      <c r="I668" s="96">
        <f t="shared" si="251"/>
        <v>0</v>
      </c>
      <c r="J668" s="96">
        <f t="shared" si="252"/>
        <v>0.84749999999998782</v>
      </c>
    </row>
    <row r="669" spans="1:10" ht="12.75" customHeight="1">
      <c r="A669" s="96">
        <f>IF(MAX($F$104:F669)=$G$99,$G$99,F669)</f>
        <v>15.906595441861038</v>
      </c>
      <c r="B669" s="481">
        <v>566</v>
      </c>
      <c r="C669" s="96">
        <f t="shared" si="254"/>
        <v>0.84899999999998776</v>
      </c>
      <c r="D669" s="96">
        <f t="shared" si="248"/>
        <v>448.42882917338443</v>
      </c>
      <c r="E669" s="96">
        <f t="shared" si="249"/>
        <v>2.9296675563973899E-46</v>
      </c>
      <c r="F669" s="96">
        <f t="shared" si="250"/>
        <v>1.4660441289688266E-43</v>
      </c>
      <c r="G669" s="96">
        <f t="shared" si="253"/>
        <v>-0.29799999999999999</v>
      </c>
      <c r="I669" s="96">
        <f t="shared" si="251"/>
        <v>0</v>
      </c>
      <c r="J669" s="96">
        <f t="shared" si="252"/>
        <v>0.84899999999998776</v>
      </c>
    </row>
    <row r="670" spans="1:10" ht="12.75" customHeight="1">
      <c r="A670" s="96">
        <f>IF(MAX($F$104:F670)=$G$99,$G$99,F670)</f>
        <v>15.906595441861038</v>
      </c>
      <c r="B670" s="481">
        <v>567</v>
      </c>
      <c r="C670" s="96">
        <f t="shared" si="254"/>
        <v>0.85049999999998771</v>
      </c>
      <c r="D670" s="96">
        <f t="shared" si="248"/>
        <v>450.01478312290755</v>
      </c>
      <c r="E670" s="96">
        <f t="shared" si="249"/>
        <v>1.568982934721899E-46</v>
      </c>
      <c r="F670" s="96">
        <f t="shared" si="250"/>
        <v>7.8754221492460207E-44</v>
      </c>
      <c r="G670" s="96">
        <f t="shared" si="253"/>
        <v>-0.29799999999999999</v>
      </c>
      <c r="I670" s="96">
        <f t="shared" si="251"/>
        <v>0</v>
      </c>
      <c r="J670" s="96">
        <f t="shared" si="252"/>
        <v>0.85049999999998771</v>
      </c>
    </row>
    <row r="671" spans="1:10" ht="12.75" customHeight="1">
      <c r="A671" s="96">
        <f>IF(MAX($F$104:F671)=$G$99,$G$99,F671)</f>
        <v>15.906595441861038</v>
      </c>
      <c r="B671" s="96">
        <v>568</v>
      </c>
      <c r="C671" s="96">
        <f t="shared" si="254"/>
        <v>0.85199999999998766</v>
      </c>
      <c r="D671" s="96">
        <f t="shared" si="248"/>
        <v>451.60353663809622</v>
      </c>
      <c r="E671" s="96">
        <f t="shared" si="249"/>
        <v>8.3884751677455206E-47</v>
      </c>
      <c r="F671" s="96">
        <f t="shared" si="250"/>
        <v>4.2233977380326289E-44</v>
      </c>
      <c r="G671" s="96">
        <f t="shared" si="253"/>
        <v>-0.29799999999999999</v>
      </c>
      <c r="I671" s="96">
        <f t="shared" si="251"/>
        <v>0</v>
      </c>
      <c r="J671" s="96">
        <f t="shared" si="252"/>
        <v>0.85199999999998766</v>
      </c>
    </row>
    <row r="672" spans="1:10" ht="12.75" customHeight="1">
      <c r="A672" s="96">
        <f>IF(MAX($F$104:F672)=$G$99,$G$99,F672)</f>
        <v>15.906595441861038</v>
      </c>
      <c r="B672" s="481">
        <v>569</v>
      </c>
      <c r="C672" s="96">
        <f t="shared" si="254"/>
        <v>0.8534999999999876</v>
      </c>
      <c r="D672" s="96">
        <f t="shared" si="248"/>
        <v>453.19508971895044</v>
      </c>
      <c r="E672" s="96">
        <f t="shared" si="249"/>
        <v>4.4772689807606816E-47</v>
      </c>
      <c r="F672" s="96">
        <f t="shared" si="250"/>
        <v>2.261059153406078E-44</v>
      </c>
      <c r="G672" s="96">
        <f t="shared" si="253"/>
        <v>-0.29799999999999999</v>
      </c>
      <c r="I672" s="96">
        <f t="shared" si="251"/>
        <v>0</v>
      </c>
      <c r="J672" s="96">
        <f t="shared" si="252"/>
        <v>0.8534999999999876</v>
      </c>
    </row>
    <row r="673" spans="1:10" ht="12.75" customHeight="1">
      <c r="A673" s="96">
        <f>IF(MAX($F$104:F673)=$G$99,$G$99,F673)</f>
        <v>15.906595441861038</v>
      </c>
      <c r="B673" s="481">
        <v>570</v>
      </c>
      <c r="C673" s="96">
        <f t="shared" si="254"/>
        <v>0.85499999999998755</v>
      </c>
      <c r="D673" s="96">
        <f t="shared" si="248"/>
        <v>454.78944236547011</v>
      </c>
      <c r="E673" s="96">
        <f t="shared" si="249"/>
        <v>2.3856632560479669E-47</v>
      </c>
      <c r="F673" s="96">
        <f t="shared" si="250"/>
        <v>1.2084373093187865E-44</v>
      </c>
      <c r="G673" s="96">
        <f t="shared" si="253"/>
        <v>-0.29799999999999999</v>
      </c>
      <c r="I673" s="96">
        <f t="shared" si="251"/>
        <v>0</v>
      </c>
      <c r="J673" s="96">
        <f t="shared" si="252"/>
        <v>0.85499999999998755</v>
      </c>
    </row>
    <row r="674" spans="1:10" ht="12.75" customHeight="1">
      <c r="A674" s="96">
        <f>IF(MAX($F$104:F674)=$G$99,$G$99,F674)</f>
        <v>15.906595441861038</v>
      </c>
      <c r="B674" s="96">
        <v>571</v>
      </c>
      <c r="C674" s="96">
        <f t="shared" si="254"/>
        <v>0.85649999999998749</v>
      </c>
      <c r="D674" s="96">
        <f t="shared" si="248"/>
        <v>456.38659457765544</v>
      </c>
      <c r="E674" s="96">
        <f t="shared" si="249"/>
        <v>1.269028336551514E-47</v>
      </c>
      <c r="F674" s="96">
        <f t="shared" si="250"/>
        <v>6.4476141712322337E-45</v>
      </c>
      <c r="G674" s="96">
        <f t="shared" si="253"/>
        <v>-0.29799999999999999</v>
      </c>
      <c r="I674" s="96">
        <f t="shared" si="251"/>
        <v>0</v>
      </c>
      <c r="J674" s="96">
        <f t="shared" si="252"/>
        <v>0.85649999999998749</v>
      </c>
    </row>
    <row r="675" spans="1:10" ht="12.75" customHeight="1">
      <c r="A675" s="96">
        <f>IF(MAX($F$104:F675)=$G$99,$G$99,F675)</f>
        <v>15.906595441861038</v>
      </c>
      <c r="B675" s="481">
        <v>572</v>
      </c>
      <c r="C675" s="96">
        <f t="shared" si="254"/>
        <v>0.85799999999998744</v>
      </c>
      <c r="D675" s="96">
        <f t="shared" si="248"/>
        <v>457.98654635550616</v>
      </c>
      <c r="E675" s="96">
        <f t="shared" si="249"/>
        <v>6.7390728138454187E-48</v>
      </c>
      <c r="F675" s="96">
        <f t="shared" si="250"/>
        <v>3.4342912676621837E-45</v>
      </c>
      <c r="G675" s="96">
        <f t="shared" si="253"/>
        <v>-0.29799999999999999</v>
      </c>
      <c r="I675" s="96">
        <f t="shared" si="251"/>
        <v>0</v>
      </c>
      <c r="J675" s="96">
        <f t="shared" si="252"/>
        <v>0.85799999999998744</v>
      </c>
    </row>
    <row r="676" spans="1:10" ht="12.75" customHeight="1">
      <c r="A676" s="96">
        <f>IF(MAX($F$104:F676)=$G$99,$G$99,F676)</f>
        <v>15.906595441861038</v>
      </c>
      <c r="B676" s="481">
        <v>573</v>
      </c>
      <c r="C676" s="96">
        <f t="shared" si="254"/>
        <v>0.85949999999998739</v>
      </c>
      <c r="D676" s="96">
        <f t="shared" si="248"/>
        <v>459.5892976990225</v>
      </c>
      <c r="E676" s="96">
        <f t="shared" si="249"/>
        <v>3.5726959292438541E-48</v>
      </c>
      <c r="F676" s="96">
        <f t="shared" si="250"/>
        <v>1.826160015599064E-45</v>
      </c>
      <c r="G676" s="96">
        <f t="shared" si="253"/>
        <v>-0.29799999999999999</v>
      </c>
      <c r="I676" s="96">
        <f t="shared" si="251"/>
        <v>0</v>
      </c>
      <c r="J676" s="96">
        <f t="shared" si="252"/>
        <v>0.85949999999998739</v>
      </c>
    </row>
    <row r="677" spans="1:10" ht="12.75" customHeight="1">
      <c r="A677" s="96">
        <f>IF(MAX($F$104:F677)=$G$99,$G$99,F677)</f>
        <v>15.906595441861038</v>
      </c>
      <c r="B677" s="96">
        <v>574</v>
      </c>
      <c r="C677" s="96">
        <f t="shared" si="254"/>
        <v>0.86099999999998733</v>
      </c>
      <c r="D677" s="96">
        <f t="shared" si="248"/>
        <v>461.19484860820432</v>
      </c>
      <c r="E677" s="96">
        <f t="shared" si="249"/>
        <v>1.8908603830514422E-48</v>
      </c>
      <c r="F677" s="96">
        <f t="shared" si="250"/>
        <v>9.6940354062969441E-46</v>
      </c>
      <c r="G677" s="96">
        <f t="shared" si="253"/>
        <v>-0.29799999999999999</v>
      </c>
      <c r="I677" s="96">
        <f t="shared" si="251"/>
        <v>0</v>
      </c>
      <c r="J677" s="96">
        <f t="shared" si="252"/>
        <v>0.86099999999998733</v>
      </c>
    </row>
    <row r="678" spans="1:10" ht="12.75" customHeight="1">
      <c r="A678" s="96">
        <f>IF(MAX($F$104:F678)=$G$99,$G$99,F678)</f>
        <v>15.906595441861038</v>
      </c>
      <c r="B678" s="481">
        <v>575</v>
      </c>
      <c r="C678" s="96">
        <f t="shared" si="254"/>
        <v>0.86249999999998728</v>
      </c>
      <c r="D678" s="96">
        <f t="shared" si="248"/>
        <v>462.80319908305171</v>
      </c>
      <c r="E678" s="96">
        <f t="shared" si="249"/>
        <v>9.9905821075793956E-49</v>
      </c>
      <c r="F678" s="96">
        <f t="shared" si="250"/>
        <v>5.137299531552759E-46</v>
      </c>
      <c r="G678" s="96">
        <f t="shared" si="253"/>
        <v>-0.29799999999999999</v>
      </c>
      <c r="I678" s="96">
        <f t="shared" si="251"/>
        <v>0</v>
      </c>
      <c r="J678" s="96">
        <f t="shared" si="252"/>
        <v>0.86249999999998728</v>
      </c>
    </row>
    <row r="679" spans="1:10" ht="12.75" customHeight="1">
      <c r="A679" s="96">
        <f>IF(MAX($F$104:F679)=$G$99,$G$99,F679)</f>
        <v>15.906595441861038</v>
      </c>
      <c r="B679" s="481">
        <v>576</v>
      </c>
      <c r="C679" s="96">
        <f t="shared" si="254"/>
        <v>0.86399999999998722</v>
      </c>
      <c r="D679" s="96">
        <f t="shared" si="248"/>
        <v>464.41434912356465</v>
      </c>
      <c r="E679" s="96">
        <f t="shared" si="249"/>
        <v>5.2697555166575369E-49</v>
      </c>
      <c r="F679" s="96">
        <f t="shared" si="250"/>
        <v>2.7178790938986873E-46</v>
      </c>
      <c r="G679" s="96">
        <f t="shared" si="253"/>
        <v>-0.29799999999999999</v>
      </c>
      <c r="I679" s="96">
        <f t="shared" si="251"/>
        <v>0</v>
      </c>
      <c r="J679" s="96">
        <f t="shared" si="252"/>
        <v>0.86399999999998722</v>
      </c>
    </row>
    <row r="680" spans="1:10" ht="12.75" customHeight="1">
      <c r="A680" s="96">
        <f>IF(MAX($F$104:F680)=$G$99,$G$99,F680)</f>
        <v>15.906595441861038</v>
      </c>
      <c r="B680" s="96">
        <v>577</v>
      </c>
      <c r="C680" s="96">
        <f t="shared" si="254"/>
        <v>0.86549999999998717</v>
      </c>
      <c r="D680" s="96">
        <f t="shared" ref="D680:D743" si="255">C680^2/$C$96</f>
        <v>466.02829872974303</v>
      </c>
      <c r="E680" s="96">
        <f t="shared" ref="E680:E743" si="256">CHIDIST(D680,$E$96)</f>
        <v>2.7749738936890747E-49</v>
      </c>
      <c r="F680" s="96">
        <f t="shared" ref="F680:F743" si="257">IF($E$7&lt;$F$101,NA(),$E$98*(E679-E681)/(2*$C$99))</f>
        <v>1.4354589519640336E-46</v>
      </c>
      <c r="G680" s="96">
        <f t="shared" si="253"/>
        <v>-0.29799999999999999</v>
      </c>
      <c r="I680" s="96">
        <f t="shared" ref="I680:I743" si="258">IF(F680&gt;$G$98,1,0)</f>
        <v>0</v>
      </c>
      <c r="J680" s="96">
        <f t="shared" ref="J680:J743" si="259">C680</f>
        <v>0.86549999999998717</v>
      </c>
    </row>
    <row r="681" spans="1:10" ht="12.75" customHeight="1">
      <c r="A681" s="96">
        <f>IF(MAX($F$104:F681)=$G$99,$G$99,F681)</f>
        <v>15.906595441861038</v>
      </c>
      <c r="B681" s="481">
        <v>578</v>
      </c>
      <c r="C681" s="96">
        <f t="shared" si="254"/>
        <v>0.86699999999998711</v>
      </c>
      <c r="D681" s="96">
        <f t="shared" si="255"/>
        <v>467.64504790158702</v>
      </c>
      <c r="E681" s="96">
        <f t="shared" si="256"/>
        <v>1.458802546841518E-49</v>
      </c>
      <c r="F681" s="96">
        <f t="shared" si="257"/>
        <v>7.5686297842880269E-47</v>
      </c>
      <c r="G681" s="96">
        <f t="shared" ref="G681:G744" si="260">F681-$G$101</f>
        <v>-0.29799999999999999</v>
      </c>
      <c r="I681" s="96">
        <f t="shared" si="258"/>
        <v>0</v>
      </c>
      <c r="J681" s="96">
        <f t="shared" si="259"/>
        <v>0.86699999999998711</v>
      </c>
    </row>
    <row r="682" spans="1:10" ht="12.75" customHeight="1">
      <c r="A682" s="96">
        <f>IF(MAX($F$104:F682)=$G$99,$G$99,F682)</f>
        <v>15.906595441861038</v>
      </c>
      <c r="B682" s="481">
        <v>579</v>
      </c>
      <c r="C682" s="96">
        <f t="shared" si="254"/>
        <v>0.86849999999998706</v>
      </c>
      <c r="D682" s="96">
        <f t="shared" si="255"/>
        <v>469.26459663909657</v>
      </c>
      <c r="E682" s="96">
        <f t="shared" si="256"/>
        <v>7.6560315449756286E-50</v>
      </c>
      <c r="F682" s="96">
        <f t="shared" si="257"/>
        <v>3.9839146292584213E-47</v>
      </c>
      <c r="G682" s="96">
        <f t="shared" si="260"/>
        <v>-0.29799999999999999</v>
      </c>
      <c r="I682" s="96">
        <f t="shared" si="258"/>
        <v>0</v>
      </c>
      <c r="J682" s="96">
        <f t="shared" si="259"/>
        <v>0.86849999999998706</v>
      </c>
    </row>
    <row r="683" spans="1:10" ht="12.75" customHeight="1">
      <c r="A683" s="96">
        <f>IF(MAX($F$104:F683)=$G$99,$G$99,F683)</f>
        <v>15.906595441861038</v>
      </c>
      <c r="B683" s="96">
        <v>580</v>
      </c>
      <c r="C683" s="96">
        <f t="shared" si="254"/>
        <v>0.86999999999998701</v>
      </c>
      <c r="D683" s="96">
        <f t="shared" si="255"/>
        <v>470.88694494227155</v>
      </c>
      <c r="E683" s="96">
        <f t="shared" si="256"/>
        <v>4.0112609659591928E-50</v>
      </c>
      <c r="F683" s="96">
        <f t="shared" si="257"/>
        <v>2.0934832754515495E-47</v>
      </c>
      <c r="G683" s="96">
        <f t="shared" si="260"/>
        <v>-0.29799999999999999</v>
      </c>
      <c r="I683" s="96">
        <f t="shared" si="258"/>
        <v>0</v>
      </c>
      <c r="J683" s="96">
        <f t="shared" si="259"/>
        <v>0.86999999999998701</v>
      </c>
    </row>
    <row r="684" spans="1:10" ht="12.75" customHeight="1">
      <c r="A684" s="96">
        <f>IF(MAX($F$104:F684)=$G$99,$G$99,F684)</f>
        <v>15.906595441861038</v>
      </c>
      <c r="B684" s="481">
        <v>581</v>
      </c>
      <c r="C684" s="96">
        <f t="shared" si="254"/>
        <v>0.87149999999998695</v>
      </c>
      <c r="D684" s="96">
        <f t="shared" si="255"/>
        <v>472.51209281111215</v>
      </c>
      <c r="E684" s="96">
        <f t="shared" si="256"/>
        <v>2.0981113446617806E-50</v>
      </c>
      <c r="F684" s="96">
        <f t="shared" si="257"/>
        <v>1.098237103175712E-47</v>
      </c>
      <c r="G684" s="96">
        <f t="shared" si="260"/>
        <v>-0.29799999999999999</v>
      </c>
      <c r="I684" s="96">
        <f t="shared" si="258"/>
        <v>0</v>
      </c>
      <c r="J684" s="96">
        <f t="shared" si="259"/>
        <v>0.87149999999998695</v>
      </c>
    </row>
    <row r="685" spans="1:10" ht="12.75" customHeight="1">
      <c r="A685" s="96">
        <f>IF(MAX($F$104:F685)=$G$99,$G$99,F685)</f>
        <v>15.906595441861038</v>
      </c>
      <c r="B685" s="481">
        <v>582</v>
      </c>
      <c r="C685" s="96">
        <f t="shared" si="254"/>
        <v>0.8729999999999869</v>
      </c>
      <c r="D685" s="96">
        <f t="shared" si="255"/>
        <v>474.1400402456182</v>
      </c>
      <c r="E685" s="96">
        <f t="shared" si="256"/>
        <v>1.0955872407139391E-50</v>
      </c>
      <c r="F685" s="96">
        <f t="shared" si="257"/>
        <v>5.7516215529909009E-48</v>
      </c>
      <c r="G685" s="96">
        <f t="shared" si="260"/>
        <v>-0.29799999999999999</v>
      </c>
      <c r="I685" s="96">
        <f t="shared" si="258"/>
        <v>0</v>
      </c>
      <c r="J685" s="96">
        <f t="shared" si="259"/>
        <v>0.8729999999999869</v>
      </c>
    </row>
    <row r="686" spans="1:10" ht="12.75" customHeight="1">
      <c r="A686" s="96">
        <f>IF(MAX($F$104:F686)=$G$99,$G$99,F686)</f>
        <v>15.906595441861038</v>
      </c>
      <c r="B686" s="96">
        <v>583</v>
      </c>
      <c r="C686" s="96">
        <f t="shared" si="254"/>
        <v>0.87449999999998684</v>
      </c>
      <c r="D686" s="96">
        <f t="shared" si="255"/>
        <v>475.77078724578985</v>
      </c>
      <c r="E686" s="96">
        <f t="shared" si="256"/>
        <v>5.7113217130136448E-51</v>
      </c>
      <c r="F686" s="96">
        <f t="shared" si="257"/>
        <v>3.0071320223879915E-48</v>
      </c>
      <c r="G686" s="96">
        <f t="shared" si="260"/>
        <v>-0.29799999999999999</v>
      </c>
      <c r="I686" s="96">
        <f t="shared" si="258"/>
        <v>0</v>
      </c>
      <c r="J686" s="96">
        <f t="shared" si="259"/>
        <v>0.87449999999998684</v>
      </c>
    </row>
    <row r="687" spans="1:10" ht="12.75" customHeight="1">
      <c r="A687" s="96">
        <f>IF(MAX($F$104:F687)=$G$99,$G$99,F687)</f>
        <v>15.906595441861038</v>
      </c>
      <c r="B687" s="481">
        <v>584</v>
      </c>
      <c r="C687" s="96">
        <f t="shared" si="254"/>
        <v>0.87599999999998679</v>
      </c>
      <c r="D687" s="96">
        <f t="shared" si="255"/>
        <v>477.404333811627</v>
      </c>
      <c r="E687" s="96">
        <f t="shared" si="256"/>
        <v>2.9723360645164051E-51</v>
      </c>
      <c r="F687" s="96">
        <f t="shared" si="257"/>
        <v>1.5695787729026689E-48</v>
      </c>
      <c r="G687" s="96">
        <f t="shared" si="260"/>
        <v>-0.29799999999999999</v>
      </c>
      <c r="I687" s="96">
        <f t="shared" si="258"/>
        <v>0</v>
      </c>
      <c r="J687" s="96">
        <f t="shared" si="259"/>
        <v>0.87599999999998679</v>
      </c>
    </row>
    <row r="688" spans="1:10" ht="12.75" customHeight="1">
      <c r="A688" s="96">
        <f>IF(MAX($F$104:F688)=$G$99,$G$99,F688)</f>
        <v>15.906595441861038</v>
      </c>
      <c r="B688" s="481">
        <v>585</v>
      </c>
      <c r="C688" s="96">
        <f t="shared" si="254"/>
        <v>0.87749999999998674</v>
      </c>
      <c r="D688" s="96">
        <f t="shared" si="255"/>
        <v>479.0406799431297</v>
      </c>
      <c r="E688" s="96">
        <f t="shared" si="256"/>
        <v>1.5442984221216025E-51</v>
      </c>
      <c r="F688" s="96">
        <f t="shared" si="257"/>
        <v>8.1786682057867478E-49</v>
      </c>
      <c r="G688" s="96">
        <f t="shared" si="260"/>
        <v>-0.29799999999999999</v>
      </c>
      <c r="I688" s="96">
        <f t="shared" si="258"/>
        <v>0</v>
      </c>
      <c r="J688" s="96">
        <f t="shared" si="259"/>
        <v>0.87749999999998674</v>
      </c>
    </row>
    <row r="689" spans="1:10" ht="12.75" customHeight="1">
      <c r="A689" s="96">
        <f>IF(MAX($F$104:F689)=$G$99,$G$99,F689)</f>
        <v>15.906595441861038</v>
      </c>
      <c r="B689" s="96">
        <v>586</v>
      </c>
      <c r="C689" s="96">
        <f t="shared" si="254"/>
        <v>0.87899999999998668</v>
      </c>
      <c r="D689" s="96">
        <f t="shared" si="255"/>
        <v>480.67982564029791</v>
      </c>
      <c r="E689" s="96">
        <f t="shared" si="256"/>
        <v>8.0100822227213526E-52</v>
      </c>
      <c r="F689" s="96">
        <f t="shared" si="257"/>
        <v>4.2545275178624863E-49</v>
      </c>
      <c r="G689" s="96">
        <f t="shared" si="260"/>
        <v>-0.29799999999999999</v>
      </c>
      <c r="I689" s="96">
        <f t="shared" si="258"/>
        <v>0</v>
      </c>
      <c r="J689" s="96">
        <f t="shared" si="259"/>
        <v>0.87899999999998668</v>
      </c>
    </row>
    <row r="690" spans="1:10" ht="12.75" customHeight="1">
      <c r="A690" s="96">
        <f>IF(MAX($F$104:F690)=$G$99,$G$99,F690)</f>
        <v>15.906595441861038</v>
      </c>
      <c r="B690" s="481">
        <v>587</v>
      </c>
      <c r="C690" s="96">
        <f t="shared" si="254"/>
        <v>0.88049999999998663</v>
      </c>
      <c r="D690" s="96">
        <f t="shared" si="255"/>
        <v>482.32177090313166</v>
      </c>
      <c r="E690" s="96">
        <f t="shared" si="256"/>
        <v>4.1477784215811045E-52</v>
      </c>
      <c r="F690" s="96">
        <f t="shared" si="257"/>
        <v>2.2094784855203027E-49</v>
      </c>
      <c r="G690" s="96">
        <f t="shared" si="260"/>
        <v>-0.29799999999999999</v>
      </c>
      <c r="I690" s="96">
        <f t="shared" si="258"/>
        <v>0</v>
      </c>
      <c r="J690" s="96">
        <f t="shared" si="259"/>
        <v>0.88049999999998663</v>
      </c>
    </row>
    <row r="691" spans="1:10" ht="12.75" customHeight="1">
      <c r="A691" s="96">
        <f>IF(MAX($F$104:F691)=$G$99,$G$99,F691)</f>
        <v>15.906595441861038</v>
      </c>
      <c r="B691" s="481">
        <v>588</v>
      </c>
      <c r="C691" s="96">
        <f t="shared" si="254"/>
        <v>0.88199999999998657</v>
      </c>
      <c r="D691" s="96">
        <f t="shared" si="255"/>
        <v>483.96651573163092</v>
      </c>
      <c r="E691" s="96">
        <f t="shared" si="256"/>
        <v>2.144210137269221E-52</v>
      </c>
      <c r="F691" s="96">
        <f t="shared" si="257"/>
        <v>1.1455085298616521E-49</v>
      </c>
      <c r="G691" s="96">
        <f t="shared" si="260"/>
        <v>-0.29799999999999999</v>
      </c>
      <c r="I691" s="96">
        <f t="shared" si="258"/>
        <v>0</v>
      </c>
      <c r="J691" s="96">
        <f t="shared" si="259"/>
        <v>0.88199999999998657</v>
      </c>
    </row>
    <row r="692" spans="1:10" ht="12.75" customHeight="1">
      <c r="A692" s="96">
        <f>IF(MAX($F$104:F692)=$G$99,$G$99,F692)</f>
        <v>15.906595441861038</v>
      </c>
      <c r="B692" s="96">
        <v>589</v>
      </c>
      <c r="C692" s="96">
        <f t="shared" si="254"/>
        <v>0.88349999999998652</v>
      </c>
      <c r="D692" s="96">
        <f t="shared" si="255"/>
        <v>485.61406012579579</v>
      </c>
      <c r="E692" s="96">
        <f t="shared" si="256"/>
        <v>1.1066053334528238E-52</v>
      </c>
      <c r="F692" s="96">
        <f t="shared" si="257"/>
        <v>5.9289447505847516E-50</v>
      </c>
      <c r="G692" s="96">
        <f t="shared" si="260"/>
        <v>-0.29799999999999999</v>
      </c>
      <c r="I692" s="96">
        <f t="shared" si="258"/>
        <v>0</v>
      </c>
      <c r="J692" s="96">
        <f t="shared" si="259"/>
        <v>0.88349999999998652</v>
      </c>
    </row>
    <row r="693" spans="1:10" ht="12.75" customHeight="1">
      <c r="A693" s="96">
        <f>IF(MAX($F$104:F693)=$G$99,$G$99,F693)</f>
        <v>15.906595441861038</v>
      </c>
      <c r="B693" s="481">
        <v>590</v>
      </c>
      <c r="C693" s="96">
        <f t="shared" si="254"/>
        <v>0.88499999999998646</v>
      </c>
      <c r="D693" s="96">
        <f t="shared" si="255"/>
        <v>487.2644040856261</v>
      </c>
      <c r="E693" s="96">
        <f t="shared" si="256"/>
        <v>5.7015400879539274E-53</v>
      </c>
      <c r="F693" s="96">
        <f t="shared" si="257"/>
        <v>3.0635672470430764E-50</v>
      </c>
      <c r="G693" s="96">
        <f t="shared" si="260"/>
        <v>-0.29799999999999999</v>
      </c>
      <c r="I693" s="96">
        <f t="shared" si="258"/>
        <v>0</v>
      </c>
      <c r="J693" s="96">
        <f t="shared" si="259"/>
        <v>0.88499999999998646</v>
      </c>
    </row>
    <row r="694" spans="1:10" ht="12.75" customHeight="1">
      <c r="A694" s="96">
        <f>IF(MAX($F$104:F694)=$G$99,$G$99,F694)</f>
        <v>15.906595441861038</v>
      </c>
      <c r="B694" s="481">
        <v>591</v>
      </c>
      <c r="C694" s="96">
        <f t="shared" si="254"/>
        <v>0.88649999999998641</v>
      </c>
      <c r="D694" s="96">
        <f t="shared" si="255"/>
        <v>488.91754761112196</v>
      </c>
      <c r="E694" s="96">
        <f t="shared" si="256"/>
        <v>2.9326889618475032E-53</v>
      </c>
      <c r="F694" s="96">
        <f t="shared" si="257"/>
        <v>1.5803336283837185E-50</v>
      </c>
      <c r="G694" s="96">
        <f t="shared" si="260"/>
        <v>-0.29799999999999999</v>
      </c>
      <c r="I694" s="96">
        <f t="shared" si="258"/>
        <v>0</v>
      </c>
      <c r="J694" s="96">
        <f t="shared" si="259"/>
        <v>0.88649999999998641</v>
      </c>
    </row>
    <row r="695" spans="1:10" ht="12.75" customHeight="1">
      <c r="A695" s="96">
        <f>IF(MAX($F$104:F695)=$G$99,$G$99,F695)</f>
        <v>15.906595441861038</v>
      </c>
      <c r="B695" s="96">
        <v>592</v>
      </c>
      <c r="C695" s="96">
        <f t="shared" si="254"/>
        <v>0.88799999999998636</v>
      </c>
      <c r="D695" s="96">
        <f t="shared" si="255"/>
        <v>490.57349070228338</v>
      </c>
      <c r="E695" s="96">
        <f t="shared" si="256"/>
        <v>1.5059640833953819E-53</v>
      </c>
      <c r="F695" s="96">
        <f t="shared" si="257"/>
        <v>8.1384538273328462E-51</v>
      </c>
      <c r="G695" s="96">
        <f t="shared" si="260"/>
        <v>-0.29799999999999999</v>
      </c>
      <c r="I695" s="96">
        <f t="shared" si="258"/>
        <v>0</v>
      </c>
      <c r="J695" s="96">
        <f t="shared" si="259"/>
        <v>0.88799999999998636</v>
      </c>
    </row>
    <row r="696" spans="1:10" ht="12.75" customHeight="1">
      <c r="A696" s="96">
        <f>IF(MAX($F$104:F696)=$G$99,$G$99,F696)</f>
        <v>15.906595441861038</v>
      </c>
      <c r="B696" s="481">
        <v>593</v>
      </c>
      <c r="C696" s="96">
        <f t="shared" si="254"/>
        <v>0.8894999999999863</v>
      </c>
      <c r="D696" s="96">
        <f t="shared" si="255"/>
        <v>492.2322333591103</v>
      </c>
      <c r="E696" s="96">
        <f t="shared" si="256"/>
        <v>7.7203750326356128E-54</v>
      </c>
      <c r="F696" s="96">
        <f t="shared" si="257"/>
        <v>4.1841494779334623E-51</v>
      </c>
      <c r="G696" s="96">
        <f t="shared" si="260"/>
        <v>-0.29799999999999999</v>
      </c>
      <c r="I696" s="96">
        <f t="shared" si="258"/>
        <v>0</v>
      </c>
      <c r="J696" s="96">
        <f t="shared" si="259"/>
        <v>0.8894999999999863</v>
      </c>
    </row>
    <row r="697" spans="1:10" ht="12.75" customHeight="1">
      <c r="A697" s="96">
        <f>IF(MAX($F$104:F697)=$G$99,$G$99,F697)</f>
        <v>15.906595441861038</v>
      </c>
      <c r="B697" s="481">
        <v>594</v>
      </c>
      <c r="C697" s="96">
        <f t="shared" si="254"/>
        <v>0.89099999999998625</v>
      </c>
      <c r="D697" s="96">
        <f t="shared" si="255"/>
        <v>493.89377558160277</v>
      </c>
      <c r="E697" s="96">
        <f t="shared" si="256"/>
        <v>3.9512793881127664E-54</v>
      </c>
      <c r="F697" s="96">
        <f t="shared" si="257"/>
        <v>2.1475587246260039E-51</v>
      </c>
      <c r="G697" s="96">
        <f t="shared" si="260"/>
        <v>-0.29799999999999999</v>
      </c>
      <c r="I697" s="96">
        <f t="shared" si="258"/>
        <v>0</v>
      </c>
      <c r="J697" s="96">
        <f t="shared" si="259"/>
        <v>0.89099999999998625</v>
      </c>
    </row>
    <row r="698" spans="1:10" ht="12.75" customHeight="1">
      <c r="A698" s="96">
        <f>IF(MAX($F$104:F698)=$G$99,$G$99,F698)</f>
        <v>15.906595441861038</v>
      </c>
      <c r="B698" s="96">
        <v>595</v>
      </c>
      <c r="C698" s="96">
        <f t="shared" si="254"/>
        <v>0.89249999999998619</v>
      </c>
      <c r="D698" s="96">
        <f t="shared" si="255"/>
        <v>495.55811736976074</v>
      </c>
      <c r="E698" s="96">
        <f t="shared" si="256"/>
        <v>2.0188916929205574E-54</v>
      </c>
      <c r="F698" s="96">
        <f t="shared" si="257"/>
        <v>1.1004134197136662E-51</v>
      </c>
      <c r="G698" s="96">
        <f t="shared" si="260"/>
        <v>-0.29799999999999999</v>
      </c>
      <c r="I698" s="96">
        <f t="shared" si="258"/>
        <v>0</v>
      </c>
      <c r="J698" s="96">
        <f t="shared" si="259"/>
        <v>0.89249999999998619</v>
      </c>
    </row>
    <row r="699" spans="1:10" ht="12.75" customHeight="1">
      <c r="A699" s="96">
        <f>IF(MAX($F$104:F699)=$G$99,$G$99,F699)</f>
        <v>15.906595441861038</v>
      </c>
      <c r="B699" s="481">
        <v>596</v>
      </c>
      <c r="C699" s="96">
        <f t="shared" si="254"/>
        <v>0.89399999999998614</v>
      </c>
      <c r="D699" s="96">
        <f t="shared" si="255"/>
        <v>497.22525872358426</v>
      </c>
      <c r="E699" s="96">
        <f t="shared" si="256"/>
        <v>1.0298278313508208E-54</v>
      </c>
      <c r="F699" s="96">
        <f t="shared" si="257"/>
        <v>5.6291144777101391E-52</v>
      </c>
      <c r="G699" s="96">
        <f t="shared" si="260"/>
        <v>-0.29799999999999999</v>
      </c>
      <c r="I699" s="96">
        <f t="shared" si="258"/>
        <v>0</v>
      </c>
      <c r="J699" s="96">
        <f t="shared" si="259"/>
        <v>0.89399999999998614</v>
      </c>
    </row>
    <row r="700" spans="1:10" ht="12.75" customHeight="1">
      <c r="A700" s="96">
        <f>IF(MAX($F$104:F700)=$G$99,$G$99,F700)</f>
        <v>15.906595441861038</v>
      </c>
      <c r="B700" s="481">
        <v>597</v>
      </c>
      <c r="C700" s="96">
        <f t="shared" si="254"/>
        <v>0.89549999999998608</v>
      </c>
      <c r="D700" s="96">
        <f t="shared" si="255"/>
        <v>498.8951996430734</v>
      </c>
      <c r="E700" s="96">
        <f t="shared" si="256"/>
        <v>5.2443652184706905E-55</v>
      </c>
      <c r="F700" s="96">
        <f t="shared" si="257"/>
        <v>2.8747365817642558E-52</v>
      </c>
      <c r="G700" s="96">
        <f t="shared" si="260"/>
        <v>-0.29799999999999999</v>
      </c>
      <c r="I700" s="96">
        <f t="shared" si="258"/>
        <v>0</v>
      </c>
      <c r="J700" s="96">
        <f t="shared" si="259"/>
        <v>0.89549999999998608</v>
      </c>
    </row>
    <row r="701" spans="1:10" ht="12.75" customHeight="1">
      <c r="A701" s="96">
        <f>IF(MAX($F$104:F701)=$G$99,$G$99,F701)</f>
        <v>15.906595441861038</v>
      </c>
      <c r="B701" s="96">
        <v>598</v>
      </c>
      <c r="C701" s="96">
        <f t="shared" si="254"/>
        <v>0.89699999999998603</v>
      </c>
      <c r="D701" s="96">
        <f t="shared" si="255"/>
        <v>500.56794012822792</v>
      </c>
      <c r="E701" s="96">
        <f t="shared" si="256"/>
        <v>2.6662342911252272E-55</v>
      </c>
      <c r="F701" s="96">
        <f t="shared" si="257"/>
        <v>1.4656497512013724E-52</v>
      </c>
      <c r="G701" s="96">
        <f t="shared" si="260"/>
        <v>-0.29799999999999999</v>
      </c>
      <c r="I701" s="96">
        <f t="shared" si="258"/>
        <v>0</v>
      </c>
      <c r="J701" s="96">
        <f t="shared" si="259"/>
        <v>0.89699999999998603</v>
      </c>
    </row>
    <row r="702" spans="1:10" ht="12.75" customHeight="1">
      <c r="A702" s="96">
        <f>IF(MAX($F$104:F702)=$G$99,$G$99,F702)</f>
        <v>15.906595441861038</v>
      </c>
      <c r="B702" s="481">
        <v>599</v>
      </c>
      <c r="C702" s="96">
        <f t="shared" si="254"/>
        <v>0.89849999999998598</v>
      </c>
      <c r="D702" s="96">
        <f t="shared" si="255"/>
        <v>502.24348017904805</v>
      </c>
      <c r="E702" s="96">
        <f t="shared" si="256"/>
        <v>1.3532596843077545E-55</v>
      </c>
      <c r="F702" s="96">
        <f t="shared" si="257"/>
        <v>7.4599669740597314E-53</v>
      </c>
      <c r="G702" s="96">
        <f t="shared" si="260"/>
        <v>-0.29799999999999999</v>
      </c>
      <c r="I702" s="96">
        <f t="shared" si="258"/>
        <v>0</v>
      </c>
      <c r="J702" s="96">
        <f t="shared" si="259"/>
        <v>0.89849999999998598</v>
      </c>
    </row>
    <row r="703" spans="1:10" ht="12.75" customHeight="1">
      <c r="A703" s="96">
        <f>IF(MAX($F$104:F703)=$G$99,$G$99,F703)</f>
        <v>15.906595441861038</v>
      </c>
      <c r="B703" s="481">
        <v>600</v>
      </c>
      <c r="C703" s="96">
        <f t="shared" si="254"/>
        <v>0.89999999999998592</v>
      </c>
      <c r="D703" s="96">
        <f t="shared" si="255"/>
        <v>503.92181979553368</v>
      </c>
      <c r="E703" s="96">
        <f t="shared" si="256"/>
        <v>6.8571208562264351E-56</v>
      </c>
      <c r="F703" s="96">
        <f t="shared" si="257"/>
        <v>3.7906925942274063E-53</v>
      </c>
      <c r="G703" s="96">
        <f t="shared" si="260"/>
        <v>-0.29799999999999999</v>
      </c>
      <c r="I703" s="96">
        <f t="shared" si="258"/>
        <v>0</v>
      </c>
      <c r="J703" s="96">
        <f t="shared" si="259"/>
        <v>0.89999999999998592</v>
      </c>
    </row>
    <row r="704" spans="1:10" ht="12.75" customHeight="1">
      <c r="A704" s="96">
        <f>IF(MAX($F$104:F704)=$G$99,$G$99,F704)</f>
        <v>15.906595441861038</v>
      </c>
      <c r="B704" s="96">
        <v>601</v>
      </c>
      <c r="C704" s="96">
        <f t="shared" si="254"/>
        <v>0.90149999999998587</v>
      </c>
      <c r="D704" s="96">
        <f t="shared" si="255"/>
        <v>505.60295897768486</v>
      </c>
      <c r="E704" s="96">
        <f t="shared" si="256"/>
        <v>3.4688111946862003E-56</v>
      </c>
      <c r="F704" s="96">
        <f t="shared" si="257"/>
        <v>1.9229835772156035E-53</v>
      </c>
      <c r="G704" s="96">
        <f t="shared" si="260"/>
        <v>-0.29799999999999999</v>
      </c>
      <c r="I704" s="96">
        <f t="shared" si="258"/>
        <v>0</v>
      </c>
      <c r="J704" s="96">
        <f t="shared" si="259"/>
        <v>0.90149999999998587</v>
      </c>
    </row>
    <row r="705" spans="1:10" ht="12.75" customHeight="1">
      <c r="A705" s="96">
        <f>IF(MAX($F$104:F705)=$G$99,$G$99,F705)</f>
        <v>15.906595441861038</v>
      </c>
      <c r="B705" s="481">
        <v>602</v>
      </c>
      <c r="C705" s="96">
        <f t="shared" si="254"/>
        <v>0.90299999999998581</v>
      </c>
      <c r="D705" s="96">
        <f t="shared" si="255"/>
        <v>507.2868977255016</v>
      </c>
      <c r="E705" s="96">
        <f t="shared" si="256"/>
        <v>1.7518547220257179E-56</v>
      </c>
      <c r="F705" s="96">
        <f t="shared" si="257"/>
        <v>9.7388644013675119E-54</v>
      </c>
      <c r="G705" s="96">
        <f t="shared" si="260"/>
        <v>-0.29799999999999999</v>
      </c>
      <c r="I705" s="96">
        <f t="shared" si="258"/>
        <v>0</v>
      </c>
      <c r="J705" s="96">
        <f t="shared" si="259"/>
        <v>0.90299999999998581</v>
      </c>
    </row>
    <row r="706" spans="1:10" ht="12.75" customHeight="1">
      <c r="A706" s="96">
        <f>IF(MAX($F$104:F706)=$G$99,$G$99,F706)</f>
        <v>15.906595441861038</v>
      </c>
      <c r="B706" s="481">
        <v>603</v>
      </c>
      <c r="C706" s="96">
        <f t="shared" si="254"/>
        <v>0.90449999999998576</v>
      </c>
      <c r="D706" s="96">
        <f t="shared" si="255"/>
        <v>508.97363603898378</v>
      </c>
      <c r="E706" s="96">
        <f t="shared" si="256"/>
        <v>8.8327197308420551E-57</v>
      </c>
      <c r="F706" s="96">
        <f t="shared" si="257"/>
        <v>4.9239902557205483E-54</v>
      </c>
      <c r="G706" s="96">
        <f t="shared" si="260"/>
        <v>-0.29799999999999999</v>
      </c>
      <c r="I706" s="96">
        <f t="shared" si="258"/>
        <v>0</v>
      </c>
      <c r="J706" s="96">
        <f t="shared" si="259"/>
        <v>0.90449999999998576</v>
      </c>
    </row>
    <row r="707" spans="1:10" ht="12.75" customHeight="1">
      <c r="A707" s="96">
        <f>IF(MAX($F$104:F707)=$G$99,$G$99,F707)</f>
        <v>15.906595441861038</v>
      </c>
      <c r="B707" s="96">
        <v>604</v>
      </c>
      <c r="C707" s="96">
        <f t="shared" ref="C707:C770" si="261">C706+$C$99</f>
        <v>0.90599999999998571</v>
      </c>
      <c r="D707" s="96">
        <f t="shared" si="255"/>
        <v>510.66317391813158</v>
      </c>
      <c r="E707" s="96">
        <f t="shared" si="256"/>
        <v>4.4460067183442155E-57</v>
      </c>
      <c r="F707" s="96">
        <f t="shared" si="257"/>
        <v>2.4854358460778736E-54</v>
      </c>
      <c r="G707" s="96">
        <f t="shared" si="260"/>
        <v>-0.29799999999999999</v>
      </c>
      <c r="I707" s="96">
        <f t="shared" si="258"/>
        <v>0</v>
      </c>
      <c r="J707" s="96">
        <f t="shared" si="259"/>
        <v>0.90599999999998571</v>
      </c>
    </row>
    <row r="708" spans="1:10" ht="12.75" customHeight="1">
      <c r="A708" s="96">
        <f>IF(MAX($F$104:F708)=$G$99,$G$99,F708)</f>
        <v>15.906595441861038</v>
      </c>
      <c r="B708" s="481">
        <v>605</v>
      </c>
      <c r="C708" s="96">
        <f t="shared" si="261"/>
        <v>0.90749999999998565</v>
      </c>
      <c r="D708" s="96">
        <f t="shared" si="255"/>
        <v>512.35551136294487</v>
      </c>
      <c r="E708" s="96">
        <f t="shared" si="256"/>
        <v>2.2342174846176118E-57</v>
      </c>
      <c r="F708" s="96">
        <f t="shared" si="257"/>
        <v>1.2524627564779144E-54</v>
      </c>
      <c r="G708" s="96">
        <f t="shared" si="260"/>
        <v>-0.29799999999999999</v>
      </c>
      <c r="I708" s="96">
        <f t="shared" si="258"/>
        <v>0</v>
      </c>
      <c r="J708" s="96">
        <f t="shared" si="259"/>
        <v>0.90749999999998565</v>
      </c>
    </row>
    <row r="709" spans="1:10" ht="12.75" customHeight="1">
      <c r="A709" s="96">
        <f>IF(MAX($F$104:F709)=$G$99,$G$99,F709)</f>
        <v>15.906595441861038</v>
      </c>
      <c r="B709" s="481">
        <v>606</v>
      </c>
      <c r="C709" s="96">
        <f t="shared" si="261"/>
        <v>0.9089999999999856</v>
      </c>
      <c r="D709" s="96">
        <f t="shared" si="255"/>
        <v>514.05064837342377</v>
      </c>
      <c r="E709" s="96">
        <f t="shared" si="256"/>
        <v>1.120884356013469E-57</v>
      </c>
      <c r="F709" s="96">
        <f t="shared" si="257"/>
        <v>6.3009256402017062E-55</v>
      </c>
      <c r="G709" s="96">
        <f t="shared" si="260"/>
        <v>-0.29799999999999999</v>
      </c>
      <c r="I709" s="96">
        <f t="shared" si="258"/>
        <v>0</v>
      </c>
      <c r="J709" s="96">
        <f t="shared" si="259"/>
        <v>0.9089999999999856</v>
      </c>
    </row>
    <row r="710" spans="1:10" ht="12.75" customHeight="1">
      <c r="A710" s="96">
        <f>IF(MAX($F$104:F710)=$G$99,$G$99,F710)</f>
        <v>15.906595441861038</v>
      </c>
      <c r="B710" s="96">
        <v>607</v>
      </c>
      <c r="C710" s="96">
        <f t="shared" si="261"/>
        <v>0.91049999999998554</v>
      </c>
      <c r="D710" s="96">
        <f t="shared" si="255"/>
        <v>515.748584949568</v>
      </c>
      <c r="E710" s="96">
        <f t="shared" si="256"/>
        <v>5.6140536774990213E-58</v>
      </c>
      <c r="F710" s="96">
        <f t="shared" si="257"/>
        <v>3.1646197823798382E-55</v>
      </c>
      <c r="G710" s="96">
        <f t="shared" si="260"/>
        <v>-0.29799999999999999</v>
      </c>
      <c r="I710" s="96">
        <f t="shared" si="258"/>
        <v>0</v>
      </c>
      <c r="J710" s="96">
        <f t="shared" si="259"/>
        <v>0.91049999999998554</v>
      </c>
    </row>
    <row r="711" spans="1:10" ht="12.75" customHeight="1">
      <c r="A711" s="96">
        <f>IF(MAX($F$104:F711)=$G$99,$G$99,F711)</f>
        <v>15.906595441861038</v>
      </c>
      <c r="B711" s="481">
        <v>608</v>
      </c>
      <c r="C711" s="96">
        <f t="shared" si="261"/>
        <v>0.91199999999998549</v>
      </c>
      <c r="D711" s="96">
        <f t="shared" si="255"/>
        <v>517.4493210913779</v>
      </c>
      <c r="E711" s="96">
        <f t="shared" si="256"/>
        <v>2.8071981201882152E-58</v>
      </c>
      <c r="F711" s="96">
        <f t="shared" si="257"/>
        <v>1.5867801188124564E-55</v>
      </c>
      <c r="G711" s="96">
        <f t="shared" si="260"/>
        <v>-0.29799999999999999</v>
      </c>
      <c r="I711" s="96">
        <f t="shared" si="258"/>
        <v>0</v>
      </c>
      <c r="J711" s="96">
        <f t="shared" si="259"/>
        <v>0.91199999999998549</v>
      </c>
    </row>
    <row r="712" spans="1:10" ht="12.75" customHeight="1">
      <c r="A712" s="96">
        <f>IF(MAX($F$104:F712)=$G$99,$G$99,F712)</f>
        <v>15.906595441861038</v>
      </c>
      <c r="B712" s="481">
        <v>609</v>
      </c>
      <c r="C712" s="96">
        <f t="shared" si="261"/>
        <v>0.91349999999998543</v>
      </c>
      <c r="D712" s="96">
        <f t="shared" si="255"/>
        <v>519.15285679885335</v>
      </c>
      <c r="E712" s="96">
        <f t="shared" si="256"/>
        <v>1.4013630965809949E-58</v>
      </c>
      <c r="F712" s="96">
        <f t="shared" si="257"/>
        <v>7.9431061324378891E-56</v>
      </c>
      <c r="G712" s="96">
        <f t="shared" si="260"/>
        <v>-0.29799999999999999</v>
      </c>
      <c r="I712" s="96">
        <f t="shared" si="258"/>
        <v>0</v>
      </c>
      <c r="J712" s="96">
        <f t="shared" si="259"/>
        <v>0.91349999999998543</v>
      </c>
    </row>
    <row r="713" spans="1:10" ht="12.75" customHeight="1">
      <c r="A713" s="96">
        <f>IF(MAX($F$104:F713)=$G$99,$G$99,F713)</f>
        <v>15.906595441861038</v>
      </c>
      <c r="B713" s="96">
        <v>610</v>
      </c>
      <c r="C713" s="96">
        <f t="shared" si="261"/>
        <v>0.91499999999998538</v>
      </c>
      <c r="D713" s="96">
        <f t="shared" si="255"/>
        <v>520.85919207199436</v>
      </c>
      <c r="E713" s="96">
        <f t="shared" si="256"/>
        <v>6.9840888148789038E-59</v>
      </c>
      <c r="F713" s="96">
        <f t="shared" si="257"/>
        <v>3.9695635328411992E-56</v>
      </c>
      <c r="G713" s="96">
        <f t="shared" si="260"/>
        <v>-0.29799999999999999</v>
      </c>
      <c r="I713" s="96">
        <f t="shared" si="258"/>
        <v>0</v>
      </c>
      <c r="J713" s="96">
        <f t="shared" si="259"/>
        <v>0.91499999999998538</v>
      </c>
    </row>
    <row r="714" spans="1:10" ht="12.75" customHeight="1">
      <c r="A714" s="96">
        <f>IF(MAX($F$104:F714)=$G$99,$G$99,F714)</f>
        <v>15.906595441861038</v>
      </c>
      <c r="B714" s="481">
        <v>611</v>
      </c>
      <c r="C714" s="96">
        <f t="shared" si="261"/>
        <v>0.91649999999998533</v>
      </c>
      <c r="D714" s="96">
        <f t="shared" si="255"/>
        <v>522.56832691080081</v>
      </c>
      <c r="E714" s="96">
        <f t="shared" si="256"/>
        <v>3.4749667193288883E-59</v>
      </c>
      <c r="F714" s="96">
        <f t="shared" si="257"/>
        <v>1.9804974955414365E-56</v>
      </c>
      <c r="G714" s="96">
        <f t="shared" si="260"/>
        <v>-0.29799999999999999</v>
      </c>
      <c r="I714" s="96">
        <f t="shared" si="258"/>
        <v>0</v>
      </c>
      <c r="J714" s="96">
        <f t="shared" si="259"/>
        <v>0.91649999999998533</v>
      </c>
    </row>
    <row r="715" spans="1:10" ht="12.75" customHeight="1">
      <c r="A715" s="96">
        <f>IF(MAX($F$104:F715)=$G$99,$G$99,F715)</f>
        <v>15.906595441861038</v>
      </c>
      <c r="B715" s="481">
        <v>612</v>
      </c>
      <c r="C715" s="96">
        <f t="shared" si="261"/>
        <v>0.91799999999998527</v>
      </c>
      <c r="D715" s="96">
        <f t="shared" si="255"/>
        <v>524.28026131527281</v>
      </c>
      <c r="E715" s="96">
        <f t="shared" si="256"/>
        <v>1.726130862114028E-59</v>
      </c>
      <c r="F715" s="96">
        <f t="shared" si="257"/>
        <v>9.8647334846305204E-57</v>
      </c>
      <c r="G715" s="96">
        <f t="shared" si="260"/>
        <v>-0.29799999999999999</v>
      </c>
      <c r="I715" s="96">
        <f t="shared" si="258"/>
        <v>0</v>
      </c>
      <c r="J715" s="96">
        <f t="shared" si="259"/>
        <v>0.91799999999998527</v>
      </c>
    </row>
    <row r="716" spans="1:10" ht="12.75" customHeight="1">
      <c r="A716" s="96">
        <f>IF(MAX($F$104:F716)=$G$99,$G$99,F716)</f>
        <v>15.906595441861038</v>
      </c>
      <c r="B716" s="96">
        <v>613</v>
      </c>
      <c r="C716" s="96">
        <f t="shared" si="261"/>
        <v>0.91949999999998522</v>
      </c>
      <c r="D716" s="96">
        <f t="shared" si="255"/>
        <v>525.99499528541037</v>
      </c>
      <c r="E716" s="96">
        <f t="shared" si="256"/>
        <v>8.5601092694910348E-60</v>
      </c>
      <c r="F716" s="96">
        <f t="shared" si="257"/>
        <v>4.9054211811052267E-57</v>
      </c>
      <c r="G716" s="96">
        <f t="shared" si="260"/>
        <v>-0.29799999999999999</v>
      </c>
      <c r="I716" s="96">
        <f t="shared" si="258"/>
        <v>0</v>
      </c>
      <c r="J716" s="96">
        <f t="shared" si="259"/>
        <v>0.91949999999998522</v>
      </c>
    </row>
    <row r="717" spans="1:10" ht="12.75" customHeight="1">
      <c r="A717" s="96">
        <f>IF(MAX($F$104:F717)=$G$99,$G$99,F717)</f>
        <v>15.906595441861038</v>
      </c>
      <c r="B717" s="481">
        <v>614</v>
      </c>
      <c r="C717" s="96">
        <f t="shared" si="261"/>
        <v>0.92099999999998516</v>
      </c>
      <c r="D717" s="96">
        <f t="shared" si="255"/>
        <v>527.71252882121348</v>
      </c>
      <c r="E717" s="96">
        <f t="shared" si="256"/>
        <v>4.2380665474095868E-60</v>
      </c>
      <c r="F717" s="96">
        <f t="shared" si="257"/>
        <v>2.4352721413400203E-57</v>
      </c>
      <c r="G717" s="96">
        <f t="shared" si="260"/>
        <v>-0.29799999999999999</v>
      </c>
      <c r="I717" s="96">
        <f t="shared" si="258"/>
        <v>0</v>
      </c>
      <c r="J717" s="96">
        <f t="shared" si="259"/>
        <v>0.92099999999998516</v>
      </c>
    </row>
    <row r="718" spans="1:10" ht="12.75" customHeight="1">
      <c r="A718" s="96">
        <f>IF(MAX($F$104:F718)=$G$99,$G$99,F718)</f>
        <v>15.906595441861038</v>
      </c>
      <c r="B718" s="481">
        <v>615</v>
      </c>
      <c r="C718" s="96">
        <f t="shared" si="261"/>
        <v>0.92249999999998511</v>
      </c>
      <c r="D718" s="96">
        <f t="shared" si="255"/>
        <v>529.43286192268204</v>
      </c>
      <c r="E718" s="96">
        <f t="shared" si="256"/>
        <v>2.0947850004467322E-60</v>
      </c>
      <c r="F718" s="96">
        <f t="shared" si="257"/>
        <v>1.2069778964376295E-57</v>
      </c>
      <c r="G718" s="96">
        <f t="shared" si="260"/>
        <v>-0.29799999999999999</v>
      </c>
      <c r="I718" s="96">
        <f t="shared" si="258"/>
        <v>0</v>
      </c>
      <c r="J718" s="96">
        <f t="shared" si="259"/>
        <v>0.92249999999998511</v>
      </c>
    </row>
    <row r="719" spans="1:10" ht="12.75" customHeight="1">
      <c r="A719" s="96">
        <f>IF(MAX($F$104:F719)=$G$99,$G$99,F719)</f>
        <v>15.906595441861038</v>
      </c>
      <c r="B719" s="96">
        <v>616</v>
      </c>
      <c r="C719" s="96">
        <f t="shared" si="261"/>
        <v>0.92399999999998506</v>
      </c>
      <c r="D719" s="96">
        <f t="shared" si="255"/>
        <v>531.15599458981615</v>
      </c>
      <c r="E719" s="96">
        <f t="shared" si="256"/>
        <v>1.0337004506725167E-60</v>
      </c>
      <c r="F719" s="96">
        <f t="shared" si="257"/>
        <v>5.9721693396147844E-58</v>
      </c>
      <c r="G719" s="96">
        <f t="shared" si="260"/>
        <v>-0.29799999999999999</v>
      </c>
      <c r="I719" s="96">
        <f t="shared" si="258"/>
        <v>0</v>
      </c>
      <c r="J719" s="96">
        <f t="shared" si="259"/>
        <v>0.92399999999998506</v>
      </c>
    </row>
    <row r="720" spans="1:10" ht="12.75" customHeight="1">
      <c r="A720" s="96">
        <f>IF(MAX($F$104:F720)=$G$99,$G$99,F720)</f>
        <v>15.906595441861038</v>
      </c>
      <c r="B720" s="481">
        <v>617</v>
      </c>
      <c r="C720" s="96">
        <f t="shared" si="261"/>
        <v>0.925499999999985</v>
      </c>
      <c r="D720" s="96">
        <f t="shared" si="255"/>
        <v>532.88192682261581</v>
      </c>
      <c r="E720" s="96">
        <f t="shared" si="256"/>
        <v>5.0925331736316097E-61</v>
      </c>
      <c r="F720" s="96">
        <f t="shared" si="257"/>
        <v>2.9501646287766339E-58</v>
      </c>
      <c r="G720" s="96">
        <f t="shared" si="260"/>
        <v>-0.29799999999999999</v>
      </c>
      <c r="I720" s="96">
        <f t="shared" si="258"/>
        <v>0</v>
      </c>
      <c r="J720" s="96">
        <f t="shared" si="259"/>
        <v>0.925499999999985</v>
      </c>
    </row>
    <row r="721" spans="1:10" ht="12.75" customHeight="1">
      <c r="A721" s="96">
        <f>IF(MAX($F$104:F721)=$G$99,$G$99,F721)</f>
        <v>15.906595441861038</v>
      </c>
      <c r="B721" s="481">
        <v>618</v>
      </c>
      <c r="C721" s="96">
        <f t="shared" si="261"/>
        <v>0.92699999999998495</v>
      </c>
      <c r="D721" s="96">
        <f t="shared" si="255"/>
        <v>534.61065862108103</v>
      </c>
      <c r="E721" s="96">
        <f t="shared" si="256"/>
        <v>2.5047090320969339E-61</v>
      </c>
      <c r="F721" s="96">
        <f t="shared" si="257"/>
        <v>1.4549299720094274E-58</v>
      </c>
      <c r="G721" s="96">
        <f t="shared" si="260"/>
        <v>-0.29799999999999999</v>
      </c>
      <c r="I721" s="96">
        <f t="shared" si="258"/>
        <v>0</v>
      </c>
      <c r="J721" s="96">
        <f t="shared" si="259"/>
        <v>0.92699999999998495</v>
      </c>
    </row>
    <row r="722" spans="1:10" ht="12.75" customHeight="1">
      <c r="A722" s="96">
        <f>IF(MAX($F$104:F722)=$G$99,$G$99,F722)</f>
        <v>15.906595441861038</v>
      </c>
      <c r="B722" s="96">
        <v>619</v>
      </c>
      <c r="C722" s="96">
        <f t="shared" si="261"/>
        <v>0.92849999999998489</v>
      </c>
      <c r="D722" s="96">
        <f t="shared" si="255"/>
        <v>536.3421899852118</v>
      </c>
      <c r="E722" s="96">
        <f t="shared" si="256"/>
        <v>1.2298872302437492E-61</v>
      </c>
      <c r="F722" s="96">
        <f t="shared" si="257"/>
        <v>7.1634129501823304E-59</v>
      </c>
      <c r="G722" s="96">
        <f t="shared" si="260"/>
        <v>-0.29799999999999999</v>
      </c>
      <c r="I722" s="96">
        <f t="shared" si="258"/>
        <v>0</v>
      </c>
      <c r="J722" s="96">
        <f t="shared" si="259"/>
        <v>0.92849999999998489</v>
      </c>
    </row>
    <row r="723" spans="1:10" ht="12.75" customHeight="1">
      <c r="A723" s="96">
        <f>IF(MAX($F$104:F723)=$G$99,$G$99,F723)</f>
        <v>15.906595441861038</v>
      </c>
      <c r="B723" s="481">
        <v>620</v>
      </c>
      <c r="C723" s="96">
        <f t="shared" si="261"/>
        <v>0.92999999999998484</v>
      </c>
      <c r="D723" s="96">
        <f t="shared" si="255"/>
        <v>538.07652091500802</v>
      </c>
      <c r="E723" s="96">
        <f t="shared" si="256"/>
        <v>6.0291798337596093E-62</v>
      </c>
      <c r="F723" s="96">
        <f t="shared" si="257"/>
        <v>3.5211157248388999E-59</v>
      </c>
      <c r="G723" s="96">
        <f t="shared" si="260"/>
        <v>-0.29799999999999999</v>
      </c>
      <c r="I723" s="96">
        <f t="shared" si="258"/>
        <v>0</v>
      </c>
      <c r="J723" s="96">
        <f t="shared" si="259"/>
        <v>0.92999999999998484</v>
      </c>
    </row>
    <row r="724" spans="1:10" ht="12.75" customHeight="1">
      <c r="A724" s="96">
        <f>IF(MAX($F$104:F724)=$G$99,$G$99,F724)</f>
        <v>15.906595441861038</v>
      </c>
      <c r="B724" s="481">
        <v>621</v>
      </c>
      <c r="C724" s="96">
        <f t="shared" si="261"/>
        <v>0.93149999999998478</v>
      </c>
      <c r="D724" s="96">
        <f t="shared" si="255"/>
        <v>539.81365141046979</v>
      </c>
      <c r="E724" s="96">
        <f t="shared" si="256"/>
        <v>2.9507774577324468E-62</v>
      </c>
      <c r="F724" s="96">
        <f t="shared" si="257"/>
        <v>1.7279189922505397E-59</v>
      </c>
      <c r="G724" s="96">
        <f t="shared" si="260"/>
        <v>-0.29799999999999999</v>
      </c>
      <c r="I724" s="96">
        <f t="shared" si="258"/>
        <v>0</v>
      </c>
      <c r="J724" s="96">
        <f t="shared" si="259"/>
        <v>0.93149999999998478</v>
      </c>
    </row>
    <row r="725" spans="1:10" ht="12.75" customHeight="1">
      <c r="A725" s="96">
        <f>IF(MAX($F$104:F725)=$G$99,$G$99,F725)</f>
        <v>15.906595441861038</v>
      </c>
      <c r="B725" s="96">
        <v>622</v>
      </c>
      <c r="C725" s="96">
        <f t="shared" si="261"/>
        <v>0.93299999999998473</v>
      </c>
      <c r="D725" s="96">
        <f t="shared" si="255"/>
        <v>541.55358147159711</v>
      </c>
      <c r="E725" s="96">
        <f t="shared" si="256"/>
        <v>1.4417842791121582E-62</v>
      </c>
      <c r="F725" s="96">
        <f t="shared" si="257"/>
        <v>8.4654408292644241E-60</v>
      </c>
      <c r="G725" s="96">
        <f t="shared" si="260"/>
        <v>-0.29799999999999999</v>
      </c>
      <c r="I725" s="96">
        <f t="shared" si="258"/>
        <v>0</v>
      </c>
      <c r="J725" s="96">
        <f t="shared" si="259"/>
        <v>0.93299999999998473</v>
      </c>
    </row>
    <row r="726" spans="1:10" ht="12.75" customHeight="1">
      <c r="A726" s="96">
        <f>IF(MAX($F$104:F726)=$G$99,$G$99,F726)</f>
        <v>15.906595441861038</v>
      </c>
      <c r="B726" s="481">
        <v>623</v>
      </c>
      <c r="C726" s="96">
        <f t="shared" si="261"/>
        <v>0.93449999999998468</v>
      </c>
      <c r="D726" s="96">
        <f t="shared" si="255"/>
        <v>543.29631109838999</v>
      </c>
      <c r="E726" s="96">
        <f t="shared" si="256"/>
        <v>7.0331529067109523E-63</v>
      </c>
      <c r="F726" s="96">
        <f t="shared" si="257"/>
        <v>4.1405615944683691E-60</v>
      </c>
      <c r="G726" s="96">
        <f t="shared" si="260"/>
        <v>-0.29799999999999999</v>
      </c>
      <c r="I726" s="96">
        <f t="shared" si="258"/>
        <v>0</v>
      </c>
      <c r="J726" s="96">
        <f t="shared" si="259"/>
        <v>0.93449999999998468</v>
      </c>
    </row>
    <row r="727" spans="1:10" ht="12.75" customHeight="1">
      <c r="A727" s="96">
        <f>IF(MAX($F$104:F727)=$G$99,$G$99,F727)</f>
        <v>15.906595441861038</v>
      </c>
      <c r="B727" s="481">
        <v>624</v>
      </c>
      <c r="C727" s="96">
        <f t="shared" si="261"/>
        <v>0.93599999999998462</v>
      </c>
      <c r="D727" s="96">
        <f t="shared" si="255"/>
        <v>545.04184029084843</v>
      </c>
      <c r="E727" s="96">
        <f t="shared" si="256"/>
        <v>3.4252013898781228E-63</v>
      </c>
      <c r="F727" s="96">
        <f t="shared" si="257"/>
        <v>2.0218677300306582E-60</v>
      </c>
      <c r="G727" s="96">
        <f t="shared" si="260"/>
        <v>-0.29799999999999999</v>
      </c>
      <c r="I727" s="96">
        <f t="shared" si="258"/>
        <v>0</v>
      </c>
      <c r="J727" s="96">
        <f t="shared" si="259"/>
        <v>0.93599999999998462</v>
      </c>
    </row>
    <row r="728" spans="1:10" ht="12.75" customHeight="1">
      <c r="A728" s="96">
        <f>IF(MAX($F$104:F728)=$G$99,$G$99,F728)</f>
        <v>15.906595441861038</v>
      </c>
      <c r="B728" s="96">
        <v>625</v>
      </c>
      <c r="C728" s="96">
        <f t="shared" si="261"/>
        <v>0.93749999999998457</v>
      </c>
      <c r="D728" s="96">
        <f t="shared" si="255"/>
        <v>546.7901690489723</v>
      </c>
      <c r="E728" s="96">
        <f t="shared" si="256"/>
        <v>1.6653624730012391E-63</v>
      </c>
      <c r="F728" s="96">
        <f t="shared" si="257"/>
        <v>9.8566741492786526E-61</v>
      </c>
      <c r="G728" s="96">
        <f t="shared" si="260"/>
        <v>-0.29799999999999999</v>
      </c>
      <c r="I728" s="96">
        <f t="shared" si="258"/>
        <v>0</v>
      </c>
      <c r="J728" s="96">
        <f t="shared" si="259"/>
        <v>0.93749999999998457</v>
      </c>
    </row>
    <row r="729" spans="1:10" ht="12.75" customHeight="1">
      <c r="A729" s="96">
        <f>IF(MAX($F$104:F729)=$G$99,$G$99,F729)</f>
        <v>15.906595441861038</v>
      </c>
      <c r="B729" s="481">
        <v>626</v>
      </c>
      <c r="C729" s="96">
        <f t="shared" si="261"/>
        <v>0.93899999999998451</v>
      </c>
      <c r="D729" s="96">
        <f t="shared" si="255"/>
        <v>548.54129737276173</v>
      </c>
      <c r="E729" s="96">
        <f t="shared" si="256"/>
        <v>8.0838524405193143E-64</v>
      </c>
      <c r="F729" s="96">
        <f t="shared" si="257"/>
        <v>4.7972524282630229E-61</v>
      </c>
      <c r="G729" s="96">
        <f t="shared" si="260"/>
        <v>-0.29799999999999999</v>
      </c>
      <c r="I729" s="96">
        <f t="shared" si="258"/>
        <v>0</v>
      </c>
      <c r="J729" s="96">
        <f t="shared" si="259"/>
        <v>0.93899999999998451</v>
      </c>
    </row>
    <row r="730" spans="1:10" ht="12.75" customHeight="1">
      <c r="A730" s="96">
        <f>IF(MAX($F$104:F730)=$G$99,$G$99,F730)</f>
        <v>15.906595441861038</v>
      </c>
      <c r="B730" s="481">
        <v>627</v>
      </c>
      <c r="C730" s="96">
        <f t="shared" si="261"/>
        <v>0.94049999999998446</v>
      </c>
      <c r="D730" s="96">
        <f t="shared" si="255"/>
        <v>550.29522526221672</v>
      </c>
      <c r="E730" s="96">
        <f t="shared" si="256"/>
        <v>3.9175563363937465E-64</v>
      </c>
      <c r="F730" s="96">
        <f t="shared" si="257"/>
        <v>2.3309856522019492E-61</v>
      </c>
      <c r="G730" s="96">
        <f t="shared" si="260"/>
        <v>-0.29799999999999999</v>
      </c>
      <c r="I730" s="96">
        <f t="shared" si="258"/>
        <v>0</v>
      </c>
      <c r="J730" s="96">
        <f t="shared" si="259"/>
        <v>0.94049999999998446</v>
      </c>
    </row>
    <row r="731" spans="1:10" ht="12.75" customHeight="1">
      <c r="A731" s="96">
        <f>IF(MAX($F$104:F731)=$G$99,$G$99,F731)</f>
        <v>15.906595441861038</v>
      </c>
      <c r="B731" s="96">
        <v>628</v>
      </c>
      <c r="C731" s="96">
        <f t="shared" si="261"/>
        <v>0.94199999999998441</v>
      </c>
      <c r="D731" s="96">
        <f t="shared" si="255"/>
        <v>552.05195271733726</v>
      </c>
      <c r="E731" s="96">
        <f t="shared" si="256"/>
        <v>1.8953949567973239E-64</v>
      </c>
      <c r="F731" s="96">
        <f t="shared" si="257"/>
        <v>1.1307636233251323E-61</v>
      </c>
      <c r="G731" s="96">
        <f t="shared" si="260"/>
        <v>-0.29799999999999999</v>
      </c>
      <c r="I731" s="96">
        <f t="shared" si="258"/>
        <v>0</v>
      </c>
      <c r="J731" s="96">
        <f t="shared" si="259"/>
        <v>0.94199999999998441</v>
      </c>
    </row>
    <row r="732" spans="1:10" ht="12.75" customHeight="1">
      <c r="A732" s="96">
        <f>IF(MAX($F$104:F732)=$G$99,$G$99,F732)</f>
        <v>15.906595441861038</v>
      </c>
      <c r="B732" s="481">
        <v>629</v>
      </c>
      <c r="C732" s="96">
        <f t="shared" si="261"/>
        <v>0.94349999999998435</v>
      </c>
      <c r="D732" s="96">
        <f t="shared" si="255"/>
        <v>553.81147973812324</v>
      </c>
      <c r="E732" s="96">
        <f t="shared" si="256"/>
        <v>9.155290178314484E-65</v>
      </c>
      <c r="F732" s="96">
        <f t="shared" si="257"/>
        <v>5.4763298343272306E-62</v>
      </c>
      <c r="G732" s="96">
        <f t="shared" si="260"/>
        <v>-0.29799999999999999</v>
      </c>
      <c r="I732" s="96">
        <f t="shared" si="258"/>
        <v>0</v>
      </c>
      <c r="J732" s="96">
        <f t="shared" si="259"/>
        <v>0.94349999999998435</v>
      </c>
    </row>
    <row r="733" spans="1:10" ht="12.75" customHeight="1">
      <c r="A733" s="96">
        <f>IF(MAX($F$104:F733)=$G$99,$G$99,F733)</f>
        <v>15.906595441861038</v>
      </c>
      <c r="B733" s="481">
        <v>630</v>
      </c>
      <c r="C733" s="96">
        <f t="shared" si="261"/>
        <v>0.9449999999999843</v>
      </c>
      <c r="D733" s="96">
        <f t="shared" si="255"/>
        <v>555.57380632457478</v>
      </c>
      <c r="E733" s="96">
        <f t="shared" si="256"/>
        <v>4.4150208042726262E-65</v>
      </c>
      <c r="F733" s="96">
        <f t="shared" si="257"/>
        <v>2.6478491860392678E-62</v>
      </c>
      <c r="G733" s="96">
        <f t="shared" si="260"/>
        <v>-0.29799999999999999</v>
      </c>
      <c r="I733" s="96">
        <f t="shared" si="258"/>
        <v>0</v>
      </c>
      <c r="J733" s="96">
        <f t="shared" si="259"/>
        <v>0.9449999999999843</v>
      </c>
    </row>
    <row r="734" spans="1:10" ht="12.75" customHeight="1">
      <c r="A734" s="96">
        <f>IF(MAX($F$104:F734)=$G$99,$G$99,F734)</f>
        <v>15.906595441861038</v>
      </c>
      <c r="B734" s="96">
        <v>631</v>
      </c>
      <c r="C734" s="96">
        <f t="shared" si="261"/>
        <v>0.94649999999998424</v>
      </c>
      <c r="D734" s="96">
        <f t="shared" si="255"/>
        <v>557.33893247669198</v>
      </c>
      <c r="E734" s="96">
        <f t="shared" si="256"/>
        <v>2.125602073785454E-65</v>
      </c>
      <c r="F734" s="96">
        <f t="shared" si="257"/>
        <v>1.2781537834434543E-62</v>
      </c>
      <c r="G734" s="96">
        <f t="shared" si="260"/>
        <v>-0.29799999999999999</v>
      </c>
      <c r="I734" s="96">
        <f t="shared" si="258"/>
        <v>0</v>
      </c>
      <c r="J734" s="96">
        <f t="shared" si="259"/>
        <v>0.94649999999998424</v>
      </c>
    </row>
    <row r="735" spans="1:10" ht="12.75" customHeight="1">
      <c r="A735" s="96">
        <f>IF(MAX($F$104:F735)=$G$99,$G$99,F735)</f>
        <v>15.906595441861038</v>
      </c>
      <c r="B735" s="481">
        <v>632</v>
      </c>
      <c r="C735" s="96">
        <f t="shared" si="261"/>
        <v>0.94799999999998419</v>
      </c>
      <c r="D735" s="96">
        <f t="shared" si="255"/>
        <v>559.10685819447451</v>
      </c>
      <c r="E735" s="96">
        <f t="shared" si="256"/>
        <v>1.0216921756616853E-65</v>
      </c>
      <c r="F735" s="96">
        <f t="shared" si="257"/>
        <v>6.1596995204721783E-63</v>
      </c>
      <c r="G735" s="96">
        <f t="shared" si="260"/>
        <v>-0.29799999999999999</v>
      </c>
      <c r="I735" s="96">
        <f t="shared" si="258"/>
        <v>0</v>
      </c>
      <c r="J735" s="96">
        <f t="shared" si="259"/>
        <v>0.94799999999998419</v>
      </c>
    </row>
    <row r="736" spans="1:10" ht="12.75" customHeight="1">
      <c r="A736" s="96">
        <f>IF(MAX($F$104:F736)=$G$99,$G$99,F736)</f>
        <v>15.906595441861038</v>
      </c>
      <c r="B736" s="481">
        <v>633</v>
      </c>
      <c r="C736" s="96">
        <f t="shared" si="261"/>
        <v>0.94949999999998413</v>
      </c>
      <c r="D736" s="96">
        <f t="shared" si="255"/>
        <v>560.87758347792271</v>
      </c>
      <c r="E736" s="96">
        <f t="shared" si="256"/>
        <v>4.9028361702292853E-66</v>
      </c>
      <c r="F736" s="96">
        <f t="shared" si="257"/>
        <v>2.9636221446295969E-63</v>
      </c>
      <c r="G736" s="96">
        <f t="shared" si="260"/>
        <v>-0.29799999999999999</v>
      </c>
      <c r="I736" s="96">
        <f t="shared" si="258"/>
        <v>0</v>
      </c>
      <c r="J736" s="96">
        <f t="shared" si="259"/>
        <v>0.94949999999998413</v>
      </c>
    </row>
    <row r="737" spans="1:10" ht="12.75" customHeight="1">
      <c r="A737" s="96">
        <f>IF(MAX($F$104:F737)=$G$99,$G$99,F737)</f>
        <v>15.906595441861038</v>
      </c>
      <c r="B737" s="96">
        <v>634</v>
      </c>
      <c r="C737" s="96">
        <f t="shared" si="261"/>
        <v>0.95099999999998408</v>
      </c>
      <c r="D737" s="96">
        <f t="shared" si="255"/>
        <v>562.65110832703635</v>
      </c>
      <c r="E737" s="96">
        <f t="shared" si="256"/>
        <v>2.3488983637949123E-66</v>
      </c>
      <c r="F737" s="96">
        <f t="shared" si="257"/>
        <v>1.4235520625334547E-63</v>
      </c>
      <c r="G737" s="96">
        <f t="shared" si="260"/>
        <v>-0.29799999999999999</v>
      </c>
      <c r="I737" s="96">
        <f t="shared" si="258"/>
        <v>0</v>
      </c>
      <c r="J737" s="96">
        <f t="shared" si="259"/>
        <v>0.95099999999998408</v>
      </c>
    </row>
    <row r="738" spans="1:10" ht="12.75" customHeight="1">
      <c r="A738" s="96">
        <f>IF(MAX($F$104:F738)=$G$99,$G$99,F738)</f>
        <v>15.906595441861038</v>
      </c>
      <c r="B738" s="481">
        <v>635</v>
      </c>
      <c r="C738" s="96">
        <f t="shared" si="261"/>
        <v>0.95249999999998403</v>
      </c>
      <c r="D738" s="96">
        <f t="shared" si="255"/>
        <v>564.42743274181555</v>
      </c>
      <c r="E738" s="96">
        <f t="shared" si="256"/>
        <v>1.1234944112909093E-66</v>
      </c>
      <c r="F738" s="96">
        <f t="shared" si="257"/>
        <v>6.8267096061866176E-64</v>
      </c>
      <c r="G738" s="96">
        <f t="shared" si="260"/>
        <v>-0.29799999999999999</v>
      </c>
      <c r="I738" s="96">
        <f t="shared" si="258"/>
        <v>0</v>
      </c>
      <c r="J738" s="96">
        <f t="shared" si="259"/>
        <v>0.95249999999998403</v>
      </c>
    </row>
    <row r="739" spans="1:10" ht="12.75" customHeight="1">
      <c r="A739" s="96">
        <f>IF(MAX($F$104:F739)=$G$99,$G$99,F739)</f>
        <v>15.906595441861038</v>
      </c>
      <c r="B739" s="481">
        <v>636</v>
      </c>
      <c r="C739" s="96">
        <f t="shared" si="261"/>
        <v>0.95399999999998397</v>
      </c>
      <c r="D739" s="96">
        <f t="shared" si="255"/>
        <v>566.2065567222603</v>
      </c>
      <c r="E739" s="96">
        <f t="shared" si="256"/>
        <v>5.3649758339138537E-67</v>
      </c>
      <c r="F739" s="96">
        <f t="shared" si="257"/>
        <v>3.2684164217227692E-64</v>
      </c>
      <c r="G739" s="96">
        <f t="shared" si="260"/>
        <v>-0.29799999999999999</v>
      </c>
      <c r="I739" s="96">
        <f t="shared" si="258"/>
        <v>0</v>
      </c>
      <c r="J739" s="96">
        <f t="shared" si="259"/>
        <v>0.95399999999998397</v>
      </c>
    </row>
    <row r="740" spans="1:10" ht="12.75" customHeight="1">
      <c r="A740" s="96">
        <f>IF(MAX($F$104:F740)=$G$99,$G$99,F740)</f>
        <v>15.906595441861038</v>
      </c>
      <c r="B740" s="96">
        <v>637</v>
      </c>
      <c r="C740" s="96">
        <f t="shared" si="261"/>
        <v>0.95549999999998392</v>
      </c>
      <c r="D740" s="96">
        <f t="shared" si="255"/>
        <v>567.98848026837061</v>
      </c>
      <c r="E740" s="96">
        <f t="shared" si="256"/>
        <v>2.5577323738220944E-67</v>
      </c>
      <c r="F740" s="96">
        <f t="shared" si="257"/>
        <v>1.5622536454603176E-64</v>
      </c>
      <c r="G740" s="96">
        <f t="shared" si="260"/>
        <v>-0.29799999999999999</v>
      </c>
      <c r="I740" s="96">
        <f t="shared" si="258"/>
        <v>0</v>
      </c>
      <c r="J740" s="96">
        <f t="shared" si="259"/>
        <v>0.95549999999998392</v>
      </c>
    </row>
    <row r="741" spans="1:10" ht="12.75" customHeight="1">
      <c r="A741" s="96">
        <f>IF(MAX($F$104:F741)=$G$99,$G$99,F741)</f>
        <v>15.906595441861038</v>
      </c>
      <c r="B741" s="481">
        <v>638</v>
      </c>
      <c r="C741" s="96">
        <f t="shared" si="261"/>
        <v>0.95699999999998386</v>
      </c>
      <c r="D741" s="96">
        <f t="shared" si="255"/>
        <v>569.77320338014647</v>
      </c>
      <c r="E741" s="96">
        <f t="shared" si="256"/>
        <v>1.2173997840192048E-67</v>
      </c>
      <c r="F741" s="96">
        <f t="shared" si="257"/>
        <v>7.4551132354760179E-65</v>
      </c>
      <c r="G741" s="96">
        <f t="shared" si="260"/>
        <v>-0.29799999999999999</v>
      </c>
      <c r="I741" s="96">
        <f t="shared" si="258"/>
        <v>0</v>
      </c>
      <c r="J741" s="96">
        <f t="shared" si="259"/>
        <v>0.95699999999998386</v>
      </c>
    </row>
    <row r="742" spans="1:10" ht="12.75" customHeight="1">
      <c r="A742" s="96">
        <f>IF(MAX($F$104:F742)=$G$99,$G$99,F742)</f>
        <v>15.906595441861038</v>
      </c>
      <c r="B742" s="481">
        <v>639</v>
      </c>
      <c r="C742" s="96">
        <f t="shared" si="261"/>
        <v>0.95849999999998381</v>
      </c>
      <c r="D742" s="96">
        <f t="shared" si="255"/>
        <v>571.56072605758777</v>
      </c>
      <c r="E742" s="96">
        <f t="shared" si="256"/>
        <v>5.7849877148332829E-68</v>
      </c>
      <c r="F742" s="96">
        <f t="shared" si="257"/>
        <v>3.551777907419309E-65</v>
      </c>
      <c r="G742" s="96">
        <f t="shared" si="260"/>
        <v>-0.29799999999999999</v>
      </c>
      <c r="I742" s="96">
        <f t="shared" si="258"/>
        <v>0</v>
      </c>
      <c r="J742" s="96">
        <f t="shared" si="259"/>
        <v>0.95849999999998381</v>
      </c>
    </row>
    <row r="743" spans="1:10" ht="12.75" customHeight="1">
      <c r="A743" s="96">
        <f>IF(MAX($F$104:F743)=$G$99,$G$99,F743)</f>
        <v>15.906595441861038</v>
      </c>
      <c r="B743" s="96">
        <v>640</v>
      </c>
      <c r="C743" s="96">
        <f t="shared" si="261"/>
        <v>0.95999999999998376</v>
      </c>
      <c r="D743" s="96">
        <f t="shared" si="255"/>
        <v>573.35104830069463</v>
      </c>
      <c r="E743" s="96">
        <f t="shared" si="256"/>
        <v>2.7444989709372434E-68</v>
      </c>
      <c r="F743" s="96">
        <f t="shared" si="257"/>
        <v>1.6893768622457405E-65</v>
      </c>
      <c r="G743" s="96">
        <f t="shared" si="260"/>
        <v>-0.29799999999999999</v>
      </c>
      <c r="I743" s="96">
        <f t="shared" si="258"/>
        <v>0</v>
      </c>
      <c r="J743" s="96">
        <f t="shared" si="259"/>
        <v>0.95999999999998376</v>
      </c>
    </row>
    <row r="744" spans="1:10" ht="12.75" customHeight="1">
      <c r="A744" s="96">
        <f>IF(MAX($F$104:F744)=$G$99,$G$99,F744)</f>
        <v>15.906595441861038</v>
      </c>
      <c r="B744" s="481">
        <v>641</v>
      </c>
      <c r="C744" s="96">
        <f t="shared" si="261"/>
        <v>0.9614999999999837</v>
      </c>
      <c r="D744" s="96">
        <f t="shared" ref="D744:D807" si="262">C744^2/$C$96</f>
        <v>575.14417010946704</v>
      </c>
      <c r="E744" s="96">
        <f t="shared" ref="E744:E807" si="263">CHIDIST(D744,$E$96)</f>
        <v>1.2999163991366258E-68</v>
      </c>
      <c r="F744" s="96">
        <f t="shared" ref="F744:F807" si="264">IF($E$7&lt;$F$101,NA(),$E$98*(E743-E745)/(2*$C$99))</f>
        <v>8.0222609912891119E-66</v>
      </c>
      <c r="G744" s="96">
        <f t="shared" si="260"/>
        <v>-0.29799999999999999</v>
      </c>
      <c r="I744" s="96">
        <f t="shared" ref="I744:I807" si="265">IF(F744&gt;$G$98,1,0)</f>
        <v>0</v>
      </c>
      <c r="J744" s="96">
        <f t="shared" ref="J744:J807" si="266">C744</f>
        <v>0.9614999999999837</v>
      </c>
    </row>
    <row r="745" spans="1:10" ht="12.75" customHeight="1">
      <c r="A745" s="96">
        <f>IF(MAX($F$104:F745)=$G$99,$G$99,F745)</f>
        <v>15.906595441861038</v>
      </c>
      <c r="B745" s="481">
        <v>642</v>
      </c>
      <c r="C745" s="96">
        <f t="shared" si="261"/>
        <v>0.96299999999998365</v>
      </c>
      <c r="D745" s="96">
        <f t="shared" si="262"/>
        <v>576.94009148390489</v>
      </c>
      <c r="E745" s="96">
        <f t="shared" si="263"/>
        <v>6.1469516794013358E-69</v>
      </c>
      <c r="F745" s="96">
        <f t="shared" si="264"/>
        <v>3.8032673699244733E-66</v>
      </c>
      <c r="G745" s="96">
        <f t="shared" ref="G745:G808" si="267">F745-$G$101</f>
        <v>-0.29799999999999999</v>
      </c>
      <c r="I745" s="96">
        <f t="shared" si="265"/>
        <v>0</v>
      </c>
      <c r="J745" s="96">
        <f t="shared" si="266"/>
        <v>0.96299999999998365</v>
      </c>
    </row>
    <row r="746" spans="1:10" ht="12.75" customHeight="1">
      <c r="A746" s="96">
        <f>IF(MAX($F$104:F746)=$G$99,$G$99,F746)</f>
        <v>15.906595441861038</v>
      </c>
      <c r="B746" s="96">
        <v>643</v>
      </c>
      <c r="C746" s="96">
        <f t="shared" si="261"/>
        <v>0.96449999999998359</v>
      </c>
      <c r="D746" s="96">
        <f t="shared" si="262"/>
        <v>578.73881242400842</v>
      </c>
      <c r="E746" s="96">
        <f t="shared" si="263"/>
        <v>2.9019939827172137E-69</v>
      </c>
      <c r="F746" s="96">
        <f t="shared" si="264"/>
        <v>1.8001432737824479E-66</v>
      </c>
      <c r="G746" s="96">
        <f t="shared" si="267"/>
        <v>-0.29799999999999999</v>
      </c>
      <c r="I746" s="96">
        <f t="shared" si="265"/>
        <v>0</v>
      </c>
      <c r="J746" s="96">
        <f t="shared" si="266"/>
        <v>0.96449999999998359</v>
      </c>
    </row>
    <row r="747" spans="1:10" ht="12.75" customHeight="1">
      <c r="A747" s="96">
        <f>IF(MAX($F$104:F747)=$G$99,$G$99,F747)</f>
        <v>15.906595441861038</v>
      </c>
      <c r="B747" s="481">
        <v>644</v>
      </c>
      <c r="C747" s="96">
        <f t="shared" si="261"/>
        <v>0.96599999999998354</v>
      </c>
      <c r="D747" s="96">
        <f t="shared" si="262"/>
        <v>580.54033292977749</v>
      </c>
      <c r="E747" s="96">
        <f t="shared" si="263"/>
        <v>1.3678102445806776E-69</v>
      </c>
      <c r="F747" s="96">
        <f t="shared" si="264"/>
        <v>8.5064381439954411E-67</v>
      </c>
      <c r="G747" s="96">
        <f t="shared" si="267"/>
        <v>-0.29799999999999999</v>
      </c>
      <c r="I747" s="96">
        <f t="shared" si="265"/>
        <v>0</v>
      </c>
      <c r="J747" s="96">
        <f t="shared" si="266"/>
        <v>0.96599999999998354</v>
      </c>
    </row>
    <row r="748" spans="1:10" ht="12.75" customHeight="1">
      <c r="A748" s="96">
        <f>IF(MAX($F$104:F748)=$G$99,$G$99,F748)</f>
        <v>15.906595441861038</v>
      </c>
      <c r="B748" s="481">
        <v>645</v>
      </c>
      <c r="C748" s="96">
        <f t="shared" si="261"/>
        <v>0.96749999999998348</v>
      </c>
      <c r="D748" s="96">
        <f t="shared" si="262"/>
        <v>582.34465300121201</v>
      </c>
      <c r="E748" s="96">
        <f t="shared" si="263"/>
        <v>6.4364757280691906E-70</v>
      </c>
      <c r="F748" s="96">
        <f t="shared" si="264"/>
        <v>4.0130927948277715E-67</v>
      </c>
      <c r="G748" s="96">
        <f t="shared" si="267"/>
        <v>-0.29799999999999999</v>
      </c>
      <c r="I748" s="96">
        <f t="shared" si="265"/>
        <v>0</v>
      </c>
      <c r="J748" s="96">
        <f t="shared" si="266"/>
        <v>0.96749999999998348</v>
      </c>
    </row>
    <row r="749" spans="1:10" ht="12.75" customHeight="1">
      <c r="A749" s="96">
        <f>IF(MAX($F$104:F749)=$G$99,$G$99,F749)</f>
        <v>15.906595441861038</v>
      </c>
      <c r="B749" s="96">
        <v>646</v>
      </c>
      <c r="C749" s="96">
        <f t="shared" si="261"/>
        <v>0.96899999999998343</v>
      </c>
      <c r="D749" s="96">
        <f t="shared" si="262"/>
        <v>584.15177263831197</v>
      </c>
      <c r="E749" s="96">
        <f t="shared" si="263"/>
        <v>3.0238737869719849E-70</v>
      </c>
      <c r="F749" s="96">
        <f t="shared" si="264"/>
        <v>1.8901738378726553E-67</v>
      </c>
      <c r="G749" s="96">
        <f t="shared" si="267"/>
        <v>-0.29799999999999999</v>
      </c>
      <c r="I749" s="96">
        <f t="shared" si="265"/>
        <v>0</v>
      </c>
      <c r="J749" s="96">
        <f t="shared" si="266"/>
        <v>0.96899999999998343</v>
      </c>
    </row>
    <row r="750" spans="1:10" ht="12.75" customHeight="1">
      <c r="A750" s="96">
        <f>IF(MAX($F$104:F750)=$G$99,$G$99,F750)</f>
        <v>15.906595441861038</v>
      </c>
      <c r="B750" s="481">
        <v>647</v>
      </c>
      <c r="C750" s="96">
        <f t="shared" si="261"/>
        <v>0.97049999999998338</v>
      </c>
      <c r="D750" s="96">
        <f t="shared" si="262"/>
        <v>585.9616918410776</v>
      </c>
      <c r="E750" s="96">
        <f t="shared" si="263"/>
        <v>1.4183150965488663E-70</v>
      </c>
      <c r="F750" s="96">
        <f t="shared" si="264"/>
        <v>8.8882384751982271E-68</v>
      </c>
      <c r="G750" s="96">
        <f t="shared" si="267"/>
        <v>-0.29799999999999999</v>
      </c>
      <c r="I750" s="96">
        <f t="shared" si="265"/>
        <v>0</v>
      </c>
      <c r="J750" s="96">
        <f t="shared" si="266"/>
        <v>0.97049999999998338</v>
      </c>
    </row>
    <row r="751" spans="1:10" ht="12.75" customHeight="1">
      <c r="A751" s="96">
        <f>IF(MAX($F$104:F751)=$G$99,$G$99,F751)</f>
        <v>15.906595441861038</v>
      </c>
      <c r="B751" s="481">
        <v>648</v>
      </c>
      <c r="C751" s="96">
        <f t="shared" si="261"/>
        <v>0.97199999999998332</v>
      </c>
      <c r="D751" s="96">
        <f t="shared" si="262"/>
        <v>587.77441060950866</v>
      </c>
      <c r="E751" s="96">
        <f t="shared" si="263"/>
        <v>6.6416445727334035E-71</v>
      </c>
      <c r="F751" s="96">
        <f t="shared" si="264"/>
        <v>4.1727403891819523E-68</v>
      </c>
      <c r="G751" s="96">
        <f t="shared" si="267"/>
        <v>-0.29799999999999999</v>
      </c>
      <c r="I751" s="96">
        <f t="shared" si="265"/>
        <v>0</v>
      </c>
      <c r="J751" s="96">
        <f t="shared" si="266"/>
        <v>0.97199999999998332</v>
      </c>
    </row>
    <row r="752" spans="1:10" ht="12.75" customHeight="1">
      <c r="A752" s="96">
        <f>IF(MAX($F$104:F752)=$G$99,$G$99,F752)</f>
        <v>15.906595441861038</v>
      </c>
      <c r="B752" s="96">
        <v>649</v>
      </c>
      <c r="C752" s="96">
        <f t="shared" si="261"/>
        <v>0.97349999999998327</v>
      </c>
      <c r="D752" s="96">
        <f t="shared" si="262"/>
        <v>589.5899289436054</v>
      </c>
      <c r="E752" s="96">
        <f t="shared" si="263"/>
        <v>3.1050791358020614E-71</v>
      </c>
      <c r="F752" s="96">
        <f t="shared" si="264"/>
        <v>1.9557757604390065E-68</v>
      </c>
      <c r="G752" s="96">
        <f t="shared" si="267"/>
        <v>-0.29799999999999999</v>
      </c>
      <c r="I752" s="96">
        <f t="shared" si="265"/>
        <v>0</v>
      </c>
      <c r="J752" s="96">
        <f t="shared" si="266"/>
        <v>0.97349999999998327</v>
      </c>
    </row>
    <row r="753" spans="1:10" ht="12.75" customHeight="1">
      <c r="A753" s="96">
        <f>IF(MAX($F$104:F753)=$G$99,$G$99,F753)</f>
        <v>15.906595441861038</v>
      </c>
      <c r="B753" s="481">
        <v>650</v>
      </c>
      <c r="C753" s="96">
        <f t="shared" si="261"/>
        <v>0.97499999999998321</v>
      </c>
      <c r="D753" s="96">
        <f t="shared" si="262"/>
        <v>591.40824684336758</v>
      </c>
      <c r="E753" s="96">
        <f t="shared" si="263"/>
        <v>1.4493195450192267E-71</v>
      </c>
      <c r="F753" s="96">
        <f t="shared" si="264"/>
        <v>9.1518541064350036E-69</v>
      </c>
      <c r="G753" s="96">
        <f t="shared" si="267"/>
        <v>-0.29799999999999999</v>
      </c>
      <c r="I753" s="96">
        <f t="shared" si="265"/>
        <v>0</v>
      </c>
      <c r="J753" s="96">
        <f t="shared" si="266"/>
        <v>0.97499999999998321</v>
      </c>
    </row>
    <row r="754" spans="1:10" ht="12.75" customHeight="1">
      <c r="A754" s="96">
        <f>IF(MAX($F$104:F754)=$G$99,$G$99,F754)</f>
        <v>15.906595441861038</v>
      </c>
      <c r="B754" s="481">
        <v>651</v>
      </c>
      <c r="C754" s="96">
        <f t="shared" si="261"/>
        <v>0.97649999999998316</v>
      </c>
      <c r="D754" s="96">
        <f t="shared" si="262"/>
        <v>593.2293643087952</v>
      </c>
      <c r="E754" s="96">
        <f t="shared" si="263"/>
        <v>6.7538335533259132E-72</v>
      </c>
      <c r="F754" s="96">
        <f t="shared" si="264"/>
        <v>4.2755477366825579E-69</v>
      </c>
      <c r="G754" s="96">
        <f t="shared" si="267"/>
        <v>-0.29799999999999999</v>
      </c>
      <c r="I754" s="96">
        <f t="shared" si="265"/>
        <v>0</v>
      </c>
      <c r="J754" s="96">
        <f t="shared" si="266"/>
        <v>0.97649999999998316</v>
      </c>
    </row>
    <row r="755" spans="1:10" ht="12.75" customHeight="1">
      <c r="A755" s="96">
        <f>IF(MAX($F$104:F755)=$G$99,$G$99,F755)</f>
        <v>15.906595441861038</v>
      </c>
      <c r="B755" s="96">
        <v>652</v>
      </c>
      <c r="C755" s="96">
        <f t="shared" si="261"/>
        <v>0.97799999999998311</v>
      </c>
      <c r="D755" s="96">
        <f t="shared" si="262"/>
        <v>595.05328133988849</v>
      </c>
      <c r="E755" s="96">
        <f t="shared" si="263"/>
        <v>3.1421837598845901E-72</v>
      </c>
      <c r="F755" s="96">
        <f t="shared" si="264"/>
        <v>1.9941938819078076E-69</v>
      </c>
      <c r="G755" s="96">
        <f t="shared" si="267"/>
        <v>-0.29799999999999999</v>
      </c>
      <c r="I755" s="96">
        <f t="shared" si="265"/>
        <v>0</v>
      </c>
      <c r="J755" s="96">
        <f t="shared" si="266"/>
        <v>0.97799999999998311</v>
      </c>
    </row>
    <row r="756" spans="1:10" ht="12.75" customHeight="1">
      <c r="A756" s="96">
        <f>IF(MAX($F$104:F756)=$G$99,$G$99,F756)</f>
        <v>15.906595441861038</v>
      </c>
      <c r="B756" s="481">
        <v>653</v>
      </c>
      <c r="C756" s="96">
        <f t="shared" si="261"/>
        <v>0.97949999999998305</v>
      </c>
      <c r="D756" s="96">
        <f t="shared" si="262"/>
        <v>596.87999793664721</v>
      </c>
      <c r="E756" s="96">
        <f t="shared" si="263"/>
        <v>1.4595135128627066E-72</v>
      </c>
      <c r="F756" s="96">
        <f t="shared" si="264"/>
        <v>9.2861619207378178E-70</v>
      </c>
      <c r="G756" s="96">
        <f t="shared" si="267"/>
        <v>-0.29799999999999999</v>
      </c>
      <c r="I756" s="96">
        <f t="shared" si="265"/>
        <v>0</v>
      </c>
      <c r="J756" s="96">
        <f t="shared" si="266"/>
        <v>0.97949999999998305</v>
      </c>
    </row>
    <row r="757" spans="1:10" ht="12.75" customHeight="1">
      <c r="A757" s="96">
        <f>IF(MAX($F$104:F757)=$G$99,$G$99,F757)</f>
        <v>15.906595441861038</v>
      </c>
      <c r="B757" s="481">
        <v>654</v>
      </c>
      <c r="C757" s="96">
        <f t="shared" si="261"/>
        <v>0.980999999999983</v>
      </c>
      <c r="D757" s="96">
        <f t="shared" si="262"/>
        <v>598.7095140990715</v>
      </c>
      <c r="E757" s="96">
        <f t="shared" si="263"/>
        <v>6.7683103756481503E-73</v>
      </c>
      <c r="F757" s="96">
        <f t="shared" si="264"/>
        <v>4.3171653273770155E-70</v>
      </c>
      <c r="G757" s="96">
        <f t="shared" si="267"/>
        <v>-0.29799999999999999</v>
      </c>
      <c r="I757" s="96">
        <f t="shared" si="265"/>
        <v>0</v>
      </c>
      <c r="J757" s="96">
        <f t="shared" si="266"/>
        <v>0.980999999999983</v>
      </c>
    </row>
    <row r="758" spans="1:10" ht="12.75" customHeight="1">
      <c r="A758" s="96">
        <f>IF(MAX($F$104:F758)=$G$99,$G$99,F758)</f>
        <v>15.906595441861038</v>
      </c>
      <c r="B758" s="96">
        <v>655</v>
      </c>
      <c r="C758" s="96">
        <f t="shared" si="261"/>
        <v>0.98249999999998294</v>
      </c>
      <c r="D758" s="96">
        <f t="shared" si="262"/>
        <v>600.54182982716134</v>
      </c>
      <c r="E758" s="96">
        <f t="shared" si="263"/>
        <v>3.1336342594845481E-73</v>
      </c>
      <c r="F758" s="96">
        <f t="shared" si="264"/>
        <v>2.0038027403192364E-70</v>
      </c>
      <c r="G758" s="96">
        <f t="shared" si="267"/>
        <v>-0.29799999999999999</v>
      </c>
      <c r="I758" s="96">
        <f t="shared" si="265"/>
        <v>0</v>
      </c>
      <c r="J758" s="96">
        <f t="shared" si="266"/>
        <v>0.98249999999998294</v>
      </c>
    </row>
    <row r="759" spans="1:10" ht="12.75" customHeight="1">
      <c r="A759" s="96">
        <f>IF(MAX($F$104:F759)=$G$99,$G$99,F759)</f>
        <v>15.906595441861038</v>
      </c>
      <c r="B759" s="481">
        <v>656</v>
      </c>
      <c r="C759" s="96">
        <f t="shared" si="261"/>
        <v>0.98399999999998289</v>
      </c>
      <c r="D759" s="96">
        <f t="shared" si="262"/>
        <v>602.37694512091673</v>
      </c>
      <c r="E759" s="96">
        <f t="shared" si="263"/>
        <v>1.4484800916147792E-73</v>
      </c>
      <c r="F759" s="96">
        <f t="shared" si="264"/>
        <v>9.2855024649266931E-71</v>
      </c>
      <c r="G759" s="96">
        <f t="shared" si="267"/>
        <v>-0.29799999999999999</v>
      </c>
      <c r="I759" s="96">
        <f t="shared" si="265"/>
        <v>0</v>
      </c>
      <c r="J759" s="96">
        <f t="shared" si="266"/>
        <v>0.98399999999998289</v>
      </c>
    </row>
    <row r="760" spans="1:10" ht="12.75" customHeight="1">
      <c r="A760" s="96">
        <f>IF(MAX($F$104:F760)=$G$99,$G$99,F760)</f>
        <v>15.906595441861038</v>
      </c>
      <c r="B760" s="481">
        <v>657</v>
      </c>
      <c r="C760" s="96">
        <f t="shared" si="261"/>
        <v>0.98549999999998283</v>
      </c>
      <c r="D760" s="96">
        <f t="shared" si="262"/>
        <v>604.21485998033768</v>
      </c>
      <c r="E760" s="96">
        <f t="shared" si="263"/>
        <v>6.6845661392878854E-74</v>
      </c>
      <c r="F760" s="96">
        <f t="shared" si="264"/>
        <v>4.2958618806306263E-71</v>
      </c>
      <c r="G760" s="96">
        <f t="shared" si="267"/>
        <v>-0.29799999999999999</v>
      </c>
      <c r="I760" s="96">
        <f t="shared" si="265"/>
        <v>0</v>
      </c>
      <c r="J760" s="96">
        <f t="shared" si="266"/>
        <v>0.98549999999998283</v>
      </c>
    </row>
    <row r="761" spans="1:10" ht="12.75" customHeight="1">
      <c r="A761" s="96">
        <f>IF(MAX($F$104:F761)=$G$99,$G$99,F761)</f>
        <v>15.906595441861038</v>
      </c>
      <c r="B761" s="96">
        <v>658</v>
      </c>
      <c r="C761" s="96">
        <f t="shared" si="261"/>
        <v>0.98699999999998278</v>
      </c>
      <c r="D761" s="96">
        <f t="shared" si="262"/>
        <v>606.05557440542407</v>
      </c>
      <c r="E761" s="96">
        <f t="shared" si="263"/>
        <v>3.0798578702257751E-74</v>
      </c>
      <c r="F761" s="96">
        <f t="shared" si="264"/>
        <v>1.984220643505891E-71</v>
      </c>
      <c r="G761" s="96">
        <f t="shared" si="267"/>
        <v>-0.29799999999999999</v>
      </c>
      <c r="I761" s="96">
        <f t="shared" si="265"/>
        <v>0</v>
      </c>
      <c r="J761" s="96">
        <f t="shared" si="266"/>
        <v>0.98699999999998278</v>
      </c>
    </row>
    <row r="762" spans="1:10" ht="12.75" customHeight="1">
      <c r="A762" s="96">
        <f>IF(MAX($F$104:F762)=$G$99,$G$99,F762)</f>
        <v>15.906595441861038</v>
      </c>
      <c r="B762" s="481">
        <v>659</v>
      </c>
      <c r="C762" s="96">
        <f t="shared" si="261"/>
        <v>0.98849999999998273</v>
      </c>
      <c r="D762" s="96">
        <f t="shared" si="262"/>
        <v>607.89908839617601</v>
      </c>
      <c r="E762" s="96">
        <f t="shared" si="263"/>
        <v>1.4167237229005633E-74</v>
      </c>
      <c r="F762" s="96">
        <f t="shared" si="264"/>
        <v>9.1500752968855317E-72</v>
      </c>
      <c r="G762" s="96">
        <f t="shared" si="267"/>
        <v>-0.29799999999999999</v>
      </c>
      <c r="I762" s="96">
        <f t="shared" si="265"/>
        <v>0</v>
      </c>
      <c r="J762" s="96">
        <f t="shared" si="266"/>
        <v>0.98849999999998273</v>
      </c>
    </row>
    <row r="763" spans="1:10" ht="12.75" customHeight="1">
      <c r="A763" s="96">
        <f>IF(MAX($F$104:F763)=$G$99,$G$99,F763)</f>
        <v>15.906595441861038</v>
      </c>
      <c r="B763" s="481">
        <v>660</v>
      </c>
      <c r="C763" s="96">
        <f t="shared" si="261"/>
        <v>0.98999999999998267</v>
      </c>
      <c r="D763" s="96">
        <f t="shared" si="262"/>
        <v>609.74540195259351</v>
      </c>
      <c r="E763" s="96">
        <f t="shared" si="263"/>
        <v>6.5063434007917338E-75</v>
      </c>
      <c r="F763" s="96">
        <f t="shared" si="264"/>
        <v>4.2126435899906488E-72</v>
      </c>
      <c r="G763" s="96">
        <f t="shared" si="267"/>
        <v>-0.29799999999999999</v>
      </c>
      <c r="I763" s="96">
        <f t="shared" si="265"/>
        <v>0</v>
      </c>
      <c r="J763" s="96">
        <f t="shared" si="266"/>
        <v>0.98999999999998267</v>
      </c>
    </row>
    <row r="764" spans="1:10" ht="12.75" customHeight="1">
      <c r="A764" s="96">
        <f>IF(MAX($F$104:F764)=$G$99,$G$99,F764)</f>
        <v>15.906595441861038</v>
      </c>
      <c r="B764" s="96">
        <v>661</v>
      </c>
      <c r="C764" s="96">
        <f t="shared" si="261"/>
        <v>0.99149999999998262</v>
      </c>
      <c r="D764" s="96">
        <f t="shared" si="262"/>
        <v>611.59451507467656</v>
      </c>
      <c r="E764" s="96">
        <f t="shared" si="263"/>
        <v>2.9832276980570071E-75</v>
      </c>
      <c r="F764" s="96">
        <f t="shared" si="264"/>
        <v>1.9363345967771149E-72</v>
      </c>
      <c r="G764" s="96">
        <f t="shared" si="267"/>
        <v>-0.29799999999999999</v>
      </c>
      <c r="I764" s="96">
        <f t="shared" si="265"/>
        <v>0</v>
      </c>
      <c r="J764" s="96">
        <f t="shared" si="266"/>
        <v>0.99149999999998262</v>
      </c>
    </row>
    <row r="765" spans="1:10" ht="12.75" customHeight="1">
      <c r="A765" s="96">
        <f>IF(MAX($F$104:F765)=$G$99,$G$99,F765)</f>
        <v>15.906595441861038</v>
      </c>
      <c r="B765" s="481">
        <v>662</v>
      </c>
      <c r="C765" s="96">
        <f t="shared" si="261"/>
        <v>0.99299999999998256</v>
      </c>
      <c r="D765" s="96">
        <f t="shared" si="262"/>
        <v>613.44642776242506</v>
      </c>
      <c r="E765" s="96">
        <f t="shared" si="263"/>
        <v>1.3656320819144367E-75</v>
      </c>
      <c r="F765" s="96">
        <f t="shared" si="264"/>
        <v>8.8859123211132296E-73</v>
      </c>
      <c r="G765" s="96">
        <f t="shared" si="267"/>
        <v>-0.29799999999999999</v>
      </c>
      <c r="I765" s="96">
        <f t="shared" si="265"/>
        <v>0</v>
      </c>
      <c r="J765" s="96">
        <f t="shared" si="266"/>
        <v>0.99299999999998256</v>
      </c>
    </row>
    <row r="766" spans="1:10" ht="12.75" customHeight="1">
      <c r="A766" s="96">
        <f>IF(MAX($F$104:F766)=$G$99,$G$99,F766)</f>
        <v>15.906595441861038</v>
      </c>
      <c r="B766" s="481">
        <v>663</v>
      </c>
      <c r="C766" s="96">
        <f t="shared" si="261"/>
        <v>0.99449999999998251</v>
      </c>
      <c r="D766" s="96">
        <f t="shared" si="262"/>
        <v>615.30114001583911</v>
      </c>
      <c r="E766" s="96">
        <f t="shared" si="263"/>
        <v>6.2413593138977775E-76</v>
      </c>
      <c r="F766" s="96">
        <f t="shared" si="264"/>
        <v>4.0711758690511741E-73</v>
      </c>
      <c r="G766" s="96">
        <f t="shared" si="267"/>
        <v>-0.29799999999999999</v>
      </c>
      <c r="I766" s="96">
        <f t="shared" si="265"/>
        <v>0</v>
      </c>
      <c r="J766" s="96">
        <f t="shared" si="266"/>
        <v>0.99449999999998251</v>
      </c>
    </row>
    <row r="767" spans="1:10" ht="12.75" customHeight="1">
      <c r="A767" s="96">
        <f>IF(MAX($F$104:F767)=$G$99,$G$99,F767)</f>
        <v>15.906595441861038</v>
      </c>
      <c r="B767" s="96">
        <v>664</v>
      </c>
      <c r="C767" s="96">
        <f t="shared" si="261"/>
        <v>0.99599999999998245</v>
      </c>
      <c r="D767" s="96">
        <f t="shared" si="262"/>
        <v>617.15865183491871</v>
      </c>
      <c r="E767" s="96">
        <f t="shared" si="263"/>
        <v>2.8478893083890357E-76</v>
      </c>
      <c r="F767" s="96">
        <f t="shared" si="264"/>
        <v>1.862233841971805E-73</v>
      </c>
      <c r="G767" s="96">
        <f t="shared" si="267"/>
        <v>-0.29799999999999999</v>
      </c>
      <c r="I767" s="96">
        <f t="shared" si="265"/>
        <v>0</v>
      </c>
      <c r="J767" s="96">
        <f t="shared" si="266"/>
        <v>0.99599999999998245</v>
      </c>
    </row>
    <row r="768" spans="1:10" ht="12.75" customHeight="1">
      <c r="A768" s="96">
        <f>IF(MAX($F$104:F768)=$G$99,$G$99,F768)</f>
        <v>15.906595441861038</v>
      </c>
      <c r="B768" s="481">
        <v>665</v>
      </c>
      <c r="C768" s="96">
        <f t="shared" si="261"/>
        <v>0.9974999999999824</v>
      </c>
      <c r="D768" s="96">
        <f t="shared" si="262"/>
        <v>619.01896321966387</v>
      </c>
      <c r="E768" s="96">
        <f t="shared" si="263"/>
        <v>1.2973756626451976E-76</v>
      </c>
      <c r="F768" s="96">
        <f t="shared" si="264"/>
        <v>8.5044330183495433E-74</v>
      </c>
      <c r="G768" s="96">
        <f t="shared" si="267"/>
        <v>-0.29799999999999999</v>
      </c>
      <c r="I768" s="96">
        <f t="shared" si="265"/>
        <v>0</v>
      </c>
      <c r="J768" s="96">
        <f t="shared" si="266"/>
        <v>0.9974999999999824</v>
      </c>
    </row>
    <row r="769" spans="1:10" ht="12.75" customHeight="1">
      <c r="A769" s="96">
        <f>IF(MAX($F$104:F769)=$G$99,$G$99,F769)</f>
        <v>15.906595441861038</v>
      </c>
      <c r="B769" s="481">
        <v>666</v>
      </c>
      <c r="C769" s="96">
        <f t="shared" si="261"/>
        <v>0.99899999999998235</v>
      </c>
      <c r="D769" s="96">
        <f t="shared" si="262"/>
        <v>620.88207417007447</v>
      </c>
      <c r="E769" s="96">
        <f t="shared" si="263"/>
        <v>5.9007523272101538E-77</v>
      </c>
      <c r="F769" s="96">
        <f t="shared" si="264"/>
        <v>3.877516024523614E-74</v>
      </c>
      <c r="G769" s="96">
        <f t="shared" si="267"/>
        <v>-0.29799999999999999</v>
      </c>
      <c r="I769" s="96">
        <f t="shared" si="265"/>
        <v>0</v>
      </c>
      <c r="J769" s="96">
        <f t="shared" si="266"/>
        <v>0.99899999999998235</v>
      </c>
    </row>
    <row r="770" spans="1:10" ht="12.75" customHeight="1">
      <c r="A770" s="96">
        <f>IF(MAX($F$104:F770)=$G$99,$G$99,F770)</f>
        <v>15.906595441861038</v>
      </c>
      <c r="B770" s="96">
        <v>667</v>
      </c>
      <c r="C770" s="96">
        <f t="shared" si="261"/>
        <v>1.0004999999999824</v>
      </c>
      <c r="D770" s="96">
        <f t="shared" si="262"/>
        <v>622.74798468615086</v>
      </c>
      <c r="E770" s="96">
        <f t="shared" si="263"/>
        <v>2.6794662958583099E-77</v>
      </c>
      <c r="F770" s="96">
        <f t="shared" si="264"/>
        <v>1.7650589283015213E-74</v>
      </c>
      <c r="G770" s="96">
        <f t="shared" si="267"/>
        <v>-0.29799999999999999</v>
      </c>
      <c r="I770" s="96">
        <f t="shared" si="265"/>
        <v>0</v>
      </c>
      <c r="J770" s="96">
        <f t="shared" si="266"/>
        <v>1.0004999999999824</v>
      </c>
    </row>
    <row r="771" spans="1:10" ht="12.75" customHeight="1">
      <c r="A771" s="96">
        <f>IF(MAX($F$104:F771)=$G$99,$G$99,F771)</f>
        <v>15.906595441861038</v>
      </c>
      <c r="B771" s="481">
        <v>668</v>
      </c>
      <c r="C771" s="96">
        <f t="shared" ref="C771:C834" si="268">C770+$C$99</f>
        <v>1.0019999999999825</v>
      </c>
      <c r="D771" s="96">
        <f t="shared" si="262"/>
        <v>624.61669476789268</v>
      </c>
      <c r="E771" s="96">
        <f t="shared" si="263"/>
        <v>1.2147551724273533E-77</v>
      </c>
      <c r="F771" s="96">
        <f t="shared" si="264"/>
        <v>8.0216271788622418E-75</v>
      </c>
      <c r="G771" s="96">
        <f t="shared" si="267"/>
        <v>-0.29799999999999999</v>
      </c>
      <c r="I771" s="96">
        <f t="shared" si="265"/>
        <v>0</v>
      </c>
      <c r="J771" s="96">
        <f t="shared" si="266"/>
        <v>1.0019999999999825</v>
      </c>
    </row>
    <row r="772" spans="1:10" ht="12.75" customHeight="1">
      <c r="A772" s="96">
        <f>IF(MAX($F$104:F772)=$G$99,$G$99,F772)</f>
        <v>15.906595441861038</v>
      </c>
      <c r="B772" s="481">
        <v>669</v>
      </c>
      <c r="C772" s="96">
        <f t="shared" si="268"/>
        <v>1.0034999999999825</v>
      </c>
      <c r="D772" s="96">
        <f t="shared" si="262"/>
        <v>626.48820441530017</v>
      </c>
      <c r="E772" s="96">
        <f t="shared" si="263"/>
        <v>5.4983076164709497E-78</v>
      </c>
      <c r="F772" s="96">
        <f t="shared" si="264"/>
        <v>3.6396839752814524E-75</v>
      </c>
      <c r="G772" s="96">
        <f t="shared" si="267"/>
        <v>-0.29799999999999999</v>
      </c>
      <c r="I772" s="96">
        <f t="shared" si="265"/>
        <v>0</v>
      </c>
      <c r="J772" s="96">
        <f t="shared" si="266"/>
        <v>1.0034999999999825</v>
      </c>
    </row>
    <row r="773" spans="1:10" ht="12.75" customHeight="1">
      <c r="A773" s="96">
        <f>IF(MAX($F$104:F773)=$G$99,$G$99,F773)</f>
        <v>15.906595441861038</v>
      </c>
      <c r="B773" s="96">
        <v>670</v>
      </c>
      <c r="C773" s="96">
        <f t="shared" si="268"/>
        <v>1.0049999999999826</v>
      </c>
      <c r="D773" s="96">
        <f t="shared" si="262"/>
        <v>628.36251362837299</v>
      </c>
      <c r="E773" s="96">
        <f t="shared" si="263"/>
        <v>2.4846739137917986E-78</v>
      </c>
      <c r="F773" s="96">
        <f t="shared" si="264"/>
        <v>1.6487814801253196E-75</v>
      </c>
      <c r="G773" s="96">
        <f t="shared" si="267"/>
        <v>-0.29799999999999999</v>
      </c>
      <c r="I773" s="96">
        <f t="shared" si="265"/>
        <v>0</v>
      </c>
      <c r="J773" s="96">
        <f t="shared" si="266"/>
        <v>1.0049999999999826</v>
      </c>
    </row>
    <row r="774" spans="1:10" ht="12.75" customHeight="1">
      <c r="A774" s="96">
        <f>IF(MAX($F$104:F774)=$G$99,$G$99,F774)</f>
        <v>15.906595441861038</v>
      </c>
      <c r="B774" s="481">
        <v>671</v>
      </c>
      <c r="C774" s="96">
        <f t="shared" si="268"/>
        <v>1.0064999999999826</v>
      </c>
      <c r="D774" s="96">
        <f t="shared" si="262"/>
        <v>630.23962240711148</v>
      </c>
      <c r="E774" s="96">
        <f t="shared" si="263"/>
        <v>1.1210116515364733E-78</v>
      </c>
      <c r="F774" s="96">
        <f t="shared" si="264"/>
        <v>7.4569464787978591E-76</v>
      </c>
      <c r="G774" s="96">
        <f t="shared" si="267"/>
        <v>-0.29799999999999999</v>
      </c>
      <c r="I774" s="96">
        <f t="shared" si="265"/>
        <v>0</v>
      </c>
      <c r="J774" s="96">
        <f t="shared" si="266"/>
        <v>1.0064999999999826</v>
      </c>
    </row>
    <row r="775" spans="1:10" ht="12.75" customHeight="1">
      <c r="A775" s="96">
        <f>IF(MAX($F$104:F775)=$G$99,$G$99,F775)</f>
        <v>15.906595441861038</v>
      </c>
      <c r="B775" s="481">
        <v>672</v>
      </c>
      <c r="C775" s="96">
        <f t="shared" si="268"/>
        <v>1.0079999999999827</v>
      </c>
      <c r="D775" s="96">
        <f t="shared" si="262"/>
        <v>632.11953075151541</v>
      </c>
      <c r="E775" s="96">
        <f t="shared" si="263"/>
        <v>5.0495360968617227E-79</v>
      </c>
      <c r="F775" s="96">
        <f t="shared" si="264"/>
        <v>3.3671133144462129E-76</v>
      </c>
      <c r="G775" s="96">
        <f t="shared" si="267"/>
        <v>-0.29799999999999999</v>
      </c>
      <c r="I775" s="96">
        <f t="shared" si="265"/>
        <v>0</v>
      </c>
      <c r="J775" s="96">
        <f t="shared" si="266"/>
        <v>1.0079999999999827</v>
      </c>
    </row>
    <row r="776" spans="1:10" ht="12.75" customHeight="1">
      <c r="A776" s="96">
        <f>IF(MAX($F$104:F776)=$G$99,$G$99,F776)</f>
        <v>15.906595441861038</v>
      </c>
      <c r="B776" s="96">
        <v>673</v>
      </c>
      <c r="C776" s="96">
        <f t="shared" si="268"/>
        <v>1.0094999999999827</v>
      </c>
      <c r="D776" s="96">
        <f t="shared" si="262"/>
        <v>634.00223866158512</v>
      </c>
      <c r="E776" s="96">
        <f t="shared" si="263"/>
        <v>2.2708776274544322E-79</v>
      </c>
      <c r="F776" s="96">
        <f t="shared" si="264"/>
        <v>1.5179361251382504E-76</v>
      </c>
      <c r="G776" s="96">
        <f t="shared" si="267"/>
        <v>-0.29799999999999999</v>
      </c>
      <c r="I776" s="96">
        <f t="shared" si="265"/>
        <v>0</v>
      </c>
      <c r="J776" s="96">
        <f t="shared" si="266"/>
        <v>1.0094999999999827</v>
      </c>
    </row>
    <row r="777" spans="1:10" ht="12.75" customHeight="1">
      <c r="A777" s="96">
        <f>IF(MAX($F$104:F777)=$G$99,$G$99,F777)</f>
        <v>15.906595441861038</v>
      </c>
      <c r="B777" s="481">
        <v>674</v>
      </c>
      <c r="C777" s="96">
        <f t="shared" si="268"/>
        <v>1.0109999999999828</v>
      </c>
      <c r="D777" s="96">
        <f t="shared" si="262"/>
        <v>635.88774613732005</v>
      </c>
      <c r="E777" s="96">
        <f t="shared" si="263"/>
        <v>1.019617180565482E-79</v>
      </c>
      <c r="F777" s="96">
        <f t="shared" si="264"/>
        <v>6.832011630084422E-77</v>
      </c>
      <c r="G777" s="96">
        <f t="shared" si="267"/>
        <v>-0.29799999999999999</v>
      </c>
      <c r="I777" s="96">
        <f t="shared" si="265"/>
        <v>0</v>
      </c>
      <c r="J777" s="96">
        <f t="shared" si="266"/>
        <v>1.0109999999999828</v>
      </c>
    </row>
    <row r="778" spans="1:10" ht="12.75" customHeight="1">
      <c r="A778" s="96">
        <f>IF(MAX($F$104:F778)=$G$99,$G$99,F778)</f>
        <v>15.906595441861038</v>
      </c>
      <c r="B778" s="481">
        <v>675</v>
      </c>
      <c r="C778" s="96">
        <f t="shared" si="268"/>
        <v>1.0124999999999829</v>
      </c>
      <c r="D778" s="96">
        <f t="shared" si="262"/>
        <v>637.77605317872076</v>
      </c>
      <c r="E778" s="96">
        <f t="shared" si="263"/>
        <v>4.5706923008688664E-80</v>
      </c>
      <c r="F778" s="96">
        <f t="shared" si="264"/>
        <v>3.0700348689753856E-77</v>
      </c>
      <c r="G778" s="96">
        <f t="shared" si="267"/>
        <v>-0.29799999999999999</v>
      </c>
      <c r="I778" s="96">
        <f t="shared" si="265"/>
        <v>0</v>
      </c>
      <c r="J778" s="96">
        <f t="shared" si="266"/>
        <v>1.0124999999999829</v>
      </c>
    </row>
    <row r="779" spans="1:10" ht="12.75" customHeight="1">
      <c r="A779" s="96">
        <f>IF(MAX($F$104:F779)=$G$99,$G$99,F779)</f>
        <v>15.906595441861038</v>
      </c>
      <c r="B779" s="96">
        <v>676</v>
      </c>
      <c r="C779" s="96">
        <f t="shared" si="268"/>
        <v>1.0139999999999829</v>
      </c>
      <c r="D779" s="96">
        <f t="shared" si="262"/>
        <v>639.66715978578668</v>
      </c>
      <c r="E779" s="96">
        <f t="shared" si="263"/>
        <v>2.0456367552776883E-80</v>
      </c>
      <c r="F779" s="96">
        <f t="shared" si="264"/>
        <v>1.3773296751800466E-77</v>
      </c>
      <c r="G779" s="96">
        <f t="shared" si="267"/>
        <v>-0.29799999999999999</v>
      </c>
      <c r="I779" s="96">
        <f t="shared" si="265"/>
        <v>0</v>
      </c>
      <c r="J779" s="96">
        <f t="shared" si="266"/>
        <v>1.0139999999999829</v>
      </c>
    </row>
    <row r="780" spans="1:10" ht="12.75" customHeight="1">
      <c r="A780" s="96">
        <f>IF(MAX($F$104:F780)=$G$99,$G$99,F780)</f>
        <v>15.906595441861038</v>
      </c>
      <c r="B780" s="481">
        <v>677</v>
      </c>
      <c r="C780" s="96">
        <f t="shared" si="268"/>
        <v>1.015499999999983</v>
      </c>
      <c r="D780" s="96">
        <f t="shared" si="262"/>
        <v>641.56106595851838</v>
      </c>
      <c r="E780" s="96">
        <f t="shared" si="263"/>
        <v>9.1406484463865412E-81</v>
      </c>
      <c r="F780" s="96">
        <f t="shared" si="264"/>
        <v>6.1692541170511791E-78</v>
      </c>
      <c r="G780" s="96">
        <f t="shared" si="267"/>
        <v>-0.29799999999999999</v>
      </c>
      <c r="I780" s="96">
        <f t="shared" si="265"/>
        <v>0</v>
      </c>
      <c r="J780" s="96">
        <f t="shared" si="266"/>
        <v>1.015499999999983</v>
      </c>
    </row>
    <row r="781" spans="1:10" ht="12.75" customHeight="1">
      <c r="A781" s="96">
        <f>IF(MAX($F$104:F781)=$G$99,$G$99,F781)</f>
        <v>15.906595441861038</v>
      </c>
      <c r="B781" s="481">
        <v>678</v>
      </c>
      <c r="C781" s="96">
        <f t="shared" si="268"/>
        <v>1.016999999999983</v>
      </c>
      <c r="D781" s="96">
        <f t="shared" si="262"/>
        <v>643.45777169691553</v>
      </c>
      <c r="E781" s="96">
        <f t="shared" si="263"/>
        <v>4.0778167995436627E-81</v>
      </c>
      <c r="F781" s="96">
        <f t="shared" si="264"/>
        <v>2.7588484533696953E-78</v>
      </c>
      <c r="G781" s="96">
        <f t="shared" si="267"/>
        <v>-0.29799999999999999</v>
      </c>
      <c r="I781" s="96">
        <f t="shared" si="265"/>
        <v>0</v>
      </c>
      <c r="J781" s="96">
        <f t="shared" si="266"/>
        <v>1.016999999999983</v>
      </c>
    </row>
    <row r="782" spans="1:10" ht="12.75" customHeight="1">
      <c r="A782" s="96">
        <f>IF(MAX($F$104:F782)=$G$99,$G$99,F782)</f>
        <v>15.906595441861038</v>
      </c>
      <c r="B782" s="96">
        <v>679</v>
      </c>
      <c r="C782" s="96">
        <f t="shared" si="268"/>
        <v>1.0184999999999831</v>
      </c>
      <c r="D782" s="96">
        <f t="shared" si="262"/>
        <v>645.35727700097834</v>
      </c>
      <c r="E782" s="96">
        <f t="shared" si="263"/>
        <v>1.8162720215112433E-81</v>
      </c>
      <c r="F782" s="96">
        <f t="shared" si="264"/>
        <v>1.231753290574878E-78</v>
      </c>
      <c r="G782" s="96">
        <f t="shared" si="267"/>
        <v>-0.29799999999999999</v>
      </c>
      <c r="I782" s="96">
        <f t="shared" si="265"/>
        <v>0</v>
      </c>
      <c r="J782" s="96">
        <f t="shared" si="266"/>
        <v>1.0184999999999831</v>
      </c>
    </row>
    <row r="783" spans="1:10" ht="12.75" customHeight="1">
      <c r="A783" s="96">
        <f>IF(MAX($F$104:F783)=$G$99,$G$99,F783)</f>
        <v>15.906595441861038</v>
      </c>
      <c r="B783" s="481">
        <v>680</v>
      </c>
      <c r="C783" s="96">
        <f t="shared" si="268"/>
        <v>1.0199999999999831</v>
      </c>
      <c r="D783" s="96">
        <f t="shared" si="262"/>
        <v>647.25958187070648</v>
      </c>
      <c r="E783" s="96">
        <f t="shared" si="263"/>
        <v>8.0767532014133113E-82</v>
      </c>
      <c r="F783" s="96">
        <f t="shared" si="264"/>
        <v>5.4906098894981491E-79</v>
      </c>
      <c r="G783" s="96">
        <f t="shared" si="267"/>
        <v>-0.29799999999999999</v>
      </c>
      <c r="I783" s="96">
        <f t="shared" si="265"/>
        <v>0</v>
      </c>
      <c r="J783" s="96">
        <f t="shared" si="266"/>
        <v>1.0199999999999831</v>
      </c>
    </row>
    <row r="784" spans="1:10" ht="12.75" customHeight="1">
      <c r="A784" s="96">
        <f>IF(MAX($F$104:F784)=$G$99,$G$99,F784)</f>
        <v>15.906595441861038</v>
      </c>
      <c r="B784" s="481">
        <v>681</v>
      </c>
      <c r="C784" s="96">
        <f t="shared" si="268"/>
        <v>1.0214999999999832</v>
      </c>
      <c r="D784" s="96">
        <f t="shared" si="262"/>
        <v>649.16468630610041</v>
      </c>
      <c r="E784" s="96">
        <f t="shared" si="263"/>
        <v>3.5858798005155733E-82</v>
      </c>
      <c r="F784" s="96">
        <f t="shared" si="264"/>
        <v>2.4435356729698759E-79</v>
      </c>
      <c r="G784" s="96">
        <f t="shared" si="267"/>
        <v>-0.29799999999999999</v>
      </c>
      <c r="I784" s="96">
        <f t="shared" si="265"/>
        <v>0</v>
      </c>
      <c r="J784" s="96">
        <f t="shared" si="266"/>
        <v>1.0214999999999832</v>
      </c>
    </row>
    <row r="785" spans="1:10" ht="12.75" customHeight="1">
      <c r="A785" s="96">
        <f>IF(MAX($F$104:F785)=$G$99,$G$99,F785)</f>
        <v>15.906595441861038</v>
      </c>
      <c r="B785" s="96">
        <v>682</v>
      </c>
      <c r="C785" s="96">
        <f t="shared" si="268"/>
        <v>1.0229999999999833</v>
      </c>
      <c r="D785" s="96">
        <f t="shared" si="262"/>
        <v>651.07259030715966</v>
      </c>
      <c r="E785" s="96">
        <f t="shared" si="263"/>
        <v>1.5894903528207194E-82</v>
      </c>
      <c r="F785" s="96">
        <f t="shared" si="264"/>
        <v>1.0857211181323457E-79</v>
      </c>
      <c r="G785" s="96">
        <f t="shared" si="267"/>
        <v>-0.29799999999999999</v>
      </c>
      <c r="I785" s="96">
        <f t="shared" si="265"/>
        <v>0</v>
      </c>
      <c r="J785" s="96">
        <f t="shared" si="266"/>
        <v>1.0229999999999833</v>
      </c>
    </row>
    <row r="786" spans="1:10" ht="12.75" customHeight="1">
      <c r="A786" s="96">
        <f>IF(MAX($F$104:F786)=$G$99,$G$99,F786)</f>
        <v>15.906595441861038</v>
      </c>
      <c r="B786" s="481">
        <v>683</v>
      </c>
      <c r="C786" s="96">
        <f t="shared" si="268"/>
        <v>1.0244999999999833</v>
      </c>
      <c r="D786" s="96">
        <f t="shared" si="262"/>
        <v>652.98329387388435</v>
      </c>
      <c r="E786" s="96">
        <f t="shared" si="263"/>
        <v>7.0343435414651356E-83</v>
      </c>
      <c r="F786" s="96">
        <f t="shared" si="264"/>
        <v>4.8163679620583584E-80</v>
      </c>
      <c r="G786" s="96">
        <f t="shared" si="267"/>
        <v>-0.29799999999999999</v>
      </c>
      <c r="I786" s="96">
        <f t="shared" si="265"/>
        <v>0</v>
      </c>
      <c r="J786" s="96">
        <f t="shared" si="266"/>
        <v>1.0244999999999833</v>
      </c>
    </row>
    <row r="787" spans="1:10" ht="12.75" customHeight="1">
      <c r="A787" s="96">
        <f>IF(MAX($F$104:F787)=$G$99,$G$99,F787)</f>
        <v>15.906595441861038</v>
      </c>
      <c r="B787" s="481">
        <v>684</v>
      </c>
      <c r="C787" s="96">
        <f t="shared" si="268"/>
        <v>1.0259999999999834</v>
      </c>
      <c r="D787" s="96">
        <f t="shared" si="262"/>
        <v>654.89679700627494</v>
      </c>
      <c r="E787" s="96">
        <f t="shared" si="263"/>
        <v>3.108085929822172E-83</v>
      </c>
      <c r="F787" s="96">
        <f t="shared" si="264"/>
        <v>2.1331582206737371E-80</v>
      </c>
      <c r="G787" s="96">
        <f t="shared" si="267"/>
        <v>-0.29799999999999999</v>
      </c>
      <c r="I787" s="96">
        <f t="shared" si="265"/>
        <v>0</v>
      </c>
      <c r="J787" s="96">
        <f t="shared" si="266"/>
        <v>1.0259999999999834</v>
      </c>
    </row>
    <row r="788" spans="1:10" ht="12.75" customHeight="1">
      <c r="A788" s="96">
        <f>IF(MAX($F$104:F788)=$G$99,$G$99,F788)</f>
        <v>15.906595441861038</v>
      </c>
      <c r="B788" s="96">
        <v>685</v>
      </c>
      <c r="C788" s="96">
        <f t="shared" si="268"/>
        <v>1.0274999999999834</v>
      </c>
      <c r="D788" s="96">
        <f t="shared" si="262"/>
        <v>656.81309970433074</v>
      </c>
      <c r="E788" s="96">
        <f t="shared" si="263"/>
        <v>1.3710916281720276E-83</v>
      </c>
      <c r="F788" s="96">
        <f t="shared" si="264"/>
        <v>9.432542698111319E-81</v>
      </c>
      <c r="G788" s="96">
        <f t="shared" si="267"/>
        <v>-0.29799999999999999</v>
      </c>
      <c r="I788" s="96">
        <f t="shared" si="265"/>
        <v>0</v>
      </c>
      <c r="J788" s="96">
        <f t="shared" si="266"/>
        <v>1.0274999999999834</v>
      </c>
    </row>
    <row r="789" spans="1:10" ht="12.75" customHeight="1">
      <c r="A789" s="96">
        <f>IF(MAX($F$104:F789)=$G$99,$G$99,F789)</f>
        <v>15.906595441861038</v>
      </c>
      <c r="B789" s="481">
        <v>686</v>
      </c>
      <c r="C789" s="96">
        <f t="shared" si="268"/>
        <v>1.0289999999999835</v>
      </c>
      <c r="D789" s="96">
        <f t="shared" si="262"/>
        <v>658.7322019680521</v>
      </c>
      <c r="E789" s="96">
        <f t="shared" si="263"/>
        <v>6.0387105421739715E-84</v>
      </c>
      <c r="F789" s="96">
        <f t="shared" si="264"/>
        <v>4.1642524819422946E-81</v>
      </c>
      <c r="G789" s="96">
        <f t="shared" si="267"/>
        <v>-0.29799999999999999</v>
      </c>
      <c r="I789" s="96">
        <f t="shared" si="265"/>
        <v>0</v>
      </c>
      <c r="J789" s="96">
        <f t="shared" si="266"/>
        <v>1.0289999999999835</v>
      </c>
    </row>
    <row r="790" spans="1:10" ht="12.75" customHeight="1">
      <c r="A790" s="96">
        <f>IF(MAX($F$104:F790)=$G$99,$G$99,F790)</f>
        <v>15.906595441861038</v>
      </c>
      <c r="B790" s="481">
        <v>687</v>
      </c>
      <c r="C790" s="96">
        <f t="shared" si="268"/>
        <v>1.0304999999999835</v>
      </c>
      <c r="D790" s="96">
        <f t="shared" si="262"/>
        <v>660.65410379743912</v>
      </c>
      <c r="E790" s="96">
        <f t="shared" si="263"/>
        <v>2.6553787190416149E-84</v>
      </c>
      <c r="F790" s="96">
        <f t="shared" si="264"/>
        <v>1.8354736360847002E-81</v>
      </c>
      <c r="G790" s="96">
        <f t="shared" si="267"/>
        <v>-0.29799999999999999</v>
      </c>
      <c r="I790" s="96">
        <f t="shared" si="265"/>
        <v>0</v>
      </c>
      <c r="J790" s="96">
        <f t="shared" si="266"/>
        <v>1.0304999999999835</v>
      </c>
    </row>
    <row r="791" spans="1:10" ht="12.75" customHeight="1">
      <c r="A791" s="96">
        <f>IF(MAX($F$104:F791)=$G$99,$G$99,F791)</f>
        <v>15.906595441861038</v>
      </c>
      <c r="B791" s="96">
        <v>688</v>
      </c>
      <c r="C791" s="96">
        <f t="shared" si="268"/>
        <v>1.0319999999999836</v>
      </c>
      <c r="D791" s="96">
        <f t="shared" si="262"/>
        <v>662.57880519249159</v>
      </c>
      <c r="E791" s="96">
        <f t="shared" si="263"/>
        <v>1.1657716853119356E-84</v>
      </c>
      <c r="F791" s="96">
        <f t="shared" si="264"/>
        <v>8.07722782751666E-82</v>
      </c>
      <c r="G791" s="96">
        <f t="shared" si="267"/>
        <v>-0.29799999999999999</v>
      </c>
      <c r="I791" s="96">
        <f t="shared" si="265"/>
        <v>0</v>
      </c>
      <c r="J791" s="96">
        <f t="shared" si="266"/>
        <v>1.0319999999999836</v>
      </c>
    </row>
    <row r="792" spans="1:10" ht="12.75" customHeight="1">
      <c r="A792" s="96">
        <f>IF(MAX($F$104:F792)=$G$99,$G$99,F792)</f>
        <v>15.906595441861038</v>
      </c>
      <c r="B792" s="481">
        <v>689</v>
      </c>
      <c r="C792" s="96">
        <f t="shared" si="268"/>
        <v>1.0334999999999837</v>
      </c>
      <c r="D792" s="96">
        <f t="shared" si="262"/>
        <v>664.50630615320972</v>
      </c>
      <c r="E792" s="96">
        <f t="shared" si="263"/>
        <v>5.1098195067435998E-85</v>
      </c>
      <c r="F792" s="96">
        <f t="shared" si="264"/>
        <v>3.5487863840564431E-82</v>
      </c>
      <c r="G792" s="96">
        <f t="shared" si="267"/>
        <v>-0.29799999999999999</v>
      </c>
      <c r="I792" s="96">
        <f t="shared" si="265"/>
        <v>0</v>
      </c>
      <c r="J792" s="96">
        <f t="shared" si="266"/>
        <v>1.0334999999999837</v>
      </c>
    </row>
    <row r="793" spans="1:10" ht="12.75" customHeight="1">
      <c r="A793" s="96">
        <f>IF(MAX($F$104:F793)=$G$99,$G$99,F793)</f>
        <v>15.906595441861038</v>
      </c>
      <c r="B793" s="481">
        <v>690</v>
      </c>
      <c r="C793" s="96">
        <f t="shared" si="268"/>
        <v>1.0349999999999837</v>
      </c>
      <c r="D793" s="96">
        <f t="shared" si="262"/>
        <v>666.43660667959318</v>
      </c>
      <c r="E793" s="96">
        <f t="shared" si="263"/>
        <v>2.2361600812880894E-85</v>
      </c>
      <c r="F793" s="96">
        <f t="shared" si="264"/>
        <v>1.5566858753239848E-82</v>
      </c>
      <c r="G793" s="96">
        <f t="shared" si="267"/>
        <v>-0.29799999999999999</v>
      </c>
      <c r="I793" s="96">
        <f t="shared" si="265"/>
        <v>0</v>
      </c>
      <c r="J793" s="96">
        <f t="shared" si="266"/>
        <v>1.0349999999999837</v>
      </c>
    </row>
    <row r="794" spans="1:10" ht="12.75" customHeight="1">
      <c r="A794" s="96">
        <f>IF(MAX($F$104:F794)=$G$99,$G$99,F794)</f>
        <v>15.906595441861038</v>
      </c>
      <c r="B794" s="96">
        <v>691</v>
      </c>
      <c r="C794" s="96">
        <f t="shared" si="268"/>
        <v>1.0364999999999838</v>
      </c>
      <c r="D794" s="96">
        <f t="shared" si="262"/>
        <v>668.3697067716422</v>
      </c>
      <c r="E794" s="96">
        <f t="shared" si="263"/>
        <v>9.7702514747638299E-86</v>
      </c>
      <c r="F794" s="96">
        <f t="shared" si="264"/>
        <v>6.8175129194354224E-83</v>
      </c>
      <c r="G794" s="96">
        <f t="shared" si="267"/>
        <v>-0.29799999999999999</v>
      </c>
      <c r="I794" s="96">
        <f t="shared" si="265"/>
        <v>0</v>
      </c>
      <c r="J794" s="96">
        <f t="shared" si="266"/>
        <v>1.0364999999999838</v>
      </c>
    </row>
    <row r="795" spans="1:10" ht="12.75" customHeight="1">
      <c r="A795" s="96">
        <f>IF(MAX($F$104:F795)=$G$99,$G$99,F795)</f>
        <v>15.906595441861038</v>
      </c>
      <c r="B795" s="481">
        <v>692</v>
      </c>
      <c r="C795" s="96">
        <f t="shared" si="268"/>
        <v>1.0379999999999838</v>
      </c>
      <c r="D795" s="96">
        <f t="shared" si="262"/>
        <v>670.30560642935677</v>
      </c>
      <c r="E795" s="96">
        <f t="shared" si="263"/>
        <v>4.2620089913709183E-86</v>
      </c>
      <c r="F795" s="96">
        <f t="shared" si="264"/>
        <v>2.9809525850321958E-83</v>
      </c>
      <c r="G795" s="96">
        <f t="shared" si="267"/>
        <v>-0.29799999999999999</v>
      </c>
      <c r="I795" s="96">
        <f t="shared" si="265"/>
        <v>0</v>
      </c>
      <c r="J795" s="96">
        <f t="shared" si="266"/>
        <v>1.0379999999999838</v>
      </c>
    </row>
    <row r="796" spans="1:10" ht="12.75" customHeight="1">
      <c r="A796" s="96">
        <f>IF(MAX($F$104:F796)=$G$99,$G$99,F796)</f>
        <v>15.906595441861038</v>
      </c>
      <c r="B796" s="481">
        <v>693</v>
      </c>
      <c r="C796" s="96">
        <f t="shared" si="268"/>
        <v>1.0394999999999839</v>
      </c>
      <c r="D796" s="96">
        <f t="shared" si="262"/>
        <v>672.24430565273701</v>
      </c>
      <c r="E796" s="96">
        <f t="shared" si="263"/>
        <v>1.8562180631739289E-86</v>
      </c>
      <c r="F796" s="96">
        <f t="shared" si="264"/>
        <v>1.3013332761490618E-83</v>
      </c>
      <c r="G796" s="96">
        <f t="shared" si="267"/>
        <v>-0.29799999999999999</v>
      </c>
      <c r="I796" s="96">
        <f t="shared" si="265"/>
        <v>0</v>
      </c>
      <c r="J796" s="96">
        <f t="shared" si="266"/>
        <v>1.0394999999999839</v>
      </c>
    </row>
    <row r="797" spans="1:10" ht="12.75" customHeight="1">
      <c r="A797" s="96">
        <f>IF(MAX($F$104:F797)=$G$99,$G$99,F797)</f>
        <v>15.906595441861038</v>
      </c>
      <c r="B797" s="96">
        <v>694</v>
      </c>
      <c r="C797" s="96">
        <f t="shared" si="268"/>
        <v>1.0409999999999839</v>
      </c>
      <c r="D797" s="96">
        <f t="shared" si="262"/>
        <v>674.18580444178269</v>
      </c>
      <c r="E797" s="96">
        <f t="shared" si="263"/>
        <v>8.0714188655039958E-87</v>
      </c>
      <c r="F797" s="96">
        <f t="shared" si="264"/>
        <v>5.6718746472805266E-84</v>
      </c>
      <c r="G797" s="96">
        <f t="shared" si="267"/>
        <v>-0.29799999999999999</v>
      </c>
      <c r="I797" s="96">
        <f t="shared" si="265"/>
        <v>0</v>
      </c>
      <c r="J797" s="96">
        <f t="shared" si="266"/>
        <v>1.0409999999999839</v>
      </c>
    </row>
    <row r="798" spans="1:10" ht="12.75" customHeight="1">
      <c r="A798" s="96">
        <f>IF(MAX($F$104:F798)=$G$99,$G$99,F798)</f>
        <v>15.906595441861038</v>
      </c>
      <c r="B798" s="481">
        <v>695</v>
      </c>
      <c r="C798" s="96">
        <f t="shared" si="268"/>
        <v>1.042499999999984</v>
      </c>
      <c r="D798" s="96">
        <f t="shared" si="262"/>
        <v>676.13010279649393</v>
      </c>
      <c r="E798" s="96">
        <f t="shared" si="263"/>
        <v>3.5041063469237287E-87</v>
      </c>
      <c r="F798" s="96">
        <f t="shared" si="264"/>
        <v>2.4681388444148394E-84</v>
      </c>
      <c r="G798" s="96">
        <f t="shared" si="267"/>
        <v>-0.29799999999999999</v>
      </c>
      <c r="I798" s="96">
        <f t="shared" si="265"/>
        <v>0</v>
      </c>
      <c r="J798" s="96">
        <f t="shared" si="266"/>
        <v>1.042499999999984</v>
      </c>
    </row>
    <row r="799" spans="1:10" ht="12.75" customHeight="1">
      <c r="A799" s="96">
        <f>IF(MAX($F$104:F799)=$G$99,$G$99,F799)</f>
        <v>15.906595441861038</v>
      </c>
      <c r="B799" s="481">
        <v>696</v>
      </c>
      <c r="C799" s="96">
        <f t="shared" si="268"/>
        <v>1.0439999999999841</v>
      </c>
      <c r="D799" s="96">
        <f t="shared" si="262"/>
        <v>678.07720071687061</v>
      </c>
      <c r="E799" s="96">
        <f t="shared" si="263"/>
        <v>1.5188378626327402E-87</v>
      </c>
      <c r="F799" s="96">
        <f t="shared" si="264"/>
        <v>1.0723033821998022E-84</v>
      </c>
      <c r="G799" s="96">
        <f t="shared" si="267"/>
        <v>-0.29799999999999999</v>
      </c>
      <c r="I799" s="96">
        <f t="shared" si="265"/>
        <v>0</v>
      </c>
      <c r="J799" s="96">
        <f t="shared" si="266"/>
        <v>1.0439999999999841</v>
      </c>
    </row>
    <row r="800" spans="1:10" ht="12.75" customHeight="1">
      <c r="A800" s="96">
        <f>IF(MAX($F$104:F800)=$G$99,$G$99,F800)</f>
        <v>15.906595441861038</v>
      </c>
      <c r="B800" s="96">
        <v>697</v>
      </c>
      <c r="C800" s="96">
        <f t="shared" si="268"/>
        <v>1.0454999999999841</v>
      </c>
      <c r="D800" s="96">
        <f t="shared" si="262"/>
        <v>680.02709820291284</v>
      </c>
      <c r="E800" s="96">
        <f t="shared" si="263"/>
        <v>6.5728320834018249E-88</v>
      </c>
      <c r="F800" s="96">
        <f t="shared" si="264"/>
        <v>4.6512656066857078E-85</v>
      </c>
      <c r="G800" s="96">
        <f t="shared" si="267"/>
        <v>-0.29799999999999999</v>
      </c>
      <c r="I800" s="96">
        <f t="shared" si="265"/>
        <v>0</v>
      </c>
      <c r="J800" s="96">
        <f t="shared" si="266"/>
        <v>1.0454999999999841</v>
      </c>
    </row>
    <row r="801" spans="1:10" ht="12.75" customHeight="1">
      <c r="A801" s="96">
        <f>IF(MAX($F$104:F801)=$G$99,$G$99,F801)</f>
        <v>15.906595441861038</v>
      </c>
      <c r="B801" s="481">
        <v>698</v>
      </c>
      <c r="C801" s="96">
        <f t="shared" si="268"/>
        <v>1.0469999999999842</v>
      </c>
      <c r="D801" s="96">
        <f t="shared" si="262"/>
        <v>681.97979525462074</v>
      </c>
      <c r="E801" s="96">
        <f t="shared" si="263"/>
        <v>2.8398858652149043E-88</v>
      </c>
      <c r="F801" s="96">
        <f t="shared" si="264"/>
        <v>2.0143281852059217E-85</v>
      </c>
      <c r="G801" s="96">
        <f t="shared" si="267"/>
        <v>-0.29799999999999999</v>
      </c>
      <c r="I801" s="96">
        <f t="shared" si="265"/>
        <v>0</v>
      </c>
      <c r="J801" s="96">
        <f t="shared" si="266"/>
        <v>1.0469999999999842</v>
      </c>
    </row>
    <row r="802" spans="1:10" ht="12.75" customHeight="1">
      <c r="A802" s="96">
        <f>IF(MAX($F$104:F802)=$G$99,$G$99,F802)</f>
        <v>15.906595441861038</v>
      </c>
      <c r="B802" s="481">
        <v>699</v>
      </c>
      <c r="C802" s="96">
        <f t="shared" si="268"/>
        <v>1.0484999999999842</v>
      </c>
      <c r="D802" s="96">
        <f t="shared" si="262"/>
        <v>683.93529187199397</v>
      </c>
      <c r="E802" s="96">
        <f t="shared" si="263"/>
        <v>1.2250581403772529E-88</v>
      </c>
      <c r="F802" s="96">
        <f t="shared" si="264"/>
        <v>8.7095394748464239E-86</v>
      </c>
      <c r="G802" s="96">
        <f t="shared" si="267"/>
        <v>-0.29799999999999999</v>
      </c>
      <c r="I802" s="96">
        <f t="shared" si="265"/>
        <v>0</v>
      </c>
      <c r="J802" s="96">
        <f t="shared" si="266"/>
        <v>1.0484999999999842</v>
      </c>
    </row>
    <row r="803" spans="1:10" ht="12.75" customHeight="1">
      <c r="A803" s="96">
        <f>IF(MAX($F$104:F803)=$G$99,$G$99,F803)</f>
        <v>15.906595441861038</v>
      </c>
      <c r="B803" s="96">
        <v>700</v>
      </c>
      <c r="C803" s="96">
        <f t="shared" si="268"/>
        <v>1.0499999999999843</v>
      </c>
      <c r="D803" s="96">
        <f t="shared" si="262"/>
        <v>685.89358805503286</v>
      </c>
      <c r="E803" s="96">
        <f t="shared" si="263"/>
        <v>5.276187479990392E-89</v>
      </c>
      <c r="F803" s="96">
        <f t="shared" si="264"/>
        <v>3.7598132509421475E-86</v>
      </c>
      <c r="G803" s="96">
        <f t="shared" si="267"/>
        <v>-0.29799999999999999</v>
      </c>
      <c r="I803" s="96">
        <f t="shared" si="265"/>
        <v>0</v>
      </c>
      <c r="J803" s="96">
        <f t="shared" si="266"/>
        <v>1.0499999999999843</v>
      </c>
    </row>
    <row r="804" spans="1:10" ht="12.75" customHeight="1">
      <c r="A804" s="96">
        <f>IF(MAX($F$104:F804)=$G$99,$G$99,F804)</f>
        <v>15.906595441861038</v>
      </c>
      <c r="B804" s="481">
        <v>701</v>
      </c>
      <c r="C804" s="96">
        <f t="shared" si="268"/>
        <v>1.0514999999999843</v>
      </c>
      <c r="D804" s="96">
        <f t="shared" si="262"/>
        <v>687.8546838037372</v>
      </c>
      <c r="E804" s="96">
        <f t="shared" si="263"/>
        <v>2.2687763127756756E-89</v>
      </c>
      <c r="F804" s="96">
        <f t="shared" si="264"/>
        <v>1.620480175435932E-86</v>
      </c>
      <c r="G804" s="96">
        <f t="shared" si="267"/>
        <v>-0.29799999999999999</v>
      </c>
      <c r="I804" s="96">
        <f t="shared" si="265"/>
        <v>0</v>
      </c>
      <c r="J804" s="96">
        <f t="shared" si="266"/>
        <v>1.0514999999999843</v>
      </c>
    </row>
    <row r="805" spans="1:10" ht="12.75" customHeight="1">
      <c r="A805" s="96">
        <f>IF(MAX($F$104:F805)=$G$99,$G$99,F805)</f>
        <v>15.906595441861038</v>
      </c>
      <c r="B805" s="481">
        <v>702</v>
      </c>
      <c r="C805" s="96">
        <f t="shared" si="268"/>
        <v>1.0529999999999844</v>
      </c>
      <c r="D805" s="96">
        <f t="shared" si="262"/>
        <v>689.8185791181071</v>
      </c>
      <c r="E805" s="96">
        <f t="shared" si="263"/>
        <v>9.7402772219588112E-90</v>
      </c>
      <c r="F805" s="96">
        <f t="shared" si="264"/>
        <v>6.9731303133603972E-87</v>
      </c>
      <c r="G805" s="96">
        <f t="shared" si="267"/>
        <v>-0.29799999999999999</v>
      </c>
      <c r="I805" s="96">
        <f t="shared" si="265"/>
        <v>0</v>
      </c>
      <c r="J805" s="96">
        <f t="shared" si="266"/>
        <v>1.0529999999999844</v>
      </c>
    </row>
    <row r="806" spans="1:10" ht="12.75" customHeight="1">
      <c r="A806" s="96">
        <f>IF(MAX($F$104:F806)=$G$99,$G$99,F806)</f>
        <v>15.906595441861038</v>
      </c>
      <c r="B806" s="96">
        <v>703</v>
      </c>
      <c r="C806" s="96">
        <f t="shared" si="268"/>
        <v>1.0544999999999844</v>
      </c>
      <c r="D806" s="96">
        <f t="shared" si="262"/>
        <v>691.78527399814266</v>
      </c>
      <c r="E806" s="96">
        <f t="shared" si="263"/>
        <v>4.1750277825521573E-90</v>
      </c>
      <c r="F806" s="96">
        <f t="shared" si="264"/>
        <v>2.9958405510678136E-87</v>
      </c>
      <c r="G806" s="96">
        <f t="shared" si="267"/>
        <v>-0.29799999999999999</v>
      </c>
      <c r="I806" s="96">
        <f t="shared" si="265"/>
        <v>0</v>
      </c>
      <c r="J806" s="96">
        <f t="shared" si="266"/>
        <v>1.0544999999999844</v>
      </c>
    </row>
    <row r="807" spans="1:10" ht="12.75" customHeight="1">
      <c r="A807" s="96">
        <f>IF(MAX($F$104:F807)=$G$99,$G$99,F807)</f>
        <v>15.906595441861038</v>
      </c>
      <c r="B807" s="481">
        <v>704</v>
      </c>
      <c r="C807" s="96">
        <f t="shared" si="268"/>
        <v>1.0559999999999845</v>
      </c>
      <c r="D807" s="96">
        <f t="shared" si="262"/>
        <v>693.75476844384366</v>
      </c>
      <c r="E807" s="96">
        <f t="shared" si="263"/>
        <v>1.7867182368230217E-90</v>
      </c>
      <c r="F807" s="96">
        <f t="shared" si="264"/>
        <v>1.2850401768196889E-87</v>
      </c>
      <c r="G807" s="96">
        <f t="shared" si="267"/>
        <v>-0.29799999999999999</v>
      </c>
      <c r="I807" s="96">
        <f t="shared" si="265"/>
        <v>0</v>
      </c>
      <c r="J807" s="96">
        <f t="shared" si="266"/>
        <v>1.0559999999999845</v>
      </c>
    </row>
    <row r="808" spans="1:10" ht="12.75" customHeight="1">
      <c r="A808" s="96">
        <f>IF(MAX($F$104:F808)=$G$99,$G$99,F808)</f>
        <v>15.906595441861038</v>
      </c>
      <c r="B808" s="481">
        <v>705</v>
      </c>
      <c r="C808" s="96">
        <f t="shared" si="268"/>
        <v>1.0574999999999846</v>
      </c>
      <c r="D808" s="96">
        <f t="shared" ref="D808:D871" si="269">C808^2/$C$96</f>
        <v>695.72706245521022</v>
      </c>
      <c r="E808" s="96">
        <f t="shared" ref="E808:E871" si="270">CHIDIST(D808,$E$96)</f>
        <v>7.6341669365032836E-91</v>
      </c>
      <c r="F808" s="96">
        <f t="shared" ref="F808:F871" si="271">IF($E$7&lt;$F$101,NA(),$E$98*(E807-E809)/(2*$C$99))</f>
        <v>5.5032856607377215E-88</v>
      </c>
      <c r="G808" s="96">
        <f t="shared" si="267"/>
        <v>-0.29799999999999999</v>
      </c>
      <c r="I808" s="96">
        <f t="shared" ref="I808:I871" si="272">IF(F808&gt;$G$98,1,0)</f>
        <v>0</v>
      </c>
      <c r="J808" s="96">
        <f t="shared" ref="J808:J871" si="273">C808</f>
        <v>1.0574999999999846</v>
      </c>
    </row>
    <row r="809" spans="1:10" ht="12.75" customHeight="1">
      <c r="A809" s="96">
        <f>IF(MAX($F$104:F809)=$G$99,$G$99,F809)</f>
        <v>15.906595441861038</v>
      </c>
      <c r="B809" s="96">
        <v>706</v>
      </c>
      <c r="C809" s="96">
        <f t="shared" si="268"/>
        <v>1.0589999999999846</v>
      </c>
      <c r="D809" s="96">
        <f t="shared" si="269"/>
        <v>697.70215603224221</v>
      </c>
      <c r="E809" s="96">
        <f t="shared" si="270"/>
        <v>3.2566894636167971E-91</v>
      </c>
      <c r="F809" s="96">
        <f t="shared" si="271"/>
        <v>2.3530707577253837E-88</v>
      </c>
      <c r="G809" s="96">
        <f t="shared" ref="G809:G872" si="274">F809-$G$101</f>
        <v>-0.29799999999999999</v>
      </c>
      <c r="I809" s="96">
        <f t="shared" si="272"/>
        <v>0</v>
      </c>
      <c r="J809" s="96">
        <f t="shared" si="273"/>
        <v>1.0589999999999846</v>
      </c>
    </row>
    <row r="810" spans="1:10" ht="12.75" customHeight="1">
      <c r="A810" s="96">
        <f>IF(MAX($F$104:F810)=$G$99,$G$99,F810)</f>
        <v>15.906595441861038</v>
      </c>
      <c r="B810" s="481">
        <v>707</v>
      </c>
      <c r="C810" s="96">
        <f t="shared" si="268"/>
        <v>1.0604999999999847</v>
      </c>
      <c r="D810" s="96">
        <f t="shared" si="269"/>
        <v>699.68004917493988</v>
      </c>
      <c r="E810" s="96">
        <f t="shared" si="270"/>
        <v>1.3870764292677508E-91</v>
      </c>
      <c r="F810" s="96">
        <f t="shared" si="271"/>
        <v>1.0045134052348823E-88</v>
      </c>
      <c r="G810" s="96">
        <f t="shared" si="274"/>
        <v>-0.29799999999999999</v>
      </c>
      <c r="I810" s="96">
        <f t="shared" si="272"/>
        <v>0</v>
      </c>
      <c r="J810" s="96">
        <f t="shared" si="273"/>
        <v>1.0604999999999847</v>
      </c>
    </row>
    <row r="811" spans="1:10" ht="12.75" customHeight="1">
      <c r="A811" s="96">
        <f>IF(MAX($F$104:F811)=$G$99,$G$99,F811)</f>
        <v>15.906595441861038</v>
      </c>
      <c r="B811" s="481">
        <v>708</v>
      </c>
      <c r="C811" s="96">
        <f t="shared" si="268"/>
        <v>1.0619999999999847</v>
      </c>
      <c r="D811" s="96">
        <f t="shared" si="269"/>
        <v>701.66074188330288</v>
      </c>
      <c r="E811" s="96">
        <f t="shared" si="270"/>
        <v>5.8983971520560492E-92</v>
      </c>
      <c r="F811" s="96">
        <f t="shared" si="271"/>
        <v>4.2813875831985565E-89</v>
      </c>
      <c r="G811" s="96">
        <f t="shared" si="274"/>
        <v>-0.29799999999999999</v>
      </c>
      <c r="I811" s="96">
        <f t="shared" si="272"/>
        <v>0</v>
      </c>
      <c r="J811" s="96">
        <f t="shared" si="273"/>
        <v>1.0619999999999847</v>
      </c>
    </row>
    <row r="812" spans="1:10" ht="12.75" customHeight="1">
      <c r="A812" s="96">
        <f>IF(MAX($F$104:F812)=$G$99,$G$99,F812)</f>
        <v>15.906595441861038</v>
      </c>
      <c r="B812" s="96">
        <v>709</v>
      </c>
      <c r="C812" s="96">
        <f t="shared" si="268"/>
        <v>1.0634999999999848</v>
      </c>
      <c r="D812" s="96">
        <f t="shared" si="269"/>
        <v>703.64423415733154</v>
      </c>
      <c r="E812" s="96">
        <f t="shared" si="270"/>
        <v>2.5042485850707208E-92</v>
      </c>
      <c r="F812" s="96">
        <f t="shared" si="271"/>
        <v>1.8218878924388446E-89</v>
      </c>
      <c r="G812" s="96">
        <f t="shared" si="274"/>
        <v>-0.29799999999999999</v>
      </c>
      <c r="I812" s="96">
        <f t="shared" si="272"/>
        <v>0</v>
      </c>
      <c r="J812" s="96">
        <f t="shared" si="273"/>
        <v>1.0634999999999848</v>
      </c>
    </row>
    <row r="813" spans="1:10" ht="12.75" customHeight="1">
      <c r="A813" s="96">
        <f>IF(MAX($F$104:F813)=$G$99,$G$99,F813)</f>
        <v>15.906595441861038</v>
      </c>
      <c r="B813" s="481">
        <v>710</v>
      </c>
      <c r="C813" s="96">
        <f t="shared" si="268"/>
        <v>1.0649999999999848</v>
      </c>
      <c r="D813" s="96">
        <f t="shared" si="269"/>
        <v>705.63052599702564</v>
      </c>
      <c r="E813" s="96">
        <f t="shared" si="270"/>
        <v>1.0615266411564608E-92</v>
      </c>
      <c r="F813" s="96">
        <f t="shared" si="271"/>
        <v>7.7404692017217146E-90</v>
      </c>
      <c r="G813" s="96">
        <f t="shared" si="274"/>
        <v>-0.29799999999999999</v>
      </c>
      <c r="I813" s="96">
        <f t="shared" si="272"/>
        <v>0</v>
      </c>
      <c r="J813" s="96">
        <f t="shared" si="273"/>
        <v>1.0649999999999848</v>
      </c>
    </row>
    <row r="814" spans="1:10" ht="12.75" customHeight="1">
      <c r="A814" s="96">
        <f>IF(MAX($F$104:F814)=$G$99,$G$99,F814)</f>
        <v>15.906595441861038</v>
      </c>
      <c r="B814" s="481">
        <v>711</v>
      </c>
      <c r="C814" s="96">
        <f t="shared" si="268"/>
        <v>1.0664999999999849</v>
      </c>
      <c r="D814" s="96">
        <f t="shared" si="269"/>
        <v>707.61961740238542</v>
      </c>
      <c r="E814" s="96">
        <f t="shared" si="270"/>
        <v>4.4925676160477851E-93</v>
      </c>
      <c r="F814" s="96">
        <f t="shared" si="271"/>
        <v>3.2833841149043776E-90</v>
      </c>
      <c r="G814" s="96">
        <f t="shared" si="274"/>
        <v>-0.29799999999999999</v>
      </c>
      <c r="I814" s="96">
        <f t="shared" si="272"/>
        <v>0</v>
      </c>
      <c r="J814" s="96">
        <f t="shared" si="273"/>
        <v>1.0664999999999849</v>
      </c>
    </row>
    <row r="815" spans="1:10" ht="12.75" customHeight="1">
      <c r="A815" s="96">
        <f>IF(MAX($F$104:F815)=$G$99,$G$99,F815)</f>
        <v>15.906595441861038</v>
      </c>
      <c r="B815" s="96">
        <v>712</v>
      </c>
      <c r="C815" s="96">
        <f t="shared" si="268"/>
        <v>1.067999999999985</v>
      </c>
      <c r="D815" s="96">
        <f t="shared" si="269"/>
        <v>709.61150837341063</v>
      </c>
      <c r="E815" s="96">
        <f t="shared" si="270"/>
        <v>1.898317433942365E-93</v>
      </c>
      <c r="F815" s="96">
        <f t="shared" si="271"/>
        <v>1.3905451723378276E-90</v>
      </c>
      <c r="G815" s="96">
        <f t="shared" si="274"/>
        <v>-0.29799999999999999</v>
      </c>
      <c r="I815" s="96">
        <f t="shared" si="272"/>
        <v>0</v>
      </c>
      <c r="J815" s="96">
        <f t="shared" si="273"/>
        <v>1.067999999999985</v>
      </c>
    </row>
    <row r="816" spans="1:10" ht="12.75" customHeight="1">
      <c r="A816" s="96">
        <f>IF(MAX($F$104:F816)=$G$99,$G$99,F816)</f>
        <v>15.906595441861038</v>
      </c>
      <c r="B816" s="481">
        <v>713</v>
      </c>
      <c r="C816" s="96">
        <f t="shared" si="268"/>
        <v>1.069499999999985</v>
      </c>
      <c r="D816" s="96">
        <f t="shared" si="269"/>
        <v>711.6061989101014</v>
      </c>
      <c r="E816" s="96">
        <f t="shared" si="270"/>
        <v>8.0085476913319874E-94</v>
      </c>
      <c r="F816" s="96">
        <f t="shared" si="271"/>
        <v>5.8797349264404295E-91</v>
      </c>
      <c r="G816" s="96">
        <f t="shared" si="274"/>
        <v>-0.29799999999999999</v>
      </c>
      <c r="I816" s="96">
        <f t="shared" si="272"/>
        <v>0</v>
      </c>
      <c r="J816" s="96">
        <f t="shared" si="273"/>
        <v>1.069499999999985</v>
      </c>
    </row>
    <row r="817" spans="1:10" ht="12.75" customHeight="1">
      <c r="A817" s="96">
        <f>IF(MAX($F$104:F817)=$G$99,$G$99,F817)</f>
        <v>15.906595441861038</v>
      </c>
      <c r="B817" s="481">
        <v>714</v>
      </c>
      <c r="C817" s="96">
        <f t="shared" si="268"/>
        <v>1.0709999999999851</v>
      </c>
      <c r="D817" s="96">
        <f t="shared" si="269"/>
        <v>713.60368901245761</v>
      </c>
      <c r="E817" s="96">
        <f t="shared" si="270"/>
        <v>3.3732586055110057E-94</v>
      </c>
      <c r="F817" s="96">
        <f t="shared" si="271"/>
        <v>2.4822176693722996E-91</v>
      </c>
      <c r="G817" s="96">
        <f t="shared" si="274"/>
        <v>-0.29799999999999999</v>
      </c>
      <c r="I817" s="96">
        <f t="shared" si="272"/>
        <v>0</v>
      </c>
      <c r="J817" s="96">
        <f t="shared" si="273"/>
        <v>1.0709999999999851</v>
      </c>
    </row>
    <row r="818" spans="1:10" ht="12.75" customHeight="1">
      <c r="A818" s="96">
        <f>IF(MAX($F$104:F818)=$G$99,$G$99,F818)</f>
        <v>15.906595441861038</v>
      </c>
      <c r="B818" s="96">
        <v>715</v>
      </c>
      <c r="C818" s="96">
        <f t="shared" si="268"/>
        <v>1.0724999999999851</v>
      </c>
      <c r="D818" s="96">
        <f t="shared" si="269"/>
        <v>715.60397868047949</v>
      </c>
      <c r="E818" s="96">
        <f t="shared" si="270"/>
        <v>1.4185892770692447E-94</v>
      </c>
      <c r="F818" s="96">
        <f t="shared" si="271"/>
        <v>1.0462408658967374E-91</v>
      </c>
      <c r="G818" s="96">
        <f t="shared" si="274"/>
        <v>-0.29799999999999999</v>
      </c>
      <c r="I818" s="96">
        <f t="shared" si="272"/>
        <v>0</v>
      </c>
      <c r="J818" s="96">
        <f t="shared" si="273"/>
        <v>1.0724999999999851</v>
      </c>
    </row>
    <row r="819" spans="1:10" ht="12.75" customHeight="1">
      <c r="A819" s="96">
        <f>IF(MAX($F$104:F819)=$G$99,$G$99,F819)</f>
        <v>15.906595441861038</v>
      </c>
      <c r="B819" s="481">
        <v>716</v>
      </c>
      <c r="C819" s="96">
        <f t="shared" si="268"/>
        <v>1.0739999999999852</v>
      </c>
      <c r="D819" s="96">
        <f t="shared" si="269"/>
        <v>717.60706791416692</v>
      </c>
      <c r="E819" s="96">
        <f t="shared" si="270"/>
        <v>5.9562798808603879E-95</v>
      </c>
      <c r="F819" s="96">
        <f t="shared" si="271"/>
        <v>4.4028453207640363E-92</v>
      </c>
      <c r="G819" s="96">
        <f t="shared" si="274"/>
        <v>-0.29799999999999999</v>
      </c>
      <c r="I819" s="96">
        <f t="shared" si="272"/>
        <v>0</v>
      </c>
      <c r="J819" s="96">
        <f t="shared" si="273"/>
        <v>1.0739999999999852</v>
      </c>
    </row>
    <row r="820" spans="1:10" ht="12.75" customHeight="1">
      <c r="A820" s="96">
        <f>IF(MAX($F$104:F820)=$G$99,$G$99,F820)</f>
        <v>15.906595441861038</v>
      </c>
      <c r="B820" s="481">
        <v>717</v>
      </c>
      <c r="C820" s="96">
        <f t="shared" si="268"/>
        <v>1.0754999999999852</v>
      </c>
      <c r="D820" s="96">
        <f t="shared" si="269"/>
        <v>719.61295671351979</v>
      </c>
      <c r="E820" s="96">
        <f t="shared" si="270"/>
        <v>2.496922892557836E-95</v>
      </c>
      <c r="F820" s="96">
        <f t="shared" si="271"/>
        <v>1.849887590066812E-92</v>
      </c>
      <c r="G820" s="96">
        <f t="shared" si="274"/>
        <v>-0.29799999999999999</v>
      </c>
      <c r="I820" s="96">
        <f t="shared" si="272"/>
        <v>0</v>
      </c>
      <c r="J820" s="96">
        <f t="shared" si="273"/>
        <v>1.0754999999999852</v>
      </c>
    </row>
    <row r="821" spans="1:10" ht="12.75" customHeight="1">
      <c r="A821" s="96">
        <f>IF(MAX($F$104:F821)=$G$99,$G$99,F821)</f>
        <v>15.906595441861038</v>
      </c>
      <c r="B821" s="96">
        <v>718</v>
      </c>
      <c r="C821" s="96">
        <f t="shared" si="268"/>
        <v>1.0769999999999853</v>
      </c>
      <c r="D821" s="96">
        <f t="shared" si="269"/>
        <v>721.62164507853811</v>
      </c>
      <c r="E821" s="96">
        <f t="shared" si="270"/>
        <v>1.0450738895325678E-95</v>
      </c>
      <c r="F821" s="96">
        <f t="shared" si="271"/>
        <v>7.7601057643029035E-93</v>
      </c>
      <c r="G821" s="96">
        <f t="shared" si="274"/>
        <v>-0.29799999999999999</v>
      </c>
      <c r="I821" s="96">
        <f t="shared" si="272"/>
        <v>0</v>
      </c>
      <c r="J821" s="96">
        <f t="shared" si="273"/>
        <v>1.0769999999999853</v>
      </c>
    </row>
    <row r="822" spans="1:10" ht="12.75" customHeight="1">
      <c r="A822" s="96">
        <f>IF(MAX($F$104:F822)=$G$99,$G$99,F822)</f>
        <v>15.906595441861038</v>
      </c>
      <c r="B822" s="481">
        <v>719</v>
      </c>
      <c r="C822" s="96">
        <f t="shared" si="268"/>
        <v>1.0784999999999854</v>
      </c>
      <c r="D822" s="96">
        <f t="shared" si="269"/>
        <v>723.63313300922209</v>
      </c>
      <c r="E822" s="96">
        <f t="shared" si="270"/>
        <v>4.3671782238892338E-96</v>
      </c>
      <c r="F822" s="96">
        <f t="shared" si="271"/>
        <v>3.2501287134518838E-93</v>
      </c>
      <c r="G822" s="96">
        <f t="shared" si="274"/>
        <v>-0.29799999999999999</v>
      </c>
      <c r="I822" s="96">
        <f t="shared" si="272"/>
        <v>0</v>
      </c>
      <c r="J822" s="96">
        <f t="shared" si="273"/>
        <v>1.0784999999999854</v>
      </c>
    </row>
    <row r="823" spans="1:10" ht="12.75" customHeight="1">
      <c r="A823" s="96">
        <f>IF(MAX($F$104:F823)=$G$99,$G$99,F823)</f>
        <v>15.906595441861038</v>
      </c>
      <c r="B823" s="481">
        <v>720</v>
      </c>
      <c r="C823" s="96">
        <f t="shared" si="268"/>
        <v>1.0799999999999854</v>
      </c>
      <c r="D823" s="96">
        <f t="shared" si="269"/>
        <v>725.64742050557163</v>
      </c>
      <c r="E823" s="96">
        <f t="shared" si="270"/>
        <v>1.8220785941259843E-96</v>
      </c>
      <c r="F823" s="96">
        <f t="shared" si="271"/>
        <v>1.3590778240162868E-93</v>
      </c>
      <c r="G823" s="96">
        <f t="shared" si="274"/>
        <v>-0.29799999999999999</v>
      </c>
      <c r="I823" s="96">
        <f t="shared" si="272"/>
        <v>0</v>
      </c>
      <c r="J823" s="96">
        <f t="shared" si="273"/>
        <v>1.0799999999999854</v>
      </c>
    </row>
    <row r="824" spans="1:10" ht="12.75" customHeight="1">
      <c r="A824" s="96">
        <f>IF(MAX($F$104:F824)=$G$99,$G$99,F824)</f>
        <v>15.906595441861038</v>
      </c>
      <c r="B824" s="96">
        <v>721</v>
      </c>
      <c r="C824" s="96">
        <f t="shared" si="268"/>
        <v>1.0814999999999855</v>
      </c>
      <c r="D824" s="96">
        <f t="shared" si="269"/>
        <v>727.66450756758661</v>
      </c>
      <c r="E824" s="96">
        <f t="shared" si="270"/>
        <v>7.5900700968670182E-97</v>
      </c>
      <c r="F824" s="96">
        <f t="shared" si="271"/>
        <v>5.6741284548137451E-94</v>
      </c>
      <c r="G824" s="96">
        <f t="shared" si="274"/>
        <v>-0.29799999999999999</v>
      </c>
      <c r="I824" s="96">
        <f t="shared" si="272"/>
        <v>0</v>
      </c>
      <c r="J824" s="96">
        <f t="shared" si="273"/>
        <v>1.0814999999999855</v>
      </c>
    </row>
    <row r="825" spans="1:10" ht="12.75" customHeight="1">
      <c r="A825" s="96">
        <f>IF(MAX($F$104:F825)=$G$99,$G$99,F825)</f>
        <v>15.906595441861038</v>
      </c>
      <c r="B825" s="481">
        <v>722</v>
      </c>
      <c r="C825" s="96">
        <f t="shared" si="268"/>
        <v>1.0829999999999855</v>
      </c>
      <c r="D825" s="96">
        <f t="shared" si="269"/>
        <v>729.68439419526726</v>
      </c>
      <c r="E825" s="96">
        <f t="shared" si="270"/>
        <v>3.1567280966215802E-97</v>
      </c>
      <c r="F825" s="96">
        <f t="shared" si="271"/>
        <v>2.365185987181217E-94</v>
      </c>
      <c r="G825" s="96">
        <f t="shared" si="274"/>
        <v>-0.29799999999999999</v>
      </c>
      <c r="I825" s="96">
        <f t="shared" si="272"/>
        <v>0</v>
      </c>
      <c r="J825" s="96">
        <f t="shared" si="273"/>
        <v>1.0829999999999855</v>
      </c>
    </row>
    <row r="826" spans="1:10" ht="12.75" customHeight="1">
      <c r="A826" s="96">
        <f>IF(MAX($F$104:F826)=$G$99,$G$99,F826)</f>
        <v>15.906595441861038</v>
      </c>
      <c r="B826" s="481">
        <v>723</v>
      </c>
      <c r="C826" s="96">
        <f t="shared" si="268"/>
        <v>1.0844999999999856</v>
      </c>
      <c r="D826" s="96">
        <f t="shared" si="269"/>
        <v>731.70708038861324</v>
      </c>
      <c r="E826" s="96">
        <f t="shared" si="270"/>
        <v>1.310815263642547E-97</v>
      </c>
      <c r="F826" s="96">
        <f t="shared" si="271"/>
        <v>9.8433505517003628E-95</v>
      </c>
      <c r="G826" s="96">
        <f t="shared" si="274"/>
        <v>-0.29799999999999999</v>
      </c>
      <c r="I826" s="96">
        <f t="shared" si="272"/>
        <v>0</v>
      </c>
      <c r="J826" s="96">
        <f t="shared" si="273"/>
        <v>1.0844999999999856</v>
      </c>
    </row>
    <row r="827" spans="1:10" ht="12.75" customHeight="1">
      <c r="A827" s="96">
        <f>IF(MAX($F$104:F827)=$G$99,$G$99,F827)</f>
        <v>15.906595441861038</v>
      </c>
      <c r="B827" s="96">
        <v>724</v>
      </c>
      <c r="C827" s="96">
        <f t="shared" si="268"/>
        <v>1.0859999999999856</v>
      </c>
      <c r="D827" s="96">
        <f t="shared" si="269"/>
        <v>733.73256614762488</v>
      </c>
      <c r="E827" s="96">
        <f t="shared" si="270"/>
        <v>5.4344918909051046E-98</v>
      </c>
      <c r="F827" s="96">
        <f t="shared" si="271"/>
        <v>4.0900851591109372E-95</v>
      </c>
      <c r="G827" s="96">
        <f t="shared" si="274"/>
        <v>-0.29799999999999999</v>
      </c>
      <c r="I827" s="96">
        <f t="shared" si="272"/>
        <v>0</v>
      </c>
      <c r="J827" s="96">
        <f t="shared" si="273"/>
        <v>1.0859999999999856</v>
      </c>
    </row>
    <row r="828" spans="1:10" ht="12.75" customHeight="1">
      <c r="A828" s="96">
        <f>IF(MAX($F$104:F828)=$G$99,$G$99,F828)</f>
        <v>15.906595441861038</v>
      </c>
      <c r="B828" s="481">
        <v>725</v>
      </c>
      <c r="C828" s="96">
        <f t="shared" si="268"/>
        <v>1.0874999999999857</v>
      </c>
      <c r="D828" s="96">
        <f t="shared" si="269"/>
        <v>735.76085147230197</v>
      </c>
      <c r="E828" s="96">
        <f t="shared" si="270"/>
        <v>2.2495194706442191E-98</v>
      </c>
      <c r="F828" s="96">
        <f t="shared" si="271"/>
        <v>1.6968119545069292E-95</v>
      </c>
      <c r="G828" s="96">
        <f t="shared" si="274"/>
        <v>-0.29799999999999999</v>
      </c>
      <c r="I828" s="96">
        <f t="shared" si="272"/>
        <v>0</v>
      </c>
      <c r="J828" s="96">
        <f t="shared" si="273"/>
        <v>1.0874999999999857</v>
      </c>
    </row>
    <row r="829" spans="1:10" ht="12.75" customHeight="1">
      <c r="A829" s="96">
        <f>IF(MAX($F$104:F829)=$G$99,$G$99,F829)</f>
        <v>15.906595441861038</v>
      </c>
      <c r="B829" s="481">
        <v>726</v>
      </c>
      <c r="C829" s="96">
        <f t="shared" si="268"/>
        <v>1.0889999999999858</v>
      </c>
      <c r="D829" s="96">
        <f t="shared" si="269"/>
        <v>737.79193636264461</v>
      </c>
      <c r="E829" s="96">
        <f t="shared" si="270"/>
        <v>9.2968139221414207E-99</v>
      </c>
      <c r="F829" s="96">
        <f t="shared" si="271"/>
        <v>7.0282510724531574E-96</v>
      </c>
      <c r="G829" s="96">
        <f t="shared" si="274"/>
        <v>-0.29799999999999999</v>
      </c>
      <c r="I829" s="96">
        <f t="shared" si="272"/>
        <v>0</v>
      </c>
      <c r="J829" s="96">
        <f t="shared" si="273"/>
        <v>1.0889999999999858</v>
      </c>
    </row>
    <row r="830" spans="1:10" ht="12.75" customHeight="1">
      <c r="A830" s="96">
        <f>IF(MAX($F$104:F830)=$G$99,$G$99,F830)</f>
        <v>15.906595441861038</v>
      </c>
      <c r="B830" s="96">
        <v>727</v>
      </c>
      <c r="C830" s="96">
        <f t="shared" si="268"/>
        <v>1.0904999999999858</v>
      </c>
      <c r="D830" s="96">
        <f t="shared" si="269"/>
        <v>739.82582081865291</v>
      </c>
      <c r="E830" s="96">
        <f t="shared" si="270"/>
        <v>3.8361210627612369E-99</v>
      </c>
      <c r="F830" s="96">
        <f t="shared" si="271"/>
        <v>2.906519411672979E-96</v>
      </c>
      <c r="G830" s="96">
        <f t="shared" si="274"/>
        <v>-0.29799999999999999</v>
      </c>
      <c r="I830" s="96">
        <f t="shared" si="272"/>
        <v>0</v>
      </c>
      <c r="J830" s="96">
        <f t="shared" si="273"/>
        <v>1.0904999999999858</v>
      </c>
    </row>
    <row r="831" spans="1:10" ht="12.75" customHeight="1">
      <c r="A831" s="96">
        <f>IF(MAX($F$104:F831)=$G$99,$G$99,F831)</f>
        <v>15.906595441861038</v>
      </c>
      <c r="B831" s="481">
        <v>728</v>
      </c>
      <c r="C831" s="96">
        <f t="shared" si="268"/>
        <v>1.0919999999999859</v>
      </c>
      <c r="D831" s="96">
        <f t="shared" si="269"/>
        <v>741.86250484032655</v>
      </c>
      <c r="E831" s="96">
        <f t="shared" si="270"/>
        <v>1.5803907053105026E-99</v>
      </c>
      <c r="F831" s="96">
        <f t="shared" si="271"/>
        <v>1.200084469691442E-96</v>
      </c>
      <c r="G831" s="96">
        <f t="shared" si="274"/>
        <v>-0.29799999999999999</v>
      </c>
      <c r="I831" s="96">
        <f t="shared" si="272"/>
        <v>0</v>
      </c>
      <c r="J831" s="96">
        <f t="shared" si="273"/>
        <v>1.0919999999999859</v>
      </c>
    </row>
    <row r="832" spans="1:10" ht="12.75" customHeight="1">
      <c r="A832" s="96">
        <f>IF(MAX($F$104:F832)=$G$99,$G$99,F832)</f>
        <v>15.906595441861038</v>
      </c>
      <c r="B832" s="481">
        <v>729</v>
      </c>
      <c r="C832" s="96">
        <f t="shared" si="268"/>
        <v>1.0934999999999859</v>
      </c>
      <c r="D832" s="96">
        <f t="shared" si="269"/>
        <v>743.90198842766586</v>
      </c>
      <c r="E832" s="96">
        <f t="shared" si="270"/>
        <v>6.500560989786469E-100</v>
      </c>
      <c r="F832" s="96">
        <f t="shared" si="271"/>
        <v>4.9472430770561469E-97</v>
      </c>
      <c r="G832" s="96">
        <f t="shared" si="274"/>
        <v>-0.29799999999999999</v>
      </c>
      <c r="I832" s="96">
        <f t="shared" si="272"/>
        <v>0</v>
      </c>
      <c r="J832" s="96">
        <f t="shared" si="273"/>
        <v>1.0934999999999859</v>
      </c>
    </row>
    <row r="833" spans="1:10" ht="12.75" customHeight="1">
      <c r="A833" s="96">
        <f>IF(MAX($F$104:F833)=$G$99,$G$99,F833)</f>
        <v>15.906595441861038</v>
      </c>
      <c r="B833" s="96">
        <v>730</v>
      </c>
      <c r="C833" s="96">
        <f t="shared" si="268"/>
        <v>1.094999999999986</v>
      </c>
      <c r="D833" s="96">
        <f t="shared" si="269"/>
        <v>745.94427158067072</v>
      </c>
      <c r="E833" s="96">
        <f t="shared" si="270"/>
        <v>2.6696333972037489E-100</v>
      </c>
      <c r="F833" s="96">
        <f t="shared" si="271"/>
        <v>2.036234292308018E-97</v>
      </c>
      <c r="G833" s="96">
        <f t="shared" si="274"/>
        <v>-0.29799999999999999</v>
      </c>
      <c r="I833" s="96">
        <f t="shared" si="272"/>
        <v>0</v>
      </c>
      <c r="J833" s="96">
        <f t="shared" si="273"/>
        <v>1.094999999999986</v>
      </c>
    </row>
    <row r="834" spans="1:10" ht="12.75" customHeight="1">
      <c r="A834" s="96">
        <f>IF(MAX($F$104:F834)=$G$99,$G$99,F834)</f>
        <v>15.906595441861038</v>
      </c>
      <c r="B834" s="481">
        <v>731</v>
      </c>
      <c r="C834" s="96">
        <f t="shared" si="268"/>
        <v>1.096499999999986</v>
      </c>
      <c r="D834" s="96">
        <f t="shared" si="269"/>
        <v>747.98935429934102</v>
      </c>
      <c r="E834" s="96">
        <f t="shared" si="270"/>
        <v>1.0946292402961552E-100</v>
      </c>
      <c r="F834" s="96">
        <f t="shared" si="271"/>
        <v>8.3676889035238092E-98</v>
      </c>
      <c r="G834" s="96">
        <f t="shared" si="274"/>
        <v>-0.29799999999999999</v>
      </c>
      <c r="I834" s="96">
        <f t="shared" si="272"/>
        <v>0</v>
      </c>
      <c r="J834" s="96">
        <f t="shared" si="273"/>
        <v>1.096499999999986</v>
      </c>
    </row>
    <row r="835" spans="1:10" ht="12.75" customHeight="1">
      <c r="A835" s="96">
        <f>IF(MAX($F$104:F835)=$G$99,$G$99,F835)</f>
        <v>15.906595441861038</v>
      </c>
      <c r="B835" s="481">
        <v>732</v>
      </c>
      <c r="C835" s="96">
        <f t="shared" ref="C835:C898" si="275">C834+$C$99</f>
        <v>1.0979999999999861</v>
      </c>
      <c r="D835" s="96">
        <f t="shared" si="269"/>
        <v>750.03723658367676</v>
      </c>
      <c r="E835" s="96">
        <f t="shared" si="270"/>
        <v>4.4812306883459565E-101</v>
      </c>
      <c r="F835" s="96">
        <f t="shared" si="271"/>
        <v>3.4331817908833201E-98</v>
      </c>
      <c r="G835" s="96">
        <f t="shared" si="274"/>
        <v>-0.29799999999999999</v>
      </c>
      <c r="I835" s="96">
        <f t="shared" si="272"/>
        <v>0</v>
      </c>
      <c r="J835" s="96">
        <f t="shared" si="273"/>
        <v>1.0979999999999861</v>
      </c>
    </row>
    <row r="836" spans="1:10" ht="12.75" customHeight="1">
      <c r="A836" s="96">
        <f>IF(MAX($F$104:F836)=$G$99,$G$99,F836)</f>
        <v>15.906595441861038</v>
      </c>
      <c r="B836" s="96">
        <v>733</v>
      </c>
      <c r="C836" s="96">
        <f t="shared" si="275"/>
        <v>1.0994999999999862</v>
      </c>
      <c r="D836" s="96">
        <f t="shared" si="269"/>
        <v>752.08791843367817</v>
      </c>
      <c r="E836" s="96">
        <f t="shared" si="270"/>
        <v>1.8316504802624721E-101</v>
      </c>
      <c r="F836" s="96">
        <f t="shared" si="271"/>
        <v>1.4063771025929598E-98</v>
      </c>
      <c r="G836" s="96">
        <f t="shared" si="274"/>
        <v>-0.29799999999999999</v>
      </c>
      <c r="I836" s="96">
        <f t="shared" si="272"/>
        <v>0</v>
      </c>
      <c r="J836" s="96">
        <f t="shared" si="273"/>
        <v>1.0994999999999862</v>
      </c>
    </row>
    <row r="837" spans="1:10" ht="12.75" customHeight="1">
      <c r="A837" s="96">
        <f>IF(MAX($F$104:F837)=$G$99,$G$99,F837)</f>
        <v>15.906595441861038</v>
      </c>
      <c r="B837" s="481">
        <v>734</v>
      </c>
      <c r="C837" s="96">
        <f t="shared" si="275"/>
        <v>1.1009999999999862</v>
      </c>
      <c r="D837" s="96">
        <f t="shared" si="269"/>
        <v>754.14139984934513</v>
      </c>
      <c r="E837" s="96">
        <f t="shared" si="270"/>
        <v>7.4748616818765568E-102</v>
      </c>
      <c r="F837" s="96">
        <f t="shared" si="271"/>
        <v>5.7520241310503943E-99</v>
      </c>
      <c r="G837" s="96">
        <f t="shared" si="274"/>
        <v>-0.29799999999999999</v>
      </c>
      <c r="I837" s="96">
        <f t="shared" si="272"/>
        <v>0</v>
      </c>
      <c r="J837" s="96">
        <f t="shared" si="273"/>
        <v>1.1009999999999862</v>
      </c>
    </row>
    <row r="838" spans="1:10" ht="12.75" customHeight="1">
      <c r="A838" s="96">
        <f>IF(MAX($F$104:F838)=$G$99,$G$99,F838)</f>
        <v>15.906595441861038</v>
      </c>
      <c r="B838" s="481">
        <v>735</v>
      </c>
      <c r="C838" s="96">
        <f t="shared" si="275"/>
        <v>1.1024999999999863</v>
      </c>
      <c r="D838" s="96">
        <f t="shared" si="269"/>
        <v>756.19768083067765</v>
      </c>
      <c r="E838" s="96">
        <f t="shared" si="270"/>
        <v>3.0456442777121689E-102</v>
      </c>
      <c r="F838" s="96">
        <f t="shared" si="271"/>
        <v>2.348841712296416E-99</v>
      </c>
      <c r="G838" s="96">
        <f t="shared" si="274"/>
        <v>-0.29799999999999999</v>
      </c>
      <c r="I838" s="96">
        <f t="shared" si="272"/>
        <v>0</v>
      </c>
      <c r="J838" s="96">
        <f t="shared" si="273"/>
        <v>1.1024999999999863</v>
      </c>
    </row>
    <row r="839" spans="1:10" ht="12.75" customHeight="1">
      <c r="A839" s="96">
        <f>IF(MAX($F$104:F839)=$G$99,$G$99,F839)</f>
        <v>15.906595441861038</v>
      </c>
      <c r="B839" s="96">
        <v>736</v>
      </c>
      <c r="C839" s="96">
        <f t="shared" si="275"/>
        <v>1.1039999999999863</v>
      </c>
      <c r="D839" s="96">
        <f t="shared" si="269"/>
        <v>758.2567613776755</v>
      </c>
      <c r="E839" s="96">
        <f t="shared" si="270"/>
        <v>1.2389987288772223E-102</v>
      </c>
      <c r="F839" s="96">
        <f t="shared" si="271"/>
        <v>9.5763752106167584E-100</v>
      </c>
      <c r="G839" s="96">
        <f t="shared" si="274"/>
        <v>-0.29799999999999999</v>
      </c>
      <c r="I839" s="96">
        <f t="shared" si="272"/>
        <v>0</v>
      </c>
      <c r="J839" s="96">
        <f t="shared" si="273"/>
        <v>1.1039999999999863</v>
      </c>
    </row>
    <row r="840" spans="1:10" ht="12.75" customHeight="1">
      <c r="A840" s="96">
        <f>IF(MAX($F$104:F840)=$G$99,$G$99,F840)</f>
        <v>15.906595441861038</v>
      </c>
      <c r="B840" s="481">
        <v>737</v>
      </c>
      <c r="C840" s="96">
        <f t="shared" si="275"/>
        <v>1.1054999999999864</v>
      </c>
      <c r="D840" s="96">
        <f t="shared" si="269"/>
        <v>760.31864149033913</v>
      </c>
      <c r="E840" s="96">
        <f t="shared" si="270"/>
        <v>5.0324377931833907E-103</v>
      </c>
      <c r="F840" s="96">
        <f t="shared" si="271"/>
        <v>3.8981910478984293E-100</v>
      </c>
      <c r="G840" s="96">
        <f t="shared" si="274"/>
        <v>-0.29799999999999999</v>
      </c>
      <c r="I840" s="96">
        <f t="shared" si="272"/>
        <v>0</v>
      </c>
      <c r="J840" s="96">
        <f t="shared" si="273"/>
        <v>1.1054999999999864</v>
      </c>
    </row>
    <row r="841" spans="1:10" ht="12.75" customHeight="1">
      <c r="A841" s="96">
        <f>IF(MAX($F$104:F841)=$G$99,$G$99,F841)</f>
        <v>15.906595441861038</v>
      </c>
      <c r="B841" s="481">
        <v>738</v>
      </c>
      <c r="C841" s="96">
        <f t="shared" si="275"/>
        <v>1.1069999999999864</v>
      </c>
      <c r="D841" s="96">
        <f t="shared" si="269"/>
        <v>762.38332116866809</v>
      </c>
      <c r="E841" s="96">
        <f t="shared" si="270"/>
        <v>2.04080751559055E-103</v>
      </c>
      <c r="F841" s="96">
        <f t="shared" si="271"/>
        <v>1.5843088916415779E-100</v>
      </c>
      <c r="G841" s="96">
        <f t="shared" si="274"/>
        <v>-0.29799999999999999</v>
      </c>
      <c r="I841" s="96">
        <f t="shared" si="272"/>
        <v>0</v>
      </c>
      <c r="J841" s="96">
        <f t="shared" si="273"/>
        <v>1.1069999999999864</v>
      </c>
    </row>
    <row r="842" spans="1:10" ht="12.75" customHeight="1">
      <c r="A842" s="96">
        <f>IF(MAX($F$104:F842)=$G$99,$G$99,F842)</f>
        <v>15.906595441861038</v>
      </c>
      <c r="B842" s="96">
        <v>739</v>
      </c>
      <c r="C842" s="96">
        <f t="shared" si="275"/>
        <v>1.1084999999999865</v>
      </c>
      <c r="D842" s="96">
        <f t="shared" si="269"/>
        <v>764.4508004126626</v>
      </c>
      <c r="E842" s="96">
        <f t="shared" si="270"/>
        <v>8.2630799236504223E-104</v>
      </c>
      <c r="F842" s="96">
        <f t="shared" si="271"/>
        <v>6.4288246906699325E-101</v>
      </c>
      <c r="G842" s="96">
        <f t="shared" si="274"/>
        <v>-0.29799999999999999</v>
      </c>
      <c r="I842" s="96">
        <f t="shared" si="272"/>
        <v>0</v>
      </c>
      <c r="J842" s="96">
        <f t="shared" si="273"/>
        <v>1.1084999999999865</v>
      </c>
    </row>
    <row r="843" spans="1:10" ht="12.75" customHeight="1">
      <c r="A843" s="96">
        <f>IF(MAX($F$104:F843)=$G$99,$G$99,F843)</f>
        <v>15.906595441861038</v>
      </c>
      <c r="B843" s="481">
        <v>740</v>
      </c>
      <c r="C843" s="96">
        <f t="shared" si="275"/>
        <v>1.1099999999999866</v>
      </c>
      <c r="D843" s="96">
        <f t="shared" si="269"/>
        <v>766.52107922232278</v>
      </c>
      <c r="E843" s="96">
        <f t="shared" si="270"/>
        <v>3.3403989859853218E-104</v>
      </c>
      <c r="F843" s="96">
        <f t="shared" si="271"/>
        <v>2.6045847838111184E-101</v>
      </c>
      <c r="G843" s="96">
        <f t="shared" si="274"/>
        <v>-0.29799999999999999</v>
      </c>
      <c r="I843" s="96">
        <f t="shared" si="272"/>
        <v>0</v>
      </c>
      <c r="J843" s="96">
        <f t="shared" si="273"/>
        <v>1.1099999999999866</v>
      </c>
    </row>
    <row r="844" spans="1:10" ht="12.75" customHeight="1">
      <c r="A844" s="96">
        <f>IF(MAX($F$104:F844)=$G$99,$G$99,F844)</f>
        <v>15.906595441861038</v>
      </c>
      <c r="B844" s="481">
        <v>741</v>
      </c>
      <c r="C844" s="96">
        <f t="shared" si="275"/>
        <v>1.1114999999999866</v>
      </c>
      <c r="D844" s="96">
        <f t="shared" si="269"/>
        <v>768.59415759764829</v>
      </c>
      <c r="E844" s="96">
        <f t="shared" si="270"/>
        <v>1.3482530639748863E-104</v>
      </c>
      <c r="F844" s="96">
        <f t="shared" si="271"/>
        <v>1.0535637412060595E-101</v>
      </c>
      <c r="G844" s="96">
        <f t="shared" si="274"/>
        <v>-0.29799999999999999</v>
      </c>
      <c r="I844" s="96">
        <f t="shared" si="272"/>
        <v>0</v>
      </c>
      <c r="J844" s="96">
        <f t="shared" si="273"/>
        <v>1.1114999999999866</v>
      </c>
    </row>
    <row r="845" spans="1:10" ht="12.75" customHeight="1">
      <c r="A845" s="96">
        <f>IF(MAX($F$104:F845)=$G$99,$G$99,F845)</f>
        <v>15.906595441861038</v>
      </c>
      <c r="B845" s="96">
        <v>742</v>
      </c>
      <c r="C845" s="96">
        <f t="shared" si="275"/>
        <v>1.1129999999999867</v>
      </c>
      <c r="D845" s="96">
        <f t="shared" si="269"/>
        <v>770.67003553863947</v>
      </c>
      <c r="E845" s="96">
        <f t="shared" si="270"/>
        <v>5.4332710667719904E-105</v>
      </c>
      <c r="F845" s="96">
        <f t="shared" si="271"/>
        <v>4.2549919285809169E-102</v>
      </c>
      <c r="G845" s="96">
        <f t="shared" si="274"/>
        <v>-0.29799999999999999</v>
      </c>
      <c r="I845" s="96">
        <f t="shared" si="272"/>
        <v>0</v>
      </c>
      <c r="J845" s="96">
        <f t="shared" si="273"/>
        <v>1.1129999999999867</v>
      </c>
    </row>
    <row r="846" spans="1:10" ht="12.75" customHeight="1">
      <c r="A846" s="96">
        <f>IF(MAX($F$104:F846)=$G$99,$G$99,F846)</f>
        <v>15.906595441861038</v>
      </c>
      <c r="B846" s="481">
        <v>743</v>
      </c>
      <c r="C846" s="96">
        <f t="shared" si="275"/>
        <v>1.1144999999999867</v>
      </c>
      <c r="D846" s="96">
        <f t="shared" si="269"/>
        <v>772.7487130452962</v>
      </c>
      <c r="E846" s="96">
        <f t="shared" si="270"/>
        <v>2.186091891303951E-105</v>
      </c>
      <c r="F846" s="96">
        <f t="shared" si="271"/>
        <v>1.7157439646843353E-102</v>
      </c>
      <c r="G846" s="96">
        <f t="shared" si="274"/>
        <v>-0.29799999999999999</v>
      </c>
      <c r="I846" s="96">
        <f t="shared" si="272"/>
        <v>0</v>
      </c>
      <c r="J846" s="96">
        <f t="shared" si="273"/>
        <v>1.1144999999999867</v>
      </c>
    </row>
    <row r="847" spans="1:10" ht="12.75" customHeight="1">
      <c r="A847" s="96">
        <f>IF(MAX($F$104:F847)=$G$99,$G$99,F847)</f>
        <v>15.906595441861038</v>
      </c>
      <c r="B847" s="481">
        <v>744</v>
      </c>
      <c r="C847" s="96">
        <f t="shared" si="275"/>
        <v>1.1159999999999868</v>
      </c>
      <c r="D847" s="96">
        <f t="shared" si="269"/>
        <v>774.83019011761849</v>
      </c>
      <c r="E847" s="96">
        <f t="shared" si="270"/>
        <v>8.7819859415871042E-106</v>
      </c>
      <c r="F847" s="96">
        <f t="shared" si="271"/>
        <v>6.9075214038117099E-103</v>
      </c>
      <c r="G847" s="96">
        <f t="shared" si="274"/>
        <v>-0.29799999999999999</v>
      </c>
      <c r="I847" s="96">
        <f t="shared" si="272"/>
        <v>0</v>
      </c>
      <c r="J847" s="96">
        <f t="shared" si="273"/>
        <v>1.1159999999999868</v>
      </c>
    </row>
    <row r="848" spans="1:10" ht="12.75" customHeight="1">
      <c r="A848" s="96">
        <f>IF(MAX($F$104:F848)=$G$99,$G$99,F848)</f>
        <v>15.906595441861038</v>
      </c>
      <c r="B848" s="96">
        <v>745</v>
      </c>
      <c r="C848" s="96">
        <f t="shared" si="275"/>
        <v>1.1174999999999868</v>
      </c>
      <c r="D848" s="96">
        <f t="shared" si="269"/>
        <v>776.91446675560621</v>
      </c>
      <c r="E848" s="96">
        <f t="shared" si="270"/>
        <v>3.5223665135393928E-106</v>
      </c>
      <c r="F848" s="96">
        <f t="shared" si="271"/>
        <v>2.776567421725214E-103</v>
      </c>
      <c r="G848" s="96">
        <f t="shared" si="274"/>
        <v>-0.29799999999999999</v>
      </c>
      <c r="I848" s="96">
        <f t="shared" si="272"/>
        <v>0</v>
      </c>
      <c r="J848" s="96">
        <f t="shared" si="273"/>
        <v>1.1174999999999868</v>
      </c>
    </row>
    <row r="849" spans="1:10" ht="12.75" customHeight="1">
      <c r="A849" s="96">
        <f>IF(MAX($F$104:F849)=$G$99,$G$99,F849)</f>
        <v>15.906595441861038</v>
      </c>
      <c r="B849" s="481">
        <v>746</v>
      </c>
      <c r="C849" s="96">
        <f t="shared" si="275"/>
        <v>1.1189999999999869</v>
      </c>
      <c r="D849" s="96">
        <f t="shared" si="269"/>
        <v>779.00154295925961</v>
      </c>
      <c r="E849" s="96">
        <f t="shared" si="270"/>
        <v>1.4105680078033487E-106</v>
      </c>
      <c r="F849" s="96">
        <f t="shared" si="271"/>
        <v>1.1143218256181192E-103</v>
      </c>
      <c r="G849" s="96">
        <f t="shared" si="274"/>
        <v>-0.29799999999999999</v>
      </c>
      <c r="I849" s="96">
        <f t="shared" si="272"/>
        <v>0</v>
      </c>
      <c r="J849" s="96">
        <f t="shared" si="273"/>
        <v>1.1189999999999869</v>
      </c>
    </row>
    <row r="850" spans="1:10" ht="12.75" customHeight="1">
      <c r="A850" s="96">
        <f>IF(MAX($F$104:F850)=$G$99,$G$99,F850)</f>
        <v>15.906595441861038</v>
      </c>
      <c r="B850" s="481">
        <v>747</v>
      </c>
      <c r="C850" s="96">
        <f t="shared" si="275"/>
        <v>1.120499999999987</v>
      </c>
      <c r="D850" s="96">
        <f t="shared" si="269"/>
        <v>781.09141872857833</v>
      </c>
      <c r="E850" s="96">
        <f t="shared" si="270"/>
        <v>5.6398998534969545E-107</v>
      </c>
      <c r="F850" s="96">
        <f t="shared" si="271"/>
        <v>4.4650845003205888E-104</v>
      </c>
      <c r="G850" s="96">
        <f t="shared" si="274"/>
        <v>-0.29799999999999999</v>
      </c>
      <c r="I850" s="96">
        <f t="shared" si="272"/>
        <v>0</v>
      </c>
      <c r="J850" s="96">
        <f t="shared" si="273"/>
        <v>1.120499999999987</v>
      </c>
    </row>
    <row r="851" spans="1:10" ht="12.75" customHeight="1">
      <c r="A851" s="96">
        <f>IF(MAX($F$104:F851)=$G$99,$G$99,F851)</f>
        <v>15.906595441861038</v>
      </c>
      <c r="B851" s="96">
        <v>748</v>
      </c>
      <c r="C851" s="96">
        <f t="shared" si="275"/>
        <v>1.121999999999987</v>
      </c>
      <c r="D851" s="96">
        <f t="shared" si="269"/>
        <v>783.18409406356261</v>
      </c>
      <c r="E851" s="96">
        <f t="shared" si="270"/>
        <v>2.2514734400142256E-107</v>
      </c>
      <c r="F851" s="96">
        <f t="shared" si="271"/>
        <v>1.7863459178832043E-104</v>
      </c>
      <c r="G851" s="96">
        <f t="shared" si="274"/>
        <v>-0.29799999999999999</v>
      </c>
      <c r="I851" s="96">
        <f t="shared" si="272"/>
        <v>0</v>
      </c>
      <c r="J851" s="96">
        <f t="shared" si="273"/>
        <v>1.121999999999987</v>
      </c>
    </row>
    <row r="852" spans="1:10" ht="12.75" customHeight="1">
      <c r="A852" s="96">
        <f>IF(MAX($F$104:F852)=$G$99,$G$99,F852)</f>
        <v>15.906595441861038</v>
      </c>
      <c r="B852" s="481">
        <v>749</v>
      </c>
      <c r="C852" s="96">
        <f t="shared" si="275"/>
        <v>1.1234999999999871</v>
      </c>
      <c r="D852" s="96">
        <f t="shared" si="269"/>
        <v>785.27956896421256</v>
      </c>
      <c r="E852" s="96">
        <f t="shared" si="270"/>
        <v>8.9738856708136767E-108</v>
      </c>
      <c r="F852" s="96">
        <f t="shared" si="271"/>
        <v>7.1354025210341802E-105</v>
      </c>
      <c r="G852" s="96">
        <f t="shared" si="274"/>
        <v>-0.29799999999999999</v>
      </c>
      <c r="I852" s="96">
        <f t="shared" si="272"/>
        <v>0</v>
      </c>
      <c r="J852" s="96">
        <f t="shared" si="273"/>
        <v>1.1234999999999871</v>
      </c>
    </row>
    <row r="853" spans="1:10" ht="12.75" customHeight="1">
      <c r="A853" s="96">
        <f>IF(MAX($F$104:F853)=$G$99,$G$99,F853)</f>
        <v>15.906595441861038</v>
      </c>
      <c r="B853" s="481">
        <v>750</v>
      </c>
      <c r="C853" s="96">
        <f t="shared" si="275"/>
        <v>1.1249999999999871</v>
      </c>
      <c r="D853" s="96">
        <f t="shared" si="269"/>
        <v>787.37784343052806</v>
      </c>
      <c r="E853" s="96">
        <f t="shared" si="270"/>
        <v>3.5711878841223082E-108</v>
      </c>
      <c r="F853" s="96">
        <f t="shared" si="271"/>
        <v>2.8456968276486907E-105</v>
      </c>
      <c r="G853" s="96">
        <f t="shared" si="274"/>
        <v>-0.29799999999999999</v>
      </c>
      <c r="I853" s="96">
        <f t="shared" si="272"/>
        <v>0</v>
      </c>
      <c r="J853" s="96">
        <f t="shared" si="273"/>
        <v>1.1249999999999871</v>
      </c>
    </row>
    <row r="854" spans="1:10" ht="12.75" customHeight="1">
      <c r="A854" s="96">
        <f>IF(MAX($F$104:F854)=$G$99,$G$99,F854)</f>
        <v>15.906595441861038</v>
      </c>
      <c r="B854" s="96">
        <v>751</v>
      </c>
      <c r="C854" s="96">
        <f t="shared" si="275"/>
        <v>1.1264999999999872</v>
      </c>
      <c r="D854" s="96">
        <f t="shared" si="269"/>
        <v>789.47891746250889</v>
      </c>
      <c r="E854" s="96">
        <f t="shared" si="270"/>
        <v>1.4189383407729044E-108</v>
      </c>
      <c r="F854" s="96">
        <f t="shared" si="271"/>
        <v>1.1331208178272775E-105</v>
      </c>
      <c r="G854" s="96">
        <f t="shared" si="274"/>
        <v>-0.29799999999999999</v>
      </c>
      <c r="I854" s="96">
        <f t="shared" si="272"/>
        <v>0</v>
      </c>
      <c r="J854" s="96">
        <f t="shared" si="273"/>
        <v>1.1264999999999872</v>
      </c>
    </row>
    <row r="855" spans="1:10" ht="12.75" customHeight="1">
      <c r="A855" s="96">
        <f>IF(MAX($F$104:F855)=$G$99,$G$99,F855)</f>
        <v>15.906595441861038</v>
      </c>
      <c r="B855" s="481">
        <v>752</v>
      </c>
      <c r="C855" s="96">
        <f t="shared" si="275"/>
        <v>1.1279999999999872</v>
      </c>
      <c r="D855" s="96">
        <f t="shared" si="269"/>
        <v>791.58279106015539</v>
      </c>
      <c r="E855" s="96">
        <f t="shared" si="270"/>
        <v>5.6290252705873906E-109</v>
      </c>
      <c r="F855" s="96">
        <f t="shared" si="271"/>
        <v>4.5048614966641549E-106</v>
      </c>
      <c r="G855" s="96">
        <f t="shared" si="274"/>
        <v>-0.29799999999999999</v>
      </c>
      <c r="I855" s="96">
        <f t="shared" si="272"/>
        <v>0</v>
      </c>
      <c r="J855" s="96">
        <f t="shared" si="273"/>
        <v>1.1279999999999872</v>
      </c>
    </row>
    <row r="856" spans="1:10" ht="12.75" customHeight="1">
      <c r="A856" s="96">
        <f>IF(MAX($F$104:F856)=$G$99,$G$99,F856)</f>
        <v>15.906595441861038</v>
      </c>
      <c r="B856" s="481">
        <v>753</v>
      </c>
      <c r="C856" s="96">
        <f t="shared" si="275"/>
        <v>1.1294999999999873</v>
      </c>
      <c r="D856" s="96">
        <f t="shared" si="269"/>
        <v>793.68946422346733</v>
      </c>
      <c r="E856" s="96">
        <f t="shared" si="270"/>
        <v>2.2295741245498714E-109</v>
      </c>
      <c r="F856" s="96">
        <f t="shared" si="271"/>
        <v>1.7881522828611957E-106</v>
      </c>
      <c r="G856" s="96">
        <f t="shared" si="274"/>
        <v>-0.29799999999999999</v>
      </c>
      <c r="I856" s="96">
        <f t="shared" si="272"/>
        <v>0</v>
      </c>
      <c r="J856" s="96">
        <f t="shared" si="273"/>
        <v>1.1294999999999873</v>
      </c>
    </row>
    <row r="857" spans="1:10" ht="12.75" customHeight="1">
      <c r="A857" s="96">
        <f>IF(MAX($F$104:F857)=$G$99,$G$99,F857)</f>
        <v>15.906595441861038</v>
      </c>
      <c r="B857" s="96">
        <v>754</v>
      </c>
      <c r="C857" s="96">
        <f t="shared" si="275"/>
        <v>1.1309999999999873</v>
      </c>
      <c r="D857" s="96">
        <f t="shared" si="269"/>
        <v>795.79893695244493</v>
      </c>
      <c r="E857" s="96">
        <f t="shared" si="270"/>
        <v>8.8171832493819826E-110</v>
      </c>
      <c r="F857" s="96">
        <f t="shared" si="271"/>
        <v>7.0867251823313994E-107</v>
      </c>
      <c r="G857" s="96">
        <f t="shared" si="274"/>
        <v>-0.29799999999999999</v>
      </c>
      <c r="I857" s="96">
        <f t="shared" si="272"/>
        <v>0</v>
      </c>
      <c r="J857" s="96">
        <f t="shared" si="273"/>
        <v>1.1309999999999873</v>
      </c>
    </row>
    <row r="858" spans="1:10" ht="12.75" customHeight="1">
      <c r="A858" s="96">
        <f>IF(MAX($F$104:F858)=$G$99,$G$99,F858)</f>
        <v>15.906595441861038</v>
      </c>
      <c r="B858" s="481">
        <v>755</v>
      </c>
      <c r="C858" s="96">
        <f t="shared" si="275"/>
        <v>1.1324999999999874</v>
      </c>
      <c r="D858" s="96">
        <f t="shared" si="269"/>
        <v>797.91120924708798</v>
      </c>
      <c r="E858" s="96">
        <f t="shared" si="270"/>
        <v>3.4814266021410118E-110</v>
      </c>
      <c r="F858" s="96">
        <f t="shared" si="271"/>
        <v>2.8041736869667678E-107</v>
      </c>
      <c r="G858" s="96">
        <f t="shared" si="274"/>
        <v>-0.29799999999999999</v>
      </c>
      <c r="I858" s="96">
        <f t="shared" si="272"/>
        <v>0</v>
      </c>
      <c r="J858" s="96">
        <f t="shared" si="273"/>
        <v>1.1324999999999874</v>
      </c>
    </row>
    <row r="859" spans="1:10" ht="12.75" customHeight="1">
      <c r="A859" s="96">
        <f>IF(MAX($F$104:F859)=$G$99,$G$99,F859)</f>
        <v>15.906595441861038</v>
      </c>
      <c r="B859" s="481">
        <v>756</v>
      </c>
      <c r="C859" s="96">
        <f t="shared" si="275"/>
        <v>1.1339999999999875</v>
      </c>
      <c r="D859" s="96">
        <f t="shared" si="269"/>
        <v>800.02628110739658</v>
      </c>
      <c r="E859" s="96">
        <f t="shared" si="270"/>
        <v>1.3724743459303868E-110</v>
      </c>
      <c r="F859" s="96">
        <f t="shared" si="271"/>
        <v>1.1078543117892058E-107</v>
      </c>
      <c r="G859" s="96">
        <f t="shared" si="274"/>
        <v>-0.29799999999999999</v>
      </c>
      <c r="I859" s="96">
        <f t="shared" si="272"/>
        <v>0</v>
      </c>
      <c r="J859" s="96">
        <f t="shared" si="273"/>
        <v>1.1339999999999875</v>
      </c>
    </row>
    <row r="860" spans="1:10" ht="12.75" customHeight="1">
      <c r="A860" s="96">
        <f>IF(MAX($F$104:F860)=$G$99,$G$99,F860)</f>
        <v>15.906595441861038</v>
      </c>
      <c r="B860" s="96">
        <v>757</v>
      </c>
      <c r="C860" s="96">
        <f t="shared" si="275"/>
        <v>1.1354999999999875</v>
      </c>
      <c r="D860" s="96">
        <f t="shared" si="269"/>
        <v>802.14415253337074</v>
      </c>
      <c r="E860" s="96">
        <f t="shared" si="270"/>
        <v>5.4022046464754451E-111</v>
      </c>
      <c r="F860" s="96">
        <f t="shared" si="271"/>
        <v>4.3699756224187002E-108</v>
      </c>
      <c r="G860" s="96">
        <f t="shared" si="274"/>
        <v>-0.29799999999999999</v>
      </c>
      <c r="I860" s="96">
        <f t="shared" si="272"/>
        <v>0</v>
      </c>
      <c r="J860" s="96">
        <f t="shared" si="273"/>
        <v>1.1354999999999875</v>
      </c>
    </row>
    <row r="861" spans="1:10" ht="12.75" customHeight="1">
      <c r="A861" s="96">
        <f>IF(MAX($F$104:F861)=$G$99,$G$99,F861)</f>
        <v>15.906595441861038</v>
      </c>
      <c r="B861" s="481">
        <v>758</v>
      </c>
      <c r="C861" s="96">
        <f t="shared" si="275"/>
        <v>1.1369999999999876</v>
      </c>
      <c r="D861" s="96">
        <f t="shared" si="269"/>
        <v>804.26482352501046</v>
      </c>
      <c r="E861" s="96">
        <f t="shared" si="270"/>
        <v>2.1230382670418314E-111</v>
      </c>
      <c r="F861" s="96">
        <f t="shared" si="271"/>
        <v>1.7210527838551848E-108</v>
      </c>
      <c r="G861" s="96">
        <f t="shared" si="274"/>
        <v>-0.29799999999999999</v>
      </c>
      <c r="I861" s="96">
        <f t="shared" si="272"/>
        <v>0</v>
      </c>
      <c r="J861" s="96">
        <f t="shared" si="273"/>
        <v>1.1369999999999876</v>
      </c>
    </row>
    <row r="862" spans="1:10" ht="12.75" customHeight="1">
      <c r="A862" s="96">
        <f>IF(MAX($F$104:F862)=$G$99,$G$99,F862)</f>
        <v>15.906595441861038</v>
      </c>
      <c r="B862" s="481">
        <v>759</v>
      </c>
      <c r="C862" s="96">
        <f t="shared" si="275"/>
        <v>1.1384999999999876</v>
      </c>
      <c r="D862" s="96">
        <f t="shared" si="269"/>
        <v>806.38829408231561</v>
      </c>
      <c r="E862" s="96">
        <f t="shared" si="270"/>
        <v>8.33037963674068E-112</v>
      </c>
      <c r="F862" s="96">
        <f t="shared" si="271"/>
        <v>6.7675016989603093E-109</v>
      </c>
      <c r="G862" s="96">
        <f t="shared" si="274"/>
        <v>-0.29799999999999999</v>
      </c>
      <c r="I862" s="96">
        <f t="shared" si="272"/>
        <v>0</v>
      </c>
      <c r="J862" s="96">
        <f t="shared" si="273"/>
        <v>1.1384999999999876</v>
      </c>
    </row>
    <row r="863" spans="1:10" ht="12.75" customHeight="1">
      <c r="A863" s="96">
        <f>IF(MAX($F$104:F863)=$G$99,$G$99,F863)</f>
        <v>15.906595441861038</v>
      </c>
      <c r="B863" s="96">
        <v>760</v>
      </c>
      <c r="C863" s="96">
        <f t="shared" si="275"/>
        <v>1.1399999999999877</v>
      </c>
      <c r="D863" s="96">
        <f t="shared" si="269"/>
        <v>808.51456420528632</v>
      </c>
      <c r="E863" s="96">
        <f t="shared" si="270"/>
        <v>3.2635640006121793E-112</v>
      </c>
      <c r="F863" s="96">
        <f t="shared" si="271"/>
        <v>2.6569400616054768E-109</v>
      </c>
      <c r="G863" s="96">
        <f t="shared" si="274"/>
        <v>-0.29799999999999999</v>
      </c>
      <c r="I863" s="96">
        <f t="shared" si="272"/>
        <v>0</v>
      </c>
      <c r="J863" s="96">
        <f t="shared" si="273"/>
        <v>1.1399999999999877</v>
      </c>
    </row>
    <row r="864" spans="1:10" ht="12.75" customHeight="1">
      <c r="A864" s="96">
        <f>IF(MAX($F$104:F864)=$G$99,$G$99,F864)</f>
        <v>15.906595441861038</v>
      </c>
      <c r="B864" s="481">
        <v>761</v>
      </c>
      <c r="C864" s="96">
        <f t="shared" si="275"/>
        <v>1.1414999999999877</v>
      </c>
      <c r="D864" s="96">
        <f t="shared" si="269"/>
        <v>810.64363389392258</v>
      </c>
      <c r="E864" s="96">
        <f t="shared" si="270"/>
        <v>1.276556464336759E-112</v>
      </c>
      <c r="F864" s="96">
        <f t="shared" si="271"/>
        <v>1.041488630792419E-109</v>
      </c>
      <c r="G864" s="96">
        <f t="shared" si="274"/>
        <v>-0.29799999999999999</v>
      </c>
      <c r="I864" s="96">
        <f t="shared" si="272"/>
        <v>0</v>
      </c>
      <c r="J864" s="96">
        <f t="shared" si="273"/>
        <v>1.1414999999999877</v>
      </c>
    </row>
    <row r="865" spans="1:10" ht="12.75" customHeight="1">
      <c r="A865" s="96">
        <f>IF(MAX($F$104:F865)=$G$99,$G$99,F865)</f>
        <v>15.906595441861038</v>
      </c>
      <c r="B865" s="481">
        <v>762</v>
      </c>
      <c r="C865" s="96">
        <f t="shared" si="275"/>
        <v>1.1429999999999878</v>
      </c>
      <c r="D865" s="96">
        <f t="shared" si="269"/>
        <v>812.7755031482244</v>
      </c>
      <c r="E865" s="96">
        <f t="shared" si="270"/>
        <v>4.9854993656150897E-113</v>
      </c>
      <c r="F865" s="96">
        <f t="shared" si="271"/>
        <v>4.0761193661307241E-110</v>
      </c>
      <c r="G865" s="96">
        <f t="shared" si="274"/>
        <v>-0.29799999999999999</v>
      </c>
      <c r="I865" s="96">
        <f t="shared" si="272"/>
        <v>0</v>
      </c>
      <c r="J865" s="96">
        <f t="shared" si="273"/>
        <v>1.1429999999999878</v>
      </c>
    </row>
    <row r="866" spans="1:10" ht="12.75" customHeight="1">
      <c r="A866" s="96">
        <f>IF(MAX($F$104:F866)=$G$99,$G$99,F866)</f>
        <v>15.906595441861038</v>
      </c>
      <c r="B866" s="96">
        <v>763</v>
      </c>
      <c r="C866" s="96">
        <f t="shared" si="275"/>
        <v>1.1444999999999879</v>
      </c>
      <c r="D866" s="96">
        <f t="shared" si="269"/>
        <v>814.91017196819166</v>
      </c>
      <c r="E866" s="96">
        <f t="shared" si="270"/>
        <v>1.9440088040824808E-113</v>
      </c>
      <c r="F866" s="96">
        <f t="shared" si="271"/>
        <v>1.5927918619447159E-110</v>
      </c>
      <c r="G866" s="96">
        <f t="shared" si="274"/>
        <v>-0.29799999999999999</v>
      </c>
      <c r="I866" s="96">
        <f t="shared" si="272"/>
        <v>0</v>
      </c>
      <c r="J866" s="96">
        <f t="shared" si="273"/>
        <v>1.1444999999999879</v>
      </c>
    </row>
    <row r="867" spans="1:10" ht="12.75" customHeight="1">
      <c r="A867" s="96">
        <f>IF(MAX($F$104:F867)=$G$99,$G$99,F867)</f>
        <v>15.906595441861038</v>
      </c>
      <c r="B867" s="481">
        <v>764</v>
      </c>
      <c r="C867" s="96">
        <f t="shared" si="275"/>
        <v>1.1459999999999879</v>
      </c>
      <c r="D867" s="96">
        <f t="shared" si="269"/>
        <v>817.04764035382459</v>
      </c>
      <c r="E867" s="96">
        <f t="shared" si="270"/>
        <v>7.5684840469991413E-114</v>
      </c>
      <c r="F867" s="96">
        <f t="shared" si="271"/>
        <v>6.2142844272214389E-111</v>
      </c>
      <c r="G867" s="96">
        <f t="shared" si="274"/>
        <v>-0.29799999999999999</v>
      </c>
      <c r="I867" s="96">
        <f t="shared" si="272"/>
        <v>0</v>
      </c>
      <c r="J867" s="96">
        <f t="shared" si="273"/>
        <v>1.1459999999999879</v>
      </c>
    </row>
    <row r="868" spans="1:10" ht="12.75" customHeight="1">
      <c r="A868" s="96">
        <f>IF(MAX($F$104:F868)=$G$99,$G$99,F868)</f>
        <v>15.906595441861038</v>
      </c>
      <c r="B868" s="481">
        <v>765</v>
      </c>
      <c r="C868" s="96">
        <f t="shared" si="275"/>
        <v>1.147499999999988</v>
      </c>
      <c r="D868" s="96">
        <f t="shared" si="269"/>
        <v>819.18790830512285</v>
      </c>
      <c r="E868" s="96">
        <f t="shared" si="270"/>
        <v>2.9419877915643493E-114</v>
      </c>
      <c r="F868" s="96">
        <f t="shared" si="271"/>
        <v>2.4207134284181791E-111</v>
      </c>
      <c r="G868" s="96">
        <f t="shared" si="274"/>
        <v>-0.29799999999999999</v>
      </c>
      <c r="I868" s="96">
        <f t="shared" si="272"/>
        <v>0</v>
      </c>
      <c r="J868" s="96">
        <f t="shared" si="273"/>
        <v>1.147499999999988</v>
      </c>
    </row>
    <row r="869" spans="1:10" ht="12.75" customHeight="1">
      <c r="A869" s="96">
        <f>IF(MAX($F$104:F869)=$G$99,$G$99,F869)</f>
        <v>15.906595441861038</v>
      </c>
      <c r="B869" s="96">
        <v>766</v>
      </c>
      <c r="C869" s="96">
        <f t="shared" si="275"/>
        <v>1.148999999999988</v>
      </c>
      <c r="D869" s="96">
        <f t="shared" si="269"/>
        <v>821.33097582208677</v>
      </c>
      <c r="E869" s="96">
        <f t="shared" si="270"/>
        <v>1.1418112281898163E-114</v>
      </c>
      <c r="F869" s="96">
        <f t="shared" si="271"/>
        <v>9.4149056799467225E-112</v>
      </c>
      <c r="G869" s="96">
        <f t="shared" si="274"/>
        <v>-0.29799999999999999</v>
      </c>
      <c r="I869" s="96">
        <f t="shared" si="272"/>
        <v>0</v>
      </c>
      <c r="J869" s="96">
        <f t="shared" si="273"/>
        <v>1.148999999999988</v>
      </c>
    </row>
    <row r="870" spans="1:10" ht="12.75" customHeight="1">
      <c r="A870" s="96">
        <f>IF(MAX($F$104:F870)=$G$99,$G$99,F870)</f>
        <v>15.906595441861038</v>
      </c>
      <c r="B870" s="481">
        <v>767</v>
      </c>
      <c r="C870" s="96">
        <f t="shared" si="275"/>
        <v>1.1504999999999881</v>
      </c>
      <c r="D870" s="96">
        <f t="shared" si="269"/>
        <v>823.47684290471614</v>
      </c>
      <c r="E870" s="96">
        <f t="shared" si="270"/>
        <v>4.424553101625646E-115</v>
      </c>
      <c r="F870" s="96">
        <f t="shared" si="271"/>
        <v>3.6560244982914163E-112</v>
      </c>
      <c r="G870" s="96">
        <f t="shared" si="274"/>
        <v>-0.29799999999999999</v>
      </c>
      <c r="I870" s="96">
        <f t="shared" si="272"/>
        <v>0</v>
      </c>
      <c r="J870" s="96">
        <f t="shared" si="273"/>
        <v>1.1504999999999881</v>
      </c>
    </row>
    <row r="871" spans="1:10" ht="12.75" customHeight="1">
      <c r="A871" s="96">
        <f>IF(MAX($F$104:F871)=$G$99,$G$99,F871)</f>
        <v>15.906595441861038</v>
      </c>
      <c r="B871" s="481">
        <v>768</v>
      </c>
      <c r="C871" s="96">
        <f t="shared" si="275"/>
        <v>1.1519999999999881</v>
      </c>
      <c r="D871" s="96">
        <f t="shared" si="269"/>
        <v>825.62550955301128</v>
      </c>
      <c r="E871" s="96">
        <f t="shared" si="270"/>
        <v>1.7118525519209505E-115</v>
      </c>
      <c r="F871" s="96">
        <f t="shared" si="271"/>
        <v>1.4174995745234237E-112</v>
      </c>
      <c r="G871" s="96">
        <f t="shared" si="274"/>
        <v>-0.29799999999999999</v>
      </c>
      <c r="I871" s="96">
        <f t="shared" si="272"/>
        <v>0</v>
      </c>
      <c r="J871" s="96">
        <f t="shared" si="273"/>
        <v>1.1519999999999881</v>
      </c>
    </row>
    <row r="872" spans="1:10" ht="12.75" customHeight="1">
      <c r="A872" s="96">
        <f>IF(MAX($F$104:F872)=$G$99,$G$99,F872)</f>
        <v>15.906595441861038</v>
      </c>
      <c r="B872" s="96">
        <v>769</v>
      </c>
      <c r="C872" s="96">
        <f t="shared" si="275"/>
        <v>1.1534999999999882</v>
      </c>
      <c r="D872" s="96">
        <f t="shared" ref="D872:D935" si="276">C872^2/$C$96</f>
        <v>827.77697576697165</v>
      </c>
      <c r="E872" s="96">
        <f t="shared" ref="E872:E935" si="277">CHIDIST(D872,$E$96)</f>
        <v>6.6127989492629029E-116</v>
      </c>
      <c r="F872" s="96">
        <f t="shared" ref="F872:F935" si="278">IF($E$7&lt;$F$101,NA(),$E$98*(E871-E873)/(2*$C$99))</f>
        <v>5.4872870529203806E-113</v>
      </c>
      <c r="G872" s="96">
        <f t="shared" si="274"/>
        <v>-0.29799999999999999</v>
      </c>
      <c r="I872" s="96">
        <f t="shared" ref="I872:I935" si="279">IF(F872&gt;$G$98,1,0)</f>
        <v>0</v>
      </c>
      <c r="J872" s="96">
        <f t="shared" ref="J872:J935" si="280">C872</f>
        <v>1.1534999999999882</v>
      </c>
    </row>
    <row r="873" spans="1:10" ht="12.75" customHeight="1">
      <c r="A873" s="96">
        <f>IF(MAX($F$104:F873)=$G$99,$G$99,F873)</f>
        <v>15.906595441861038</v>
      </c>
      <c r="B873" s="481">
        <v>770</v>
      </c>
      <c r="C873" s="96">
        <f t="shared" si="275"/>
        <v>1.1549999999999883</v>
      </c>
      <c r="D873" s="96">
        <f t="shared" si="276"/>
        <v>829.93124154659779</v>
      </c>
      <c r="E873" s="96">
        <f t="shared" si="277"/>
        <v>2.5505067946421205E-116</v>
      </c>
      <c r="F873" s="96">
        <f t="shared" si="278"/>
        <v>2.1208673692721731E-113</v>
      </c>
      <c r="G873" s="96">
        <f t="shared" ref="G873:G936" si="281">F873-$G$101</f>
        <v>-0.29799999999999999</v>
      </c>
      <c r="I873" s="96">
        <f t="shared" si="279"/>
        <v>0</v>
      </c>
      <c r="J873" s="96">
        <f t="shared" si="280"/>
        <v>1.1549999999999883</v>
      </c>
    </row>
    <row r="874" spans="1:10" ht="12.75" customHeight="1">
      <c r="A874" s="96">
        <f>IF(MAX($F$104:F874)=$G$99,$G$99,F874)</f>
        <v>15.906595441861038</v>
      </c>
      <c r="B874" s="481">
        <v>771</v>
      </c>
      <c r="C874" s="96">
        <f t="shared" si="275"/>
        <v>1.1564999999999883</v>
      </c>
      <c r="D874" s="96">
        <f t="shared" si="276"/>
        <v>832.08830689188937</v>
      </c>
      <c r="E874" s="96">
        <f t="shared" si="277"/>
        <v>9.8217761491199967E-117</v>
      </c>
      <c r="F874" s="96">
        <f t="shared" si="278"/>
        <v>8.1844709872957432E-114</v>
      </c>
      <c r="G874" s="96">
        <f t="shared" si="281"/>
        <v>-0.29799999999999999</v>
      </c>
      <c r="I874" s="96">
        <f t="shared" si="279"/>
        <v>0</v>
      </c>
      <c r="J874" s="96">
        <f t="shared" si="280"/>
        <v>1.1564999999999883</v>
      </c>
    </row>
    <row r="875" spans="1:10" ht="12.75" customHeight="1">
      <c r="A875" s="96">
        <f>IF(MAX($F$104:F875)=$G$99,$G$99,F875)</f>
        <v>15.906595441861038</v>
      </c>
      <c r="B875" s="96">
        <v>772</v>
      </c>
      <c r="C875" s="96">
        <f t="shared" si="275"/>
        <v>1.1579999999999884</v>
      </c>
      <c r="D875" s="96">
        <f t="shared" si="276"/>
        <v>834.24817180284651</v>
      </c>
      <c r="E875" s="96">
        <f t="shared" si="277"/>
        <v>3.7763839093528553E-117</v>
      </c>
      <c r="F875" s="96">
        <f t="shared" si="278"/>
        <v>3.1534734106924099E-114</v>
      </c>
      <c r="G875" s="96">
        <f t="shared" si="281"/>
        <v>-0.29799999999999999</v>
      </c>
      <c r="I875" s="96">
        <f t="shared" si="279"/>
        <v>0</v>
      </c>
      <c r="J875" s="96">
        <f t="shared" si="280"/>
        <v>1.1579999999999884</v>
      </c>
    </row>
    <row r="876" spans="1:10" ht="12.75" customHeight="1">
      <c r="A876" s="96">
        <f>IF(MAX($F$104:F876)=$G$99,$G$99,F876)</f>
        <v>15.906595441861038</v>
      </c>
      <c r="B876" s="481">
        <v>773</v>
      </c>
      <c r="C876" s="96">
        <f t="shared" si="275"/>
        <v>1.1594999999999884</v>
      </c>
      <c r="D876" s="96">
        <f t="shared" si="276"/>
        <v>836.41083627946909</v>
      </c>
      <c r="E876" s="96">
        <f t="shared" si="277"/>
        <v>1.4497228463967828E-117</v>
      </c>
      <c r="F876" s="96">
        <f t="shared" si="278"/>
        <v>1.2131356724948499E-114</v>
      </c>
      <c r="G876" s="96">
        <f t="shared" si="281"/>
        <v>-0.29799999999999999</v>
      </c>
      <c r="I876" s="96">
        <f t="shared" si="279"/>
        <v>0</v>
      </c>
      <c r="J876" s="96">
        <f t="shared" si="280"/>
        <v>1.1594999999999884</v>
      </c>
    </row>
    <row r="877" spans="1:10" ht="12.75" customHeight="1">
      <c r="A877" s="96">
        <f>IF(MAX($F$104:F877)=$G$99,$G$99,F877)</f>
        <v>15.906595441861038</v>
      </c>
      <c r="B877" s="481">
        <v>774</v>
      </c>
      <c r="C877" s="96">
        <f t="shared" si="275"/>
        <v>1.1609999999999885</v>
      </c>
      <c r="D877" s="96">
        <f t="shared" si="276"/>
        <v>838.57630032175723</v>
      </c>
      <c r="E877" s="96">
        <f t="shared" si="277"/>
        <v>5.5566973458776705E-118</v>
      </c>
      <c r="F877" s="96">
        <f t="shared" si="278"/>
        <v>4.6596296056830084E-115</v>
      </c>
      <c r="G877" s="96">
        <f t="shared" si="281"/>
        <v>-0.29799999999999999</v>
      </c>
      <c r="I877" s="96">
        <f t="shared" si="279"/>
        <v>0</v>
      </c>
      <c r="J877" s="96">
        <f t="shared" si="280"/>
        <v>1.1609999999999885</v>
      </c>
    </row>
    <row r="878" spans="1:10" ht="12.75" customHeight="1">
      <c r="A878" s="96">
        <f>IF(MAX($F$104:F878)=$G$99,$G$99,F878)</f>
        <v>15.906595441861038</v>
      </c>
      <c r="B878" s="96">
        <v>775</v>
      </c>
      <c r="C878" s="96">
        <f t="shared" si="275"/>
        <v>1.1624999999999885</v>
      </c>
      <c r="D878" s="96">
        <f t="shared" si="276"/>
        <v>840.74456392971081</v>
      </c>
      <c r="E878" s="96">
        <f t="shared" si="277"/>
        <v>2.1265303957828487E-118</v>
      </c>
      <c r="F878" s="96">
        <f t="shared" si="278"/>
        <v>1.786962434787104E-115</v>
      </c>
      <c r="G878" s="96">
        <f t="shared" si="281"/>
        <v>-0.29799999999999999</v>
      </c>
      <c r="I878" s="96">
        <f t="shared" si="279"/>
        <v>0</v>
      </c>
      <c r="J878" s="96">
        <f t="shared" si="280"/>
        <v>1.1624999999999885</v>
      </c>
    </row>
    <row r="879" spans="1:10" ht="12.75" customHeight="1">
      <c r="A879" s="96">
        <f>IF(MAX($F$104:F879)=$G$99,$G$99,F879)</f>
        <v>15.906595441861038</v>
      </c>
      <c r="B879" s="481">
        <v>776</v>
      </c>
      <c r="C879" s="96">
        <f t="shared" si="275"/>
        <v>1.1639999999999886</v>
      </c>
      <c r="D879" s="96">
        <f t="shared" si="276"/>
        <v>842.91562710333005</v>
      </c>
      <c r="E879" s="96">
        <f t="shared" si="277"/>
        <v>8.1254928892075644E-119</v>
      </c>
      <c r="F879" s="96">
        <f t="shared" si="278"/>
        <v>6.842292495383208E-116</v>
      </c>
      <c r="G879" s="96">
        <f t="shared" si="281"/>
        <v>-0.29799999999999999</v>
      </c>
      <c r="I879" s="96">
        <f t="shared" si="279"/>
        <v>0</v>
      </c>
      <c r="J879" s="96">
        <f t="shared" si="280"/>
        <v>1.1639999999999886</v>
      </c>
    </row>
    <row r="880" spans="1:10" ht="12.75" customHeight="1">
      <c r="A880" s="96">
        <f>IF(MAX($F$104:F880)=$G$99,$G$99,F880)</f>
        <v>15.906595441861038</v>
      </c>
      <c r="B880" s="481">
        <v>777</v>
      </c>
      <c r="C880" s="96">
        <f t="shared" si="275"/>
        <v>1.1654999999999887</v>
      </c>
      <c r="D880" s="96">
        <f t="shared" si="276"/>
        <v>845.08948984261485</v>
      </c>
      <c r="E880" s="96">
        <f t="shared" si="277"/>
        <v>3.0999256515013845E-119</v>
      </c>
      <c r="F880" s="96">
        <f t="shared" si="278"/>
        <v>2.6158342040437023E-116</v>
      </c>
      <c r="G880" s="96">
        <f t="shared" si="281"/>
        <v>-0.29799999999999999</v>
      </c>
      <c r="I880" s="96">
        <f t="shared" si="279"/>
        <v>0</v>
      </c>
      <c r="J880" s="96">
        <f t="shared" si="280"/>
        <v>1.1654999999999887</v>
      </c>
    </row>
    <row r="881" spans="1:10" ht="12.75" customHeight="1">
      <c r="A881" s="96">
        <f>IF(MAX($F$104:F881)=$G$99,$G$99,F881)</f>
        <v>15.906595441861038</v>
      </c>
      <c r="B881" s="96">
        <v>778</v>
      </c>
      <c r="C881" s="96">
        <f t="shared" si="275"/>
        <v>1.1669999999999887</v>
      </c>
      <c r="D881" s="96">
        <f t="shared" si="276"/>
        <v>847.26615214756521</v>
      </c>
      <c r="E881" s="96">
        <f t="shared" si="277"/>
        <v>1.1808003121003897E-119</v>
      </c>
      <c r="F881" s="96">
        <f t="shared" si="278"/>
        <v>9.9848452590278643E-117</v>
      </c>
      <c r="G881" s="96">
        <f t="shared" si="281"/>
        <v>-0.29799999999999999</v>
      </c>
      <c r="I881" s="96">
        <f t="shared" si="279"/>
        <v>0</v>
      </c>
      <c r="J881" s="96">
        <f t="shared" si="280"/>
        <v>1.1669999999999887</v>
      </c>
    </row>
    <row r="882" spans="1:10" ht="12.75" customHeight="1">
      <c r="A882" s="96">
        <f>IF(MAX($F$104:F882)=$G$99,$G$99,F882)</f>
        <v>15.906595441861038</v>
      </c>
      <c r="B882" s="481">
        <v>779</v>
      </c>
      <c r="C882" s="96">
        <f t="shared" si="275"/>
        <v>1.1684999999999888</v>
      </c>
      <c r="D882" s="96">
        <f t="shared" si="276"/>
        <v>849.445614018181</v>
      </c>
      <c r="E882" s="96">
        <f t="shared" si="277"/>
        <v>4.4908177742318994E-120</v>
      </c>
      <c r="F882" s="96">
        <f t="shared" si="278"/>
        <v>3.8053550881091303E-117</v>
      </c>
      <c r="G882" s="96">
        <f t="shared" si="281"/>
        <v>-0.29799999999999999</v>
      </c>
      <c r="I882" s="96">
        <f t="shared" si="279"/>
        <v>0</v>
      </c>
      <c r="J882" s="96">
        <f t="shared" si="280"/>
        <v>1.1684999999999888</v>
      </c>
    </row>
    <row r="883" spans="1:10" ht="12.75" customHeight="1">
      <c r="A883" s="96">
        <f>IF(MAX($F$104:F883)=$G$99,$G$99,F883)</f>
        <v>15.906595441861038</v>
      </c>
      <c r="B883" s="481">
        <v>780</v>
      </c>
      <c r="C883" s="96">
        <f t="shared" si="275"/>
        <v>1.1699999999999888</v>
      </c>
      <c r="D883" s="96">
        <f t="shared" si="276"/>
        <v>851.62787545446224</v>
      </c>
      <c r="E883" s="96">
        <f t="shared" si="277"/>
        <v>1.7052904977053202E-120</v>
      </c>
      <c r="F883" s="96">
        <f t="shared" si="278"/>
        <v>1.4480112665237825E-117</v>
      </c>
      <c r="G883" s="96">
        <f t="shared" si="281"/>
        <v>-0.29799999999999999</v>
      </c>
      <c r="I883" s="96">
        <f t="shared" si="279"/>
        <v>0</v>
      </c>
      <c r="J883" s="96">
        <f t="shared" si="280"/>
        <v>1.1699999999999888</v>
      </c>
    </row>
    <row r="884" spans="1:10" ht="12.75" customHeight="1">
      <c r="A884" s="96">
        <f>IF(MAX($F$104:F884)=$G$99,$G$99,F884)</f>
        <v>15.906595441861038</v>
      </c>
      <c r="B884" s="96">
        <v>781</v>
      </c>
      <c r="C884" s="96">
        <f t="shared" si="275"/>
        <v>1.1714999999999889</v>
      </c>
      <c r="D884" s="96">
        <f t="shared" si="276"/>
        <v>853.81293645640926</v>
      </c>
      <c r="E884" s="96">
        <f t="shared" si="277"/>
        <v>6.4654007549619312E-121</v>
      </c>
      <c r="F884" s="96">
        <f t="shared" si="278"/>
        <v>5.5013816533665833E-118</v>
      </c>
      <c r="G884" s="96">
        <f t="shared" si="281"/>
        <v>-0.29799999999999999</v>
      </c>
      <c r="I884" s="96">
        <f t="shared" si="279"/>
        <v>0</v>
      </c>
      <c r="J884" s="96">
        <f t="shared" si="280"/>
        <v>1.1714999999999889</v>
      </c>
    </row>
    <row r="885" spans="1:10" ht="12.75" customHeight="1">
      <c r="A885" s="96">
        <f>IF(MAX($F$104:F885)=$G$99,$G$99,F885)</f>
        <v>15.906595441861038</v>
      </c>
      <c r="B885" s="481">
        <v>782</v>
      </c>
      <c r="C885" s="96">
        <f t="shared" si="275"/>
        <v>1.1729999999999889</v>
      </c>
      <c r="D885" s="96">
        <f t="shared" si="276"/>
        <v>856.00079702402149</v>
      </c>
      <c r="E885" s="96">
        <f t="shared" si="277"/>
        <v>2.4474669592658099E-121</v>
      </c>
      <c r="F885" s="96">
        <f t="shared" si="278"/>
        <v>2.0868674568770219E-118</v>
      </c>
      <c r="G885" s="96">
        <f t="shared" si="281"/>
        <v>-0.29799999999999999</v>
      </c>
      <c r="I885" s="96">
        <f t="shared" si="279"/>
        <v>0</v>
      </c>
      <c r="J885" s="96">
        <f t="shared" si="280"/>
        <v>1.1729999999999889</v>
      </c>
    </row>
    <row r="886" spans="1:10" ht="12.75" customHeight="1">
      <c r="A886" s="96">
        <f>IF(MAX($F$104:F886)=$G$99,$G$99,F886)</f>
        <v>15.906595441861038</v>
      </c>
      <c r="B886" s="481">
        <v>783</v>
      </c>
      <c r="C886" s="96">
        <f t="shared" si="275"/>
        <v>1.174499999999989</v>
      </c>
      <c r="D886" s="96">
        <f t="shared" si="276"/>
        <v>858.19145715729951</v>
      </c>
      <c r="E886" s="96">
        <f t="shared" si="277"/>
        <v>9.2504467475744729E-122</v>
      </c>
      <c r="F886" s="96">
        <f t="shared" si="278"/>
        <v>7.9038991973373771E-119</v>
      </c>
      <c r="G886" s="96">
        <f t="shared" si="281"/>
        <v>-0.29799999999999999</v>
      </c>
      <c r="I886" s="96">
        <f t="shared" si="279"/>
        <v>0</v>
      </c>
      <c r="J886" s="96">
        <f t="shared" si="280"/>
        <v>1.174499999999989</v>
      </c>
    </row>
    <row r="887" spans="1:10" ht="12.75" customHeight="1">
      <c r="A887" s="96">
        <f>IF(MAX($F$104:F887)=$G$99,$G$99,F887)</f>
        <v>15.906595441861038</v>
      </c>
      <c r="B887" s="96">
        <v>784</v>
      </c>
      <c r="C887" s="96">
        <f t="shared" si="275"/>
        <v>1.1759999999999891</v>
      </c>
      <c r="D887" s="96">
        <f t="shared" si="276"/>
        <v>860.38491685624297</v>
      </c>
      <c r="E887" s="96">
        <f t="shared" si="277"/>
        <v>3.4908664138862964E-122</v>
      </c>
      <c r="F887" s="96">
        <f t="shared" si="278"/>
        <v>2.9889009912917891E-119</v>
      </c>
      <c r="G887" s="96">
        <f t="shared" si="281"/>
        <v>-0.29799999999999999</v>
      </c>
      <c r="I887" s="96">
        <f t="shared" si="279"/>
        <v>0</v>
      </c>
      <c r="J887" s="96">
        <f t="shared" si="280"/>
        <v>1.1759999999999891</v>
      </c>
    </row>
    <row r="888" spans="1:10" ht="12.75" customHeight="1">
      <c r="A888" s="96">
        <f>IF(MAX($F$104:F888)=$G$99,$G$99,F888)</f>
        <v>15.906595441861038</v>
      </c>
      <c r="B888" s="481">
        <v>785</v>
      </c>
      <c r="C888" s="96">
        <f t="shared" si="275"/>
        <v>1.1774999999999891</v>
      </c>
      <c r="D888" s="96">
        <f t="shared" si="276"/>
        <v>862.58117612085198</v>
      </c>
      <c r="E888" s="96">
        <f t="shared" si="277"/>
        <v>1.3153113724635277E-122</v>
      </c>
      <c r="F888" s="96">
        <f t="shared" si="278"/>
        <v>1.12851010014E-119</v>
      </c>
      <c r="G888" s="96">
        <f t="shared" si="281"/>
        <v>-0.29799999999999999</v>
      </c>
      <c r="I888" s="96">
        <f t="shared" si="279"/>
        <v>0</v>
      </c>
      <c r="J888" s="96">
        <f t="shared" si="280"/>
        <v>1.1774999999999891</v>
      </c>
    </row>
    <row r="889" spans="1:10" ht="12.75" customHeight="1">
      <c r="A889" s="96">
        <f>IF(MAX($F$104:F889)=$G$99,$G$99,F889)</f>
        <v>15.906595441861038</v>
      </c>
      <c r="B889" s="481">
        <v>786</v>
      </c>
      <c r="C889" s="96">
        <f t="shared" si="275"/>
        <v>1.1789999999999892</v>
      </c>
      <c r="D889" s="96">
        <f t="shared" si="276"/>
        <v>864.78023495112654</v>
      </c>
      <c r="E889" s="96">
        <f t="shared" si="277"/>
        <v>4.9482190024027815E-123</v>
      </c>
      <c r="F889" s="96">
        <f t="shared" si="278"/>
        <v>4.2542531685873357E-120</v>
      </c>
      <c r="G889" s="96">
        <f t="shared" si="281"/>
        <v>-0.29799999999999999</v>
      </c>
      <c r="I889" s="96">
        <f t="shared" si="279"/>
        <v>0</v>
      </c>
      <c r="J889" s="96">
        <f t="shared" si="280"/>
        <v>1.1789999999999892</v>
      </c>
    </row>
    <row r="890" spans="1:10" ht="12.75" customHeight="1">
      <c r="A890" s="96">
        <f>IF(MAX($F$104:F890)=$G$99,$G$99,F890)</f>
        <v>15.906595441861038</v>
      </c>
      <c r="B890" s="96">
        <v>787</v>
      </c>
      <c r="C890" s="96">
        <f t="shared" si="275"/>
        <v>1.1804999999999892</v>
      </c>
      <c r="D890" s="96">
        <f t="shared" si="276"/>
        <v>866.98209334706655</v>
      </c>
      <c r="E890" s="96">
        <f t="shared" si="277"/>
        <v>1.8586362859078363E-123</v>
      </c>
      <c r="F890" s="96">
        <f t="shared" si="278"/>
        <v>1.6012728666267841E-120</v>
      </c>
      <c r="G890" s="96">
        <f t="shared" si="281"/>
        <v>-0.29799999999999999</v>
      </c>
      <c r="I890" s="96">
        <f t="shared" si="279"/>
        <v>0</v>
      </c>
      <c r="J890" s="96">
        <f t="shared" si="280"/>
        <v>1.1804999999999892</v>
      </c>
    </row>
    <row r="891" spans="1:10" ht="12.75" customHeight="1">
      <c r="A891" s="96">
        <f>IF(MAX($F$104:F891)=$G$99,$G$99,F891)</f>
        <v>15.906595441861038</v>
      </c>
      <c r="B891" s="481">
        <v>788</v>
      </c>
      <c r="C891" s="96">
        <f t="shared" si="275"/>
        <v>1.1819999999999893</v>
      </c>
      <c r="D891" s="96">
        <f t="shared" si="276"/>
        <v>869.18675130867223</v>
      </c>
      <c r="E891" s="96">
        <f t="shared" si="277"/>
        <v>6.9705209985379658E-124</v>
      </c>
      <c r="F891" s="96">
        <f t="shared" si="278"/>
        <v>6.0177156744144557E-121</v>
      </c>
      <c r="G891" s="96">
        <f t="shared" si="281"/>
        <v>-0.29799999999999999</v>
      </c>
      <c r="I891" s="96">
        <f t="shared" si="279"/>
        <v>0</v>
      </c>
      <c r="J891" s="96">
        <f t="shared" si="280"/>
        <v>1.1819999999999893</v>
      </c>
    </row>
    <row r="892" spans="1:10" ht="12.75" customHeight="1">
      <c r="A892" s="96">
        <f>IF(MAX($F$104:F892)=$G$99,$G$99,F892)</f>
        <v>15.906595441861038</v>
      </c>
      <c r="B892" s="481">
        <v>789</v>
      </c>
      <c r="C892" s="96">
        <f t="shared" si="275"/>
        <v>1.1834999999999893</v>
      </c>
      <c r="D892" s="96">
        <f t="shared" si="276"/>
        <v>871.39420883594335</v>
      </c>
      <c r="E892" s="96">
        <f t="shared" si="277"/>
        <v>2.6101265553231681E-124</v>
      </c>
      <c r="F892" s="96">
        <f t="shared" si="278"/>
        <v>2.2579923296746067E-121</v>
      </c>
      <c r="G892" s="96">
        <f t="shared" si="281"/>
        <v>-0.29799999999999999</v>
      </c>
      <c r="I892" s="96">
        <f t="shared" si="279"/>
        <v>0</v>
      </c>
      <c r="J892" s="96">
        <f t="shared" si="280"/>
        <v>1.1834999999999893</v>
      </c>
    </row>
    <row r="893" spans="1:10" ht="12.75" customHeight="1">
      <c r="A893" s="96">
        <f>IF(MAX($F$104:F893)=$G$99,$G$99,F893)</f>
        <v>15.906595441861038</v>
      </c>
      <c r="B893" s="96">
        <v>790</v>
      </c>
      <c r="C893" s="96">
        <f t="shared" si="275"/>
        <v>1.1849999999999894</v>
      </c>
      <c r="D893" s="96">
        <f t="shared" si="276"/>
        <v>873.60446592888002</v>
      </c>
      <c r="E893" s="96">
        <f t="shared" si="277"/>
        <v>9.7585109674697386E-125</v>
      </c>
      <c r="F893" s="96">
        <f t="shared" si="278"/>
        <v>8.459367849257301E-122</v>
      </c>
      <c r="G893" s="96">
        <f t="shared" si="281"/>
        <v>-0.29799999999999999</v>
      </c>
      <c r="I893" s="96">
        <f t="shared" si="279"/>
        <v>0</v>
      </c>
      <c r="J893" s="96">
        <f t="shared" si="280"/>
        <v>1.1849999999999894</v>
      </c>
    </row>
    <row r="894" spans="1:10" ht="12.75" customHeight="1">
      <c r="A894" s="96">
        <f>IF(MAX($F$104:F894)=$G$99,$G$99,F894)</f>
        <v>15.906595441861038</v>
      </c>
      <c r="B894" s="481">
        <v>791</v>
      </c>
      <c r="C894" s="96">
        <f t="shared" si="275"/>
        <v>1.1864999999999895</v>
      </c>
      <c r="D894" s="96">
        <f t="shared" si="276"/>
        <v>875.81752258748213</v>
      </c>
      <c r="E894" s="96">
        <f t="shared" si="277"/>
        <v>3.6427668383892874E-125</v>
      </c>
      <c r="F894" s="96">
        <f t="shared" si="278"/>
        <v>3.1643038484438963E-122</v>
      </c>
      <c r="G894" s="96">
        <f t="shared" si="281"/>
        <v>-0.29799999999999999</v>
      </c>
      <c r="I894" s="96">
        <f t="shared" si="279"/>
        <v>0</v>
      </c>
      <c r="J894" s="96">
        <f t="shared" si="280"/>
        <v>1.1864999999999895</v>
      </c>
    </row>
    <row r="895" spans="1:10" ht="12.75" customHeight="1">
      <c r="A895" s="96">
        <f>IF(MAX($F$104:F895)=$G$99,$G$99,F895)</f>
        <v>15.906595441861038</v>
      </c>
      <c r="B895" s="481">
        <v>792</v>
      </c>
      <c r="C895" s="96">
        <f t="shared" si="275"/>
        <v>1.1879999999999895</v>
      </c>
      <c r="D895" s="96">
        <f t="shared" si="276"/>
        <v>878.0333788117498</v>
      </c>
      <c r="E895" s="96">
        <f t="shared" si="277"/>
        <v>1.3577042901850578E-125</v>
      </c>
      <c r="F895" s="96">
        <f t="shared" si="278"/>
        <v>1.1817985150851145E-122</v>
      </c>
      <c r="G895" s="96">
        <f t="shared" si="281"/>
        <v>-0.29799999999999999</v>
      </c>
      <c r="I895" s="96">
        <f t="shared" si="279"/>
        <v>0</v>
      </c>
      <c r="J895" s="96">
        <f t="shared" si="280"/>
        <v>1.1879999999999895</v>
      </c>
    </row>
    <row r="896" spans="1:10" ht="12.75" customHeight="1">
      <c r="A896" s="96">
        <f>IF(MAX($F$104:F896)=$G$99,$G$99,F896)</f>
        <v>15.906595441861038</v>
      </c>
      <c r="B896" s="96">
        <v>793</v>
      </c>
      <c r="C896" s="96">
        <f t="shared" si="275"/>
        <v>1.1894999999999896</v>
      </c>
      <c r="D896" s="96">
        <f t="shared" si="276"/>
        <v>880.25203460168314</v>
      </c>
      <c r="E896" s="96">
        <f t="shared" si="277"/>
        <v>5.0524865674739052E-126</v>
      </c>
      <c r="F896" s="96">
        <f t="shared" si="278"/>
        <v>4.4069067572264331E-123</v>
      </c>
      <c r="G896" s="96">
        <f t="shared" si="281"/>
        <v>-0.29799999999999999</v>
      </c>
      <c r="I896" s="96">
        <f t="shared" si="279"/>
        <v>0</v>
      </c>
      <c r="J896" s="96">
        <f t="shared" si="280"/>
        <v>1.1894999999999896</v>
      </c>
    </row>
    <row r="897" spans="1:10" ht="12.75" customHeight="1">
      <c r="A897" s="96">
        <f>IF(MAX($F$104:F897)=$G$99,$G$99,F897)</f>
        <v>15.906595441861038</v>
      </c>
      <c r="B897" s="481">
        <v>794</v>
      </c>
      <c r="C897" s="96">
        <f t="shared" si="275"/>
        <v>1.1909999999999896</v>
      </c>
      <c r="D897" s="96">
        <f t="shared" si="276"/>
        <v>882.4734899572818</v>
      </c>
      <c r="E897" s="96">
        <f t="shared" si="277"/>
        <v>1.8772904490370375E-126</v>
      </c>
      <c r="F897" s="96">
        <f t="shared" si="278"/>
        <v>1.6407772042535882E-123</v>
      </c>
      <c r="G897" s="96">
        <f t="shared" si="281"/>
        <v>-0.29799999999999999</v>
      </c>
      <c r="I897" s="96">
        <f t="shared" si="279"/>
        <v>0</v>
      </c>
      <c r="J897" s="96">
        <f t="shared" si="280"/>
        <v>1.1909999999999896</v>
      </c>
    </row>
    <row r="898" spans="1:10" ht="12.75" customHeight="1">
      <c r="A898" s="96">
        <f>IF(MAX($F$104:F898)=$G$99,$G$99,F898)</f>
        <v>15.906595441861038</v>
      </c>
      <c r="B898" s="481">
        <v>795</v>
      </c>
      <c r="C898" s="96">
        <f t="shared" si="275"/>
        <v>1.1924999999999897</v>
      </c>
      <c r="D898" s="96">
        <f t="shared" si="276"/>
        <v>884.69774487854613</v>
      </c>
      <c r="E898" s="96">
        <f t="shared" si="277"/>
        <v>6.9644089246437815E-127</v>
      </c>
      <c r="F898" s="96">
        <f t="shared" si="278"/>
        <v>6.0994526514096157E-124</v>
      </c>
      <c r="G898" s="96">
        <f t="shared" si="281"/>
        <v>-0.29799999999999999</v>
      </c>
      <c r="I898" s="96">
        <f t="shared" si="279"/>
        <v>0</v>
      </c>
      <c r="J898" s="96">
        <f t="shared" si="280"/>
        <v>1.1924999999999897</v>
      </c>
    </row>
    <row r="899" spans="1:10" ht="12.75" customHeight="1">
      <c r="A899" s="96">
        <f>IF(MAX($F$104:F899)=$G$99,$G$99,F899)</f>
        <v>15.906595441861038</v>
      </c>
      <c r="B899" s="96">
        <v>796</v>
      </c>
      <c r="C899" s="96">
        <f t="shared" ref="C899:C962" si="282">C898+$C$99</f>
        <v>1.1939999999999897</v>
      </c>
      <c r="D899" s="96">
        <f t="shared" si="276"/>
        <v>886.92479936547602</v>
      </c>
      <c r="E899" s="96">
        <f t="shared" si="277"/>
        <v>2.5796673627342262E-127</v>
      </c>
      <c r="F899" s="96">
        <f t="shared" si="278"/>
        <v>2.263902825864706E-124</v>
      </c>
      <c r="G899" s="96">
        <f t="shared" si="281"/>
        <v>-0.29799999999999999</v>
      </c>
      <c r="I899" s="96">
        <f t="shared" si="279"/>
        <v>0</v>
      </c>
      <c r="J899" s="96">
        <f t="shared" si="280"/>
        <v>1.1939999999999897</v>
      </c>
    </row>
    <row r="900" spans="1:10" ht="12.75" customHeight="1">
      <c r="A900" s="96">
        <f>IF(MAX($F$104:F900)=$G$99,$G$99,F900)</f>
        <v>15.906595441861038</v>
      </c>
      <c r="B900" s="481">
        <v>797</v>
      </c>
      <c r="C900" s="96">
        <f t="shared" si="282"/>
        <v>1.1954999999999898</v>
      </c>
      <c r="D900" s="96">
        <f t="shared" si="276"/>
        <v>889.15465341807135</v>
      </c>
      <c r="E900" s="96">
        <f t="shared" si="277"/>
        <v>9.540474400472168E-128</v>
      </c>
      <c r="F900" s="96">
        <f t="shared" si="278"/>
        <v>8.3897792234041413E-125</v>
      </c>
      <c r="G900" s="96">
        <f t="shared" si="281"/>
        <v>-0.29799999999999999</v>
      </c>
      <c r="I900" s="96">
        <f t="shared" si="279"/>
        <v>0</v>
      </c>
      <c r="J900" s="96">
        <f t="shared" si="280"/>
        <v>1.1954999999999898</v>
      </c>
    </row>
    <row r="901" spans="1:10" ht="12.75" customHeight="1">
      <c r="A901" s="96">
        <f>IF(MAX($F$104:F901)=$G$99,$G$99,F901)</f>
        <v>15.906595441861038</v>
      </c>
      <c r="B901" s="481">
        <v>798</v>
      </c>
      <c r="C901" s="96">
        <f t="shared" si="282"/>
        <v>1.1969999999999898</v>
      </c>
      <c r="D901" s="96">
        <f t="shared" si="276"/>
        <v>891.38730703633234</v>
      </c>
      <c r="E901" s="96">
        <f t="shared" si="277"/>
        <v>3.5229234767117949E-128</v>
      </c>
      <c r="F901" s="96">
        <f t="shared" si="278"/>
        <v>3.1043400207536472E-125</v>
      </c>
      <c r="G901" s="96">
        <f t="shared" si="281"/>
        <v>-0.29799999999999999</v>
      </c>
      <c r="I901" s="96">
        <f t="shared" si="279"/>
        <v>0</v>
      </c>
      <c r="J901" s="96">
        <f t="shared" si="280"/>
        <v>1.1969999999999898</v>
      </c>
    </row>
    <row r="902" spans="1:10" ht="12.75" customHeight="1">
      <c r="A902" s="96">
        <f>IF(MAX($F$104:F902)=$G$99,$G$99,F902)</f>
        <v>15.906595441861038</v>
      </c>
      <c r="B902" s="96">
        <v>799</v>
      </c>
      <c r="C902" s="96">
        <f t="shared" si="282"/>
        <v>1.1984999999999899</v>
      </c>
      <c r="D902" s="96">
        <f t="shared" si="276"/>
        <v>893.62276022025867</v>
      </c>
      <c r="E902" s="96">
        <f t="shared" si="277"/>
        <v>1.2988637259049612E-128</v>
      </c>
      <c r="F902" s="96">
        <f t="shared" si="278"/>
        <v>1.146870023056984E-125</v>
      </c>
      <c r="G902" s="96">
        <f t="shared" si="281"/>
        <v>-0.29799999999999999</v>
      </c>
      <c r="I902" s="96">
        <f t="shared" si="279"/>
        <v>0</v>
      </c>
      <c r="J902" s="96">
        <f t="shared" si="280"/>
        <v>1.1984999999999899</v>
      </c>
    </row>
    <row r="903" spans="1:10" ht="12.75" customHeight="1">
      <c r="A903" s="96">
        <f>IF(MAX($F$104:F903)=$G$99,$G$99,F903)</f>
        <v>15.906595441861038</v>
      </c>
      <c r="B903" s="481">
        <v>800</v>
      </c>
      <c r="C903" s="96">
        <f t="shared" si="282"/>
        <v>1.19999999999999</v>
      </c>
      <c r="D903" s="96">
        <f t="shared" si="276"/>
        <v>895.86101296985078</v>
      </c>
      <c r="E903" s="96">
        <f t="shared" si="277"/>
        <v>4.7813580487909361E-129</v>
      </c>
      <c r="F903" s="96">
        <f t="shared" si="278"/>
        <v>4.2304391273656863E-126</v>
      </c>
      <c r="G903" s="96">
        <f t="shared" si="281"/>
        <v>-0.29799999999999999</v>
      </c>
      <c r="I903" s="96">
        <f t="shared" si="279"/>
        <v>0</v>
      </c>
      <c r="J903" s="96">
        <f t="shared" si="280"/>
        <v>1.19999999999999</v>
      </c>
    </row>
    <row r="904" spans="1:10" ht="12.75" customHeight="1">
      <c r="A904" s="96">
        <f>IF(MAX($F$104:F904)=$G$99,$G$99,F904)</f>
        <v>15.906595441861038</v>
      </c>
      <c r="B904" s="481">
        <v>801</v>
      </c>
      <c r="C904" s="96">
        <f t="shared" si="282"/>
        <v>1.20149999999999</v>
      </c>
      <c r="D904" s="96">
        <f t="shared" si="276"/>
        <v>898.10206528510821</v>
      </c>
      <c r="E904" s="96">
        <f t="shared" si="277"/>
        <v>1.7573829386097348E-129</v>
      </c>
      <c r="F904" s="96">
        <f t="shared" si="278"/>
        <v>1.5580564748980582E-126</v>
      </c>
      <c r="G904" s="96">
        <f t="shared" si="281"/>
        <v>-0.29799999999999999</v>
      </c>
      <c r="I904" s="96">
        <f t="shared" si="279"/>
        <v>0</v>
      </c>
      <c r="J904" s="96">
        <f t="shared" si="280"/>
        <v>1.20149999999999</v>
      </c>
    </row>
    <row r="905" spans="1:10" ht="12.75" customHeight="1">
      <c r="A905" s="96">
        <f>IF(MAX($F$104:F905)=$G$99,$G$99,F905)</f>
        <v>15.906595441861038</v>
      </c>
      <c r="B905" s="96">
        <v>802</v>
      </c>
      <c r="C905" s="96">
        <f t="shared" si="282"/>
        <v>1.2029999999999901</v>
      </c>
      <c r="D905" s="96">
        <f t="shared" si="276"/>
        <v>900.34591716603131</v>
      </c>
      <c r="E905" s="96">
        <f t="shared" si="277"/>
        <v>6.4492492959255102E-130</v>
      </c>
      <c r="F905" s="96">
        <f t="shared" si="278"/>
        <v>5.7293796478554044E-127</v>
      </c>
      <c r="G905" s="96">
        <f t="shared" si="281"/>
        <v>-0.29799999999999999</v>
      </c>
      <c r="I905" s="96">
        <f t="shared" si="279"/>
        <v>0</v>
      </c>
      <c r="J905" s="96">
        <f t="shared" si="280"/>
        <v>1.2029999999999901</v>
      </c>
    </row>
    <row r="906" spans="1:10" ht="12.75" customHeight="1">
      <c r="A906" s="96">
        <f>IF(MAX($F$104:F906)=$G$99,$G$99,F906)</f>
        <v>15.906595441861038</v>
      </c>
      <c r="B906" s="481">
        <v>803</v>
      </c>
      <c r="C906" s="96">
        <f t="shared" si="282"/>
        <v>1.2044999999999901</v>
      </c>
      <c r="D906" s="96">
        <f t="shared" si="276"/>
        <v>902.59256861261986</v>
      </c>
      <c r="E906" s="96">
        <f t="shared" si="277"/>
        <v>2.3630869581626435E-130</v>
      </c>
      <c r="F906" s="96">
        <f t="shared" si="278"/>
        <v>2.1035790176917105E-127</v>
      </c>
      <c r="G906" s="96">
        <f t="shared" si="281"/>
        <v>-0.29799999999999999</v>
      </c>
      <c r="I906" s="96">
        <f t="shared" si="279"/>
        <v>0</v>
      </c>
      <c r="J906" s="96">
        <f t="shared" si="280"/>
        <v>1.2044999999999901</v>
      </c>
    </row>
    <row r="907" spans="1:10" ht="12.75" customHeight="1">
      <c r="A907" s="96">
        <f>IF(MAX($F$104:F907)=$G$99,$G$99,F907)</f>
        <v>15.906595441861038</v>
      </c>
      <c r="B907" s="481">
        <v>804</v>
      </c>
      <c r="C907" s="96">
        <f t="shared" si="282"/>
        <v>1.2059999999999902</v>
      </c>
      <c r="D907" s="96">
        <f t="shared" si="276"/>
        <v>904.84201962487384</v>
      </c>
      <c r="E907" s="96">
        <f t="shared" si="277"/>
        <v>8.6452624010680865E-131</v>
      </c>
      <c r="F907" s="96">
        <f t="shared" si="278"/>
        <v>7.7114677399367026E-128</v>
      </c>
      <c r="G907" s="96">
        <f t="shared" si="281"/>
        <v>-0.29799999999999999</v>
      </c>
      <c r="I907" s="96">
        <f t="shared" si="279"/>
        <v>0</v>
      </c>
      <c r="J907" s="96">
        <f t="shared" si="280"/>
        <v>1.2059999999999902</v>
      </c>
    </row>
    <row r="908" spans="1:10" ht="12.75" customHeight="1">
      <c r="A908" s="96">
        <f>IF(MAX($F$104:F908)=$G$99,$G$99,F908)</f>
        <v>15.906595441861038</v>
      </c>
      <c r="B908" s="96">
        <v>805</v>
      </c>
      <c r="C908" s="96">
        <f t="shared" si="282"/>
        <v>1.2074999999999902</v>
      </c>
      <c r="D908" s="96">
        <f t="shared" si="276"/>
        <v>907.0942702027935</v>
      </c>
      <c r="E908" s="96">
        <f t="shared" si="277"/>
        <v>3.1579463782546552E-131</v>
      </c>
      <c r="F908" s="96">
        <f t="shared" si="278"/>
        <v>2.8225549836581989E-128</v>
      </c>
      <c r="G908" s="96">
        <f t="shared" si="281"/>
        <v>-0.29799999999999999</v>
      </c>
      <c r="I908" s="96">
        <f t="shared" si="279"/>
        <v>0</v>
      </c>
      <c r="J908" s="96">
        <f t="shared" si="280"/>
        <v>1.2074999999999902</v>
      </c>
    </row>
    <row r="909" spans="1:10" ht="12.75" customHeight="1">
      <c r="A909" s="96">
        <f>IF(MAX($F$104:F909)=$G$99,$G$99,F909)</f>
        <v>15.906595441861038</v>
      </c>
      <c r="B909" s="481">
        <v>806</v>
      </c>
      <c r="C909" s="96">
        <f t="shared" si="282"/>
        <v>1.2089999999999903</v>
      </c>
      <c r="D909" s="96">
        <f t="shared" si="276"/>
        <v>909.34932034637859</v>
      </c>
      <c r="E909" s="96">
        <f t="shared" si="277"/>
        <v>1.1517535948958768E-131</v>
      </c>
      <c r="F909" s="96">
        <f t="shared" si="278"/>
        <v>1.0315139031078322E-128</v>
      </c>
      <c r="G909" s="96">
        <f t="shared" si="281"/>
        <v>-0.29799999999999999</v>
      </c>
      <c r="I909" s="96">
        <f t="shared" si="279"/>
        <v>0</v>
      </c>
      <c r="J909" s="96">
        <f t="shared" si="280"/>
        <v>1.2089999999999903</v>
      </c>
    </row>
    <row r="910" spans="1:10" ht="12.75" customHeight="1">
      <c r="A910" s="96">
        <f>IF(MAX($F$104:F910)=$G$99,$G$99,F910)</f>
        <v>15.906595441861038</v>
      </c>
      <c r="B910" s="481">
        <v>807</v>
      </c>
      <c r="C910" s="96">
        <f t="shared" si="282"/>
        <v>1.2104999999999904</v>
      </c>
      <c r="D910" s="96">
        <f t="shared" si="276"/>
        <v>911.60717005562924</v>
      </c>
      <c r="E910" s="96">
        <f t="shared" si="277"/>
        <v>4.1941389212766682E-132</v>
      </c>
      <c r="F910" s="96">
        <f t="shared" si="278"/>
        <v>3.7638753526243825E-129</v>
      </c>
      <c r="G910" s="96">
        <f t="shared" si="281"/>
        <v>-0.29799999999999999</v>
      </c>
      <c r="I910" s="96">
        <f t="shared" si="279"/>
        <v>0</v>
      </c>
      <c r="J910" s="96">
        <f t="shared" si="280"/>
        <v>1.2104999999999904</v>
      </c>
    </row>
    <row r="911" spans="1:10" ht="12.75" customHeight="1">
      <c r="A911" s="96">
        <f>IF(MAX($F$104:F911)=$G$99,$G$99,F911)</f>
        <v>15.906595441861038</v>
      </c>
      <c r="B911" s="96">
        <v>808</v>
      </c>
      <c r="C911" s="96">
        <f t="shared" si="282"/>
        <v>1.2119999999999904</v>
      </c>
      <c r="D911" s="96">
        <f t="shared" si="276"/>
        <v>913.86781933054544</v>
      </c>
      <c r="E911" s="96">
        <f t="shared" si="277"/>
        <v>1.5249465172126185E-132</v>
      </c>
      <c r="F911" s="96">
        <f t="shared" si="278"/>
        <v>1.3712701146767299E-129</v>
      </c>
      <c r="G911" s="96">
        <f t="shared" si="281"/>
        <v>-0.29799999999999999</v>
      </c>
      <c r="I911" s="96">
        <f t="shared" si="279"/>
        <v>0</v>
      </c>
      <c r="J911" s="96">
        <f t="shared" si="280"/>
        <v>1.2119999999999904</v>
      </c>
    </row>
    <row r="912" spans="1:10" ht="12.75" customHeight="1">
      <c r="A912" s="96">
        <f>IF(MAX($F$104:F912)=$G$99,$G$99,F912)</f>
        <v>15.906595441861038</v>
      </c>
      <c r="B912" s="481">
        <v>809</v>
      </c>
      <c r="C912" s="96">
        <f t="shared" si="282"/>
        <v>1.2134999999999905</v>
      </c>
      <c r="D912" s="96">
        <f t="shared" si="276"/>
        <v>916.1312681711272</v>
      </c>
      <c r="E912" s="96">
        <f t="shared" si="277"/>
        <v>5.5359879381632304E-133</v>
      </c>
      <c r="F912" s="96">
        <f t="shared" si="278"/>
        <v>4.9881393953499768E-130</v>
      </c>
      <c r="G912" s="96">
        <f t="shared" si="281"/>
        <v>-0.29799999999999999</v>
      </c>
      <c r="I912" s="96">
        <f t="shared" si="279"/>
        <v>0</v>
      </c>
      <c r="J912" s="96">
        <f t="shared" si="280"/>
        <v>1.2134999999999905</v>
      </c>
    </row>
    <row r="913" spans="1:10" ht="12.75" customHeight="1">
      <c r="A913" s="96">
        <f>IF(MAX($F$104:F913)=$G$99,$G$99,F913)</f>
        <v>15.906595441861038</v>
      </c>
      <c r="B913" s="481">
        <v>810</v>
      </c>
      <c r="C913" s="96">
        <f t="shared" si="282"/>
        <v>1.2149999999999905</v>
      </c>
      <c r="D913" s="96">
        <f t="shared" si="276"/>
        <v>918.39751657737452</v>
      </c>
      <c r="E913" s="96">
        <f t="shared" si="277"/>
        <v>2.0066172198696057E-133</v>
      </c>
      <c r="F913" s="96">
        <f t="shared" si="278"/>
        <v>1.8116825567028012E-130</v>
      </c>
      <c r="G913" s="96">
        <f t="shared" si="281"/>
        <v>-0.29799999999999999</v>
      </c>
      <c r="I913" s="96">
        <f t="shared" si="279"/>
        <v>0</v>
      </c>
      <c r="J913" s="96">
        <f t="shared" si="280"/>
        <v>1.2149999999999905</v>
      </c>
    </row>
    <row r="914" spans="1:10" ht="12.75" customHeight="1">
      <c r="A914" s="96">
        <f>IF(MAX($F$104:F914)=$G$99,$G$99,F914)</f>
        <v>15.906595441861038</v>
      </c>
      <c r="B914" s="96">
        <v>811</v>
      </c>
      <c r="C914" s="96">
        <f t="shared" si="282"/>
        <v>1.2164999999999906</v>
      </c>
      <c r="D914" s="96">
        <f t="shared" si="276"/>
        <v>920.66656454928727</v>
      </c>
      <c r="E914" s="96">
        <f t="shared" si="277"/>
        <v>7.262112389522524E-134</v>
      </c>
      <c r="F914" s="96">
        <f t="shared" si="278"/>
        <v>6.5698239783635388E-131</v>
      </c>
      <c r="G914" s="96">
        <f t="shared" si="281"/>
        <v>-0.29799999999999999</v>
      </c>
      <c r="I914" s="96">
        <f t="shared" si="279"/>
        <v>0</v>
      </c>
      <c r="J914" s="96">
        <f t="shared" si="280"/>
        <v>1.2164999999999906</v>
      </c>
    </row>
    <row r="915" spans="1:10" ht="12.75" customHeight="1">
      <c r="A915" s="96">
        <f>IF(MAX($F$104:F915)=$G$99,$G$99,F915)</f>
        <v>15.906595441861038</v>
      </c>
      <c r="B915" s="481">
        <v>812</v>
      </c>
      <c r="C915" s="96">
        <f t="shared" si="282"/>
        <v>1.2179999999999906</v>
      </c>
      <c r="D915" s="96">
        <f t="shared" si="276"/>
        <v>922.9384120868657</v>
      </c>
      <c r="E915" s="96">
        <f t="shared" si="277"/>
        <v>2.6241616366689603E-134</v>
      </c>
      <c r="F915" s="96">
        <f t="shared" si="278"/>
        <v>2.3787764630488912E-131</v>
      </c>
      <c r="G915" s="96">
        <f t="shared" si="281"/>
        <v>-0.29799999999999999</v>
      </c>
      <c r="I915" s="96">
        <f t="shared" si="279"/>
        <v>0</v>
      </c>
      <c r="J915" s="96">
        <f t="shared" si="280"/>
        <v>1.2179999999999906</v>
      </c>
    </row>
    <row r="916" spans="1:10" ht="12.75" customHeight="1">
      <c r="A916" s="96">
        <f>IF(MAX($F$104:F916)=$G$99,$G$99,F916)</f>
        <v>15.906595441861038</v>
      </c>
      <c r="B916" s="481">
        <v>813</v>
      </c>
      <c r="C916" s="96">
        <f t="shared" si="282"/>
        <v>1.2194999999999907</v>
      </c>
      <c r="D916" s="96">
        <f t="shared" si="276"/>
        <v>925.21305919010956</v>
      </c>
      <c r="E916" s="96">
        <f t="shared" si="277"/>
        <v>9.4677664691484752E-135</v>
      </c>
      <c r="F916" s="96">
        <f t="shared" si="278"/>
        <v>8.5996733777112331E-132</v>
      </c>
      <c r="G916" s="96">
        <f t="shared" si="281"/>
        <v>-0.29799999999999999</v>
      </c>
      <c r="I916" s="96">
        <f t="shared" si="279"/>
        <v>0</v>
      </c>
      <c r="J916" s="96">
        <f t="shared" si="280"/>
        <v>1.2194999999999907</v>
      </c>
    </row>
    <row r="917" spans="1:10" ht="12.75" customHeight="1">
      <c r="A917" s="96">
        <f>IF(MAX($F$104:F917)=$G$99,$G$99,F917)</f>
        <v>15.906595441861038</v>
      </c>
      <c r="B917" s="96">
        <v>814</v>
      </c>
      <c r="C917" s="96">
        <f t="shared" si="282"/>
        <v>1.2209999999999908</v>
      </c>
      <c r="D917" s="96">
        <f t="shared" si="276"/>
        <v>927.49050585901898</v>
      </c>
      <c r="E917" s="96">
        <f t="shared" si="277"/>
        <v>3.4106250984296877E-135</v>
      </c>
      <c r="F917" s="96">
        <f t="shared" si="278"/>
        <v>3.1041225793291605E-132</v>
      </c>
      <c r="G917" s="96">
        <f t="shared" si="281"/>
        <v>-0.29799999999999999</v>
      </c>
      <c r="I917" s="96">
        <f t="shared" si="279"/>
        <v>0</v>
      </c>
      <c r="J917" s="96">
        <f t="shared" si="280"/>
        <v>1.2209999999999908</v>
      </c>
    </row>
    <row r="918" spans="1:10" ht="12.75" customHeight="1">
      <c r="A918" s="96">
        <f>IF(MAX($F$104:F918)=$G$99,$G$99,F918)</f>
        <v>15.906595441861038</v>
      </c>
      <c r="B918" s="481">
        <v>815</v>
      </c>
      <c r="C918" s="96">
        <f t="shared" si="282"/>
        <v>1.2224999999999908</v>
      </c>
      <c r="D918" s="96">
        <f t="shared" si="276"/>
        <v>929.77075209359384</v>
      </c>
      <c r="E918" s="96">
        <f t="shared" si="277"/>
        <v>1.2267330726993757E-135</v>
      </c>
      <c r="F918" s="96">
        <f t="shared" si="278"/>
        <v>1.1187279988611793E-132</v>
      </c>
      <c r="G918" s="96">
        <f t="shared" si="281"/>
        <v>-0.29799999999999999</v>
      </c>
      <c r="I918" s="96">
        <f t="shared" si="279"/>
        <v>0</v>
      </c>
      <c r="J918" s="96">
        <f t="shared" si="280"/>
        <v>1.2224999999999908</v>
      </c>
    </row>
    <row r="919" spans="1:10" ht="12.75" customHeight="1">
      <c r="A919" s="96">
        <f>IF(MAX($F$104:F919)=$G$99,$G$99,F919)</f>
        <v>15.906595441861038</v>
      </c>
      <c r="B919" s="481">
        <v>816</v>
      </c>
      <c r="C919" s="96">
        <f t="shared" si="282"/>
        <v>1.2239999999999909</v>
      </c>
      <c r="D919" s="96">
        <f t="shared" si="276"/>
        <v>932.05379789383437</v>
      </c>
      <c r="E919" s="96">
        <f t="shared" si="277"/>
        <v>4.4055076516991927E-136</v>
      </c>
      <c r="F919" s="96">
        <f t="shared" si="278"/>
        <v>4.0256781118931259E-133</v>
      </c>
      <c r="G919" s="96">
        <f t="shared" si="281"/>
        <v>-0.29799999999999999</v>
      </c>
      <c r="I919" s="96">
        <f t="shared" si="279"/>
        <v>0</v>
      </c>
      <c r="J919" s="96">
        <f t="shared" si="280"/>
        <v>1.2239999999999909</v>
      </c>
    </row>
    <row r="920" spans="1:10" ht="12.75" customHeight="1">
      <c r="A920" s="96">
        <f>IF(MAX($F$104:F920)=$G$99,$G$99,F920)</f>
        <v>15.906595441861038</v>
      </c>
      <c r="B920" s="96">
        <v>817</v>
      </c>
      <c r="C920" s="96">
        <f t="shared" si="282"/>
        <v>1.2254999999999909</v>
      </c>
      <c r="D920" s="96">
        <f t="shared" si="276"/>
        <v>934.33964325974034</v>
      </c>
      <c r="E920" s="96">
        <f t="shared" si="277"/>
        <v>1.5796897219677582E-136</v>
      </c>
      <c r="F920" s="96">
        <f t="shared" si="278"/>
        <v>1.4463807546927818E-133</v>
      </c>
      <c r="G920" s="96">
        <f t="shared" si="281"/>
        <v>-0.29799999999999999</v>
      </c>
      <c r="I920" s="96">
        <f t="shared" si="279"/>
        <v>0</v>
      </c>
      <c r="J920" s="96">
        <f t="shared" si="280"/>
        <v>1.2254999999999909</v>
      </c>
    </row>
    <row r="921" spans="1:10" ht="12.75" customHeight="1">
      <c r="A921" s="96">
        <f>IF(MAX($F$104:F921)=$G$99,$G$99,F921)</f>
        <v>15.906595441861038</v>
      </c>
      <c r="B921" s="481">
        <v>818</v>
      </c>
      <c r="C921" s="96">
        <f t="shared" si="282"/>
        <v>1.226999999999991</v>
      </c>
      <c r="D921" s="96">
        <f t="shared" si="276"/>
        <v>936.62828819131187</v>
      </c>
      <c r="E921" s="96">
        <f t="shared" si="277"/>
        <v>5.6555874543516976E-137</v>
      </c>
      <c r="F921" s="96">
        <f t="shared" si="278"/>
        <v>5.1886625488083429E-134</v>
      </c>
      <c r="G921" s="96">
        <f t="shared" si="281"/>
        <v>-0.29799999999999999</v>
      </c>
      <c r="I921" s="96">
        <f t="shared" si="279"/>
        <v>0</v>
      </c>
      <c r="J921" s="96">
        <f t="shared" si="280"/>
        <v>1.226999999999991</v>
      </c>
    </row>
    <row r="922" spans="1:10" ht="12.75" customHeight="1">
      <c r="A922" s="96">
        <f>IF(MAX($F$104:F922)=$G$99,$G$99,F922)</f>
        <v>15.906595441861038</v>
      </c>
      <c r="B922" s="481">
        <v>819</v>
      </c>
      <c r="C922" s="96">
        <f t="shared" si="282"/>
        <v>1.228499999999991</v>
      </c>
      <c r="D922" s="96">
        <f t="shared" si="276"/>
        <v>938.91973268854895</v>
      </c>
      <c r="E922" s="96">
        <f t="shared" si="277"/>
        <v>2.0216869131067612E-137</v>
      </c>
      <c r="F922" s="96">
        <f t="shared" si="278"/>
        <v>1.8584786527273926E-134</v>
      </c>
      <c r="G922" s="96">
        <f t="shared" si="281"/>
        <v>-0.29799999999999999</v>
      </c>
      <c r="I922" s="96">
        <f t="shared" si="279"/>
        <v>0</v>
      </c>
      <c r="J922" s="96">
        <f t="shared" si="280"/>
        <v>1.228499999999991</v>
      </c>
    </row>
    <row r="923" spans="1:10" ht="12.75" customHeight="1">
      <c r="A923" s="96">
        <f>IF(MAX($F$104:F923)=$G$99,$G$99,F923)</f>
        <v>15.906595441861038</v>
      </c>
      <c r="B923" s="96">
        <v>820</v>
      </c>
      <c r="C923" s="96">
        <f t="shared" si="282"/>
        <v>1.2299999999999911</v>
      </c>
      <c r="D923" s="96">
        <f t="shared" si="276"/>
        <v>941.21397675145158</v>
      </c>
      <c r="E923" s="96">
        <f t="shared" si="277"/>
        <v>7.2157333206658294E-138</v>
      </c>
      <c r="F923" s="96">
        <f t="shared" si="278"/>
        <v>6.6464422981654278E-135</v>
      </c>
      <c r="G923" s="96">
        <f t="shared" si="281"/>
        <v>-0.29799999999999999</v>
      </c>
      <c r="I923" s="96">
        <f t="shared" si="279"/>
        <v>0</v>
      </c>
      <c r="J923" s="96">
        <f t="shared" si="280"/>
        <v>1.2299999999999911</v>
      </c>
    </row>
    <row r="924" spans="1:10" ht="12.75" customHeight="1">
      <c r="A924" s="96">
        <f>IF(MAX($F$104:F924)=$G$99,$G$99,F924)</f>
        <v>15.906595441861038</v>
      </c>
      <c r="B924" s="481">
        <v>821</v>
      </c>
      <c r="C924" s="96">
        <f t="shared" si="282"/>
        <v>1.2314999999999912</v>
      </c>
      <c r="D924" s="96">
        <f t="shared" si="276"/>
        <v>943.51102038001966</v>
      </c>
      <c r="E924" s="96">
        <f t="shared" si="277"/>
        <v>2.5714471005399237E-138</v>
      </c>
      <c r="F924" s="96">
        <f t="shared" si="278"/>
        <v>2.3732886644365124E-135</v>
      </c>
      <c r="G924" s="96">
        <f t="shared" si="281"/>
        <v>-0.29799999999999999</v>
      </c>
      <c r="I924" s="96">
        <f t="shared" si="279"/>
        <v>0</v>
      </c>
      <c r="J924" s="96">
        <f t="shared" si="280"/>
        <v>1.2314999999999912</v>
      </c>
    </row>
    <row r="925" spans="1:10" ht="12.75" customHeight="1">
      <c r="A925" s="96">
        <f>IF(MAX($F$104:F925)=$G$99,$G$99,F925)</f>
        <v>15.906595441861038</v>
      </c>
      <c r="B925" s="481">
        <v>822</v>
      </c>
      <c r="C925" s="96">
        <f t="shared" si="282"/>
        <v>1.2329999999999912</v>
      </c>
      <c r="D925" s="96">
        <f t="shared" si="276"/>
        <v>945.81086357425318</v>
      </c>
      <c r="E925" s="96">
        <f t="shared" si="277"/>
        <v>9.1496695490517709E-139</v>
      </c>
      <c r="F925" s="96">
        <f t="shared" si="278"/>
        <v>8.4613899024079741E-136</v>
      </c>
      <c r="G925" s="96">
        <f t="shared" si="281"/>
        <v>-0.29799999999999999</v>
      </c>
      <c r="I925" s="96">
        <f t="shared" si="279"/>
        <v>0</v>
      </c>
      <c r="J925" s="96">
        <f t="shared" si="280"/>
        <v>1.2329999999999912</v>
      </c>
    </row>
    <row r="926" spans="1:10" ht="12.75" customHeight="1">
      <c r="A926" s="96">
        <f>IF(MAX($F$104:F926)=$G$99,$G$99,F926)</f>
        <v>15.906595441861038</v>
      </c>
      <c r="B926" s="96">
        <v>823</v>
      </c>
      <c r="C926" s="96">
        <f t="shared" si="282"/>
        <v>1.2344999999999913</v>
      </c>
      <c r="D926" s="96">
        <f t="shared" si="276"/>
        <v>948.11350633415248</v>
      </c>
      <c r="E926" s="96">
        <f t="shared" si="277"/>
        <v>3.2506040078559403E-139</v>
      </c>
      <c r="F926" s="96">
        <f t="shared" si="278"/>
        <v>3.0120544564896298E-136</v>
      </c>
      <c r="G926" s="96">
        <f t="shared" si="281"/>
        <v>-0.29799999999999999</v>
      </c>
      <c r="I926" s="96">
        <f t="shared" si="279"/>
        <v>0</v>
      </c>
      <c r="J926" s="96">
        <f t="shared" si="280"/>
        <v>1.2344999999999913</v>
      </c>
    </row>
    <row r="927" spans="1:10" ht="12.75" customHeight="1">
      <c r="A927" s="96">
        <f>IF(MAX($F$104:F927)=$G$99,$G$99,F927)</f>
        <v>15.906595441861038</v>
      </c>
      <c r="B927" s="481">
        <v>824</v>
      </c>
      <c r="C927" s="96">
        <f t="shared" si="282"/>
        <v>1.2359999999999913</v>
      </c>
      <c r="D927" s="96">
        <f t="shared" si="276"/>
        <v>950.41894865971722</v>
      </c>
      <c r="E927" s="96">
        <f t="shared" si="277"/>
        <v>1.1530647973093892E-139</v>
      </c>
      <c r="F927" s="96">
        <f t="shared" si="278"/>
        <v>1.0705674895592155E-136</v>
      </c>
      <c r="G927" s="96">
        <f t="shared" si="281"/>
        <v>-0.29799999999999999</v>
      </c>
      <c r="I927" s="96">
        <f t="shared" si="279"/>
        <v>0</v>
      </c>
      <c r="J927" s="96">
        <f t="shared" si="280"/>
        <v>1.2359999999999913</v>
      </c>
    </row>
    <row r="928" spans="1:10" ht="12.75" customHeight="1">
      <c r="A928" s="96">
        <f>IF(MAX($F$104:F928)=$G$99,$G$99,F928)</f>
        <v>15.906595441861038</v>
      </c>
      <c r="B928" s="481">
        <v>825</v>
      </c>
      <c r="C928" s="96">
        <f t="shared" si="282"/>
        <v>1.2374999999999914</v>
      </c>
      <c r="D928" s="96">
        <f t="shared" si="276"/>
        <v>952.72719055094751</v>
      </c>
      <c r="E928" s="96">
        <f t="shared" si="277"/>
        <v>4.083894338049255E-140</v>
      </c>
      <c r="F928" s="96">
        <f t="shared" si="278"/>
        <v>3.7992297095921822E-137</v>
      </c>
      <c r="G928" s="96">
        <f t="shared" si="281"/>
        <v>-0.29799999999999999</v>
      </c>
      <c r="I928" s="96">
        <f t="shared" si="279"/>
        <v>0</v>
      </c>
      <c r="J928" s="96">
        <f t="shared" si="280"/>
        <v>1.2374999999999914</v>
      </c>
    </row>
    <row r="929" spans="1:10" ht="12.75" customHeight="1">
      <c r="A929" s="96">
        <f>IF(MAX($F$104:F929)=$G$99,$G$99,F929)</f>
        <v>15.906595441861038</v>
      </c>
      <c r="B929" s="96">
        <v>826</v>
      </c>
      <c r="C929" s="96">
        <f t="shared" si="282"/>
        <v>1.2389999999999914</v>
      </c>
      <c r="D929" s="96">
        <f t="shared" si="276"/>
        <v>955.03823200784325</v>
      </c>
      <c r="E929" s="96">
        <f t="shared" si="277"/>
        <v>1.4441974166544681E-140</v>
      </c>
      <c r="F929" s="96">
        <f t="shared" si="278"/>
        <v>1.3461934567387116E-137</v>
      </c>
      <c r="G929" s="96">
        <f t="shared" si="281"/>
        <v>-0.29799999999999999</v>
      </c>
      <c r="I929" s="96">
        <f t="shared" si="279"/>
        <v>0</v>
      </c>
      <c r="J929" s="96">
        <f t="shared" si="280"/>
        <v>1.2389999999999914</v>
      </c>
    </row>
    <row r="930" spans="1:10" ht="12.75" customHeight="1">
      <c r="A930" s="96">
        <f>IF(MAX($F$104:F930)=$G$99,$G$99,F930)</f>
        <v>15.906595441861038</v>
      </c>
      <c r="B930" s="481">
        <v>827</v>
      </c>
      <c r="C930" s="96">
        <f t="shared" si="282"/>
        <v>1.2404999999999915</v>
      </c>
      <c r="D930" s="96">
        <f t="shared" si="276"/>
        <v>957.35207303040454</v>
      </c>
      <c r="E930" s="96">
        <f t="shared" si="277"/>
        <v>5.0992940865444495E-141</v>
      </c>
      <c r="F930" s="96">
        <f t="shared" si="278"/>
        <v>4.7626642687840257E-138</v>
      </c>
      <c r="G930" s="96">
        <f t="shared" si="281"/>
        <v>-0.29799999999999999</v>
      </c>
      <c r="I930" s="96">
        <f t="shared" si="279"/>
        <v>0</v>
      </c>
      <c r="J930" s="96">
        <f t="shared" si="280"/>
        <v>1.2404999999999915</v>
      </c>
    </row>
    <row r="931" spans="1:10" ht="12.75" customHeight="1">
      <c r="A931" s="96">
        <f>IF(MAX($F$104:F931)=$G$99,$G$99,F931)</f>
        <v>15.906595441861038</v>
      </c>
      <c r="B931" s="481">
        <v>828</v>
      </c>
      <c r="C931" s="96">
        <f t="shared" si="282"/>
        <v>1.2419999999999916</v>
      </c>
      <c r="D931" s="96">
        <f t="shared" si="276"/>
        <v>959.66871361863127</v>
      </c>
      <c r="E931" s="96">
        <f t="shared" si="277"/>
        <v>1.7977327449941702E-141</v>
      </c>
      <c r="F931" s="96">
        <f t="shared" si="278"/>
        <v>1.6823764496948585E-138</v>
      </c>
      <c r="G931" s="96">
        <f t="shared" si="281"/>
        <v>-0.29799999999999999</v>
      </c>
      <c r="I931" s="96">
        <f t="shared" si="279"/>
        <v>0</v>
      </c>
      <c r="J931" s="96">
        <f t="shared" si="280"/>
        <v>1.2419999999999916</v>
      </c>
    </row>
    <row r="932" spans="1:10" ht="12.75" customHeight="1">
      <c r="A932" s="96">
        <f>IF(MAX($F$104:F932)=$G$99,$G$99,F932)</f>
        <v>15.906595441861038</v>
      </c>
      <c r="B932" s="96">
        <v>829</v>
      </c>
      <c r="C932" s="96">
        <f t="shared" si="282"/>
        <v>1.2434999999999916</v>
      </c>
      <c r="D932" s="96">
        <f t="shared" si="276"/>
        <v>961.98815377252367</v>
      </c>
      <c r="E932" s="96">
        <f t="shared" si="277"/>
        <v>6.3280793691208149E-142</v>
      </c>
      <c r="F932" s="96">
        <f t="shared" si="278"/>
        <v>5.9337228884708146E-139</v>
      </c>
      <c r="G932" s="96">
        <f t="shared" si="281"/>
        <v>-0.29799999999999999</v>
      </c>
      <c r="I932" s="96">
        <f t="shared" si="279"/>
        <v>0</v>
      </c>
      <c r="J932" s="96">
        <f t="shared" si="280"/>
        <v>1.2434999999999916</v>
      </c>
    </row>
    <row r="933" spans="1:10" ht="12.75" customHeight="1">
      <c r="A933" s="96">
        <f>IF(MAX($F$104:F933)=$G$99,$G$99,F933)</f>
        <v>15.906595441861038</v>
      </c>
      <c r="B933" s="481">
        <v>830</v>
      </c>
      <c r="C933" s="96">
        <f t="shared" si="282"/>
        <v>1.2449999999999917</v>
      </c>
      <c r="D933" s="96">
        <f t="shared" si="276"/>
        <v>964.31039349208163</v>
      </c>
      <c r="E933" s="96">
        <f t="shared" si="277"/>
        <v>2.2240808433820169E-142</v>
      </c>
      <c r="F933" s="96">
        <f t="shared" si="278"/>
        <v>2.0895961349713729E-139</v>
      </c>
      <c r="G933" s="96">
        <f t="shared" si="281"/>
        <v>-0.29799999999999999</v>
      </c>
      <c r="I933" s="96">
        <f t="shared" si="279"/>
        <v>0</v>
      </c>
      <c r="J933" s="96">
        <f t="shared" si="280"/>
        <v>1.2449999999999917</v>
      </c>
    </row>
    <row r="934" spans="1:10" ht="12.75" customHeight="1">
      <c r="A934" s="96">
        <f>IF(MAX($F$104:F934)=$G$99,$G$99,F934)</f>
        <v>15.906595441861038</v>
      </c>
      <c r="B934" s="481">
        <v>831</v>
      </c>
      <c r="C934" s="96">
        <f t="shared" si="282"/>
        <v>1.2464999999999917</v>
      </c>
      <c r="D934" s="96">
        <f t="shared" si="276"/>
        <v>966.63543277730503</v>
      </c>
      <c r="E934" s="96">
        <f t="shared" si="277"/>
        <v>7.8047901078973562E-143</v>
      </c>
      <c r="F934" s="96">
        <f t="shared" si="278"/>
        <v>7.3473142523547048E-140</v>
      </c>
      <c r="G934" s="96">
        <f t="shared" si="281"/>
        <v>-0.29799999999999999</v>
      </c>
      <c r="I934" s="96">
        <f t="shared" si="279"/>
        <v>0</v>
      </c>
      <c r="J934" s="96">
        <f t="shared" si="280"/>
        <v>1.2464999999999917</v>
      </c>
    </row>
    <row r="935" spans="1:10" ht="12.75" customHeight="1">
      <c r="A935" s="96">
        <f>IF(MAX($F$104:F935)=$G$99,$G$99,F935)</f>
        <v>15.906595441861038</v>
      </c>
      <c r="B935" s="96">
        <v>832</v>
      </c>
      <c r="C935" s="96">
        <f t="shared" si="282"/>
        <v>1.2479999999999918</v>
      </c>
      <c r="D935" s="96">
        <f t="shared" si="276"/>
        <v>968.96327162819398</v>
      </c>
      <c r="E935" s="96">
        <f t="shared" si="277"/>
        <v>2.7346644010200665E-143</v>
      </c>
      <c r="F935" s="96">
        <f t="shared" si="278"/>
        <v>2.5794444817483822E-140</v>
      </c>
      <c r="G935" s="96">
        <f t="shared" si="281"/>
        <v>-0.29799999999999999</v>
      </c>
      <c r="I935" s="96">
        <f t="shared" si="279"/>
        <v>0</v>
      </c>
      <c r="J935" s="96">
        <f t="shared" si="280"/>
        <v>1.2479999999999918</v>
      </c>
    </row>
    <row r="936" spans="1:10" ht="12.75" customHeight="1">
      <c r="A936" s="96">
        <f>IF(MAX($F$104:F936)=$G$99,$G$99,F936)</f>
        <v>15.906595441861038</v>
      </c>
      <c r="B936" s="481">
        <v>833</v>
      </c>
      <c r="C936" s="96">
        <f t="shared" si="282"/>
        <v>1.2494999999999918</v>
      </c>
      <c r="D936" s="96">
        <f t="shared" ref="D936:D999" si="283">C936^2/$C$96</f>
        <v>971.29391004474849</v>
      </c>
      <c r="E936" s="96">
        <f t="shared" ref="E936:E999" si="284">CHIDIST(D936,$E$96)</f>
        <v>9.5670741299014625E-144</v>
      </c>
      <c r="F936" s="96">
        <f t="shared" ref="F936:F999" si="285">IF($E$7&lt;$F$101,NA(),$E$98*(E935-E937)/(2*$C$99))</f>
        <v>9.0418065449353198E-141</v>
      </c>
      <c r="G936" s="96">
        <f t="shared" si="281"/>
        <v>-0.29799999999999999</v>
      </c>
      <c r="I936" s="96">
        <f t="shared" ref="I936:I999" si="286">IF(F936&gt;$G$98,1,0)</f>
        <v>0</v>
      </c>
      <c r="J936" s="96">
        <f t="shared" ref="J936:J999" si="287">C936</f>
        <v>1.2494999999999918</v>
      </c>
    </row>
    <row r="937" spans="1:10" ht="12.75" customHeight="1">
      <c r="A937" s="96">
        <f>IF(MAX($F$104:F937)=$G$99,$G$99,F937)</f>
        <v>15.906595441861038</v>
      </c>
      <c r="B937" s="481">
        <v>834</v>
      </c>
      <c r="C937" s="96">
        <f t="shared" si="282"/>
        <v>1.2509999999999919</v>
      </c>
      <c r="D937" s="96">
        <f t="shared" si="283"/>
        <v>973.62734802696843</v>
      </c>
      <c r="E937" s="96">
        <f t="shared" si="284"/>
        <v>3.341847873204239E-144</v>
      </c>
      <c r="F937" s="96">
        <f t="shared" si="285"/>
        <v>3.1645782523449368E-141</v>
      </c>
      <c r="G937" s="96">
        <f t="shared" ref="G937:G1000" si="288">F937-$G$101</f>
        <v>-0.29799999999999999</v>
      </c>
      <c r="I937" s="96">
        <f t="shared" si="286"/>
        <v>0</v>
      </c>
      <c r="J937" s="96">
        <f t="shared" si="287"/>
        <v>1.2509999999999919</v>
      </c>
    </row>
    <row r="938" spans="1:10" ht="12.75" customHeight="1">
      <c r="A938" s="96">
        <f>IF(MAX($F$104:F938)=$G$99,$G$99,F938)</f>
        <v>15.906595441861038</v>
      </c>
      <c r="B938" s="96">
        <v>835</v>
      </c>
      <c r="C938" s="96">
        <f t="shared" si="282"/>
        <v>1.252499999999992</v>
      </c>
      <c r="D938" s="96">
        <f t="shared" si="283"/>
        <v>975.96358557485405</v>
      </c>
      <c r="E938" s="96">
        <f t="shared" si="284"/>
        <v>1.1655389466848156E-144</v>
      </c>
      <c r="F938" s="96">
        <f t="shared" si="285"/>
        <v>1.1058805385794955E-141</v>
      </c>
      <c r="G938" s="96">
        <f t="shared" si="288"/>
        <v>-0.29799999999999999</v>
      </c>
      <c r="I938" s="96">
        <f t="shared" si="286"/>
        <v>0</v>
      </c>
      <c r="J938" s="96">
        <f t="shared" si="287"/>
        <v>1.252499999999992</v>
      </c>
    </row>
    <row r="939" spans="1:10" ht="12.75" customHeight="1">
      <c r="A939" s="96">
        <f>IF(MAX($F$104:F939)=$G$99,$G$99,F939)</f>
        <v>15.906595441861038</v>
      </c>
      <c r="B939" s="481">
        <v>836</v>
      </c>
      <c r="C939" s="96">
        <f t="shared" si="282"/>
        <v>1.253999999999992</v>
      </c>
      <c r="D939" s="96">
        <f t="shared" si="283"/>
        <v>978.30262268840511</v>
      </c>
      <c r="E939" s="96">
        <f t="shared" si="284"/>
        <v>4.0588184157725963E-145</v>
      </c>
      <c r="F939" s="96">
        <f t="shared" si="285"/>
        <v>3.8586242034599271E-142</v>
      </c>
      <c r="G939" s="96">
        <f t="shared" si="288"/>
        <v>-0.29799999999999999</v>
      </c>
      <c r="I939" s="96">
        <f t="shared" si="286"/>
        <v>0</v>
      </c>
      <c r="J939" s="96">
        <f t="shared" si="287"/>
        <v>1.253999999999992</v>
      </c>
    </row>
    <row r="940" spans="1:10" ht="12.75" customHeight="1">
      <c r="A940" s="96">
        <f>IF(MAX($F$104:F940)=$G$99,$G$99,F940)</f>
        <v>15.906595441861038</v>
      </c>
      <c r="B940" s="481">
        <v>837</v>
      </c>
      <c r="C940" s="96">
        <f t="shared" si="282"/>
        <v>1.2554999999999921</v>
      </c>
      <c r="D940" s="96">
        <f t="shared" si="283"/>
        <v>980.64445936762183</v>
      </c>
      <c r="E940" s="96">
        <f t="shared" si="284"/>
        <v>1.4112544134147199E-145</v>
      </c>
      <c r="F940" s="96">
        <f t="shared" si="285"/>
        <v>1.3442770669730718E-142</v>
      </c>
      <c r="G940" s="96">
        <f t="shared" si="288"/>
        <v>-0.29799999999999999</v>
      </c>
      <c r="I940" s="96">
        <f t="shared" si="286"/>
        <v>0</v>
      </c>
      <c r="J940" s="96">
        <f t="shared" si="287"/>
        <v>1.2554999999999921</v>
      </c>
    </row>
    <row r="941" spans="1:10" ht="12.75" customHeight="1">
      <c r="A941" s="96">
        <f>IF(MAX($F$104:F941)=$G$99,$G$99,F941)</f>
        <v>15.906595441861038</v>
      </c>
      <c r="B941" s="96">
        <v>838</v>
      </c>
      <c r="C941" s="96">
        <f t="shared" si="282"/>
        <v>1.2569999999999921</v>
      </c>
      <c r="D941" s="96">
        <f t="shared" si="283"/>
        <v>982.98909561250389</v>
      </c>
      <c r="E941" s="96">
        <f t="shared" si="284"/>
        <v>4.8994124681753759E-146</v>
      </c>
      <c r="F941" s="96">
        <f t="shared" si="285"/>
        <v>4.6760298623622018E-143</v>
      </c>
      <c r="G941" s="96">
        <f t="shared" si="288"/>
        <v>-0.29799999999999999</v>
      </c>
      <c r="I941" s="96">
        <f t="shared" si="286"/>
        <v>0</v>
      </c>
      <c r="J941" s="96">
        <f t="shared" si="287"/>
        <v>1.2569999999999921</v>
      </c>
    </row>
    <row r="942" spans="1:10" ht="12.75" customHeight="1">
      <c r="A942" s="96">
        <f>IF(MAX($F$104:F942)=$G$99,$G$99,F942)</f>
        <v>15.906595441861038</v>
      </c>
      <c r="B942" s="481">
        <v>839</v>
      </c>
      <c r="C942" s="96">
        <f t="shared" si="282"/>
        <v>1.2584999999999922</v>
      </c>
      <c r="D942" s="96">
        <f t="shared" si="283"/>
        <v>985.3365314230515</v>
      </c>
      <c r="E942" s="96">
        <f t="shared" si="284"/>
        <v>1.6983055615041837E-146</v>
      </c>
      <c r="F942" s="96">
        <f t="shared" si="285"/>
        <v>1.6240451026152006E-143</v>
      </c>
      <c r="G942" s="96">
        <f t="shared" si="288"/>
        <v>-0.29799999999999999</v>
      </c>
      <c r="I942" s="96">
        <f t="shared" si="286"/>
        <v>0</v>
      </c>
      <c r="J942" s="96">
        <f t="shared" si="287"/>
        <v>1.2584999999999922</v>
      </c>
    </row>
    <row r="943" spans="1:10" ht="12.75" customHeight="1">
      <c r="A943" s="96">
        <f>IF(MAX($F$104:F943)=$G$99,$G$99,F943)</f>
        <v>15.906595441861038</v>
      </c>
      <c r="B943" s="481">
        <v>840</v>
      </c>
      <c r="C943" s="96">
        <f t="shared" si="282"/>
        <v>1.2599999999999922</v>
      </c>
      <c r="D943" s="96">
        <f t="shared" si="283"/>
        <v>987.68676679926466</v>
      </c>
      <c r="E943" s="96">
        <f t="shared" si="284"/>
        <v>5.8778830194032965E-147</v>
      </c>
      <c r="F943" s="96">
        <f t="shared" si="285"/>
        <v>5.6318536809145386E-144</v>
      </c>
      <c r="G943" s="96">
        <f t="shared" si="288"/>
        <v>-0.29799999999999999</v>
      </c>
      <c r="I943" s="96">
        <f t="shared" si="286"/>
        <v>0</v>
      </c>
      <c r="J943" s="96">
        <f t="shared" si="287"/>
        <v>1.2599999999999922</v>
      </c>
    </row>
    <row r="944" spans="1:10" ht="12.75" customHeight="1">
      <c r="A944" s="96">
        <f>IF(MAX($F$104:F944)=$G$99,$G$99,F944)</f>
        <v>15.906595441861038</v>
      </c>
      <c r="B944" s="96">
        <v>841</v>
      </c>
      <c r="C944" s="96">
        <f t="shared" si="282"/>
        <v>1.2614999999999923</v>
      </c>
      <c r="D944" s="96">
        <f t="shared" si="283"/>
        <v>990.03980174114349</v>
      </c>
      <c r="E944" s="96">
        <f t="shared" si="284"/>
        <v>2.0312316834103159E-147</v>
      </c>
      <c r="F944" s="96">
        <f t="shared" si="285"/>
        <v>1.9500118420794466E-144</v>
      </c>
      <c r="G944" s="96">
        <f t="shared" si="288"/>
        <v>-0.29799999999999999</v>
      </c>
      <c r="I944" s="96">
        <f t="shared" si="286"/>
        <v>0</v>
      </c>
      <c r="J944" s="96">
        <f t="shared" si="287"/>
        <v>1.2614999999999923</v>
      </c>
    </row>
    <row r="945" spans="1:10" ht="12.75" customHeight="1">
      <c r="A945" s="96">
        <f>IF(MAX($F$104:F945)=$G$99,$G$99,F945)</f>
        <v>15.906595441861038</v>
      </c>
      <c r="B945" s="481">
        <v>842</v>
      </c>
      <c r="C945" s="96">
        <f t="shared" si="282"/>
        <v>1.2629999999999924</v>
      </c>
      <c r="D945" s="96">
        <f t="shared" si="283"/>
        <v>992.39563624868777</v>
      </c>
      <c r="E945" s="96">
        <f t="shared" si="284"/>
        <v>7.0086042981184402E-148</v>
      </c>
      <c r="F945" s="96">
        <f t="shared" si="285"/>
        <v>6.7414898519842831E-145</v>
      </c>
      <c r="G945" s="96">
        <f t="shared" si="288"/>
        <v>-0.29799999999999999</v>
      </c>
      <c r="I945" s="96">
        <f t="shared" si="286"/>
        <v>0</v>
      </c>
      <c r="J945" s="96">
        <f t="shared" si="287"/>
        <v>1.2629999999999924</v>
      </c>
    </row>
    <row r="946" spans="1:10" ht="12.75" customHeight="1">
      <c r="A946" s="96">
        <f>IF(MAX($F$104:F946)=$G$99,$G$99,F946)</f>
        <v>15.906595441861038</v>
      </c>
      <c r="B946" s="481">
        <v>843</v>
      </c>
      <c r="C946" s="96">
        <f t="shared" si="282"/>
        <v>1.2644999999999924</v>
      </c>
      <c r="D946" s="96">
        <f t="shared" si="283"/>
        <v>994.75427032189759</v>
      </c>
      <c r="E946" s="96">
        <f t="shared" si="284"/>
        <v>2.4145561651183353E-148</v>
      </c>
      <c r="F946" s="96">
        <f t="shared" si="285"/>
        <v>2.327059100826262E-145</v>
      </c>
      <c r="G946" s="96">
        <f t="shared" si="288"/>
        <v>-0.29799999999999999</v>
      </c>
      <c r="I946" s="96">
        <f t="shared" si="286"/>
        <v>0</v>
      </c>
      <c r="J946" s="96">
        <f t="shared" si="287"/>
        <v>1.2644999999999924</v>
      </c>
    </row>
    <row r="947" spans="1:10" ht="12.75" customHeight="1">
      <c r="A947" s="96">
        <f>IF(MAX($F$104:F947)=$G$99,$G$99,F947)</f>
        <v>15.906595441861038</v>
      </c>
      <c r="B947" s="96">
        <v>844</v>
      </c>
      <c r="C947" s="96">
        <f t="shared" si="282"/>
        <v>1.2659999999999925</v>
      </c>
      <c r="D947" s="96">
        <f t="shared" si="283"/>
        <v>997.11570396077286</v>
      </c>
      <c r="E947" s="96">
        <f t="shared" si="284"/>
        <v>8.305712870752671E-149</v>
      </c>
      <c r="F947" s="96">
        <f t="shared" si="285"/>
        <v>8.0203251275635135E-146</v>
      </c>
      <c r="G947" s="96">
        <f t="shared" si="288"/>
        <v>-0.29799999999999999</v>
      </c>
      <c r="I947" s="96">
        <f t="shared" si="286"/>
        <v>0</v>
      </c>
      <c r="J947" s="96">
        <f t="shared" si="287"/>
        <v>1.2659999999999925</v>
      </c>
    </row>
    <row r="948" spans="1:10" ht="12.75" customHeight="1">
      <c r="A948" s="96">
        <f>IF(MAX($F$104:F948)=$G$99,$G$99,F948)</f>
        <v>15.906595441861038</v>
      </c>
      <c r="B948" s="481">
        <v>845</v>
      </c>
      <c r="C948" s="96">
        <f t="shared" si="282"/>
        <v>1.2674999999999925</v>
      </c>
      <c r="D948" s="96">
        <f t="shared" si="283"/>
        <v>999.47993716531369</v>
      </c>
      <c r="E948" s="96">
        <f t="shared" si="284"/>
        <v>2.8526630824306597E-149</v>
      </c>
      <c r="F948" s="96">
        <f t="shared" si="285"/>
        <v>2.7600039752800753E-146</v>
      </c>
      <c r="G948" s="96">
        <f t="shared" si="288"/>
        <v>-0.29799999999999999</v>
      </c>
      <c r="I948" s="96">
        <f t="shared" si="286"/>
        <v>0</v>
      </c>
      <c r="J948" s="96">
        <f t="shared" si="287"/>
        <v>1.2674999999999925</v>
      </c>
    </row>
    <row r="949" spans="1:10" ht="12.75" customHeight="1">
      <c r="A949" s="96">
        <f>IF(MAX($F$104:F949)=$G$99,$G$99,F949)</f>
        <v>15.906595441861038</v>
      </c>
      <c r="B949" s="481">
        <v>846</v>
      </c>
      <c r="C949" s="96">
        <f t="shared" si="282"/>
        <v>1.2689999999999926</v>
      </c>
      <c r="D949" s="96">
        <f t="shared" si="283"/>
        <v>1001.8469699355201</v>
      </c>
      <c r="E949" s="96">
        <f t="shared" si="284"/>
        <v>9.7826868859317698E-150</v>
      </c>
      <c r="F949" s="96">
        <f t="shared" si="285"/>
        <v>9.4833276039729715E-147</v>
      </c>
      <c r="G949" s="96">
        <f t="shared" si="288"/>
        <v>-0.29799999999999999</v>
      </c>
      <c r="I949" s="96">
        <f t="shared" si="286"/>
        <v>0</v>
      </c>
      <c r="J949" s="96">
        <f t="shared" si="287"/>
        <v>1.2689999999999926</v>
      </c>
    </row>
    <row r="950" spans="1:10" ht="12.75" customHeight="1">
      <c r="A950" s="96">
        <f>IF(MAX($F$104:F950)=$G$99,$G$99,F950)</f>
        <v>15.906595441861038</v>
      </c>
      <c r="B950" s="96">
        <v>847</v>
      </c>
      <c r="C950" s="96">
        <f t="shared" si="282"/>
        <v>1.2704999999999926</v>
      </c>
      <c r="D950" s="96">
        <f t="shared" si="283"/>
        <v>1004.216802271392</v>
      </c>
      <c r="E950" s="96">
        <f t="shared" si="284"/>
        <v>3.3496548845553416E-150</v>
      </c>
      <c r="F950" s="96">
        <f t="shared" si="285"/>
        <v>3.2534583503098644E-147</v>
      </c>
      <c r="G950" s="96">
        <f t="shared" si="288"/>
        <v>-0.29799999999999999</v>
      </c>
      <c r="I950" s="96">
        <f t="shared" si="286"/>
        <v>0</v>
      </c>
      <c r="J950" s="96">
        <f t="shared" si="287"/>
        <v>1.2704999999999926</v>
      </c>
    </row>
    <row r="951" spans="1:10" ht="12.75" customHeight="1">
      <c r="A951" s="96">
        <f>IF(MAX($F$104:F951)=$G$99,$G$99,F951)</f>
        <v>15.906595441861038</v>
      </c>
      <c r="B951" s="481">
        <v>848</v>
      </c>
      <c r="C951" s="96">
        <f t="shared" si="282"/>
        <v>1.2719999999999927</v>
      </c>
      <c r="D951" s="96">
        <f t="shared" si="283"/>
        <v>1006.5894341729295</v>
      </c>
      <c r="E951" s="96">
        <f t="shared" si="284"/>
        <v>1.1451868408613317E-150</v>
      </c>
      <c r="F951" s="96">
        <f t="shared" si="285"/>
        <v>1.1144570596854696E-147</v>
      </c>
      <c r="G951" s="96">
        <f t="shared" si="288"/>
        <v>-0.29799999999999999</v>
      </c>
      <c r="I951" s="96">
        <f t="shared" si="286"/>
        <v>0</v>
      </c>
      <c r="J951" s="96">
        <f t="shared" si="287"/>
        <v>1.2719999999999927</v>
      </c>
    </row>
    <row r="952" spans="1:10" ht="12.75" customHeight="1">
      <c r="A952" s="96">
        <f>IF(MAX($F$104:F952)=$G$99,$G$99,F952)</f>
        <v>15.906595441861038</v>
      </c>
      <c r="B952" s="481">
        <v>849</v>
      </c>
      <c r="C952" s="96">
        <f t="shared" si="282"/>
        <v>1.2734999999999927</v>
      </c>
      <c r="D952" s="96">
        <f t="shared" si="283"/>
        <v>1008.9648656401325</v>
      </c>
      <c r="E952" s="96">
        <f t="shared" si="284"/>
        <v>3.9091932786825371E-151</v>
      </c>
      <c r="F952" s="96">
        <f t="shared" si="285"/>
        <v>3.8116687941407324E-148</v>
      </c>
      <c r="G952" s="96">
        <f t="shared" si="288"/>
        <v>-0.29799999999999999</v>
      </c>
      <c r="I952" s="96">
        <f t="shared" si="286"/>
        <v>0</v>
      </c>
      <c r="J952" s="96">
        <f t="shared" si="287"/>
        <v>1.2734999999999927</v>
      </c>
    </row>
    <row r="953" spans="1:10" ht="12.75" customHeight="1">
      <c r="A953" s="96">
        <f>IF(MAX($F$104:F953)=$G$99,$G$99,F953)</f>
        <v>15.906595441861038</v>
      </c>
      <c r="B953" s="96">
        <v>850</v>
      </c>
      <c r="C953" s="96">
        <f t="shared" si="282"/>
        <v>1.2749999999999928</v>
      </c>
      <c r="D953" s="96">
        <f t="shared" si="283"/>
        <v>1011.343096673001</v>
      </c>
      <c r="E953" s="96">
        <f t="shared" si="284"/>
        <v>1.3323937339034084E-151</v>
      </c>
      <c r="F953" s="96">
        <f t="shared" si="285"/>
        <v>1.3016698333882596E-148</v>
      </c>
      <c r="G953" s="96">
        <f t="shared" si="288"/>
        <v>-0.29799999999999999</v>
      </c>
      <c r="I953" s="96">
        <f t="shared" si="286"/>
        <v>0</v>
      </c>
      <c r="J953" s="96">
        <f t="shared" si="287"/>
        <v>1.2749999999999928</v>
      </c>
    </row>
    <row r="954" spans="1:10" ht="12.75" customHeight="1">
      <c r="A954" s="96">
        <f>IF(MAX($F$104:F954)=$G$99,$G$99,F954)</f>
        <v>15.906595441861038</v>
      </c>
      <c r="B954" s="481">
        <v>851</v>
      </c>
      <c r="C954" s="96">
        <f t="shared" si="282"/>
        <v>1.2764999999999929</v>
      </c>
      <c r="D954" s="96">
        <f t="shared" si="283"/>
        <v>1013.7241272715351</v>
      </c>
      <c r="E954" s="96">
        <f t="shared" si="284"/>
        <v>4.5343265906768854E-152</v>
      </c>
      <c r="F954" s="96">
        <f t="shared" si="285"/>
        <v>4.4383395792002249E-149</v>
      </c>
      <c r="G954" s="96">
        <f t="shared" si="288"/>
        <v>-0.29799999999999999</v>
      </c>
      <c r="I954" s="96">
        <f t="shared" si="286"/>
        <v>0</v>
      </c>
      <c r="J954" s="96">
        <f t="shared" si="287"/>
        <v>1.2764999999999929</v>
      </c>
    </row>
    <row r="955" spans="1:10" ht="12.75" customHeight="1">
      <c r="A955" s="96">
        <f>IF(MAX($F$104:F955)=$G$99,$G$99,F955)</f>
        <v>15.906595441861038</v>
      </c>
      <c r="B955" s="481">
        <v>852</v>
      </c>
      <c r="C955" s="96">
        <f t="shared" si="282"/>
        <v>1.2779999999999929</v>
      </c>
      <c r="D955" s="96">
        <f t="shared" si="283"/>
        <v>1016.1079574357346</v>
      </c>
      <c r="E955" s="96">
        <f t="shared" si="284"/>
        <v>1.5407349163786187E-152</v>
      </c>
      <c r="F955" s="96">
        <f t="shared" si="285"/>
        <v>1.5110344117018903E-149</v>
      </c>
      <c r="G955" s="96">
        <f t="shared" si="288"/>
        <v>-0.29799999999999999</v>
      </c>
      <c r="I955" s="96">
        <f t="shared" si="286"/>
        <v>0</v>
      </c>
      <c r="J955" s="96">
        <f t="shared" si="287"/>
        <v>1.2779999999999929</v>
      </c>
    </row>
    <row r="956" spans="1:10" ht="12.75" customHeight="1">
      <c r="A956" s="96">
        <f>IF(MAX($F$104:F956)=$G$99,$G$99,F956)</f>
        <v>15.906595441861038</v>
      </c>
      <c r="B956" s="96">
        <v>853</v>
      </c>
      <c r="C956" s="96">
        <f t="shared" si="282"/>
        <v>1.279499999999993</v>
      </c>
      <c r="D956" s="96">
        <f t="shared" si="283"/>
        <v>1018.4945871655997</v>
      </c>
      <c r="E956" s="96">
        <f t="shared" si="284"/>
        <v>5.2273080739753021E-153</v>
      </c>
      <c r="F956" s="96">
        <f t="shared" si="285"/>
        <v>5.1364428388534658E-150</v>
      </c>
      <c r="G956" s="96">
        <f t="shared" si="288"/>
        <v>-0.29799999999999999</v>
      </c>
      <c r="I956" s="96">
        <f t="shared" si="286"/>
        <v>0</v>
      </c>
      <c r="J956" s="96">
        <f t="shared" si="287"/>
        <v>1.279499999999993</v>
      </c>
    </row>
    <row r="957" spans="1:10" ht="12.75" customHeight="1">
      <c r="A957" s="96">
        <f>IF(MAX($F$104:F957)=$G$99,$G$99,F957)</f>
        <v>15.906595441861038</v>
      </c>
      <c r="B957" s="481">
        <v>854</v>
      </c>
      <c r="C957" s="96">
        <f t="shared" si="282"/>
        <v>1.280999999999993</v>
      </c>
      <c r="D957" s="96">
        <f t="shared" si="283"/>
        <v>1020.8840164611304</v>
      </c>
      <c r="E957" s="96">
        <f t="shared" si="284"/>
        <v>1.7707752553256574E-153</v>
      </c>
      <c r="F957" s="96">
        <f t="shared" si="285"/>
        <v>1.7433515674734454E-150</v>
      </c>
      <c r="G957" s="96">
        <f t="shared" si="288"/>
        <v>-0.29799999999999999</v>
      </c>
      <c r="I957" s="96">
        <f t="shared" si="286"/>
        <v>0</v>
      </c>
      <c r="J957" s="96">
        <f t="shared" si="287"/>
        <v>1.280999999999993</v>
      </c>
    </row>
    <row r="958" spans="1:10" ht="12.75" customHeight="1">
      <c r="A958" s="96">
        <f>IF(MAX($F$104:F958)=$G$99,$G$99,F958)</f>
        <v>15.906595441861038</v>
      </c>
      <c r="B958" s="481">
        <v>855</v>
      </c>
      <c r="C958" s="96">
        <f t="shared" si="282"/>
        <v>1.2824999999999931</v>
      </c>
      <c r="D958" s="96">
        <f t="shared" si="283"/>
        <v>1023.2762453223265</v>
      </c>
      <c r="E958" s="96">
        <f t="shared" si="284"/>
        <v>5.989410806829691E-154</v>
      </c>
      <c r="F958" s="96">
        <f t="shared" si="285"/>
        <v>5.9080211546753219E-151</v>
      </c>
      <c r="G958" s="96">
        <f t="shared" si="288"/>
        <v>-0.29799999999999999</v>
      </c>
      <c r="I958" s="96">
        <f t="shared" si="286"/>
        <v>0</v>
      </c>
      <c r="J958" s="96">
        <f t="shared" si="287"/>
        <v>1.2824999999999931</v>
      </c>
    </row>
    <row r="959" spans="1:10" ht="12.75" customHeight="1">
      <c r="A959" s="96">
        <f>IF(MAX($F$104:F959)=$G$99,$G$99,F959)</f>
        <v>15.906595441861038</v>
      </c>
      <c r="B959" s="96">
        <v>856</v>
      </c>
      <c r="C959" s="96">
        <f t="shared" si="282"/>
        <v>1.2839999999999931</v>
      </c>
      <c r="D959" s="96">
        <f t="shared" si="283"/>
        <v>1025.6712737491882</v>
      </c>
      <c r="E959" s="96">
        <f t="shared" si="284"/>
        <v>2.0227406381893457E-154</v>
      </c>
      <c r="F959" s="96">
        <f t="shared" si="285"/>
        <v>1.9990966422875264E-151</v>
      </c>
      <c r="G959" s="96">
        <f t="shared" si="288"/>
        <v>-0.29799999999999999</v>
      </c>
      <c r="I959" s="96">
        <f t="shared" si="286"/>
        <v>0</v>
      </c>
      <c r="J959" s="96">
        <f t="shared" si="287"/>
        <v>1.2839999999999931</v>
      </c>
    </row>
    <row r="960" spans="1:10" ht="12.75" customHeight="1">
      <c r="A960" s="96">
        <f>IF(MAX($F$104:F960)=$G$99,$G$99,F960)</f>
        <v>15.906595441861038</v>
      </c>
      <c r="B960" s="481">
        <v>857</v>
      </c>
      <c r="C960" s="96">
        <f t="shared" si="282"/>
        <v>1.2854999999999932</v>
      </c>
      <c r="D960" s="96">
        <f t="shared" si="283"/>
        <v>1028.0691017417155</v>
      </c>
      <c r="E960" s="96">
        <f t="shared" si="284"/>
        <v>6.8207458836723048E-155</v>
      </c>
      <c r="F960" s="96">
        <f t="shared" si="285"/>
        <v>6.753989093354853E-152</v>
      </c>
      <c r="G960" s="96">
        <f t="shared" si="288"/>
        <v>-0.29799999999999999</v>
      </c>
      <c r="I960" s="96">
        <f t="shared" si="286"/>
        <v>0</v>
      </c>
      <c r="J960" s="96">
        <f t="shared" si="287"/>
        <v>1.2854999999999932</v>
      </c>
    </row>
    <row r="961" spans="1:10" ht="12.75" customHeight="1">
      <c r="A961" s="96">
        <f>IF(MAX($F$104:F961)=$G$99,$G$99,F961)</f>
        <v>15.906595441861038</v>
      </c>
      <c r="B961" s="481">
        <v>858</v>
      </c>
      <c r="C961" s="96">
        <f t="shared" si="282"/>
        <v>1.2869999999999933</v>
      </c>
      <c r="D961" s="96">
        <f t="shared" si="283"/>
        <v>1030.4697292999083</v>
      </c>
      <c r="E961" s="96">
        <f t="shared" si="284"/>
        <v>2.2964618862611014E-155</v>
      </c>
      <c r="F961" s="96">
        <f t="shared" si="285"/>
        <v>2.2783575033661692E-152</v>
      </c>
      <c r="G961" s="96">
        <f t="shared" si="288"/>
        <v>-0.29799999999999999</v>
      </c>
      <c r="I961" s="96">
        <f t="shared" si="286"/>
        <v>0</v>
      </c>
      <c r="J961" s="96">
        <f t="shared" si="287"/>
        <v>1.2869999999999933</v>
      </c>
    </row>
    <row r="962" spans="1:10" ht="12.75" customHeight="1">
      <c r="A962" s="96">
        <f>IF(MAX($F$104:F962)=$G$99,$G$99,F962)</f>
        <v>15.906595441861038</v>
      </c>
      <c r="B962" s="96">
        <v>859</v>
      </c>
      <c r="C962" s="96">
        <f t="shared" si="282"/>
        <v>1.2884999999999933</v>
      </c>
      <c r="D962" s="96">
        <f t="shared" si="283"/>
        <v>1032.8731564237667</v>
      </c>
      <c r="E962" s="96">
        <f t="shared" si="284"/>
        <v>7.7200914907185452E-156</v>
      </c>
      <c r="F962" s="96">
        <f t="shared" si="285"/>
        <v>7.6739412946212662E-153</v>
      </c>
      <c r="G962" s="96">
        <f t="shared" si="288"/>
        <v>-0.29799999999999999</v>
      </c>
      <c r="I962" s="96">
        <f t="shared" si="286"/>
        <v>0</v>
      </c>
      <c r="J962" s="96">
        <f t="shared" si="287"/>
        <v>1.2884999999999933</v>
      </c>
    </row>
    <row r="963" spans="1:10" ht="12.75" customHeight="1">
      <c r="A963" s="96">
        <f>IF(MAX($F$104:F963)=$G$99,$G$99,F963)</f>
        <v>15.906595441861038</v>
      </c>
      <c r="B963" s="481">
        <v>860</v>
      </c>
      <c r="C963" s="96">
        <f t="shared" ref="C963:C1026" si="289">C962+$C$99</f>
        <v>1.2899999999999934</v>
      </c>
      <c r="D963" s="96">
        <f t="shared" si="283"/>
        <v>1035.2793831132904</v>
      </c>
      <c r="E963" s="96">
        <f t="shared" si="284"/>
        <v>2.5913233901651709E-156</v>
      </c>
      <c r="F963" s="96">
        <f t="shared" si="285"/>
        <v>2.5807758808454177E-153</v>
      </c>
      <c r="G963" s="96">
        <f t="shared" si="288"/>
        <v>-0.29799999999999999</v>
      </c>
      <c r="I963" s="96">
        <f t="shared" si="286"/>
        <v>0</v>
      </c>
      <c r="J963" s="96">
        <f t="shared" si="287"/>
        <v>1.2899999999999934</v>
      </c>
    </row>
    <row r="964" spans="1:10" ht="12.75" customHeight="1">
      <c r="A964" s="96">
        <f>IF(MAX($F$104:F964)=$G$99,$G$99,F964)</f>
        <v>15.906595441861038</v>
      </c>
      <c r="B964" s="481">
        <v>861</v>
      </c>
      <c r="C964" s="96">
        <f t="shared" si="289"/>
        <v>1.2914999999999934</v>
      </c>
      <c r="D964" s="96">
        <f t="shared" si="283"/>
        <v>1037.6884093684796</v>
      </c>
      <c r="E964" s="96">
        <f t="shared" si="284"/>
        <v>8.6847410794309865E-157</v>
      </c>
      <c r="F964" s="96">
        <f t="shared" si="285"/>
        <v>8.6659755658931881E-154</v>
      </c>
      <c r="G964" s="96">
        <f t="shared" si="288"/>
        <v>-0.29799999999999999</v>
      </c>
      <c r="I964" s="96">
        <f t="shared" si="286"/>
        <v>0</v>
      </c>
      <c r="J964" s="96">
        <f t="shared" si="287"/>
        <v>1.2914999999999934</v>
      </c>
    </row>
    <row r="965" spans="1:10" ht="12.75" customHeight="1">
      <c r="A965" s="96">
        <f>IF(MAX($F$104:F965)=$G$99,$G$99,F965)</f>
        <v>15.906595441861038</v>
      </c>
      <c r="B965" s="96">
        <v>862</v>
      </c>
      <c r="C965" s="96">
        <f t="shared" si="289"/>
        <v>1.2929999999999935</v>
      </c>
      <c r="D965" s="96">
        <f t="shared" si="283"/>
        <v>1040.1002351893346</v>
      </c>
      <c r="E965" s="96">
        <f t="shared" si="284"/>
        <v>2.9062191249441268E-157</v>
      </c>
      <c r="F965" s="96">
        <f t="shared" si="285"/>
        <v>2.9054948589935019E-154</v>
      </c>
      <c r="G965" s="96">
        <f t="shared" si="288"/>
        <v>-0.29799999999999999</v>
      </c>
      <c r="I965" s="96">
        <f t="shared" si="286"/>
        <v>0</v>
      </c>
      <c r="J965" s="96">
        <f t="shared" si="287"/>
        <v>1.2929999999999935</v>
      </c>
    </row>
    <row r="966" spans="1:10" ht="12.75" customHeight="1">
      <c r="A966" s="96">
        <f>IF(MAX($F$104:F966)=$G$99,$G$99,F966)</f>
        <v>15.906595441861038</v>
      </c>
      <c r="B966" s="481">
        <v>863</v>
      </c>
      <c r="C966" s="96">
        <f t="shared" si="289"/>
        <v>1.2944999999999935</v>
      </c>
      <c r="D966" s="96">
        <f t="shared" si="283"/>
        <v>1042.514860575855</v>
      </c>
      <c r="E966" s="96">
        <f t="shared" si="284"/>
        <v>9.7103791396151127E-158</v>
      </c>
      <c r="F966" s="96">
        <f t="shared" si="285"/>
        <v>9.7265399813550602E-155</v>
      </c>
      <c r="G966" s="96">
        <f t="shared" si="288"/>
        <v>-0.29799999999999999</v>
      </c>
      <c r="I966" s="96">
        <f t="shared" si="286"/>
        <v>0</v>
      </c>
      <c r="J966" s="96">
        <f t="shared" si="287"/>
        <v>1.2944999999999935</v>
      </c>
    </row>
    <row r="967" spans="1:10" ht="12.75" customHeight="1">
      <c r="A967" s="96">
        <f>IF(MAX($F$104:F967)=$G$99,$G$99,F967)</f>
        <v>15.906595441861038</v>
      </c>
      <c r="B967" s="481">
        <v>864</v>
      </c>
      <c r="C967" s="96">
        <f t="shared" si="289"/>
        <v>1.2959999999999936</v>
      </c>
      <c r="D967" s="96">
        <f t="shared" si="283"/>
        <v>1044.9322855280409</v>
      </c>
      <c r="E967" s="96">
        <f t="shared" si="284"/>
        <v>3.2395187325694256E-158</v>
      </c>
      <c r="F967" s="96">
        <f t="shared" si="285"/>
        <v>3.2511154076416246E-155</v>
      </c>
      <c r="G967" s="96">
        <f t="shared" si="288"/>
        <v>-0.29799999999999999</v>
      </c>
      <c r="I967" s="96">
        <f t="shared" si="286"/>
        <v>0</v>
      </c>
      <c r="J967" s="96">
        <f t="shared" si="287"/>
        <v>1.2959999999999936</v>
      </c>
    </row>
    <row r="968" spans="1:10" ht="12.75" customHeight="1">
      <c r="A968" s="96">
        <f>IF(MAX($F$104:F968)=$G$99,$G$99,F968)</f>
        <v>15.906595441861038</v>
      </c>
      <c r="B968" s="96">
        <v>865</v>
      </c>
      <c r="C968" s="96">
        <f t="shared" si="289"/>
        <v>1.2974999999999937</v>
      </c>
      <c r="D968" s="96">
        <f t="shared" si="283"/>
        <v>1047.3525100458926</v>
      </c>
      <c r="E968" s="96">
        <f t="shared" si="284"/>
        <v>1.0790992963187638E-158</v>
      </c>
      <c r="F968" s="96">
        <f t="shared" si="285"/>
        <v>1.0850313136378971E-155</v>
      </c>
      <c r="G968" s="96">
        <f t="shared" si="288"/>
        <v>-0.29799999999999999</v>
      </c>
      <c r="I968" s="96">
        <f t="shared" si="286"/>
        <v>0</v>
      </c>
      <c r="J968" s="96">
        <f t="shared" si="287"/>
        <v>1.2974999999999937</v>
      </c>
    </row>
    <row r="969" spans="1:10" ht="12.75" customHeight="1">
      <c r="A969" s="96">
        <f>IF(MAX($F$104:F969)=$G$99,$G$99,F969)</f>
        <v>15.906595441861038</v>
      </c>
      <c r="B969" s="481">
        <v>866</v>
      </c>
      <c r="C969" s="96">
        <f t="shared" si="289"/>
        <v>1.2989999999999937</v>
      </c>
      <c r="D969" s="96">
        <f t="shared" si="283"/>
        <v>1049.7755341294096</v>
      </c>
      <c r="E969" s="96">
        <f t="shared" si="284"/>
        <v>3.5890462556615874E-159</v>
      </c>
      <c r="F969" s="96">
        <f t="shared" si="285"/>
        <v>3.6156648193438503E-156</v>
      </c>
      <c r="G969" s="96">
        <f t="shared" si="288"/>
        <v>-0.29799999999999999</v>
      </c>
      <c r="I969" s="96">
        <f t="shared" si="286"/>
        <v>0</v>
      </c>
      <c r="J969" s="96">
        <f t="shared" si="287"/>
        <v>1.2989999999999937</v>
      </c>
    </row>
    <row r="970" spans="1:10" ht="12.75" customHeight="1">
      <c r="A970" s="96">
        <f>IF(MAX($F$104:F970)=$G$99,$G$99,F970)</f>
        <v>15.906595441861038</v>
      </c>
      <c r="B970" s="481">
        <v>867</v>
      </c>
      <c r="C970" s="96">
        <f t="shared" si="289"/>
        <v>1.3004999999999938</v>
      </c>
      <c r="D970" s="96">
        <f t="shared" si="283"/>
        <v>1052.2013577785922</v>
      </c>
      <c r="E970" s="96">
        <f t="shared" si="284"/>
        <v>1.1918828233367075E-159</v>
      </c>
      <c r="F970" s="96">
        <f t="shared" si="285"/>
        <v>1.2030126410363637E-156</v>
      </c>
      <c r="G970" s="96">
        <f t="shared" si="288"/>
        <v>-0.29799999999999999</v>
      </c>
      <c r="I970" s="96">
        <f t="shared" si="286"/>
        <v>0</v>
      </c>
      <c r="J970" s="96">
        <f t="shared" si="287"/>
        <v>1.3004999999999938</v>
      </c>
    </row>
    <row r="971" spans="1:10" ht="12.75" customHeight="1">
      <c r="A971" s="96">
        <f>IF(MAX($F$104:F971)=$G$99,$G$99,F971)</f>
        <v>15.906595441861038</v>
      </c>
      <c r="B971" s="96">
        <v>868</v>
      </c>
      <c r="C971" s="96">
        <f t="shared" si="289"/>
        <v>1.3019999999999938</v>
      </c>
      <c r="D971" s="96">
        <f t="shared" si="283"/>
        <v>1054.6299809934401</v>
      </c>
      <c r="E971" s="96">
        <f t="shared" si="284"/>
        <v>3.9520738565354212E-160</v>
      </c>
      <c r="F971" s="96">
        <f t="shared" si="285"/>
        <v>3.9965797468814332E-157</v>
      </c>
      <c r="G971" s="96">
        <f t="shared" si="288"/>
        <v>-0.29799999999999999</v>
      </c>
      <c r="I971" s="96">
        <f t="shared" si="286"/>
        <v>0</v>
      </c>
      <c r="J971" s="96">
        <f t="shared" si="287"/>
        <v>1.3019999999999938</v>
      </c>
    </row>
    <row r="972" spans="1:10" ht="12.75" customHeight="1">
      <c r="A972" s="96">
        <f>IF(MAX($F$104:F972)=$G$99,$G$99,F972)</f>
        <v>15.906595441861038</v>
      </c>
      <c r="B972" s="481">
        <v>869</v>
      </c>
      <c r="C972" s="96">
        <f t="shared" si="289"/>
        <v>1.3034999999999939</v>
      </c>
      <c r="D972" s="96">
        <f t="shared" si="283"/>
        <v>1057.0614037739538</v>
      </c>
      <c r="E972" s="96">
        <f t="shared" si="284"/>
        <v>1.308439524832297E-160</v>
      </c>
      <c r="F972" s="96">
        <f t="shared" si="285"/>
        <v>1.3256936300878864E-157</v>
      </c>
      <c r="G972" s="96">
        <f t="shared" si="288"/>
        <v>-0.29799999999999999</v>
      </c>
      <c r="I972" s="96">
        <f t="shared" si="286"/>
        <v>0</v>
      </c>
      <c r="J972" s="96">
        <f t="shared" si="287"/>
        <v>1.3034999999999939</v>
      </c>
    </row>
    <row r="973" spans="1:10" ht="12.75" customHeight="1">
      <c r="A973" s="96">
        <f>IF(MAX($F$104:F973)=$G$99,$G$99,F973)</f>
        <v>15.906595441861038</v>
      </c>
      <c r="B973" s="481">
        <v>870</v>
      </c>
      <c r="C973" s="96">
        <f t="shared" si="289"/>
        <v>1.3049999999999939</v>
      </c>
      <c r="D973" s="96">
        <f t="shared" si="283"/>
        <v>1059.495626120133</v>
      </c>
      <c r="E973" s="96">
        <f t="shared" si="284"/>
        <v>4.325332456826249E-161</v>
      </c>
      <c r="F973" s="96">
        <f t="shared" si="285"/>
        <v>4.3907062055829634E-158</v>
      </c>
      <c r="G973" s="96">
        <f t="shared" si="288"/>
        <v>-0.29799999999999999</v>
      </c>
      <c r="I973" s="96">
        <f t="shared" si="286"/>
        <v>0</v>
      </c>
      <c r="J973" s="96">
        <f t="shared" si="287"/>
        <v>1.3049999999999939</v>
      </c>
    </row>
    <row r="974" spans="1:10" ht="12.75" customHeight="1">
      <c r="A974" s="96">
        <f>IF(MAX($F$104:F974)=$G$99,$G$99,F974)</f>
        <v>15.906595441861038</v>
      </c>
      <c r="B974" s="96">
        <v>871</v>
      </c>
      <c r="C974" s="96">
        <f t="shared" si="289"/>
        <v>1.306499999999994</v>
      </c>
      <c r="D974" s="96">
        <f t="shared" si="283"/>
        <v>1061.9326480319776</v>
      </c>
      <c r="E974" s="96">
        <f t="shared" si="284"/>
        <v>1.4276531096071375E-161</v>
      </c>
      <c r="F974" s="96">
        <f t="shared" si="285"/>
        <v>1.4519853593898214E-158</v>
      </c>
      <c r="G974" s="96">
        <f t="shared" si="288"/>
        <v>-0.29799999999999999</v>
      </c>
      <c r="I974" s="96">
        <f t="shared" si="286"/>
        <v>0</v>
      </c>
      <c r="J974" s="96">
        <f t="shared" si="287"/>
        <v>1.306499999999994</v>
      </c>
    </row>
    <row r="975" spans="1:10" ht="12.75" customHeight="1">
      <c r="A975" s="96">
        <f>IF(MAX($F$104:F975)=$G$99,$G$99,F975)</f>
        <v>15.906595441861038</v>
      </c>
      <c r="B975" s="481">
        <v>872</v>
      </c>
      <c r="C975" s="96">
        <f t="shared" si="289"/>
        <v>1.3079999999999941</v>
      </c>
      <c r="D975" s="96">
        <f t="shared" si="283"/>
        <v>1064.3724695094877</v>
      </c>
      <c r="E975" s="96">
        <f t="shared" si="284"/>
        <v>4.7050406906566118E-162</v>
      </c>
      <c r="F975" s="96">
        <f t="shared" si="285"/>
        <v>4.7943184153844061E-159</v>
      </c>
      <c r="G975" s="96">
        <f t="shared" si="288"/>
        <v>-0.29799999999999999</v>
      </c>
      <c r="I975" s="96">
        <f t="shared" si="286"/>
        <v>0</v>
      </c>
      <c r="J975" s="96">
        <f t="shared" si="287"/>
        <v>1.3079999999999941</v>
      </c>
    </row>
    <row r="976" spans="1:10" ht="12.75" customHeight="1">
      <c r="A976" s="96">
        <f>IF(MAX($F$104:F976)=$G$99,$G$99,F976)</f>
        <v>15.906595441861038</v>
      </c>
      <c r="B976" s="481">
        <v>873</v>
      </c>
      <c r="C976" s="96">
        <f t="shared" si="289"/>
        <v>1.3094999999999941</v>
      </c>
      <c r="D976" s="96">
        <f t="shared" si="283"/>
        <v>1066.8150905526634</v>
      </c>
      <c r="E976" s="96">
        <f t="shared" si="284"/>
        <v>1.5482521171747205E-162</v>
      </c>
      <c r="F976" s="96">
        <f t="shared" si="285"/>
        <v>1.580623434481749E-159</v>
      </c>
      <c r="G976" s="96">
        <f t="shared" si="288"/>
        <v>-0.29799999999999999</v>
      </c>
      <c r="I976" s="96">
        <f t="shared" si="286"/>
        <v>0</v>
      </c>
      <c r="J976" s="96">
        <f t="shared" si="287"/>
        <v>1.3094999999999941</v>
      </c>
    </row>
    <row r="977" spans="1:10" ht="12.75" customHeight="1">
      <c r="A977" s="96">
        <f>IF(MAX($F$104:F977)=$G$99,$G$99,F977)</f>
        <v>15.906595441861038</v>
      </c>
      <c r="B977" s="96">
        <v>874</v>
      </c>
      <c r="C977" s="96">
        <f t="shared" si="289"/>
        <v>1.3109999999999942</v>
      </c>
      <c r="D977" s="96">
        <f t="shared" si="283"/>
        <v>1069.2605111615046</v>
      </c>
      <c r="E977" s="96">
        <f t="shared" si="284"/>
        <v>5.08695289377632E-163</v>
      </c>
      <c r="F977" s="96">
        <f t="shared" si="285"/>
        <v>5.2031577186656559E-160</v>
      </c>
      <c r="G977" s="96">
        <f t="shared" si="288"/>
        <v>-0.29799999999999999</v>
      </c>
      <c r="I977" s="96">
        <f t="shared" si="286"/>
        <v>0</v>
      </c>
      <c r="J977" s="96">
        <f t="shared" si="287"/>
        <v>1.3109999999999942</v>
      </c>
    </row>
    <row r="978" spans="1:10" ht="12.75" customHeight="1">
      <c r="A978" s="96">
        <f>IF(MAX($F$104:F978)=$G$99,$G$99,F978)</f>
        <v>15.906595441861038</v>
      </c>
      <c r="B978" s="481">
        <v>875</v>
      </c>
      <c r="C978" s="96">
        <f t="shared" si="289"/>
        <v>1.3124999999999942</v>
      </c>
      <c r="D978" s="96">
        <f t="shared" si="283"/>
        <v>1071.7087313360116</v>
      </c>
      <c r="E978" s="96">
        <f t="shared" si="284"/>
        <v>1.6688281133428073E-163</v>
      </c>
      <c r="F978" s="96">
        <f t="shared" si="285"/>
        <v>1.7101835410646151E-160</v>
      </c>
      <c r="G978" s="96">
        <f t="shared" si="288"/>
        <v>-0.29799999999999999</v>
      </c>
      <c r="I978" s="96">
        <f t="shared" si="286"/>
        <v>0</v>
      </c>
      <c r="J978" s="96">
        <f t="shared" si="287"/>
        <v>1.3124999999999942</v>
      </c>
    </row>
    <row r="979" spans="1:10" ht="12.75" customHeight="1">
      <c r="A979" s="96">
        <f>IF(MAX($F$104:F979)=$G$99,$G$99,F979)</f>
        <v>15.906595441861038</v>
      </c>
      <c r="B979" s="481">
        <v>876</v>
      </c>
      <c r="C979" s="96">
        <f t="shared" si="289"/>
        <v>1.3139999999999943</v>
      </c>
      <c r="D979" s="96">
        <f t="shared" si="283"/>
        <v>1074.1597510761837</v>
      </c>
      <c r="E979" s="96">
        <f t="shared" si="284"/>
        <v>5.4664260776406733E-164</v>
      </c>
      <c r="F979" s="96">
        <f t="shared" si="285"/>
        <v>5.6124920422749634E-161</v>
      </c>
      <c r="G979" s="96">
        <f t="shared" si="288"/>
        <v>-0.29799999999999999</v>
      </c>
      <c r="I979" s="96">
        <f t="shared" si="286"/>
        <v>0</v>
      </c>
      <c r="J979" s="96">
        <f t="shared" si="287"/>
        <v>1.3139999999999943</v>
      </c>
    </row>
    <row r="980" spans="1:10" ht="12.75" customHeight="1">
      <c r="A980" s="96">
        <f>IF(MAX($F$104:F980)=$G$99,$G$99,F980)</f>
        <v>15.906595441861038</v>
      </c>
      <c r="B980" s="96">
        <v>877</v>
      </c>
      <c r="C980" s="96">
        <f t="shared" si="289"/>
        <v>1.3154999999999943</v>
      </c>
      <c r="D980" s="96">
        <f t="shared" si="283"/>
        <v>1076.6135703820216</v>
      </c>
      <c r="E980" s="96">
        <f t="shared" si="284"/>
        <v>1.7878597822556045E-164</v>
      </c>
      <c r="F980" s="96">
        <f t="shared" si="285"/>
        <v>1.8391034677701388E-161</v>
      </c>
      <c r="G980" s="96">
        <f t="shared" si="288"/>
        <v>-0.29799999999999999</v>
      </c>
      <c r="I980" s="96">
        <f t="shared" si="286"/>
        <v>0</v>
      </c>
      <c r="J980" s="96">
        <f t="shared" si="287"/>
        <v>1.3154999999999943</v>
      </c>
    </row>
    <row r="981" spans="1:10" ht="12.75" customHeight="1">
      <c r="A981" s="96">
        <f>IF(MAX($F$104:F981)=$G$99,$G$99,F981)</f>
        <v>15.906595441861038</v>
      </c>
      <c r="B981" s="481">
        <v>878</v>
      </c>
      <c r="C981" s="96">
        <f t="shared" si="289"/>
        <v>1.3169999999999944</v>
      </c>
      <c r="D981" s="96">
        <f t="shared" si="283"/>
        <v>1079.0701892535251</v>
      </c>
      <c r="E981" s="96">
        <f t="shared" si="284"/>
        <v>5.8385049948986243E-165</v>
      </c>
      <c r="F981" s="96">
        <f t="shared" si="285"/>
        <v>6.0171955067163921E-162</v>
      </c>
      <c r="G981" s="96">
        <f t="shared" si="288"/>
        <v>-0.29799999999999999</v>
      </c>
      <c r="I981" s="96">
        <f t="shared" si="286"/>
        <v>0</v>
      </c>
      <c r="J981" s="96">
        <f t="shared" si="287"/>
        <v>1.3169999999999944</v>
      </c>
    </row>
    <row r="982" spans="1:10" ht="12.75" customHeight="1">
      <c r="A982" s="96">
        <f>IF(MAX($F$104:F982)=$G$99,$G$99,F982)</f>
        <v>15.906595441861038</v>
      </c>
      <c r="B982" s="481">
        <v>879</v>
      </c>
      <c r="C982" s="96">
        <f t="shared" si="289"/>
        <v>1.3184999999999945</v>
      </c>
      <c r="D982" s="96">
        <f t="shared" si="283"/>
        <v>1081.5296076906941</v>
      </c>
      <c r="E982" s="96">
        <f t="shared" si="284"/>
        <v>1.9037424949903982E-165</v>
      </c>
      <c r="F982" s="96">
        <f t="shared" si="285"/>
        <v>1.9657113283376937E-162</v>
      </c>
      <c r="G982" s="96">
        <f t="shared" si="288"/>
        <v>-0.29799999999999999</v>
      </c>
      <c r="I982" s="96">
        <f t="shared" si="286"/>
        <v>0</v>
      </c>
      <c r="J982" s="96">
        <f t="shared" si="287"/>
        <v>1.3184999999999945</v>
      </c>
    </row>
    <row r="983" spans="1:10" ht="12.75" customHeight="1">
      <c r="A983" s="96">
        <f>IF(MAX($F$104:F983)=$G$99,$G$99,F983)</f>
        <v>15.906595441861038</v>
      </c>
      <c r="B983" s="96">
        <v>880</v>
      </c>
      <c r="C983" s="96">
        <f t="shared" si="289"/>
        <v>1.3199999999999945</v>
      </c>
      <c r="D983" s="96">
        <f t="shared" si="283"/>
        <v>1083.9918256935284</v>
      </c>
      <c r="E983" s="96">
        <f t="shared" si="284"/>
        <v>6.198023532941271E-166</v>
      </c>
      <c r="F983" s="96">
        <f t="shared" si="285"/>
        <v>6.4118468621932199E-163</v>
      </c>
      <c r="G983" s="96">
        <f t="shared" si="288"/>
        <v>-0.29799999999999999</v>
      </c>
      <c r="I983" s="96">
        <f t="shared" si="286"/>
        <v>0</v>
      </c>
      <c r="J983" s="96">
        <f t="shared" si="287"/>
        <v>1.3199999999999945</v>
      </c>
    </row>
    <row r="984" spans="1:10" ht="12.75" customHeight="1">
      <c r="A984" s="96">
        <f>IF(MAX($F$104:F984)=$G$99,$G$99,F984)</f>
        <v>15.906595441861038</v>
      </c>
      <c r="B984" s="481">
        <v>881</v>
      </c>
      <c r="C984" s="96">
        <f t="shared" si="289"/>
        <v>1.3214999999999946</v>
      </c>
      <c r="D984" s="96">
        <f t="shared" si="283"/>
        <v>1086.4568432620283</v>
      </c>
      <c r="E984" s="96">
        <f t="shared" si="284"/>
        <v>2.0148226608954324E-166</v>
      </c>
      <c r="F984" s="96">
        <f t="shared" si="285"/>
        <v>2.0882594174551982E-163</v>
      </c>
      <c r="G984" s="96">
        <f t="shared" si="288"/>
        <v>-0.29799999999999999</v>
      </c>
      <c r="I984" s="96">
        <f t="shared" si="286"/>
        <v>0</v>
      </c>
      <c r="J984" s="96">
        <f t="shared" si="287"/>
        <v>1.3214999999999946</v>
      </c>
    </row>
    <row r="985" spans="1:10" ht="12.75" customHeight="1">
      <c r="A985" s="96">
        <f>IF(MAX($F$104:F985)=$G$99,$G$99,F985)</f>
        <v>15.906595441861038</v>
      </c>
      <c r="B985" s="481">
        <v>882</v>
      </c>
      <c r="C985" s="96">
        <f t="shared" si="289"/>
        <v>1.3229999999999946</v>
      </c>
      <c r="D985" s="96">
        <f t="shared" si="283"/>
        <v>1088.924660396194</v>
      </c>
      <c r="E985" s="96">
        <f t="shared" si="284"/>
        <v>6.5397198217525784E-167</v>
      </c>
      <c r="F985" s="96">
        <f t="shared" si="285"/>
        <v>6.7908444974207473E-164</v>
      </c>
      <c r="G985" s="96">
        <f t="shared" si="288"/>
        <v>-0.29799999999999999</v>
      </c>
      <c r="I985" s="96">
        <f t="shared" si="286"/>
        <v>0</v>
      </c>
      <c r="J985" s="96">
        <f t="shared" si="287"/>
        <v>1.3229999999999946</v>
      </c>
    </row>
    <row r="986" spans="1:10" ht="12.75" customHeight="1">
      <c r="A986" s="96">
        <f>IF(MAX($F$104:F986)=$G$99,$G$99,F986)</f>
        <v>15.906595441861038</v>
      </c>
      <c r="B986" s="96">
        <v>883</v>
      </c>
      <c r="C986" s="96">
        <f t="shared" si="289"/>
        <v>1.3244999999999947</v>
      </c>
      <c r="D986" s="96">
        <f t="shared" si="283"/>
        <v>1091.395277096025</v>
      </c>
      <c r="E986" s="96">
        <f t="shared" si="284"/>
        <v>2.1194359078372938E-167</v>
      </c>
      <c r="F986" s="96">
        <f t="shared" si="285"/>
        <v>2.2049628436417328E-164</v>
      </c>
      <c r="G986" s="96">
        <f t="shared" si="288"/>
        <v>-0.29799999999999999</v>
      </c>
      <c r="I986" s="96">
        <f t="shared" si="286"/>
        <v>0</v>
      </c>
      <c r="J986" s="96">
        <f t="shared" si="287"/>
        <v>1.3244999999999947</v>
      </c>
    </row>
    <row r="987" spans="1:10" ht="12.75" customHeight="1">
      <c r="A987" s="96">
        <f>IF(MAX($F$104:F987)=$G$99,$G$99,F987)</f>
        <v>15.906595441861038</v>
      </c>
      <c r="B987" s="481">
        <v>884</v>
      </c>
      <c r="C987" s="96">
        <f t="shared" si="289"/>
        <v>1.3259999999999947</v>
      </c>
      <c r="D987" s="96">
        <f t="shared" si="283"/>
        <v>1093.8686933615215</v>
      </c>
      <c r="E987" s="96">
        <f t="shared" si="284"/>
        <v>6.8583616606656145E-168</v>
      </c>
      <c r="F987" s="96">
        <f t="shared" si="285"/>
        <v>7.1485348745328778E-165</v>
      </c>
      <c r="G987" s="96">
        <f t="shared" si="288"/>
        <v>-0.29799999999999999</v>
      </c>
      <c r="I987" s="96">
        <f t="shared" si="286"/>
        <v>0</v>
      </c>
      <c r="J987" s="96">
        <f t="shared" si="287"/>
        <v>1.3259999999999947</v>
      </c>
    </row>
    <row r="988" spans="1:10" ht="12.75" customHeight="1">
      <c r="A988" s="96">
        <f>IF(MAX($F$104:F988)=$G$99,$G$99,F988)</f>
        <v>15.906595441861038</v>
      </c>
      <c r="B988" s="481">
        <v>885</v>
      </c>
      <c r="C988" s="96">
        <f t="shared" si="289"/>
        <v>1.3274999999999948</v>
      </c>
      <c r="D988" s="96">
        <f t="shared" si="283"/>
        <v>1096.3449091926836</v>
      </c>
      <c r="E988" s="96">
        <f t="shared" si="284"/>
        <v>2.2159479070467109E-168</v>
      </c>
      <c r="F988" s="96">
        <f t="shared" si="285"/>
        <v>2.3140418131553248E-165</v>
      </c>
      <c r="G988" s="96">
        <f t="shared" si="288"/>
        <v>-0.29799999999999999</v>
      </c>
      <c r="I988" s="96">
        <f t="shared" si="286"/>
        <v>0</v>
      </c>
      <c r="J988" s="96">
        <f t="shared" si="287"/>
        <v>1.3274999999999948</v>
      </c>
    </row>
    <row r="989" spans="1:10" ht="12.75" customHeight="1">
      <c r="A989" s="96">
        <f>IF(MAX($F$104:F989)=$G$99,$G$99,F989)</f>
        <v>15.906595441861038</v>
      </c>
      <c r="B989" s="96">
        <v>886</v>
      </c>
      <c r="C989" s="96">
        <f t="shared" si="289"/>
        <v>1.3289999999999949</v>
      </c>
      <c r="D989" s="96">
        <f t="shared" si="283"/>
        <v>1098.8239245895113</v>
      </c>
      <c r="E989" s="96">
        <f t="shared" si="284"/>
        <v>7.1488782043023828E-169</v>
      </c>
      <c r="F989" s="96">
        <f t="shared" si="285"/>
        <v>7.4793504453812788E-166</v>
      </c>
      <c r="G989" s="96">
        <f t="shared" si="288"/>
        <v>-0.29799999999999999</v>
      </c>
      <c r="I989" s="96">
        <f t="shared" si="286"/>
        <v>0</v>
      </c>
      <c r="J989" s="96">
        <f t="shared" si="287"/>
        <v>1.3289999999999949</v>
      </c>
    </row>
    <row r="990" spans="1:10" ht="12.75" customHeight="1">
      <c r="A990" s="96">
        <f>IF(MAX($F$104:F990)=$G$99,$G$99,F990)</f>
        <v>15.906595441861038</v>
      </c>
      <c r="B990" s="481">
        <v>887</v>
      </c>
      <c r="C990" s="96">
        <f t="shared" si="289"/>
        <v>1.3304999999999949</v>
      </c>
      <c r="D990" s="96">
        <f t="shared" si="283"/>
        <v>1101.3057395520045</v>
      </c>
      <c r="E990" s="96">
        <f t="shared" si="284"/>
        <v>2.3027964721097288E-169</v>
      </c>
      <c r="F990" s="96">
        <f t="shared" si="285"/>
        <v>2.4137662076072449E-166</v>
      </c>
      <c r="G990" s="96">
        <f t="shared" si="288"/>
        <v>-0.29799999999999999</v>
      </c>
      <c r="I990" s="96">
        <f t="shared" si="286"/>
        <v>0</v>
      </c>
      <c r="J990" s="96">
        <f t="shared" si="287"/>
        <v>1.3304999999999949</v>
      </c>
    </row>
    <row r="991" spans="1:10" ht="12.75" customHeight="1">
      <c r="A991" s="96">
        <f>IF(MAX($F$104:F991)=$G$99,$G$99,F991)</f>
        <v>15.906595441861038</v>
      </c>
      <c r="B991" s="481">
        <v>888</v>
      </c>
      <c r="C991" s="96">
        <f t="shared" si="289"/>
        <v>1.331999999999995</v>
      </c>
      <c r="D991" s="96">
        <f t="shared" si="283"/>
        <v>1103.7903540801631</v>
      </c>
      <c r="E991" s="96">
        <f t="shared" si="284"/>
        <v>7.4064933454863357E-170</v>
      </c>
      <c r="F991" s="96">
        <f t="shared" si="285"/>
        <v>7.7779524518725799E-167</v>
      </c>
      <c r="G991" s="96">
        <f t="shared" si="288"/>
        <v>-0.29799999999999999</v>
      </c>
      <c r="I991" s="96">
        <f t="shared" si="286"/>
        <v>0</v>
      </c>
      <c r="J991" s="96">
        <f t="shared" si="287"/>
        <v>1.331999999999995</v>
      </c>
    </row>
    <row r="992" spans="1:10" ht="12.75" customHeight="1">
      <c r="A992" s="96">
        <f>IF(MAX($F$104:F992)=$G$99,$G$99,F992)</f>
        <v>15.906595441861038</v>
      </c>
      <c r="B992" s="96">
        <v>889</v>
      </c>
      <c r="C992" s="96">
        <f t="shared" si="289"/>
        <v>1.333499999999995</v>
      </c>
      <c r="D992" s="96">
        <f t="shared" si="283"/>
        <v>1106.2777681739874</v>
      </c>
      <c r="E992" s="96">
        <f t="shared" si="284"/>
        <v>2.3785334329399928E-170</v>
      </c>
      <c r="F992" s="96">
        <f t="shared" si="285"/>
        <v>2.5025009201275581E-167</v>
      </c>
      <c r="G992" s="96">
        <f t="shared" si="288"/>
        <v>-0.29799999999999999</v>
      </c>
      <c r="I992" s="96">
        <f t="shared" si="286"/>
        <v>0</v>
      </c>
      <c r="J992" s="96">
        <f t="shared" si="287"/>
        <v>1.333499999999995</v>
      </c>
    </row>
    <row r="993" spans="1:10" ht="12.75" customHeight="1">
      <c r="A993" s="96">
        <f>IF(MAX($F$104:F993)=$G$99,$G$99,F993)</f>
        <v>15.906595441861038</v>
      </c>
      <c r="B993" s="481">
        <v>890</v>
      </c>
      <c r="C993" s="96">
        <f t="shared" si="289"/>
        <v>1.3349999999999951</v>
      </c>
      <c r="D993" s="96">
        <f t="shared" si="283"/>
        <v>1108.7679818334771</v>
      </c>
      <c r="E993" s="96">
        <f t="shared" si="284"/>
        <v>7.6268559293529488E-171</v>
      </c>
      <c r="F993" s="96">
        <f t="shared" si="285"/>
        <v>8.039373551207435E-168</v>
      </c>
      <c r="G993" s="96">
        <f t="shared" si="288"/>
        <v>-0.29799999999999999</v>
      </c>
      <c r="I993" s="96">
        <f t="shared" si="286"/>
        <v>0</v>
      </c>
      <c r="J993" s="96">
        <f t="shared" si="287"/>
        <v>1.3349999999999951</v>
      </c>
    </row>
    <row r="994" spans="1:10" ht="12.75" customHeight="1">
      <c r="A994" s="96">
        <f>IF(MAX($F$104:F994)=$G$99,$G$99,F994)</f>
        <v>15.906595441861038</v>
      </c>
      <c r="B994" s="481">
        <v>891</v>
      </c>
      <c r="C994" s="96">
        <f t="shared" si="289"/>
        <v>1.3364999999999951</v>
      </c>
      <c r="D994" s="96">
        <f t="shared" si="283"/>
        <v>1111.2609950586325</v>
      </c>
      <c r="E994" s="96">
        <f t="shared" si="284"/>
        <v>2.4418647244244327E-171</v>
      </c>
      <c r="F994" s="96">
        <f t="shared" si="285"/>
        <v>2.5787503035145881E-168</v>
      </c>
      <c r="G994" s="96">
        <f t="shared" si="288"/>
        <v>-0.29799999999999999</v>
      </c>
      <c r="I994" s="96">
        <f t="shared" si="286"/>
        <v>0</v>
      </c>
      <c r="J994" s="96">
        <f t="shared" si="287"/>
        <v>1.3364999999999951</v>
      </c>
    </row>
    <row r="995" spans="1:10" ht="12.75" customHeight="1">
      <c r="A995" s="96">
        <f>IF(MAX($F$104:F995)=$G$99,$G$99,F995)</f>
        <v>15.906595441861038</v>
      </c>
      <c r="B995" s="96">
        <v>892</v>
      </c>
      <c r="C995" s="96">
        <f t="shared" si="289"/>
        <v>1.3379999999999952</v>
      </c>
      <c r="D995" s="96">
        <f t="shared" si="283"/>
        <v>1113.7568078494533</v>
      </c>
      <c r="E995" s="96">
        <f t="shared" si="284"/>
        <v>7.8061618550890841E-172</v>
      </c>
      <c r="F995" s="96">
        <f t="shared" si="285"/>
        <v>8.2591549716595039E-169</v>
      </c>
      <c r="G995" s="96">
        <f t="shared" si="288"/>
        <v>-0.29799999999999999</v>
      </c>
      <c r="I995" s="96">
        <f t="shared" si="286"/>
        <v>0</v>
      </c>
      <c r="J995" s="96">
        <f t="shared" si="287"/>
        <v>1.3379999999999952</v>
      </c>
    </row>
    <row r="996" spans="1:10" ht="12.75" customHeight="1">
      <c r="A996" s="96">
        <f>IF(MAX($F$104:F996)=$G$99,$G$99,F996)</f>
        <v>15.906595441861038</v>
      </c>
      <c r="B996" s="481">
        <v>893</v>
      </c>
      <c r="C996" s="96">
        <f t="shared" si="289"/>
        <v>1.3394999999999953</v>
      </c>
      <c r="D996" s="96">
        <f t="shared" si="283"/>
        <v>1116.2554202059396</v>
      </c>
      <c r="E996" s="96">
        <f t="shared" si="284"/>
        <v>2.4916871424934316E-172</v>
      </c>
      <c r="F996" s="96">
        <f t="shared" si="285"/>
        <v>2.6412000483931711E-169</v>
      </c>
      <c r="G996" s="96">
        <f t="shared" si="288"/>
        <v>-0.29799999999999999</v>
      </c>
      <c r="I996" s="96">
        <f t="shared" si="286"/>
        <v>0</v>
      </c>
      <c r="J996" s="96">
        <f t="shared" si="287"/>
        <v>1.3394999999999953</v>
      </c>
    </row>
    <row r="997" spans="1:10" ht="12.75" customHeight="1">
      <c r="A997" s="96">
        <f>IF(MAX($F$104:F997)=$G$99,$G$99,F997)</f>
        <v>15.906595441861038</v>
      </c>
      <c r="B997" s="481">
        <v>894</v>
      </c>
      <c r="C997" s="96">
        <f t="shared" si="289"/>
        <v>1.3409999999999953</v>
      </c>
      <c r="D997" s="96">
        <f t="shared" si="283"/>
        <v>1118.7568321280914</v>
      </c>
      <c r="E997" s="96">
        <f t="shared" si="284"/>
        <v>7.9412632838154993E-173</v>
      </c>
      <c r="F997" s="96">
        <f t="shared" si="285"/>
        <v>8.4334729200219037E-170</v>
      </c>
      <c r="G997" s="96">
        <f t="shared" si="288"/>
        <v>-0.29799999999999999</v>
      </c>
      <c r="I997" s="96">
        <f t="shared" si="286"/>
        <v>0</v>
      </c>
      <c r="J997" s="96">
        <f t="shared" si="287"/>
        <v>1.3409999999999953</v>
      </c>
    </row>
    <row r="998" spans="1:10" ht="12.75" customHeight="1">
      <c r="A998" s="96">
        <f>IF(MAX($F$104:F998)=$G$99,$G$99,F998)</f>
        <v>15.906595441861038</v>
      </c>
      <c r="B998" s="96">
        <v>895</v>
      </c>
      <c r="C998" s="96">
        <f t="shared" si="289"/>
        <v>1.3424999999999954</v>
      </c>
      <c r="D998" s="96">
        <f t="shared" si="283"/>
        <v>1121.2610436159089</v>
      </c>
      <c r="E998" s="96">
        <f t="shared" si="284"/>
        <v>2.5271203098319152E-173</v>
      </c>
      <c r="F998" s="96">
        <f t="shared" si="285"/>
        <v>2.6887548553145804E-170</v>
      </c>
      <c r="G998" s="96">
        <f t="shared" si="288"/>
        <v>-0.29799999999999999</v>
      </c>
      <c r="I998" s="96">
        <f t="shared" si="286"/>
        <v>0</v>
      </c>
      <c r="J998" s="96">
        <f t="shared" si="287"/>
        <v>1.3424999999999954</v>
      </c>
    </row>
    <row r="999" spans="1:10" ht="12.75" customHeight="1">
      <c r="A999" s="96">
        <f>IF(MAX($F$104:F999)=$G$99,$G$99,F999)</f>
        <v>15.906595441861038</v>
      </c>
      <c r="B999" s="481">
        <v>896</v>
      </c>
      <c r="C999" s="96">
        <f t="shared" si="289"/>
        <v>1.3439999999999954</v>
      </c>
      <c r="D999" s="96">
        <f t="shared" si="283"/>
        <v>1123.7680546693919</v>
      </c>
      <c r="E999" s="96">
        <f t="shared" si="284"/>
        <v>8.0297605731661235E-174</v>
      </c>
      <c r="F999" s="96">
        <f t="shared" si="285"/>
        <v>8.5592492371951528E-171</v>
      </c>
      <c r="G999" s="96">
        <f t="shared" si="288"/>
        <v>-0.29799999999999999</v>
      </c>
      <c r="I999" s="96">
        <f t="shared" si="286"/>
        <v>0</v>
      </c>
      <c r="J999" s="96">
        <f t="shared" si="287"/>
        <v>1.3439999999999954</v>
      </c>
    </row>
    <row r="1000" spans="1:10" ht="12.75" customHeight="1">
      <c r="A1000" s="96">
        <f>IF(MAX($F$104:F1000)=$G$99,$G$99,F1000)</f>
        <v>15.906595441861038</v>
      </c>
      <c r="B1000" s="481">
        <v>897</v>
      </c>
      <c r="C1000" s="96">
        <f t="shared" si="289"/>
        <v>1.3454999999999955</v>
      </c>
      <c r="D1000" s="96">
        <f t="shared" ref="D1000:D1063" si="290">C1000^2/$C$96</f>
        <v>1126.2778652885404</v>
      </c>
      <c r="E1000" s="96">
        <f t="shared" ref="E1000:E1063" si="291">CHIDIST(D1000,$E$96)</f>
        <v>2.5475325570930832E-174</v>
      </c>
      <c r="F1000" s="96">
        <f t="shared" ref="F1000:F1063" si="292">IF($E$7&lt;$F$101,NA(),$E$98*(E999-E1001)/(2*$C$99))</f>
        <v>2.7205703925359029E-171</v>
      </c>
      <c r="G1000" s="96">
        <f t="shared" si="288"/>
        <v>-0.29799999999999999</v>
      </c>
      <c r="I1000" s="96">
        <f t="shared" ref="I1000:I1063" si="293">IF(F1000&gt;$G$98,1,0)</f>
        <v>0</v>
      </c>
      <c r="J1000" s="96">
        <f t="shared" ref="J1000:J1063" si="294">C1000</f>
        <v>1.3454999999999955</v>
      </c>
    </row>
    <row r="1001" spans="1:10" ht="12.75" customHeight="1">
      <c r="A1001" s="96">
        <f>IF(MAX($F$104:F1001)=$G$99,$G$99,F1001)</f>
        <v>15.906595441861038</v>
      </c>
      <c r="B1001" s="96">
        <v>898</v>
      </c>
      <c r="C1001" s="96">
        <f t="shared" si="289"/>
        <v>1.3469999999999955</v>
      </c>
      <c r="D1001" s="96">
        <f t="shared" si="290"/>
        <v>1128.7904754733543</v>
      </c>
      <c r="E1001" s="96">
        <f t="shared" si="291"/>
        <v>8.0700731864602752E-175</v>
      </c>
      <c r="F1001" s="96">
        <f t="shared" si="292"/>
        <v>8.6342418278397449E-172</v>
      </c>
      <c r="G1001" s="96">
        <f t="shared" ref="G1001:G1064" si="295">F1001-$G$101</f>
        <v>-0.29799999999999999</v>
      </c>
      <c r="I1001" s="96">
        <f t="shared" si="293"/>
        <v>0</v>
      </c>
      <c r="J1001" s="96">
        <f t="shared" si="294"/>
        <v>1.3469999999999955</v>
      </c>
    </row>
    <row r="1002" spans="1:10" ht="12.75" customHeight="1">
      <c r="A1002" s="96">
        <f>IF(MAX($F$104:F1002)=$G$99,$G$99,F1002)</f>
        <v>15.906595441861038</v>
      </c>
      <c r="B1002" s="481">
        <v>899</v>
      </c>
      <c r="C1002" s="96">
        <f t="shared" si="289"/>
        <v>1.3484999999999956</v>
      </c>
      <c r="D1002" s="96">
        <f t="shared" si="290"/>
        <v>1131.3058852238339</v>
      </c>
      <c r="E1002" s="96">
        <f t="shared" si="291"/>
        <v>2.5525596563120397E-175</v>
      </c>
      <c r="F1002" s="96">
        <f t="shared" si="292"/>
        <v>2.7360782364839001E-172</v>
      </c>
      <c r="G1002" s="96">
        <f t="shared" si="295"/>
        <v>-0.29799999999999999</v>
      </c>
      <c r="I1002" s="96">
        <f t="shared" si="293"/>
        <v>0</v>
      </c>
      <c r="J1002" s="96">
        <f t="shared" si="294"/>
        <v>1.3484999999999956</v>
      </c>
    </row>
    <row r="1003" spans="1:10" ht="12.75" customHeight="1">
      <c r="A1003" s="96">
        <f>IF(MAX($F$104:F1003)=$G$99,$G$99,F1003)</f>
        <v>15.906595441861038</v>
      </c>
      <c r="B1003" s="481">
        <v>900</v>
      </c>
      <c r="C1003" s="96">
        <f t="shared" si="289"/>
        <v>1.3499999999999956</v>
      </c>
      <c r="D1003" s="96">
        <f t="shared" si="290"/>
        <v>1133.8240945399789</v>
      </c>
      <c r="E1003" s="96">
        <f t="shared" si="291"/>
        <v>8.0614866482160236E-176</v>
      </c>
      <c r="F1003" s="96">
        <f t="shared" si="292"/>
        <v>8.6571111514182676E-173</v>
      </c>
      <c r="G1003" s="96">
        <f t="shared" si="295"/>
        <v>-0.29799999999999999</v>
      </c>
      <c r="I1003" s="96">
        <f t="shared" si="293"/>
        <v>0</v>
      </c>
      <c r="J1003" s="96">
        <f t="shared" si="294"/>
        <v>1.3499999999999956</v>
      </c>
    </row>
    <row r="1004" spans="1:10" ht="12.75" customHeight="1">
      <c r="A1004" s="96">
        <f>IF(MAX($F$104:F1004)=$G$99,$G$99,F1004)</f>
        <v>15.906595441861038</v>
      </c>
      <c r="B1004" s="96">
        <v>901</v>
      </c>
      <c r="C1004" s="96">
        <f t="shared" si="289"/>
        <v>1.3514999999999957</v>
      </c>
      <c r="D1004" s="96">
        <f t="shared" si="290"/>
        <v>1136.3451034217896</v>
      </c>
      <c r="E1004" s="96">
        <f t="shared" si="291"/>
        <v>2.5421156301515447E-176</v>
      </c>
      <c r="F1004" s="96">
        <f t="shared" si="292"/>
        <v>2.7350027653477871E-173</v>
      </c>
      <c r="G1004" s="96">
        <f t="shared" si="295"/>
        <v>-0.29799999999999999</v>
      </c>
      <c r="I1004" s="96">
        <f t="shared" si="293"/>
        <v>0</v>
      </c>
      <c r="J1004" s="96">
        <f t="shared" si="294"/>
        <v>1.3514999999999957</v>
      </c>
    </row>
    <row r="1005" spans="1:10" ht="12.75" customHeight="1">
      <c r="A1005" s="96">
        <f>IF(MAX($F$104:F1005)=$G$99,$G$99,F1005)</f>
        <v>15.906595441861038</v>
      </c>
      <c r="B1005" s="481">
        <v>902</v>
      </c>
      <c r="C1005" s="96">
        <f t="shared" si="289"/>
        <v>1.3529999999999958</v>
      </c>
      <c r="D1005" s="96">
        <f t="shared" si="290"/>
        <v>1138.8689118692657</v>
      </c>
      <c r="E1005" s="96">
        <f t="shared" si="291"/>
        <v>8.004173596820753E-177</v>
      </c>
      <c r="F1005" s="96">
        <f t="shared" si="292"/>
        <v>8.6274600191160391E-174</v>
      </c>
      <c r="G1005" s="96">
        <f t="shared" si="295"/>
        <v>-0.29799999999999999</v>
      </c>
      <c r="I1005" s="96">
        <f t="shared" si="293"/>
        <v>0</v>
      </c>
      <c r="J1005" s="96">
        <f t="shared" si="294"/>
        <v>1.3529999999999958</v>
      </c>
    </row>
    <row r="1006" spans="1:10" ht="12.75" customHeight="1">
      <c r="A1006" s="96">
        <f>IF(MAX($F$104:F1006)=$G$99,$G$99,F1006)</f>
        <v>15.906595441861038</v>
      </c>
      <c r="B1006" s="481">
        <v>903</v>
      </c>
      <c r="C1006" s="96">
        <f t="shared" si="289"/>
        <v>1.3544999999999958</v>
      </c>
      <c r="D1006" s="96">
        <f t="shared" si="290"/>
        <v>1141.3955198824074</v>
      </c>
      <c r="E1006" s="96">
        <f t="shared" si="291"/>
        <v>2.5163951888179981E-177</v>
      </c>
      <c r="F1006" s="96">
        <f t="shared" si="292"/>
        <v>2.7173693042394573E-174</v>
      </c>
      <c r="G1006" s="96">
        <f t="shared" si="295"/>
        <v>-0.29799999999999999</v>
      </c>
      <c r="I1006" s="96">
        <f t="shared" si="293"/>
        <v>0</v>
      </c>
      <c r="J1006" s="96">
        <f t="shared" si="294"/>
        <v>1.3544999999999958</v>
      </c>
    </row>
    <row r="1007" spans="1:10" ht="12.75" customHeight="1">
      <c r="A1007" s="96">
        <f>IF(MAX($F$104:F1007)=$G$99,$G$99,F1007)</f>
        <v>15.906595441861038</v>
      </c>
      <c r="B1007" s="96">
        <v>904</v>
      </c>
      <c r="C1007" s="96">
        <f t="shared" si="289"/>
        <v>1.3559999999999959</v>
      </c>
      <c r="D1007" s="96">
        <f t="shared" si="290"/>
        <v>1143.9249274612146</v>
      </c>
      <c r="E1007" s="96">
        <f t="shared" si="291"/>
        <v>7.8991880680449452E-178</v>
      </c>
      <c r="F1007" s="96">
        <f t="shared" si="292"/>
        <v>8.5458450447653201E-175</v>
      </c>
      <c r="G1007" s="96">
        <f t="shared" si="295"/>
        <v>-0.29799999999999999</v>
      </c>
      <c r="I1007" s="96">
        <f t="shared" si="293"/>
        <v>0</v>
      </c>
      <c r="J1007" s="96">
        <f t="shared" si="294"/>
        <v>1.3559999999999959</v>
      </c>
    </row>
    <row r="1008" spans="1:10" ht="12.75" customHeight="1">
      <c r="A1008" s="96">
        <f>IF(MAX($F$104:F1008)=$G$99,$G$99,F1008)</f>
        <v>15.906595441861038</v>
      </c>
      <c r="B1008" s="481">
        <v>905</v>
      </c>
      <c r="C1008" s="96">
        <f t="shared" si="289"/>
        <v>1.3574999999999959</v>
      </c>
      <c r="D1008" s="96">
        <f t="shared" si="290"/>
        <v>1146.4571346056873</v>
      </c>
      <c r="E1008" s="96">
        <f t="shared" si="291"/>
        <v>2.4758676985375357E-178</v>
      </c>
      <c r="F1008" s="96">
        <f t="shared" si="292"/>
        <v>2.6835031857291034E-175</v>
      </c>
      <c r="G1008" s="96">
        <f t="shared" si="295"/>
        <v>-0.29799999999999999</v>
      </c>
      <c r="I1008" s="96">
        <f t="shared" si="293"/>
        <v>0</v>
      </c>
      <c r="J1008" s="96">
        <f t="shared" si="294"/>
        <v>1.3574999999999959</v>
      </c>
    </row>
    <row r="1009" spans="1:10" ht="12.75" customHeight="1">
      <c r="A1009" s="96">
        <f>IF(MAX($F$104:F1009)=$G$99,$G$99,F1009)</f>
        <v>15.906595441861038</v>
      </c>
      <c r="B1009" s="481">
        <v>906</v>
      </c>
      <c r="C1009" s="96">
        <f t="shared" si="289"/>
        <v>1.358999999999996</v>
      </c>
      <c r="D1009" s="96">
        <f t="shared" si="290"/>
        <v>1148.9921413158256</v>
      </c>
      <c r="E1009" s="96">
        <f t="shared" si="291"/>
        <v>7.7484332717121983E-179</v>
      </c>
      <c r="F1009" s="96">
        <f t="shared" si="292"/>
        <v>8.4137592895287927E-176</v>
      </c>
      <c r="G1009" s="96">
        <f t="shared" si="295"/>
        <v>-0.29799999999999999</v>
      </c>
      <c r="I1009" s="96">
        <f t="shared" si="293"/>
        <v>0</v>
      </c>
      <c r="J1009" s="96">
        <f t="shared" si="294"/>
        <v>1.358999999999996</v>
      </c>
    </row>
    <row r="1010" spans="1:10" ht="12.75" customHeight="1">
      <c r="A1010" s="96">
        <f>IF(MAX($F$104:F1010)=$G$99,$G$99,F1010)</f>
        <v>15.906595441861038</v>
      </c>
      <c r="B1010" s="96">
        <v>907</v>
      </c>
      <c r="C1010" s="96">
        <f t="shared" si="289"/>
        <v>1.360499999999996</v>
      </c>
      <c r="D1010" s="96">
        <f t="shared" si="290"/>
        <v>1151.5299475916293</v>
      </c>
      <c r="E1010" s="96">
        <f t="shared" si="291"/>
        <v>2.421262942378564E-179</v>
      </c>
      <c r="F1010" s="96">
        <f t="shared" si="292"/>
        <v>2.6340197727479761E-176</v>
      </c>
      <c r="G1010" s="96">
        <f t="shared" si="295"/>
        <v>-0.29799999999999999</v>
      </c>
      <c r="I1010" s="96">
        <f t="shared" si="293"/>
        <v>0</v>
      </c>
      <c r="J1010" s="96">
        <f t="shared" si="294"/>
        <v>1.360499999999996</v>
      </c>
    </row>
    <row r="1011" spans="1:10" ht="12.75" customHeight="1">
      <c r="A1011" s="96">
        <f>IF(MAX($F$104:F1011)=$G$99,$G$99,F1011)</f>
        <v>15.906595441861038</v>
      </c>
      <c r="B1011" s="481">
        <v>908</v>
      </c>
      <c r="C1011" s="96">
        <f t="shared" si="289"/>
        <v>1.3619999999999961</v>
      </c>
      <c r="D1011" s="96">
        <f t="shared" si="290"/>
        <v>1154.0705534330987</v>
      </c>
      <c r="E1011" s="96">
        <f t="shared" si="291"/>
        <v>7.5546042370872174E-180</v>
      </c>
      <c r="F1011" s="96">
        <f t="shared" si="292"/>
        <v>8.2335868554233988E-177</v>
      </c>
      <c r="G1011" s="96">
        <f t="shared" si="295"/>
        <v>-0.29799999999999999</v>
      </c>
      <c r="I1011" s="96">
        <f t="shared" si="293"/>
        <v>0</v>
      </c>
      <c r="J1011" s="96">
        <f t="shared" si="294"/>
        <v>1.3619999999999961</v>
      </c>
    </row>
    <row r="1012" spans="1:10" ht="12.75" customHeight="1">
      <c r="A1012" s="96">
        <f>IF(MAX($F$104:F1012)=$G$99,$G$99,F1012)</f>
        <v>15.906595441861038</v>
      </c>
      <c r="B1012" s="481">
        <v>909</v>
      </c>
      <c r="C1012" s="96">
        <f t="shared" si="289"/>
        <v>1.3634999999999962</v>
      </c>
      <c r="D1012" s="96">
        <f t="shared" si="290"/>
        <v>1156.6139588402334</v>
      </c>
      <c r="E1012" s="96">
        <f t="shared" si="291"/>
        <v>2.3535492766438694E-180</v>
      </c>
      <c r="F1012" s="96">
        <f t="shared" si="292"/>
        <v>2.5698058710765741E-177</v>
      </c>
      <c r="G1012" s="96">
        <f t="shared" si="295"/>
        <v>-0.29799999999999999</v>
      </c>
      <c r="I1012" s="96">
        <f t="shared" si="293"/>
        <v>0</v>
      </c>
      <c r="J1012" s="96">
        <f t="shared" si="294"/>
        <v>1.3634999999999962</v>
      </c>
    </row>
    <row r="1013" spans="1:10" ht="12.75" customHeight="1">
      <c r="A1013" s="96">
        <f>IF(MAX($F$104:F1013)=$G$99,$G$99,F1013)</f>
        <v>15.906595441861038</v>
      </c>
      <c r="B1013" s="96">
        <v>910</v>
      </c>
      <c r="C1013" s="96">
        <f t="shared" si="289"/>
        <v>1.3649999999999962</v>
      </c>
      <c r="D1013" s="96">
        <f t="shared" si="290"/>
        <v>1159.1601638130339</v>
      </c>
      <c r="E1013" s="96">
        <f t="shared" si="291"/>
        <v>7.3211077405206467E-181</v>
      </c>
      <c r="F1013" s="96">
        <f t="shared" si="292"/>
        <v>8.0085313559697034E-178</v>
      </c>
      <c r="G1013" s="96">
        <f t="shared" si="295"/>
        <v>-0.29799999999999999</v>
      </c>
      <c r="I1013" s="96">
        <f t="shared" si="293"/>
        <v>0</v>
      </c>
      <c r="J1013" s="96">
        <f t="shared" si="294"/>
        <v>1.3649999999999962</v>
      </c>
    </row>
    <row r="1014" spans="1:10" ht="12.75" customHeight="1">
      <c r="A1014" s="96">
        <f>IF(MAX($F$104:F1014)=$G$99,$G$99,F1014)</f>
        <v>15.906595441861038</v>
      </c>
      <c r="B1014" s="481">
        <v>911</v>
      </c>
      <c r="C1014" s="96">
        <f t="shared" si="289"/>
        <v>1.3664999999999963</v>
      </c>
      <c r="D1014" s="96">
        <f t="shared" si="290"/>
        <v>1161.7091683514998</v>
      </c>
      <c r="E1014" s="96">
        <f t="shared" si="291"/>
        <v>2.2739050957226693E-181</v>
      </c>
      <c r="F1014" s="96">
        <f t="shared" si="292"/>
        <v>2.4919933154172275E-178</v>
      </c>
      <c r="G1014" s="96">
        <f t="shared" si="295"/>
        <v>-0.29799999999999999</v>
      </c>
      <c r="I1014" s="96">
        <f t="shared" si="293"/>
        <v>0</v>
      </c>
      <c r="J1014" s="96">
        <f t="shared" si="294"/>
        <v>1.3664999999999963</v>
      </c>
    </row>
    <row r="1015" spans="1:10" ht="12.75" customHeight="1">
      <c r="A1015" s="96">
        <f>IF(MAX($F$104:F1015)=$G$99,$G$99,F1015)</f>
        <v>15.906595441861038</v>
      </c>
      <c r="B1015" s="481">
        <v>912</v>
      </c>
      <c r="C1015" s="96">
        <f t="shared" si="289"/>
        <v>1.3679999999999963</v>
      </c>
      <c r="D1015" s="96">
        <f t="shared" si="290"/>
        <v>1164.2609724556312</v>
      </c>
      <c r="E1015" s="96">
        <f t="shared" si="291"/>
        <v>7.0519628366074953E-182</v>
      </c>
      <c r="F1015" s="96">
        <f t="shared" si="292"/>
        <v>7.7425212604504931E-179</v>
      </c>
      <c r="G1015" s="96">
        <f t="shared" si="295"/>
        <v>-0.29799999999999999</v>
      </c>
      <c r="I1015" s="96">
        <f t="shared" si="293"/>
        <v>0</v>
      </c>
      <c r="J1015" s="96">
        <f t="shared" si="294"/>
        <v>1.3679999999999963</v>
      </c>
    </row>
    <row r="1016" spans="1:10" ht="12.75" customHeight="1">
      <c r="A1016" s="96">
        <f>IF(MAX($F$104:F1016)=$G$99,$G$99,F1016)</f>
        <v>15.906595441861038</v>
      </c>
      <c r="B1016" s="96">
        <v>913</v>
      </c>
      <c r="C1016" s="96">
        <f t="shared" si="289"/>
        <v>1.3694999999999964</v>
      </c>
      <c r="D1016" s="96">
        <f t="shared" si="290"/>
        <v>1166.8155761254282</v>
      </c>
      <c r="E1016" s="96">
        <f t="shared" si="291"/>
        <v>2.1836847790395424E-182</v>
      </c>
      <c r="F1016" s="96">
        <f t="shared" si="292"/>
        <v>2.4019258274192289E-179</v>
      </c>
      <c r="G1016" s="96">
        <f t="shared" si="295"/>
        <v>-0.29799999999999999</v>
      </c>
      <c r="I1016" s="96">
        <f t="shared" si="293"/>
        <v>0</v>
      </c>
      <c r="J1016" s="96">
        <f t="shared" si="294"/>
        <v>1.3694999999999964</v>
      </c>
    </row>
    <row r="1017" spans="1:10" ht="12.75" customHeight="1">
      <c r="A1017" s="96">
        <f>IF(MAX($F$104:F1017)=$G$99,$G$99,F1017)</f>
        <v>15.906595441861038</v>
      </c>
      <c r="B1017" s="481">
        <v>914</v>
      </c>
      <c r="C1017" s="96">
        <f t="shared" si="289"/>
        <v>1.3709999999999964</v>
      </c>
      <c r="D1017" s="96">
        <f t="shared" si="290"/>
        <v>1169.3729793608907</v>
      </c>
      <c r="E1017" s="96">
        <f t="shared" si="291"/>
        <v>6.7516860452104646E-183</v>
      </c>
      <c r="F1017" s="96">
        <f t="shared" si="292"/>
        <v>7.4400960155001405E-180</v>
      </c>
      <c r="G1017" s="96">
        <f t="shared" si="295"/>
        <v>-0.29799999999999999</v>
      </c>
      <c r="I1017" s="96">
        <f t="shared" si="293"/>
        <v>0</v>
      </c>
      <c r="J1017" s="96">
        <f t="shared" si="294"/>
        <v>1.3709999999999964</v>
      </c>
    </row>
    <row r="1018" spans="1:10" ht="12.75" customHeight="1">
      <c r="A1018" s="96">
        <f>IF(MAX($F$104:F1018)=$G$99,$G$99,F1018)</f>
        <v>15.906595441861038</v>
      </c>
      <c r="B1018" s="481">
        <v>915</v>
      </c>
      <c r="C1018" s="96">
        <f t="shared" si="289"/>
        <v>1.3724999999999965</v>
      </c>
      <c r="D1018" s="96">
        <f t="shared" si="290"/>
        <v>1171.9331821620187</v>
      </c>
      <c r="E1018" s="96">
        <f t="shared" si="291"/>
        <v>2.0843804926074371E-183</v>
      </c>
      <c r="F1018" s="96">
        <f t="shared" si="292"/>
        <v>2.3011204998326714E-180</v>
      </c>
      <c r="G1018" s="96">
        <f t="shared" si="295"/>
        <v>-0.29799999999999999</v>
      </c>
      <c r="I1018" s="96">
        <f t="shared" si="293"/>
        <v>0</v>
      </c>
      <c r="J1018" s="96">
        <f t="shared" si="294"/>
        <v>1.3724999999999965</v>
      </c>
    </row>
    <row r="1019" spans="1:10" ht="12.75" customHeight="1">
      <c r="A1019" s="96">
        <f>IF(MAX($F$104:F1019)=$G$99,$G$99,F1019)</f>
        <v>15.906595441861038</v>
      </c>
      <c r="B1019" s="96">
        <v>916</v>
      </c>
      <c r="C1019" s="96">
        <f t="shared" si="289"/>
        <v>1.3739999999999966</v>
      </c>
      <c r="D1019" s="96">
        <f t="shared" si="290"/>
        <v>1174.4961845288124</v>
      </c>
      <c r="E1019" s="96">
        <f t="shared" si="291"/>
        <v>6.4251657662815027E-184</v>
      </c>
      <c r="F1019" s="96">
        <f t="shared" si="292"/>
        <v>7.1062775485996078E-181</v>
      </c>
      <c r="G1019" s="96">
        <f t="shared" si="295"/>
        <v>-0.29799999999999999</v>
      </c>
      <c r="I1019" s="96">
        <f t="shared" si="293"/>
        <v>0</v>
      </c>
      <c r="J1019" s="96">
        <f t="shared" si="294"/>
        <v>1.3739999999999966</v>
      </c>
    </row>
    <row r="1020" spans="1:10" ht="12.75" customHeight="1">
      <c r="A1020" s="96">
        <f>IF(MAX($F$104:F1020)=$G$99,$G$99,F1020)</f>
        <v>15.906595441861038</v>
      </c>
      <c r="B1020" s="481">
        <v>917</v>
      </c>
      <c r="C1020" s="96">
        <f t="shared" si="289"/>
        <v>1.3754999999999966</v>
      </c>
      <c r="D1020" s="96">
        <f t="shared" si="290"/>
        <v>1177.0619864612713</v>
      </c>
      <c r="E1020" s="96">
        <f t="shared" si="291"/>
        <v>1.977581345721427E-184</v>
      </c>
      <c r="F1020" s="96">
        <f t="shared" si="292"/>
        <v>2.1912254458844401E-181</v>
      </c>
      <c r="G1020" s="96">
        <f t="shared" si="295"/>
        <v>-0.29799999999999999</v>
      </c>
      <c r="I1020" s="96">
        <f t="shared" si="293"/>
        <v>0</v>
      </c>
      <c r="J1020" s="96">
        <f t="shared" si="294"/>
        <v>1.3754999999999966</v>
      </c>
    </row>
    <row r="1021" spans="1:10" ht="12.75" customHeight="1">
      <c r="A1021" s="96">
        <f>IF(MAX($F$104:F1021)=$G$99,$G$99,F1021)</f>
        <v>15.906595441861038</v>
      </c>
      <c r="B1021" s="481">
        <v>918</v>
      </c>
      <c r="C1021" s="96">
        <f t="shared" si="289"/>
        <v>1.3769999999999967</v>
      </c>
      <c r="D1021" s="96">
        <f t="shared" si="290"/>
        <v>1179.6305879593961</v>
      </c>
      <c r="E1021" s="96">
        <f t="shared" si="291"/>
        <v>6.0775307809272291E-185</v>
      </c>
      <c r="F1021" s="96">
        <f t="shared" si="292"/>
        <v>6.7464322204701251E-182</v>
      </c>
      <c r="G1021" s="96">
        <f t="shared" si="295"/>
        <v>-0.29799999999999999</v>
      </c>
      <c r="I1021" s="96">
        <f t="shared" si="293"/>
        <v>0</v>
      </c>
      <c r="J1021" s="96">
        <f t="shared" si="294"/>
        <v>1.3769999999999967</v>
      </c>
    </row>
    <row r="1022" spans="1:10" ht="12.75" customHeight="1">
      <c r="A1022" s="96">
        <f>IF(MAX($F$104:F1022)=$G$99,$G$99,F1022)</f>
        <v>15.906595441861038</v>
      </c>
      <c r="B1022" s="96">
        <v>919</v>
      </c>
      <c r="C1022" s="96">
        <f t="shared" si="289"/>
        <v>1.3784999999999967</v>
      </c>
      <c r="D1022" s="96">
        <f t="shared" si="290"/>
        <v>1182.2019890231861</v>
      </c>
      <c r="E1022" s="96">
        <f t="shared" si="291"/>
        <v>1.864931455966148E-185</v>
      </c>
      <c r="F1022" s="96">
        <f t="shared" si="292"/>
        <v>2.0739752591373796E-182</v>
      </c>
      <c r="G1022" s="96">
        <f t="shared" si="295"/>
        <v>-0.29799999999999999</v>
      </c>
      <c r="I1022" s="96">
        <f t="shared" si="293"/>
        <v>0</v>
      </c>
      <c r="J1022" s="96">
        <f t="shared" si="294"/>
        <v>1.3784999999999967</v>
      </c>
    </row>
    <row r="1023" spans="1:10" ht="12.75" customHeight="1">
      <c r="A1023" s="96">
        <f>IF(MAX($F$104:F1023)=$G$99,$G$99,F1023)</f>
        <v>15.906595441861038</v>
      </c>
      <c r="B1023" s="481">
        <v>920</v>
      </c>
      <c r="C1023" s="96">
        <f t="shared" si="289"/>
        <v>1.3799999999999968</v>
      </c>
      <c r="D1023" s="96">
        <f t="shared" si="290"/>
        <v>1184.776189652642</v>
      </c>
      <c r="E1023" s="96">
        <f t="shared" si="291"/>
        <v>5.7140177436781432E-186</v>
      </c>
      <c r="F1023" s="96">
        <f t="shared" si="292"/>
        <v>6.3661285001509429E-183</v>
      </c>
      <c r="G1023" s="96">
        <f t="shared" si="295"/>
        <v>-0.29799999999999999</v>
      </c>
      <c r="I1023" s="96">
        <f t="shared" si="293"/>
        <v>0</v>
      </c>
      <c r="J1023" s="96">
        <f t="shared" si="294"/>
        <v>1.3799999999999968</v>
      </c>
    </row>
    <row r="1024" spans="1:10" ht="12.75" customHeight="1">
      <c r="A1024" s="96">
        <f>IF(MAX($F$104:F1024)=$G$99,$G$99,F1024)</f>
        <v>15.906595441861038</v>
      </c>
      <c r="B1024" s="481">
        <v>921</v>
      </c>
      <c r="C1024" s="96">
        <f t="shared" si="289"/>
        <v>1.3814999999999968</v>
      </c>
      <c r="D1024" s="96">
        <f t="shared" si="290"/>
        <v>1187.3531898477631</v>
      </c>
      <c r="E1024" s="96">
        <f t="shared" si="291"/>
        <v>1.7480884530660513E-186</v>
      </c>
      <c r="F1024" s="96">
        <f t="shared" si="292"/>
        <v>1.9511459536276061E-183</v>
      </c>
      <c r="G1024" s="96">
        <f t="shared" si="295"/>
        <v>-0.29799999999999999</v>
      </c>
      <c r="I1024" s="96">
        <f t="shared" si="293"/>
        <v>0</v>
      </c>
      <c r="J1024" s="96">
        <f t="shared" si="294"/>
        <v>1.3814999999999968</v>
      </c>
    </row>
    <row r="1025" spans="1:10" ht="12.75" customHeight="1">
      <c r="A1025" s="96">
        <f>IF(MAX($F$104:F1025)=$G$99,$G$99,F1025)</f>
        <v>15.906595441861038</v>
      </c>
      <c r="B1025" s="96">
        <v>922</v>
      </c>
      <c r="C1025" s="96">
        <f t="shared" si="289"/>
        <v>1.3829999999999969</v>
      </c>
      <c r="D1025" s="96">
        <f t="shared" si="290"/>
        <v>1189.9329896085499</v>
      </c>
      <c r="E1025" s="96">
        <f t="shared" si="291"/>
        <v>5.3398423847210845E-187</v>
      </c>
      <c r="F1025" s="96">
        <f t="shared" si="292"/>
        <v>5.9709955864608382E-184</v>
      </c>
      <c r="G1025" s="96">
        <f t="shared" si="295"/>
        <v>-0.29799999999999999</v>
      </c>
      <c r="I1025" s="96">
        <f t="shared" si="293"/>
        <v>0</v>
      </c>
      <c r="J1025" s="96">
        <f t="shared" si="294"/>
        <v>1.3829999999999969</v>
      </c>
    </row>
    <row r="1026" spans="1:10" ht="12.75" customHeight="1">
      <c r="A1026" s="96">
        <f>IF(MAX($F$104:F1026)=$G$99,$G$99,F1026)</f>
        <v>15.906595441861038</v>
      </c>
      <c r="B1026" s="481">
        <v>923</v>
      </c>
      <c r="C1026" s="96">
        <f t="shared" si="289"/>
        <v>1.384499999999997</v>
      </c>
      <c r="D1026" s="96">
        <f t="shared" si="290"/>
        <v>1192.5155889350021</v>
      </c>
      <c r="E1026" s="96">
        <f t="shared" si="291"/>
        <v>1.628683858640588E-187</v>
      </c>
      <c r="F1026" s="96">
        <f t="shared" si="292"/>
        <v>1.8245109989380161E-184</v>
      </c>
      <c r="G1026" s="96">
        <f t="shared" si="295"/>
        <v>-0.29799999999999999</v>
      </c>
      <c r="I1026" s="96">
        <f t="shared" si="293"/>
        <v>0</v>
      </c>
      <c r="J1026" s="96">
        <f t="shared" si="294"/>
        <v>1.384499999999997</v>
      </c>
    </row>
    <row r="1027" spans="1:10" ht="12.75" customHeight="1">
      <c r="A1027" s="96">
        <f>IF(MAX($F$104:F1027)=$G$99,$G$99,F1027)</f>
        <v>15.906595441861038</v>
      </c>
      <c r="B1027" s="481">
        <v>924</v>
      </c>
      <c r="C1027" s="96">
        <f t="shared" ref="C1027:C1090" si="296">C1026+$C$99</f>
        <v>1.385999999999997</v>
      </c>
      <c r="D1027" s="96">
        <f t="shared" si="290"/>
        <v>1195.10098782712</v>
      </c>
      <c r="E1027" s="96">
        <f t="shared" si="291"/>
        <v>4.9600787426617425E-188</v>
      </c>
      <c r="F1027" s="96">
        <f t="shared" si="292"/>
        <v>5.5665879061791912E-185</v>
      </c>
      <c r="G1027" s="96">
        <f t="shared" si="295"/>
        <v>-0.29799999999999999</v>
      </c>
      <c r="I1027" s="96">
        <f t="shared" si="293"/>
        <v>0</v>
      </c>
      <c r="J1027" s="96">
        <f t="shared" si="294"/>
        <v>1.385999999999997</v>
      </c>
    </row>
    <row r="1028" spans="1:10" ht="12.75" customHeight="1">
      <c r="A1028" s="96">
        <f>IF(MAX($F$104:F1028)=$G$99,$G$99,F1028)</f>
        <v>15.906595441861038</v>
      </c>
      <c r="B1028" s="96">
        <v>925</v>
      </c>
      <c r="C1028" s="96">
        <f t="shared" si="296"/>
        <v>1.3874999999999971</v>
      </c>
      <c r="D1028" s="96">
        <f t="shared" si="290"/>
        <v>1197.6891862849034</v>
      </c>
      <c r="E1028" s="96">
        <f t="shared" si="291"/>
        <v>1.5082866230982916E-188</v>
      </c>
      <c r="F1028" s="96">
        <f t="shared" si="292"/>
        <v>1.6957999366562562E-185</v>
      </c>
      <c r="G1028" s="96">
        <f t="shared" si="295"/>
        <v>-0.29799999999999999</v>
      </c>
      <c r="I1028" s="96">
        <f t="shared" si="293"/>
        <v>0</v>
      </c>
      <c r="J1028" s="96">
        <f t="shared" si="294"/>
        <v>1.3874999999999971</v>
      </c>
    </row>
    <row r="1029" spans="1:10" ht="12.75" customHeight="1">
      <c r="A1029" s="96">
        <f>IF(MAX($F$104:F1029)=$G$99,$G$99,F1029)</f>
        <v>15.906595441861038</v>
      </c>
      <c r="B1029" s="481">
        <v>926</v>
      </c>
      <c r="C1029" s="96">
        <f t="shared" si="296"/>
        <v>1.3889999999999971</v>
      </c>
      <c r="D1029" s="96">
        <f t="shared" si="290"/>
        <v>1200.2801843083521</v>
      </c>
      <c r="E1029" s="96">
        <f t="shared" si="291"/>
        <v>4.5795501702566419E-189</v>
      </c>
      <c r="F1029" s="96">
        <f t="shared" si="292"/>
        <v>5.1582599101393115E-186</v>
      </c>
      <c r="G1029" s="96">
        <f t="shared" si="295"/>
        <v>-0.29799999999999999</v>
      </c>
      <c r="I1029" s="96">
        <f t="shared" si="293"/>
        <v>0</v>
      </c>
      <c r="J1029" s="96">
        <f t="shared" si="294"/>
        <v>1.3889999999999971</v>
      </c>
    </row>
    <row r="1030" spans="1:10" ht="12.75" customHeight="1">
      <c r="A1030" s="96">
        <f>IF(MAX($F$104:F1030)=$G$99,$G$99,F1030)</f>
        <v>15.906595441861038</v>
      </c>
      <c r="B1030" s="481">
        <v>927</v>
      </c>
      <c r="C1030" s="96">
        <f t="shared" si="296"/>
        <v>1.3904999999999972</v>
      </c>
      <c r="D1030" s="96">
        <f t="shared" si="290"/>
        <v>1202.8739818974666</v>
      </c>
      <c r="E1030" s="96">
        <f t="shared" si="291"/>
        <v>1.3883708943298762E-189</v>
      </c>
      <c r="F1030" s="96">
        <f t="shared" si="292"/>
        <v>1.5666608739236415E-186</v>
      </c>
      <c r="G1030" s="96">
        <f t="shared" si="295"/>
        <v>-0.29799999999999999</v>
      </c>
      <c r="I1030" s="96">
        <f t="shared" si="293"/>
        <v>0</v>
      </c>
      <c r="J1030" s="96">
        <f t="shared" si="294"/>
        <v>1.3904999999999972</v>
      </c>
    </row>
    <row r="1031" spans="1:10" ht="12.75" customHeight="1">
      <c r="A1031" s="96">
        <f>IF(MAX($F$104:F1031)=$G$99,$G$99,F1031)</f>
        <v>15.906595441861038</v>
      </c>
      <c r="B1031" s="96">
        <v>928</v>
      </c>
      <c r="C1031" s="96">
        <f t="shared" si="296"/>
        <v>1.3919999999999972</v>
      </c>
      <c r="D1031" s="96">
        <f t="shared" si="290"/>
        <v>1205.4705790522464</v>
      </c>
      <c r="E1031" s="96">
        <f t="shared" si="291"/>
        <v>4.2027351382219523E-190</v>
      </c>
      <c r="F1031" s="96">
        <f t="shared" si="292"/>
        <v>4.7510549020194992E-187</v>
      </c>
      <c r="G1031" s="96">
        <f t="shared" si="295"/>
        <v>-0.29799999999999999</v>
      </c>
      <c r="I1031" s="96">
        <f t="shared" si="293"/>
        <v>0</v>
      </c>
      <c r="J1031" s="96">
        <f t="shared" si="294"/>
        <v>1.3919999999999972</v>
      </c>
    </row>
    <row r="1032" spans="1:10" ht="12.75" customHeight="1">
      <c r="A1032" s="96">
        <f>IF(MAX($F$104:F1032)=$G$99,$G$99,F1032)</f>
        <v>15.906595441861038</v>
      </c>
      <c r="B1032" s="481">
        <v>929</v>
      </c>
      <c r="C1032" s="96">
        <f t="shared" si="296"/>
        <v>1.3934999999999973</v>
      </c>
      <c r="D1032" s="96">
        <f t="shared" si="290"/>
        <v>1208.069975772692</v>
      </c>
      <c r="E1032" s="96">
        <f t="shared" si="291"/>
        <v>1.2702888494416847E-190</v>
      </c>
      <c r="F1032" s="96">
        <f t="shared" si="292"/>
        <v>1.4386279101009193E-187</v>
      </c>
      <c r="G1032" s="96">
        <f t="shared" si="295"/>
        <v>-0.29799999999999999</v>
      </c>
      <c r="I1032" s="96">
        <f t="shared" si="293"/>
        <v>0</v>
      </c>
      <c r="J1032" s="96">
        <f t="shared" si="294"/>
        <v>1.3934999999999973</v>
      </c>
    </row>
    <row r="1033" spans="1:10" ht="12.75" customHeight="1">
      <c r="A1033" s="96">
        <f>IF(MAX($F$104:F1033)=$G$99,$G$99,F1033)</f>
        <v>15.906595441861038</v>
      </c>
      <c r="B1033" s="481">
        <v>930</v>
      </c>
      <c r="C1033" s="96">
        <f t="shared" si="296"/>
        <v>1.3949999999999974</v>
      </c>
      <c r="D1033" s="96">
        <f t="shared" si="290"/>
        <v>1210.672172058803</v>
      </c>
      <c r="E1033" s="96">
        <f t="shared" si="291"/>
        <v>3.8336900521066165E-191</v>
      </c>
      <c r="F1033" s="96">
        <f t="shared" si="292"/>
        <v>4.3496108175921086E-188</v>
      </c>
      <c r="G1033" s="96">
        <f t="shared" si="295"/>
        <v>-0.29799999999999999</v>
      </c>
      <c r="I1033" s="96">
        <f t="shared" si="293"/>
        <v>0</v>
      </c>
      <c r="J1033" s="96">
        <f t="shared" si="294"/>
        <v>1.3949999999999974</v>
      </c>
    </row>
    <row r="1034" spans="1:10" ht="12.75" customHeight="1">
      <c r="A1034" s="96">
        <f>IF(MAX($F$104:F1034)=$G$99,$G$99,F1034)</f>
        <v>15.906595441861038</v>
      </c>
      <c r="B1034" s="96">
        <v>931</v>
      </c>
      <c r="C1034" s="96">
        <f t="shared" si="296"/>
        <v>1.3964999999999974</v>
      </c>
      <c r="D1034" s="96">
        <f t="shared" si="290"/>
        <v>1213.2771679105795</v>
      </c>
      <c r="E1034" s="96">
        <f t="shared" si="291"/>
        <v>1.1552491556767338E-191</v>
      </c>
      <c r="F1034" s="96">
        <f t="shared" si="292"/>
        <v>1.3130942796109292E-188</v>
      </c>
      <c r="G1034" s="96">
        <f t="shared" si="295"/>
        <v>-0.29799999999999999</v>
      </c>
      <c r="I1034" s="96">
        <f t="shared" si="293"/>
        <v>0</v>
      </c>
      <c r="J1034" s="96">
        <f t="shared" si="294"/>
        <v>1.3964999999999974</v>
      </c>
    </row>
    <row r="1035" spans="1:10" ht="12.75" customHeight="1">
      <c r="A1035" s="96">
        <f>IF(MAX($F$104:F1035)=$G$99,$G$99,F1035)</f>
        <v>15.906595441861038</v>
      </c>
      <c r="B1035" s="481">
        <v>932</v>
      </c>
      <c r="C1035" s="96">
        <f t="shared" si="296"/>
        <v>1.3979999999999975</v>
      </c>
      <c r="D1035" s="96">
        <f t="shared" si="290"/>
        <v>1215.8849633280215</v>
      </c>
      <c r="E1035" s="96">
        <f t="shared" si="291"/>
        <v>3.4759904428999011E-192</v>
      </c>
      <c r="F1035" s="96">
        <f t="shared" si="292"/>
        <v>3.9580849759087756E-189</v>
      </c>
      <c r="G1035" s="96">
        <f t="shared" si="295"/>
        <v>-0.29799999999999999</v>
      </c>
      <c r="I1035" s="96">
        <f t="shared" si="293"/>
        <v>0</v>
      </c>
      <c r="J1035" s="96">
        <f t="shared" si="294"/>
        <v>1.3979999999999975</v>
      </c>
    </row>
    <row r="1036" spans="1:10" ht="12.75" customHeight="1">
      <c r="A1036" s="96">
        <f>IF(MAX($F$104:F1036)=$G$99,$G$99,F1036)</f>
        <v>15.906595441861038</v>
      </c>
      <c r="B1036" s="481">
        <v>933</v>
      </c>
      <c r="C1036" s="96">
        <f t="shared" si="296"/>
        <v>1.3994999999999975</v>
      </c>
      <c r="D1036" s="96">
        <f t="shared" si="290"/>
        <v>1218.4955583111291</v>
      </c>
      <c r="E1036" s="96">
        <f t="shared" si="291"/>
        <v>1.0443013552396153E-192</v>
      </c>
      <c r="F1036" s="96">
        <f t="shared" si="292"/>
        <v>1.1912917042719355E-189</v>
      </c>
      <c r="G1036" s="96">
        <f t="shared" si="295"/>
        <v>-0.29799999999999999</v>
      </c>
      <c r="I1036" s="96">
        <f t="shared" si="293"/>
        <v>0</v>
      </c>
      <c r="J1036" s="96">
        <f t="shared" si="294"/>
        <v>1.3994999999999975</v>
      </c>
    </row>
    <row r="1037" spans="1:10" ht="12.75" customHeight="1">
      <c r="A1037" s="96">
        <f>IF(MAX($F$104:F1037)=$G$99,$G$99,F1037)</f>
        <v>15.906595441861038</v>
      </c>
      <c r="B1037" s="96">
        <v>934</v>
      </c>
      <c r="C1037" s="96">
        <f t="shared" si="296"/>
        <v>1.4009999999999976</v>
      </c>
      <c r="D1037" s="96">
        <f t="shared" si="290"/>
        <v>1221.1089528599023</v>
      </c>
      <c r="E1037" s="96">
        <f t="shared" si="291"/>
        <v>3.1326910412485044E-193</v>
      </c>
      <c r="F1037" s="96">
        <f t="shared" si="292"/>
        <v>3.5800989006444001E-190</v>
      </c>
      <c r="G1037" s="96">
        <f t="shared" si="295"/>
        <v>-0.29799999999999999</v>
      </c>
      <c r="I1037" s="96">
        <f t="shared" si="293"/>
        <v>0</v>
      </c>
      <c r="J1037" s="96">
        <f t="shared" si="294"/>
        <v>1.4009999999999976</v>
      </c>
    </row>
    <row r="1038" spans="1:10" ht="12.75" customHeight="1">
      <c r="A1038" s="96">
        <f>IF(MAX($F$104:F1038)=$G$99,$G$99,F1038)</f>
        <v>15.906595441861038</v>
      </c>
      <c r="B1038" s="481">
        <v>935</v>
      </c>
      <c r="C1038" s="96">
        <f t="shared" si="296"/>
        <v>1.4024999999999976</v>
      </c>
      <c r="D1038" s="96">
        <f t="shared" si="290"/>
        <v>1223.725146974341</v>
      </c>
      <c r="E1038" s="96">
        <f t="shared" si="291"/>
        <v>9.3832620555261269E-194</v>
      </c>
      <c r="F1038" s="96">
        <f t="shared" si="292"/>
        <v>1.074276158234788E-190</v>
      </c>
      <c r="G1038" s="96">
        <f t="shared" si="295"/>
        <v>-0.29799999999999999</v>
      </c>
      <c r="I1038" s="96">
        <f t="shared" si="293"/>
        <v>0</v>
      </c>
      <c r="J1038" s="96">
        <f t="shared" si="294"/>
        <v>1.4024999999999976</v>
      </c>
    </row>
    <row r="1039" spans="1:10" ht="12.75" customHeight="1">
      <c r="A1039" s="96">
        <f>IF(MAX($F$104:F1039)=$G$99,$G$99,F1039)</f>
        <v>15.906595441861038</v>
      </c>
      <c r="B1039" s="481">
        <v>936</v>
      </c>
      <c r="C1039" s="96">
        <f t="shared" si="296"/>
        <v>1.4039999999999977</v>
      </c>
      <c r="D1039" s="96">
        <f t="shared" si="290"/>
        <v>1226.344140654445</v>
      </c>
      <c r="E1039" s="96">
        <f t="shared" si="291"/>
        <v>2.8063044416499585E-194</v>
      </c>
      <c r="F1039" s="96">
        <f t="shared" si="292"/>
        <v>3.2187034096431325E-191</v>
      </c>
      <c r="G1039" s="96">
        <f t="shared" si="295"/>
        <v>-0.29799999999999999</v>
      </c>
      <c r="I1039" s="96">
        <f t="shared" si="293"/>
        <v>0</v>
      </c>
      <c r="J1039" s="96">
        <f t="shared" si="294"/>
        <v>1.4039999999999977</v>
      </c>
    </row>
    <row r="1040" spans="1:10" ht="12.75" customHeight="1">
      <c r="A1040" s="96">
        <f>IF(MAX($F$104:F1040)=$G$99,$G$99,F1040)</f>
        <v>15.906595441861038</v>
      </c>
      <c r="B1040" s="96">
        <v>937</v>
      </c>
      <c r="C1040" s="96">
        <f t="shared" si="296"/>
        <v>1.4054999999999978</v>
      </c>
      <c r="D1040" s="96">
        <f t="shared" si="290"/>
        <v>1228.9659339002148</v>
      </c>
      <c r="E1040" s="96">
        <f t="shared" si="291"/>
        <v>8.3803176443816325E-195</v>
      </c>
      <c r="F1040" s="96">
        <f t="shared" si="292"/>
        <v>9.6291997305864557E-192</v>
      </c>
      <c r="G1040" s="96">
        <f t="shared" si="295"/>
        <v>-0.29799999999999999</v>
      </c>
      <c r="I1040" s="96">
        <f t="shared" si="293"/>
        <v>0</v>
      </c>
      <c r="J1040" s="96">
        <f t="shared" si="294"/>
        <v>1.4054999999999978</v>
      </c>
    </row>
    <row r="1041" spans="1:10" ht="12.75" customHeight="1">
      <c r="A1041" s="96">
        <f>IF(MAX($F$104:F1041)=$G$99,$G$99,F1041)</f>
        <v>15.906595441861038</v>
      </c>
      <c r="B1041" s="481">
        <v>938</v>
      </c>
      <c r="C1041" s="96">
        <f t="shared" si="296"/>
        <v>1.4069999999999978</v>
      </c>
      <c r="D1041" s="96">
        <f t="shared" si="290"/>
        <v>1231.59052671165</v>
      </c>
      <c r="E1041" s="96">
        <f t="shared" si="291"/>
        <v>2.4987973441461637E-195</v>
      </c>
      <c r="F1041" s="96">
        <f t="shared" si="292"/>
        <v>2.876363338260187E-192</v>
      </c>
      <c r="G1041" s="96">
        <f t="shared" si="295"/>
        <v>-0.29799999999999999</v>
      </c>
      <c r="I1041" s="96">
        <f t="shared" si="293"/>
        <v>0</v>
      </c>
      <c r="J1041" s="96">
        <f t="shared" si="294"/>
        <v>1.4069999999999978</v>
      </c>
    </row>
    <row r="1042" spans="1:10" ht="12.75" customHeight="1">
      <c r="A1042" s="96">
        <f>IF(MAX($F$104:F1042)=$G$99,$G$99,F1042)</f>
        <v>15.906595441861038</v>
      </c>
      <c r="B1042" s="481">
        <v>939</v>
      </c>
      <c r="C1042" s="96">
        <f t="shared" si="296"/>
        <v>1.4084999999999979</v>
      </c>
      <c r="D1042" s="96">
        <f t="shared" si="290"/>
        <v>1234.2179190887507</v>
      </c>
      <c r="E1042" s="96">
        <f t="shared" si="291"/>
        <v>7.4395479944308247E-196</v>
      </c>
      <c r="F1042" s="96">
        <f t="shared" si="292"/>
        <v>8.5790996248003054E-193</v>
      </c>
      <c r="G1042" s="96">
        <f t="shared" si="295"/>
        <v>-0.29799999999999999</v>
      </c>
      <c r="I1042" s="96">
        <f t="shared" si="293"/>
        <v>0</v>
      </c>
      <c r="J1042" s="96">
        <f t="shared" si="294"/>
        <v>1.4084999999999979</v>
      </c>
    </row>
    <row r="1043" spans="1:10" ht="12.75" customHeight="1">
      <c r="A1043" s="96">
        <f>IF(MAX($F$104:F1043)=$G$99,$G$99,F1043)</f>
        <v>15.906595441861038</v>
      </c>
      <c r="B1043" s="96">
        <v>940</v>
      </c>
      <c r="C1043" s="96">
        <f t="shared" si="296"/>
        <v>1.4099999999999979</v>
      </c>
      <c r="D1043" s="96">
        <f t="shared" si="290"/>
        <v>1236.8481110315172</v>
      </c>
      <c r="E1043" s="96">
        <f t="shared" si="291"/>
        <v>2.2116027561510883E-196</v>
      </c>
      <c r="F1043" s="96">
        <f t="shared" si="292"/>
        <v>2.5549605343405513E-193</v>
      </c>
      <c r="G1043" s="96">
        <f t="shared" si="295"/>
        <v>-0.29799999999999999</v>
      </c>
      <c r="I1043" s="96">
        <f t="shared" si="293"/>
        <v>0</v>
      </c>
      <c r="J1043" s="96">
        <f t="shared" si="294"/>
        <v>1.4099999999999979</v>
      </c>
    </row>
    <row r="1044" spans="1:10" ht="12.75" customHeight="1">
      <c r="A1044" s="96">
        <f>IF(MAX($F$104:F1044)=$G$99,$G$99,F1044)</f>
        <v>15.906595441861038</v>
      </c>
      <c r="B1044" s="481">
        <v>941</v>
      </c>
      <c r="C1044" s="96">
        <f t="shared" si="296"/>
        <v>1.411499999999998</v>
      </c>
      <c r="D1044" s="96">
        <f t="shared" si="290"/>
        <v>1239.481102539949</v>
      </c>
      <c r="E1044" s="96">
        <f t="shared" si="291"/>
        <v>6.5646692980989146E-197</v>
      </c>
      <c r="F1044" s="96">
        <f t="shared" si="292"/>
        <v>7.5975103632876999E-194</v>
      </c>
      <c r="G1044" s="96">
        <f t="shared" si="295"/>
        <v>-0.29799999999999999</v>
      </c>
      <c r="I1044" s="96">
        <f t="shared" si="293"/>
        <v>0</v>
      </c>
      <c r="J1044" s="96">
        <f t="shared" si="294"/>
        <v>1.411499999999998</v>
      </c>
    </row>
    <row r="1045" spans="1:10" ht="12.75" customHeight="1">
      <c r="A1045" s="96">
        <f>IF(MAX($F$104:F1045)=$G$99,$G$99,F1045)</f>
        <v>15.906595441861038</v>
      </c>
      <c r="B1045" s="481">
        <v>942</v>
      </c>
      <c r="C1045" s="96">
        <f t="shared" si="296"/>
        <v>1.412999999999998</v>
      </c>
      <c r="D1045" s="96">
        <f t="shared" si="290"/>
        <v>1242.1168936140464</v>
      </c>
      <c r="E1045" s="96">
        <f t="shared" si="291"/>
        <v>1.945646066056807E-197</v>
      </c>
      <c r="F1045" s="96">
        <f t="shared" si="292"/>
        <v>2.2558131672588892E-194</v>
      </c>
      <c r="G1045" s="96">
        <f t="shared" si="295"/>
        <v>-0.29799999999999999</v>
      </c>
      <c r="I1045" s="96">
        <f t="shared" si="293"/>
        <v>0</v>
      </c>
      <c r="J1045" s="96">
        <f t="shared" si="294"/>
        <v>1.412999999999998</v>
      </c>
    </row>
    <row r="1046" spans="1:10" ht="12.75" customHeight="1">
      <c r="A1046" s="96">
        <f>IF(MAX($F$104:F1046)=$G$99,$G$99,F1046)</f>
        <v>15.906595441861038</v>
      </c>
      <c r="B1046" s="96">
        <v>943</v>
      </c>
      <c r="C1046" s="96">
        <f t="shared" si="296"/>
        <v>1.4144999999999981</v>
      </c>
      <c r="D1046" s="96">
        <f t="shared" si="290"/>
        <v>1244.7554842538093</v>
      </c>
      <c r="E1046" s="96">
        <f t="shared" si="291"/>
        <v>5.7578478325230586E-198</v>
      </c>
      <c r="F1046" s="96">
        <f t="shared" si="292"/>
        <v>6.6877460794351779E-195</v>
      </c>
      <c r="G1046" s="96">
        <f t="shared" si="295"/>
        <v>-0.29799999999999999</v>
      </c>
      <c r="I1046" s="96">
        <f t="shared" si="293"/>
        <v>0</v>
      </c>
      <c r="J1046" s="96">
        <f t="shared" si="294"/>
        <v>1.4144999999999981</v>
      </c>
    </row>
    <row r="1047" spans="1:10" ht="12.75" customHeight="1">
      <c r="A1047" s="96">
        <f>IF(MAX($F$104:F1047)=$G$99,$G$99,F1047)</f>
        <v>15.906595441861038</v>
      </c>
      <c r="B1047" s="481">
        <v>944</v>
      </c>
      <c r="C1047" s="96">
        <f t="shared" si="296"/>
        <v>1.4159999999999981</v>
      </c>
      <c r="D1047" s="96">
        <f t="shared" si="290"/>
        <v>1247.3968744592378</v>
      </c>
      <c r="E1047" s="96">
        <f t="shared" si="291"/>
        <v>1.7013825735720215E-198</v>
      </c>
      <c r="F1047" s="96">
        <f t="shared" si="292"/>
        <v>1.9797089477365091E-195</v>
      </c>
      <c r="G1047" s="96">
        <f t="shared" si="295"/>
        <v>-0.29799999999999999</v>
      </c>
      <c r="I1047" s="96">
        <f t="shared" si="293"/>
        <v>0</v>
      </c>
      <c r="J1047" s="96">
        <f t="shared" si="294"/>
        <v>1.4159999999999981</v>
      </c>
    </row>
    <row r="1048" spans="1:10" ht="12.75" customHeight="1">
      <c r="A1048" s="96">
        <f>IF(MAX($F$104:F1048)=$G$99,$G$99,F1048)</f>
        <v>15.906595441861038</v>
      </c>
      <c r="B1048" s="481">
        <v>945</v>
      </c>
      <c r="C1048" s="96">
        <f t="shared" si="296"/>
        <v>1.4174999999999982</v>
      </c>
      <c r="D1048" s="96">
        <f t="shared" si="290"/>
        <v>1250.0410642303318</v>
      </c>
      <c r="E1048" s="96">
        <f t="shared" si="291"/>
        <v>5.0198336950577829E-199</v>
      </c>
      <c r="F1048" s="96">
        <f t="shared" si="292"/>
        <v>5.8515098321424618E-196</v>
      </c>
      <c r="G1048" s="96">
        <f t="shared" si="295"/>
        <v>-0.29799999999999999</v>
      </c>
      <c r="I1048" s="96">
        <f t="shared" si="293"/>
        <v>0</v>
      </c>
      <c r="J1048" s="96">
        <f t="shared" si="294"/>
        <v>1.4174999999999982</v>
      </c>
    </row>
    <row r="1049" spans="1:10" ht="12.75" customHeight="1">
      <c r="A1049" s="96">
        <f>IF(MAX($F$104:F1049)=$G$99,$G$99,F1049)</f>
        <v>15.906595441861038</v>
      </c>
      <c r="B1049" s="96">
        <v>946</v>
      </c>
      <c r="C1049" s="96">
        <f t="shared" si="296"/>
        <v>1.4189999999999983</v>
      </c>
      <c r="D1049" s="96">
        <f t="shared" si="290"/>
        <v>1252.6880535670914</v>
      </c>
      <c r="E1049" s="96">
        <f t="shared" si="291"/>
        <v>1.4788438804747391E-199</v>
      </c>
      <c r="F1049" s="96">
        <f t="shared" si="292"/>
        <v>1.7269495663145634E-196</v>
      </c>
      <c r="G1049" s="96">
        <f t="shared" si="295"/>
        <v>-0.29799999999999999</v>
      </c>
      <c r="I1049" s="96">
        <f t="shared" si="293"/>
        <v>0</v>
      </c>
      <c r="J1049" s="96">
        <f t="shared" si="294"/>
        <v>1.4189999999999983</v>
      </c>
    </row>
    <row r="1050" spans="1:10" ht="12.75" customHeight="1">
      <c r="A1050" s="96">
        <f>IF(MAX($F$104:F1050)=$G$99,$G$99,F1050)</f>
        <v>15.906595441861038</v>
      </c>
      <c r="B1050" s="481">
        <v>947</v>
      </c>
      <c r="C1050" s="96">
        <f t="shared" si="296"/>
        <v>1.4204999999999983</v>
      </c>
      <c r="D1050" s="96">
        <f t="shared" si="290"/>
        <v>1255.3378424695163</v>
      </c>
      <c r="E1050" s="96">
        <f t="shared" si="291"/>
        <v>4.3501183758549044E-200</v>
      </c>
      <c r="F1050" s="96">
        <f t="shared" si="292"/>
        <v>5.0890485272283095E-197</v>
      </c>
      <c r="G1050" s="96">
        <f t="shared" si="295"/>
        <v>-0.29799999999999999</v>
      </c>
      <c r="I1050" s="96">
        <f t="shared" si="293"/>
        <v>0</v>
      </c>
      <c r="J1050" s="96">
        <f t="shared" si="294"/>
        <v>1.4204999999999983</v>
      </c>
    </row>
    <row r="1051" spans="1:10" ht="12.75" customHeight="1">
      <c r="A1051" s="96">
        <f>IF(MAX($F$104:F1051)=$G$99,$G$99,F1051)</f>
        <v>15.906595441861038</v>
      </c>
      <c r="B1051" s="481">
        <v>948</v>
      </c>
      <c r="C1051" s="96">
        <f t="shared" si="296"/>
        <v>1.4219999999999984</v>
      </c>
      <c r="D1051" s="96">
        <f t="shared" si="290"/>
        <v>1257.9904309376068</v>
      </c>
      <c r="E1051" s="96">
        <f t="shared" si="291"/>
        <v>1.2776905023713463E-200</v>
      </c>
      <c r="F1051" s="96">
        <f t="shared" si="292"/>
        <v>1.4974035238765639E-197</v>
      </c>
      <c r="G1051" s="96">
        <f t="shared" si="295"/>
        <v>-0.29799999999999999</v>
      </c>
      <c r="I1051" s="96">
        <f t="shared" si="293"/>
        <v>0</v>
      </c>
      <c r="J1051" s="96">
        <f t="shared" si="294"/>
        <v>1.4219999999999984</v>
      </c>
    </row>
    <row r="1052" spans="1:10" ht="12.75" customHeight="1">
      <c r="A1052" s="96">
        <f>IF(MAX($F$104:F1052)=$G$99,$G$99,F1052)</f>
        <v>15.906595441861038</v>
      </c>
      <c r="B1052" s="96">
        <v>949</v>
      </c>
      <c r="C1052" s="96">
        <f t="shared" si="296"/>
        <v>1.4234999999999984</v>
      </c>
      <c r="D1052" s="96">
        <f t="shared" si="290"/>
        <v>1260.6458189713628</v>
      </c>
      <c r="E1052" s="96">
        <f t="shared" si="291"/>
        <v>3.7471079034190221E-201</v>
      </c>
      <c r="F1052" s="96">
        <f t="shared" si="292"/>
        <v>4.3993298917417278E-198</v>
      </c>
      <c r="G1052" s="96">
        <f t="shared" si="295"/>
        <v>-0.29799999999999999</v>
      </c>
      <c r="I1052" s="96">
        <f t="shared" si="293"/>
        <v>0</v>
      </c>
      <c r="J1052" s="96">
        <f t="shared" si="294"/>
        <v>1.4234999999999984</v>
      </c>
    </row>
    <row r="1053" spans="1:10" ht="12.75" customHeight="1">
      <c r="A1053" s="96">
        <f>IF(MAX($F$104:F1053)=$G$99,$G$99,F1053)</f>
        <v>15.906595441861038</v>
      </c>
      <c r="B1053" s="481">
        <v>950</v>
      </c>
      <c r="C1053" s="96">
        <f t="shared" si="296"/>
        <v>1.4249999999999985</v>
      </c>
      <c r="D1053" s="96">
        <f t="shared" si="290"/>
        <v>1263.3040065707844</v>
      </c>
      <c r="E1053" s="96">
        <f t="shared" si="291"/>
        <v>1.0972681429832116E-201</v>
      </c>
      <c r="F1053" s="96">
        <f t="shared" si="292"/>
        <v>1.2905645365005469E-198</v>
      </c>
      <c r="G1053" s="96">
        <f t="shared" si="295"/>
        <v>-0.29799999999999999</v>
      </c>
      <c r="I1053" s="96">
        <f t="shared" si="293"/>
        <v>0</v>
      </c>
      <c r="J1053" s="96">
        <f t="shared" si="294"/>
        <v>1.4249999999999985</v>
      </c>
    </row>
    <row r="1054" spans="1:10" ht="12.75" customHeight="1">
      <c r="A1054" s="96">
        <f>IF(MAX($F$104:F1054)=$G$99,$G$99,F1054)</f>
        <v>15.906595441861038</v>
      </c>
      <c r="B1054" s="481">
        <v>951</v>
      </c>
      <c r="C1054" s="96">
        <f t="shared" si="296"/>
        <v>1.4264999999999985</v>
      </c>
      <c r="D1054" s="96">
        <f t="shared" si="290"/>
        <v>1265.9649937358718</v>
      </c>
      <c r="E1054" s="96">
        <f t="shared" si="291"/>
        <v>3.2083037288659587E-202</v>
      </c>
      <c r="F1054" s="96">
        <f t="shared" si="292"/>
        <v>3.7802327580499603E-199</v>
      </c>
      <c r="G1054" s="96">
        <f t="shared" si="295"/>
        <v>-0.29799999999999999</v>
      </c>
      <c r="I1054" s="96">
        <f t="shared" si="293"/>
        <v>0</v>
      </c>
      <c r="J1054" s="96">
        <f t="shared" si="294"/>
        <v>1.4264999999999985</v>
      </c>
    </row>
    <row r="1055" spans="1:10" ht="12.75" customHeight="1">
      <c r="A1055" s="96">
        <f>IF(MAX($F$104:F1055)=$G$99,$G$99,F1055)</f>
        <v>15.906595441861038</v>
      </c>
      <c r="B1055" s="96">
        <v>952</v>
      </c>
      <c r="C1055" s="96">
        <f t="shared" si="296"/>
        <v>1.4279999999999986</v>
      </c>
      <c r="D1055" s="96">
        <f t="shared" si="290"/>
        <v>1268.6287804666244</v>
      </c>
      <c r="E1055" s="96">
        <f t="shared" si="291"/>
        <v>9.3666525801806145E-203</v>
      </c>
      <c r="F1055" s="96">
        <f t="shared" si="292"/>
        <v>1.1056128314968552E-199</v>
      </c>
      <c r="G1055" s="96">
        <f t="shared" si="295"/>
        <v>-0.29799999999999999</v>
      </c>
      <c r="I1055" s="96">
        <f t="shared" si="293"/>
        <v>0</v>
      </c>
      <c r="J1055" s="96">
        <f t="shared" si="294"/>
        <v>1.4279999999999986</v>
      </c>
    </row>
    <row r="1056" spans="1:10" ht="12.75" customHeight="1">
      <c r="A1056" s="96">
        <f>IF(MAX($F$104:F1056)=$G$99,$G$99,F1056)</f>
        <v>15.906595441861038</v>
      </c>
      <c r="B1056" s="481">
        <v>953</v>
      </c>
      <c r="C1056" s="96">
        <f t="shared" si="296"/>
        <v>1.4294999999999987</v>
      </c>
      <c r="D1056" s="96">
        <f t="shared" si="290"/>
        <v>1271.2953667630427</v>
      </c>
      <c r="E1056" s="96">
        <f t="shared" si="291"/>
        <v>2.730484240070505E-203</v>
      </c>
      <c r="F1056" s="96">
        <f t="shared" si="292"/>
        <v>3.2287425127405023E-200</v>
      </c>
      <c r="G1056" s="96">
        <f t="shared" si="295"/>
        <v>-0.29799999999999999</v>
      </c>
      <c r="I1056" s="96">
        <f t="shared" si="293"/>
        <v>0</v>
      </c>
      <c r="J1056" s="96">
        <f t="shared" si="294"/>
        <v>1.4294999999999987</v>
      </c>
    </row>
    <row r="1057" spans="1:10" ht="12.75" customHeight="1">
      <c r="A1057" s="96">
        <f>IF(MAX($F$104:F1057)=$G$99,$G$99,F1057)</f>
        <v>15.906595441861038</v>
      </c>
      <c r="B1057" s="481">
        <v>954</v>
      </c>
      <c r="C1057" s="96">
        <f t="shared" si="296"/>
        <v>1.4309999999999987</v>
      </c>
      <c r="D1057" s="96">
        <f t="shared" si="290"/>
        <v>1273.9647526251263</v>
      </c>
      <c r="E1057" s="96">
        <f t="shared" si="291"/>
        <v>7.9476980299343992E-204</v>
      </c>
      <c r="F1057" s="96">
        <f t="shared" si="292"/>
        <v>9.4147688911830614E-201</v>
      </c>
      <c r="G1057" s="96">
        <f t="shared" si="295"/>
        <v>-0.29799999999999999</v>
      </c>
      <c r="I1057" s="96">
        <f t="shared" si="293"/>
        <v>0</v>
      </c>
      <c r="J1057" s="96">
        <f t="shared" si="294"/>
        <v>1.4309999999999987</v>
      </c>
    </row>
    <row r="1058" spans="1:10" ht="12.75" customHeight="1">
      <c r="A1058" s="96">
        <f>IF(MAX($F$104:F1058)=$G$99,$G$99,F1058)</f>
        <v>15.906595441861038</v>
      </c>
      <c r="B1058" s="96">
        <v>955</v>
      </c>
      <c r="C1058" s="96">
        <f t="shared" si="296"/>
        <v>1.4324999999999988</v>
      </c>
      <c r="D1058" s="96">
        <f t="shared" si="290"/>
        <v>1276.6369380528756</v>
      </c>
      <c r="E1058" s="96">
        <f t="shared" si="291"/>
        <v>2.3098807426969205E-204</v>
      </c>
      <c r="F1058" s="96">
        <f t="shared" si="292"/>
        <v>2.7411444499331941E-201</v>
      </c>
      <c r="G1058" s="96">
        <f t="shared" si="295"/>
        <v>-0.29799999999999999</v>
      </c>
      <c r="I1058" s="96">
        <f t="shared" si="293"/>
        <v>0</v>
      </c>
      <c r="J1058" s="96">
        <f t="shared" si="294"/>
        <v>1.4324999999999988</v>
      </c>
    </row>
    <row r="1059" spans="1:10" ht="12.75" customHeight="1">
      <c r="A1059" s="96">
        <f>IF(MAX($F$104:F1059)=$G$99,$G$99,F1059)</f>
        <v>15.906595441861038</v>
      </c>
      <c r="B1059" s="481">
        <v>956</v>
      </c>
      <c r="C1059" s="96">
        <f t="shared" si="296"/>
        <v>1.4339999999999988</v>
      </c>
      <c r="D1059" s="96">
        <f t="shared" si="290"/>
        <v>1279.3119230462903</v>
      </c>
      <c r="E1059" s="96">
        <f t="shared" si="291"/>
        <v>6.7032338409406049E-205</v>
      </c>
      <c r="F1059" s="96">
        <f t="shared" si="292"/>
        <v>7.9689349967800435E-202</v>
      </c>
      <c r="G1059" s="96">
        <f t="shared" si="295"/>
        <v>-0.29799999999999999</v>
      </c>
      <c r="I1059" s="96">
        <f t="shared" si="293"/>
        <v>0</v>
      </c>
      <c r="J1059" s="96">
        <f t="shared" si="294"/>
        <v>1.4339999999999988</v>
      </c>
    </row>
    <row r="1060" spans="1:10" ht="12.75" customHeight="1">
      <c r="A1060" s="96">
        <f>IF(MAX($F$104:F1060)=$G$99,$G$99,F1060)</f>
        <v>15.906595441861038</v>
      </c>
      <c r="B1060" s="481">
        <v>957</v>
      </c>
      <c r="C1060" s="96">
        <f t="shared" si="296"/>
        <v>1.4354999999999989</v>
      </c>
      <c r="D1060" s="96">
        <f t="shared" si="290"/>
        <v>1281.9897076053705</v>
      </c>
      <c r="E1060" s="96">
        <f t="shared" si="291"/>
        <v>1.9423428337478476E-205</v>
      </c>
      <c r="F1060" s="96">
        <f t="shared" si="292"/>
        <v>2.313208856889438E-202</v>
      </c>
      <c r="G1060" s="96">
        <f t="shared" si="295"/>
        <v>-0.29799999999999999</v>
      </c>
      <c r="I1060" s="96">
        <f t="shared" si="293"/>
        <v>0</v>
      </c>
      <c r="J1060" s="96">
        <f t="shared" si="294"/>
        <v>1.4354999999999989</v>
      </c>
    </row>
    <row r="1061" spans="1:10" ht="12.75" customHeight="1">
      <c r="A1061" s="96">
        <f>IF(MAX($F$104:F1061)=$G$99,$G$99,F1061)</f>
        <v>15.906595441861038</v>
      </c>
      <c r="B1061" s="96">
        <v>958</v>
      </c>
      <c r="C1061" s="96">
        <f t="shared" si="296"/>
        <v>1.4369999999999989</v>
      </c>
      <c r="D1061" s="96">
        <f t="shared" si="290"/>
        <v>1284.6702917301166</v>
      </c>
      <c r="E1061" s="96">
        <f t="shared" si="291"/>
        <v>5.6197138902174166E-206</v>
      </c>
      <c r="F1061" s="96">
        <f t="shared" si="292"/>
        <v>6.704643722928852E-203</v>
      </c>
      <c r="G1061" s="96">
        <f t="shared" si="295"/>
        <v>-0.29799999999999999</v>
      </c>
      <c r="I1061" s="96">
        <f t="shared" si="293"/>
        <v>0</v>
      </c>
      <c r="J1061" s="96">
        <f t="shared" si="294"/>
        <v>1.4369999999999989</v>
      </c>
    </row>
    <row r="1062" spans="1:10" ht="12.75" customHeight="1">
      <c r="A1062" s="96">
        <f>IF(MAX($F$104:F1062)=$G$99,$G$99,F1062)</f>
        <v>15.906595441861038</v>
      </c>
      <c r="B1062" s="481">
        <v>959</v>
      </c>
      <c r="C1062" s="96">
        <f t="shared" si="296"/>
        <v>1.438499999999999</v>
      </c>
      <c r="D1062" s="96">
        <f t="shared" si="290"/>
        <v>1287.3536754205279</v>
      </c>
      <c r="E1062" s="96">
        <f t="shared" si="291"/>
        <v>1.6234892500567408E-206</v>
      </c>
      <c r="F1062" s="96">
        <f t="shared" si="292"/>
        <v>1.9403628690491531E-203</v>
      </c>
      <c r="G1062" s="96">
        <f t="shared" si="295"/>
        <v>-0.29799999999999999</v>
      </c>
      <c r="I1062" s="96">
        <f t="shared" si="293"/>
        <v>0</v>
      </c>
      <c r="J1062" s="96">
        <f t="shared" si="294"/>
        <v>1.438499999999999</v>
      </c>
    </row>
    <row r="1063" spans="1:10" ht="12.75" customHeight="1">
      <c r="A1063" s="96">
        <f>IF(MAX($F$104:F1063)=$G$99,$G$99,F1063)</f>
        <v>15.906595441861038</v>
      </c>
      <c r="B1063" s="481">
        <v>960</v>
      </c>
      <c r="C1063" s="96">
        <f t="shared" si="296"/>
        <v>1.4399999999999991</v>
      </c>
      <c r="D1063" s="96">
        <f t="shared" si="290"/>
        <v>1290.0398586766048</v>
      </c>
      <c r="E1063" s="96">
        <f t="shared" si="291"/>
        <v>4.6830804318426661E-207</v>
      </c>
      <c r="F1063" s="96">
        <f t="shared" si="292"/>
        <v>5.6070792360145801E-204</v>
      </c>
      <c r="G1063" s="96">
        <f t="shared" si="295"/>
        <v>-0.29799999999999999</v>
      </c>
      <c r="I1063" s="96">
        <f t="shared" si="293"/>
        <v>0</v>
      </c>
      <c r="J1063" s="96">
        <f t="shared" si="294"/>
        <v>1.4399999999999991</v>
      </c>
    </row>
    <row r="1064" spans="1:10" ht="12.75" customHeight="1">
      <c r="A1064" s="96">
        <f>IF(MAX($F$104:F1064)=$G$99,$G$99,F1064)</f>
        <v>15.906595441861038</v>
      </c>
      <c r="B1064" s="96">
        <v>961</v>
      </c>
      <c r="C1064" s="96">
        <f t="shared" si="296"/>
        <v>1.4414999999999991</v>
      </c>
      <c r="D1064" s="96">
        <f t="shared" ref="D1064:D1104" si="297">C1064^2/$C$96</f>
        <v>1292.7288414983475</v>
      </c>
      <c r="E1064" s="96">
        <f t="shared" ref="E1064:E1104" si="298">CHIDIST(D1064,$E$96)</f>
        <v>1.3488414315021518E-207</v>
      </c>
      <c r="F1064" s="96">
        <f t="shared" ref="F1064:F1103" si="299">IF($E$7&lt;$F$101,NA(),$E$98*(E1063-E1065)/(2*$C$99))</f>
        <v>1.6178453839897599E-204</v>
      </c>
      <c r="G1064" s="96">
        <f t="shared" si="295"/>
        <v>-0.29799999999999999</v>
      </c>
      <c r="I1064" s="96">
        <f t="shared" ref="I1064:I1107" si="300">IF(F1064&gt;$G$98,1,0)</f>
        <v>0</v>
      </c>
      <c r="J1064" s="96">
        <f t="shared" ref="J1064:J1107" si="301">C1064</f>
        <v>1.4414999999999991</v>
      </c>
    </row>
    <row r="1065" spans="1:10" ht="12.75" customHeight="1">
      <c r="A1065" s="96">
        <f>IF(MAX($F$104:F1065)=$G$99,$G$99,F1065)</f>
        <v>15.906595441861038</v>
      </c>
      <c r="B1065" s="481">
        <v>962</v>
      </c>
      <c r="C1065" s="96">
        <f t="shared" si="296"/>
        <v>1.4429999999999992</v>
      </c>
      <c r="D1065" s="96">
        <f t="shared" si="297"/>
        <v>1295.4206238857555</v>
      </c>
      <c r="E1065" s="96">
        <f t="shared" si="298"/>
        <v>3.8791569558666668E-208</v>
      </c>
      <c r="F1065" s="96">
        <f t="shared" si="299"/>
        <v>4.661052692955849E-205</v>
      </c>
      <c r="G1065" s="96">
        <f t="shared" ref="G1065:G1103" si="302">F1065-$G$101</f>
        <v>-0.29799999999999999</v>
      </c>
      <c r="I1065" s="96">
        <f t="shared" si="300"/>
        <v>0</v>
      </c>
      <c r="J1065" s="96">
        <f t="shared" si="301"/>
        <v>1.4429999999999992</v>
      </c>
    </row>
    <row r="1066" spans="1:10" ht="12.75" customHeight="1">
      <c r="A1066" s="96">
        <f>IF(MAX($F$104:F1066)=$G$99,$G$99,F1066)</f>
        <v>15.906595441861038</v>
      </c>
      <c r="B1066" s="481">
        <v>963</v>
      </c>
      <c r="C1066" s="96">
        <f t="shared" si="296"/>
        <v>1.4444999999999992</v>
      </c>
      <c r="D1066" s="96">
        <f t="shared" si="297"/>
        <v>1298.1152058388288</v>
      </c>
      <c r="E1066" s="96">
        <f t="shared" si="298"/>
        <v>1.1139381390325367E-208</v>
      </c>
      <c r="F1066" s="96">
        <f t="shared" si="299"/>
        <v>1.3408425505615244E-205</v>
      </c>
      <c r="G1066" s="96">
        <f t="shared" si="302"/>
        <v>-0.29799999999999999</v>
      </c>
      <c r="I1066" s="96">
        <f t="shared" si="300"/>
        <v>0</v>
      </c>
      <c r="J1066" s="96">
        <f t="shared" si="301"/>
        <v>1.4444999999999992</v>
      </c>
    </row>
    <row r="1067" spans="1:10" ht="12.75" customHeight="1">
      <c r="A1067" s="96">
        <f>IF(MAX($F$104:F1067)=$G$99,$G$99,F1067)</f>
        <v>15.906595441861038</v>
      </c>
      <c r="B1067" s="96">
        <v>964</v>
      </c>
      <c r="C1067" s="96">
        <f t="shared" si="296"/>
        <v>1.4459999999999993</v>
      </c>
      <c r="D1067" s="96">
        <f t="shared" si="297"/>
        <v>1300.8125873575677</v>
      </c>
      <c r="E1067" s="96">
        <f t="shared" si="298"/>
        <v>3.1939797207500833E-209</v>
      </c>
      <c r="F1067" s="96">
        <f t="shared" si="299"/>
        <v>3.8513981817288936E-206</v>
      </c>
      <c r="G1067" s="96">
        <f t="shared" si="302"/>
        <v>-0.29799999999999999</v>
      </c>
      <c r="I1067" s="96">
        <f t="shared" si="300"/>
        <v>0</v>
      </c>
      <c r="J1067" s="96">
        <f t="shared" si="301"/>
        <v>1.4459999999999993</v>
      </c>
    </row>
    <row r="1068" spans="1:10" ht="12.75" customHeight="1">
      <c r="A1068" s="96">
        <f>IF(MAX($F$104:F1068)=$G$99,$G$99,F1068)</f>
        <v>15.906595441861038</v>
      </c>
      <c r="B1068" s="481">
        <v>965</v>
      </c>
      <c r="C1068" s="96">
        <f t="shared" si="296"/>
        <v>1.4474999999999993</v>
      </c>
      <c r="D1068" s="96">
        <f t="shared" si="297"/>
        <v>1303.5127684419724</v>
      </c>
      <c r="E1068" s="96">
        <f t="shared" si="298"/>
        <v>9.1443046538140027E-210</v>
      </c>
      <c r="F1068" s="96">
        <f t="shared" si="299"/>
        <v>1.1046024936463023E-206</v>
      </c>
      <c r="G1068" s="96">
        <f t="shared" si="302"/>
        <v>-0.29799999999999999</v>
      </c>
      <c r="I1068" s="96">
        <f t="shared" si="300"/>
        <v>0</v>
      </c>
      <c r="J1068" s="96">
        <f t="shared" si="301"/>
        <v>1.4474999999999993</v>
      </c>
    </row>
    <row r="1069" spans="1:10" ht="12.75" customHeight="1">
      <c r="A1069" s="96">
        <f>IF(MAX($F$104:F1069)=$G$99,$G$99,F1069)</f>
        <v>15.906595441861038</v>
      </c>
      <c r="B1069" s="481">
        <v>966</v>
      </c>
      <c r="C1069" s="96">
        <f t="shared" si="296"/>
        <v>1.4489999999999994</v>
      </c>
      <c r="D1069" s="96">
        <f t="shared" si="297"/>
        <v>1306.2157490920424</v>
      </c>
      <c r="E1069" s="96">
        <f t="shared" si="298"/>
        <v>2.6140672876874949E-210</v>
      </c>
      <c r="F1069" s="96">
        <f t="shared" si="299"/>
        <v>3.1633021175923372E-207</v>
      </c>
      <c r="G1069" s="96">
        <f t="shared" si="302"/>
        <v>-0.29799999999999999</v>
      </c>
      <c r="I1069" s="96">
        <f t="shared" si="300"/>
        <v>0</v>
      </c>
      <c r="J1069" s="96">
        <f t="shared" si="301"/>
        <v>1.4489999999999994</v>
      </c>
    </row>
    <row r="1070" spans="1:10" ht="12.75" customHeight="1">
      <c r="A1070" s="96">
        <f>IF(MAX($F$104:F1070)=$G$99,$G$99,F1070)</f>
        <v>15.906595441861038</v>
      </c>
      <c r="B1070" s="96">
        <v>967</v>
      </c>
      <c r="C1070" s="96">
        <f t="shared" si="296"/>
        <v>1.4504999999999995</v>
      </c>
      <c r="D1070" s="96">
        <f t="shared" si="297"/>
        <v>1308.9215293077782</v>
      </c>
      <c r="E1070" s="96">
        <f t="shared" si="298"/>
        <v>7.4615743896708954E-211</v>
      </c>
      <c r="F1070" s="96">
        <f t="shared" si="299"/>
        <v>9.0452895313254809E-208</v>
      </c>
      <c r="G1070" s="96">
        <f t="shared" si="302"/>
        <v>-0.29799999999999999</v>
      </c>
      <c r="I1070" s="96">
        <f t="shared" si="300"/>
        <v>0</v>
      </c>
      <c r="J1070" s="96">
        <f t="shared" si="301"/>
        <v>1.4504999999999995</v>
      </c>
    </row>
    <row r="1071" spans="1:10" ht="12.75" customHeight="1">
      <c r="A1071" s="96">
        <f>IF(MAX($F$104:F1071)=$G$99,$G$99,F1071)</f>
        <v>15.906595441861038</v>
      </c>
      <c r="B1071" s="481">
        <v>968</v>
      </c>
      <c r="C1071" s="96">
        <f t="shared" si="296"/>
        <v>1.4519999999999995</v>
      </c>
      <c r="D1071" s="96">
        <f t="shared" si="297"/>
        <v>1311.6301090891795</v>
      </c>
      <c r="E1071" s="96">
        <f t="shared" si="298"/>
        <v>2.1266298733559745E-211</v>
      </c>
      <c r="F1071" s="96">
        <f t="shared" si="299"/>
        <v>2.5825665081611751E-208</v>
      </c>
      <c r="G1071" s="96">
        <f t="shared" si="302"/>
        <v>-0.29799999999999999</v>
      </c>
      <c r="I1071" s="96">
        <f t="shared" si="300"/>
        <v>0</v>
      </c>
      <c r="J1071" s="96">
        <f t="shared" si="301"/>
        <v>1.4519999999999995</v>
      </c>
    </row>
    <row r="1072" spans="1:10" ht="12.75" customHeight="1">
      <c r="A1072" s="96">
        <f>IF(MAX($F$104:F1072)=$G$99,$G$99,F1072)</f>
        <v>15.906595441861038</v>
      </c>
      <c r="B1072" s="481">
        <v>969</v>
      </c>
      <c r="C1072" s="96">
        <f t="shared" si="296"/>
        <v>1.4534999999999996</v>
      </c>
      <c r="D1072" s="96">
        <f t="shared" si="297"/>
        <v>1314.3414884362462</v>
      </c>
      <c r="E1072" s="96">
        <f t="shared" si="298"/>
        <v>6.052031290660043E-212</v>
      </c>
      <c r="F1072" s="96">
        <f t="shared" si="299"/>
        <v>7.3625437830450722E-209</v>
      </c>
      <c r="G1072" s="96">
        <f t="shared" si="302"/>
        <v>-0.29799999999999999</v>
      </c>
      <c r="I1072" s="96">
        <f t="shared" si="300"/>
        <v>0</v>
      </c>
      <c r="J1072" s="96">
        <f t="shared" si="301"/>
        <v>1.4534999999999996</v>
      </c>
    </row>
    <row r="1073" spans="1:10" ht="12.75" customHeight="1">
      <c r="A1073" s="96">
        <f>IF(MAX($F$104:F1073)=$G$99,$G$99,F1073)</f>
        <v>15.906595441861038</v>
      </c>
      <c r="B1073" s="96">
        <v>970</v>
      </c>
      <c r="C1073" s="96">
        <f t="shared" si="296"/>
        <v>1.4549999999999996</v>
      </c>
      <c r="D1073" s="96">
        <f t="shared" si="297"/>
        <v>1317.0556673489784</v>
      </c>
      <c r="E1073" s="96">
        <f t="shared" si="298"/>
        <v>1.7197223183958356E-212</v>
      </c>
      <c r="F1073" s="96">
        <f t="shared" si="299"/>
        <v>2.0958089606422808E-209</v>
      </c>
      <c r="G1073" s="96">
        <f t="shared" si="302"/>
        <v>-0.29799999999999999</v>
      </c>
      <c r="I1073" s="96">
        <f t="shared" si="300"/>
        <v>0</v>
      </c>
      <c r="J1073" s="96">
        <f t="shared" si="301"/>
        <v>1.4549999999999996</v>
      </c>
    </row>
    <row r="1074" spans="1:10" ht="12.75" customHeight="1">
      <c r="A1074" s="96">
        <f>IF(MAX($F$104:F1074)=$G$99,$G$99,F1074)</f>
        <v>15.906595441861038</v>
      </c>
      <c r="B1074" s="481">
        <v>971</v>
      </c>
      <c r="C1074" s="96">
        <f t="shared" si="296"/>
        <v>1.4564999999999997</v>
      </c>
      <c r="D1074" s="96">
        <f t="shared" si="297"/>
        <v>1319.7726458273762</v>
      </c>
      <c r="E1074" s="96">
        <f t="shared" si="298"/>
        <v>4.8793670488407557E-213</v>
      </c>
      <c r="F1074" s="96">
        <f t="shared" si="299"/>
        <v>5.9569370975035001E-210</v>
      </c>
      <c r="G1074" s="96">
        <f t="shared" si="302"/>
        <v>-0.29799999999999999</v>
      </c>
      <c r="I1074" s="96">
        <f t="shared" si="300"/>
        <v>0</v>
      </c>
      <c r="J1074" s="96">
        <f t="shared" si="301"/>
        <v>1.4564999999999997</v>
      </c>
    </row>
    <row r="1075" spans="1:10" ht="12.75" customHeight="1">
      <c r="A1075" s="96">
        <f>IF(MAX($F$104:F1075)=$G$99,$G$99,F1075)</f>
        <v>15.906595441861038</v>
      </c>
      <c r="B1075" s="481">
        <v>972</v>
      </c>
      <c r="C1075" s="96">
        <f t="shared" si="296"/>
        <v>1.4579999999999997</v>
      </c>
      <c r="D1075" s="96">
        <f t="shared" si="297"/>
        <v>1322.4924238714395</v>
      </c>
      <c r="E1075" s="96">
        <f t="shared" si="298"/>
        <v>1.3823459339490626E-213</v>
      </c>
      <c r="F1075" s="96">
        <f t="shared" si="299"/>
        <v>1.6906042111013564E-210</v>
      </c>
      <c r="G1075" s="96">
        <f t="shared" si="302"/>
        <v>-0.29799999999999999</v>
      </c>
      <c r="I1075" s="96">
        <f t="shared" si="300"/>
        <v>0</v>
      </c>
      <c r="J1075" s="96">
        <f t="shared" si="301"/>
        <v>1.4579999999999997</v>
      </c>
    </row>
    <row r="1076" spans="1:10" ht="12.75" customHeight="1">
      <c r="A1076" s="96">
        <f>IF(MAX($F$104:F1076)=$G$99,$G$99,F1076)</f>
        <v>15.906595441861038</v>
      </c>
      <c r="B1076" s="96">
        <v>973</v>
      </c>
      <c r="C1076" s="96">
        <f t="shared" si="296"/>
        <v>1.4594999999999998</v>
      </c>
      <c r="D1076" s="96">
        <f t="shared" si="297"/>
        <v>1325.2150014811682</v>
      </c>
      <c r="E1076" s="96">
        <f t="shared" si="298"/>
        <v>3.9103728485485362E-214</v>
      </c>
      <c r="F1076" s="96">
        <f t="shared" si="299"/>
        <v>4.7908059617301685E-211</v>
      </c>
      <c r="G1076" s="96">
        <f t="shared" si="302"/>
        <v>-0.29799999999999999</v>
      </c>
      <c r="I1076" s="96">
        <f t="shared" si="300"/>
        <v>0</v>
      </c>
      <c r="J1076" s="96">
        <f t="shared" si="301"/>
        <v>1.4594999999999998</v>
      </c>
    </row>
    <row r="1077" spans="1:10" ht="12.75" customHeight="1">
      <c r="A1077" s="96">
        <f>IF(MAX($F$104:F1077)=$G$99,$G$99,F1077)</f>
        <v>15.906595441861038</v>
      </c>
      <c r="B1077" s="481">
        <v>974</v>
      </c>
      <c r="C1077" s="96">
        <f t="shared" si="296"/>
        <v>1.4609999999999999</v>
      </c>
      <c r="D1077" s="96">
        <f t="shared" si="297"/>
        <v>1327.9403786565626</v>
      </c>
      <c r="E1077" s="96">
        <f t="shared" si="298"/>
        <v>1.1045054587910628E-214</v>
      </c>
      <c r="F1077" s="96">
        <f t="shared" si="299"/>
        <v>1.3555733129907334E-211</v>
      </c>
      <c r="G1077" s="96">
        <f t="shared" si="302"/>
        <v>-0.29799999999999999</v>
      </c>
      <c r="I1077" s="96">
        <f t="shared" si="300"/>
        <v>0</v>
      </c>
      <c r="J1077" s="96">
        <f t="shared" si="301"/>
        <v>1.4609999999999999</v>
      </c>
    </row>
    <row r="1078" spans="1:10" ht="12.75" customHeight="1">
      <c r="A1078" s="96">
        <f>IF(MAX($F$104:F1078)=$G$99,$G$99,F1078)</f>
        <v>15.906595441861038</v>
      </c>
      <c r="B1078" s="481">
        <v>975</v>
      </c>
      <c r="C1078" s="96">
        <f t="shared" si="296"/>
        <v>1.4624999999999999</v>
      </c>
      <c r="D1078" s="96">
        <f t="shared" si="297"/>
        <v>1330.6685553976226</v>
      </c>
      <c r="E1078" s="96">
        <f t="shared" si="298"/>
        <v>3.1150564591827019E-215</v>
      </c>
      <c r="F1078" s="96">
        <f t="shared" si="299"/>
        <v>3.8298813936892334E-212</v>
      </c>
      <c r="G1078" s="96">
        <f t="shared" si="302"/>
        <v>-0.29799999999999999</v>
      </c>
      <c r="I1078" s="96">
        <f t="shared" si="300"/>
        <v>0</v>
      </c>
      <c r="J1078" s="96">
        <f t="shared" si="301"/>
        <v>1.4624999999999999</v>
      </c>
    </row>
    <row r="1079" spans="1:10" ht="12.75" customHeight="1">
      <c r="A1079" s="96">
        <f>IF(MAX($F$104:F1079)=$G$99,$G$99,F1079)</f>
        <v>15.906595441861038</v>
      </c>
      <c r="B1079" s="96">
        <v>976</v>
      </c>
      <c r="C1079" s="96">
        <f t="shared" si="296"/>
        <v>1.464</v>
      </c>
      <c r="D1079" s="96">
        <f t="shared" si="297"/>
        <v>1333.399531704348</v>
      </c>
      <c r="E1079" s="96">
        <f t="shared" si="298"/>
        <v>8.7722787900115804E-216</v>
      </c>
      <c r="F1079" s="96">
        <f t="shared" si="299"/>
        <v>1.0804274637883127E-212</v>
      </c>
      <c r="G1079" s="96">
        <f t="shared" si="302"/>
        <v>-0.29799999999999999</v>
      </c>
      <c r="I1079" s="96">
        <f t="shared" si="300"/>
        <v>0</v>
      </c>
      <c r="J1079" s="96">
        <f t="shared" si="301"/>
        <v>1.464</v>
      </c>
    </row>
    <row r="1080" spans="1:10" ht="12.75" customHeight="1">
      <c r="A1080" s="96">
        <f>IF(MAX($F$104:F1080)=$G$99,$G$99,F1080)</f>
        <v>15.906595441861038</v>
      </c>
      <c r="B1080" s="481">
        <v>977</v>
      </c>
      <c r="C1080" s="96">
        <f t="shared" si="296"/>
        <v>1.4655</v>
      </c>
      <c r="D1080" s="96">
        <f t="shared" si="297"/>
        <v>1336.1333075767391</v>
      </c>
      <c r="E1080" s="96">
        <f t="shared" si="298"/>
        <v>2.4666496239957031E-216</v>
      </c>
      <c r="F1080" s="96">
        <f t="shared" si="299"/>
        <v>3.0433645143584701E-213</v>
      </c>
      <c r="G1080" s="96">
        <f t="shared" si="302"/>
        <v>-0.29799999999999999</v>
      </c>
      <c r="I1080" s="96">
        <f t="shared" si="300"/>
        <v>0</v>
      </c>
      <c r="J1080" s="96">
        <f t="shared" si="301"/>
        <v>1.4655</v>
      </c>
    </row>
    <row r="1081" spans="1:10" ht="12.75" customHeight="1">
      <c r="A1081" s="96">
        <f>IF(MAX($F$104:F1081)=$G$99,$G$99,F1081)</f>
        <v>15.906595441861038</v>
      </c>
      <c r="B1081" s="481">
        <v>978</v>
      </c>
      <c r="C1081" s="96">
        <f t="shared" si="296"/>
        <v>1.4670000000000001</v>
      </c>
      <c r="D1081" s="96">
        <f t="shared" si="297"/>
        <v>1338.8698830147955</v>
      </c>
      <c r="E1081" s="96">
        <f t="shared" si="298"/>
        <v>6.9254999082980125E-217</v>
      </c>
      <c r="F1081" s="96">
        <f t="shared" si="299"/>
        <v>8.5597382962990886E-214</v>
      </c>
      <c r="G1081" s="96">
        <f t="shared" si="302"/>
        <v>-0.29799999999999999</v>
      </c>
      <c r="I1081" s="96">
        <f t="shared" si="300"/>
        <v>0</v>
      </c>
      <c r="J1081" s="96">
        <f t="shared" si="301"/>
        <v>1.4670000000000001</v>
      </c>
    </row>
    <row r="1082" spans="1:10" ht="12.75" customHeight="1">
      <c r="A1082" s="96">
        <f>IF(MAX($F$104:F1082)=$G$99,$G$99,F1082)</f>
        <v>15.906595441861038</v>
      </c>
      <c r="B1082" s="96">
        <v>979</v>
      </c>
      <c r="C1082" s="96">
        <f t="shared" si="296"/>
        <v>1.4685000000000001</v>
      </c>
      <c r="D1082" s="96">
        <f t="shared" si="297"/>
        <v>1341.6092580185175</v>
      </c>
      <c r="E1082" s="96">
        <f t="shared" si="298"/>
        <v>1.9415273117293609E-217</v>
      </c>
      <c r="F1082" s="96">
        <f t="shared" si="299"/>
        <v>2.4038936400085874E-214</v>
      </c>
      <c r="G1082" s="96">
        <f t="shared" si="302"/>
        <v>-0.29799999999999999</v>
      </c>
      <c r="I1082" s="96">
        <f t="shared" si="300"/>
        <v>0</v>
      </c>
      <c r="J1082" s="96">
        <f t="shared" si="301"/>
        <v>1.4685000000000001</v>
      </c>
    </row>
    <row r="1083" spans="1:10" ht="12.75" customHeight="1">
      <c r="A1083" s="96">
        <f>IF(MAX($F$104:F1083)=$G$99,$G$99,F1083)</f>
        <v>15.906595441861038</v>
      </c>
      <c r="B1083" s="481">
        <v>980</v>
      </c>
      <c r="C1083" s="96">
        <f t="shared" si="296"/>
        <v>1.4700000000000002</v>
      </c>
      <c r="D1083" s="96">
        <f t="shared" si="297"/>
        <v>1344.351432587905</v>
      </c>
      <c r="E1083" s="96">
        <f t="shared" si="298"/>
        <v>5.4348139500087705E-218</v>
      </c>
      <c r="F1083" s="96">
        <f t="shared" si="299"/>
        <v>6.7409071787431456E-215</v>
      </c>
      <c r="G1083" s="96">
        <f t="shared" si="302"/>
        <v>-0.29799999999999999</v>
      </c>
      <c r="I1083" s="96">
        <f t="shared" si="300"/>
        <v>0</v>
      </c>
      <c r="J1083" s="96">
        <f t="shared" si="301"/>
        <v>1.4700000000000002</v>
      </c>
    </row>
    <row r="1084" spans="1:10" ht="12.75" customHeight="1">
      <c r="A1084" s="96">
        <f>IF(MAX($F$104:F1084)=$G$99,$G$99,F1084)</f>
        <v>15.906595441861038</v>
      </c>
      <c r="B1084" s="481">
        <v>981</v>
      </c>
      <c r="C1084" s="96">
        <f t="shared" si="296"/>
        <v>1.4715000000000003</v>
      </c>
      <c r="D1084" s="96">
        <f t="shared" si="297"/>
        <v>1347.0964067229581</v>
      </c>
      <c r="E1084" s="96">
        <f t="shared" si="298"/>
        <v>1.5190593684180015E-218</v>
      </c>
      <c r="F1084" s="96">
        <f t="shared" si="299"/>
        <v>1.8874257336961673E-215</v>
      </c>
      <c r="G1084" s="96">
        <f t="shared" si="302"/>
        <v>-0.29799999999999999</v>
      </c>
      <c r="I1084" s="96">
        <f t="shared" si="300"/>
        <v>0</v>
      </c>
      <c r="J1084" s="96">
        <f t="shared" si="301"/>
        <v>1.4715000000000003</v>
      </c>
    </row>
    <row r="1085" spans="1:10" ht="12.75" customHeight="1">
      <c r="A1085" s="96">
        <f>IF(MAX($F$104:F1085)=$G$99,$G$99,F1085)</f>
        <v>15.906595441861038</v>
      </c>
      <c r="B1085" s="96">
        <v>982</v>
      </c>
      <c r="C1085" s="96">
        <f t="shared" si="296"/>
        <v>1.4730000000000003</v>
      </c>
      <c r="D1085" s="96">
        <f t="shared" si="297"/>
        <v>1349.8441804236768</v>
      </c>
      <c r="E1085" s="96">
        <f t="shared" si="298"/>
        <v>4.2394917028443151E-219</v>
      </c>
      <c r="F1085" s="96">
        <f t="shared" si="299"/>
        <v>5.2767912374663919E-216</v>
      </c>
      <c r="G1085" s="96">
        <f t="shared" si="302"/>
        <v>-0.29799999999999999</v>
      </c>
      <c r="I1085" s="96">
        <f t="shared" si="300"/>
        <v>0</v>
      </c>
      <c r="J1085" s="96">
        <f t="shared" si="301"/>
        <v>1.4730000000000003</v>
      </c>
    </row>
    <row r="1086" spans="1:10" ht="12.75" customHeight="1">
      <c r="A1086" s="96">
        <f>IF(MAX($F$104:F1086)=$G$99,$G$99,F1086)</f>
        <v>15.906595441861038</v>
      </c>
      <c r="B1086" s="481">
        <v>983</v>
      </c>
      <c r="C1086" s="96">
        <f t="shared" si="296"/>
        <v>1.4745000000000004</v>
      </c>
      <c r="D1086" s="96">
        <f t="shared" si="297"/>
        <v>1352.594753690061</v>
      </c>
      <c r="E1086" s="96">
        <f t="shared" si="298"/>
        <v>1.1814134077205658E-219</v>
      </c>
      <c r="F1086" s="96">
        <f t="shared" si="299"/>
        <v>1.4730536284246484E-216</v>
      </c>
      <c r="G1086" s="96">
        <f t="shared" si="302"/>
        <v>-0.29799999999999999</v>
      </c>
      <c r="I1086" s="96">
        <f t="shared" si="300"/>
        <v>0</v>
      </c>
      <c r="J1086" s="96">
        <f t="shared" si="301"/>
        <v>1.4745000000000004</v>
      </c>
    </row>
    <row r="1087" spans="1:10" ht="12.75" customHeight="1">
      <c r="A1087" s="96">
        <f>IF(MAX($F$104:F1087)=$G$99,$G$99,F1087)</f>
        <v>15.906595441861038</v>
      </c>
      <c r="B1087" s="481">
        <v>984</v>
      </c>
      <c r="C1087" s="96">
        <f t="shared" si="296"/>
        <v>1.4760000000000004</v>
      </c>
      <c r="D1087" s="96">
        <f t="shared" si="297"/>
        <v>1355.3481265221108</v>
      </c>
      <c r="E1087" s="96">
        <f t="shared" si="298"/>
        <v>3.2872985746914177E-220</v>
      </c>
      <c r="F1087" s="96">
        <f t="shared" si="299"/>
        <v>4.1059711820658973E-217</v>
      </c>
      <c r="G1087" s="96">
        <f t="shared" si="302"/>
        <v>-0.29799999999999999</v>
      </c>
      <c r="I1087" s="96">
        <f t="shared" si="300"/>
        <v>0</v>
      </c>
      <c r="J1087" s="96">
        <f t="shared" si="301"/>
        <v>1.4760000000000004</v>
      </c>
    </row>
    <row r="1088" spans="1:10" ht="12.75" customHeight="1">
      <c r="A1088" s="96">
        <f>IF(MAX($F$104:F1088)=$G$99,$G$99,F1088)</f>
        <v>15.906595441861038</v>
      </c>
      <c r="B1088" s="96">
        <v>985</v>
      </c>
      <c r="C1088" s="96">
        <f t="shared" si="296"/>
        <v>1.4775000000000005</v>
      </c>
      <c r="D1088" s="96">
        <f t="shared" si="297"/>
        <v>1358.1042989198259</v>
      </c>
      <c r="E1088" s="96">
        <f t="shared" si="298"/>
        <v>9.1332562924309853E-221</v>
      </c>
      <c r="F1088" s="96">
        <f t="shared" si="299"/>
        <v>1.142778385228643E-217</v>
      </c>
      <c r="G1088" s="96">
        <f t="shared" si="302"/>
        <v>-0.29799999999999999</v>
      </c>
      <c r="I1088" s="96">
        <f t="shared" si="300"/>
        <v>0</v>
      </c>
      <c r="J1088" s="96">
        <f t="shared" si="301"/>
        <v>1.4775000000000005</v>
      </c>
    </row>
    <row r="1089" spans="1:10" ht="12.75" customHeight="1">
      <c r="A1089" s="96">
        <f>IF(MAX($F$104:F1089)=$G$99,$G$99,F1089)</f>
        <v>15.906595441861038</v>
      </c>
      <c r="B1089" s="481">
        <v>986</v>
      </c>
      <c r="C1089" s="96">
        <f t="shared" si="296"/>
        <v>1.4790000000000005</v>
      </c>
      <c r="D1089" s="96">
        <f t="shared" si="297"/>
        <v>1360.8632708832065</v>
      </c>
      <c r="E1089" s="96">
        <f t="shared" si="298"/>
        <v>2.5337365815519733E-221</v>
      </c>
      <c r="F1089" s="96">
        <f t="shared" si="299"/>
        <v>3.1758282521101311E-218</v>
      </c>
      <c r="G1089" s="96">
        <f t="shared" si="302"/>
        <v>-0.29799999999999999</v>
      </c>
      <c r="I1089" s="96">
        <f t="shared" si="300"/>
        <v>0</v>
      </c>
      <c r="J1089" s="96">
        <f t="shared" si="301"/>
        <v>1.4790000000000005</v>
      </c>
    </row>
    <row r="1090" spans="1:10" ht="12.75" customHeight="1">
      <c r="A1090" s="96">
        <f>IF(MAX($F$104:F1090)=$G$99,$G$99,F1090)</f>
        <v>15.906595441861038</v>
      </c>
      <c r="B1090" s="481">
        <v>987</v>
      </c>
      <c r="C1090" s="96">
        <f t="shared" si="296"/>
        <v>1.4805000000000006</v>
      </c>
      <c r="D1090" s="96">
        <f t="shared" si="297"/>
        <v>1363.6250424122529</v>
      </c>
      <c r="E1090" s="96">
        <f t="shared" si="298"/>
        <v>7.0185385320054787E-222</v>
      </c>
      <c r="F1090" s="96">
        <f t="shared" si="299"/>
        <v>8.8125370541056997E-219</v>
      </c>
      <c r="G1090" s="96">
        <f t="shared" si="302"/>
        <v>-0.29799999999999999</v>
      </c>
      <c r="I1090" s="96">
        <f t="shared" si="300"/>
        <v>0</v>
      </c>
      <c r="J1090" s="96">
        <f t="shared" si="301"/>
        <v>1.4805000000000006</v>
      </c>
    </row>
    <row r="1091" spans="1:10" ht="12.75" customHeight="1">
      <c r="A1091" s="96">
        <f>IF(MAX($F$104:F1091)=$G$99,$G$99,F1091)</f>
        <v>15.906595441861038</v>
      </c>
      <c r="B1091" s="96">
        <v>988</v>
      </c>
      <c r="C1091" s="96">
        <f t="shared" ref="C1091:C1104" si="303">C1090+$C$99</f>
        <v>1.4820000000000007</v>
      </c>
      <c r="D1091" s="96">
        <f t="shared" si="297"/>
        <v>1366.3896135069647</v>
      </c>
      <c r="E1091" s="96">
        <f t="shared" si="298"/>
        <v>1.9412497426727384E-222</v>
      </c>
      <c r="F1091" s="96">
        <f t="shared" si="299"/>
        <v>2.4417092569980105E-219</v>
      </c>
      <c r="G1091" s="96">
        <f t="shared" si="302"/>
        <v>-0.29799999999999999</v>
      </c>
      <c r="I1091" s="96">
        <f t="shared" si="300"/>
        <v>0</v>
      </c>
      <c r="J1091" s="96">
        <f t="shared" si="301"/>
        <v>1.4820000000000007</v>
      </c>
    </row>
    <row r="1092" spans="1:10" ht="12.75" customHeight="1">
      <c r="A1092" s="96">
        <f>IF(MAX($F$104:F1092)=$G$99,$G$99,F1092)</f>
        <v>15.906595441861038</v>
      </c>
      <c r="B1092" s="481">
        <v>989</v>
      </c>
      <c r="C1092" s="96">
        <f t="shared" si="303"/>
        <v>1.4835000000000007</v>
      </c>
      <c r="D1092" s="96">
        <f t="shared" si="297"/>
        <v>1369.156984167342</v>
      </c>
      <c r="E1092" s="96">
        <f t="shared" si="298"/>
        <v>5.3612457537359135E-223</v>
      </c>
      <c r="F1092" s="96">
        <f t="shared" si="299"/>
        <v>6.7551667826050353E-220</v>
      </c>
      <c r="G1092" s="96">
        <f t="shared" si="302"/>
        <v>-0.29799999999999999</v>
      </c>
      <c r="I1092" s="96">
        <f t="shared" si="300"/>
        <v>0</v>
      </c>
      <c r="J1092" s="96">
        <f t="shared" si="301"/>
        <v>1.4835000000000007</v>
      </c>
    </row>
    <row r="1093" spans="1:10" ht="12.75" customHeight="1">
      <c r="A1093" s="96">
        <f>IF(MAX($F$104:F1093)=$G$99,$G$99,F1093)</f>
        <v>15.906595441861038</v>
      </c>
      <c r="B1093" s="481">
        <v>990</v>
      </c>
      <c r="C1093" s="96">
        <f t="shared" si="303"/>
        <v>1.4850000000000008</v>
      </c>
      <c r="D1093" s="96">
        <f t="shared" si="297"/>
        <v>1371.9271543933849</v>
      </c>
      <c r="E1093" s="96">
        <f t="shared" si="298"/>
        <v>1.4784263224662259E-223</v>
      </c>
      <c r="F1093" s="96">
        <f t="shared" si="299"/>
        <v>1.8660678141674632E-220</v>
      </c>
      <c r="G1093" s="96">
        <f t="shared" si="302"/>
        <v>-0.29799999999999999</v>
      </c>
      <c r="I1093" s="96">
        <f t="shared" si="300"/>
        <v>0</v>
      </c>
      <c r="J1093" s="96">
        <f t="shared" si="301"/>
        <v>1.4850000000000008</v>
      </c>
    </row>
    <row r="1094" spans="1:10" ht="12.75" customHeight="1">
      <c r="A1094" s="96">
        <f>IF(MAX($F$104:F1094)=$G$99,$G$99,F1094)</f>
        <v>15.906595441861038</v>
      </c>
      <c r="B1094" s="96">
        <v>991</v>
      </c>
      <c r="C1094" s="96">
        <f t="shared" si="303"/>
        <v>1.4865000000000008</v>
      </c>
      <c r="D1094" s="96">
        <f t="shared" si="297"/>
        <v>1374.700124185093</v>
      </c>
      <c r="E1094" s="96">
        <f t="shared" si="298"/>
        <v>4.0708341523822276E-224</v>
      </c>
      <c r="F1094" s="96">
        <f t="shared" si="299"/>
        <v>5.1471648181746267E-221</v>
      </c>
      <c r="G1094" s="96">
        <f t="shared" si="302"/>
        <v>-0.29799999999999999</v>
      </c>
      <c r="I1094" s="96">
        <f t="shared" si="300"/>
        <v>0</v>
      </c>
      <c r="J1094" s="96">
        <f t="shared" si="301"/>
        <v>1.4865000000000008</v>
      </c>
    </row>
    <row r="1095" spans="1:10" ht="12.75" customHeight="1">
      <c r="A1095" s="96">
        <f>IF(MAX($F$104:F1095)=$G$99,$G$99,F1095)</f>
        <v>15.906595441861038</v>
      </c>
      <c r="B1095" s="481">
        <v>992</v>
      </c>
      <c r="C1095" s="96">
        <f t="shared" si="303"/>
        <v>1.4880000000000009</v>
      </c>
      <c r="D1095" s="96">
        <f t="shared" si="297"/>
        <v>1377.4758935424672</v>
      </c>
      <c r="E1095" s="96">
        <f t="shared" si="298"/>
        <v>1.1192238843756376E-224</v>
      </c>
      <c r="F1095" s="96">
        <f t="shared" si="299"/>
        <v>1.4176144163925861E-221</v>
      </c>
      <c r="G1095" s="96">
        <f t="shared" si="302"/>
        <v>-0.29799999999999999</v>
      </c>
      <c r="I1095" s="96">
        <f t="shared" si="300"/>
        <v>0</v>
      </c>
      <c r="J1095" s="96">
        <f t="shared" si="301"/>
        <v>1.4880000000000009</v>
      </c>
    </row>
    <row r="1096" spans="1:10" ht="12.75" customHeight="1">
      <c r="A1096" s="96">
        <f>IF(MAX($F$104:F1096)=$G$99,$G$99,F1096)</f>
        <v>15.906595441861038</v>
      </c>
      <c r="B1096" s="481">
        <v>993</v>
      </c>
      <c r="C1096" s="96">
        <f t="shared" si="303"/>
        <v>1.4895000000000009</v>
      </c>
      <c r="D1096" s="96">
        <f t="shared" si="297"/>
        <v>1380.2544624655065</v>
      </c>
      <c r="E1096" s="96">
        <f t="shared" si="298"/>
        <v>3.0725605576474221E-225</v>
      </c>
      <c r="F1096" s="96">
        <f t="shared" si="299"/>
        <v>3.898500970081932E-222</v>
      </c>
      <c r="G1096" s="96">
        <f t="shared" si="302"/>
        <v>-0.29799999999999999</v>
      </c>
      <c r="I1096" s="96">
        <f t="shared" si="300"/>
        <v>0</v>
      </c>
      <c r="J1096" s="96">
        <f t="shared" si="301"/>
        <v>1.4895000000000009</v>
      </c>
    </row>
    <row r="1097" spans="1:10" ht="12.75" customHeight="1">
      <c r="A1097" s="96">
        <f>IF(MAX($F$104:F1097)=$G$99,$G$99,F1097)</f>
        <v>15.906595441861038</v>
      </c>
      <c r="B1097" s="96">
        <v>994</v>
      </c>
      <c r="C1097" s="96">
        <f t="shared" si="303"/>
        <v>1.491000000000001</v>
      </c>
      <c r="D1097" s="96">
        <f t="shared" si="297"/>
        <v>1383.0358309542114</v>
      </c>
      <c r="E1097" s="96">
        <f t="shared" si="298"/>
        <v>8.422362683176163E-226</v>
      </c>
      <c r="F1097" s="96">
        <f t="shared" si="299"/>
        <v>1.0705001627377986E-222</v>
      </c>
      <c r="G1097" s="96">
        <f t="shared" si="302"/>
        <v>-0.29799999999999999</v>
      </c>
      <c r="I1097" s="96">
        <f t="shared" si="300"/>
        <v>0</v>
      </c>
      <c r="J1097" s="96">
        <f t="shared" si="301"/>
        <v>1.491000000000001</v>
      </c>
    </row>
    <row r="1098" spans="1:10" ht="12.75" customHeight="1">
      <c r="A1098" s="96">
        <f>IF(MAX($F$104:F1098)=$G$99,$G$99,F1098)</f>
        <v>15.906595441861038</v>
      </c>
      <c r="B1098" s="481">
        <v>995</v>
      </c>
      <c r="C1098" s="96">
        <f t="shared" si="303"/>
        <v>1.492500000000001</v>
      </c>
      <c r="D1098" s="96">
        <f t="shared" si="297"/>
        <v>1385.819999008582</v>
      </c>
      <c r="E1098" s="96">
        <f t="shared" si="298"/>
        <v>2.3052472737008041E-226</v>
      </c>
      <c r="F1098" s="96">
        <f t="shared" si="299"/>
        <v>2.9351174199349444E-223</v>
      </c>
      <c r="G1098" s="96">
        <f t="shared" si="302"/>
        <v>-0.29799999999999999</v>
      </c>
      <c r="I1098" s="96">
        <f t="shared" si="300"/>
        <v>0</v>
      </c>
      <c r="J1098" s="96">
        <f t="shared" si="301"/>
        <v>1.492500000000001</v>
      </c>
    </row>
    <row r="1099" spans="1:10" ht="12.75" customHeight="1">
      <c r="A1099" s="96">
        <f>IF(MAX($F$104:F1099)=$G$99,$G$99,F1099)</f>
        <v>15.906595441861038</v>
      </c>
      <c r="B1099" s="481">
        <v>996</v>
      </c>
      <c r="C1099" s="96">
        <f t="shared" si="303"/>
        <v>1.4940000000000011</v>
      </c>
      <c r="D1099" s="96">
        <f t="shared" si="297"/>
        <v>1388.6069666286182</v>
      </c>
      <c r="E1099" s="96">
        <f t="shared" si="298"/>
        <v>6.300155506055126E-227</v>
      </c>
      <c r="F1099" s="96">
        <f t="shared" si="299"/>
        <v>8.0355194950266325E-224</v>
      </c>
      <c r="G1099" s="96">
        <f t="shared" si="302"/>
        <v>-0.29799999999999999</v>
      </c>
      <c r="I1099" s="96">
        <f t="shared" si="300"/>
        <v>0</v>
      </c>
      <c r="J1099" s="96">
        <f t="shared" si="301"/>
        <v>1.4940000000000011</v>
      </c>
    </row>
    <row r="1100" spans="1:10" ht="12.75" customHeight="1">
      <c r="A1100" s="96">
        <f>IF(MAX($F$104:F1100)=$G$99,$G$99,F1100)</f>
        <v>15.906595441861038</v>
      </c>
      <c r="B1100" s="96">
        <v>997</v>
      </c>
      <c r="C1100" s="96">
        <f t="shared" si="303"/>
        <v>1.4955000000000012</v>
      </c>
      <c r="D1100" s="96">
        <f t="shared" si="297"/>
        <v>1391.3967338143198</v>
      </c>
      <c r="E1100" s="96">
        <f t="shared" si="298"/>
        <v>1.7192351395921983E-227</v>
      </c>
      <c r="F1100" s="96">
        <f t="shared" si="299"/>
        <v>2.1966064789655242E-224</v>
      </c>
      <c r="G1100" s="96">
        <f t="shared" si="302"/>
        <v>-0.29799999999999999</v>
      </c>
      <c r="I1100" s="96">
        <f t="shared" si="300"/>
        <v>0</v>
      </c>
      <c r="J1100" s="96">
        <f t="shared" si="301"/>
        <v>1.4955000000000012</v>
      </c>
    </row>
    <row r="1101" spans="1:10" ht="12.75" customHeight="1">
      <c r="A1101" s="96">
        <f>IF(MAX($F$104:F1101)=$G$99,$G$99,F1101)</f>
        <v>15.906595441861038</v>
      </c>
      <c r="B1101" s="481">
        <v>998</v>
      </c>
      <c r="C1101" s="96">
        <f t="shared" si="303"/>
        <v>1.4970000000000012</v>
      </c>
      <c r="D1101" s="96">
        <f t="shared" si="297"/>
        <v>1394.1893005656868</v>
      </c>
      <c r="E1101" s="96">
        <f t="shared" si="298"/>
        <v>4.6845688933249547E-228</v>
      </c>
      <c r="F1101" s="96">
        <f t="shared" si="299"/>
        <v>5.995707924647656E-225</v>
      </c>
      <c r="G1101" s="96">
        <f t="shared" si="302"/>
        <v>-0.29799999999999999</v>
      </c>
      <c r="I1101" s="96">
        <f t="shared" si="300"/>
        <v>0</v>
      </c>
      <c r="J1101" s="96">
        <f t="shared" si="301"/>
        <v>1.4970000000000012</v>
      </c>
    </row>
    <row r="1102" spans="1:10" ht="12.75" customHeight="1">
      <c r="A1102" s="96">
        <f>IF(MAX($F$104:F1102)=$G$99,$G$99,F1102)</f>
        <v>15.906595441861038</v>
      </c>
      <c r="B1102" s="481">
        <v>999</v>
      </c>
      <c r="C1102" s="96">
        <f t="shared" si="303"/>
        <v>1.4985000000000013</v>
      </c>
      <c r="D1102" s="96">
        <f t="shared" si="297"/>
        <v>1396.9846668827195</v>
      </c>
      <c r="E1102" s="96">
        <f t="shared" si="298"/>
        <v>1.2745427464149275E-228</v>
      </c>
      <c r="F1102" s="96">
        <f t="shared" si="299"/>
        <v>1.6341001446279887E-225</v>
      </c>
      <c r="G1102" s="96">
        <f t="shared" si="302"/>
        <v>-0.29799999999999999</v>
      </c>
      <c r="I1102" s="96">
        <f t="shared" si="300"/>
        <v>0</v>
      </c>
      <c r="J1102" s="96">
        <f t="shared" si="301"/>
        <v>1.4985000000000013</v>
      </c>
    </row>
    <row r="1103" spans="1:10" ht="12.75" customHeight="1">
      <c r="A1103" s="96">
        <f>IF(MAX($F$104:F1103)=$G$99,$G$99,F1103)</f>
        <v>15.906595441861038</v>
      </c>
      <c r="B1103" s="96">
        <v>1000</v>
      </c>
      <c r="C1103" s="96">
        <f t="shared" si="303"/>
        <v>1.5000000000000013</v>
      </c>
      <c r="D1103" s="96">
        <f t="shared" si="297"/>
        <v>1399.7828327654177</v>
      </c>
      <c r="E1103" s="96">
        <f t="shared" si="298"/>
        <v>3.4624992528604656E-229</v>
      </c>
      <c r="F1103" s="96">
        <f t="shared" si="299"/>
        <v>4.446998108200484E-226</v>
      </c>
      <c r="G1103" s="96">
        <f t="shared" si="302"/>
        <v>-0.29799999999999999</v>
      </c>
      <c r="I1103" s="96">
        <f t="shared" si="300"/>
        <v>0</v>
      </c>
      <c r="J1103" s="96">
        <f t="shared" si="301"/>
        <v>1.5000000000000013</v>
      </c>
    </row>
    <row r="1104" spans="1:10" ht="12.75" customHeight="1">
      <c r="A1104" s="96">
        <f>IF(MAX($F$104:F1104)=$G$99,$G$99,F1104)</f>
        <v>15.906595441861038</v>
      </c>
      <c r="B1104" s="481">
        <v>1001</v>
      </c>
      <c r="C1104" s="96">
        <f t="shared" si="303"/>
        <v>1.5015000000000014</v>
      </c>
      <c r="D1104" s="96">
        <f t="shared" si="297"/>
        <v>1402.5837982137814</v>
      </c>
      <c r="E1104" s="96">
        <f t="shared" si="298"/>
        <v>9.3923779636037698E-230</v>
      </c>
      <c r="I1104" s="96">
        <f t="shared" si="300"/>
        <v>0</v>
      </c>
      <c r="J1104" s="96">
        <f t="shared" si="301"/>
        <v>1.5015000000000014</v>
      </c>
    </row>
    <row r="1105" spans="2:10" ht="12.75" customHeight="1">
      <c r="B1105" s="481"/>
      <c r="I1105" s="96">
        <f t="shared" si="300"/>
        <v>0</v>
      </c>
      <c r="J1105" s="96">
        <f t="shared" si="301"/>
        <v>0</v>
      </c>
    </row>
    <row r="1106" spans="2:10" ht="12.75" customHeight="1">
      <c r="I1106" s="96">
        <f t="shared" si="300"/>
        <v>0</v>
      </c>
      <c r="J1106" s="96">
        <f t="shared" si="301"/>
        <v>0</v>
      </c>
    </row>
    <row r="1107" spans="2:10" ht="12.75" customHeight="1">
      <c r="B1107" s="481"/>
      <c r="I1107" s="96">
        <f t="shared" si="300"/>
        <v>0</v>
      </c>
      <c r="J1107" s="96">
        <f t="shared" si="301"/>
        <v>0</v>
      </c>
    </row>
  </sheetData>
  <sheetProtection sheet="1" objects="1" scenarios="1" selectLockedCells="1" selectUnlockedCells="1"/>
  <phoneticPr fontId="39" type="noConversion"/>
  <pageMargins left="0.55118110236220474" right="0.55118110236220474" top="0.59055118110236227" bottom="0.59055118110236227" header="0.51181102362204722" footer="0.51181102362204722"/>
  <pageSetup paperSize="9" orientation="landscape" r:id="rId1"/>
  <headerFooter alignWithMargins="0">
    <oddHeader>&amp;A</oddHeader>
    <oddFooter>Page &amp;P</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13"/>
  <dimension ref="A1:BG1093"/>
  <sheetViews>
    <sheetView showGridLines="0" showRowColHeaders="0" zoomScale="120" workbookViewId="0">
      <selection activeCell="J2" sqref="J2"/>
    </sheetView>
  </sheetViews>
  <sheetFormatPr defaultColWidth="9.28515625" defaultRowHeight="12.75" customHeight="1"/>
  <cols>
    <col min="1" max="1" width="2.140625" style="96" customWidth="1"/>
    <col min="2" max="2" width="5.7109375" style="96" customWidth="1"/>
    <col min="3" max="3" width="7" style="96" customWidth="1"/>
    <col min="4" max="4" width="6.85546875" style="96" customWidth="1"/>
    <col min="5" max="6" width="6" style="96" customWidth="1"/>
    <col min="7" max="7" width="6.42578125" style="96" customWidth="1"/>
    <col min="8" max="8" width="0.5703125" style="96" customWidth="1"/>
    <col min="9" max="9" width="5.28515625" style="96" customWidth="1"/>
    <col min="10" max="17" width="7.140625" style="96" customWidth="1"/>
    <col min="18" max="25" width="10.28515625" style="96" customWidth="1"/>
    <col min="26" max="26" width="5.140625" style="96" customWidth="1"/>
    <col min="27" max="56" width="7.140625" style="96" customWidth="1"/>
    <col min="57" max="61" width="10.42578125" style="96" bestFit="1" customWidth="1"/>
    <col min="62" max="62" width="9.5703125" style="96" bestFit="1" customWidth="1"/>
    <col min="63" max="70" width="10.42578125" style="96" bestFit="1" customWidth="1"/>
    <col min="71" max="71" width="9.5703125" style="96" bestFit="1" customWidth="1"/>
    <col min="72" max="81" width="10.42578125" style="96" bestFit="1" customWidth="1"/>
    <col min="82" max="82" width="9.5703125" style="96" bestFit="1" customWidth="1"/>
    <col min="83" max="83" width="10.42578125" style="96" bestFit="1" customWidth="1"/>
    <col min="84" max="84" width="9.5703125" style="96" bestFit="1" customWidth="1"/>
    <col min="85" max="87" width="10.42578125" style="96" bestFit="1" customWidth="1"/>
    <col min="88" max="88" width="9.5703125" style="96" bestFit="1" customWidth="1"/>
    <col min="89" max="90" width="10.42578125" style="96" bestFit="1" customWidth="1"/>
    <col min="91" max="91" width="9.28515625" style="96" bestFit="1" customWidth="1"/>
    <col min="92" max="96" width="10.42578125" style="96" bestFit="1" customWidth="1"/>
    <col min="97" max="97" width="9.5703125" style="96" bestFit="1" customWidth="1"/>
    <col min="98" max="105" width="10.42578125" style="96" bestFit="1" customWidth="1"/>
    <col min="106" max="107" width="9.5703125" style="96" bestFit="1" customWidth="1"/>
    <col min="108" max="113" width="10.42578125" style="96" bestFit="1" customWidth="1"/>
    <col min="114" max="114" width="9.5703125" style="96" bestFit="1" customWidth="1"/>
    <col min="115" max="120" width="10.42578125" style="96" bestFit="1" customWidth="1"/>
    <col min="121" max="215" width="9.28515625" style="96" bestFit="1" customWidth="1"/>
    <col min="216" max="16384" width="9.28515625" style="96"/>
  </cols>
  <sheetData>
    <row r="1" spans="1:47" ht="12.75" customHeight="1">
      <c r="C1" s="542" t="s">
        <v>488</v>
      </c>
      <c r="I1" s="476">
        <f>($C$73+$C$70+$C$65)/1000000</f>
        <v>4.8000000000000001E-5</v>
      </c>
      <c r="J1" s="477">
        <f t="shared" ref="J1:Y1" si="0">$I$1</f>
        <v>4.8000000000000001E-5</v>
      </c>
      <c r="K1" s="477">
        <f t="shared" si="0"/>
        <v>4.8000000000000001E-5</v>
      </c>
      <c r="L1" s="477">
        <f t="shared" si="0"/>
        <v>4.8000000000000001E-5</v>
      </c>
      <c r="M1" s="477">
        <f t="shared" si="0"/>
        <v>4.8000000000000001E-5</v>
      </c>
      <c r="N1" s="477">
        <f t="shared" si="0"/>
        <v>4.8000000000000001E-5</v>
      </c>
      <c r="O1" s="477">
        <f t="shared" si="0"/>
        <v>4.8000000000000001E-5</v>
      </c>
      <c r="P1" s="477">
        <f t="shared" si="0"/>
        <v>4.8000000000000001E-5</v>
      </c>
      <c r="Q1" s="477">
        <f t="shared" si="0"/>
        <v>4.8000000000000001E-5</v>
      </c>
      <c r="R1" s="477">
        <f t="shared" si="0"/>
        <v>4.8000000000000001E-5</v>
      </c>
      <c r="S1" s="477">
        <f t="shared" si="0"/>
        <v>4.8000000000000001E-5</v>
      </c>
      <c r="T1" s="477"/>
      <c r="U1" s="477"/>
      <c r="V1" s="477">
        <f t="shared" si="0"/>
        <v>4.8000000000000001E-5</v>
      </c>
      <c r="W1" s="477">
        <f t="shared" si="0"/>
        <v>4.8000000000000001E-5</v>
      </c>
      <c r="X1" s="477">
        <f t="shared" si="0"/>
        <v>4.8000000000000001E-5</v>
      </c>
      <c r="Y1" s="478">
        <f t="shared" si="0"/>
        <v>4.8000000000000001E-5</v>
      </c>
      <c r="Z1" s="477"/>
      <c r="AA1" s="477"/>
      <c r="AC1" s="477"/>
      <c r="AD1" s="477"/>
      <c r="AE1" s="478"/>
    </row>
    <row r="2" spans="1:47" ht="12.75" customHeight="1">
      <c r="C2" s="24" t="s">
        <v>489</v>
      </c>
      <c r="D2" s="5"/>
      <c r="I2" s="477">
        <f t="shared" ref="I2:I35" si="1">$I$1</f>
        <v>4.8000000000000001E-5</v>
      </c>
      <c r="J2" s="479"/>
      <c r="N2" s="480"/>
      <c r="P2" s="481"/>
      <c r="Y2" s="478">
        <f t="shared" ref="Y2:Y35" si="2">$I$1</f>
        <v>4.8000000000000001E-5</v>
      </c>
      <c r="AJ2" s="272"/>
      <c r="AT2" s="481"/>
    </row>
    <row r="3" spans="1:47" ht="12.75" customHeight="1">
      <c r="C3" s="96" t="s">
        <v>148</v>
      </c>
      <c r="I3" s="477">
        <f t="shared" si="1"/>
        <v>4.8000000000000001E-5</v>
      </c>
      <c r="J3" s="479"/>
      <c r="N3" s="482"/>
      <c r="R3" s="272"/>
      <c r="Y3" s="478">
        <f t="shared" si="2"/>
        <v>4.8000000000000001E-5</v>
      </c>
      <c r="AJ3" s="272"/>
    </row>
    <row r="4" spans="1:47" ht="12.75" customHeight="1">
      <c r="C4" s="543" t="s">
        <v>631</v>
      </c>
      <c r="E4" s="272"/>
      <c r="F4" s="272"/>
      <c r="G4" s="272"/>
      <c r="H4" s="272"/>
      <c r="I4" s="477">
        <f t="shared" si="1"/>
        <v>4.8000000000000001E-5</v>
      </c>
      <c r="J4" s="479"/>
      <c r="R4" s="272"/>
      <c r="Y4" s="478">
        <f t="shared" si="2"/>
        <v>4.8000000000000001E-5</v>
      </c>
      <c r="AJ4" s="272"/>
      <c r="AT4" s="272"/>
      <c r="AU4" s="272"/>
    </row>
    <row r="5" spans="1:47" ht="12.75" customHeight="1">
      <c r="I5" s="477">
        <f t="shared" si="1"/>
        <v>4.8000000000000001E-5</v>
      </c>
      <c r="J5" s="479"/>
      <c r="R5" s="272"/>
      <c r="Y5" s="478">
        <f t="shared" si="2"/>
        <v>4.8000000000000001E-5</v>
      </c>
      <c r="AJ5" s="272"/>
      <c r="AT5" s="272"/>
      <c r="AU5" s="272"/>
    </row>
    <row r="6" spans="1:47" ht="12.75" customHeight="1">
      <c r="A6" s="29">
        <v>1</v>
      </c>
      <c r="B6" s="483" t="s">
        <v>486</v>
      </c>
      <c r="C6" s="226"/>
      <c r="D6" s="226"/>
      <c r="E6" s="226"/>
      <c r="F6" s="226"/>
      <c r="G6" s="226"/>
      <c r="H6" s="561"/>
      <c r="I6" s="477">
        <f t="shared" si="1"/>
        <v>4.8000000000000001E-5</v>
      </c>
      <c r="J6" s="596"/>
      <c r="K6" s="272"/>
      <c r="L6" s="272"/>
      <c r="M6" s="272"/>
      <c r="N6" s="272"/>
      <c r="O6" s="272"/>
      <c r="P6" s="272"/>
      <c r="Q6" s="272"/>
      <c r="R6" s="272"/>
      <c r="S6" s="484"/>
      <c r="T6" s="484"/>
      <c r="U6" s="484"/>
      <c r="V6" s="484"/>
      <c r="X6" s="484"/>
      <c r="Y6" s="478">
        <f t="shared" si="2"/>
        <v>4.8000000000000001E-5</v>
      </c>
      <c r="AA6" s="484"/>
      <c r="AC6" s="484"/>
      <c r="AD6" s="484"/>
      <c r="AG6" s="484"/>
      <c r="AI6" s="484"/>
      <c r="AJ6" s="272"/>
      <c r="AT6" s="272"/>
      <c r="AU6" s="272"/>
    </row>
    <row r="7" spans="1:47" ht="12.75" customHeight="1">
      <c r="A7" s="330"/>
      <c r="B7" s="319"/>
      <c r="C7" s="319"/>
      <c r="D7" s="319"/>
      <c r="E7" s="319"/>
      <c r="F7" s="319"/>
      <c r="G7" s="319"/>
      <c r="H7" s="562"/>
      <c r="I7" s="477">
        <f t="shared" si="1"/>
        <v>4.8000000000000001E-5</v>
      </c>
      <c r="J7" s="479"/>
      <c r="R7" s="272"/>
      <c r="Y7" s="478">
        <f t="shared" si="2"/>
        <v>4.8000000000000001E-5</v>
      </c>
      <c r="AJ7" s="272"/>
      <c r="AL7" s="481"/>
      <c r="AN7" s="481"/>
      <c r="AT7" s="272"/>
      <c r="AU7" s="272"/>
    </row>
    <row r="8" spans="1:47" ht="12.75" customHeight="1">
      <c r="A8" s="330"/>
      <c r="B8" s="319"/>
      <c r="C8" s="319"/>
      <c r="D8" s="567" t="s">
        <v>487</v>
      </c>
      <c r="E8" s="572">
        <f>IF(C65&lt;16,(C65-10)/10,(C65+35)/100)</f>
        <v>0.7</v>
      </c>
      <c r="F8" s="319"/>
      <c r="G8" s="319"/>
      <c r="H8" s="562"/>
      <c r="I8" s="477">
        <f t="shared" si="1"/>
        <v>4.8000000000000001E-5</v>
      </c>
      <c r="J8" s="7"/>
      <c r="K8" s="7"/>
      <c r="L8" s="7"/>
      <c r="M8" s="7"/>
      <c r="N8" s="7"/>
      <c r="O8" s="7"/>
      <c r="P8" s="7"/>
      <c r="Q8" s="7"/>
      <c r="R8" s="272"/>
      <c r="S8" s="7"/>
      <c r="T8" s="7"/>
      <c r="U8" s="7"/>
      <c r="V8" s="7"/>
      <c r="X8" s="7"/>
      <c r="Y8" s="478">
        <f t="shared" si="2"/>
        <v>4.8000000000000001E-5</v>
      </c>
      <c r="AA8" s="7"/>
      <c r="AC8" s="7"/>
      <c r="AD8" s="7"/>
      <c r="AG8" s="7"/>
      <c r="AI8" s="7"/>
      <c r="AJ8" s="272"/>
      <c r="AK8" s="487"/>
      <c r="AL8" s="272"/>
      <c r="AO8" s="487"/>
      <c r="AP8" s="272"/>
      <c r="AT8" s="272"/>
      <c r="AU8" s="272"/>
    </row>
    <row r="9" spans="1:47" ht="12.75" customHeight="1">
      <c r="A9" s="330"/>
      <c r="B9" s="319"/>
      <c r="C9" s="319"/>
      <c r="D9" s="319"/>
      <c r="E9" s="319"/>
      <c r="F9" s="319"/>
      <c r="G9" s="319"/>
      <c r="H9" s="562"/>
      <c r="I9" s="477">
        <f t="shared" si="1"/>
        <v>4.8000000000000001E-5</v>
      </c>
      <c r="R9" s="272"/>
      <c r="Y9" s="478">
        <f t="shared" si="2"/>
        <v>4.8000000000000001E-5</v>
      </c>
      <c r="AJ9" s="272"/>
      <c r="AK9" s="487"/>
      <c r="AL9" s="272"/>
    </row>
    <row r="10" spans="1:47" ht="12.75" customHeight="1">
      <c r="A10" s="330"/>
      <c r="B10" s="319"/>
      <c r="C10" s="319"/>
      <c r="D10" s="319"/>
      <c r="E10" s="319"/>
      <c r="F10" s="319"/>
      <c r="G10" s="319"/>
      <c r="H10" s="562"/>
      <c r="I10" s="476">
        <f t="shared" si="1"/>
        <v>4.8000000000000001E-5</v>
      </c>
      <c r="R10" s="272"/>
      <c r="Y10" s="478">
        <f t="shared" si="2"/>
        <v>4.8000000000000001E-5</v>
      </c>
      <c r="AK10" s="489"/>
    </row>
    <row r="11" spans="1:47" ht="12.75" customHeight="1">
      <c r="A11" s="610">
        <v>2</v>
      </c>
      <c r="B11" s="611" t="s">
        <v>7</v>
      </c>
      <c r="C11" s="319"/>
      <c r="D11" s="319"/>
      <c r="E11" s="319"/>
      <c r="F11" s="319"/>
      <c r="G11" s="319"/>
      <c r="H11" s="562"/>
      <c r="I11" s="476">
        <f t="shared" si="1"/>
        <v>4.8000000000000001E-5</v>
      </c>
      <c r="R11" s="272"/>
      <c r="Y11" s="478">
        <f t="shared" si="2"/>
        <v>4.8000000000000001E-5</v>
      </c>
      <c r="AK11" s="487"/>
      <c r="AL11" s="272"/>
      <c r="AT11" s="272"/>
    </row>
    <row r="12" spans="1:47" ht="12.75" customHeight="1">
      <c r="A12" s="330"/>
      <c r="B12" s="319"/>
      <c r="C12" s="319"/>
      <c r="D12" s="485" t="s">
        <v>636</v>
      </c>
      <c r="E12" s="498">
        <f>IF($D$72,D77,"")</f>
        <v>0.45</v>
      </c>
      <c r="F12" s="319"/>
      <c r="G12" s="319"/>
      <c r="H12" s="562"/>
      <c r="I12" s="490">
        <f t="shared" si="1"/>
        <v>4.8000000000000001E-5</v>
      </c>
      <c r="R12" s="272"/>
      <c r="Y12" s="478">
        <f t="shared" si="2"/>
        <v>4.8000000000000001E-5</v>
      </c>
      <c r="AK12" s="487"/>
      <c r="AL12" s="272"/>
      <c r="AR12" s="487"/>
      <c r="AS12" s="272"/>
      <c r="AT12" s="272"/>
    </row>
    <row r="13" spans="1:47" ht="12.75" customHeight="1">
      <c r="A13" s="330"/>
      <c r="B13" s="319"/>
      <c r="C13" s="319"/>
      <c r="D13" s="319" t="s">
        <v>153</v>
      </c>
      <c r="E13" s="319"/>
      <c r="F13" s="319"/>
      <c r="G13" s="319"/>
      <c r="H13" s="562"/>
      <c r="I13" s="490">
        <f t="shared" si="1"/>
        <v>4.8000000000000001E-5</v>
      </c>
      <c r="R13" s="272"/>
      <c r="Y13" s="478">
        <f t="shared" si="2"/>
        <v>4.8000000000000001E-5</v>
      </c>
      <c r="AJ13" s="489"/>
      <c r="AK13" s="491"/>
      <c r="AL13" s="491"/>
      <c r="AR13" s="487"/>
      <c r="AS13" s="272"/>
      <c r="AT13" s="272"/>
    </row>
    <row r="14" spans="1:47" ht="12.75" customHeight="1">
      <c r="A14" s="331"/>
      <c r="B14" s="332"/>
      <c r="C14" s="332"/>
      <c r="D14" s="332"/>
      <c r="E14" s="332"/>
      <c r="F14" s="332"/>
      <c r="G14" s="332"/>
      <c r="H14" s="563"/>
      <c r="I14" s="490">
        <f t="shared" si="1"/>
        <v>4.8000000000000001E-5</v>
      </c>
      <c r="R14" s="272"/>
      <c r="Y14" s="478">
        <f t="shared" si="2"/>
        <v>4.8000000000000001E-5</v>
      </c>
      <c r="AT14" s="272"/>
    </row>
    <row r="15" spans="1:47" ht="12.75" customHeight="1">
      <c r="H15" s="272"/>
      <c r="I15" s="490">
        <f t="shared" si="1"/>
        <v>4.8000000000000001E-5</v>
      </c>
      <c r="R15" s="272"/>
      <c r="Y15" s="478">
        <f t="shared" si="2"/>
        <v>4.8000000000000001E-5</v>
      </c>
      <c r="AT15" s="272"/>
    </row>
    <row r="16" spans="1:47" ht="12.75" customHeight="1">
      <c r="A16" s="31">
        <v>3</v>
      </c>
      <c r="B16" s="588" t="s">
        <v>633</v>
      </c>
      <c r="C16" s="549"/>
      <c r="D16" s="549"/>
      <c r="E16" s="549"/>
      <c r="F16" s="549"/>
      <c r="G16" s="549"/>
      <c r="H16" s="607"/>
      <c r="I16" s="490">
        <f t="shared" si="1"/>
        <v>4.8000000000000001E-5</v>
      </c>
      <c r="R16" s="272"/>
      <c r="Y16" s="478">
        <f t="shared" si="2"/>
        <v>4.8000000000000001E-5</v>
      </c>
    </row>
    <row r="17" spans="1:47" ht="12.75" customHeight="1">
      <c r="A17" s="550"/>
      <c r="B17" s="551"/>
      <c r="C17" s="551"/>
      <c r="D17" s="551"/>
      <c r="E17" s="551"/>
      <c r="F17" s="551"/>
      <c r="G17" s="551"/>
      <c r="H17" s="608"/>
      <c r="I17" s="477">
        <f t="shared" si="1"/>
        <v>4.8000000000000001E-5</v>
      </c>
      <c r="R17" s="272"/>
      <c r="Y17" s="478">
        <f t="shared" si="2"/>
        <v>4.8000000000000001E-5</v>
      </c>
      <c r="AU17" s="495"/>
    </row>
    <row r="18" spans="1:47" ht="12.75" customHeight="1">
      <c r="A18" s="550"/>
      <c r="B18" s="613" t="s">
        <v>150</v>
      </c>
      <c r="C18" s="551"/>
      <c r="D18" s="551"/>
      <c r="E18" s="551"/>
      <c r="F18" s="551"/>
      <c r="G18" s="551"/>
      <c r="H18" s="608"/>
      <c r="I18" s="477">
        <f t="shared" si="1"/>
        <v>4.8000000000000001E-5</v>
      </c>
      <c r="R18" s="272"/>
      <c r="Y18" s="478">
        <f t="shared" si="2"/>
        <v>4.8000000000000001E-5</v>
      </c>
      <c r="AU18" s="495"/>
    </row>
    <row r="19" spans="1:47" ht="12.75" customHeight="1">
      <c r="A19" s="550"/>
      <c r="B19" s="551"/>
      <c r="C19" s="551"/>
      <c r="D19" s="552"/>
      <c r="E19" s="551"/>
      <c r="F19" s="551"/>
      <c r="G19" s="187"/>
      <c r="H19" s="186"/>
      <c r="I19" s="477">
        <f t="shared" si="1"/>
        <v>4.8000000000000001E-5</v>
      </c>
      <c r="R19" s="272"/>
      <c r="Y19" s="478">
        <f t="shared" si="2"/>
        <v>4.8000000000000001E-5</v>
      </c>
      <c r="AU19" s="482"/>
    </row>
    <row r="20" spans="1:47" ht="12.75" customHeight="1">
      <c r="A20" s="550"/>
      <c r="B20" s="613" t="s">
        <v>151</v>
      </c>
      <c r="C20" s="551"/>
      <c r="D20" s="551"/>
      <c r="E20" s="551"/>
      <c r="F20" s="551"/>
      <c r="G20" s="551"/>
      <c r="H20" s="608"/>
      <c r="I20" s="477">
        <f t="shared" si="1"/>
        <v>4.8000000000000001E-5</v>
      </c>
      <c r="R20" s="272"/>
      <c r="Y20" s="478">
        <f t="shared" si="2"/>
        <v>4.8000000000000001E-5</v>
      </c>
      <c r="AU20" s="482"/>
    </row>
    <row r="21" spans="1:47" ht="12.75" customHeight="1">
      <c r="A21" s="553"/>
      <c r="B21" s="554"/>
      <c r="C21" s="554"/>
      <c r="D21" s="554"/>
      <c r="E21" s="554"/>
      <c r="F21" s="554"/>
      <c r="G21" s="554"/>
      <c r="H21" s="609"/>
      <c r="I21" s="477">
        <f t="shared" si="1"/>
        <v>4.8000000000000001E-5</v>
      </c>
      <c r="R21" s="272"/>
      <c r="Y21" s="478">
        <f t="shared" si="2"/>
        <v>4.8000000000000001E-5</v>
      </c>
      <c r="AU21" s="482"/>
    </row>
    <row r="22" spans="1:47" ht="12.75" customHeight="1">
      <c r="A22" s="601"/>
      <c r="B22" s="602"/>
      <c r="C22" s="495"/>
      <c r="D22" s="495"/>
      <c r="E22" s="495"/>
      <c r="F22" s="495"/>
      <c r="G22" s="495"/>
      <c r="H22" s="495"/>
      <c r="I22" s="477">
        <f t="shared" si="1"/>
        <v>4.8000000000000001E-5</v>
      </c>
      <c r="R22" s="272"/>
      <c r="Y22" s="478">
        <f t="shared" si="2"/>
        <v>4.8000000000000001E-5</v>
      </c>
      <c r="AU22" s="482"/>
    </row>
    <row r="23" spans="1:47" ht="12.75" customHeight="1">
      <c r="A23" s="34">
        <v>4</v>
      </c>
      <c r="B23" s="571" t="s">
        <v>1487</v>
      </c>
      <c r="C23" s="555"/>
      <c r="D23" s="555"/>
      <c r="E23" s="555"/>
      <c r="F23" s="555"/>
      <c r="G23" s="555"/>
      <c r="H23" s="556"/>
      <c r="I23" s="477">
        <f t="shared" si="1"/>
        <v>4.8000000000000001E-5</v>
      </c>
      <c r="R23" s="272"/>
      <c r="Y23" s="478">
        <f t="shared" si="2"/>
        <v>4.8000000000000001E-5</v>
      </c>
      <c r="AU23" s="482"/>
    </row>
    <row r="24" spans="1:47" ht="12.75" customHeight="1">
      <c r="A24" s="492"/>
      <c r="B24" s="493"/>
      <c r="C24" s="493" t="s">
        <v>152</v>
      </c>
      <c r="D24" s="493"/>
      <c r="E24" s="493"/>
      <c r="F24" s="493"/>
      <c r="G24" s="493"/>
      <c r="H24" s="494"/>
      <c r="I24" s="477">
        <f t="shared" si="1"/>
        <v>4.8000000000000001E-5</v>
      </c>
      <c r="R24" s="272"/>
      <c r="Y24" s="478">
        <f t="shared" si="2"/>
        <v>4.8000000000000001E-5</v>
      </c>
    </row>
    <row r="25" spans="1:47" ht="12.75" customHeight="1">
      <c r="A25" s="557"/>
      <c r="B25" s="558"/>
      <c r="C25" s="558"/>
      <c r="D25" s="558"/>
      <c r="E25" s="558"/>
      <c r="F25" s="558"/>
      <c r="G25" s="558"/>
      <c r="H25" s="559"/>
      <c r="I25" s="477">
        <f t="shared" si="1"/>
        <v>4.8000000000000001E-5</v>
      </c>
      <c r="R25" s="272"/>
      <c r="Y25" s="478">
        <f t="shared" si="2"/>
        <v>4.8000000000000001E-5</v>
      </c>
    </row>
    <row r="26" spans="1:47" ht="12.75" customHeight="1">
      <c r="H26" s="272"/>
      <c r="I26" s="477">
        <f t="shared" si="1"/>
        <v>4.8000000000000001E-5</v>
      </c>
      <c r="R26" s="272"/>
      <c r="Y26" s="478">
        <f t="shared" si="2"/>
        <v>4.8000000000000001E-5</v>
      </c>
    </row>
    <row r="27" spans="1:47" ht="12.75" customHeight="1">
      <c r="A27" s="30">
        <v>5</v>
      </c>
      <c r="B27" s="548" t="s">
        <v>8</v>
      </c>
      <c r="C27" s="300"/>
      <c r="D27" s="300"/>
      <c r="E27" s="300"/>
      <c r="F27" s="300"/>
      <c r="G27" s="300"/>
      <c r="H27" s="603"/>
      <c r="I27" s="477">
        <f t="shared" si="1"/>
        <v>4.8000000000000001E-5</v>
      </c>
      <c r="R27" s="272"/>
      <c r="Y27" s="478">
        <f t="shared" si="2"/>
        <v>4.8000000000000001E-5</v>
      </c>
      <c r="AU27" s="491"/>
    </row>
    <row r="28" spans="1:47" ht="12.75" customHeight="1">
      <c r="A28" s="544"/>
      <c r="B28" s="545"/>
      <c r="C28" s="545"/>
      <c r="D28" s="545"/>
      <c r="E28" s="545"/>
      <c r="F28" s="545"/>
      <c r="G28" s="545"/>
      <c r="H28" s="604"/>
      <c r="I28" s="477">
        <f t="shared" si="1"/>
        <v>4.8000000000000001E-5</v>
      </c>
      <c r="R28" s="272"/>
      <c r="Y28" s="478">
        <f t="shared" si="2"/>
        <v>4.8000000000000001E-5</v>
      </c>
    </row>
    <row r="29" spans="1:47" ht="12.75" customHeight="1">
      <c r="A29" s="544"/>
      <c r="B29" s="545"/>
      <c r="C29" s="545"/>
      <c r="D29" s="545"/>
      <c r="E29" s="589" t="s">
        <v>1409</v>
      </c>
      <c r="F29" s="498">
        <f>VLOOKUP(C73,O67:P95,2)</f>
        <v>0.25</v>
      </c>
      <c r="G29" s="546"/>
      <c r="H29" s="605"/>
      <c r="I29" s="477">
        <f t="shared" si="1"/>
        <v>4.8000000000000001E-5</v>
      </c>
      <c r="R29" s="272"/>
      <c r="Y29" s="478">
        <f t="shared" si="2"/>
        <v>4.8000000000000001E-5</v>
      </c>
    </row>
    <row r="30" spans="1:47" ht="12.75" customHeight="1">
      <c r="A30" s="544"/>
      <c r="B30" s="545"/>
      <c r="C30" s="545"/>
      <c r="D30" s="545"/>
      <c r="E30" s="545"/>
      <c r="F30" s="545"/>
      <c r="G30" s="545"/>
      <c r="H30" s="604"/>
      <c r="I30" s="476">
        <f t="shared" si="1"/>
        <v>4.8000000000000001E-5</v>
      </c>
      <c r="R30" s="272"/>
      <c r="Y30" s="478">
        <f t="shared" si="2"/>
        <v>4.8000000000000001E-5</v>
      </c>
    </row>
    <row r="31" spans="1:47" ht="12.75" customHeight="1">
      <c r="A31" s="547"/>
      <c r="B31" s="308"/>
      <c r="C31" s="308"/>
      <c r="D31" s="308"/>
      <c r="E31" s="308"/>
      <c r="F31" s="308"/>
      <c r="G31" s="308"/>
      <c r="H31" s="606"/>
      <c r="I31" s="477">
        <f t="shared" si="1"/>
        <v>4.8000000000000001E-5</v>
      </c>
      <c r="R31" s="272"/>
      <c r="Y31" s="478">
        <f t="shared" si="2"/>
        <v>4.8000000000000001E-5</v>
      </c>
    </row>
    <row r="32" spans="1:47" ht="12.75" customHeight="1">
      <c r="I32" s="477">
        <f t="shared" si="1"/>
        <v>4.8000000000000001E-5</v>
      </c>
      <c r="R32" s="272"/>
      <c r="Y32" s="478">
        <f t="shared" si="2"/>
        <v>4.8000000000000001E-5</v>
      </c>
    </row>
    <row r="33" spans="1:26" ht="12.75" customHeight="1">
      <c r="I33" s="477">
        <f t="shared" si="1"/>
        <v>4.8000000000000001E-5</v>
      </c>
      <c r="Y33" s="478">
        <f t="shared" si="2"/>
        <v>4.8000000000000001E-5</v>
      </c>
    </row>
    <row r="34" spans="1:26" ht="12.75" customHeight="1">
      <c r="I34" s="477">
        <f t="shared" si="1"/>
        <v>4.8000000000000001E-5</v>
      </c>
      <c r="Y34" s="478">
        <f t="shared" si="2"/>
        <v>4.8000000000000001E-5</v>
      </c>
    </row>
    <row r="35" spans="1:26" ht="13.5" customHeight="1">
      <c r="I35" s="477">
        <f t="shared" si="1"/>
        <v>4.8000000000000001E-5</v>
      </c>
      <c r="Y35" s="478">
        <f t="shared" si="2"/>
        <v>4.8000000000000001E-5</v>
      </c>
    </row>
    <row r="36" spans="1:26" ht="12.75" customHeight="1">
      <c r="A36" s="495"/>
      <c r="B36" s="495"/>
      <c r="C36" s="495"/>
      <c r="D36" s="495"/>
      <c r="E36" s="495"/>
      <c r="F36" s="495"/>
      <c r="G36" s="570"/>
      <c r="H36" s="214"/>
      <c r="I36" s="569">
        <v>6</v>
      </c>
      <c r="J36" s="215"/>
      <c r="K36" s="214"/>
      <c r="L36" s="214"/>
      <c r="M36" s="214"/>
      <c r="N36" s="214"/>
      <c r="O36" s="214"/>
      <c r="P36" s="214"/>
      <c r="Q36" s="214"/>
      <c r="R36" s="214"/>
      <c r="S36" s="214"/>
      <c r="T36" s="214"/>
      <c r="U36" s="214"/>
      <c r="V36" s="214"/>
      <c r="W36" s="214"/>
      <c r="X36" s="214"/>
      <c r="Y36" s="597"/>
      <c r="Z36" s="215"/>
    </row>
    <row r="37" spans="1:26" ht="12.75" customHeight="1">
      <c r="A37" s="495"/>
      <c r="B37" s="495"/>
      <c r="C37" s="495"/>
      <c r="D37" s="495"/>
      <c r="E37" s="495"/>
      <c r="F37" s="495"/>
      <c r="G37" s="497"/>
      <c r="H37" s="213"/>
      <c r="I37" s="395" t="s">
        <v>1410</v>
      </c>
      <c r="J37" s="499"/>
      <c r="K37" s="213"/>
      <c r="L37" s="213"/>
      <c r="M37" s="213"/>
      <c r="N37" s="213"/>
      <c r="O37" s="213"/>
      <c r="P37" s="213"/>
      <c r="Q37" s="213"/>
      <c r="R37" s="213"/>
      <c r="S37" s="213"/>
      <c r="T37" s="213"/>
      <c r="U37" s="213"/>
      <c r="V37" s="213"/>
      <c r="W37" s="213"/>
      <c r="X37" s="213"/>
      <c r="Y37" s="598"/>
      <c r="Z37" s="499"/>
    </row>
    <row r="38" spans="1:26" ht="12.75" customHeight="1">
      <c r="A38" s="495"/>
      <c r="B38" s="495"/>
      <c r="C38" s="495"/>
      <c r="D38" s="495"/>
      <c r="E38" s="495"/>
      <c r="F38" s="495"/>
      <c r="G38" s="500"/>
      <c r="H38" s="219"/>
      <c r="I38" s="219"/>
      <c r="J38" s="501"/>
      <c r="K38" s="219"/>
      <c r="L38" s="219"/>
      <c r="M38" s="219"/>
      <c r="N38" s="219"/>
      <c r="O38" s="219"/>
      <c r="P38" s="219"/>
      <c r="Q38" s="219"/>
      <c r="R38" s="219"/>
      <c r="S38" s="219"/>
      <c r="T38" s="219"/>
      <c r="U38" s="219"/>
      <c r="V38" s="219"/>
      <c r="W38" s="219"/>
      <c r="X38" s="219"/>
      <c r="Y38" s="599"/>
      <c r="Z38" s="501"/>
    </row>
    <row r="39" spans="1:26" ht="12.75" customHeight="1">
      <c r="A39" s="495"/>
      <c r="B39" s="495"/>
      <c r="C39" s="495"/>
      <c r="D39" s="495"/>
      <c r="E39" s="495"/>
      <c r="F39" s="495"/>
      <c r="G39" s="495"/>
      <c r="H39" s="495"/>
      <c r="J39" s="481"/>
    </row>
    <row r="44" spans="1:26" ht="12.75" customHeight="1">
      <c r="J44" s="481"/>
    </row>
    <row r="45" spans="1:26" ht="12.75" customHeight="1">
      <c r="J45" s="481"/>
    </row>
    <row r="46" spans="1:26" ht="12.75" customHeight="1">
      <c r="J46" s="481"/>
    </row>
    <row r="47" spans="1:26" ht="12.75" customHeight="1">
      <c r="J47" s="481"/>
    </row>
    <row r="48" spans="1:26" ht="12.75" customHeight="1">
      <c r="J48" s="481"/>
    </row>
    <row r="49" spans="4:20" ht="12.75" customHeight="1">
      <c r="J49" s="481"/>
    </row>
    <row r="50" spans="4:20" ht="12.75" customHeight="1">
      <c r="J50" s="481"/>
    </row>
    <row r="51" spans="4:20" ht="12.75" customHeight="1">
      <c r="J51" s="481"/>
    </row>
    <row r="52" spans="4:20" ht="12.75" customHeight="1">
      <c r="J52" s="481"/>
    </row>
    <row r="53" spans="4:20" ht="12.75" customHeight="1">
      <c r="J53" s="481"/>
    </row>
    <row r="54" spans="4:20" ht="12.75" customHeight="1">
      <c r="J54" s="481"/>
    </row>
    <row r="55" spans="4:20" ht="12.75" customHeight="1">
      <c r="J55" s="481"/>
    </row>
    <row r="56" spans="4:20" ht="12.75" customHeight="1">
      <c r="J56" s="481"/>
    </row>
    <row r="57" spans="4:20" ht="12.75" customHeight="1">
      <c r="J57" s="481"/>
    </row>
    <row r="58" spans="4:20" ht="12.75" customHeight="1">
      <c r="J58" s="481"/>
    </row>
    <row r="59" spans="4:20" ht="12.75" customHeight="1">
      <c r="J59" s="481"/>
    </row>
    <row r="60" spans="4:20" ht="12.75" customHeight="1">
      <c r="M60" s="481"/>
    </row>
    <row r="61" spans="4:20" ht="12.75" customHeight="1">
      <c r="M61" s="481"/>
    </row>
    <row r="62" spans="4:20" ht="12.75" customHeight="1">
      <c r="M62" s="481"/>
    </row>
    <row r="64" spans="4:20" ht="12.75" customHeight="1">
      <c r="D64" s="587">
        <v>1</v>
      </c>
      <c r="E64" s="96" t="s">
        <v>632</v>
      </c>
      <c r="P64" s="536"/>
      <c r="Q64" s="582" t="s">
        <v>630</v>
      </c>
      <c r="R64" s="537">
        <f>E12</f>
        <v>0.45</v>
      </c>
      <c r="S64" s="537">
        <f>T64*VLOOKUP(C73,Y100:AA128,3)</f>
        <v>56.26</v>
      </c>
      <c r="T64" s="538">
        <v>0.97</v>
      </c>
    </row>
    <row r="65" spans="2:59" ht="12.75" customHeight="1">
      <c r="B65" s="35" t="s">
        <v>1154</v>
      </c>
      <c r="C65" s="479">
        <v>35</v>
      </c>
      <c r="D65" s="96">
        <f>2*(1-E8)</f>
        <v>0.60000000000000009</v>
      </c>
      <c r="E65" s="568" t="s">
        <v>1155</v>
      </c>
      <c r="N65" s="96">
        <f>VLOOKUP(C73,L67:N95,3)</f>
        <v>58</v>
      </c>
      <c r="O65" s="565" t="s">
        <v>4</v>
      </c>
      <c r="P65" s="504">
        <f>IF(ISNUMBER(S65),S65,IF(ISNUMBER(R65),R65,IF(ISNUMBER(Q65),Q65,NA())))</f>
        <v>40</v>
      </c>
      <c r="Q65" s="504">
        <f>VLOOKUP(C73,O67:S95,3)</f>
        <v>37</v>
      </c>
      <c r="R65" s="504">
        <f>VLOOKUP(C73,O67:S95,4)</f>
        <v>40</v>
      </c>
      <c r="S65" s="504" t="e">
        <f>VLOOKUP(C73,O67:S95,5)</f>
        <v>#N/A</v>
      </c>
      <c r="T65" s="504"/>
      <c r="U65" s="504"/>
      <c r="V65" s="505"/>
      <c r="W65" s="584"/>
      <c r="X65" s="585"/>
      <c r="AD65" s="481"/>
    </row>
    <row r="66" spans="2:59" ht="12.75" customHeight="1">
      <c r="B66" s="481" t="s">
        <v>1222</v>
      </c>
      <c r="C66" s="96">
        <f>1-$C$67/100</f>
        <v>1.0000000000000009E-2</v>
      </c>
      <c r="D66" s="564" t="b">
        <v>1</v>
      </c>
      <c r="E66" s="96" t="s">
        <v>1224</v>
      </c>
      <c r="M66" s="96" t="s">
        <v>3</v>
      </c>
      <c r="N66" s="481"/>
      <c r="O66" s="506" t="s">
        <v>1219</v>
      </c>
      <c r="P66" s="507" t="s">
        <v>1192</v>
      </c>
      <c r="Q66" s="507" t="s">
        <v>1194</v>
      </c>
      <c r="R66" s="507" t="s">
        <v>1195</v>
      </c>
      <c r="S66" s="507" t="s">
        <v>1223</v>
      </c>
      <c r="T66" s="272" t="s">
        <v>1230</v>
      </c>
      <c r="U66" s="272" t="s">
        <v>1231</v>
      </c>
      <c r="V66" s="508" t="s">
        <v>1232</v>
      </c>
      <c r="W66" s="506" t="s">
        <v>627</v>
      </c>
      <c r="X66" s="508" t="s">
        <v>628</v>
      </c>
      <c r="Y66" s="509" t="s">
        <v>1216</v>
      </c>
      <c r="Z66" s="510" t="s">
        <v>1192</v>
      </c>
      <c r="AA66" s="511" t="s">
        <v>1195</v>
      </c>
      <c r="AB66" s="512" t="s">
        <v>1194</v>
      </c>
      <c r="AC66" s="514" t="s">
        <v>1206</v>
      </c>
      <c r="AD66" s="514" t="s">
        <v>1196</v>
      </c>
      <c r="AE66" s="514" t="s">
        <v>1207</v>
      </c>
      <c r="AF66" s="514" t="s">
        <v>1197</v>
      </c>
      <c r="AG66" s="514" t="s">
        <v>1208</v>
      </c>
      <c r="AH66" s="514" t="s">
        <v>1198</v>
      </c>
      <c r="AI66" s="514" t="s">
        <v>1209</v>
      </c>
      <c r="AJ66" s="514" t="s">
        <v>1199</v>
      </c>
      <c r="AK66" s="514" t="s">
        <v>1210</v>
      </c>
      <c r="AL66" s="514" t="s">
        <v>1200</v>
      </c>
      <c r="AM66" s="514" t="s">
        <v>1211</v>
      </c>
      <c r="AN66" s="514" t="s">
        <v>1201</v>
      </c>
      <c r="AO66" s="514" t="s">
        <v>1212</v>
      </c>
      <c r="AP66" s="514" t="s">
        <v>1202</v>
      </c>
      <c r="AQ66" s="514" t="s">
        <v>1213</v>
      </c>
      <c r="AR66" s="514" t="s">
        <v>1203</v>
      </c>
      <c r="AS66" s="514" t="s">
        <v>1214</v>
      </c>
      <c r="AT66" s="515" t="s">
        <v>1204</v>
      </c>
      <c r="AV66" s="272"/>
    </row>
    <row r="67" spans="2:59" ht="12.75" customHeight="1">
      <c r="B67" s="481" t="s">
        <v>1220</v>
      </c>
      <c r="C67" s="486">
        <v>99</v>
      </c>
      <c r="D67" s="564" t="b">
        <v>1</v>
      </c>
      <c r="E67" s="96" t="s">
        <v>1225</v>
      </c>
      <c r="L67" s="96">
        <f>O67</f>
        <v>1</v>
      </c>
      <c r="M67" s="96" t="e">
        <f>P67</f>
        <v>#N/A</v>
      </c>
      <c r="N67" s="96" t="e">
        <f>IF(AND(O67&gt;=$C$73),AA100,NA())</f>
        <v>#N/A</v>
      </c>
      <c r="O67" s="516">
        <v>1</v>
      </c>
      <c r="P67" s="272" t="e">
        <f t="shared" ref="P67:P95" si="3">IF(O67&gt;=$C$73,Z67,NA())</f>
        <v>#N/A</v>
      </c>
      <c r="Q67" s="272" t="e">
        <f t="shared" ref="Q67:Q95" si="4">IF(AND($D$66,O67&gt;=$C$73),Y67,NA())</f>
        <v>#N/A</v>
      </c>
      <c r="R67" s="272" t="e">
        <f>IF(AND($D$67,O67&gt;=$C$73,NOT($D$68)),AA67,NA())</f>
        <v>#N/A</v>
      </c>
      <c r="S67" s="272" t="e">
        <f t="shared" ref="S67:S95" si="5">IF(AND($D$68,O67&gt;=$C$73),AA100,NA())</f>
        <v>#N/A</v>
      </c>
      <c r="T67" s="272" t="e">
        <f t="shared" ref="T67:T95" si="6">IF(AND($D$66,$D$69,O67&gt;=$C$73),Y67,NA())</f>
        <v>#N/A</v>
      </c>
      <c r="U67" s="272" t="e">
        <f>IF(AND($D$67,$D$70,O67&gt;=$C$73,NOT($D$68)),AA67,NA())</f>
        <v>#N/A</v>
      </c>
      <c r="V67" s="508" t="e">
        <f t="shared" ref="V67:V95" si="7">IF(AND($D$68,$D$71,O67&gt;=$C$73),AA100,NA())</f>
        <v>#N/A</v>
      </c>
      <c r="W67" s="516" t="e">
        <f>IF(AND($D$67,O67&gt;=$C$73,$D$68),AA67,NA())</f>
        <v>#N/A</v>
      </c>
      <c r="X67" s="508" t="e">
        <f>IF(AND($D$67,$D$70,O67&gt;=$C$73,$D$68),AA67,NA())</f>
        <v>#N/A</v>
      </c>
      <c r="Y67" s="516">
        <f t="shared" ref="Y67:Y95" si="8">ROUNDUP(AB67,0)</f>
        <v>231</v>
      </c>
      <c r="Z67" s="517">
        <v>0.1</v>
      </c>
      <c r="AA67" s="272">
        <f>1+MAX(AQ67,AS67)</f>
        <v>233</v>
      </c>
      <c r="AB67" s="518">
        <f>MAX(($C$72/Z67)^2*$D$65,$C$68)</f>
        <v>230.48752924164759</v>
      </c>
      <c r="AC67" s="272">
        <f t="shared" ref="AC67:AC95" si="9">ROUNDUP(AB67,0)-1</f>
        <v>230</v>
      </c>
      <c r="AD67" s="493">
        <f t="shared" ref="AD67:AD95" si="10">MAX((TINV(1-$C$69/100,AC67)/$Z67)^2*$D$65,$C$68)</f>
        <v>232.93242542508125</v>
      </c>
      <c r="AE67" s="272">
        <f t="shared" ref="AE67:AE92" si="11">MAX(MIN(ROUNDUP(AD67,0)-1,AC67+1),AC67-1)</f>
        <v>231</v>
      </c>
      <c r="AF67" s="493">
        <f t="shared" ref="AF67:AF95" si="12">MAX((TINV(1-$C$69/100,AE67)/$Z67)^2*$D$65,$C$68)</f>
        <v>232.9217587573325</v>
      </c>
      <c r="AG67" s="272">
        <f t="shared" ref="AG67:AS92" si="13">MAX(MIN(ROUNDUP(AF67,0)-1,AE67+1),AE67-1)</f>
        <v>232</v>
      </c>
      <c r="AH67" s="493">
        <f t="shared" ref="AH67:AH95" si="14">MAX((TINV(1-$C$69/100,AG67)/$Z67)^2*$D$65,$C$68)</f>
        <v>232.91118475676708</v>
      </c>
      <c r="AI67" s="272">
        <f t="shared" si="13"/>
        <v>232</v>
      </c>
      <c r="AJ67" s="493">
        <f t="shared" ref="AJ67:AJ95" si="15">MAX((TINV(1-$C$69/100,AI67)/$Z67)^2*$D$65,$C$68)</f>
        <v>232.91118475676708</v>
      </c>
      <c r="AK67" s="272">
        <f t="shared" si="13"/>
        <v>232</v>
      </c>
      <c r="AL67" s="493">
        <f t="shared" ref="AL67:AL95" si="16">MAX((TINV(1-$C$69/100,AK67)/$Z67)^2*$D$65,$C$68)</f>
        <v>232.91118475676708</v>
      </c>
      <c r="AM67" s="272">
        <f t="shared" si="13"/>
        <v>232</v>
      </c>
      <c r="AN67" s="493">
        <f t="shared" ref="AN67:AN95" si="17">MAX((TINV(1-$C$69/100,AM67)/$Z67)^2*$D$65,$C$68)</f>
        <v>232.91118475676708</v>
      </c>
      <c r="AO67" s="272">
        <f t="shared" si="13"/>
        <v>232</v>
      </c>
      <c r="AP67" s="493">
        <f t="shared" ref="AP67:AP95" si="18">MAX((TINV(1-$C$69/100,AO67)/$Z67)^2*$D$65,$C$68)</f>
        <v>232.91118475676708</v>
      </c>
      <c r="AQ67" s="272">
        <f t="shared" si="13"/>
        <v>232</v>
      </c>
      <c r="AR67" s="493">
        <f t="shared" ref="AR67:AR95" si="19">MAX((TINV(1-$C$69/100,AQ67)/$Z67)^2*$D$65,$C$68)</f>
        <v>232.91118475676708</v>
      </c>
      <c r="AS67" s="272">
        <f t="shared" si="13"/>
        <v>232</v>
      </c>
      <c r="AT67" s="494">
        <f t="shared" ref="AT67:AT95" si="20">MAX((TINV(1-$C$69/100,AS67)/$Z67)^2*$D$65,$C$68)</f>
        <v>232.91118475676708</v>
      </c>
    </row>
    <row r="68" spans="2:59" ht="12.75" customHeight="1">
      <c r="B68" s="481" t="s">
        <v>1215</v>
      </c>
      <c r="C68" s="96">
        <v>3</v>
      </c>
      <c r="D68" s="586" t="b">
        <f>(D64=2)</f>
        <v>0</v>
      </c>
      <c r="E68" s="96" t="s">
        <v>1226</v>
      </c>
      <c r="L68" s="96">
        <f t="shared" ref="L68:M95" si="21">O68</f>
        <v>2</v>
      </c>
      <c r="M68" s="96" t="e">
        <f t="shared" si="21"/>
        <v>#N/A</v>
      </c>
      <c r="N68" s="96" t="e">
        <f t="shared" ref="N68:N95" si="22">IF(AND(O68&gt;=$C$73),AA101,NA())</f>
        <v>#N/A</v>
      </c>
      <c r="O68" s="516">
        <v>2</v>
      </c>
      <c r="P68" s="272" t="e">
        <f t="shared" si="3"/>
        <v>#N/A</v>
      </c>
      <c r="Q68" s="272" t="e">
        <f t="shared" si="4"/>
        <v>#N/A</v>
      </c>
      <c r="R68" s="272" t="e">
        <f t="shared" ref="R68:R95" si="23">IF(AND($D$67,O68&gt;=$C$73,NOT($D$68)),AA68,NA())</f>
        <v>#N/A</v>
      </c>
      <c r="S68" s="272" t="e">
        <f t="shared" si="5"/>
        <v>#N/A</v>
      </c>
      <c r="T68" s="272" t="e">
        <f t="shared" si="6"/>
        <v>#N/A</v>
      </c>
      <c r="U68" s="272" t="e">
        <f t="shared" ref="U68:U95" si="24">IF(AND($D$67,$D$70,O68&gt;=$C$73,NOT($D$68)),AA68,NA())</f>
        <v>#N/A</v>
      </c>
      <c r="V68" s="508" t="e">
        <f t="shared" si="7"/>
        <v>#N/A</v>
      </c>
      <c r="W68" s="516" t="e">
        <f t="shared" ref="W68:W95" si="25">IF(AND($D$67,O68&gt;=$C$73,$D$68),AA68,NA())</f>
        <v>#N/A</v>
      </c>
      <c r="X68" s="508" t="e">
        <f t="shared" ref="X68:X95" si="26">IF(AND($D$67,$D$70,O68&gt;=$C$73,$D$68),AA68,NA())</f>
        <v>#N/A</v>
      </c>
      <c r="Y68" s="516">
        <f t="shared" si="8"/>
        <v>103</v>
      </c>
      <c r="Z68" s="517">
        <v>0.15</v>
      </c>
      <c r="AA68" s="272">
        <f t="shared" ref="AA68:AA95" si="27">1+MAX(AQ68,AS68)</f>
        <v>105</v>
      </c>
      <c r="AB68" s="519">
        <f t="shared" ref="AB68:AB95" si="28">MAX(($C$72/Z68)^2*$D$65,$C$68)</f>
        <v>102.43890188517676</v>
      </c>
      <c r="AC68" s="272">
        <f t="shared" si="9"/>
        <v>102</v>
      </c>
      <c r="AD68" s="272">
        <f t="shared" si="10"/>
        <v>104.91341937847459</v>
      </c>
      <c r="AE68" s="272">
        <f t="shared" si="11"/>
        <v>103</v>
      </c>
      <c r="AF68" s="272">
        <f t="shared" si="12"/>
        <v>104.88897201353802</v>
      </c>
      <c r="AG68" s="272">
        <f t="shared" si="13"/>
        <v>104</v>
      </c>
      <c r="AH68" s="272">
        <f t="shared" si="14"/>
        <v>104.86500295013136</v>
      </c>
      <c r="AI68" s="272">
        <f t="shared" si="13"/>
        <v>104</v>
      </c>
      <c r="AJ68" s="272">
        <f t="shared" si="15"/>
        <v>104.86500295013136</v>
      </c>
      <c r="AK68" s="272">
        <f t="shared" si="13"/>
        <v>104</v>
      </c>
      <c r="AL68" s="272">
        <f t="shared" si="16"/>
        <v>104.86500295013136</v>
      </c>
      <c r="AM68" s="272">
        <f t="shared" si="13"/>
        <v>104</v>
      </c>
      <c r="AN68" s="272">
        <f t="shared" si="17"/>
        <v>104.86500295013136</v>
      </c>
      <c r="AO68" s="272">
        <f t="shared" si="13"/>
        <v>104</v>
      </c>
      <c r="AP68" s="272">
        <f t="shared" si="18"/>
        <v>104.86500295013136</v>
      </c>
      <c r="AQ68" s="272">
        <f t="shared" si="13"/>
        <v>104</v>
      </c>
      <c r="AR68" s="272">
        <f t="shared" si="19"/>
        <v>104.86500295013136</v>
      </c>
      <c r="AS68" s="272">
        <f t="shared" si="13"/>
        <v>104</v>
      </c>
      <c r="AT68" s="508">
        <f t="shared" si="20"/>
        <v>104.86500295013136</v>
      </c>
    </row>
    <row r="69" spans="2:59" ht="12.75" customHeight="1">
      <c r="B69" s="481" t="s">
        <v>1</v>
      </c>
      <c r="C69" s="486">
        <v>95</v>
      </c>
      <c r="D69" s="566" t="b">
        <v>1</v>
      </c>
      <c r="E69" s="96" t="s">
        <v>1227</v>
      </c>
      <c r="L69" s="96">
        <f t="shared" si="21"/>
        <v>3</v>
      </c>
      <c r="M69" s="96" t="e">
        <f t="shared" si="21"/>
        <v>#N/A</v>
      </c>
      <c r="N69" s="96" t="e">
        <f t="shared" si="22"/>
        <v>#N/A</v>
      </c>
      <c r="O69" s="516">
        <v>3</v>
      </c>
      <c r="P69" s="272" t="e">
        <f t="shared" si="3"/>
        <v>#N/A</v>
      </c>
      <c r="Q69" s="272" t="e">
        <f t="shared" si="4"/>
        <v>#N/A</v>
      </c>
      <c r="R69" s="272" t="e">
        <f t="shared" si="23"/>
        <v>#N/A</v>
      </c>
      <c r="S69" s="272" t="e">
        <f t="shared" si="5"/>
        <v>#N/A</v>
      </c>
      <c r="T69" s="272" t="e">
        <f t="shared" si="6"/>
        <v>#N/A</v>
      </c>
      <c r="U69" s="272" t="e">
        <f t="shared" si="24"/>
        <v>#N/A</v>
      </c>
      <c r="V69" s="508" t="e">
        <f t="shared" si="7"/>
        <v>#N/A</v>
      </c>
      <c r="W69" s="272" t="e">
        <f t="shared" si="25"/>
        <v>#N/A</v>
      </c>
      <c r="X69" s="272" t="e">
        <f t="shared" si="26"/>
        <v>#N/A</v>
      </c>
      <c r="Y69" s="516">
        <f t="shared" si="8"/>
        <v>58</v>
      </c>
      <c r="Z69" s="517">
        <v>0.2</v>
      </c>
      <c r="AA69" s="272">
        <f t="shared" si="27"/>
        <v>61</v>
      </c>
      <c r="AB69" s="519">
        <f t="shared" si="28"/>
        <v>57.621882310411898</v>
      </c>
      <c r="AC69" s="272">
        <f t="shared" si="9"/>
        <v>57</v>
      </c>
      <c r="AD69" s="272">
        <f t="shared" si="10"/>
        <v>60.148017810476183</v>
      </c>
      <c r="AE69" s="272">
        <f t="shared" si="11"/>
        <v>58</v>
      </c>
      <c r="AF69" s="272">
        <f t="shared" si="12"/>
        <v>60.1030923256519</v>
      </c>
      <c r="AG69" s="272">
        <f t="shared" si="13"/>
        <v>59</v>
      </c>
      <c r="AH69" s="272">
        <f t="shared" si="14"/>
        <v>60.059736531970131</v>
      </c>
      <c r="AI69" s="272">
        <f t="shared" si="13"/>
        <v>60</v>
      </c>
      <c r="AJ69" s="272">
        <f t="shared" si="15"/>
        <v>60.017869590083393</v>
      </c>
      <c r="AK69" s="272">
        <f t="shared" si="13"/>
        <v>60</v>
      </c>
      <c r="AL69" s="272">
        <f t="shared" si="16"/>
        <v>60.017869590083393</v>
      </c>
      <c r="AM69" s="272">
        <f t="shared" si="13"/>
        <v>60</v>
      </c>
      <c r="AN69" s="272">
        <f t="shared" si="17"/>
        <v>60.017869590083393</v>
      </c>
      <c r="AO69" s="272">
        <f t="shared" si="13"/>
        <v>60</v>
      </c>
      <c r="AP69" s="272">
        <f t="shared" si="18"/>
        <v>60.017869590083393</v>
      </c>
      <c r="AQ69" s="272">
        <f t="shared" si="13"/>
        <v>60</v>
      </c>
      <c r="AR69" s="272">
        <f t="shared" si="19"/>
        <v>60.017869590083393</v>
      </c>
      <c r="AS69" s="272">
        <f t="shared" si="13"/>
        <v>60</v>
      </c>
      <c r="AT69" s="508">
        <f t="shared" si="20"/>
        <v>60.017869590083393</v>
      </c>
      <c r="BF69" s="520"/>
      <c r="BG69" s="520"/>
    </row>
    <row r="70" spans="2:59" ht="12.75" customHeight="1">
      <c r="B70" s="109" t="s">
        <v>1233</v>
      </c>
      <c r="C70" s="479">
        <v>9</v>
      </c>
      <c r="D70" s="502" t="b">
        <f>D71</f>
        <v>1</v>
      </c>
      <c r="E70" s="96" t="s">
        <v>1228</v>
      </c>
      <c r="L70" s="96">
        <f t="shared" si="21"/>
        <v>4</v>
      </c>
      <c r="M70" s="96">
        <f t="shared" si="21"/>
        <v>0.25</v>
      </c>
      <c r="N70" s="96">
        <f t="shared" si="22"/>
        <v>58</v>
      </c>
      <c r="O70" s="516">
        <v>4</v>
      </c>
      <c r="P70" s="272">
        <f t="shared" si="3"/>
        <v>0.25</v>
      </c>
      <c r="Q70" s="272">
        <f t="shared" si="4"/>
        <v>37</v>
      </c>
      <c r="R70" s="272">
        <f t="shared" si="23"/>
        <v>40</v>
      </c>
      <c r="S70" s="272" t="e">
        <f t="shared" si="5"/>
        <v>#N/A</v>
      </c>
      <c r="T70" s="272">
        <f t="shared" si="6"/>
        <v>37</v>
      </c>
      <c r="U70" s="272">
        <f t="shared" si="24"/>
        <v>40</v>
      </c>
      <c r="V70" s="508" t="e">
        <f t="shared" si="7"/>
        <v>#N/A</v>
      </c>
      <c r="W70" s="272" t="e">
        <f t="shared" si="25"/>
        <v>#N/A</v>
      </c>
      <c r="X70" s="272" t="e">
        <f t="shared" si="26"/>
        <v>#N/A</v>
      </c>
      <c r="Y70" s="516">
        <f t="shared" si="8"/>
        <v>37</v>
      </c>
      <c r="Z70" s="517">
        <v>0.25</v>
      </c>
      <c r="AA70" s="272">
        <f t="shared" si="27"/>
        <v>40</v>
      </c>
      <c r="AB70" s="519">
        <f t="shared" si="28"/>
        <v>36.878004678663629</v>
      </c>
      <c r="AC70" s="272">
        <f t="shared" si="9"/>
        <v>36</v>
      </c>
      <c r="AD70" s="272">
        <f t="shared" si="10"/>
        <v>39.486386104550853</v>
      </c>
      <c r="AE70" s="272">
        <f t="shared" si="11"/>
        <v>37</v>
      </c>
      <c r="AF70" s="272">
        <f t="shared" si="12"/>
        <v>39.412376004117412</v>
      </c>
      <c r="AG70" s="272">
        <f t="shared" si="13"/>
        <v>38</v>
      </c>
      <c r="AH70" s="272">
        <f t="shared" si="14"/>
        <v>39.342447948060055</v>
      </c>
      <c r="AI70" s="272">
        <f t="shared" si="13"/>
        <v>39</v>
      </c>
      <c r="AJ70" s="272">
        <f t="shared" si="15"/>
        <v>39.276273426886469</v>
      </c>
      <c r="AK70" s="272">
        <f t="shared" si="13"/>
        <v>39</v>
      </c>
      <c r="AL70" s="272">
        <f t="shared" si="16"/>
        <v>39.276273426886469</v>
      </c>
      <c r="AM70" s="272">
        <f t="shared" si="13"/>
        <v>39</v>
      </c>
      <c r="AN70" s="272">
        <f t="shared" si="17"/>
        <v>39.276273426886469</v>
      </c>
      <c r="AO70" s="272">
        <f t="shared" si="13"/>
        <v>39</v>
      </c>
      <c r="AP70" s="272">
        <f t="shared" si="18"/>
        <v>39.276273426886469</v>
      </c>
      <c r="AQ70" s="272">
        <f t="shared" si="13"/>
        <v>39</v>
      </c>
      <c r="AR70" s="272">
        <f t="shared" si="19"/>
        <v>39.276273426886469</v>
      </c>
      <c r="AS70" s="272">
        <f t="shared" si="13"/>
        <v>39</v>
      </c>
      <c r="AT70" s="508">
        <f t="shared" si="20"/>
        <v>39.276273426886469</v>
      </c>
    </row>
    <row r="71" spans="2:59" ht="12.75" customHeight="1">
      <c r="B71" s="481" t="s">
        <v>1205</v>
      </c>
      <c r="C71" s="96">
        <f>1-$C$69/100</f>
        <v>5.0000000000000044E-2</v>
      </c>
      <c r="D71" s="560" t="b">
        <v>1</v>
      </c>
      <c r="E71" s="96" t="s">
        <v>1229</v>
      </c>
      <c r="L71" s="96">
        <f t="shared" si="21"/>
        <v>5</v>
      </c>
      <c r="M71" s="96">
        <f t="shared" si="21"/>
        <v>0.3</v>
      </c>
      <c r="N71" s="96">
        <f t="shared" si="22"/>
        <v>43</v>
      </c>
      <c r="O71" s="516">
        <v>5</v>
      </c>
      <c r="P71" s="272">
        <f t="shared" si="3"/>
        <v>0.3</v>
      </c>
      <c r="Q71" s="272">
        <f t="shared" si="4"/>
        <v>26</v>
      </c>
      <c r="R71" s="272">
        <f t="shared" si="23"/>
        <v>29</v>
      </c>
      <c r="S71" s="272" t="e">
        <f t="shared" si="5"/>
        <v>#N/A</v>
      </c>
      <c r="T71" s="272">
        <f t="shared" si="6"/>
        <v>26</v>
      </c>
      <c r="U71" s="272">
        <f t="shared" si="24"/>
        <v>29</v>
      </c>
      <c r="V71" s="508" t="e">
        <f t="shared" si="7"/>
        <v>#N/A</v>
      </c>
      <c r="W71" s="272" t="e">
        <f t="shared" si="25"/>
        <v>#N/A</v>
      </c>
      <c r="X71" s="272" t="e">
        <f t="shared" si="26"/>
        <v>#N/A</v>
      </c>
      <c r="Y71" s="516">
        <f t="shared" si="8"/>
        <v>26</v>
      </c>
      <c r="Z71" s="517">
        <v>0.3</v>
      </c>
      <c r="AA71" s="272">
        <f t="shared" si="27"/>
        <v>29</v>
      </c>
      <c r="AB71" s="519">
        <f t="shared" si="28"/>
        <v>25.60972547129419</v>
      </c>
      <c r="AC71" s="272">
        <f t="shared" si="9"/>
        <v>25</v>
      </c>
      <c r="AD71" s="272">
        <f t="shared" si="10"/>
        <v>28.277993199084897</v>
      </c>
      <c r="AE71" s="272">
        <f t="shared" si="11"/>
        <v>26</v>
      </c>
      <c r="AF71" s="272">
        <f t="shared" si="12"/>
        <v>28.168007934930408</v>
      </c>
      <c r="AG71" s="272">
        <f t="shared" si="13"/>
        <v>27</v>
      </c>
      <c r="AH71" s="272">
        <f t="shared" si="14"/>
        <v>28.06672247922846</v>
      </c>
      <c r="AI71" s="272">
        <f t="shared" si="13"/>
        <v>28</v>
      </c>
      <c r="AJ71" s="272">
        <f t="shared" si="15"/>
        <v>27.973144716010214</v>
      </c>
      <c r="AK71" s="272">
        <f t="shared" si="13"/>
        <v>27</v>
      </c>
      <c r="AL71" s="272">
        <f t="shared" si="16"/>
        <v>28.06672247922846</v>
      </c>
      <c r="AM71" s="272">
        <f t="shared" si="13"/>
        <v>28</v>
      </c>
      <c r="AN71" s="272">
        <f t="shared" si="17"/>
        <v>27.973144716010214</v>
      </c>
      <c r="AO71" s="272">
        <f t="shared" si="13"/>
        <v>27</v>
      </c>
      <c r="AP71" s="272">
        <f t="shared" si="18"/>
        <v>28.06672247922846</v>
      </c>
      <c r="AQ71" s="272">
        <f t="shared" si="13"/>
        <v>28</v>
      </c>
      <c r="AR71" s="272">
        <f t="shared" si="19"/>
        <v>27.973144716010214</v>
      </c>
      <c r="AS71" s="272">
        <f t="shared" si="13"/>
        <v>27</v>
      </c>
      <c r="AT71" s="508">
        <f t="shared" si="20"/>
        <v>28.06672247922846</v>
      </c>
    </row>
    <row r="72" spans="2:59" ht="12.75" customHeight="1">
      <c r="B72" s="481" t="s">
        <v>1193</v>
      </c>
      <c r="C72" s="96">
        <f>ABS(NORMSINV(C71/2))</f>
        <v>1.9599639845400545</v>
      </c>
      <c r="D72" s="502" t="b">
        <v>1</v>
      </c>
      <c r="E72" s="96" t="s">
        <v>2</v>
      </c>
      <c r="G72" s="79"/>
      <c r="H72" s="79"/>
      <c r="I72" s="79"/>
      <c r="J72" s="79"/>
      <c r="K72" s="79"/>
      <c r="L72" s="96">
        <f t="shared" si="21"/>
        <v>6</v>
      </c>
      <c r="M72" s="96">
        <f t="shared" si="21"/>
        <v>0.35</v>
      </c>
      <c r="N72" s="96">
        <f t="shared" si="22"/>
        <v>34</v>
      </c>
      <c r="O72" s="516">
        <v>6</v>
      </c>
      <c r="P72" s="272">
        <f t="shared" si="3"/>
        <v>0.35</v>
      </c>
      <c r="Q72" s="272">
        <f t="shared" si="4"/>
        <v>19</v>
      </c>
      <c r="R72" s="272">
        <f t="shared" si="23"/>
        <v>22</v>
      </c>
      <c r="S72" s="272" t="e">
        <f t="shared" si="5"/>
        <v>#N/A</v>
      </c>
      <c r="T72" s="272">
        <f t="shared" si="6"/>
        <v>19</v>
      </c>
      <c r="U72" s="272">
        <f t="shared" si="24"/>
        <v>22</v>
      </c>
      <c r="V72" s="508" t="e">
        <f t="shared" si="7"/>
        <v>#N/A</v>
      </c>
      <c r="W72" s="272" t="e">
        <f t="shared" si="25"/>
        <v>#N/A</v>
      </c>
      <c r="X72" s="272" t="e">
        <f t="shared" si="26"/>
        <v>#N/A</v>
      </c>
      <c r="Y72" s="516">
        <f t="shared" si="8"/>
        <v>19</v>
      </c>
      <c r="Z72" s="517">
        <v>0.35</v>
      </c>
      <c r="AA72" s="272">
        <f t="shared" si="27"/>
        <v>22</v>
      </c>
      <c r="AB72" s="519">
        <f t="shared" si="28"/>
        <v>18.815308509522261</v>
      </c>
      <c r="AC72" s="272">
        <f t="shared" si="9"/>
        <v>18</v>
      </c>
      <c r="AD72" s="272">
        <f t="shared" si="10"/>
        <v>21.618971779439672</v>
      </c>
      <c r="AE72" s="272">
        <f t="shared" si="11"/>
        <v>19</v>
      </c>
      <c r="AF72" s="272">
        <f t="shared" si="12"/>
        <v>21.456733093571547</v>
      </c>
      <c r="AG72" s="272">
        <f t="shared" si="13"/>
        <v>20</v>
      </c>
      <c r="AH72" s="272">
        <f t="shared" si="14"/>
        <v>21.312212955534072</v>
      </c>
      <c r="AI72" s="272">
        <f t="shared" si="13"/>
        <v>21</v>
      </c>
      <c r="AJ72" s="272">
        <f t="shared" si="15"/>
        <v>21.182663076175942</v>
      </c>
      <c r="AK72" s="272">
        <f t="shared" si="13"/>
        <v>21</v>
      </c>
      <c r="AL72" s="272">
        <f t="shared" si="16"/>
        <v>21.182663076175942</v>
      </c>
      <c r="AM72" s="272">
        <f t="shared" si="13"/>
        <v>21</v>
      </c>
      <c r="AN72" s="272">
        <f t="shared" si="17"/>
        <v>21.182663076175942</v>
      </c>
      <c r="AO72" s="272">
        <f t="shared" si="13"/>
        <v>21</v>
      </c>
      <c r="AP72" s="272">
        <f t="shared" si="18"/>
        <v>21.182663076175942</v>
      </c>
      <c r="AQ72" s="272">
        <f t="shared" si="13"/>
        <v>21</v>
      </c>
      <c r="AR72" s="272">
        <f t="shared" si="19"/>
        <v>21.182663076175942</v>
      </c>
      <c r="AS72" s="272">
        <f t="shared" si="13"/>
        <v>21</v>
      </c>
      <c r="AT72" s="508">
        <f t="shared" si="20"/>
        <v>21.182663076175942</v>
      </c>
    </row>
    <row r="73" spans="2:59" ht="12.75" customHeight="1">
      <c r="B73" s="521" t="s">
        <v>1218</v>
      </c>
      <c r="C73" s="479">
        <v>4</v>
      </c>
      <c r="D73" s="502" t="b">
        <v>1</v>
      </c>
      <c r="E73" s="96" t="s">
        <v>1235</v>
      </c>
      <c r="L73" s="96">
        <f t="shared" si="21"/>
        <v>7</v>
      </c>
      <c r="M73" s="96">
        <f t="shared" si="21"/>
        <v>0.4</v>
      </c>
      <c r="N73" s="96">
        <f t="shared" si="22"/>
        <v>28</v>
      </c>
      <c r="O73" s="516">
        <v>7</v>
      </c>
      <c r="P73" s="272">
        <f t="shared" si="3"/>
        <v>0.4</v>
      </c>
      <c r="Q73" s="272">
        <f t="shared" si="4"/>
        <v>15</v>
      </c>
      <c r="R73" s="272">
        <f t="shared" si="23"/>
        <v>17</v>
      </c>
      <c r="S73" s="272" t="e">
        <f t="shared" si="5"/>
        <v>#N/A</v>
      </c>
      <c r="T73" s="272">
        <f t="shared" si="6"/>
        <v>15</v>
      </c>
      <c r="U73" s="272">
        <f t="shared" si="24"/>
        <v>17</v>
      </c>
      <c r="V73" s="508" t="e">
        <f t="shared" si="7"/>
        <v>#N/A</v>
      </c>
      <c r="W73" s="272" t="e">
        <f t="shared" si="25"/>
        <v>#N/A</v>
      </c>
      <c r="X73" s="272" t="e">
        <f t="shared" si="26"/>
        <v>#N/A</v>
      </c>
      <c r="Y73" s="516">
        <f t="shared" si="8"/>
        <v>15</v>
      </c>
      <c r="Z73" s="517">
        <v>0.4</v>
      </c>
      <c r="AA73" s="272">
        <f t="shared" si="27"/>
        <v>17</v>
      </c>
      <c r="AB73" s="519">
        <f t="shared" si="28"/>
        <v>14.405470577602975</v>
      </c>
      <c r="AC73" s="272">
        <f t="shared" si="9"/>
        <v>14</v>
      </c>
      <c r="AD73" s="272">
        <f t="shared" si="10"/>
        <v>17.250412155768824</v>
      </c>
      <c r="AE73" s="272">
        <f t="shared" si="11"/>
        <v>15</v>
      </c>
      <c r="AF73" s="272">
        <f t="shared" si="12"/>
        <v>17.036539211749623</v>
      </c>
      <c r="AG73" s="272">
        <f t="shared" si="13"/>
        <v>16</v>
      </c>
      <c r="AH73" s="272">
        <f t="shared" si="14"/>
        <v>16.852494067725871</v>
      </c>
      <c r="AI73" s="272">
        <f t="shared" si="13"/>
        <v>16</v>
      </c>
      <c r="AJ73" s="272">
        <f t="shared" si="15"/>
        <v>16.852494067725871</v>
      </c>
      <c r="AK73" s="272">
        <f t="shared" si="13"/>
        <v>16</v>
      </c>
      <c r="AL73" s="272">
        <f t="shared" si="16"/>
        <v>16.852494067725871</v>
      </c>
      <c r="AM73" s="272">
        <f t="shared" si="13"/>
        <v>16</v>
      </c>
      <c r="AN73" s="272">
        <f t="shared" si="17"/>
        <v>16.852494067725871</v>
      </c>
      <c r="AO73" s="272">
        <f t="shared" si="13"/>
        <v>16</v>
      </c>
      <c r="AP73" s="272">
        <f t="shared" si="18"/>
        <v>16.852494067725871</v>
      </c>
      <c r="AQ73" s="272">
        <f t="shared" si="13"/>
        <v>16</v>
      </c>
      <c r="AR73" s="272">
        <f t="shared" si="19"/>
        <v>16.852494067725871</v>
      </c>
      <c r="AS73" s="272">
        <f t="shared" si="13"/>
        <v>16</v>
      </c>
      <c r="AT73" s="508">
        <f t="shared" si="20"/>
        <v>16.852494067725871</v>
      </c>
    </row>
    <row r="74" spans="2:59" ht="12.75" customHeight="1">
      <c r="B74" s="522" t="s">
        <v>1237</v>
      </c>
      <c r="C74" s="272">
        <f>(100-$C$69)/200</f>
        <v>2.5000000000000001E-2</v>
      </c>
      <c r="D74" s="564" t="b">
        <v>1</v>
      </c>
      <c r="E74" s="96" t="s">
        <v>1238</v>
      </c>
      <c r="L74" s="96">
        <f t="shared" si="21"/>
        <v>8</v>
      </c>
      <c r="M74" s="96">
        <f t="shared" si="21"/>
        <v>0.45</v>
      </c>
      <c r="N74" s="96">
        <f t="shared" si="22"/>
        <v>24</v>
      </c>
      <c r="O74" s="516">
        <v>8</v>
      </c>
      <c r="P74" s="272">
        <f t="shared" si="3"/>
        <v>0.45</v>
      </c>
      <c r="Q74" s="272">
        <f t="shared" si="4"/>
        <v>12</v>
      </c>
      <c r="R74" s="272">
        <f t="shared" si="23"/>
        <v>14</v>
      </c>
      <c r="S74" s="272" t="e">
        <f t="shared" si="5"/>
        <v>#N/A</v>
      </c>
      <c r="T74" s="272">
        <f t="shared" si="6"/>
        <v>12</v>
      </c>
      <c r="U74" s="272">
        <f t="shared" si="24"/>
        <v>14</v>
      </c>
      <c r="V74" s="508" t="e">
        <f t="shared" si="7"/>
        <v>#N/A</v>
      </c>
      <c r="W74" s="272" t="e">
        <f t="shared" si="25"/>
        <v>#N/A</v>
      </c>
      <c r="X74" s="272" t="e">
        <f t="shared" si="26"/>
        <v>#N/A</v>
      </c>
      <c r="Y74" s="516">
        <f t="shared" si="8"/>
        <v>12</v>
      </c>
      <c r="Z74" s="517">
        <v>0.45</v>
      </c>
      <c r="AA74" s="272">
        <f t="shared" si="27"/>
        <v>14</v>
      </c>
      <c r="AB74" s="519">
        <f t="shared" si="28"/>
        <v>11.382100209464079</v>
      </c>
      <c r="AC74" s="272">
        <f t="shared" si="9"/>
        <v>11</v>
      </c>
      <c r="AD74" s="272">
        <f t="shared" si="10"/>
        <v>14.353587167152027</v>
      </c>
      <c r="AE74" s="272">
        <f t="shared" si="11"/>
        <v>12</v>
      </c>
      <c r="AF74" s="272">
        <f t="shared" si="12"/>
        <v>14.065852846871238</v>
      </c>
      <c r="AG74" s="272">
        <f t="shared" si="13"/>
        <v>13</v>
      </c>
      <c r="AH74" s="272">
        <f t="shared" si="14"/>
        <v>13.828719151461183</v>
      </c>
      <c r="AI74" s="272">
        <f t="shared" si="13"/>
        <v>13</v>
      </c>
      <c r="AJ74" s="272">
        <f t="shared" si="15"/>
        <v>13.828719151461183</v>
      </c>
      <c r="AK74" s="272">
        <f t="shared" si="13"/>
        <v>13</v>
      </c>
      <c r="AL74" s="272">
        <f t="shared" si="16"/>
        <v>13.828719151461183</v>
      </c>
      <c r="AM74" s="272">
        <f t="shared" si="13"/>
        <v>13</v>
      </c>
      <c r="AN74" s="272">
        <f t="shared" si="17"/>
        <v>13.828719151461183</v>
      </c>
      <c r="AO74" s="272">
        <f t="shared" si="13"/>
        <v>13</v>
      </c>
      <c r="AP74" s="272">
        <f t="shared" si="18"/>
        <v>13.828719151461183</v>
      </c>
      <c r="AQ74" s="272">
        <f t="shared" si="13"/>
        <v>13</v>
      </c>
      <c r="AR74" s="272">
        <f t="shared" si="19"/>
        <v>13.828719151461183</v>
      </c>
      <c r="AS74" s="272">
        <f t="shared" si="13"/>
        <v>13</v>
      </c>
      <c r="AT74" s="508">
        <f t="shared" si="20"/>
        <v>13.828719151461183</v>
      </c>
    </row>
    <row r="75" spans="2:59" ht="12.75" customHeight="1">
      <c r="B75" s="481" t="s">
        <v>1191</v>
      </c>
      <c r="C75" s="479">
        <v>5</v>
      </c>
      <c r="D75" s="523" t="b">
        <f>IF(D76=2,TRUE,FALSE)</f>
        <v>1</v>
      </c>
      <c r="E75" s="96" t="s">
        <v>1239</v>
      </c>
      <c r="L75" s="96">
        <f t="shared" si="21"/>
        <v>9</v>
      </c>
      <c r="M75" s="96">
        <f t="shared" si="21"/>
        <v>0.5</v>
      </c>
      <c r="N75" s="96">
        <f t="shared" si="22"/>
        <v>21</v>
      </c>
      <c r="O75" s="516">
        <v>9</v>
      </c>
      <c r="P75" s="272">
        <f t="shared" si="3"/>
        <v>0.5</v>
      </c>
      <c r="Q75" s="272">
        <f t="shared" si="4"/>
        <v>10</v>
      </c>
      <c r="R75" s="272">
        <f t="shared" si="23"/>
        <v>12</v>
      </c>
      <c r="S75" s="272" t="e">
        <f t="shared" si="5"/>
        <v>#N/A</v>
      </c>
      <c r="T75" s="272">
        <f t="shared" si="6"/>
        <v>10</v>
      </c>
      <c r="U75" s="272">
        <f t="shared" si="24"/>
        <v>12</v>
      </c>
      <c r="V75" s="508" t="e">
        <f t="shared" si="7"/>
        <v>#N/A</v>
      </c>
      <c r="W75" s="272" t="e">
        <f t="shared" si="25"/>
        <v>#N/A</v>
      </c>
      <c r="X75" s="272" t="e">
        <f t="shared" si="26"/>
        <v>#N/A</v>
      </c>
      <c r="Y75" s="516">
        <f t="shared" si="8"/>
        <v>10</v>
      </c>
      <c r="Z75" s="517">
        <v>0.5</v>
      </c>
      <c r="AA75" s="272">
        <f t="shared" si="27"/>
        <v>12</v>
      </c>
      <c r="AB75" s="519">
        <f t="shared" si="28"/>
        <v>9.2195011696659073</v>
      </c>
      <c r="AC75" s="272">
        <f t="shared" si="9"/>
        <v>9</v>
      </c>
      <c r="AD75" s="272">
        <f t="shared" si="10"/>
        <v>12.281652019862344</v>
      </c>
      <c r="AE75" s="272">
        <f t="shared" si="11"/>
        <v>10</v>
      </c>
      <c r="AF75" s="272">
        <f t="shared" si="12"/>
        <v>11.915046482704531</v>
      </c>
      <c r="AG75" s="272">
        <f t="shared" si="13"/>
        <v>11</v>
      </c>
      <c r="AH75" s="272">
        <f t="shared" si="14"/>
        <v>11.626405605393144</v>
      </c>
      <c r="AI75" s="272">
        <f t="shared" si="13"/>
        <v>11</v>
      </c>
      <c r="AJ75" s="272">
        <f t="shared" si="15"/>
        <v>11.626405605393144</v>
      </c>
      <c r="AK75" s="272">
        <f t="shared" si="13"/>
        <v>11</v>
      </c>
      <c r="AL75" s="272">
        <f t="shared" si="16"/>
        <v>11.626405605393144</v>
      </c>
      <c r="AM75" s="272">
        <f t="shared" si="13"/>
        <v>11</v>
      </c>
      <c r="AN75" s="272">
        <f t="shared" si="17"/>
        <v>11.626405605393144</v>
      </c>
      <c r="AO75" s="272">
        <f t="shared" si="13"/>
        <v>11</v>
      </c>
      <c r="AP75" s="272">
        <f t="shared" si="18"/>
        <v>11.626405605393144</v>
      </c>
      <c r="AQ75" s="272">
        <f t="shared" si="13"/>
        <v>11</v>
      </c>
      <c r="AR75" s="272">
        <f t="shared" si="19"/>
        <v>11.626405605393144</v>
      </c>
      <c r="AS75" s="272">
        <f t="shared" si="13"/>
        <v>11</v>
      </c>
      <c r="AT75" s="508">
        <f t="shared" si="20"/>
        <v>11.626405605393144</v>
      </c>
    </row>
    <row r="76" spans="2:59" ht="12.75" customHeight="1">
      <c r="B76" s="481" t="s">
        <v>1240</v>
      </c>
      <c r="C76" s="479">
        <v>30</v>
      </c>
      <c r="D76" s="523">
        <v>2</v>
      </c>
      <c r="E76" s="524" t="s">
        <v>1241</v>
      </c>
      <c r="F76" s="524"/>
      <c r="L76" s="96">
        <f t="shared" si="21"/>
        <v>10</v>
      </c>
      <c r="M76" s="96">
        <f t="shared" si="21"/>
        <v>0.55000000000000004</v>
      </c>
      <c r="N76" s="96">
        <f t="shared" si="22"/>
        <v>18</v>
      </c>
      <c r="O76" s="516">
        <v>10</v>
      </c>
      <c r="P76" s="272">
        <f t="shared" si="3"/>
        <v>0.55000000000000004</v>
      </c>
      <c r="Q76" s="272">
        <f t="shared" si="4"/>
        <v>8</v>
      </c>
      <c r="R76" s="272">
        <f t="shared" si="23"/>
        <v>11</v>
      </c>
      <c r="S76" s="272" t="e">
        <f t="shared" si="5"/>
        <v>#N/A</v>
      </c>
      <c r="T76" s="272">
        <f t="shared" si="6"/>
        <v>8</v>
      </c>
      <c r="U76" s="272">
        <f t="shared" si="24"/>
        <v>11</v>
      </c>
      <c r="V76" s="508" t="e">
        <f t="shared" si="7"/>
        <v>#N/A</v>
      </c>
      <c r="W76" s="272" t="e">
        <f t="shared" si="25"/>
        <v>#N/A</v>
      </c>
      <c r="X76" s="272" t="e">
        <f t="shared" si="26"/>
        <v>#N/A</v>
      </c>
      <c r="Y76" s="516">
        <f t="shared" si="8"/>
        <v>8</v>
      </c>
      <c r="Z76" s="517">
        <v>0.55000000000000004</v>
      </c>
      <c r="AA76" s="272">
        <f t="shared" si="27"/>
        <v>11</v>
      </c>
      <c r="AB76" s="519">
        <f t="shared" si="28"/>
        <v>7.6194224542693432</v>
      </c>
      <c r="AC76" s="272">
        <f t="shared" si="9"/>
        <v>7</v>
      </c>
      <c r="AD76" s="272">
        <f t="shared" si="10"/>
        <v>11.090475070765537</v>
      </c>
      <c r="AE76" s="272">
        <f t="shared" si="11"/>
        <v>8</v>
      </c>
      <c r="AF76" s="272">
        <f t="shared" si="12"/>
        <v>10.547415000580383</v>
      </c>
      <c r="AG76" s="272">
        <f t="shared" si="13"/>
        <v>9</v>
      </c>
      <c r="AH76" s="272">
        <f t="shared" si="14"/>
        <v>10.150125636249872</v>
      </c>
      <c r="AI76" s="272">
        <f t="shared" si="13"/>
        <v>10</v>
      </c>
      <c r="AJ76" s="272">
        <f t="shared" si="15"/>
        <v>9.8471458534748191</v>
      </c>
      <c r="AK76" s="272">
        <f t="shared" si="13"/>
        <v>9</v>
      </c>
      <c r="AL76" s="272">
        <f t="shared" si="16"/>
        <v>10.150125636249872</v>
      </c>
      <c r="AM76" s="272">
        <f t="shared" si="13"/>
        <v>10</v>
      </c>
      <c r="AN76" s="272">
        <f t="shared" si="17"/>
        <v>9.8471458534748191</v>
      </c>
      <c r="AO76" s="272">
        <f t="shared" si="13"/>
        <v>9</v>
      </c>
      <c r="AP76" s="272">
        <f t="shared" si="18"/>
        <v>10.150125636249872</v>
      </c>
      <c r="AQ76" s="272">
        <f t="shared" si="13"/>
        <v>10</v>
      </c>
      <c r="AR76" s="272">
        <f t="shared" si="19"/>
        <v>9.8471458534748191</v>
      </c>
      <c r="AS76" s="272">
        <f t="shared" si="13"/>
        <v>9</v>
      </c>
      <c r="AT76" s="508">
        <f t="shared" si="20"/>
        <v>10.150125636249872</v>
      </c>
    </row>
    <row r="77" spans="2:59" ht="12.75" customHeight="1">
      <c r="B77" s="525"/>
      <c r="C77" s="526" t="s">
        <v>1190</v>
      </c>
      <c r="D77" s="504">
        <f>IF(D72,IF(C70&lt;21,C70/20,INT((C70+1)/2)/10),NA())</f>
        <v>0.45</v>
      </c>
      <c r="E77" s="504">
        <v>0</v>
      </c>
      <c r="F77" s="527"/>
      <c r="G77" s="528"/>
      <c r="H77" s="521"/>
      <c r="I77" s="521"/>
      <c r="J77" s="521"/>
      <c r="K77" s="521"/>
      <c r="L77" s="96">
        <f t="shared" si="21"/>
        <v>11</v>
      </c>
      <c r="M77" s="96">
        <f t="shared" si="21"/>
        <v>0.6</v>
      </c>
      <c r="N77" s="96">
        <f t="shared" si="22"/>
        <v>16</v>
      </c>
      <c r="O77" s="516">
        <v>11</v>
      </c>
      <c r="P77" s="272">
        <f t="shared" si="3"/>
        <v>0.6</v>
      </c>
      <c r="Q77" s="272">
        <f t="shared" si="4"/>
        <v>7</v>
      </c>
      <c r="R77" s="272">
        <f t="shared" si="23"/>
        <v>9</v>
      </c>
      <c r="S77" s="272" t="e">
        <f t="shared" si="5"/>
        <v>#N/A</v>
      </c>
      <c r="T77" s="272">
        <f t="shared" si="6"/>
        <v>7</v>
      </c>
      <c r="U77" s="272">
        <f t="shared" si="24"/>
        <v>9</v>
      </c>
      <c r="V77" s="508" t="e">
        <f t="shared" si="7"/>
        <v>#N/A</v>
      </c>
      <c r="W77" s="272" t="e">
        <f t="shared" si="25"/>
        <v>#N/A</v>
      </c>
      <c r="X77" s="272" t="e">
        <f t="shared" si="26"/>
        <v>#N/A</v>
      </c>
      <c r="Y77" s="516">
        <f t="shared" si="8"/>
        <v>7</v>
      </c>
      <c r="Z77" s="517">
        <v>0.6</v>
      </c>
      <c r="AA77" s="272">
        <f t="shared" si="27"/>
        <v>9</v>
      </c>
      <c r="AB77" s="519">
        <f t="shared" si="28"/>
        <v>6.4024313678235476</v>
      </c>
      <c r="AC77" s="272">
        <f t="shared" si="9"/>
        <v>6</v>
      </c>
      <c r="AD77" s="272">
        <f t="shared" si="10"/>
        <v>9.9789626403543163</v>
      </c>
      <c r="AE77" s="272">
        <f t="shared" si="11"/>
        <v>7</v>
      </c>
      <c r="AF77" s="272">
        <f t="shared" si="12"/>
        <v>9.3190797469627107</v>
      </c>
      <c r="AG77" s="272">
        <f t="shared" si="13"/>
        <v>8</v>
      </c>
      <c r="AH77" s="272">
        <f t="shared" si="14"/>
        <v>8.8627584379876847</v>
      </c>
      <c r="AI77" s="272">
        <f t="shared" si="13"/>
        <v>8</v>
      </c>
      <c r="AJ77" s="272">
        <f t="shared" si="15"/>
        <v>8.8627584379876847</v>
      </c>
      <c r="AK77" s="272">
        <f t="shared" si="13"/>
        <v>8</v>
      </c>
      <c r="AL77" s="272">
        <f t="shared" si="16"/>
        <v>8.8627584379876847</v>
      </c>
      <c r="AM77" s="272">
        <f t="shared" si="13"/>
        <v>8</v>
      </c>
      <c r="AN77" s="272">
        <f t="shared" si="17"/>
        <v>8.8627584379876847</v>
      </c>
      <c r="AO77" s="272">
        <f t="shared" si="13"/>
        <v>8</v>
      </c>
      <c r="AP77" s="272">
        <f t="shared" si="18"/>
        <v>8.8627584379876847</v>
      </c>
      <c r="AQ77" s="272">
        <f t="shared" si="13"/>
        <v>8</v>
      </c>
      <c r="AR77" s="272">
        <f t="shared" si="19"/>
        <v>8.8627584379876847</v>
      </c>
      <c r="AS77" s="272">
        <f t="shared" si="13"/>
        <v>8</v>
      </c>
      <c r="AT77" s="508">
        <f t="shared" si="20"/>
        <v>8.8627584379876847</v>
      </c>
    </row>
    <row r="78" spans="2:59" ht="12.75" customHeight="1">
      <c r="B78" s="516"/>
      <c r="C78" s="484" t="s">
        <v>1236</v>
      </c>
      <c r="D78" s="272"/>
      <c r="E78" s="272" t="s">
        <v>18</v>
      </c>
      <c r="F78" s="528" t="s">
        <v>1234</v>
      </c>
      <c r="G78" s="529">
        <f>N65</f>
        <v>58</v>
      </c>
      <c r="H78" s="495"/>
      <c r="I78" s="1321" t="s">
        <v>1162</v>
      </c>
      <c r="J78" s="529"/>
      <c r="K78" s="495"/>
      <c r="L78" s="96">
        <f t="shared" si="21"/>
        <v>12</v>
      </c>
      <c r="M78" s="96">
        <f t="shared" si="21"/>
        <v>0.65</v>
      </c>
      <c r="N78" s="96">
        <f t="shared" si="22"/>
        <v>15</v>
      </c>
      <c r="O78" s="516">
        <v>12</v>
      </c>
      <c r="P78" s="272">
        <f t="shared" si="3"/>
        <v>0.65</v>
      </c>
      <c r="Q78" s="272">
        <f t="shared" si="4"/>
        <v>6</v>
      </c>
      <c r="R78" s="272">
        <f t="shared" si="23"/>
        <v>8</v>
      </c>
      <c r="S78" s="272" t="e">
        <f t="shared" si="5"/>
        <v>#N/A</v>
      </c>
      <c r="T78" s="272">
        <f t="shared" si="6"/>
        <v>6</v>
      </c>
      <c r="U78" s="272">
        <f t="shared" si="24"/>
        <v>8</v>
      </c>
      <c r="V78" s="508" t="e">
        <f t="shared" si="7"/>
        <v>#N/A</v>
      </c>
      <c r="W78" s="272" t="e">
        <f t="shared" si="25"/>
        <v>#N/A</v>
      </c>
      <c r="X78" s="272" t="e">
        <f t="shared" si="26"/>
        <v>#N/A</v>
      </c>
      <c r="Y78" s="516">
        <f t="shared" si="8"/>
        <v>6</v>
      </c>
      <c r="Z78" s="517">
        <v>0.65</v>
      </c>
      <c r="AA78" s="272">
        <f t="shared" si="27"/>
        <v>8</v>
      </c>
      <c r="AB78" s="519">
        <f t="shared" si="28"/>
        <v>5.4553261358969847</v>
      </c>
      <c r="AC78" s="272">
        <f t="shared" si="9"/>
        <v>5</v>
      </c>
      <c r="AD78" s="272">
        <f t="shared" si="10"/>
        <v>9.3839871747365216</v>
      </c>
      <c r="AE78" s="272">
        <f t="shared" si="11"/>
        <v>6</v>
      </c>
      <c r="AF78" s="272">
        <f t="shared" si="12"/>
        <v>8.5027847349764603</v>
      </c>
      <c r="AG78" s="272">
        <f t="shared" si="13"/>
        <v>7</v>
      </c>
      <c r="AH78" s="272">
        <f t="shared" si="14"/>
        <v>7.9405176542167455</v>
      </c>
      <c r="AI78" s="272">
        <f t="shared" si="13"/>
        <v>7</v>
      </c>
      <c r="AJ78" s="272">
        <f t="shared" si="15"/>
        <v>7.9405176542167455</v>
      </c>
      <c r="AK78" s="272">
        <f t="shared" si="13"/>
        <v>7</v>
      </c>
      <c r="AL78" s="272">
        <f t="shared" si="16"/>
        <v>7.9405176542167455</v>
      </c>
      <c r="AM78" s="272">
        <f t="shared" si="13"/>
        <v>7</v>
      </c>
      <c r="AN78" s="272">
        <f t="shared" si="17"/>
        <v>7.9405176542167455</v>
      </c>
      <c r="AO78" s="272">
        <f t="shared" si="13"/>
        <v>7</v>
      </c>
      <c r="AP78" s="272">
        <f t="shared" si="18"/>
        <v>7.9405176542167455</v>
      </c>
      <c r="AQ78" s="272">
        <f t="shared" si="13"/>
        <v>7</v>
      </c>
      <c r="AR78" s="272">
        <f t="shared" si="19"/>
        <v>7.9405176542167455</v>
      </c>
      <c r="AS78" s="272">
        <f t="shared" si="13"/>
        <v>7</v>
      </c>
      <c r="AT78" s="508">
        <f t="shared" si="20"/>
        <v>7.9405176542167455</v>
      </c>
    </row>
    <row r="79" spans="2:59" ht="12.75" customHeight="1">
      <c r="B79" s="579" t="s">
        <v>20</v>
      </c>
      <c r="C79" s="522">
        <f>IF(AND($D$72,$D$73),$D$77,NA())</f>
        <v>0.45</v>
      </c>
      <c r="D79" s="272" t="e">
        <f>VLOOKUP(D77,P67:S95,4)</f>
        <v>#N/A</v>
      </c>
      <c r="E79" s="272">
        <f>VLOOKUP(D77,Z100:AA128,2)</f>
        <v>24</v>
      </c>
      <c r="F79" s="272">
        <f>VLOOKUP(E79,Y133:Z533,2)</f>
        <v>0.32800000000000001</v>
      </c>
      <c r="G79" s="272"/>
      <c r="H79" s="272"/>
      <c r="I79" s="580" t="s">
        <v>1161</v>
      </c>
      <c r="J79" s="563">
        <f>SQRT(D65/G85)*TINV(0.05,E85)</f>
        <v>0.44723880071987204</v>
      </c>
      <c r="K79" s="272"/>
      <c r="L79" s="96">
        <f t="shared" si="21"/>
        <v>13</v>
      </c>
      <c r="M79" s="96">
        <f t="shared" si="21"/>
        <v>0.7</v>
      </c>
      <c r="N79" s="96">
        <f t="shared" si="22"/>
        <v>13</v>
      </c>
      <c r="O79" s="516">
        <v>13</v>
      </c>
      <c r="P79" s="272">
        <f t="shared" si="3"/>
        <v>0.7</v>
      </c>
      <c r="Q79" s="272">
        <f t="shared" si="4"/>
        <v>5</v>
      </c>
      <c r="R79" s="272">
        <f t="shared" si="23"/>
        <v>8</v>
      </c>
      <c r="S79" s="272" t="e">
        <f t="shared" si="5"/>
        <v>#N/A</v>
      </c>
      <c r="T79" s="272">
        <f t="shared" si="6"/>
        <v>5</v>
      </c>
      <c r="U79" s="272">
        <f t="shared" si="24"/>
        <v>8</v>
      </c>
      <c r="V79" s="508" t="e">
        <f t="shared" si="7"/>
        <v>#N/A</v>
      </c>
      <c r="W79" s="272" t="e">
        <f t="shared" si="25"/>
        <v>#N/A</v>
      </c>
      <c r="X79" s="272" t="e">
        <f t="shared" si="26"/>
        <v>#N/A</v>
      </c>
      <c r="Y79" s="516">
        <f t="shared" si="8"/>
        <v>5</v>
      </c>
      <c r="Z79" s="517">
        <v>0.7</v>
      </c>
      <c r="AA79" s="272">
        <f t="shared" si="27"/>
        <v>8</v>
      </c>
      <c r="AB79" s="519">
        <f t="shared" si="28"/>
        <v>4.7038271273805652</v>
      </c>
      <c r="AC79" s="272">
        <f t="shared" si="9"/>
        <v>4</v>
      </c>
      <c r="AD79" s="272">
        <f t="shared" si="10"/>
        <v>9.4391601077408467</v>
      </c>
      <c r="AE79" s="272">
        <f t="shared" si="11"/>
        <v>5</v>
      </c>
      <c r="AF79" s="272">
        <f t="shared" si="12"/>
        <v>8.0912950639309837</v>
      </c>
      <c r="AG79" s="272">
        <f t="shared" si="13"/>
        <v>6</v>
      </c>
      <c r="AH79" s="272">
        <f t="shared" si="14"/>
        <v>7.3314827561786826</v>
      </c>
      <c r="AI79" s="272">
        <f t="shared" si="13"/>
        <v>7</v>
      </c>
      <c r="AJ79" s="272">
        <f t="shared" si="15"/>
        <v>6.8466708345032155</v>
      </c>
      <c r="AK79" s="272">
        <f t="shared" si="13"/>
        <v>6</v>
      </c>
      <c r="AL79" s="272">
        <f t="shared" si="16"/>
        <v>7.3314827561786826</v>
      </c>
      <c r="AM79" s="272">
        <f t="shared" si="13"/>
        <v>7</v>
      </c>
      <c r="AN79" s="272">
        <f t="shared" si="17"/>
        <v>6.8466708345032155</v>
      </c>
      <c r="AO79" s="272">
        <f t="shared" si="13"/>
        <v>6</v>
      </c>
      <c r="AP79" s="272">
        <f t="shared" si="18"/>
        <v>7.3314827561786826</v>
      </c>
      <c r="AQ79" s="272">
        <f t="shared" si="13"/>
        <v>7</v>
      </c>
      <c r="AR79" s="272">
        <f t="shared" si="19"/>
        <v>6.8466708345032155</v>
      </c>
      <c r="AS79" s="272">
        <f t="shared" si="13"/>
        <v>6</v>
      </c>
      <c r="AT79" s="508">
        <f t="shared" si="20"/>
        <v>7.3314827561786826</v>
      </c>
    </row>
    <row r="80" spans="2:59" ht="12.75" customHeight="1">
      <c r="B80" s="579" t="s">
        <v>19</v>
      </c>
      <c r="C80" s="522">
        <f>IF(AND($D$72,$D$73),$D$77,NA())</f>
        <v>0.45</v>
      </c>
      <c r="D80" s="272" t="e">
        <f>VLOOKUP(D77,P67:W95,8)</f>
        <v>#N/A</v>
      </c>
      <c r="E80" s="272">
        <f>VLOOKUP(D77,Z67:AA95,2)</f>
        <v>14</v>
      </c>
      <c r="F80" s="272"/>
      <c r="G80" s="272"/>
      <c r="H80" s="272"/>
      <c r="I80" s="272"/>
      <c r="J80" s="272"/>
      <c r="K80" s="272"/>
      <c r="L80" s="96">
        <f t="shared" si="21"/>
        <v>14</v>
      </c>
      <c r="M80" s="96">
        <f t="shared" si="21"/>
        <v>0.75</v>
      </c>
      <c r="N80" s="96">
        <f t="shared" si="22"/>
        <v>12</v>
      </c>
      <c r="O80" s="516">
        <v>14</v>
      </c>
      <c r="P80" s="272">
        <f t="shared" si="3"/>
        <v>0.75</v>
      </c>
      <c r="Q80" s="272">
        <f t="shared" si="4"/>
        <v>5</v>
      </c>
      <c r="R80" s="272">
        <f t="shared" si="23"/>
        <v>7</v>
      </c>
      <c r="S80" s="272" t="e">
        <f t="shared" si="5"/>
        <v>#N/A</v>
      </c>
      <c r="T80" s="272">
        <f t="shared" si="6"/>
        <v>5</v>
      </c>
      <c r="U80" s="272">
        <f t="shared" si="24"/>
        <v>7</v>
      </c>
      <c r="V80" s="508" t="e">
        <f t="shared" si="7"/>
        <v>#N/A</v>
      </c>
      <c r="W80" s="272" t="e">
        <f t="shared" si="25"/>
        <v>#N/A</v>
      </c>
      <c r="X80" s="272" t="e">
        <f t="shared" si="26"/>
        <v>#N/A</v>
      </c>
      <c r="Y80" s="516">
        <f t="shared" si="8"/>
        <v>5</v>
      </c>
      <c r="Z80" s="517">
        <v>0.75</v>
      </c>
      <c r="AA80" s="272">
        <f t="shared" si="27"/>
        <v>7</v>
      </c>
      <c r="AB80" s="519">
        <f t="shared" si="28"/>
        <v>4.0975560754070699</v>
      </c>
      <c r="AC80" s="272">
        <f t="shared" si="9"/>
        <v>4</v>
      </c>
      <c r="AD80" s="272">
        <f t="shared" si="10"/>
        <v>8.2225572494098014</v>
      </c>
      <c r="AE80" s="272">
        <f t="shared" si="11"/>
        <v>5</v>
      </c>
      <c r="AF80" s="272">
        <f t="shared" si="12"/>
        <v>7.048417033468767</v>
      </c>
      <c r="AG80" s="272">
        <f t="shared" si="13"/>
        <v>6</v>
      </c>
      <c r="AH80" s="272">
        <f t="shared" si="14"/>
        <v>6.3865360898267634</v>
      </c>
      <c r="AI80" s="272">
        <f t="shared" si="13"/>
        <v>6</v>
      </c>
      <c r="AJ80" s="272">
        <f t="shared" si="15"/>
        <v>6.3865360898267634</v>
      </c>
      <c r="AK80" s="272">
        <f t="shared" si="13"/>
        <v>6</v>
      </c>
      <c r="AL80" s="272">
        <f t="shared" si="16"/>
        <v>6.3865360898267634</v>
      </c>
      <c r="AM80" s="272">
        <f t="shared" si="13"/>
        <v>6</v>
      </c>
      <c r="AN80" s="272">
        <f t="shared" si="17"/>
        <v>6.3865360898267634</v>
      </c>
      <c r="AO80" s="272">
        <f t="shared" si="13"/>
        <v>6</v>
      </c>
      <c r="AP80" s="272">
        <f t="shared" si="18"/>
        <v>6.3865360898267634</v>
      </c>
      <c r="AQ80" s="272">
        <f t="shared" si="13"/>
        <v>6</v>
      </c>
      <c r="AR80" s="272">
        <f t="shared" si="19"/>
        <v>6.3865360898267634</v>
      </c>
      <c r="AS80" s="272">
        <f t="shared" si="13"/>
        <v>6</v>
      </c>
      <c r="AT80" s="508">
        <f t="shared" si="20"/>
        <v>6.3865360898267634</v>
      </c>
    </row>
    <row r="81" spans="1:54" ht="12.75" customHeight="1">
      <c r="B81" s="580" t="s">
        <v>629</v>
      </c>
      <c r="C81" s="531">
        <f>IF(AND($D$72,$D$73),$D$77,NA())</f>
        <v>0.45</v>
      </c>
      <c r="D81" s="273">
        <f>VLOOKUP(D77,P67:R95,3)</f>
        <v>14</v>
      </c>
      <c r="E81" s="532"/>
      <c r="F81" s="273"/>
      <c r="G81" s="273"/>
      <c r="H81" s="272"/>
      <c r="I81" s="272"/>
      <c r="J81" s="272"/>
      <c r="K81" s="272"/>
      <c r="L81" s="96">
        <f t="shared" si="21"/>
        <v>15</v>
      </c>
      <c r="M81" s="96">
        <f t="shared" si="21"/>
        <v>0.8</v>
      </c>
      <c r="N81" s="96">
        <f t="shared" si="22"/>
        <v>11</v>
      </c>
      <c r="O81" s="516">
        <v>15</v>
      </c>
      <c r="P81" s="272">
        <f t="shared" si="3"/>
        <v>0.8</v>
      </c>
      <c r="Q81" s="272">
        <f t="shared" si="4"/>
        <v>4</v>
      </c>
      <c r="R81" s="272">
        <f t="shared" si="23"/>
        <v>7</v>
      </c>
      <c r="S81" s="272" t="e">
        <f t="shared" si="5"/>
        <v>#N/A</v>
      </c>
      <c r="T81" s="272">
        <f t="shared" si="6"/>
        <v>4</v>
      </c>
      <c r="U81" s="272">
        <f t="shared" si="24"/>
        <v>7</v>
      </c>
      <c r="V81" s="508" t="e">
        <f t="shared" si="7"/>
        <v>#N/A</v>
      </c>
      <c r="W81" s="272" t="e">
        <f t="shared" si="25"/>
        <v>#N/A</v>
      </c>
      <c r="X81" s="272" t="e">
        <f t="shared" si="26"/>
        <v>#N/A</v>
      </c>
      <c r="Y81" s="516">
        <f t="shared" si="8"/>
        <v>4</v>
      </c>
      <c r="Z81" s="517">
        <v>0.8</v>
      </c>
      <c r="AA81" s="272">
        <f t="shared" si="27"/>
        <v>7</v>
      </c>
      <c r="AB81" s="519">
        <f t="shared" si="28"/>
        <v>3.6013676444007436</v>
      </c>
      <c r="AC81" s="272">
        <f t="shared" si="9"/>
        <v>3</v>
      </c>
      <c r="AD81" s="272">
        <f t="shared" si="10"/>
        <v>9.4949667032701353</v>
      </c>
      <c r="AE81" s="272">
        <f t="shared" si="11"/>
        <v>4</v>
      </c>
      <c r="AF81" s="272">
        <f t="shared" si="12"/>
        <v>7.2268569574890842</v>
      </c>
      <c r="AG81" s="272">
        <f t="shared" si="13"/>
        <v>5</v>
      </c>
      <c r="AH81" s="272">
        <f t="shared" si="14"/>
        <v>6.1948977833221566</v>
      </c>
      <c r="AI81" s="272">
        <f t="shared" si="13"/>
        <v>6</v>
      </c>
      <c r="AJ81" s="272">
        <f t="shared" si="15"/>
        <v>5.6131664851993035</v>
      </c>
      <c r="AK81" s="272">
        <f t="shared" si="13"/>
        <v>5</v>
      </c>
      <c r="AL81" s="272">
        <f t="shared" si="16"/>
        <v>6.1948977833221566</v>
      </c>
      <c r="AM81" s="272">
        <f t="shared" si="13"/>
        <v>6</v>
      </c>
      <c r="AN81" s="272">
        <f t="shared" si="17"/>
        <v>5.6131664851993035</v>
      </c>
      <c r="AO81" s="272">
        <f t="shared" si="13"/>
        <v>5</v>
      </c>
      <c r="AP81" s="272">
        <f t="shared" si="18"/>
        <v>6.1948977833221566</v>
      </c>
      <c r="AQ81" s="272">
        <f t="shared" si="13"/>
        <v>6</v>
      </c>
      <c r="AR81" s="272">
        <f t="shared" si="19"/>
        <v>5.6131664851993035</v>
      </c>
      <c r="AS81" s="272">
        <f t="shared" si="13"/>
        <v>5</v>
      </c>
      <c r="AT81" s="508">
        <f t="shared" si="20"/>
        <v>6.1948977833221566</v>
      </c>
    </row>
    <row r="82" spans="1:54" ht="12.75" customHeight="1">
      <c r="A82" s="96" t="s">
        <v>634</v>
      </c>
      <c r="E82" s="96">
        <v>1.7000000000000001E-2</v>
      </c>
      <c r="L82" s="96">
        <f t="shared" si="21"/>
        <v>16</v>
      </c>
      <c r="M82" s="96">
        <f t="shared" si="21"/>
        <v>0.85</v>
      </c>
      <c r="N82" s="96">
        <f t="shared" si="22"/>
        <v>11</v>
      </c>
      <c r="O82" s="516">
        <v>16</v>
      </c>
      <c r="P82" s="272">
        <f t="shared" si="3"/>
        <v>0.85</v>
      </c>
      <c r="Q82" s="272">
        <f t="shared" si="4"/>
        <v>4</v>
      </c>
      <c r="R82" s="272">
        <f t="shared" si="23"/>
        <v>6</v>
      </c>
      <c r="S82" s="272" t="e">
        <f t="shared" si="5"/>
        <v>#N/A</v>
      </c>
      <c r="T82" s="272">
        <f t="shared" si="6"/>
        <v>4</v>
      </c>
      <c r="U82" s="272">
        <f t="shared" si="24"/>
        <v>6</v>
      </c>
      <c r="V82" s="508" t="e">
        <f t="shared" si="7"/>
        <v>#N/A</v>
      </c>
      <c r="W82" s="272" t="e">
        <f t="shared" si="25"/>
        <v>#N/A</v>
      </c>
      <c r="X82" s="272" t="e">
        <f t="shared" si="26"/>
        <v>#N/A</v>
      </c>
      <c r="Y82" s="516">
        <f t="shared" si="8"/>
        <v>4</v>
      </c>
      <c r="Z82" s="517">
        <v>0.85</v>
      </c>
      <c r="AA82" s="272">
        <f t="shared" si="27"/>
        <v>6</v>
      </c>
      <c r="AB82" s="519">
        <f t="shared" si="28"/>
        <v>3.1901388130331858</v>
      </c>
      <c r="AC82" s="272">
        <f t="shared" si="9"/>
        <v>3</v>
      </c>
      <c r="AD82" s="272">
        <f t="shared" si="10"/>
        <v>8.4107663530697412</v>
      </c>
      <c r="AE82" s="272">
        <f t="shared" si="11"/>
        <v>4</v>
      </c>
      <c r="AF82" s="272">
        <f t="shared" si="12"/>
        <v>6.4016449173605734</v>
      </c>
      <c r="AG82" s="272">
        <f t="shared" si="13"/>
        <v>5</v>
      </c>
      <c r="AH82" s="272">
        <f t="shared" si="14"/>
        <v>5.4875219118701475</v>
      </c>
      <c r="AI82" s="272">
        <f t="shared" si="13"/>
        <v>5</v>
      </c>
      <c r="AJ82" s="272">
        <f t="shared" si="15"/>
        <v>5.4875219118701475</v>
      </c>
      <c r="AK82" s="272">
        <f t="shared" si="13"/>
        <v>5</v>
      </c>
      <c r="AL82" s="272">
        <f t="shared" si="16"/>
        <v>5.4875219118701475</v>
      </c>
      <c r="AM82" s="272">
        <f t="shared" si="13"/>
        <v>5</v>
      </c>
      <c r="AN82" s="272">
        <f t="shared" si="17"/>
        <v>5.4875219118701475</v>
      </c>
      <c r="AO82" s="272">
        <f t="shared" si="13"/>
        <v>5</v>
      </c>
      <c r="AP82" s="272">
        <f t="shared" si="18"/>
        <v>5.4875219118701475</v>
      </c>
      <c r="AQ82" s="272">
        <f t="shared" si="13"/>
        <v>5</v>
      </c>
      <c r="AR82" s="272">
        <f t="shared" si="19"/>
        <v>5.4875219118701475</v>
      </c>
      <c r="AS82" s="272">
        <f t="shared" si="13"/>
        <v>5</v>
      </c>
      <c r="AT82" s="508">
        <f t="shared" si="20"/>
        <v>5.4875219118701475</v>
      </c>
    </row>
    <row r="83" spans="1:54" ht="12.75" customHeight="1">
      <c r="B83" s="536">
        <f>IF(AND(NOT(ISNA(D81)),D64=1,D70),VLOOKUP(C83,A93:C1092,3),NA())</f>
        <v>0.30600000000000022</v>
      </c>
      <c r="C83" s="538">
        <f>G88/3</f>
        <v>1.0685904284061218</v>
      </c>
      <c r="D83" s="536" t="e">
        <f>IF(AND(NOT(ISNA(D79)),D64=2,D70),VLOOKUP(E83,A93:C1092,3),NA())</f>
        <v>#N/A</v>
      </c>
      <c r="E83" s="538">
        <f>G88/3</f>
        <v>1.0685904284061218</v>
      </c>
      <c r="L83" s="96">
        <f t="shared" si="21"/>
        <v>17</v>
      </c>
      <c r="M83" s="96">
        <f t="shared" si="21"/>
        <v>0.9</v>
      </c>
      <c r="N83" s="96">
        <f t="shared" si="22"/>
        <v>10</v>
      </c>
      <c r="O83" s="516">
        <v>17</v>
      </c>
      <c r="P83" s="272">
        <f t="shared" si="3"/>
        <v>0.9</v>
      </c>
      <c r="Q83" s="272">
        <f t="shared" si="4"/>
        <v>3</v>
      </c>
      <c r="R83" s="272">
        <f t="shared" si="23"/>
        <v>6</v>
      </c>
      <c r="S83" s="272" t="e">
        <f t="shared" si="5"/>
        <v>#N/A</v>
      </c>
      <c r="T83" s="272">
        <f t="shared" si="6"/>
        <v>3</v>
      </c>
      <c r="U83" s="272">
        <f t="shared" si="24"/>
        <v>6</v>
      </c>
      <c r="V83" s="508" t="e">
        <f t="shared" si="7"/>
        <v>#N/A</v>
      </c>
      <c r="W83" s="272" t="e">
        <f t="shared" si="25"/>
        <v>#N/A</v>
      </c>
      <c r="X83" s="272" t="e">
        <f t="shared" si="26"/>
        <v>#N/A</v>
      </c>
      <c r="Y83" s="516">
        <f t="shared" si="8"/>
        <v>3</v>
      </c>
      <c r="Z83" s="517">
        <v>0.9</v>
      </c>
      <c r="AA83" s="272">
        <f t="shared" si="27"/>
        <v>6</v>
      </c>
      <c r="AB83" s="519">
        <f t="shared" si="28"/>
        <v>3</v>
      </c>
      <c r="AC83" s="272">
        <f t="shared" si="9"/>
        <v>2</v>
      </c>
      <c r="AD83" s="272">
        <f t="shared" si="10"/>
        <v>13.713200378560796</v>
      </c>
      <c r="AE83" s="272">
        <f t="shared" si="11"/>
        <v>3</v>
      </c>
      <c r="AF83" s="272">
        <f t="shared" si="12"/>
        <v>7.5021959136949228</v>
      </c>
      <c r="AG83" s="272">
        <f t="shared" si="13"/>
        <v>4</v>
      </c>
      <c r="AH83" s="272">
        <f t="shared" si="14"/>
        <v>5.7101092009790291</v>
      </c>
      <c r="AI83" s="272">
        <f t="shared" si="13"/>
        <v>5</v>
      </c>
      <c r="AJ83" s="272">
        <f t="shared" si="15"/>
        <v>4.8947340510199764</v>
      </c>
      <c r="AK83" s="272">
        <f t="shared" si="13"/>
        <v>4</v>
      </c>
      <c r="AL83" s="272">
        <f t="shared" si="16"/>
        <v>5.7101092009790291</v>
      </c>
      <c r="AM83" s="272">
        <f t="shared" si="13"/>
        <v>5</v>
      </c>
      <c r="AN83" s="272">
        <f t="shared" si="17"/>
        <v>4.8947340510199764</v>
      </c>
      <c r="AO83" s="272">
        <f t="shared" si="13"/>
        <v>4</v>
      </c>
      <c r="AP83" s="272">
        <f t="shared" si="18"/>
        <v>5.7101092009790291</v>
      </c>
      <c r="AQ83" s="272">
        <f t="shared" si="13"/>
        <v>5</v>
      </c>
      <c r="AR83" s="272">
        <f t="shared" si="19"/>
        <v>4.8947340510199764</v>
      </c>
      <c r="AS83" s="272">
        <f t="shared" si="13"/>
        <v>4</v>
      </c>
      <c r="AT83" s="508">
        <f t="shared" si="20"/>
        <v>5.7101092009790291</v>
      </c>
    </row>
    <row r="84" spans="1:54" ht="12.75" customHeight="1">
      <c r="B84" s="96" t="s">
        <v>557</v>
      </c>
      <c r="L84" s="96">
        <f t="shared" si="21"/>
        <v>18</v>
      </c>
      <c r="M84" s="96">
        <f t="shared" si="21"/>
        <v>0.95</v>
      </c>
      <c r="N84" s="96">
        <f t="shared" si="22"/>
        <v>9</v>
      </c>
      <c r="O84" s="516">
        <v>18</v>
      </c>
      <c r="P84" s="272">
        <f t="shared" si="3"/>
        <v>0.95</v>
      </c>
      <c r="Q84" s="272">
        <f t="shared" si="4"/>
        <v>3</v>
      </c>
      <c r="R84" s="272">
        <f t="shared" si="23"/>
        <v>6</v>
      </c>
      <c r="S84" s="272" t="e">
        <f t="shared" si="5"/>
        <v>#N/A</v>
      </c>
      <c r="T84" s="272">
        <f t="shared" si="6"/>
        <v>3</v>
      </c>
      <c r="U84" s="272">
        <f t="shared" si="24"/>
        <v>6</v>
      </c>
      <c r="V84" s="508" t="e">
        <f t="shared" si="7"/>
        <v>#N/A</v>
      </c>
      <c r="W84" s="272" t="e">
        <f t="shared" si="25"/>
        <v>#N/A</v>
      </c>
      <c r="X84" s="272" t="e">
        <f t="shared" si="26"/>
        <v>#N/A</v>
      </c>
      <c r="Y84" s="516">
        <f t="shared" si="8"/>
        <v>3</v>
      </c>
      <c r="Z84" s="517">
        <v>0.95</v>
      </c>
      <c r="AA84" s="272">
        <f t="shared" si="27"/>
        <v>6</v>
      </c>
      <c r="AB84" s="519">
        <f t="shared" si="28"/>
        <v>3</v>
      </c>
      <c r="AC84" s="272">
        <f t="shared" si="9"/>
        <v>2</v>
      </c>
      <c r="AD84" s="272">
        <f t="shared" si="10"/>
        <v>12.307692306519936</v>
      </c>
      <c r="AE84" s="272">
        <f t="shared" si="11"/>
        <v>3</v>
      </c>
      <c r="AF84" s="272">
        <f t="shared" si="12"/>
        <v>6.7332727868065234</v>
      </c>
      <c r="AG84" s="272">
        <f t="shared" si="13"/>
        <v>4</v>
      </c>
      <c r="AH84" s="272">
        <f t="shared" si="14"/>
        <v>5.1248625515712067</v>
      </c>
      <c r="AI84" s="272">
        <f t="shared" si="13"/>
        <v>5</v>
      </c>
      <c r="AJ84" s="272">
        <f t="shared" si="15"/>
        <v>4.3930577078406445</v>
      </c>
      <c r="AK84" s="272">
        <f t="shared" si="13"/>
        <v>4</v>
      </c>
      <c r="AL84" s="272">
        <f t="shared" si="16"/>
        <v>5.1248625515712067</v>
      </c>
      <c r="AM84" s="272">
        <f t="shared" si="13"/>
        <v>5</v>
      </c>
      <c r="AN84" s="272">
        <f t="shared" si="17"/>
        <v>4.3930577078406445</v>
      </c>
      <c r="AO84" s="272">
        <f t="shared" si="13"/>
        <v>4</v>
      </c>
      <c r="AP84" s="272">
        <f t="shared" si="18"/>
        <v>5.1248625515712067</v>
      </c>
      <c r="AQ84" s="272">
        <f t="shared" si="13"/>
        <v>5</v>
      </c>
      <c r="AR84" s="272">
        <f t="shared" si="19"/>
        <v>4.3930577078406445</v>
      </c>
      <c r="AS84" s="272">
        <f t="shared" si="13"/>
        <v>4</v>
      </c>
      <c r="AT84" s="508">
        <f t="shared" si="20"/>
        <v>5.1248625515712067</v>
      </c>
    </row>
    <row r="85" spans="1:54" ht="12.75" customHeight="1">
      <c r="B85" s="481" t="s">
        <v>558</v>
      </c>
      <c r="C85" s="568">
        <f>J79^2/(G85-1)</f>
        <v>1.5386349605334571E-2</v>
      </c>
      <c r="D85" s="481" t="s">
        <v>1187</v>
      </c>
      <c r="E85" s="96">
        <f>G85-1</f>
        <v>13</v>
      </c>
      <c r="F85" s="196" t="s">
        <v>1185</v>
      </c>
      <c r="G85" s="96">
        <f>IF(D68,E79,E80)</f>
        <v>14</v>
      </c>
      <c r="L85" s="96">
        <f t="shared" si="21"/>
        <v>19</v>
      </c>
      <c r="M85" s="96">
        <f t="shared" si="21"/>
        <v>1</v>
      </c>
      <c r="N85" s="96">
        <f t="shared" si="22"/>
        <v>9</v>
      </c>
      <c r="O85" s="516">
        <v>19</v>
      </c>
      <c r="P85" s="272">
        <f t="shared" si="3"/>
        <v>1</v>
      </c>
      <c r="Q85" s="272">
        <f t="shared" si="4"/>
        <v>3</v>
      </c>
      <c r="R85" s="272">
        <f t="shared" si="23"/>
        <v>5</v>
      </c>
      <c r="S85" s="272" t="e">
        <f t="shared" si="5"/>
        <v>#N/A</v>
      </c>
      <c r="T85" s="272">
        <f t="shared" si="6"/>
        <v>3</v>
      </c>
      <c r="U85" s="272">
        <f t="shared" si="24"/>
        <v>5</v>
      </c>
      <c r="V85" s="508" t="e">
        <f t="shared" si="7"/>
        <v>#N/A</v>
      </c>
      <c r="W85" s="272" t="e">
        <f t="shared" si="25"/>
        <v>#N/A</v>
      </c>
      <c r="X85" s="272" t="e">
        <f t="shared" si="26"/>
        <v>#N/A</v>
      </c>
      <c r="Y85" s="516">
        <f t="shared" si="8"/>
        <v>3</v>
      </c>
      <c r="Z85" s="517">
        <v>1</v>
      </c>
      <c r="AA85" s="272">
        <f t="shared" si="27"/>
        <v>5</v>
      </c>
      <c r="AB85" s="519">
        <f t="shared" si="28"/>
        <v>3</v>
      </c>
      <c r="AC85" s="272">
        <f t="shared" si="9"/>
        <v>2</v>
      </c>
      <c r="AD85" s="272">
        <f t="shared" si="10"/>
        <v>11.107692306634243</v>
      </c>
      <c r="AE85" s="272">
        <f t="shared" si="11"/>
        <v>3</v>
      </c>
      <c r="AF85" s="272">
        <f t="shared" si="12"/>
        <v>6.0767786900928877</v>
      </c>
      <c r="AG85" s="272">
        <f t="shared" si="13"/>
        <v>4</v>
      </c>
      <c r="AH85" s="272">
        <f t="shared" si="14"/>
        <v>4.6251884527930143</v>
      </c>
      <c r="AI85" s="272">
        <f t="shared" si="13"/>
        <v>4</v>
      </c>
      <c r="AJ85" s="272">
        <f t="shared" si="15"/>
        <v>4.6251884527930143</v>
      </c>
      <c r="AK85" s="272">
        <f t="shared" si="13"/>
        <v>4</v>
      </c>
      <c r="AL85" s="272">
        <f t="shared" si="16"/>
        <v>4.6251884527930143</v>
      </c>
      <c r="AM85" s="272">
        <f t="shared" si="13"/>
        <v>4</v>
      </c>
      <c r="AN85" s="272">
        <f t="shared" si="17"/>
        <v>4.6251884527930143</v>
      </c>
      <c r="AO85" s="272">
        <f t="shared" si="13"/>
        <v>4</v>
      </c>
      <c r="AP85" s="272">
        <f t="shared" si="18"/>
        <v>4.6251884527930143</v>
      </c>
      <c r="AQ85" s="272">
        <f t="shared" si="13"/>
        <v>4</v>
      </c>
      <c r="AR85" s="272">
        <f t="shared" si="19"/>
        <v>4.6251884527930143</v>
      </c>
      <c r="AS85" s="272">
        <f t="shared" si="13"/>
        <v>4</v>
      </c>
      <c r="AT85" s="508">
        <f t="shared" si="20"/>
        <v>4.6251884527930143</v>
      </c>
    </row>
    <row r="86" spans="1:54" ht="12.75" customHeight="1">
      <c r="B86" s="481" t="s">
        <v>562</v>
      </c>
      <c r="C86" s="96">
        <v>0</v>
      </c>
      <c r="D86" s="481" t="s">
        <v>564</v>
      </c>
      <c r="E86" s="96">
        <v>1.5</v>
      </c>
      <c r="F86" s="481" t="s">
        <v>177</v>
      </c>
      <c r="G86" s="96">
        <v>0.5</v>
      </c>
      <c r="L86" s="96">
        <f t="shared" si="21"/>
        <v>20</v>
      </c>
      <c r="M86" s="96">
        <f t="shared" si="21"/>
        <v>1.1000000000000001</v>
      </c>
      <c r="N86" s="96">
        <f t="shared" si="22"/>
        <v>8</v>
      </c>
      <c r="O86" s="516">
        <v>20</v>
      </c>
      <c r="P86" s="272">
        <f t="shared" si="3"/>
        <v>1.1000000000000001</v>
      </c>
      <c r="Q86" s="272">
        <f t="shared" si="4"/>
        <v>3</v>
      </c>
      <c r="R86" s="272">
        <f t="shared" si="23"/>
        <v>5</v>
      </c>
      <c r="S86" s="272" t="e">
        <f t="shared" si="5"/>
        <v>#N/A</v>
      </c>
      <c r="T86" s="272">
        <f t="shared" si="6"/>
        <v>3</v>
      </c>
      <c r="U86" s="272">
        <f t="shared" si="24"/>
        <v>5</v>
      </c>
      <c r="V86" s="508" t="e">
        <f t="shared" si="7"/>
        <v>#N/A</v>
      </c>
      <c r="W86" s="272" t="e">
        <f t="shared" si="25"/>
        <v>#N/A</v>
      </c>
      <c r="X86" s="272" t="e">
        <f t="shared" si="26"/>
        <v>#N/A</v>
      </c>
      <c r="Y86" s="516">
        <f t="shared" si="8"/>
        <v>3</v>
      </c>
      <c r="Z86" s="517">
        <v>1.1000000000000001</v>
      </c>
      <c r="AA86" s="272">
        <f t="shared" si="27"/>
        <v>5</v>
      </c>
      <c r="AB86" s="519">
        <f t="shared" si="28"/>
        <v>3</v>
      </c>
      <c r="AC86" s="272">
        <f t="shared" si="9"/>
        <v>2</v>
      </c>
      <c r="AD86" s="272">
        <f t="shared" si="10"/>
        <v>9.1799109972183821</v>
      </c>
      <c r="AE86" s="272">
        <f t="shared" si="11"/>
        <v>3</v>
      </c>
      <c r="AF86" s="272">
        <f t="shared" si="12"/>
        <v>5.0221311488370963</v>
      </c>
      <c r="AG86" s="272">
        <f t="shared" si="13"/>
        <v>4</v>
      </c>
      <c r="AH86" s="272">
        <f t="shared" si="14"/>
        <v>3.8224697956967049</v>
      </c>
      <c r="AI86" s="272">
        <f t="shared" si="13"/>
        <v>3</v>
      </c>
      <c r="AJ86" s="272">
        <f t="shared" si="15"/>
        <v>5.0221311488370963</v>
      </c>
      <c r="AK86" s="272">
        <f t="shared" si="13"/>
        <v>4</v>
      </c>
      <c r="AL86" s="272">
        <f t="shared" si="16"/>
        <v>3.8224697956967049</v>
      </c>
      <c r="AM86" s="272">
        <f t="shared" si="13"/>
        <v>3</v>
      </c>
      <c r="AN86" s="272">
        <f t="shared" si="17"/>
        <v>5.0221311488370963</v>
      </c>
      <c r="AO86" s="272">
        <f t="shared" si="13"/>
        <v>4</v>
      </c>
      <c r="AP86" s="272">
        <f t="shared" si="18"/>
        <v>3.8224697956967049</v>
      </c>
      <c r="AQ86" s="272">
        <f t="shared" si="13"/>
        <v>3</v>
      </c>
      <c r="AR86" s="272">
        <f t="shared" si="19"/>
        <v>5.0221311488370963</v>
      </c>
      <c r="AS86" s="272">
        <f t="shared" si="13"/>
        <v>4</v>
      </c>
      <c r="AT86" s="508">
        <f t="shared" si="20"/>
        <v>3.8224697956967049</v>
      </c>
    </row>
    <row r="87" spans="1:54" ht="12.75" customHeight="1">
      <c r="B87" s="481" t="s">
        <v>563</v>
      </c>
      <c r="C87" s="96">
        <v>1000</v>
      </c>
      <c r="D87" s="481" t="s">
        <v>626</v>
      </c>
      <c r="E87" s="96">
        <v>0.7</v>
      </c>
      <c r="F87" s="481" t="s">
        <v>176</v>
      </c>
      <c r="G87" s="96">
        <f>G88*G86</f>
        <v>1.6028856426091826</v>
      </c>
      <c r="L87" s="96">
        <f t="shared" si="21"/>
        <v>21</v>
      </c>
      <c r="M87" s="96">
        <f t="shared" si="21"/>
        <v>1.2</v>
      </c>
      <c r="N87" s="96">
        <f t="shared" si="22"/>
        <v>7</v>
      </c>
      <c r="O87" s="516">
        <v>21</v>
      </c>
      <c r="P87" s="272">
        <f t="shared" si="3"/>
        <v>1.2</v>
      </c>
      <c r="Q87" s="272">
        <f t="shared" si="4"/>
        <v>3</v>
      </c>
      <c r="R87" s="272">
        <f t="shared" si="23"/>
        <v>5</v>
      </c>
      <c r="S87" s="272" t="e">
        <f t="shared" si="5"/>
        <v>#N/A</v>
      </c>
      <c r="T87" s="272">
        <f t="shared" si="6"/>
        <v>3</v>
      </c>
      <c r="U87" s="272">
        <f t="shared" si="24"/>
        <v>5</v>
      </c>
      <c r="V87" s="508" t="e">
        <f t="shared" si="7"/>
        <v>#N/A</v>
      </c>
      <c r="W87" s="272" t="e">
        <f t="shared" si="25"/>
        <v>#N/A</v>
      </c>
      <c r="X87" s="272" t="e">
        <f t="shared" si="26"/>
        <v>#N/A</v>
      </c>
      <c r="Y87" s="516">
        <f t="shared" si="8"/>
        <v>3</v>
      </c>
      <c r="Z87" s="517">
        <v>1.2</v>
      </c>
      <c r="AA87" s="272">
        <f t="shared" si="27"/>
        <v>5</v>
      </c>
      <c r="AB87" s="519">
        <f t="shared" si="28"/>
        <v>3</v>
      </c>
      <c r="AC87" s="272">
        <f t="shared" si="9"/>
        <v>2</v>
      </c>
      <c r="AD87" s="272">
        <f t="shared" si="10"/>
        <v>7.7136752129404478</v>
      </c>
      <c r="AE87" s="272">
        <f t="shared" si="11"/>
        <v>3</v>
      </c>
      <c r="AF87" s="272">
        <f t="shared" si="12"/>
        <v>4.2199852014533938</v>
      </c>
      <c r="AG87" s="272">
        <f t="shared" si="13"/>
        <v>4</v>
      </c>
      <c r="AH87" s="272">
        <f t="shared" si="14"/>
        <v>3.2119364255507041</v>
      </c>
      <c r="AI87" s="272">
        <f t="shared" si="13"/>
        <v>3</v>
      </c>
      <c r="AJ87" s="272">
        <f t="shared" si="15"/>
        <v>4.2199852014533938</v>
      </c>
      <c r="AK87" s="272">
        <f t="shared" si="13"/>
        <v>4</v>
      </c>
      <c r="AL87" s="272">
        <f t="shared" si="16"/>
        <v>3.2119364255507041</v>
      </c>
      <c r="AM87" s="272">
        <f t="shared" si="13"/>
        <v>3</v>
      </c>
      <c r="AN87" s="272">
        <f t="shared" si="17"/>
        <v>4.2199852014533938</v>
      </c>
      <c r="AO87" s="272">
        <f t="shared" si="13"/>
        <v>4</v>
      </c>
      <c r="AP87" s="272">
        <f t="shared" si="18"/>
        <v>3.2119364255507041</v>
      </c>
      <c r="AQ87" s="272">
        <f t="shared" si="13"/>
        <v>3</v>
      </c>
      <c r="AR87" s="272">
        <f t="shared" si="19"/>
        <v>4.2199852014533938</v>
      </c>
      <c r="AS87" s="272">
        <f t="shared" si="13"/>
        <v>4</v>
      </c>
      <c r="AT87" s="508">
        <f t="shared" si="20"/>
        <v>3.2119364255507041</v>
      </c>
    </row>
    <row r="88" spans="1:54" ht="12.75" customHeight="1">
      <c r="B88" s="481" t="s">
        <v>565</v>
      </c>
      <c r="C88" s="96">
        <f>(E86-C86)/C87</f>
        <v>1.5E-3</v>
      </c>
      <c r="F88" s="96" t="s">
        <v>635</v>
      </c>
      <c r="G88" s="96">
        <f>MAX(F93:F1092)</f>
        <v>3.2057712852183653</v>
      </c>
      <c r="I88" s="96" t="s">
        <v>180</v>
      </c>
      <c r="J88" s="96">
        <f>VLOOKUP(G88,F92:J1096,5,FALSE)</f>
        <v>0.42900000000000033</v>
      </c>
      <c r="L88" s="96">
        <f t="shared" si="21"/>
        <v>22</v>
      </c>
      <c r="M88" s="96">
        <f t="shared" si="21"/>
        <v>1.3</v>
      </c>
      <c r="N88" s="96">
        <f t="shared" si="22"/>
        <v>7</v>
      </c>
      <c r="O88" s="516">
        <v>22</v>
      </c>
      <c r="P88" s="272">
        <f t="shared" si="3"/>
        <v>1.3</v>
      </c>
      <c r="Q88" s="272">
        <f t="shared" si="4"/>
        <v>3</v>
      </c>
      <c r="R88" s="272">
        <f t="shared" si="23"/>
        <v>4</v>
      </c>
      <c r="S88" s="272" t="e">
        <f t="shared" si="5"/>
        <v>#N/A</v>
      </c>
      <c r="T88" s="272">
        <f t="shared" si="6"/>
        <v>3</v>
      </c>
      <c r="U88" s="272">
        <f t="shared" si="24"/>
        <v>4</v>
      </c>
      <c r="V88" s="508" t="e">
        <f t="shared" si="7"/>
        <v>#N/A</v>
      </c>
      <c r="W88" s="272" t="e">
        <f t="shared" si="25"/>
        <v>#N/A</v>
      </c>
      <c r="X88" s="272" t="e">
        <f t="shared" si="26"/>
        <v>#N/A</v>
      </c>
      <c r="Y88" s="516">
        <f t="shared" si="8"/>
        <v>3</v>
      </c>
      <c r="Z88" s="517">
        <v>1.3</v>
      </c>
      <c r="AA88" s="272">
        <f t="shared" si="27"/>
        <v>4</v>
      </c>
      <c r="AB88" s="519">
        <f t="shared" si="28"/>
        <v>3</v>
      </c>
      <c r="AC88" s="272">
        <f t="shared" si="9"/>
        <v>2</v>
      </c>
      <c r="AD88" s="272">
        <f t="shared" si="10"/>
        <v>6.5725989980084272</v>
      </c>
      <c r="AE88" s="272">
        <f t="shared" si="11"/>
        <v>3</v>
      </c>
      <c r="AF88" s="272">
        <f t="shared" si="12"/>
        <v>3.5957270355579212</v>
      </c>
      <c r="AG88" s="272">
        <f t="shared" si="13"/>
        <v>3</v>
      </c>
      <c r="AH88" s="272">
        <f t="shared" si="14"/>
        <v>3.5957270355579212</v>
      </c>
      <c r="AI88" s="272">
        <f t="shared" si="13"/>
        <v>3</v>
      </c>
      <c r="AJ88" s="272">
        <f t="shared" si="15"/>
        <v>3.5957270355579212</v>
      </c>
      <c r="AK88" s="272">
        <f t="shared" si="13"/>
        <v>3</v>
      </c>
      <c r="AL88" s="272">
        <f t="shared" si="16"/>
        <v>3.5957270355579212</v>
      </c>
      <c r="AM88" s="272">
        <f t="shared" si="13"/>
        <v>3</v>
      </c>
      <c r="AN88" s="272">
        <f t="shared" si="17"/>
        <v>3.5957270355579212</v>
      </c>
      <c r="AO88" s="272">
        <f t="shared" si="13"/>
        <v>3</v>
      </c>
      <c r="AP88" s="272">
        <f t="shared" si="18"/>
        <v>3.5957270355579212</v>
      </c>
      <c r="AQ88" s="272">
        <f t="shared" si="13"/>
        <v>3</v>
      </c>
      <c r="AR88" s="272">
        <f t="shared" si="19"/>
        <v>3.5957270355579212</v>
      </c>
      <c r="AS88" s="272">
        <f t="shared" si="13"/>
        <v>3</v>
      </c>
      <c r="AT88" s="508">
        <f t="shared" si="20"/>
        <v>3.5957270355579212</v>
      </c>
    </row>
    <row r="89" spans="1:54" ht="12.75" customHeight="1">
      <c r="B89" s="1322" t="s">
        <v>21</v>
      </c>
      <c r="C89" s="1323">
        <f>IF(D68,F79,E12)</f>
        <v>0.45</v>
      </c>
      <c r="D89" s="1323" t="s">
        <v>1163</v>
      </c>
      <c r="F89" s="96" t="s">
        <v>625</v>
      </c>
      <c r="G89" s="96">
        <v>500</v>
      </c>
      <c r="L89" s="96">
        <f t="shared" si="21"/>
        <v>23</v>
      </c>
      <c r="M89" s="96">
        <f t="shared" si="21"/>
        <v>1.4</v>
      </c>
      <c r="N89" s="96">
        <f t="shared" si="22"/>
        <v>7</v>
      </c>
      <c r="O89" s="516">
        <v>23</v>
      </c>
      <c r="P89" s="272">
        <f t="shared" si="3"/>
        <v>1.4</v>
      </c>
      <c r="Q89" s="272">
        <f t="shared" si="4"/>
        <v>3</v>
      </c>
      <c r="R89" s="272">
        <f t="shared" si="23"/>
        <v>4</v>
      </c>
      <c r="S89" s="272" t="e">
        <f t="shared" si="5"/>
        <v>#N/A</v>
      </c>
      <c r="T89" s="272">
        <f t="shared" si="6"/>
        <v>3</v>
      </c>
      <c r="U89" s="272">
        <f t="shared" si="24"/>
        <v>4</v>
      </c>
      <c r="V89" s="508" t="e">
        <f t="shared" si="7"/>
        <v>#N/A</v>
      </c>
      <c r="W89" s="272" t="e">
        <f t="shared" si="25"/>
        <v>#N/A</v>
      </c>
      <c r="X89" s="272" t="e">
        <f t="shared" si="26"/>
        <v>#N/A</v>
      </c>
      <c r="Y89" s="516">
        <f t="shared" si="8"/>
        <v>3</v>
      </c>
      <c r="Z89" s="517">
        <v>1.4</v>
      </c>
      <c r="AA89" s="272">
        <f t="shared" si="27"/>
        <v>4</v>
      </c>
      <c r="AB89" s="519">
        <f t="shared" si="28"/>
        <v>3</v>
      </c>
      <c r="AC89" s="272">
        <f t="shared" si="9"/>
        <v>2</v>
      </c>
      <c r="AD89" s="272">
        <f t="shared" si="10"/>
        <v>5.6671899523644109</v>
      </c>
      <c r="AE89" s="272">
        <f t="shared" si="11"/>
        <v>3</v>
      </c>
      <c r="AF89" s="272">
        <f t="shared" si="12"/>
        <v>3.1003972908637176</v>
      </c>
      <c r="AG89" s="272">
        <f t="shared" si="13"/>
        <v>3</v>
      </c>
      <c r="AH89" s="272">
        <f t="shared" si="14"/>
        <v>3.1003972908637176</v>
      </c>
      <c r="AI89" s="272">
        <f t="shared" si="13"/>
        <v>3</v>
      </c>
      <c r="AJ89" s="272">
        <f t="shared" si="15"/>
        <v>3.1003972908637176</v>
      </c>
      <c r="AK89" s="272">
        <f t="shared" si="13"/>
        <v>3</v>
      </c>
      <c r="AL89" s="272">
        <f t="shared" si="16"/>
        <v>3.1003972908637176</v>
      </c>
      <c r="AM89" s="272">
        <f t="shared" si="13"/>
        <v>3</v>
      </c>
      <c r="AN89" s="272">
        <f t="shared" si="17"/>
        <v>3.1003972908637176</v>
      </c>
      <c r="AO89" s="272">
        <f t="shared" si="13"/>
        <v>3</v>
      </c>
      <c r="AP89" s="272">
        <f t="shared" si="18"/>
        <v>3.1003972908637176</v>
      </c>
      <c r="AQ89" s="272">
        <f t="shared" si="13"/>
        <v>3</v>
      </c>
      <c r="AR89" s="272">
        <f t="shared" si="19"/>
        <v>3.1003972908637176</v>
      </c>
      <c r="AS89" s="272">
        <f t="shared" si="13"/>
        <v>3</v>
      </c>
      <c r="AT89" s="508">
        <f t="shared" si="20"/>
        <v>3.1003972908637176</v>
      </c>
    </row>
    <row r="90" spans="1:54" ht="12.75" customHeight="1">
      <c r="F90" s="96">
        <v>0.15</v>
      </c>
      <c r="G90" s="96">
        <f>N65/G89</f>
        <v>0.11600000000000001</v>
      </c>
      <c r="H90" s="612"/>
      <c r="I90" s="612"/>
      <c r="J90" s="1319">
        <f>VLOOKUP(1,I92:J1096,2,FALSE)</f>
        <v>0.33150000000000024</v>
      </c>
      <c r="K90" s="612"/>
      <c r="L90" s="96">
        <f t="shared" si="21"/>
        <v>24</v>
      </c>
      <c r="M90" s="96">
        <f t="shared" si="21"/>
        <v>1.5</v>
      </c>
      <c r="N90" s="96">
        <f t="shared" si="22"/>
        <v>6</v>
      </c>
      <c r="O90" s="516">
        <v>24</v>
      </c>
      <c r="P90" s="272">
        <f t="shared" si="3"/>
        <v>1.5</v>
      </c>
      <c r="Q90" s="272">
        <f t="shared" si="4"/>
        <v>3</v>
      </c>
      <c r="R90" s="272">
        <f t="shared" si="23"/>
        <v>4</v>
      </c>
      <c r="S90" s="272" t="e">
        <f t="shared" si="5"/>
        <v>#N/A</v>
      </c>
      <c r="T90" s="272">
        <f t="shared" si="6"/>
        <v>3</v>
      </c>
      <c r="U90" s="272">
        <f t="shared" si="24"/>
        <v>4</v>
      </c>
      <c r="V90" s="508" t="e">
        <f t="shared" si="7"/>
        <v>#N/A</v>
      </c>
      <c r="W90" s="272" t="e">
        <f t="shared" si="25"/>
        <v>#N/A</v>
      </c>
      <c r="X90" s="272" t="e">
        <f t="shared" si="26"/>
        <v>#N/A</v>
      </c>
      <c r="Y90" s="516">
        <f t="shared" si="8"/>
        <v>3</v>
      </c>
      <c r="Z90" s="517">
        <v>1.5</v>
      </c>
      <c r="AA90" s="272">
        <f t="shared" si="27"/>
        <v>4</v>
      </c>
      <c r="AB90" s="519">
        <f t="shared" si="28"/>
        <v>3</v>
      </c>
      <c r="AC90" s="272">
        <f t="shared" si="9"/>
        <v>2</v>
      </c>
      <c r="AD90" s="272">
        <f t="shared" si="10"/>
        <v>4.9367521362818856</v>
      </c>
      <c r="AE90" s="272">
        <f t="shared" si="11"/>
        <v>3</v>
      </c>
      <c r="AF90" s="272">
        <f t="shared" si="12"/>
        <v>3</v>
      </c>
      <c r="AG90" s="272">
        <f t="shared" si="13"/>
        <v>2</v>
      </c>
      <c r="AH90" s="272">
        <f t="shared" si="14"/>
        <v>4.9367521362818856</v>
      </c>
      <c r="AI90" s="272">
        <f t="shared" si="13"/>
        <v>3</v>
      </c>
      <c r="AJ90" s="272">
        <f t="shared" si="15"/>
        <v>3</v>
      </c>
      <c r="AK90" s="272">
        <f t="shared" si="13"/>
        <v>2</v>
      </c>
      <c r="AL90" s="272">
        <f t="shared" si="16"/>
        <v>4.9367521362818856</v>
      </c>
      <c r="AM90" s="272">
        <f t="shared" si="13"/>
        <v>3</v>
      </c>
      <c r="AN90" s="272">
        <f t="shared" si="17"/>
        <v>3</v>
      </c>
      <c r="AO90" s="272">
        <f t="shared" si="13"/>
        <v>2</v>
      </c>
      <c r="AP90" s="272">
        <f t="shared" si="18"/>
        <v>4.9367521362818856</v>
      </c>
      <c r="AQ90" s="272">
        <f t="shared" si="13"/>
        <v>3</v>
      </c>
      <c r="AR90" s="272">
        <f t="shared" si="19"/>
        <v>3</v>
      </c>
      <c r="AS90" s="272">
        <f t="shared" si="13"/>
        <v>2</v>
      </c>
      <c r="AT90" s="508">
        <f t="shared" si="20"/>
        <v>4.9367521362818856</v>
      </c>
      <c r="BB90" s="534"/>
    </row>
    <row r="91" spans="1:54" ht="12.75" customHeight="1" thickBot="1">
      <c r="B91" s="96" t="s">
        <v>566</v>
      </c>
      <c r="C91" s="576" t="s">
        <v>1280</v>
      </c>
      <c r="D91" s="577" t="s">
        <v>561</v>
      </c>
      <c r="E91" s="574" t="s">
        <v>559</v>
      </c>
      <c r="F91" s="575" t="s">
        <v>560</v>
      </c>
      <c r="G91" s="574" t="s">
        <v>1275</v>
      </c>
      <c r="I91" s="520" t="s">
        <v>178</v>
      </c>
      <c r="J91" s="520" t="s">
        <v>1184</v>
      </c>
      <c r="L91" s="96">
        <f t="shared" si="21"/>
        <v>25</v>
      </c>
      <c r="M91" s="96">
        <f t="shared" si="21"/>
        <v>1.6</v>
      </c>
      <c r="N91" s="96">
        <f t="shared" si="22"/>
        <v>6</v>
      </c>
      <c r="O91" s="516">
        <v>25</v>
      </c>
      <c r="P91" s="272">
        <f t="shared" si="3"/>
        <v>1.6</v>
      </c>
      <c r="Q91" s="272">
        <f t="shared" si="4"/>
        <v>3</v>
      </c>
      <c r="R91" s="272">
        <f t="shared" si="23"/>
        <v>4</v>
      </c>
      <c r="S91" s="272" t="e">
        <f t="shared" si="5"/>
        <v>#N/A</v>
      </c>
      <c r="T91" s="272">
        <f t="shared" si="6"/>
        <v>3</v>
      </c>
      <c r="U91" s="272">
        <f t="shared" si="24"/>
        <v>4</v>
      </c>
      <c r="V91" s="508" t="e">
        <f t="shared" si="7"/>
        <v>#N/A</v>
      </c>
      <c r="W91" s="272" t="e">
        <f t="shared" si="25"/>
        <v>#N/A</v>
      </c>
      <c r="X91" s="272" t="e">
        <f t="shared" si="26"/>
        <v>#N/A</v>
      </c>
      <c r="Y91" s="516">
        <f t="shared" si="8"/>
        <v>3</v>
      </c>
      <c r="Z91" s="517">
        <v>1.6</v>
      </c>
      <c r="AA91" s="272">
        <f t="shared" si="27"/>
        <v>4</v>
      </c>
      <c r="AB91" s="519">
        <f t="shared" si="28"/>
        <v>3</v>
      </c>
      <c r="AC91" s="272">
        <f t="shared" si="9"/>
        <v>2</v>
      </c>
      <c r="AD91" s="272">
        <f t="shared" si="10"/>
        <v>4.3389423072790008</v>
      </c>
      <c r="AE91" s="272">
        <f t="shared" si="11"/>
        <v>3</v>
      </c>
      <c r="AF91" s="272">
        <f t="shared" si="12"/>
        <v>3</v>
      </c>
      <c r="AG91" s="272">
        <f t="shared" si="13"/>
        <v>2</v>
      </c>
      <c r="AH91" s="272">
        <f t="shared" si="14"/>
        <v>4.3389423072790008</v>
      </c>
      <c r="AI91" s="272">
        <f t="shared" si="13"/>
        <v>3</v>
      </c>
      <c r="AJ91" s="272">
        <f t="shared" si="15"/>
        <v>3</v>
      </c>
      <c r="AK91" s="272">
        <f t="shared" si="13"/>
        <v>2</v>
      </c>
      <c r="AL91" s="272">
        <f t="shared" si="16"/>
        <v>4.3389423072790008</v>
      </c>
      <c r="AM91" s="272">
        <f t="shared" si="13"/>
        <v>3</v>
      </c>
      <c r="AN91" s="272">
        <f t="shared" si="17"/>
        <v>3</v>
      </c>
      <c r="AO91" s="272">
        <f t="shared" si="13"/>
        <v>2</v>
      </c>
      <c r="AP91" s="272">
        <f t="shared" si="18"/>
        <v>4.3389423072790008</v>
      </c>
      <c r="AQ91" s="272">
        <f t="shared" si="13"/>
        <v>3</v>
      </c>
      <c r="AR91" s="272">
        <f t="shared" si="19"/>
        <v>3</v>
      </c>
      <c r="AS91" s="272">
        <f t="shared" si="13"/>
        <v>2</v>
      </c>
      <c r="AT91" s="508">
        <f t="shared" si="20"/>
        <v>4.3389423072790008</v>
      </c>
      <c r="BB91" s="534"/>
    </row>
    <row r="92" spans="1:54" ht="12.75" customHeight="1">
      <c r="B92" s="96">
        <v>0</v>
      </c>
      <c r="C92" s="96">
        <f>C86</f>
        <v>0</v>
      </c>
      <c r="D92" s="96">
        <f>C92^2/$C$96</f>
        <v>0</v>
      </c>
      <c r="E92" s="96">
        <f>CHIDIST(D92,$E$85)</f>
        <v>1</v>
      </c>
      <c r="I92" s="96">
        <f>IF(F92&gt;$G$87,1,0)</f>
        <v>0</v>
      </c>
      <c r="J92" s="96">
        <f>C92</f>
        <v>0</v>
      </c>
      <c r="L92" s="96">
        <f t="shared" si="21"/>
        <v>26</v>
      </c>
      <c r="M92" s="96">
        <f t="shared" si="21"/>
        <v>1.7</v>
      </c>
      <c r="N92" s="96">
        <f t="shared" si="22"/>
        <v>6</v>
      </c>
      <c r="O92" s="516">
        <v>26</v>
      </c>
      <c r="P92" s="272">
        <f t="shared" si="3"/>
        <v>1.7</v>
      </c>
      <c r="Q92" s="272">
        <f t="shared" si="4"/>
        <v>3</v>
      </c>
      <c r="R92" s="272">
        <f t="shared" si="23"/>
        <v>4</v>
      </c>
      <c r="S92" s="272" t="e">
        <f t="shared" si="5"/>
        <v>#N/A</v>
      </c>
      <c r="T92" s="272">
        <f t="shared" si="6"/>
        <v>3</v>
      </c>
      <c r="U92" s="272">
        <f t="shared" si="24"/>
        <v>4</v>
      </c>
      <c r="V92" s="508" t="e">
        <f t="shared" si="7"/>
        <v>#N/A</v>
      </c>
      <c r="W92" s="272" t="e">
        <f t="shared" si="25"/>
        <v>#N/A</v>
      </c>
      <c r="X92" s="272" t="e">
        <f t="shared" si="26"/>
        <v>#N/A</v>
      </c>
      <c r="Y92" s="516">
        <f t="shared" si="8"/>
        <v>3</v>
      </c>
      <c r="Z92" s="517">
        <v>1.7</v>
      </c>
      <c r="AA92" s="272">
        <f t="shared" si="27"/>
        <v>4</v>
      </c>
      <c r="AB92" s="519">
        <f t="shared" si="28"/>
        <v>3</v>
      </c>
      <c r="AC92" s="272">
        <f t="shared" si="9"/>
        <v>2</v>
      </c>
      <c r="AD92" s="272">
        <f t="shared" si="10"/>
        <v>3.8434921476243065</v>
      </c>
      <c r="AE92" s="272">
        <f t="shared" si="11"/>
        <v>3</v>
      </c>
      <c r="AF92" s="272">
        <f t="shared" si="12"/>
        <v>3</v>
      </c>
      <c r="AG92" s="272">
        <f t="shared" si="13"/>
        <v>2</v>
      </c>
      <c r="AH92" s="272">
        <f t="shared" si="14"/>
        <v>3.8434921476243065</v>
      </c>
      <c r="AI92" s="272">
        <f t="shared" si="13"/>
        <v>3</v>
      </c>
      <c r="AJ92" s="272">
        <f t="shared" si="15"/>
        <v>3</v>
      </c>
      <c r="AK92" s="272">
        <f t="shared" si="13"/>
        <v>2</v>
      </c>
      <c r="AL92" s="272">
        <f t="shared" si="16"/>
        <v>3.8434921476243065</v>
      </c>
      <c r="AM92" s="272">
        <f t="shared" si="13"/>
        <v>3</v>
      </c>
      <c r="AN92" s="272">
        <f t="shared" si="17"/>
        <v>3</v>
      </c>
      <c r="AO92" s="272">
        <f t="shared" si="13"/>
        <v>2</v>
      </c>
      <c r="AP92" s="272">
        <f t="shared" si="18"/>
        <v>3.8434921476243065</v>
      </c>
      <c r="AQ92" s="272">
        <f t="shared" si="13"/>
        <v>3</v>
      </c>
      <c r="AR92" s="272">
        <f t="shared" si="19"/>
        <v>3</v>
      </c>
      <c r="AS92" s="272">
        <f t="shared" si="13"/>
        <v>2</v>
      </c>
      <c r="AT92" s="508">
        <f t="shared" si="20"/>
        <v>3.8434921476243065</v>
      </c>
      <c r="BB92" s="534"/>
    </row>
    <row r="93" spans="1:54" ht="12.75" customHeight="1">
      <c r="A93" s="96">
        <f>IF(MAX($F$93:F93)=$G$88,$G$88,F93)</f>
        <v>0</v>
      </c>
      <c r="B93" s="96">
        <v>1</v>
      </c>
      <c r="C93" s="96">
        <f>C92+$C$88</f>
        <v>1.5E-3</v>
      </c>
      <c r="D93" s="96">
        <f>C93^2/$C$85</f>
        <v>1.462335159224451E-4</v>
      </c>
      <c r="E93" s="96">
        <f>CHIDIST(D93,$E$85)</f>
        <v>1</v>
      </c>
      <c r="F93" s="96">
        <f t="shared" ref="F93:F156" si="29">IF($E$12&lt;$F$90,NA(),$E$87*(E92-E94)/(2*$C$88))</f>
        <v>0</v>
      </c>
      <c r="G93" s="96">
        <f>F93-$G$90</f>
        <v>-0.11600000000000001</v>
      </c>
      <c r="I93" s="96">
        <f t="shared" ref="I93:I107" si="30">IF(F93&gt;$G$87,1,0)</f>
        <v>0</v>
      </c>
      <c r="J93" s="96">
        <f t="shared" ref="J93:J107" si="31">C93</f>
        <v>1.5E-3</v>
      </c>
      <c r="L93" s="96">
        <f t="shared" si="21"/>
        <v>27</v>
      </c>
      <c r="M93" s="96">
        <f t="shared" si="21"/>
        <v>1.8</v>
      </c>
      <c r="N93" s="96">
        <f t="shared" si="22"/>
        <v>5</v>
      </c>
      <c r="O93" s="516">
        <v>27</v>
      </c>
      <c r="P93" s="272">
        <f t="shared" si="3"/>
        <v>1.8</v>
      </c>
      <c r="Q93" s="272">
        <f t="shared" si="4"/>
        <v>3</v>
      </c>
      <c r="R93" s="272">
        <f t="shared" si="23"/>
        <v>4</v>
      </c>
      <c r="S93" s="272" t="e">
        <f t="shared" si="5"/>
        <v>#N/A</v>
      </c>
      <c r="T93" s="272">
        <f t="shared" si="6"/>
        <v>3</v>
      </c>
      <c r="U93" s="272">
        <f t="shared" si="24"/>
        <v>4</v>
      </c>
      <c r="V93" s="508" t="e">
        <f t="shared" si="7"/>
        <v>#N/A</v>
      </c>
      <c r="W93" s="272" t="e">
        <f t="shared" si="25"/>
        <v>#N/A</v>
      </c>
      <c r="X93" s="272" t="e">
        <f t="shared" si="26"/>
        <v>#N/A</v>
      </c>
      <c r="Y93" s="516">
        <f t="shared" si="8"/>
        <v>3</v>
      </c>
      <c r="Z93" s="517">
        <v>1.8</v>
      </c>
      <c r="AA93" s="272">
        <f t="shared" si="27"/>
        <v>4</v>
      </c>
      <c r="AB93" s="519">
        <f t="shared" si="28"/>
        <v>3</v>
      </c>
      <c r="AC93" s="272">
        <f t="shared" si="9"/>
        <v>2</v>
      </c>
      <c r="AD93" s="272">
        <f t="shared" si="10"/>
        <v>3.4283000946401989</v>
      </c>
      <c r="AE93" s="272">
        <f>MAX(MIN(ROUNDUP(AD93,0)-1,AC93+1),AC93-1)</f>
        <v>3</v>
      </c>
      <c r="AF93" s="272">
        <f t="shared" si="12"/>
        <v>3</v>
      </c>
      <c r="AG93" s="272">
        <f>MAX(MIN(ROUNDUP(AF93,0)-1,AE93+1),AE93-1)</f>
        <v>2</v>
      </c>
      <c r="AH93" s="272">
        <f t="shared" si="14"/>
        <v>3.4283000946401989</v>
      </c>
      <c r="AI93" s="272">
        <f>MAX(MIN(ROUNDUP(AH93,0)-1,AG93+1),AG93-1)</f>
        <v>3</v>
      </c>
      <c r="AJ93" s="272">
        <f t="shared" si="15"/>
        <v>3</v>
      </c>
      <c r="AK93" s="272">
        <f>MAX(MIN(ROUNDUP(AJ93,0)-1,AI93+1),AI93-1)</f>
        <v>2</v>
      </c>
      <c r="AL93" s="272">
        <f t="shared" si="16"/>
        <v>3.4283000946401989</v>
      </c>
      <c r="AM93" s="272">
        <f>MAX(MIN(ROUNDUP(AL93,0)-1,AK93+1),AK93-1)</f>
        <v>3</v>
      </c>
      <c r="AN93" s="272">
        <f t="shared" si="17"/>
        <v>3</v>
      </c>
      <c r="AO93" s="272">
        <f>MAX(MIN(ROUNDUP(AN93,0)-1,AM93+1),AM93-1)</f>
        <v>2</v>
      </c>
      <c r="AP93" s="272">
        <f t="shared" si="18"/>
        <v>3.4283000946401989</v>
      </c>
      <c r="AQ93" s="272">
        <f>MAX(MIN(ROUNDUP(AP93,0)-1,AO93+1),AO93-1)</f>
        <v>3</v>
      </c>
      <c r="AR93" s="272">
        <f t="shared" si="19"/>
        <v>3</v>
      </c>
      <c r="AS93" s="272">
        <f>MAX(MIN(ROUNDUP(AR93,0)-1,AQ93+1),AQ93-1)</f>
        <v>2</v>
      </c>
      <c r="AT93" s="508">
        <f t="shared" si="20"/>
        <v>3.4283000946401989</v>
      </c>
      <c r="BB93" s="534"/>
    </row>
    <row r="94" spans="1:54" ht="12.75" customHeight="1">
      <c r="A94" s="96">
        <f>IF(MAX($F$93:F94)=$G$88,$G$88,F94)</f>
        <v>0</v>
      </c>
      <c r="B94" s="96">
        <v>2</v>
      </c>
      <c r="C94" s="96">
        <f t="shared" ref="C94:C104" si="32">C93+$C$88</f>
        <v>3.0000000000000001E-3</v>
      </c>
      <c r="D94" s="96">
        <f t="shared" ref="D94:D157" si="33">C94^2/$C$85</f>
        <v>5.849340636897804E-4</v>
      </c>
      <c r="E94" s="96">
        <f t="shared" ref="E94:E157" si="34">CHIDIST(D94,$E$85)</f>
        <v>1</v>
      </c>
      <c r="F94" s="96">
        <f t="shared" si="29"/>
        <v>0</v>
      </c>
      <c r="G94" s="96">
        <f t="shared" ref="G94:G157" si="35">F94-$G$90</f>
        <v>-0.11600000000000001</v>
      </c>
      <c r="I94" s="96">
        <f t="shared" si="30"/>
        <v>0</v>
      </c>
      <c r="J94" s="96">
        <f t="shared" si="31"/>
        <v>3.0000000000000001E-3</v>
      </c>
      <c r="L94" s="96">
        <f t="shared" si="21"/>
        <v>28</v>
      </c>
      <c r="M94" s="96">
        <f t="shared" si="21"/>
        <v>1.9</v>
      </c>
      <c r="N94" s="96">
        <f t="shared" si="22"/>
        <v>5</v>
      </c>
      <c r="O94" s="516">
        <v>28</v>
      </c>
      <c r="P94" s="272">
        <f t="shared" si="3"/>
        <v>1.9</v>
      </c>
      <c r="Q94" s="272">
        <f t="shared" si="4"/>
        <v>3</v>
      </c>
      <c r="R94" s="272">
        <f t="shared" si="23"/>
        <v>4</v>
      </c>
      <c r="S94" s="272" t="e">
        <f t="shared" si="5"/>
        <v>#N/A</v>
      </c>
      <c r="T94" s="272">
        <f t="shared" si="6"/>
        <v>3</v>
      </c>
      <c r="U94" s="272">
        <f t="shared" si="24"/>
        <v>4</v>
      </c>
      <c r="V94" s="508" t="e">
        <f t="shared" si="7"/>
        <v>#N/A</v>
      </c>
      <c r="W94" s="272" t="e">
        <f t="shared" si="25"/>
        <v>#N/A</v>
      </c>
      <c r="X94" s="272" t="e">
        <f t="shared" si="26"/>
        <v>#N/A</v>
      </c>
      <c r="Y94" s="516">
        <f t="shared" si="8"/>
        <v>3</v>
      </c>
      <c r="Z94" s="517">
        <v>1.9</v>
      </c>
      <c r="AA94" s="272">
        <f t="shared" si="27"/>
        <v>4</v>
      </c>
      <c r="AB94" s="519">
        <f t="shared" si="28"/>
        <v>3</v>
      </c>
      <c r="AC94" s="272">
        <f t="shared" si="9"/>
        <v>2</v>
      </c>
      <c r="AD94" s="272">
        <f t="shared" si="10"/>
        <v>3.076923076629984</v>
      </c>
      <c r="AE94" s="272">
        <f>MAX(MIN(ROUNDUP(AD94,0)-1,AC94+1),AC94-1)</f>
        <v>3</v>
      </c>
      <c r="AF94" s="272">
        <f t="shared" si="12"/>
        <v>3</v>
      </c>
      <c r="AG94" s="272">
        <f>MAX(MIN(ROUNDUP(AF94,0)-1,AE94+1),AE94-1)</f>
        <v>2</v>
      </c>
      <c r="AH94" s="272">
        <f t="shared" si="14"/>
        <v>3.076923076629984</v>
      </c>
      <c r="AI94" s="272">
        <f>MAX(MIN(ROUNDUP(AH94,0)-1,AG94+1),AG94-1)</f>
        <v>3</v>
      </c>
      <c r="AJ94" s="272">
        <f t="shared" si="15"/>
        <v>3</v>
      </c>
      <c r="AK94" s="272">
        <f>MAX(MIN(ROUNDUP(AJ94,0)-1,AI94+1),AI94-1)</f>
        <v>2</v>
      </c>
      <c r="AL94" s="272">
        <f t="shared" si="16"/>
        <v>3.076923076629984</v>
      </c>
      <c r="AM94" s="272">
        <f>MAX(MIN(ROUNDUP(AL94,0)-1,AK94+1),AK94-1)</f>
        <v>3</v>
      </c>
      <c r="AN94" s="272">
        <f t="shared" si="17"/>
        <v>3</v>
      </c>
      <c r="AO94" s="272">
        <f>MAX(MIN(ROUNDUP(AN94,0)-1,AM94+1),AM94-1)</f>
        <v>2</v>
      </c>
      <c r="AP94" s="272">
        <f t="shared" si="18"/>
        <v>3.076923076629984</v>
      </c>
      <c r="AQ94" s="272">
        <f>MAX(MIN(ROUNDUP(AP94,0)-1,AO94+1),AO94-1)</f>
        <v>3</v>
      </c>
      <c r="AR94" s="272">
        <f t="shared" si="19"/>
        <v>3</v>
      </c>
      <c r="AS94" s="272">
        <f>MAX(MIN(ROUNDUP(AR94,0)-1,AQ94+1),AQ94-1)</f>
        <v>2</v>
      </c>
      <c r="AT94" s="508">
        <f t="shared" si="20"/>
        <v>3.076923076629984</v>
      </c>
    </row>
    <row r="95" spans="1:54" ht="12.75" customHeight="1">
      <c r="A95" s="96">
        <f>IF(MAX($F$93:F95)=$G$88,$G$88,F95)</f>
        <v>0</v>
      </c>
      <c r="B95" s="96">
        <v>3</v>
      </c>
      <c r="C95" s="96">
        <f t="shared" si="32"/>
        <v>4.5000000000000005E-3</v>
      </c>
      <c r="D95" s="96">
        <f t="shared" si="33"/>
        <v>1.3161016433020061E-3</v>
      </c>
      <c r="E95" s="96">
        <f t="shared" si="34"/>
        <v>1</v>
      </c>
      <c r="F95" s="96">
        <f t="shared" si="29"/>
        <v>0</v>
      </c>
      <c r="G95" s="96">
        <f t="shared" si="35"/>
        <v>-0.11600000000000001</v>
      </c>
      <c r="I95" s="96">
        <f t="shared" si="30"/>
        <v>0</v>
      </c>
      <c r="J95" s="96">
        <f t="shared" si="31"/>
        <v>4.5000000000000005E-3</v>
      </c>
      <c r="L95" s="96">
        <f t="shared" si="21"/>
        <v>29</v>
      </c>
      <c r="M95" s="96">
        <f t="shared" si="21"/>
        <v>2</v>
      </c>
      <c r="N95" s="96">
        <f t="shared" si="22"/>
        <v>5</v>
      </c>
      <c r="O95" s="530">
        <v>29</v>
      </c>
      <c r="P95" s="273">
        <f t="shared" si="3"/>
        <v>2</v>
      </c>
      <c r="Q95" s="273">
        <f t="shared" si="4"/>
        <v>3</v>
      </c>
      <c r="R95" s="273">
        <f t="shared" si="23"/>
        <v>3</v>
      </c>
      <c r="S95" s="273" t="e">
        <f t="shared" si="5"/>
        <v>#N/A</v>
      </c>
      <c r="T95" s="273">
        <f t="shared" si="6"/>
        <v>3</v>
      </c>
      <c r="U95" s="273">
        <f t="shared" si="24"/>
        <v>3</v>
      </c>
      <c r="V95" s="533" t="e">
        <f t="shared" si="7"/>
        <v>#N/A</v>
      </c>
      <c r="W95" s="272" t="e">
        <f t="shared" si="25"/>
        <v>#N/A</v>
      </c>
      <c r="X95" s="272" t="e">
        <f t="shared" si="26"/>
        <v>#N/A</v>
      </c>
      <c r="Y95" s="516">
        <f t="shared" si="8"/>
        <v>3</v>
      </c>
      <c r="Z95" s="517">
        <v>2</v>
      </c>
      <c r="AA95" s="272">
        <f t="shared" si="27"/>
        <v>3</v>
      </c>
      <c r="AB95" s="519">
        <f t="shared" si="28"/>
        <v>3</v>
      </c>
      <c r="AC95" s="272">
        <f t="shared" si="9"/>
        <v>2</v>
      </c>
      <c r="AD95" s="272">
        <f t="shared" si="10"/>
        <v>3</v>
      </c>
      <c r="AE95" s="272">
        <f>MAX(MIN(ROUNDUP(AD95,0)-1,AC95+1),AC95-1)</f>
        <v>2</v>
      </c>
      <c r="AF95" s="272">
        <f t="shared" si="12"/>
        <v>3</v>
      </c>
      <c r="AG95" s="272">
        <f>MAX(MIN(ROUNDUP(AF95,0)-1,AE95+1),AE95-1)</f>
        <v>2</v>
      </c>
      <c r="AH95" s="272">
        <f t="shared" si="14"/>
        <v>3</v>
      </c>
      <c r="AI95" s="272">
        <f>MAX(MIN(ROUNDUP(AH95,0)-1,AG95+1),AG95-1)</f>
        <v>2</v>
      </c>
      <c r="AJ95" s="272">
        <f t="shared" si="15"/>
        <v>3</v>
      </c>
      <c r="AK95" s="272">
        <f>MAX(MIN(ROUNDUP(AJ95,0)-1,AI95+1),AI95-1)</f>
        <v>2</v>
      </c>
      <c r="AL95" s="272">
        <f t="shared" si="16"/>
        <v>3</v>
      </c>
      <c r="AM95" s="272">
        <f>MAX(MIN(ROUNDUP(AL95,0)-1,AK95+1),AK95-1)</f>
        <v>2</v>
      </c>
      <c r="AN95" s="272">
        <f t="shared" si="17"/>
        <v>3</v>
      </c>
      <c r="AO95" s="272">
        <f>MAX(MIN(ROUNDUP(AN95,0)-1,AM95+1),AM95-1)</f>
        <v>2</v>
      </c>
      <c r="AP95" s="272">
        <f t="shared" si="18"/>
        <v>3</v>
      </c>
      <c r="AQ95" s="272">
        <f>MAX(MIN(ROUNDUP(AP95,0)-1,AO95+1),AO95-1)</f>
        <v>2</v>
      </c>
      <c r="AR95" s="272">
        <f t="shared" si="19"/>
        <v>3</v>
      </c>
      <c r="AS95" s="272">
        <f>MAX(MIN(ROUNDUP(AR95,0)-1,AQ95+1),AQ95-1)</f>
        <v>2</v>
      </c>
      <c r="AT95" s="508">
        <f t="shared" si="20"/>
        <v>3</v>
      </c>
    </row>
    <row r="96" spans="1:54" ht="12.75" customHeight="1">
      <c r="A96" s="96">
        <f>IF(MAX($F$93:F96)=$G$88,$G$88,F96)</f>
        <v>0</v>
      </c>
      <c r="B96" s="96">
        <v>4</v>
      </c>
      <c r="C96" s="96">
        <f t="shared" si="32"/>
        <v>6.0000000000000001E-3</v>
      </c>
      <c r="D96" s="96">
        <f t="shared" si="33"/>
        <v>2.3397362547591216E-3</v>
      </c>
      <c r="E96" s="96">
        <f t="shared" si="34"/>
        <v>1</v>
      </c>
      <c r="F96" s="96">
        <f t="shared" si="29"/>
        <v>0</v>
      </c>
      <c r="G96" s="96">
        <f t="shared" si="35"/>
        <v>-0.11600000000000001</v>
      </c>
      <c r="I96" s="96">
        <f t="shared" si="30"/>
        <v>0</v>
      </c>
      <c r="J96" s="96">
        <f t="shared" si="31"/>
        <v>6.0000000000000001E-3</v>
      </c>
      <c r="Y96" s="488"/>
      <c r="Z96" s="488"/>
      <c r="AA96" s="488"/>
      <c r="AB96" s="535"/>
      <c r="AC96" s="537"/>
      <c r="AD96" s="537"/>
      <c r="AE96" s="537"/>
      <c r="AF96" s="537"/>
      <c r="AG96" s="537"/>
      <c r="AH96" s="537"/>
      <c r="AI96" s="537"/>
      <c r="AJ96" s="537"/>
      <c r="AK96" s="537"/>
      <c r="AL96" s="537"/>
      <c r="AM96" s="537"/>
      <c r="AN96" s="537"/>
      <c r="AO96" s="537"/>
      <c r="AP96" s="537"/>
      <c r="AQ96" s="537"/>
      <c r="AR96" s="537"/>
      <c r="AS96" s="537"/>
      <c r="AT96" s="538"/>
    </row>
    <row r="97" spans="1:53" ht="12.75" customHeight="1">
      <c r="A97" s="96">
        <f>IF(MAX($F$93:F97)=$G$88,$G$88,F97)</f>
        <v>0</v>
      </c>
      <c r="B97" s="481">
        <v>5</v>
      </c>
      <c r="C97" s="96">
        <f t="shared" si="32"/>
        <v>7.4999999999999997E-3</v>
      </c>
      <c r="D97" s="96">
        <f t="shared" si="33"/>
        <v>3.6558378980611275E-3</v>
      </c>
      <c r="E97" s="96">
        <f t="shared" si="34"/>
        <v>1</v>
      </c>
      <c r="F97" s="96">
        <f t="shared" si="29"/>
        <v>0</v>
      </c>
      <c r="G97" s="96">
        <f t="shared" si="35"/>
        <v>-0.11600000000000001</v>
      </c>
      <c r="I97" s="96">
        <f t="shared" si="30"/>
        <v>0</v>
      </c>
      <c r="J97" s="96">
        <f t="shared" si="31"/>
        <v>7.4999999999999997E-3</v>
      </c>
      <c r="L97" s="96">
        <v>0.01</v>
      </c>
      <c r="AD97" s="568"/>
    </row>
    <row r="98" spans="1:53" ht="12.75" customHeight="1">
      <c r="A98" s="96">
        <f>IF(MAX($F$93:F98)=$G$88,$G$88,F98)</f>
        <v>0</v>
      </c>
      <c r="B98" s="481">
        <v>6</v>
      </c>
      <c r="C98" s="96">
        <f t="shared" si="32"/>
        <v>8.9999999999999993E-3</v>
      </c>
      <c r="D98" s="96">
        <f t="shared" si="33"/>
        <v>5.2644065732080228E-3</v>
      </c>
      <c r="E98" s="96">
        <f t="shared" si="34"/>
        <v>1</v>
      </c>
      <c r="F98" s="96">
        <f t="shared" si="29"/>
        <v>0</v>
      </c>
      <c r="G98" s="96">
        <f t="shared" si="35"/>
        <v>-0.11600000000000001</v>
      </c>
      <c r="I98" s="96">
        <f t="shared" si="30"/>
        <v>0</v>
      </c>
      <c r="J98" s="96">
        <f t="shared" si="31"/>
        <v>8.9999999999999993E-3</v>
      </c>
      <c r="L98" s="96">
        <v>0.04</v>
      </c>
      <c r="Z98" s="539" t="s">
        <v>17</v>
      </c>
      <c r="AA98" s="540"/>
      <c r="AB98" s="540"/>
      <c r="AC98" s="540"/>
      <c r="AD98" s="540"/>
      <c r="AE98" s="540"/>
      <c r="AF98" s="540"/>
      <c r="AG98" s="540"/>
      <c r="AH98" s="540"/>
      <c r="AI98" s="540"/>
      <c r="AJ98" s="540"/>
      <c r="AK98" s="540"/>
      <c r="AL98" s="540"/>
      <c r="AM98" s="540"/>
      <c r="AN98" s="540"/>
      <c r="AO98" s="540"/>
      <c r="AP98" s="540"/>
      <c r="AQ98" s="540"/>
      <c r="AR98" s="540"/>
      <c r="AS98" s="540"/>
      <c r="AT98" s="541"/>
    </row>
    <row r="99" spans="1:53" ht="12.75" customHeight="1">
      <c r="A99" s="96">
        <f>IF(MAX($F$93:F99)=$G$88,$G$88,F99)</f>
        <v>0</v>
      </c>
      <c r="B99" s="96">
        <v>7</v>
      </c>
      <c r="C99" s="96">
        <f t="shared" si="32"/>
        <v>1.0499999999999999E-2</v>
      </c>
      <c r="D99" s="96">
        <f t="shared" si="33"/>
        <v>7.1654422801998088E-3</v>
      </c>
      <c r="E99" s="96">
        <f t="shared" si="34"/>
        <v>1</v>
      </c>
      <c r="F99" s="96">
        <f t="shared" si="29"/>
        <v>0</v>
      </c>
      <c r="G99" s="96">
        <f t="shared" si="35"/>
        <v>-0.11600000000000001</v>
      </c>
      <c r="I99" s="96">
        <f t="shared" si="30"/>
        <v>0</v>
      </c>
      <c r="J99" s="96">
        <f t="shared" si="31"/>
        <v>1.0499999999999999E-2</v>
      </c>
      <c r="L99" s="96">
        <v>1.9</v>
      </c>
      <c r="N99" s="96">
        <v>1.3</v>
      </c>
      <c r="Z99" s="510" t="s">
        <v>1192</v>
      </c>
      <c r="AA99" s="511" t="s">
        <v>1221</v>
      </c>
      <c r="AB99" s="512" t="s">
        <v>1194</v>
      </c>
      <c r="AC99" s="514" t="s">
        <v>1206</v>
      </c>
      <c r="AD99" s="514" t="s">
        <v>1196</v>
      </c>
      <c r="AE99" s="514" t="s">
        <v>1207</v>
      </c>
      <c r="AF99" s="514" t="s">
        <v>1197</v>
      </c>
      <c r="AG99" s="514" t="s">
        <v>1208</v>
      </c>
      <c r="AH99" s="514" t="s">
        <v>1198</v>
      </c>
      <c r="AI99" s="514" t="s">
        <v>1209</v>
      </c>
      <c r="AJ99" s="514" t="s">
        <v>1199</v>
      </c>
      <c r="AK99" s="514" t="s">
        <v>1210</v>
      </c>
      <c r="AL99" s="514" t="s">
        <v>1200</v>
      </c>
      <c r="AM99" s="514" t="s">
        <v>1211</v>
      </c>
      <c r="AN99" s="514" t="s">
        <v>1201</v>
      </c>
      <c r="AO99" s="514" t="s">
        <v>1212</v>
      </c>
      <c r="AP99" s="514" t="s">
        <v>1202</v>
      </c>
      <c r="AQ99" s="514" t="s">
        <v>1213</v>
      </c>
      <c r="AR99" s="514" t="s">
        <v>1203</v>
      </c>
      <c r="AS99" s="514" t="s">
        <v>1214</v>
      </c>
      <c r="AT99" s="515" t="s">
        <v>1204</v>
      </c>
    </row>
    <row r="100" spans="1:53" ht="12.75" customHeight="1">
      <c r="A100" s="96">
        <f>IF(MAX($F$93:F100)=$G$88,$G$88,F100)</f>
        <v>0</v>
      </c>
      <c r="B100" s="481">
        <v>8</v>
      </c>
      <c r="C100" s="96">
        <f t="shared" si="32"/>
        <v>1.1999999999999999E-2</v>
      </c>
      <c r="D100" s="96">
        <f t="shared" si="33"/>
        <v>9.3589450190364847E-3</v>
      </c>
      <c r="E100" s="96">
        <f t="shared" si="34"/>
        <v>1</v>
      </c>
      <c r="F100" s="96">
        <f t="shared" si="29"/>
        <v>0</v>
      </c>
      <c r="G100" s="96">
        <f t="shared" si="35"/>
        <v>-0.11600000000000001</v>
      </c>
      <c r="I100" s="96">
        <f t="shared" si="30"/>
        <v>0</v>
      </c>
      <c r="J100" s="96">
        <f t="shared" si="31"/>
        <v>1.1999999999999999E-2</v>
      </c>
      <c r="K100" s="96" t="s">
        <v>179</v>
      </c>
      <c r="Y100" s="96">
        <v>1</v>
      </c>
      <c r="Z100" s="517">
        <v>0.1</v>
      </c>
      <c r="AA100" s="272">
        <f t="shared" ref="AA100:AA128" si="36">1+MAX(AQ100,AS100)</f>
        <v>281</v>
      </c>
      <c r="AB100" s="519">
        <f>MAX(($C$72/Z100)^2*$D$65,$C$68)</f>
        <v>230.48752924164759</v>
      </c>
      <c r="AC100" s="272">
        <f t="shared" ref="AC100:AC128" si="37">ROUNDUP(AB100*IF(ISNUMBER(CHIINV($C$66,AB100)),CHIINV($C$66,AB100)/ROUNDDOWN(AB100,0),(1+NORMSINV($C$67/100)*SQRT(2/(ROUNDUP(AB100,0)-1))))-1,0)</f>
        <v>283</v>
      </c>
      <c r="AD100" s="272">
        <f t="shared" ref="AD100:AD128" si="38">MAX($D$65*(TINV(1-$C$69/100,AC100)/$Z100)^2*IF(ISNUMBER(CHIINV($C$66,AC100)),CHIINV($C$66,AC100),AC100*(1+NORMSINV($C$67/100)*SQRT(2/AC100)))/AC100,$C$68)</f>
        <v>280.33593378626551</v>
      </c>
      <c r="AE100" s="272">
        <f>MIN(ROUNDUP(AD100,0)-1,AC100+1)</f>
        <v>280</v>
      </c>
      <c r="AF100" s="272">
        <f t="shared" ref="AF100:AF128" si="39">MAX($D$65*(TINV(1-$C$69/100,AE100)/$Z100)^2*IF(ISNUMBER(CHIINV($C$66,AE100)),CHIINV($C$66,AE100),AE100*(1+NORMSINV($C$67/100)*SQRT(2/AE100)))/AE100,$C$68)</f>
        <v>280.6302928564013</v>
      </c>
      <c r="AG100" s="272">
        <f>MAX(MIN(ROUNDUP(AF100,0)-1,AE100+1),AE100-1)</f>
        <v>280</v>
      </c>
      <c r="AH100" s="272">
        <f t="shared" ref="AH100:AH128" si="40">MAX($D$65*(TINV(1-$C$69/100,AG100)/$Z100)^2*IF(ISNUMBER(CHIINV($C$66,AG100)),CHIINV($C$66,AG100),AG100*(1+NORMSINV($C$67/100)*SQRT(2/AG100)))/AG100,$C$68)</f>
        <v>280.6302928564013</v>
      </c>
      <c r="AI100" s="272">
        <f>MAX(MIN(ROUNDUP(AH100,0)-1,AG100+1),AG100-1)</f>
        <v>280</v>
      </c>
      <c r="AJ100" s="272">
        <f t="shared" ref="AJ100:AJ128" si="41">MAX($D$65*(TINV(1-$C$69/100,AI100)/$Z100)^2*IF(ISNUMBER(CHIINV($C$66,AI100)),CHIINV($C$66,AI100),AI100*(1+NORMSINV($C$67/100)*SQRT(2/AI100)))/AI100,$C$68)</f>
        <v>280.6302928564013</v>
      </c>
      <c r="AK100" s="272">
        <f>MAX(MIN(ROUNDUP(AJ100,0)-1,AI100+1),AI100-1)</f>
        <v>280</v>
      </c>
      <c r="AL100" s="272">
        <f t="shared" ref="AL100:AL128" si="42">MAX($D$65*(TINV(1-$C$69/100,AK100)/$Z100)^2*IF(ISNUMBER(CHIINV($C$66,AK100)),CHIINV($C$66,AK100),AK100*(1+NORMSINV($C$67/100)*SQRT(2/AK100)))/AK100,$C$68)</f>
        <v>280.6302928564013</v>
      </c>
      <c r="AM100" s="272">
        <f>MAX(MIN(ROUNDUP(AL100,0)-1,AK100+1),AK100-1)</f>
        <v>280</v>
      </c>
      <c r="AN100" s="272">
        <f t="shared" ref="AN100:AN128" si="43">MAX($D$65*(TINV(1-$C$69/100,AM100)/$Z100)^2*IF(ISNUMBER(CHIINV($C$66,AM100)),CHIINV($C$66,AM100),AM100*(1+NORMSINV($C$67/100)*SQRT(2/AM100)))/AM100,$C$68)</f>
        <v>280.6302928564013</v>
      </c>
      <c r="AO100" s="272">
        <f>MAX(MIN(ROUNDUP(AN100,0)-1,AM100+1),AM100-1)</f>
        <v>280</v>
      </c>
      <c r="AP100" s="272">
        <f t="shared" ref="AP100:AP128" si="44">MAX($D$65*(TINV(1-$C$69/100,AO100)/$Z100)^2*IF(ISNUMBER(CHIINV($C$66,AO100)),CHIINV($C$66,AO100),AO100*(1+NORMSINV($C$67/100)*SQRT(2/AO100)))/AO100,$C$68)</f>
        <v>280.6302928564013</v>
      </c>
      <c r="AQ100" s="272">
        <f>MAX(MIN(ROUNDUP(AP100,0)-1,AO100+1),AO100-1)</f>
        <v>280</v>
      </c>
      <c r="AR100" s="272">
        <f t="shared" ref="AR100:AR128" si="45">MAX($D$65*(TINV(1-$C$69/100,AQ100)/$Z100)^2*IF(ISNUMBER(CHIINV($C$66,AQ100)),CHIINV($C$66,AQ100),AQ100*(1+NORMSINV($C$67/100)*SQRT(2/AQ100)))/AQ100,$C$68)</f>
        <v>280.6302928564013</v>
      </c>
      <c r="AS100" s="272">
        <f>MAX(MIN(ROUNDUP(AR100,0)-1,AQ100+1),AQ100-1)</f>
        <v>280</v>
      </c>
      <c r="AT100" s="508">
        <f t="shared" ref="AT100:AT128" si="46">MAX($D$65*(TINV(1-$C$69/100,AS100)/$Z100)^2*IF(ISNUMBER(CHIINV($C$66,AS100)),CHIINV($C$66,AS100),AS100*(1+NORMSINV($C$67/100)*SQRT(2/AS100)))/AS100,$C$68)</f>
        <v>280.6302928564013</v>
      </c>
    </row>
    <row r="101" spans="1:53" ht="12.75" customHeight="1">
      <c r="A101" s="96">
        <f>IF(MAX($F$93:F101)=$G$88,$G$88,F101)</f>
        <v>0</v>
      </c>
      <c r="B101" s="481">
        <v>9</v>
      </c>
      <c r="C101" s="96">
        <f t="shared" si="32"/>
        <v>1.3499999999999998E-2</v>
      </c>
      <c r="D101" s="96">
        <f t="shared" si="33"/>
        <v>1.1844914789718051E-2</v>
      </c>
      <c r="E101" s="96">
        <f t="shared" si="34"/>
        <v>1</v>
      </c>
      <c r="F101" s="96">
        <f t="shared" si="29"/>
        <v>0</v>
      </c>
      <c r="G101" s="96">
        <f t="shared" si="35"/>
        <v>-0.11600000000000001</v>
      </c>
      <c r="I101" s="96">
        <f t="shared" si="30"/>
        <v>0</v>
      </c>
      <c r="J101" s="96">
        <f t="shared" si="31"/>
        <v>1.3499999999999998E-2</v>
      </c>
      <c r="L101" s="520" t="s">
        <v>1184</v>
      </c>
      <c r="M101" s="520" t="s">
        <v>1262</v>
      </c>
      <c r="N101" s="520" t="s">
        <v>626</v>
      </c>
      <c r="Y101" s="96">
        <v>2</v>
      </c>
      <c r="Z101" s="517">
        <v>0.15</v>
      </c>
      <c r="AA101" s="272">
        <f t="shared" si="36"/>
        <v>137</v>
      </c>
      <c r="AB101" s="519">
        <f t="shared" ref="AB101:AB128" si="47">MAX(($C$72/Z101)^2*$D$65,$C$68)</f>
        <v>102.43890188517676</v>
      </c>
      <c r="AC101" s="272">
        <f t="shared" si="37"/>
        <v>138</v>
      </c>
      <c r="AD101" s="272">
        <f t="shared" si="38"/>
        <v>135.65895707030799</v>
      </c>
      <c r="AE101" s="272">
        <f t="shared" ref="AE101:AE128" si="48">MIN(ROUNDUP(AD101,0)-1,AC101+1)</f>
        <v>135</v>
      </c>
      <c r="AF101" s="272">
        <f t="shared" si="39"/>
        <v>136.08372971096659</v>
      </c>
      <c r="AG101" s="272">
        <f>MAX(MIN(ROUNDUP(AF101,0)-1,AE101+1),AE101-1)</f>
        <v>136</v>
      </c>
      <c r="AH101" s="272">
        <f t="shared" si="40"/>
        <v>135.94041773787535</v>
      </c>
      <c r="AI101" s="272">
        <f>MAX(MIN(ROUNDUP(AH101,0)-1,AG101+1),AG101-1)</f>
        <v>135</v>
      </c>
      <c r="AJ101" s="272">
        <f t="shared" si="41"/>
        <v>136.08372971096659</v>
      </c>
      <c r="AK101" s="272">
        <f>MAX(MIN(ROUNDUP(AJ101,0)-1,AI101+1),AI101-1)</f>
        <v>136</v>
      </c>
      <c r="AL101" s="272">
        <f t="shared" si="42"/>
        <v>135.94041773787535</v>
      </c>
      <c r="AM101" s="272">
        <f>MAX(MIN(ROUNDUP(AL101,0)-1,AK101+1),AK101-1)</f>
        <v>135</v>
      </c>
      <c r="AN101" s="272">
        <f t="shared" si="43"/>
        <v>136.08372971096659</v>
      </c>
      <c r="AO101" s="272">
        <f>MAX(MIN(ROUNDUP(AN101,0)-1,AM101+1),AM101-1)</f>
        <v>136</v>
      </c>
      <c r="AP101" s="272">
        <f t="shared" si="44"/>
        <v>135.94041773787535</v>
      </c>
      <c r="AQ101" s="272">
        <f>MAX(MIN(ROUNDUP(AP101,0)-1,AO101+1),AO101-1)</f>
        <v>135</v>
      </c>
      <c r="AR101" s="272">
        <f t="shared" si="45"/>
        <v>136.08372971096659</v>
      </c>
      <c r="AS101" s="272">
        <f>MAX(MIN(ROUNDUP(AR101,0)-1,AQ101+1),AQ101-1)</f>
        <v>136</v>
      </c>
      <c r="AT101" s="508">
        <f t="shared" si="46"/>
        <v>135.94041773787535</v>
      </c>
    </row>
    <row r="102" spans="1:53" ht="12.75" customHeight="1">
      <c r="A102" s="96">
        <f>IF(MAX($F$93:F102)=$G$88,$G$88,F102)</f>
        <v>0</v>
      </c>
      <c r="B102" s="96">
        <v>10</v>
      </c>
      <c r="C102" s="96">
        <f t="shared" si="32"/>
        <v>1.4999999999999998E-2</v>
      </c>
      <c r="D102" s="96">
        <f t="shared" si="33"/>
        <v>1.4623351592244507E-2</v>
      </c>
      <c r="E102" s="96">
        <f t="shared" si="34"/>
        <v>1</v>
      </c>
      <c r="F102" s="96">
        <f t="shared" si="29"/>
        <v>0</v>
      </c>
      <c r="G102" s="96">
        <f t="shared" si="35"/>
        <v>-0.11600000000000001</v>
      </c>
      <c r="I102" s="96">
        <f t="shared" si="30"/>
        <v>0</v>
      </c>
      <c r="J102" s="96">
        <f t="shared" si="31"/>
        <v>1.4999999999999998E-2</v>
      </c>
      <c r="L102" s="96">
        <f>MAX(L97,J88-L98-L99*(J88-J90))</f>
        <v>0.20375000000000018</v>
      </c>
      <c r="M102" s="96">
        <v>0</v>
      </c>
      <c r="N102" s="96">
        <f>N99*G88</f>
        <v>4.1675026707838754</v>
      </c>
      <c r="Y102" s="96">
        <v>3</v>
      </c>
      <c r="Z102" s="517">
        <v>0.2</v>
      </c>
      <c r="AA102" s="272">
        <f t="shared" si="36"/>
        <v>84</v>
      </c>
      <c r="AB102" s="519">
        <f t="shared" si="47"/>
        <v>57.621882310411898</v>
      </c>
      <c r="AC102" s="272">
        <f t="shared" si="37"/>
        <v>85</v>
      </c>
      <c r="AD102" s="272">
        <f t="shared" si="38"/>
        <v>82.484231024488437</v>
      </c>
      <c r="AE102" s="272">
        <f t="shared" si="48"/>
        <v>82</v>
      </c>
      <c r="AF102" s="272">
        <f t="shared" si="39"/>
        <v>83.029064757787509</v>
      </c>
      <c r="AG102" s="272">
        <f>MAX(MIN(ROUNDUP(AF102,0)-1,AE102+1),AE102-1)</f>
        <v>83</v>
      </c>
      <c r="AH102" s="272">
        <f t="shared" si="40"/>
        <v>82.843730041101978</v>
      </c>
      <c r="AI102" s="272">
        <f>MAX(MIN(ROUNDUP(AH102,0)-1,AG102+1),AG102-1)</f>
        <v>82</v>
      </c>
      <c r="AJ102" s="272">
        <f t="shared" si="41"/>
        <v>83.029064757787509</v>
      </c>
      <c r="AK102" s="272">
        <f>MAX(MIN(ROUNDUP(AJ102,0)-1,AI102+1),AI102-1)</f>
        <v>83</v>
      </c>
      <c r="AL102" s="272">
        <f t="shared" si="42"/>
        <v>82.843730041101978</v>
      </c>
      <c r="AM102" s="272">
        <f>MAX(MIN(ROUNDUP(AL102,0)-1,AK102+1),AK102-1)</f>
        <v>82</v>
      </c>
      <c r="AN102" s="272">
        <f t="shared" si="43"/>
        <v>83.029064757787509</v>
      </c>
      <c r="AO102" s="272">
        <f>MAX(MIN(ROUNDUP(AN102,0)-1,AM102+1),AM102-1)</f>
        <v>83</v>
      </c>
      <c r="AP102" s="272">
        <f t="shared" si="44"/>
        <v>82.843730041101978</v>
      </c>
      <c r="AQ102" s="272">
        <f>MAX(MIN(ROUNDUP(AP102,0)-1,AO102+1),AO102-1)</f>
        <v>82</v>
      </c>
      <c r="AR102" s="272">
        <f t="shared" si="45"/>
        <v>83.029064757787509</v>
      </c>
      <c r="AS102" s="272">
        <f>MAX(MIN(ROUNDUP(AR102,0)-1,AQ102+1),AQ102-1)</f>
        <v>83</v>
      </c>
      <c r="AT102" s="508">
        <f t="shared" si="46"/>
        <v>82.843730041101978</v>
      </c>
    </row>
    <row r="103" spans="1:53" ht="12.75" customHeight="1">
      <c r="A103" s="96">
        <f>IF(MAX($F$93:F103)=$G$88,$G$88,F103)</f>
        <v>2.5905203907920317E-14</v>
      </c>
      <c r="B103" s="481">
        <v>11</v>
      </c>
      <c r="C103" s="96">
        <f t="shared" si="32"/>
        <v>1.6499999999999997E-2</v>
      </c>
      <c r="D103" s="96">
        <f t="shared" si="33"/>
        <v>1.7694255426615853E-2</v>
      </c>
      <c r="E103" s="96">
        <f t="shared" si="34"/>
        <v>1</v>
      </c>
      <c r="F103" s="96">
        <f t="shared" si="29"/>
        <v>2.5905203907920317E-14</v>
      </c>
      <c r="G103" s="96">
        <f t="shared" si="35"/>
        <v>-0.1159999999999741</v>
      </c>
      <c r="I103" s="96">
        <f t="shared" si="30"/>
        <v>0</v>
      </c>
      <c r="J103" s="96">
        <f t="shared" si="31"/>
        <v>1.6499999999999997E-2</v>
      </c>
      <c r="Y103" s="96">
        <v>4</v>
      </c>
      <c r="Z103" s="517">
        <v>0.25</v>
      </c>
      <c r="AA103" s="272">
        <f t="shared" si="36"/>
        <v>58</v>
      </c>
      <c r="AB103" s="519">
        <f t="shared" si="47"/>
        <v>36.878004678663629</v>
      </c>
      <c r="AC103" s="272">
        <f t="shared" si="37"/>
        <v>60</v>
      </c>
      <c r="AD103" s="272">
        <f t="shared" si="38"/>
        <v>56.57967402332531</v>
      </c>
      <c r="AE103" s="272">
        <f t="shared" si="48"/>
        <v>56</v>
      </c>
      <c r="AF103" s="272">
        <f t="shared" si="39"/>
        <v>57.452085516092673</v>
      </c>
      <c r="AG103" s="272">
        <f>MAX(MIN(ROUNDUP(AF103,0)-1,AE103+1),AE103-1)</f>
        <v>57</v>
      </c>
      <c r="AH103" s="272">
        <f t="shared" si="40"/>
        <v>57.223948251961765</v>
      </c>
      <c r="AI103" s="272">
        <f>MAX(MIN(ROUNDUP(AH103,0)-1,AG103+1),AG103-1)</f>
        <v>57</v>
      </c>
      <c r="AJ103" s="272">
        <f t="shared" si="41"/>
        <v>57.223948251961765</v>
      </c>
      <c r="AK103" s="272">
        <f>MAX(MIN(ROUNDUP(AJ103,0)-1,AI103+1),AI103-1)</f>
        <v>57</v>
      </c>
      <c r="AL103" s="272">
        <f t="shared" si="42"/>
        <v>57.223948251961765</v>
      </c>
      <c r="AM103" s="272">
        <f>MAX(MIN(ROUNDUP(AL103,0)-1,AK103+1),AK103-1)</f>
        <v>57</v>
      </c>
      <c r="AN103" s="272">
        <f t="shared" si="43"/>
        <v>57.223948251961765</v>
      </c>
      <c r="AO103" s="272">
        <f>MAX(MIN(ROUNDUP(AN103,0)-1,AM103+1),AM103-1)</f>
        <v>57</v>
      </c>
      <c r="AP103" s="272">
        <f t="shared" si="44"/>
        <v>57.223948251961765</v>
      </c>
      <c r="AQ103" s="272">
        <f>MAX(MIN(ROUNDUP(AP103,0)-1,AO103+1),AO103-1)</f>
        <v>57</v>
      </c>
      <c r="AR103" s="272">
        <f t="shared" si="45"/>
        <v>57.223948251961765</v>
      </c>
      <c r="AS103" s="272">
        <f>MAX(MIN(ROUNDUP(AR103,0)-1,AQ103+1),AQ103-1)</f>
        <v>57</v>
      </c>
      <c r="AT103" s="508">
        <f t="shared" si="46"/>
        <v>57.223948251961765</v>
      </c>
    </row>
    <row r="104" spans="1:53" ht="12.75" customHeight="1">
      <c r="A104" s="96">
        <f>IF(MAX($F$93:F104)=$G$88,$G$88,F104)</f>
        <v>5.1810407815840634E-14</v>
      </c>
      <c r="B104" s="481">
        <v>12</v>
      </c>
      <c r="C104" s="96">
        <f t="shared" si="32"/>
        <v>1.7999999999999999E-2</v>
      </c>
      <c r="D104" s="96">
        <f t="shared" si="33"/>
        <v>2.1057626292832091E-2</v>
      </c>
      <c r="E104" s="96">
        <f t="shared" si="34"/>
        <v>0.99999999999999989</v>
      </c>
      <c r="F104" s="96">
        <f t="shared" si="29"/>
        <v>5.1810407815840634E-14</v>
      </c>
      <c r="G104" s="96">
        <f t="shared" si="35"/>
        <v>-0.1159999999999482</v>
      </c>
      <c r="I104" s="96">
        <f t="shared" si="30"/>
        <v>0</v>
      </c>
      <c r="J104" s="96">
        <f t="shared" si="31"/>
        <v>1.7999999999999999E-2</v>
      </c>
      <c r="Y104" s="96">
        <v>5</v>
      </c>
      <c r="Z104" s="517">
        <v>0.3</v>
      </c>
      <c r="AA104" s="272">
        <f t="shared" si="36"/>
        <v>43</v>
      </c>
      <c r="AB104" s="519">
        <f t="shared" si="47"/>
        <v>25.60972547129419</v>
      </c>
      <c r="AC104" s="272">
        <f t="shared" si="37"/>
        <v>45</v>
      </c>
      <c r="AD104" s="272">
        <f t="shared" si="38"/>
        <v>42.042629359864655</v>
      </c>
      <c r="AE104" s="272">
        <f t="shared" si="48"/>
        <v>42</v>
      </c>
      <c r="AF104" s="272">
        <f t="shared" si="39"/>
        <v>42.799217551469141</v>
      </c>
      <c r="AG104" s="272">
        <f t="shared" ref="AG104:AS128" si="49">MAX(MIN(ROUNDUP(AF104,0)-1,AE104+1),AE104-1)</f>
        <v>42</v>
      </c>
      <c r="AH104" s="272">
        <f t="shared" si="40"/>
        <v>42.799217551469141</v>
      </c>
      <c r="AI104" s="272">
        <f t="shared" si="49"/>
        <v>42</v>
      </c>
      <c r="AJ104" s="272">
        <f t="shared" si="41"/>
        <v>42.799217551469141</v>
      </c>
      <c r="AK104" s="272">
        <f t="shared" si="49"/>
        <v>42</v>
      </c>
      <c r="AL104" s="272">
        <f t="shared" si="42"/>
        <v>42.799217551469141</v>
      </c>
      <c r="AM104" s="272">
        <f t="shared" si="49"/>
        <v>42</v>
      </c>
      <c r="AN104" s="272">
        <f t="shared" si="43"/>
        <v>42.799217551469141</v>
      </c>
      <c r="AO104" s="272">
        <f t="shared" si="49"/>
        <v>42</v>
      </c>
      <c r="AP104" s="272">
        <f t="shared" si="44"/>
        <v>42.799217551469141</v>
      </c>
      <c r="AQ104" s="272">
        <f t="shared" si="49"/>
        <v>42</v>
      </c>
      <c r="AR104" s="272">
        <f t="shared" si="45"/>
        <v>42.799217551469141</v>
      </c>
      <c r="AS104" s="272">
        <f t="shared" si="49"/>
        <v>42</v>
      </c>
      <c r="AT104" s="508">
        <f t="shared" si="46"/>
        <v>42.799217551469141</v>
      </c>
    </row>
    <row r="105" spans="1:53" ht="12.75" customHeight="1">
      <c r="A105" s="96">
        <f>IF(MAX($F$93:F105)=$G$88,$G$88,F105)</f>
        <v>1.0362081563168127E-13</v>
      </c>
      <c r="B105" s="481">
        <v>13</v>
      </c>
      <c r="C105" s="96">
        <f t="shared" ref="C105:C168" si="50">C104+$C$88</f>
        <v>1.95E-2</v>
      </c>
      <c r="D105" s="96">
        <f t="shared" si="33"/>
        <v>2.4713464190893222E-2</v>
      </c>
      <c r="E105" s="96">
        <f t="shared" si="34"/>
        <v>0.99999999999999978</v>
      </c>
      <c r="F105" s="96">
        <f t="shared" si="29"/>
        <v>1.0362081563168127E-13</v>
      </c>
      <c r="G105" s="96">
        <f t="shared" si="35"/>
        <v>-0.11599999999989638</v>
      </c>
      <c r="I105" s="96">
        <f t="shared" si="30"/>
        <v>0</v>
      </c>
      <c r="J105" s="96">
        <f t="shared" si="31"/>
        <v>1.95E-2</v>
      </c>
      <c r="Y105" s="96">
        <v>6</v>
      </c>
      <c r="Z105" s="517">
        <v>0.35</v>
      </c>
      <c r="AA105" s="272">
        <f t="shared" si="36"/>
        <v>34</v>
      </c>
      <c r="AB105" s="519">
        <f t="shared" si="47"/>
        <v>18.815308509522261</v>
      </c>
      <c r="AC105" s="272">
        <f t="shared" si="37"/>
        <v>36</v>
      </c>
      <c r="AD105" s="272">
        <f t="shared" si="38"/>
        <v>32.804151595883177</v>
      </c>
      <c r="AE105" s="272">
        <f t="shared" si="48"/>
        <v>32</v>
      </c>
      <c r="AF105" s="272">
        <f t="shared" si="39"/>
        <v>33.966991468306979</v>
      </c>
      <c r="AG105" s="272">
        <f t="shared" si="49"/>
        <v>33</v>
      </c>
      <c r="AH105" s="272">
        <f t="shared" si="40"/>
        <v>33.651916539182295</v>
      </c>
      <c r="AI105" s="272">
        <f t="shared" si="49"/>
        <v>33</v>
      </c>
      <c r="AJ105" s="272">
        <f t="shared" si="41"/>
        <v>33.651916539182295</v>
      </c>
      <c r="AK105" s="272">
        <f t="shared" si="49"/>
        <v>33</v>
      </c>
      <c r="AL105" s="272">
        <f t="shared" si="42"/>
        <v>33.651916539182295</v>
      </c>
      <c r="AM105" s="272">
        <f t="shared" si="49"/>
        <v>33</v>
      </c>
      <c r="AN105" s="272">
        <f t="shared" si="43"/>
        <v>33.651916539182295</v>
      </c>
      <c r="AO105" s="272">
        <f t="shared" si="49"/>
        <v>33</v>
      </c>
      <c r="AP105" s="272">
        <f t="shared" si="44"/>
        <v>33.651916539182295</v>
      </c>
      <c r="AQ105" s="272">
        <f t="shared" si="49"/>
        <v>33</v>
      </c>
      <c r="AR105" s="272">
        <f t="shared" si="45"/>
        <v>33.651916539182295</v>
      </c>
      <c r="AS105" s="272">
        <f t="shared" si="49"/>
        <v>33</v>
      </c>
      <c r="AT105" s="508">
        <f t="shared" si="46"/>
        <v>33.651916539182295</v>
      </c>
    </row>
    <row r="106" spans="1:53" ht="12.75" customHeight="1">
      <c r="A106" s="96">
        <f>IF(MAX($F$93:F106)=$G$88,$G$88,F106)</f>
        <v>2.5905203907920321E-13</v>
      </c>
      <c r="B106" s="481">
        <v>14</v>
      </c>
      <c r="C106" s="96">
        <f t="shared" si="50"/>
        <v>2.1000000000000001E-2</v>
      </c>
      <c r="D106" s="96">
        <f t="shared" si="33"/>
        <v>2.8661769120799242E-2</v>
      </c>
      <c r="E106" s="96">
        <f t="shared" si="34"/>
        <v>0.99999999999999944</v>
      </c>
      <c r="F106" s="96">
        <f t="shared" si="29"/>
        <v>2.5905203907920321E-13</v>
      </c>
      <c r="G106" s="96">
        <f t="shared" si="35"/>
        <v>-0.11599999999974095</v>
      </c>
      <c r="I106" s="96">
        <f t="shared" si="30"/>
        <v>0</v>
      </c>
      <c r="J106" s="96">
        <f t="shared" si="31"/>
        <v>2.1000000000000001E-2</v>
      </c>
      <c r="Y106" s="96">
        <v>7</v>
      </c>
      <c r="Z106" s="517">
        <v>0.4</v>
      </c>
      <c r="AA106" s="272">
        <f t="shared" si="36"/>
        <v>28</v>
      </c>
      <c r="AB106" s="519">
        <f t="shared" si="47"/>
        <v>14.405470577602975</v>
      </c>
      <c r="AC106" s="272">
        <f t="shared" si="37"/>
        <v>29</v>
      </c>
      <c r="AD106" s="272">
        <f t="shared" si="38"/>
        <v>26.822113417168278</v>
      </c>
      <c r="AE106" s="272">
        <f t="shared" si="48"/>
        <v>26</v>
      </c>
      <c r="AF106" s="272">
        <f t="shared" si="39"/>
        <v>27.814224805424015</v>
      </c>
      <c r="AG106" s="272">
        <f t="shared" si="49"/>
        <v>27</v>
      </c>
      <c r="AH106" s="272">
        <f t="shared" si="40"/>
        <v>27.460330498819879</v>
      </c>
      <c r="AI106" s="272">
        <f t="shared" si="49"/>
        <v>27</v>
      </c>
      <c r="AJ106" s="272">
        <f t="shared" si="41"/>
        <v>27.460330498819879</v>
      </c>
      <c r="AK106" s="272">
        <f t="shared" si="49"/>
        <v>27</v>
      </c>
      <c r="AL106" s="272">
        <f t="shared" si="42"/>
        <v>27.460330498819879</v>
      </c>
      <c r="AM106" s="272">
        <f t="shared" si="49"/>
        <v>27</v>
      </c>
      <c r="AN106" s="272">
        <f t="shared" si="43"/>
        <v>27.460330498819879</v>
      </c>
      <c r="AO106" s="272">
        <f t="shared" si="49"/>
        <v>27</v>
      </c>
      <c r="AP106" s="272">
        <f t="shared" si="44"/>
        <v>27.460330498819879</v>
      </c>
      <c r="AQ106" s="272">
        <f t="shared" si="49"/>
        <v>27</v>
      </c>
      <c r="AR106" s="272">
        <f t="shared" si="45"/>
        <v>27.460330498819879</v>
      </c>
      <c r="AS106" s="272">
        <f t="shared" si="49"/>
        <v>27</v>
      </c>
      <c r="AT106" s="508">
        <f t="shared" si="46"/>
        <v>27.460330498819879</v>
      </c>
    </row>
    <row r="107" spans="1:53" ht="12.75" customHeight="1">
      <c r="A107" s="96">
        <f>IF(MAX($F$93:F107)=$G$88,$G$88,F107)</f>
        <v>5.9581968988216728E-13</v>
      </c>
      <c r="B107" s="481">
        <v>15</v>
      </c>
      <c r="C107" s="96">
        <f t="shared" si="50"/>
        <v>2.2500000000000003E-2</v>
      </c>
      <c r="D107" s="96">
        <f t="shared" si="33"/>
        <v>3.2902541082550155E-2</v>
      </c>
      <c r="E107" s="96">
        <f t="shared" si="34"/>
        <v>0.99999999999999867</v>
      </c>
      <c r="F107" s="96">
        <f t="shared" si="29"/>
        <v>5.9581968988216728E-13</v>
      </c>
      <c r="G107" s="96">
        <f t="shared" si="35"/>
        <v>-0.11599999999940419</v>
      </c>
      <c r="I107" s="96">
        <f t="shared" si="30"/>
        <v>0</v>
      </c>
      <c r="J107" s="96">
        <f t="shared" si="31"/>
        <v>2.2500000000000003E-2</v>
      </c>
      <c r="Y107" s="96">
        <v>8</v>
      </c>
      <c r="Z107" s="517">
        <v>0.45</v>
      </c>
      <c r="AA107" s="272">
        <f t="shared" si="36"/>
        <v>24</v>
      </c>
      <c r="AB107" s="519">
        <f t="shared" si="47"/>
        <v>11.382100209464079</v>
      </c>
      <c r="AC107" s="272">
        <f t="shared" si="37"/>
        <v>25</v>
      </c>
      <c r="AD107" s="272">
        <f t="shared" si="38"/>
        <v>22.277581460652581</v>
      </c>
      <c r="AE107" s="272">
        <f t="shared" si="48"/>
        <v>22</v>
      </c>
      <c r="AF107" s="272">
        <f t="shared" si="39"/>
        <v>23.337710856985993</v>
      </c>
      <c r="AG107" s="272">
        <f t="shared" si="49"/>
        <v>23</v>
      </c>
      <c r="AH107" s="272">
        <f t="shared" si="40"/>
        <v>22.95459452736424</v>
      </c>
      <c r="AI107" s="272">
        <f t="shared" si="49"/>
        <v>22</v>
      </c>
      <c r="AJ107" s="272">
        <f t="shared" si="41"/>
        <v>23.337710856985993</v>
      </c>
      <c r="AK107" s="272">
        <f t="shared" si="49"/>
        <v>23</v>
      </c>
      <c r="AL107" s="272">
        <f t="shared" si="42"/>
        <v>22.95459452736424</v>
      </c>
      <c r="AM107" s="272">
        <f t="shared" si="49"/>
        <v>22</v>
      </c>
      <c r="AN107" s="272">
        <f t="shared" si="43"/>
        <v>23.337710856985993</v>
      </c>
      <c r="AO107" s="272">
        <f t="shared" si="49"/>
        <v>23</v>
      </c>
      <c r="AP107" s="272">
        <f t="shared" si="44"/>
        <v>22.95459452736424</v>
      </c>
      <c r="AQ107" s="272">
        <f t="shared" si="49"/>
        <v>22</v>
      </c>
      <c r="AR107" s="272">
        <f t="shared" si="45"/>
        <v>23.337710856985993</v>
      </c>
      <c r="AS107" s="272">
        <f t="shared" si="49"/>
        <v>23</v>
      </c>
      <c r="AT107" s="508">
        <f t="shared" si="46"/>
        <v>22.95459452736424</v>
      </c>
    </row>
    <row r="108" spans="1:53" ht="12.75" customHeight="1">
      <c r="A108" s="96">
        <f>IF(MAX($F$93:F108)=$G$88,$G$88,F108)</f>
        <v>1.2693549914880955E-12</v>
      </c>
      <c r="B108" s="481">
        <v>16</v>
      </c>
      <c r="C108" s="96">
        <f t="shared" si="50"/>
        <v>2.4000000000000004E-2</v>
      </c>
      <c r="D108" s="96">
        <f t="shared" si="33"/>
        <v>3.7435780076145959E-2</v>
      </c>
      <c r="E108" s="96">
        <f t="shared" si="34"/>
        <v>0.99999999999999689</v>
      </c>
      <c r="F108" s="96">
        <f t="shared" si="29"/>
        <v>1.2693549914880955E-12</v>
      </c>
      <c r="G108" s="96">
        <f t="shared" si="35"/>
        <v>-0.11599999999873065</v>
      </c>
      <c r="I108" s="96">
        <f t="shared" ref="I108:I171" si="51">IF(F108&gt;$G$87,1,0)</f>
        <v>0</v>
      </c>
      <c r="J108" s="96">
        <f t="shared" ref="J108:J171" si="52">C108</f>
        <v>2.4000000000000004E-2</v>
      </c>
      <c r="Y108" s="96">
        <v>9</v>
      </c>
      <c r="Z108" s="517">
        <v>0.5</v>
      </c>
      <c r="AA108" s="272">
        <f t="shared" si="36"/>
        <v>21</v>
      </c>
      <c r="AB108" s="519">
        <f t="shared" si="47"/>
        <v>9.2195011696659073</v>
      </c>
      <c r="AC108" s="272">
        <f t="shared" si="37"/>
        <v>22</v>
      </c>
      <c r="AD108" s="272">
        <f t="shared" si="38"/>
        <v>18.903545794158656</v>
      </c>
      <c r="AE108" s="272">
        <f t="shared" si="48"/>
        <v>18</v>
      </c>
      <c r="AF108" s="272">
        <f t="shared" si="39"/>
        <v>20.483495104960515</v>
      </c>
      <c r="AG108" s="272">
        <f t="shared" si="49"/>
        <v>19</v>
      </c>
      <c r="AH108" s="272">
        <f t="shared" si="40"/>
        <v>20.026501645537092</v>
      </c>
      <c r="AI108" s="272">
        <f t="shared" si="49"/>
        <v>20</v>
      </c>
      <c r="AJ108" s="272">
        <f t="shared" si="41"/>
        <v>19.615180077720719</v>
      </c>
      <c r="AK108" s="272">
        <f t="shared" si="49"/>
        <v>19</v>
      </c>
      <c r="AL108" s="272">
        <f t="shared" si="42"/>
        <v>20.026501645537092</v>
      </c>
      <c r="AM108" s="272">
        <f t="shared" si="49"/>
        <v>20</v>
      </c>
      <c r="AN108" s="272">
        <f t="shared" si="43"/>
        <v>19.615180077720719</v>
      </c>
      <c r="AO108" s="272">
        <f t="shared" si="49"/>
        <v>19</v>
      </c>
      <c r="AP108" s="272">
        <f t="shared" si="44"/>
        <v>20.026501645537092</v>
      </c>
      <c r="AQ108" s="272">
        <f t="shared" si="49"/>
        <v>20</v>
      </c>
      <c r="AR108" s="272">
        <f t="shared" si="45"/>
        <v>19.615180077720719</v>
      </c>
      <c r="AS108" s="272">
        <f t="shared" si="49"/>
        <v>19</v>
      </c>
      <c r="AT108" s="508">
        <f t="shared" si="46"/>
        <v>20.026501645537092</v>
      </c>
    </row>
    <row r="109" spans="1:53" ht="12.75" customHeight="1">
      <c r="A109" s="96">
        <f>IF(MAX($F$93:F109)=$G$88,$G$88,F109)</f>
        <v>2.5905203907920318E-12</v>
      </c>
      <c r="B109" s="481">
        <v>17</v>
      </c>
      <c r="C109" s="96">
        <f t="shared" si="50"/>
        <v>2.5500000000000005E-2</v>
      </c>
      <c r="D109" s="96">
        <f t="shared" si="33"/>
        <v>4.226148610158665E-2</v>
      </c>
      <c r="E109" s="96">
        <f t="shared" si="34"/>
        <v>0.99999999999999323</v>
      </c>
      <c r="F109" s="96">
        <f t="shared" si="29"/>
        <v>2.5905203907920318E-12</v>
      </c>
      <c r="G109" s="96">
        <f t="shared" si="35"/>
        <v>-0.11599999999740948</v>
      </c>
      <c r="I109" s="96">
        <f t="shared" si="51"/>
        <v>0</v>
      </c>
      <c r="J109" s="96">
        <f t="shared" si="52"/>
        <v>2.5500000000000005E-2</v>
      </c>
      <c r="Y109" s="96">
        <v>10</v>
      </c>
      <c r="Z109" s="517">
        <v>0.55000000000000004</v>
      </c>
      <c r="AA109" s="272">
        <f t="shared" si="36"/>
        <v>18</v>
      </c>
      <c r="AB109" s="519">
        <f t="shared" si="47"/>
        <v>7.6194224542693432</v>
      </c>
      <c r="AC109" s="272">
        <f t="shared" si="37"/>
        <v>20</v>
      </c>
      <c r="AD109" s="272">
        <f t="shared" si="38"/>
        <v>16.210892626215472</v>
      </c>
      <c r="AE109" s="272">
        <f t="shared" si="48"/>
        <v>16</v>
      </c>
      <c r="AF109" s="272">
        <f t="shared" si="39"/>
        <v>17.827391020554991</v>
      </c>
      <c r="AG109" s="272">
        <f t="shared" si="49"/>
        <v>17</v>
      </c>
      <c r="AH109" s="272">
        <f t="shared" si="40"/>
        <v>17.351020977326446</v>
      </c>
      <c r="AI109" s="272">
        <f t="shared" si="49"/>
        <v>17</v>
      </c>
      <c r="AJ109" s="272">
        <f t="shared" si="41"/>
        <v>17.351020977326446</v>
      </c>
      <c r="AK109" s="272">
        <f t="shared" si="49"/>
        <v>17</v>
      </c>
      <c r="AL109" s="272">
        <f t="shared" si="42"/>
        <v>17.351020977326446</v>
      </c>
      <c r="AM109" s="272">
        <f t="shared" si="49"/>
        <v>17</v>
      </c>
      <c r="AN109" s="272">
        <f t="shared" si="43"/>
        <v>17.351020977326446</v>
      </c>
      <c r="AO109" s="272">
        <f t="shared" si="49"/>
        <v>17</v>
      </c>
      <c r="AP109" s="272">
        <f t="shared" si="44"/>
        <v>17.351020977326446</v>
      </c>
      <c r="AQ109" s="272">
        <f t="shared" si="49"/>
        <v>17</v>
      </c>
      <c r="AR109" s="272">
        <f t="shared" si="45"/>
        <v>17.351020977326446</v>
      </c>
      <c r="AS109" s="272">
        <f t="shared" si="49"/>
        <v>17</v>
      </c>
      <c r="AT109" s="508">
        <f t="shared" si="46"/>
        <v>17.351020977326446</v>
      </c>
    </row>
    <row r="110" spans="1:53" ht="12.75" customHeight="1">
      <c r="A110" s="96">
        <f>IF(MAX($F$93:F110)=$G$88,$G$88,F110)</f>
        <v>5.1033251698603018E-12</v>
      </c>
      <c r="B110" s="481">
        <v>18</v>
      </c>
      <c r="C110" s="96">
        <f t="shared" si="50"/>
        <v>2.7000000000000007E-2</v>
      </c>
      <c r="D110" s="96">
        <f t="shared" si="33"/>
        <v>4.7379659158872239E-2</v>
      </c>
      <c r="E110" s="96">
        <f t="shared" si="34"/>
        <v>0.99999999999998579</v>
      </c>
      <c r="F110" s="96">
        <f t="shared" si="29"/>
        <v>5.1033251698603018E-12</v>
      </c>
      <c r="G110" s="96">
        <f t="shared" si="35"/>
        <v>-0.11599999999489669</v>
      </c>
      <c r="I110" s="96">
        <f t="shared" si="51"/>
        <v>0</v>
      </c>
      <c r="J110" s="96">
        <f t="shared" si="52"/>
        <v>2.7000000000000007E-2</v>
      </c>
      <c r="Y110" s="96">
        <v>11</v>
      </c>
      <c r="Z110" s="517">
        <v>0.6</v>
      </c>
      <c r="AA110" s="272">
        <f t="shared" si="36"/>
        <v>16</v>
      </c>
      <c r="AB110" s="519">
        <f t="shared" si="47"/>
        <v>6.4024313678235476</v>
      </c>
      <c r="AC110" s="272">
        <f t="shared" si="37"/>
        <v>17</v>
      </c>
      <c r="AD110" s="272">
        <f t="shared" si="38"/>
        <v>14.579677349003477</v>
      </c>
      <c r="AE110" s="272">
        <f t="shared" si="48"/>
        <v>14</v>
      </c>
      <c r="AF110" s="272">
        <f t="shared" si="39"/>
        <v>15.958678151313199</v>
      </c>
      <c r="AG110" s="272">
        <f t="shared" si="49"/>
        <v>15</v>
      </c>
      <c r="AH110" s="272">
        <f t="shared" si="40"/>
        <v>15.435313591655463</v>
      </c>
      <c r="AI110" s="272">
        <f t="shared" si="49"/>
        <v>15</v>
      </c>
      <c r="AJ110" s="272">
        <f t="shared" si="41"/>
        <v>15.435313591655463</v>
      </c>
      <c r="AK110" s="272">
        <f t="shared" si="49"/>
        <v>15</v>
      </c>
      <c r="AL110" s="272">
        <f t="shared" si="42"/>
        <v>15.435313591655463</v>
      </c>
      <c r="AM110" s="272">
        <f t="shared" si="49"/>
        <v>15</v>
      </c>
      <c r="AN110" s="272">
        <f t="shared" si="43"/>
        <v>15.435313591655463</v>
      </c>
      <c r="AO110" s="272">
        <f t="shared" si="49"/>
        <v>15</v>
      </c>
      <c r="AP110" s="272">
        <f t="shared" si="44"/>
        <v>15.435313591655463</v>
      </c>
      <c r="AQ110" s="272">
        <f t="shared" si="49"/>
        <v>15</v>
      </c>
      <c r="AR110" s="272">
        <f t="shared" si="45"/>
        <v>15.435313591655463</v>
      </c>
      <c r="AS110" s="272">
        <f t="shared" si="49"/>
        <v>15</v>
      </c>
      <c r="AT110" s="508">
        <f t="shared" si="46"/>
        <v>15.435313591655463</v>
      </c>
    </row>
    <row r="111" spans="1:53" ht="12.75" customHeight="1">
      <c r="A111" s="96">
        <f>IF(MAX($F$93:F111)=$G$88,$G$88,F111)</f>
        <v>9.6885462615621999E-12</v>
      </c>
      <c r="B111" s="481">
        <v>19</v>
      </c>
      <c r="C111" s="96">
        <f t="shared" si="50"/>
        <v>2.8500000000000008E-2</v>
      </c>
      <c r="D111" s="96">
        <f t="shared" si="33"/>
        <v>5.2790299248002714E-2</v>
      </c>
      <c r="E111" s="96">
        <f t="shared" si="34"/>
        <v>0.99999999999997136</v>
      </c>
      <c r="F111" s="96">
        <f t="shared" si="29"/>
        <v>9.6885462615621999E-12</v>
      </c>
      <c r="G111" s="96">
        <f t="shared" si="35"/>
        <v>-0.11599999999031146</v>
      </c>
      <c r="I111" s="96">
        <f t="shared" si="51"/>
        <v>0</v>
      </c>
      <c r="J111" s="96">
        <f t="shared" si="52"/>
        <v>2.8500000000000008E-2</v>
      </c>
      <c r="Y111" s="96">
        <v>12</v>
      </c>
      <c r="Z111" s="517">
        <v>0.65</v>
      </c>
      <c r="AA111" s="272">
        <f t="shared" si="36"/>
        <v>15</v>
      </c>
      <c r="AB111" s="519">
        <f t="shared" si="47"/>
        <v>5.4553261358969847</v>
      </c>
      <c r="AC111" s="272">
        <f t="shared" si="37"/>
        <v>16</v>
      </c>
      <c r="AD111" s="272">
        <f t="shared" si="38"/>
        <v>12.763990020634049</v>
      </c>
      <c r="AE111" s="272">
        <f t="shared" si="48"/>
        <v>12</v>
      </c>
      <c r="AF111" s="272">
        <f t="shared" si="39"/>
        <v>14.728739813465806</v>
      </c>
      <c r="AG111" s="272">
        <f t="shared" si="49"/>
        <v>13</v>
      </c>
      <c r="AH111" s="272">
        <f t="shared" si="40"/>
        <v>14.116675121111737</v>
      </c>
      <c r="AI111" s="272">
        <f t="shared" si="49"/>
        <v>14</v>
      </c>
      <c r="AJ111" s="272">
        <f t="shared" si="41"/>
        <v>13.597926945497637</v>
      </c>
      <c r="AK111" s="272">
        <f t="shared" si="49"/>
        <v>13</v>
      </c>
      <c r="AL111" s="272">
        <f t="shared" si="42"/>
        <v>14.116675121111737</v>
      </c>
      <c r="AM111" s="272">
        <f t="shared" si="49"/>
        <v>14</v>
      </c>
      <c r="AN111" s="272">
        <f t="shared" si="43"/>
        <v>13.597926945497637</v>
      </c>
      <c r="AO111" s="272">
        <f t="shared" si="49"/>
        <v>13</v>
      </c>
      <c r="AP111" s="272">
        <f t="shared" si="44"/>
        <v>14.116675121111737</v>
      </c>
      <c r="AQ111" s="272">
        <f t="shared" si="49"/>
        <v>14</v>
      </c>
      <c r="AR111" s="272">
        <f t="shared" si="45"/>
        <v>13.597926945497637</v>
      </c>
      <c r="AS111" s="272">
        <f t="shared" si="49"/>
        <v>13</v>
      </c>
      <c r="AT111" s="508">
        <f t="shared" si="46"/>
        <v>14.116675121111737</v>
      </c>
      <c r="AV111" s="534"/>
      <c r="AW111" s="534"/>
      <c r="AX111" s="534"/>
      <c r="AY111" s="534"/>
      <c r="AZ111" s="534"/>
      <c r="BA111" s="534"/>
    </row>
    <row r="112" spans="1:53" ht="12.75" customHeight="1">
      <c r="A112" s="96">
        <f>IF(MAX($F$93:F112)=$G$88,$G$88,F112)</f>
        <v>1.7796875084741259E-11</v>
      </c>
      <c r="B112" s="481">
        <v>20</v>
      </c>
      <c r="C112" s="96">
        <f t="shared" si="50"/>
        <v>3.0000000000000009E-2</v>
      </c>
      <c r="D112" s="96">
        <f t="shared" si="33"/>
        <v>5.8493406368978075E-2</v>
      </c>
      <c r="E112" s="96">
        <f t="shared" si="34"/>
        <v>0.99999999999994427</v>
      </c>
      <c r="F112" s="96">
        <f t="shared" si="29"/>
        <v>1.7796875084741259E-11</v>
      </c>
      <c r="G112" s="96">
        <f t="shared" si="35"/>
        <v>-0.11599999998220313</v>
      </c>
      <c r="I112" s="96">
        <f t="shared" si="51"/>
        <v>0</v>
      </c>
      <c r="J112" s="96">
        <f t="shared" si="52"/>
        <v>3.0000000000000009E-2</v>
      </c>
      <c r="Y112" s="96">
        <v>13</v>
      </c>
      <c r="Z112" s="517">
        <v>0.7</v>
      </c>
      <c r="AA112" s="272">
        <f t="shared" si="36"/>
        <v>13</v>
      </c>
      <c r="AB112" s="519">
        <f t="shared" si="47"/>
        <v>4.7038271273805652</v>
      </c>
      <c r="AC112" s="272">
        <f t="shared" si="37"/>
        <v>15</v>
      </c>
      <c r="AD112" s="272">
        <f t="shared" si="38"/>
        <v>11.340230393869318</v>
      </c>
      <c r="AE112" s="272">
        <f t="shared" si="48"/>
        <v>11</v>
      </c>
      <c r="AF112" s="272">
        <f t="shared" si="39"/>
        <v>13.333141623724719</v>
      </c>
      <c r="AG112" s="272">
        <f t="shared" si="49"/>
        <v>12</v>
      </c>
      <c r="AH112" s="272">
        <f t="shared" si="40"/>
        <v>12.699780757529192</v>
      </c>
      <c r="AI112" s="272">
        <f t="shared" si="49"/>
        <v>12</v>
      </c>
      <c r="AJ112" s="272">
        <f t="shared" si="41"/>
        <v>12.699780757529192</v>
      </c>
      <c r="AK112" s="272">
        <f t="shared" si="49"/>
        <v>12</v>
      </c>
      <c r="AL112" s="272">
        <f t="shared" si="42"/>
        <v>12.699780757529192</v>
      </c>
      <c r="AM112" s="272">
        <f t="shared" si="49"/>
        <v>12</v>
      </c>
      <c r="AN112" s="272">
        <f t="shared" si="43"/>
        <v>12.699780757529192</v>
      </c>
      <c r="AO112" s="272">
        <f t="shared" si="49"/>
        <v>12</v>
      </c>
      <c r="AP112" s="272">
        <f t="shared" si="44"/>
        <v>12.699780757529192</v>
      </c>
      <c r="AQ112" s="272">
        <f t="shared" si="49"/>
        <v>12</v>
      </c>
      <c r="AR112" s="272">
        <f t="shared" si="45"/>
        <v>12.699780757529192</v>
      </c>
      <c r="AS112" s="272">
        <f t="shared" si="49"/>
        <v>12</v>
      </c>
      <c r="AT112" s="508">
        <f t="shared" si="46"/>
        <v>12.699780757529192</v>
      </c>
      <c r="AV112" s="534"/>
      <c r="AW112" s="534"/>
      <c r="AX112" s="534"/>
      <c r="AY112" s="534"/>
      <c r="AZ112" s="534"/>
      <c r="BA112" s="534"/>
    </row>
    <row r="113" spans="1:53" ht="12.75" customHeight="1">
      <c r="A113" s="96">
        <f>IF(MAX($F$93:F113)=$G$88,$G$88,F113)</f>
        <v>3.1682064379386546E-11</v>
      </c>
      <c r="B113" s="481">
        <v>21</v>
      </c>
      <c r="C113" s="96">
        <f t="shared" si="50"/>
        <v>3.1500000000000007E-2</v>
      </c>
      <c r="D113" s="96">
        <f t="shared" si="33"/>
        <v>6.4488980521798328E-2</v>
      </c>
      <c r="E113" s="96">
        <f t="shared" si="34"/>
        <v>0.99999999999989508</v>
      </c>
      <c r="F113" s="96">
        <f t="shared" si="29"/>
        <v>3.1682064379386546E-11</v>
      </c>
      <c r="G113" s="96">
        <f t="shared" si="35"/>
        <v>-0.11599999996831795</v>
      </c>
      <c r="I113" s="96">
        <f t="shared" si="51"/>
        <v>0</v>
      </c>
      <c r="J113" s="96">
        <f t="shared" si="52"/>
        <v>3.1500000000000007E-2</v>
      </c>
      <c r="Y113" s="96">
        <v>14</v>
      </c>
      <c r="Z113" s="517">
        <v>0.75</v>
      </c>
      <c r="AA113" s="272">
        <f t="shared" si="36"/>
        <v>12</v>
      </c>
      <c r="AB113" s="519">
        <f t="shared" si="47"/>
        <v>4.0975560754070699</v>
      </c>
      <c r="AC113" s="272">
        <f t="shared" si="37"/>
        <v>13</v>
      </c>
      <c r="AD113" s="272">
        <f t="shared" si="38"/>
        <v>10.603191535412813</v>
      </c>
      <c r="AE113" s="272">
        <f t="shared" si="48"/>
        <v>10</v>
      </c>
      <c r="AF113" s="272">
        <f t="shared" si="39"/>
        <v>12.290635839707365</v>
      </c>
      <c r="AG113" s="272">
        <f t="shared" si="49"/>
        <v>11</v>
      </c>
      <c r="AH113" s="272">
        <f t="shared" si="40"/>
        <v>11.614647814444641</v>
      </c>
      <c r="AI113" s="272">
        <f t="shared" si="49"/>
        <v>11</v>
      </c>
      <c r="AJ113" s="272">
        <f t="shared" si="41"/>
        <v>11.614647814444641</v>
      </c>
      <c r="AK113" s="272">
        <f t="shared" si="49"/>
        <v>11</v>
      </c>
      <c r="AL113" s="272">
        <f t="shared" si="42"/>
        <v>11.614647814444641</v>
      </c>
      <c r="AM113" s="272">
        <f t="shared" si="49"/>
        <v>11</v>
      </c>
      <c r="AN113" s="272">
        <f t="shared" si="43"/>
        <v>11.614647814444641</v>
      </c>
      <c r="AO113" s="272">
        <f t="shared" si="49"/>
        <v>11</v>
      </c>
      <c r="AP113" s="272">
        <f t="shared" si="44"/>
        <v>11.614647814444641</v>
      </c>
      <c r="AQ113" s="272">
        <f t="shared" si="49"/>
        <v>11</v>
      </c>
      <c r="AR113" s="272">
        <f t="shared" si="45"/>
        <v>11.614647814444641</v>
      </c>
      <c r="AS113" s="272">
        <f t="shared" si="49"/>
        <v>11</v>
      </c>
      <c r="AT113" s="508">
        <f t="shared" si="46"/>
        <v>11.614647814444641</v>
      </c>
      <c r="AV113" s="534"/>
      <c r="AW113" s="534"/>
      <c r="AX113" s="534"/>
      <c r="AY113" s="534"/>
      <c r="AZ113" s="534"/>
      <c r="BA113" s="534"/>
    </row>
    <row r="114" spans="1:53" ht="12.75" customHeight="1">
      <c r="A114" s="96">
        <f>IF(MAX($F$93:F114)=$G$88,$G$88,F114)</f>
        <v>5.4919032284791073E-11</v>
      </c>
      <c r="B114" s="481">
        <v>22</v>
      </c>
      <c r="C114" s="96">
        <f t="shared" si="50"/>
        <v>3.3000000000000008E-2</v>
      </c>
      <c r="D114" s="96">
        <f t="shared" si="33"/>
        <v>7.0777021706463467E-2</v>
      </c>
      <c r="E114" s="96">
        <f t="shared" si="34"/>
        <v>0.99999999999980849</v>
      </c>
      <c r="F114" s="96">
        <f t="shared" si="29"/>
        <v>5.4919032284791073E-11</v>
      </c>
      <c r="G114" s="96">
        <f t="shared" si="35"/>
        <v>-0.11599999994508098</v>
      </c>
      <c r="I114" s="96">
        <f t="shared" si="51"/>
        <v>0</v>
      </c>
      <c r="J114" s="96">
        <f t="shared" si="52"/>
        <v>3.3000000000000008E-2</v>
      </c>
      <c r="Y114" s="96">
        <v>15</v>
      </c>
      <c r="Z114" s="517">
        <v>0.8</v>
      </c>
      <c r="AA114" s="272">
        <f t="shared" si="36"/>
        <v>11</v>
      </c>
      <c r="AB114" s="519">
        <f t="shared" si="47"/>
        <v>3.6013676444007436</v>
      </c>
      <c r="AC114" s="272">
        <f t="shared" si="37"/>
        <v>13</v>
      </c>
      <c r="AD114" s="272">
        <f t="shared" si="38"/>
        <v>9.3192113104214194</v>
      </c>
      <c r="AE114" s="272">
        <f t="shared" si="48"/>
        <v>9</v>
      </c>
      <c r="AF114" s="272">
        <f t="shared" si="39"/>
        <v>11.549227564483603</v>
      </c>
      <c r="AG114" s="272">
        <f t="shared" si="49"/>
        <v>10</v>
      </c>
      <c r="AH114" s="272">
        <f t="shared" si="40"/>
        <v>10.802316655992801</v>
      </c>
      <c r="AI114" s="272">
        <f t="shared" si="49"/>
        <v>10</v>
      </c>
      <c r="AJ114" s="272">
        <f t="shared" si="41"/>
        <v>10.802316655992801</v>
      </c>
      <c r="AK114" s="272">
        <f t="shared" si="49"/>
        <v>10</v>
      </c>
      <c r="AL114" s="272">
        <f t="shared" si="42"/>
        <v>10.802316655992801</v>
      </c>
      <c r="AM114" s="272">
        <f t="shared" si="49"/>
        <v>10</v>
      </c>
      <c r="AN114" s="272">
        <f t="shared" si="43"/>
        <v>10.802316655992801</v>
      </c>
      <c r="AO114" s="272">
        <f t="shared" si="49"/>
        <v>10</v>
      </c>
      <c r="AP114" s="272">
        <f t="shared" si="44"/>
        <v>10.802316655992801</v>
      </c>
      <c r="AQ114" s="272">
        <f t="shared" si="49"/>
        <v>10</v>
      </c>
      <c r="AR114" s="272">
        <f t="shared" si="45"/>
        <v>10.802316655992801</v>
      </c>
      <c r="AS114" s="272">
        <f t="shared" si="49"/>
        <v>10</v>
      </c>
      <c r="AT114" s="508">
        <f t="shared" si="46"/>
        <v>10.802316655992801</v>
      </c>
      <c r="AV114" s="534"/>
      <c r="AW114" s="534"/>
      <c r="AX114" s="534"/>
      <c r="AY114" s="534"/>
      <c r="AZ114" s="534"/>
      <c r="BA114" s="534"/>
    </row>
    <row r="115" spans="1:53" ht="12.75" customHeight="1">
      <c r="A115" s="96">
        <f>IF(MAX($F$93:F115)=$G$88,$G$88,F115)</f>
        <v>9.2999682029433942E-11</v>
      </c>
      <c r="B115" s="481">
        <v>23</v>
      </c>
      <c r="C115" s="96">
        <f t="shared" si="50"/>
        <v>3.450000000000001E-2</v>
      </c>
      <c r="D115" s="96">
        <f t="shared" si="33"/>
        <v>7.7357529922973511E-2</v>
      </c>
      <c r="E115" s="96">
        <f t="shared" si="34"/>
        <v>0.99999999999965972</v>
      </c>
      <c r="F115" s="96">
        <f t="shared" si="29"/>
        <v>9.2999682029433942E-11</v>
      </c>
      <c r="G115" s="96">
        <f t="shared" si="35"/>
        <v>-0.11599999990700033</v>
      </c>
      <c r="I115" s="96">
        <f t="shared" si="51"/>
        <v>0</v>
      </c>
      <c r="J115" s="96">
        <f t="shared" si="52"/>
        <v>3.450000000000001E-2</v>
      </c>
      <c r="Y115" s="96">
        <v>16</v>
      </c>
      <c r="Z115" s="517">
        <v>0.85</v>
      </c>
      <c r="AA115" s="272">
        <f t="shared" si="36"/>
        <v>11</v>
      </c>
      <c r="AB115" s="519">
        <f t="shared" si="47"/>
        <v>3.1901388130331858</v>
      </c>
      <c r="AC115" s="272">
        <f t="shared" si="37"/>
        <v>12</v>
      </c>
      <c r="AD115" s="272">
        <f t="shared" si="38"/>
        <v>8.6130000985319075</v>
      </c>
      <c r="AE115" s="272">
        <f t="shared" si="48"/>
        <v>8</v>
      </c>
      <c r="AF115" s="272">
        <f t="shared" si="39"/>
        <v>11.089924569581253</v>
      </c>
      <c r="AG115" s="272">
        <f t="shared" si="49"/>
        <v>9</v>
      </c>
      <c r="AH115" s="272">
        <f t="shared" si="40"/>
        <v>10.230457634975098</v>
      </c>
      <c r="AI115" s="272">
        <f t="shared" si="49"/>
        <v>10</v>
      </c>
      <c r="AJ115" s="272">
        <f t="shared" si="41"/>
        <v>9.5688341312600578</v>
      </c>
      <c r="AK115" s="272">
        <f t="shared" si="49"/>
        <v>9</v>
      </c>
      <c r="AL115" s="272">
        <f t="shared" si="42"/>
        <v>10.230457634975098</v>
      </c>
      <c r="AM115" s="272">
        <f t="shared" si="49"/>
        <v>10</v>
      </c>
      <c r="AN115" s="272">
        <f t="shared" si="43"/>
        <v>9.5688341312600578</v>
      </c>
      <c r="AO115" s="272">
        <f t="shared" si="49"/>
        <v>9</v>
      </c>
      <c r="AP115" s="272">
        <f t="shared" si="44"/>
        <v>10.230457634975098</v>
      </c>
      <c r="AQ115" s="272">
        <f t="shared" si="49"/>
        <v>10</v>
      </c>
      <c r="AR115" s="272">
        <f t="shared" si="45"/>
        <v>9.5688341312600578</v>
      </c>
      <c r="AS115" s="272">
        <f t="shared" si="49"/>
        <v>9</v>
      </c>
      <c r="AT115" s="508">
        <f t="shared" si="46"/>
        <v>10.230457634975098</v>
      </c>
    </row>
    <row r="116" spans="1:53" ht="12.75" customHeight="1">
      <c r="A116" s="96">
        <f>IF(MAX($F$93:F116)=$G$88,$G$88,F116)</f>
        <v>1.5392872162086252E-10</v>
      </c>
      <c r="B116" s="481">
        <v>24</v>
      </c>
      <c r="C116" s="96">
        <f t="shared" si="50"/>
        <v>3.6000000000000011E-2</v>
      </c>
      <c r="D116" s="96">
        <f t="shared" si="33"/>
        <v>8.4230505171328421E-2</v>
      </c>
      <c r="E116" s="96">
        <f t="shared" si="34"/>
        <v>0.99999999999940992</v>
      </c>
      <c r="F116" s="96">
        <f t="shared" si="29"/>
        <v>1.5392872162086252E-10</v>
      </c>
      <c r="G116" s="96">
        <f t="shared" si="35"/>
        <v>-0.11599999984607129</v>
      </c>
      <c r="I116" s="96">
        <f t="shared" si="51"/>
        <v>0</v>
      </c>
      <c r="J116" s="96">
        <f t="shared" si="52"/>
        <v>3.6000000000000011E-2</v>
      </c>
      <c r="Y116" s="96">
        <v>17</v>
      </c>
      <c r="Z116" s="517">
        <v>0.9</v>
      </c>
      <c r="AA116" s="272">
        <f t="shared" si="36"/>
        <v>10</v>
      </c>
      <c r="AB116" s="519">
        <f t="shared" si="47"/>
        <v>3</v>
      </c>
      <c r="AC116" s="272">
        <f t="shared" si="37"/>
        <v>11</v>
      </c>
      <c r="AD116" s="272">
        <f t="shared" si="38"/>
        <v>8.0657276489198892</v>
      </c>
      <c r="AE116" s="272">
        <f t="shared" si="48"/>
        <v>8</v>
      </c>
      <c r="AF116" s="272">
        <f t="shared" si="39"/>
        <v>9.8919388907684631</v>
      </c>
      <c r="AG116" s="272">
        <f t="shared" si="49"/>
        <v>9</v>
      </c>
      <c r="AH116" s="272">
        <f t="shared" si="40"/>
        <v>9.1253156065055627</v>
      </c>
      <c r="AI116" s="272">
        <f t="shared" si="49"/>
        <v>9</v>
      </c>
      <c r="AJ116" s="272">
        <f t="shared" si="41"/>
        <v>9.1253156065055627</v>
      </c>
      <c r="AK116" s="272">
        <f t="shared" si="49"/>
        <v>9</v>
      </c>
      <c r="AL116" s="272">
        <f t="shared" si="42"/>
        <v>9.1253156065055627</v>
      </c>
      <c r="AM116" s="272">
        <f t="shared" si="49"/>
        <v>9</v>
      </c>
      <c r="AN116" s="272">
        <f t="shared" si="43"/>
        <v>9.1253156065055627</v>
      </c>
      <c r="AO116" s="272">
        <f t="shared" si="49"/>
        <v>9</v>
      </c>
      <c r="AP116" s="272">
        <f t="shared" si="44"/>
        <v>9.1253156065055627</v>
      </c>
      <c r="AQ116" s="272">
        <f t="shared" si="49"/>
        <v>9</v>
      </c>
      <c r="AR116" s="272">
        <f t="shared" si="45"/>
        <v>9.1253156065055627</v>
      </c>
      <c r="AS116" s="272">
        <f t="shared" si="49"/>
        <v>9</v>
      </c>
      <c r="AT116" s="508">
        <f t="shared" si="46"/>
        <v>9.1253156065055627</v>
      </c>
    </row>
    <row r="117" spans="1:53" ht="12.75" customHeight="1">
      <c r="A117" s="96">
        <f>IF(MAX($F$93:F117)=$G$88,$G$88,F117)</f>
        <v>2.4957073444890432E-10</v>
      </c>
      <c r="B117" s="481">
        <v>25</v>
      </c>
      <c r="C117" s="96">
        <f t="shared" si="50"/>
        <v>3.7500000000000012E-2</v>
      </c>
      <c r="D117" s="96">
        <f t="shared" si="33"/>
        <v>9.1395947451528264E-2</v>
      </c>
      <c r="E117" s="96">
        <f t="shared" si="34"/>
        <v>0.99999999999900002</v>
      </c>
      <c r="F117" s="96">
        <f t="shared" si="29"/>
        <v>2.4957073444890432E-10</v>
      </c>
      <c r="G117" s="96">
        <f t="shared" si="35"/>
        <v>-0.11599999975042927</v>
      </c>
      <c r="I117" s="96">
        <f t="shared" si="51"/>
        <v>0</v>
      </c>
      <c r="J117" s="96">
        <f t="shared" si="52"/>
        <v>3.7500000000000012E-2</v>
      </c>
      <c r="Y117" s="96">
        <v>18</v>
      </c>
      <c r="Z117" s="517">
        <v>0.95</v>
      </c>
      <c r="AA117" s="272">
        <f t="shared" si="36"/>
        <v>9</v>
      </c>
      <c r="AB117" s="519">
        <f t="shared" si="47"/>
        <v>3</v>
      </c>
      <c r="AC117" s="272">
        <f t="shared" si="37"/>
        <v>11</v>
      </c>
      <c r="AD117" s="272">
        <f t="shared" si="38"/>
        <v>7.239046421745277</v>
      </c>
      <c r="AE117" s="272">
        <f t="shared" si="48"/>
        <v>7</v>
      </c>
      <c r="AF117" s="272">
        <f t="shared" si="39"/>
        <v>9.8111957300382926</v>
      </c>
      <c r="AG117" s="272">
        <f t="shared" si="49"/>
        <v>8</v>
      </c>
      <c r="AH117" s="272">
        <f t="shared" si="40"/>
        <v>8.878083658196628</v>
      </c>
      <c r="AI117" s="272">
        <f t="shared" si="49"/>
        <v>8</v>
      </c>
      <c r="AJ117" s="272">
        <f t="shared" si="41"/>
        <v>8.878083658196628</v>
      </c>
      <c r="AK117" s="272">
        <f t="shared" si="49"/>
        <v>8</v>
      </c>
      <c r="AL117" s="272">
        <f t="shared" si="42"/>
        <v>8.878083658196628</v>
      </c>
      <c r="AM117" s="272">
        <f t="shared" si="49"/>
        <v>8</v>
      </c>
      <c r="AN117" s="272">
        <f t="shared" si="43"/>
        <v>8.878083658196628</v>
      </c>
      <c r="AO117" s="272">
        <f t="shared" si="49"/>
        <v>8</v>
      </c>
      <c r="AP117" s="272">
        <f t="shared" si="44"/>
        <v>8.878083658196628</v>
      </c>
      <c r="AQ117" s="272">
        <f t="shared" si="49"/>
        <v>8</v>
      </c>
      <c r="AR117" s="272">
        <f t="shared" si="45"/>
        <v>8.878083658196628</v>
      </c>
      <c r="AS117" s="272">
        <f t="shared" si="49"/>
        <v>8</v>
      </c>
      <c r="AT117" s="508">
        <f t="shared" si="46"/>
        <v>8.878083658196628</v>
      </c>
    </row>
    <row r="118" spans="1:53" ht="12.75" customHeight="1">
      <c r="A118" s="96">
        <f>IF(MAX($F$93:F118)=$G$88,$G$88,F118)</f>
        <v>3.9710087070451056E-10</v>
      </c>
      <c r="B118" s="481">
        <v>26</v>
      </c>
      <c r="C118" s="96">
        <f t="shared" si="50"/>
        <v>3.9000000000000014E-2</v>
      </c>
      <c r="D118" s="96">
        <f t="shared" si="33"/>
        <v>9.8853856763572959E-2</v>
      </c>
      <c r="E118" s="96">
        <f t="shared" si="34"/>
        <v>0.99999999999834033</v>
      </c>
      <c r="F118" s="96">
        <f t="shared" si="29"/>
        <v>3.9710087070451056E-10</v>
      </c>
      <c r="G118" s="96">
        <f t="shared" si="35"/>
        <v>-0.11599999960289914</v>
      </c>
      <c r="I118" s="96">
        <f t="shared" si="51"/>
        <v>0</v>
      </c>
      <c r="J118" s="96">
        <f t="shared" si="52"/>
        <v>3.9000000000000014E-2</v>
      </c>
      <c r="Y118" s="96">
        <v>19</v>
      </c>
      <c r="Z118" s="517">
        <v>1</v>
      </c>
      <c r="AA118" s="272">
        <f t="shared" si="36"/>
        <v>9</v>
      </c>
      <c r="AB118" s="519">
        <f t="shared" si="47"/>
        <v>3</v>
      </c>
      <c r="AC118" s="272">
        <f t="shared" si="37"/>
        <v>11</v>
      </c>
      <c r="AD118" s="272">
        <f t="shared" si="38"/>
        <v>6.5332393956251114</v>
      </c>
      <c r="AE118" s="272">
        <f t="shared" si="48"/>
        <v>6</v>
      </c>
      <c r="AF118" s="272">
        <f t="shared" si="39"/>
        <v>10.065915626635373</v>
      </c>
      <c r="AG118" s="272">
        <f t="shared" si="49"/>
        <v>7</v>
      </c>
      <c r="AH118" s="272">
        <f t="shared" si="40"/>
        <v>8.8546041463595593</v>
      </c>
      <c r="AI118" s="272">
        <f t="shared" si="49"/>
        <v>8</v>
      </c>
      <c r="AJ118" s="272">
        <f t="shared" si="41"/>
        <v>8.012470501522456</v>
      </c>
      <c r="AK118" s="272">
        <f t="shared" si="49"/>
        <v>8</v>
      </c>
      <c r="AL118" s="272">
        <f t="shared" si="42"/>
        <v>8.012470501522456</v>
      </c>
      <c r="AM118" s="272">
        <f t="shared" si="49"/>
        <v>8</v>
      </c>
      <c r="AN118" s="272">
        <f t="shared" si="43"/>
        <v>8.012470501522456</v>
      </c>
      <c r="AO118" s="272">
        <f t="shared" si="49"/>
        <v>8</v>
      </c>
      <c r="AP118" s="272">
        <f t="shared" si="44"/>
        <v>8.012470501522456</v>
      </c>
      <c r="AQ118" s="272">
        <f t="shared" si="49"/>
        <v>8</v>
      </c>
      <c r="AR118" s="272">
        <f t="shared" si="45"/>
        <v>8.012470501522456</v>
      </c>
      <c r="AS118" s="272">
        <f t="shared" si="49"/>
        <v>8</v>
      </c>
      <c r="AT118" s="508">
        <f t="shared" si="46"/>
        <v>8.012470501522456</v>
      </c>
    </row>
    <row r="119" spans="1:53" ht="12.75" customHeight="1">
      <c r="A119" s="96">
        <f>IF(MAX($F$93:F119)=$G$88,$G$88,F119)</f>
        <v>6.2068868563377088E-10</v>
      </c>
      <c r="B119" s="481">
        <v>27</v>
      </c>
      <c r="C119" s="96">
        <f t="shared" si="50"/>
        <v>4.0500000000000015E-2</v>
      </c>
      <c r="D119" s="96">
        <f t="shared" si="33"/>
        <v>0.10660423310746257</v>
      </c>
      <c r="E119" s="96">
        <f t="shared" si="34"/>
        <v>0.99999999999729816</v>
      </c>
      <c r="F119" s="96">
        <f t="shared" si="29"/>
        <v>6.2068868563377088E-10</v>
      </c>
      <c r="G119" s="96">
        <f t="shared" si="35"/>
        <v>-0.11599999937931132</v>
      </c>
      <c r="I119" s="96">
        <f t="shared" si="51"/>
        <v>0</v>
      </c>
      <c r="J119" s="96">
        <f t="shared" si="52"/>
        <v>4.0500000000000015E-2</v>
      </c>
      <c r="Y119" s="96">
        <v>20</v>
      </c>
      <c r="Z119" s="517">
        <v>1.1000000000000001</v>
      </c>
      <c r="AA119" s="272">
        <f t="shared" si="36"/>
        <v>8</v>
      </c>
      <c r="AB119" s="519">
        <f t="shared" si="47"/>
        <v>3</v>
      </c>
      <c r="AC119" s="272">
        <f t="shared" si="37"/>
        <v>11</v>
      </c>
      <c r="AD119" s="272">
        <f t="shared" si="38"/>
        <v>5.3993714013430649</v>
      </c>
      <c r="AE119" s="272">
        <f t="shared" si="48"/>
        <v>5</v>
      </c>
      <c r="AF119" s="272">
        <f t="shared" si="39"/>
        <v>9.886457220549481</v>
      </c>
      <c r="AG119" s="272">
        <f t="shared" si="49"/>
        <v>6</v>
      </c>
      <c r="AH119" s="272">
        <f t="shared" si="40"/>
        <v>8.3189385344093996</v>
      </c>
      <c r="AI119" s="272">
        <f t="shared" si="49"/>
        <v>7</v>
      </c>
      <c r="AJ119" s="272">
        <f t="shared" si="41"/>
        <v>7.317854666412857</v>
      </c>
      <c r="AK119" s="272">
        <f t="shared" si="49"/>
        <v>7</v>
      </c>
      <c r="AL119" s="272">
        <f t="shared" si="42"/>
        <v>7.317854666412857</v>
      </c>
      <c r="AM119" s="272">
        <f t="shared" si="49"/>
        <v>7</v>
      </c>
      <c r="AN119" s="272">
        <f t="shared" si="43"/>
        <v>7.317854666412857</v>
      </c>
      <c r="AO119" s="272">
        <f t="shared" si="49"/>
        <v>7</v>
      </c>
      <c r="AP119" s="272">
        <f t="shared" si="44"/>
        <v>7.317854666412857</v>
      </c>
      <c r="AQ119" s="272">
        <f t="shared" si="49"/>
        <v>7</v>
      </c>
      <c r="AR119" s="272">
        <f t="shared" si="45"/>
        <v>7.317854666412857</v>
      </c>
      <c r="AS119" s="272">
        <f t="shared" si="49"/>
        <v>7</v>
      </c>
      <c r="AT119" s="508">
        <f t="shared" si="46"/>
        <v>7.317854666412857</v>
      </c>
    </row>
    <row r="120" spans="1:53" ht="12.75" customHeight="1">
      <c r="A120" s="96">
        <f>IF(MAX($F$93:F120)=$G$88,$G$88,F120)</f>
        <v>9.5445133278341611E-10</v>
      </c>
      <c r="B120" s="481">
        <v>28</v>
      </c>
      <c r="C120" s="96">
        <f t="shared" si="50"/>
        <v>4.2000000000000016E-2</v>
      </c>
      <c r="D120" s="96">
        <f t="shared" si="33"/>
        <v>0.11464707648319705</v>
      </c>
      <c r="E120" s="96">
        <f t="shared" si="34"/>
        <v>0.99999999999568023</v>
      </c>
      <c r="F120" s="96">
        <f t="shared" si="29"/>
        <v>9.5445133278341611E-10</v>
      </c>
      <c r="G120" s="96">
        <f t="shared" si="35"/>
        <v>-0.11599999904554867</v>
      </c>
      <c r="I120" s="96">
        <f t="shared" si="51"/>
        <v>0</v>
      </c>
      <c r="J120" s="96">
        <f t="shared" si="52"/>
        <v>4.2000000000000016E-2</v>
      </c>
      <c r="Y120" s="96">
        <v>21</v>
      </c>
      <c r="Z120" s="517">
        <v>1.2</v>
      </c>
      <c r="AA120" s="272">
        <f t="shared" si="36"/>
        <v>7</v>
      </c>
      <c r="AB120" s="519">
        <f t="shared" si="47"/>
        <v>3</v>
      </c>
      <c r="AC120" s="272">
        <f t="shared" si="37"/>
        <v>11</v>
      </c>
      <c r="AD120" s="272">
        <f t="shared" si="38"/>
        <v>4.5369718025174386</v>
      </c>
      <c r="AE120" s="272">
        <f t="shared" si="48"/>
        <v>4</v>
      </c>
      <c r="AF120" s="272">
        <f t="shared" si="39"/>
        <v>10.660982406568072</v>
      </c>
      <c r="AG120" s="272">
        <f t="shared" si="49"/>
        <v>5</v>
      </c>
      <c r="AH120" s="272">
        <f t="shared" si="40"/>
        <v>8.3073703033783861</v>
      </c>
      <c r="AI120" s="272">
        <f t="shared" si="49"/>
        <v>6</v>
      </c>
      <c r="AJ120" s="272">
        <f t="shared" si="41"/>
        <v>6.9902191851634532</v>
      </c>
      <c r="AK120" s="272">
        <f t="shared" si="49"/>
        <v>6</v>
      </c>
      <c r="AL120" s="272">
        <f t="shared" si="42"/>
        <v>6.9902191851634532</v>
      </c>
      <c r="AM120" s="272">
        <f t="shared" si="49"/>
        <v>6</v>
      </c>
      <c r="AN120" s="272">
        <f t="shared" si="43"/>
        <v>6.9902191851634532</v>
      </c>
      <c r="AO120" s="272">
        <f t="shared" si="49"/>
        <v>6</v>
      </c>
      <c r="AP120" s="272">
        <f t="shared" si="44"/>
        <v>6.9902191851634532</v>
      </c>
      <c r="AQ120" s="272">
        <f t="shared" si="49"/>
        <v>6</v>
      </c>
      <c r="AR120" s="272">
        <f t="shared" si="45"/>
        <v>6.9902191851634532</v>
      </c>
      <c r="AS120" s="272">
        <f t="shared" si="49"/>
        <v>6</v>
      </c>
      <c r="AT120" s="508">
        <f t="shared" si="46"/>
        <v>6.9902191851634532</v>
      </c>
    </row>
    <row r="121" spans="1:53" ht="12.75" customHeight="1">
      <c r="A121" s="96">
        <f>IF(MAX($F$93:F121)=$G$88,$G$88,F121)</f>
        <v>1.4454844728580456E-9</v>
      </c>
      <c r="B121" s="481">
        <v>29</v>
      </c>
      <c r="C121" s="96">
        <f t="shared" si="50"/>
        <v>4.3500000000000018E-2</v>
      </c>
      <c r="D121" s="96">
        <f t="shared" si="33"/>
        <v>0.12298238689077644</v>
      </c>
      <c r="E121" s="96">
        <f t="shared" si="34"/>
        <v>0.99999999999320766</v>
      </c>
      <c r="F121" s="96">
        <f t="shared" si="29"/>
        <v>1.4454844728580456E-9</v>
      </c>
      <c r="G121" s="96">
        <f t="shared" si="35"/>
        <v>-0.11599999855451554</v>
      </c>
      <c r="I121" s="96">
        <f t="shared" si="51"/>
        <v>0</v>
      </c>
      <c r="J121" s="96">
        <f t="shared" si="52"/>
        <v>4.3500000000000018E-2</v>
      </c>
      <c r="Y121" s="96">
        <v>22</v>
      </c>
      <c r="Z121" s="517">
        <v>1.3</v>
      </c>
      <c r="AA121" s="272">
        <f t="shared" si="36"/>
        <v>7</v>
      </c>
      <c r="AB121" s="519">
        <f t="shared" si="47"/>
        <v>3</v>
      </c>
      <c r="AC121" s="272">
        <f t="shared" si="37"/>
        <v>11</v>
      </c>
      <c r="AD121" s="272">
        <f t="shared" si="38"/>
        <v>3.8658221275888223</v>
      </c>
      <c r="AE121" s="272">
        <f t="shared" si="48"/>
        <v>3</v>
      </c>
      <c r="AF121" s="272">
        <f t="shared" si="39"/>
        <v>13.597681272892657</v>
      </c>
      <c r="AG121" s="272">
        <f t="shared" si="49"/>
        <v>4</v>
      </c>
      <c r="AH121" s="272">
        <f t="shared" si="40"/>
        <v>9.0839140032296015</v>
      </c>
      <c r="AI121" s="272">
        <f t="shared" si="49"/>
        <v>5</v>
      </c>
      <c r="AJ121" s="272">
        <f t="shared" si="41"/>
        <v>7.0784693709259612</v>
      </c>
      <c r="AK121" s="272">
        <f t="shared" si="49"/>
        <v>6</v>
      </c>
      <c r="AL121" s="272">
        <f t="shared" si="42"/>
        <v>5.9561630926836528</v>
      </c>
      <c r="AM121" s="272">
        <f t="shared" si="49"/>
        <v>5</v>
      </c>
      <c r="AN121" s="272">
        <f t="shared" si="43"/>
        <v>7.0784693709259612</v>
      </c>
      <c r="AO121" s="272">
        <f t="shared" si="49"/>
        <v>6</v>
      </c>
      <c r="AP121" s="272">
        <f t="shared" si="44"/>
        <v>5.9561630926836528</v>
      </c>
      <c r="AQ121" s="272">
        <f t="shared" si="49"/>
        <v>5</v>
      </c>
      <c r="AR121" s="272">
        <f t="shared" si="45"/>
        <v>7.0784693709259612</v>
      </c>
      <c r="AS121" s="272">
        <f t="shared" si="49"/>
        <v>6</v>
      </c>
      <c r="AT121" s="508">
        <f t="shared" si="46"/>
        <v>5.9561630926836528</v>
      </c>
    </row>
    <row r="122" spans="1:53" ht="12.75" customHeight="1">
      <c r="A122" s="96">
        <f>IF(MAX($F$93:F122)=$G$88,$G$88,F122)</f>
        <v>2.1581625375688414E-9</v>
      </c>
      <c r="B122" s="481">
        <v>30</v>
      </c>
      <c r="C122" s="96">
        <f t="shared" si="50"/>
        <v>4.5000000000000019E-2</v>
      </c>
      <c r="D122" s="96">
        <f t="shared" si="33"/>
        <v>0.1316101643302007</v>
      </c>
      <c r="E122" s="96">
        <f t="shared" si="34"/>
        <v>0.9999999999894853</v>
      </c>
      <c r="F122" s="96">
        <f t="shared" si="29"/>
        <v>2.1581625375688414E-9</v>
      </c>
      <c r="G122" s="96">
        <f t="shared" si="35"/>
        <v>-0.11599999784183747</v>
      </c>
      <c r="I122" s="96">
        <f t="shared" si="51"/>
        <v>0</v>
      </c>
      <c r="J122" s="96">
        <f t="shared" si="52"/>
        <v>4.5000000000000019E-2</v>
      </c>
      <c r="Y122" s="96">
        <v>23</v>
      </c>
      <c r="Z122" s="517">
        <v>1.4</v>
      </c>
      <c r="AA122" s="272">
        <f t="shared" si="36"/>
        <v>7</v>
      </c>
      <c r="AB122" s="519">
        <f t="shared" si="47"/>
        <v>3</v>
      </c>
      <c r="AC122" s="272">
        <f t="shared" si="37"/>
        <v>11</v>
      </c>
      <c r="AD122" s="272">
        <f t="shared" si="38"/>
        <v>3.3332854059311798</v>
      </c>
      <c r="AE122" s="272">
        <f t="shared" si="48"/>
        <v>3</v>
      </c>
      <c r="AF122" s="272">
        <f t="shared" si="39"/>
        <v>11.724531301626831</v>
      </c>
      <c r="AG122" s="272">
        <f t="shared" si="49"/>
        <v>4</v>
      </c>
      <c r="AH122" s="272">
        <f t="shared" si="40"/>
        <v>7.8325585027847078</v>
      </c>
      <c r="AI122" s="272">
        <f t="shared" si="49"/>
        <v>5</v>
      </c>
      <c r="AJ122" s="272">
        <f t="shared" si="41"/>
        <v>6.1033741004412647</v>
      </c>
      <c r="AK122" s="272">
        <f t="shared" si="49"/>
        <v>6</v>
      </c>
      <c r="AL122" s="272">
        <f t="shared" si="42"/>
        <v>5.1356712380792722</v>
      </c>
      <c r="AM122" s="272">
        <f t="shared" si="49"/>
        <v>5</v>
      </c>
      <c r="AN122" s="272">
        <f t="shared" si="43"/>
        <v>6.1033741004412647</v>
      </c>
      <c r="AO122" s="272">
        <f t="shared" si="49"/>
        <v>6</v>
      </c>
      <c r="AP122" s="272">
        <f t="shared" si="44"/>
        <v>5.1356712380792722</v>
      </c>
      <c r="AQ122" s="272">
        <f t="shared" si="49"/>
        <v>5</v>
      </c>
      <c r="AR122" s="272">
        <f t="shared" si="45"/>
        <v>6.1033741004412647</v>
      </c>
      <c r="AS122" s="272">
        <f t="shared" si="49"/>
        <v>6</v>
      </c>
      <c r="AT122" s="508">
        <f t="shared" si="46"/>
        <v>5.1356712380792722</v>
      </c>
    </row>
    <row r="123" spans="1:53" ht="12.75" customHeight="1">
      <c r="A123" s="96">
        <f>IF(MAX($F$93:F123)=$G$88,$G$88,F123)</f>
        <v>3.1795788224542317E-9</v>
      </c>
      <c r="B123" s="481">
        <v>31</v>
      </c>
      <c r="C123" s="96">
        <f t="shared" si="50"/>
        <v>4.650000000000002E-2</v>
      </c>
      <c r="D123" s="96">
        <f t="shared" si="33"/>
        <v>0.14053040880146986</v>
      </c>
      <c r="E123" s="96">
        <f t="shared" si="34"/>
        <v>0.99999999998395839</v>
      </c>
      <c r="F123" s="96">
        <f t="shared" si="29"/>
        <v>3.1795788224542317E-9</v>
      </c>
      <c r="G123" s="96">
        <f t="shared" si="35"/>
        <v>-0.11599999682042118</v>
      </c>
      <c r="I123" s="96">
        <f t="shared" si="51"/>
        <v>0</v>
      </c>
      <c r="J123" s="96">
        <f t="shared" si="52"/>
        <v>4.650000000000002E-2</v>
      </c>
      <c r="Y123" s="96">
        <v>24</v>
      </c>
      <c r="Z123" s="517">
        <v>1.5</v>
      </c>
      <c r="AA123" s="272">
        <f t="shared" si="36"/>
        <v>6</v>
      </c>
      <c r="AB123" s="519">
        <f t="shared" si="47"/>
        <v>3</v>
      </c>
      <c r="AC123" s="272">
        <f t="shared" si="37"/>
        <v>11</v>
      </c>
      <c r="AD123" s="272">
        <f t="shared" si="38"/>
        <v>3</v>
      </c>
      <c r="AE123" s="272">
        <f t="shared" si="48"/>
        <v>2</v>
      </c>
      <c r="AF123" s="272">
        <f t="shared" si="39"/>
        <v>22.734583753824293</v>
      </c>
      <c r="AG123" s="272">
        <f t="shared" si="49"/>
        <v>3</v>
      </c>
      <c r="AH123" s="272">
        <f t="shared" si="40"/>
        <v>10.213369489417152</v>
      </c>
      <c r="AI123" s="272">
        <f t="shared" si="49"/>
        <v>4</v>
      </c>
      <c r="AJ123" s="272">
        <f t="shared" si="41"/>
        <v>6.8230287402035659</v>
      </c>
      <c r="AK123" s="272">
        <f t="shared" si="49"/>
        <v>5</v>
      </c>
      <c r="AL123" s="272">
        <f t="shared" si="42"/>
        <v>5.3167169941621673</v>
      </c>
      <c r="AM123" s="272">
        <f t="shared" si="49"/>
        <v>5</v>
      </c>
      <c r="AN123" s="272">
        <f t="shared" si="43"/>
        <v>5.3167169941621673</v>
      </c>
      <c r="AO123" s="272">
        <f t="shared" si="49"/>
        <v>5</v>
      </c>
      <c r="AP123" s="272">
        <f t="shared" si="44"/>
        <v>5.3167169941621673</v>
      </c>
      <c r="AQ123" s="272">
        <f t="shared" si="49"/>
        <v>5</v>
      </c>
      <c r="AR123" s="272">
        <f t="shared" si="45"/>
        <v>5.3167169941621673</v>
      </c>
      <c r="AS123" s="272">
        <f t="shared" si="49"/>
        <v>5</v>
      </c>
      <c r="AT123" s="508">
        <f t="shared" si="46"/>
        <v>5.3167169941621673</v>
      </c>
    </row>
    <row r="124" spans="1:53" ht="12.75" customHeight="1">
      <c r="A124" s="96">
        <f>IF(MAX($F$93:F124)=$G$88,$G$88,F124)</f>
        <v>4.6261772190803185E-9</v>
      </c>
      <c r="B124" s="481">
        <v>32</v>
      </c>
      <c r="C124" s="96">
        <f t="shared" si="50"/>
        <v>4.8000000000000022E-2</v>
      </c>
      <c r="D124" s="96">
        <f t="shared" si="33"/>
        <v>0.14974312030458392</v>
      </c>
      <c r="E124" s="96">
        <f t="shared" si="34"/>
        <v>0.99999999997585853</v>
      </c>
      <c r="F124" s="96">
        <f t="shared" si="29"/>
        <v>4.6261772190803185E-9</v>
      </c>
      <c r="G124" s="96">
        <f t="shared" si="35"/>
        <v>-0.11599999537382279</v>
      </c>
      <c r="I124" s="96">
        <f t="shared" si="51"/>
        <v>0</v>
      </c>
      <c r="J124" s="96">
        <f t="shared" si="52"/>
        <v>4.8000000000000022E-2</v>
      </c>
      <c r="Y124" s="96">
        <v>25</v>
      </c>
      <c r="Z124" s="517">
        <v>1.6</v>
      </c>
      <c r="AA124" s="272">
        <f t="shared" si="36"/>
        <v>6</v>
      </c>
      <c r="AB124" s="519">
        <f t="shared" si="47"/>
        <v>3</v>
      </c>
      <c r="AC124" s="272">
        <f t="shared" si="37"/>
        <v>11</v>
      </c>
      <c r="AD124" s="272">
        <f t="shared" si="38"/>
        <v>3</v>
      </c>
      <c r="AE124" s="272">
        <f t="shared" si="48"/>
        <v>2</v>
      </c>
      <c r="AF124" s="272">
        <f t="shared" si="39"/>
        <v>19.981567752384631</v>
      </c>
      <c r="AG124" s="272">
        <f t="shared" si="49"/>
        <v>3</v>
      </c>
      <c r="AH124" s="272">
        <f t="shared" si="40"/>
        <v>8.9765942778080419</v>
      </c>
      <c r="AI124" s="272">
        <f t="shared" si="49"/>
        <v>4</v>
      </c>
      <c r="AJ124" s="272">
        <f t="shared" si="41"/>
        <v>5.9968026036945412</v>
      </c>
      <c r="AK124" s="272">
        <f t="shared" si="49"/>
        <v>5</v>
      </c>
      <c r="AL124" s="272">
        <f t="shared" si="42"/>
        <v>4.6728957956503407</v>
      </c>
      <c r="AM124" s="272">
        <f t="shared" si="49"/>
        <v>4</v>
      </c>
      <c r="AN124" s="272">
        <f t="shared" si="43"/>
        <v>5.9968026036945412</v>
      </c>
      <c r="AO124" s="272">
        <f t="shared" si="49"/>
        <v>5</v>
      </c>
      <c r="AP124" s="272">
        <f t="shared" si="44"/>
        <v>4.6728957956503407</v>
      </c>
      <c r="AQ124" s="272">
        <f t="shared" si="49"/>
        <v>4</v>
      </c>
      <c r="AR124" s="272">
        <f t="shared" si="45"/>
        <v>5.9968026036945412</v>
      </c>
      <c r="AS124" s="272">
        <f t="shared" si="49"/>
        <v>5</v>
      </c>
      <c r="AT124" s="508">
        <f t="shared" si="46"/>
        <v>4.6728957956503407</v>
      </c>
    </row>
    <row r="125" spans="1:53" ht="12.75" customHeight="1">
      <c r="A125" s="96">
        <f>IF(MAX($F$93:F125)=$G$88,$G$88,F125)</f>
        <v>6.6523527427383052E-9</v>
      </c>
      <c r="B125" s="481">
        <v>33</v>
      </c>
      <c r="C125" s="96">
        <f t="shared" si="50"/>
        <v>4.9500000000000023E-2</v>
      </c>
      <c r="D125" s="96">
        <f t="shared" si="33"/>
        <v>0.15924829883954286</v>
      </c>
      <c r="E125" s="96">
        <f t="shared" si="34"/>
        <v>0.99999999996413191</v>
      </c>
      <c r="F125" s="96">
        <f t="shared" si="29"/>
        <v>6.6523527427383052E-9</v>
      </c>
      <c r="G125" s="96">
        <f t="shared" si="35"/>
        <v>-0.11599999334764727</v>
      </c>
      <c r="I125" s="96">
        <f t="shared" si="51"/>
        <v>0</v>
      </c>
      <c r="J125" s="96">
        <f t="shared" si="52"/>
        <v>4.9500000000000023E-2</v>
      </c>
      <c r="Y125" s="96">
        <v>26</v>
      </c>
      <c r="Z125" s="517">
        <v>1.7</v>
      </c>
      <c r="AA125" s="272">
        <f t="shared" si="36"/>
        <v>6</v>
      </c>
      <c r="AB125" s="519">
        <f t="shared" si="47"/>
        <v>3</v>
      </c>
      <c r="AC125" s="272">
        <f t="shared" si="37"/>
        <v>11</v>
      </c>
      <c r="AD125" s="272">
        <f t="shared" si="38"/>
        <v>3</v>
      </c>
      <c r="AE125" s="272">
        <f t="shared" si="48"/>
        <v>2</v>
      </c>
      <c r="AF125" s="272">
        <f t="shared" si="39"/>
        <v>17.699935448479128</v>
      </c>
      <c r="AG125" s="272">
        <f t="shared" si="49"/>
        <v>3</v>
      </c>
      <c r="AH125" s="272">
        <f t="shared" si="40"/>
        <v>7.9515852426258107</v>
      </c>
      <c r="AI125" s="272">
        <f t="shared" si="49"/>
        <v>4</v>
      </c>
      <c r="AJ125" s="272">
        <f t="shared" si="41"/>
        <v>5.3120465970442998</v>
      </c>
      <c r="AK125" s="272">
        <f t="shared" si="49"/>
        <v>5</v>
      </c>
      <c r="AL125" s="272">
        <f t="shared" si="42"/>
        <v>4.1393125387075695</v>
      </c>
      <c r="AM125" s="272">
        <f t="shared" si="49"/>
        <v>4</v>
      </c>
      <c r="AN125" s="272">
        <f t="shared" si="43"/>
        <v>5.3120465970442998</v>
      </c>
      <c r="AO125" s="272">
        <f t="shared" si="49"/>
        <v>5</v>
      </c>
      <c r="AP125" s="272">
        <f t="shared" si="44"/>
        <v>4.1393125387075695</v>
      </c>
      <c r="AQ125" s="272">
        <f t="shared" si="49"/>
        <v>4</v>
      </c>
      <c r="AR125" s="272">
        <f t="shared" si="45"/>
        <v>5.3120465970442998</v>
      </c>
      <c r="AS125" s="272">
        <f t="shared" si="49"/>
        <v>5</v>
      </c>
      <c r="AT125" s="508">
        <f t="shared" si="46"/>
        <v>4.1393125387075695</v>
      </c>
    </row>
    <row r="126" spans="1:53" ht="12.75" customHeight="1">
      <c r="A126" s="96">
        <f>IF(MAX($F$93:F126)=$G$88,$G$88,F126)</f>
        <v>9.4607358983959476E-9</v>
      </c>
      <c r="B126" s="481">
        <v>34</v>
      </c>
      <c r="C126" s="96">
        <f t="shared" si="50"/>
        <v>5.1000000000000024E-2</v>
      </c>
      <c r="D126" s="96">
        <f t="shared" si="33"/>
        <v>0.16904594440634671</v>
      </c>
      <c r="E126" s="96">
        <f t="shared" si="34"/>
        <v>0.99999999994734845</v>
      </c>
      <c r="F126" s="96">
        <f t="shared" si="29"/>
        <v>9.4607358983959476E-9</v>
      </c>
      <c r="G126" s="96">
        <f t="shared" si="35"/>
        <v>-0.1159999905392641</v>
      </c>
      <c r="I126" s="96">
        <f t="shared" si="51"/>
        <v>0</v>
      </c>
      <c r="J126" s="96">
        <f t="shared" si="52"/>
        <v>5.1000000000000024E-2</v>
      </c>
      <c r="Y126" s="96">
        <v>27</v>
      </c>
      <c r="Z126" s="517">
        <v>1.8</v>
      </c>
      <c r="AA126" s="272">
        <f t="shared" si="36"/>
        <v>5</v>
      </c>
      <c r="AB126" s="519">
        <f t="shared" si="47"/>
        <v>3</v>
      </c>
      <c r="AC126" s="272">
        <f t="shared" si="37"/>
        <v>11</v>
      </c>
      <c r="AD126" s="272">
        <f t="shared" si="38"/>
        <v>3</v>
      </c>
      <c r="AE126" s="272">
        <f t="shared" si="48"/>
        <v>2</v>
      </c>
      <c r="AF126" s="272">
        <f t="shared" si="39"/>
        <v>15.787905384600206</v>
      </c>
      <c r="AG126" s="272">
        <f t="shared" si="49"/>
        <v>3</v>
      </c>
      <c r="AH126" s="272">
        <f t="shared" si="40"/>
        <v>7.0926177009841327</v>
      </c>
      <c r="AI126" s="272">
        <f t="shared" si="49"/>
        <v>4</v>
      </c>
      <c r="AJ126" s="272">
        <f t="shared" si="41"/>
        <v>4.7382144029191435</v>
      </c>
      <c r="AK126" s="272">
        <f t="shared" si="49"/>
        <v>4</v>
      </c>
      <c r="AL126" s="272">
        <f t="shared" si="42"/>
        <v>4.7382144029191435</v>
      </c>
      <c r="AM126" s="272">
        <f t="shared" si="49"/>
        <v>4</v>
      </c>
      <c r="AN126" s="272">
        <f t="shared" si="43"/>
        <v>4.7382144029191435</v>
      </c>
      <c r="AO126" s="272">
        <f t="shared" si="49"/>
        <v>4</v>
      </c>
      <c r="AP126" s="272">
        <f t="shared" si="44"/>
        <v>4.7382144029191435</v>
      </c>
      <c r="AQ126" s="272">
        <f t="shared" si="49"/>
        <v>4</v>
      </c>
      <c r="AR126" s="272">
        <f t="shared" si="45"/>
        <v>4.7382144029191435</v>
      </c>
      <c r="AS126" s="272">
        <f t="shared" si="49"/>
        <v>4</v>
      </c>
      <c r="AT126" s="508">
        <f t="shared" si="46"/>
        <v>4.7382144029191435</v>
      </c>
    </row>
    <row r="127" spans="1:53" ht="12.75" customHeight="1">
      <c r="A127" s="96">
        <f>IF(MAX($F$93:F127)=$G$88,$G$88,F127)</f>
        <v>1.3315041661835871E-8</v>
      </c>
      <c r="B127" s="481">
        <v>35</v>
      </c>
      <c r="C127" s="96">
        <f t="shared" si="50"/>
        <v>5.2500000000000026E-2</v>
      </c>
      <c r="D127" s="96">
        <f t="shared" si="33"/>
        <v>0.17913605700499544</v>
      </c>
      <c r="E127" s="96">
        <f t="shared" si="34"/>
        <v>0.9999999999235859</v>
      </c>
      <c r="F127" s="96">
        <f t="shared" si="29"/>
        <v>1.3315041661835871E-8</v>
      </c>
      <c r="G127" s="96">
        <f t="shared" si="35"/>
        <v>-0.11599998668495834</v>
      </c>
      <c r="I127" s="96">
        <f t="shared" si="51"/>
        <v>0</v>
      </c>
      <c r="J127" s="96">
        <f t="shared" si="52"/>
        <v>5.2500000000000026E-2</v>
      </c>
      <c r="Y127" s="96">
        <v>28</v>
      </c>
      <c r="Z127" s="517">
        <v>1.9</v>
      </c>
      <c r="AA127" s="272">
        <f t="shared" si="36"/>
        <v>5</v>
      </c>
      <c r="AB127" s="519">
        <f t="shared" si="47"/>
        <v>3</v>
      </c>
      <c r="AC127" s="272">
        <f t="shared" si="37"/>
        <v>11</v>
      </c>
      <c r="AD127" s="272">
        <f t="shared" si="38"/>
        <v>3</v>
      </c>
      <c r="AE127" s="272">
        <f t="shared" si="48"/>
        <v>2</v>
      </c>
      <c r="AF127" s="272">
        <f t="shared" si="39"/>
        <v>14.169754417203507</v>
      </c>
      <c r="AG127" s="272">
        <f t="shared" si="49"/>
        <v>3</v>
      </c>
      <c r="AH127" s="272">
        <f t="shared" si="40"/>
        <v>6.3656735044843744</v>
      </c>
      <c r="AI127" s="272">
        <f t="shared" si="49"/>
        <v>4</v>
      </c>
      <c r="AJ127" s="272">
        <f t="shared" si="41"/>
        <v>4.2525802397390651</v>
      </c>
      <c r="AK127" s="272">
        <f t="shared" si="49"/>
        <v>4</v>
      </c>
      <c r="AL127" s="272">
        <f t="shared" si="42"/>
        <v>4.2525802397390651</v>
      </c>
      <c r="AM127" s="272">
        <f t="shared" si="49"/>
        <v>4</v>
      </c>
      <c r="AN127" s="272">
        <f t="shared" si="43"/>
        <v>4.2525802397390651</v>
      </c>
      <c r="AO127" s="272">
        <f t="shared" si="49"/>
        <v>4</v>
      </c>
      <c r="AP127" s="272">
        <f t="shared" si="44"/>
        <v>4.2525802397390651</v>
      </c>
      <c r="AQ127" s="272">
        <f t="shared" si="49"/>
        <v>4</v>
      </c>
      <c r="AR127" s="272">
        <f t="shared" si="45"/>
        <v>4.2525802397390651</v>
      </c>
      <c r="AS127" s="272">
        <f t="shared" si="49"/>
        <v>4</v>
      </c>
      <c r="AT127" s="508">
        <f t="shared" si="46"/>
        <v>4.2525802397390651</v>
      </c>
    </row>
    <row r="128" spans="1:53" ht="12.75" customHeight="1">
      <c r="A128" s="96">
        <f>IF(MAX($F$93:F128)=$G$88,$G$88,F128)</f>
        <v>1.8555742128019876E-8</v>
      </c>
      <c r="B128" s="481">
        <v>36</v>
      </c>
      <c r="C128" s="96">
        <f t="shared" si="50"/>
        <v>5.4000000000000027E-2</v>
      </c>
      <c r="D128" s="96">
        <f t="shared" si="33"/>
        <v>0.18951863663548904</v>
      </c>
      <c r="E128" s="96">
        <f t="shared" si="34"/>
        <v>0.99999999989028399</v>
      </c>
      <c r="F128" s="96">
        <f t="shared" si="29"/>
        <v>1.8555742128019876E-8</v>
      </c>
      <c r="G128" s="96">
        <f t="shared" si="35"/>
        <v>-0.11599998144425788</v>
      </c>
      <c r="I128" s="96">
        <f t="shared" si="51"/>
        <v>0</v>
      </c>
      <c r="J128" s="96">
        <f t="shared" si="52"/>
        <v>5.4000000000000027E-2</v>
      </c>
      <c r="Y128" s="96">
        <v>29</v>
      </c>
      <c r="Z128" s="517">
        <v>2</v>
      </c>
      <c r="AA128" s="272">
        <f t="shared" si="36"/>
        <v>5</v>
      </c>
      <c r="AB128" s="519">
        <f t="shared" si="47"/>
        <v>3</v>
      </c>
      <c r="AC128" s="272">
        <f t="shared" si="37"/>
        <v>11</v>
      </c>
      <c r="AD128" s="272">
        <f t="shared" si="38"/>
        <v>3</v>
      </c>
      <c r="AE128" s="272">
        <f t="shared" si="48"/>
        <v>2</v>
      </c>
      <c r="AF128" s="272">
        <f t="shared" si="39"/>
        <v>12.788203361526167</v>
      </c>
      <c r="AG128" s="272">
        <f t="shared" si="49"/>
        <v>3</v>
      </c>
      <c r="AH128" s="272">
        <f t="shared" si="40"/>
        <v>5.7450203377971478</v>
      </c>
      <c r="AI128" s="272">
        <f t="shared" si="49"/>
        <v>4</v>
      </c>
      <c r="AJ128" s="272">
        <f t="shared" si="41"/>
        <v>3.8379536663645064</v>
      </c>
      <c r="AK128" s="272">
        <f t="shared" si="49"/>
        <v>3</v>
      </c>
      <c r="AL128" s="272">
        <f t="shared" si="42"/>
        <v>5.7450203377971478</v>
      </c>
      <c r="AM128" s="272">
        <f t="shared" si="49"/>
        <v>4</v>
      </c>
      <c r="AN128" s="272">
        <f t="shared" si="43"/>
        <v>3.8379536663645064</v>
      </c>
      <c r="AO128" s="272">
        <f t="shared" si="49"/>
        <v>3</v>
      </c>
      <c r="AP128" s="272">
        <f t="shared" si="44"/>
        <v>5.7450203377971478</v>
      </c>
      <c r="AQ128" s="272">
        <f t="shared" si="49"/>
        <v>4</v>
      </c>
      <c r="AR128" s="272">
        <f t="shared" si="45"/>
        <v>3.8379536663645064</v>
      </c>
      <c r="AS128" s="272">
        <f t="shared" si="49"/>
        <v>3</v>
      </c>
      <c r="AT128" s="508">
        <f t="shared" si="46"/>
        <v>5.7450203377971478</v>
      </c>
    </row>
    <row r="129" spans="1:46" ht="12.75" customHeight="1">
      <c r="A129" s="96">
        <f>IF(MAX($F$93:F129)=$G$88,$G$88,F129)</f>
        <v>2.5619003215145611E-8</v>
      </c>
      <c r="B129" s="481">
        <v>37</v>
      </c>
      <c r="C129" s="96">
        <f t="shared" si="50"/>
        <v>5.5500000000000028E-2</v>
      </c>
      <c r="D129" s="96">
        <f t="shared" si="33"/>
        <v>0.20019368329782755</v>
      </c>
      <c r="E129" s="96">
        <f t="shared" si="34"/>
        <v>0.99999999984406129</v>
      </c>
      <c r="F129" s="96">
        <f t="shared" si="29"/>
        <v>2.5619003215145611E-8</v>
      </c>
      <c r="G129" s="96">
        <f t="shared" si="35"/>
        <v>-0.1159999743809968</v>
      </c>
      <c r="I129" s="96">
        <f t="shared" si="51"/>
        <v>0</v>
      </c>
      <c r="J129" s="96">
        <f t="shared" si="52"/>
        <v>5.5500000000000028E-2</v>
      </c>
      <c r="Z129" s="488"/>
      <c r="AA129" s="488"/>
      <c r="AB129" s="535"/>
      <c r="AC129" s="537"/>
      <c r="AD129" s="537"/>
      <c r="AE129" s="537"/>
      <c r="AF129" s="537"/>
      <c r="AG129" s="537"/>
      <c r="AH129" s="537"/>
      <c r="AI129" s="537"/>
      <c r="AJ129" s="537"/>
      <c r="AK129" s="537"/>
      <c r="AL129" s="537"/>
      <c r="AM129" s="537"/>
      <c r="AN129" s="537"/>
      <c r="AO129" s="537"/>
      <c r="AP129" s="537"/>
      <c r="AQ129" s="537"/>
      <c r="AR129" s="537"/>
      <c r="AS129" s="537"/>
      <c r="AT129" s="538"/>
    </row>
    <row r="130" spans="1:46" ht="12.75" customHeight="1">
      <c r="A130" s="96">
        <f>IF(MAX($F$93:F130)=$G$88,$G$88,F130)</f>
        <v>3.5059351718066026E-8</v>
      </c>
      <c r="B130" s="481">
        <v>38</v>
      </c>
      <c r="C130" s="96">
        <f t="shared" si="50"/>
        <v>5.700000000000003E-2</v>
      </c>
      <c r="D130" s="96">
        <f t="shared" si="33"/>
        <v>0.21116119699201094</v>
      </c>
      <c r="E130" s="96">
        <f t="shared" si="34"/>
        <v>0.99999999978048826</v>
      </c>
      <c r="F130" s="96">
        <f t="shared" si="29"/>
        <v>3.5059351718066026E-8</v>
      </c>
      <c r="G130" s="96">
        <f t="shared" si="35"/>
        <v>-0.11599996494064829</v>
      </c>
      <c r="I130" s="96">
        <f t="shared" si="51"/>
        <v>0</v>
      </c>
      <c r="J130" s="96">
        <f t="shared" si="52"/>
        <v>5.700000000000003E-2</v>
      </c>
    </row>
    <row r="131" spans="1:46" ht="12.75" customHeight="1">
      <c r="A131" s="96">
        <f>IF(MAX($F$93:F131)=$G$88,$G$88,F131)</f>
        <v>4.7577212540043462E-8</v>
      </c>
      <c r="B131" s="481">
        <v>39</v>
      </c>
      <c r="C131" s="96">
        <f t="shared" si="50"/>
        <v>5.8500000000000031E-2</v>
      </c>
      <c r="D131" s="96">
        <f t="shared" si="33"/>
        <v>0.22242117771803926</v>
      </c>
      <c r="E131" s="96">
        <f t="shared" si="34"/>
        <v>0.99999999969380693</v>
      </c>
      <c r="F131" s="96">
        <f t="shared" si="29"/>
        <v>4.7577212540043462E-8</v>
      </c>
      <c r="G131" s="96">
        <f t="shared" si="35"/>
        <v>-0.11599995242278746</v>
      </c>
      <c r="I131" s="96">
        <f t="shared" si="51"/>
        <v>0</v>
      </c>
      <c r="J131" s="96">
        <f t="shared" si="52"/>
        <v>5.8500000000000031E-2</v>
      </c>
      <c r="Z131" s="600" t="s">
        <v>637</v>
      </c>
      <c r="AA131" s="540"/>
      <c r="AB131" s="540"/>
      <c r="AC131" s="540"/>
      <c r="AD131" s="540"/>
      <c r="AE131" s="540"/>
      <c r="AF131" s="540"/>
      <c r="AG131" s="540"/>
      <c r="AH131" s="540"/>
      <c r="AI131" s="540"/>
      <c r="AJ131" s="540"/>
      <c r="AK131" s="540"/>
      <c r="AL131" s="540"/>
      <c r="AM131" s="540"/>
      <c r="AN131" s="540"/>
      <c r="AO131" s="540"/>
      <c r="AP131" s="540"/>
      <c r="AQ131" s="540"/>
      <c r="AR131" s="540"/>
      <c r="AS131" s="540"/>
      <c r="AT131" s="541"/>
    </row>
    <row r="132" spans="1:46" ht="12.75" customHeight="1">
      <c r="A132" s="96">
        <f>IF(MAX($F$93:F132)=$G$88,$G$88,F132)</f>
        <v>6.4051238387226775E-8</v>
      </c>
      <c r="B132" s="481">
        <v>40</v>
      </c>
      <c r="C132" s="96">
        <f t="shared" si="50"/>
        <v>6.0000000000000032E-2</v>
      </c>
      <c r="D132" s="96">
        <f t="shared" si="33"/>
        <v>0.23397362547591241</v>
      </c>
      <c r="E132" s="96">
        <f t="shared" si="34"/>
        <v>0.99999999957658592</v>
      </c>
      <c r="F132" s="96">
        <f t="shared" si="29"/>
        <v>6.4051238387226775E-8</v>
      </c>
      <c r="G132" s="96">
        <f t="shared" si="35"/>
        <v>-0.11599993594876162</v>
      </c>
      <c r="I132" s="96">
        <f t="shared" si="51"/>
        <v>0</v>
      </c>
      <c r="J132" s="96">
        <f t="shared" si="52"/>
        <v>6.0000000000000032E-2</v>
      </c>
      <c r="Y132" s="511" t="s">
        <v>1195</v>
      </c>
      <c r="Z132" s="510" t="s">
        <v>1192</v>
      </c>
      <c r="AA132" s="511" t="s">
        <v>1195</v>
      </c>
      <c r="AB132" s="512" t="s">
        <v>1194</v>
      </c>
      <c r="AC132" s="514" t="s">
        <v>1206</v>
      </c>
      <c r="AD132" s="514" t="s">
        <v>1196</v>
      </c>
      <c r="AE132" s="514" t="s">
        <v>1207</v>
      </c>
      <c r="AF132" s="514" t="s">
        <v>1197</v>
      </c>
      <c r="AG132" s="514" t="s">
        <v>1208</v>
      </c>
      <c r="AH132" s="514" t="s">
        <v>1198</v>
      </c>
      <c r="AI132" s="514" t="s">
        <v>1209</v>
      </c>
      <c r="AJ132" s="514" t="s">
        <v>1199</v>
      </c>
      <c r="AK132" s="514" t="s">
        <v>1210</v>
      </c>
      <c r="AL132" s="514" t="s">
        <v>1200</v>
      </c>
      <c r="AM132" s="514" t="s">
        <v>1211</v>
      </c>
      <c r="AN132" s="514" t="s">
        <v>1201</v>
      </c>
      <c r="AO132" s="514" t="s">
        <v>1212</v>
      </c>
      <c r="AP132" s="514" t="s">
        <v>1202</v>
      </c>
      <c r="AQ132" s="514" t="s">
        <v>1213</v>
      </c>
      <c r="AR132" s="514" t="s">
        <v>1203</v>
      </c>
      <c r="AS132" s="514" t="s">
        <v>1214</v>
      </c>
      <c r="AT132" s="515" t="s">
        <v>1204</v>
      </c>
    </row>
    <row r="133" spans="1:46" ht="12.75" customHeight="1">
      <c r="A133" s="96">
        <f>IF(MAX($F$93:F133)=$G$88,$G$88,F133)</f>
        <v>8.5576830806862348E-8</v>
      </c>
      <c r="B133" s="481">
        <v>41</v>
      </c>
      <c r="C133" s="96">
        <f t="shared" si="50"/>
        <v>6.1500000000000034E-2</v>
      </c>
      <c r="D133" s="96">
        <f t="shared" si="33"/>
        <v>0.24581854026563052</v>
      </c>
      <c r="E133" s="96">
        <f t="shared" si="34"/>
        <v>0.99999999941930162</v>
      </c>
      <c r="F133" s="96">
        <f t="shared" si="29"/>
        <v>8.5576830806862348E-8</v>
      </c>
      <c r="G133" s="96">
        <f t="shared" si="35"/>
        <v>-0.1159999144231692</v>
      </c>
      <c r="I133" s="96">
        <f t="shared" si="51"/>
        <v>0</v>
      </c>
      <c r="J133" s="96">
        <f t="shared" si="52"/>
        <v>6.1500000000000034E-2</v>
      </c>
      <c r="Y133" s="96">
        <f>AA133</f>
        <v>4</v>
      </c>
      <c r="Z133" s="517">
        <v>1.5</v>
      </c>
      <c r="AA133" s="272">
        <f>1+MAX(AQ133,AS133)</f>
        <v>4</v>
      </c>
      <c r="AB133" s="518">
        <f>MAX(($C$72/Z133)^2*$D$65,$C$68)</f>
        <v>3</v>
      </c>
      <c r="AC133" s="272">
        <f t="shared" ref="AC133:AC196" si="53">ROUNDUP(AB133,0)-1</f>
        <v>2</v>
      </c>
      <c r="AD133" s="493">
        <f t="shared" ref="AD133:AD196" si="54">MAX((TINV(1-$C$69/100,AC133)/$Z133)^2*$D$65,$C$68)</f>
        <v>4.9367521362818856</v>
      </c>
      <c r="AE133" s="272">
        <f>MAX(MIN(ROUNDUP(AD133,0)-1,AC133+1),AC133-1)</f>
        <v>3</v>
      </c>
      <c r="AF133" s="493">
        <f t="shared" ref="AF133:AF196" si="55">MAX((TINV(1-$C$69/100,AE133)/$Z133)^2*$D$65,$C$68)</f>
        <v>3</v>
      </c>
      <c r="AG133" s="272">
        <f>MAX(MIN(ROUNDUP(AF133,0)-1,AE133+1),AE133-1)</f>
        <v>2</v>
      </c>
      <c r="AH133" s="493">
        <f t="shared" ref="AH133:AH196" si="56">MAX((TINV(1-$C$69/100,AG133)/$Z133)^2*$D$65,$C$68)</f>
        <v>4.9367521362818856</v>
      </c>
      <c r="AI133" s="272">
        <f>MAX(MIN(ROUNDUP(AH133,0)-1,AG133+1),AG133-1)</f>
        <v>3</v>
      </c>
      <c r="AJ133" s="493">
        <f t="shared" ref="AJ133:AJ196" si="57">MAX((TINV(1-$C$69/100,AI133)/$Z133)^2*$D$65,$C$68)</f>
        <v>3</v>
      </c>
      <c r="AK133" s="272">
        <f>MAX(MIN(ROUNDUP(AJ133,0)-1,AI133+1),AI133-1)</f>
        <v>2</v>
      </c>
      <c r="AL133" s="493">
        <f t="shared" ref="AL133:AL196" si="58">MAX((TINV(1-$C$69/100,AK133)/$Z133)^2*$D$65,$C$68)</f>
        <v>4.9367521362818856</v>
      </c>
      <c r="AM133" s="272">
        <f>MAX(MIN(ROUNDUP(AL133,0)-1,AK133+1),AK133-1)</f>
        <v>3</v>
      </c>
      <c r="AN133" s="493">
        <f t="shared" ref="AN133:AN196" si="59">MAX((TINV(1-$C$69/100,AM133)/$Z133)^2*$D$65,$C$68)</f>
        <v>3</v>
      </c>
      <c r="AO133" s="272">
        <f>MAX(MIN(ROUNDUP(AN133,0)-1,AM133+1),AM133-1)</f>
        <v>2</v>
      </c>
      <c r="AP133" s="493">
        <f t="shared" ref="AP133:AP196" si="60">MAX((TINV(1-$C$69/100,AO133)/$Z133)^2*$D$65,$C$68)</f>
        <v>4.9367521362818856</v>
      </c>
      <c r="AQ133" s="272">
        <f>MAX(MIN(ROUNDUP(AP133,0)-1,AO133+1),AO133-1)</f>
        <v>3</v>
      </c>
      <c r="AR133" s="493">
        <f t="shared" ref="AR133:AR196" si="61">MAX((TINV(1-$C$69/100,AQ133)/$Z133)^2*$D$65,$C$68)</f>
        <v>3</v>
      </c>
      <c r="AS133" s="272">
        <f>MAX(MIN(ROUNDUP(AR133,0)-1,AQ133+1),AQ133-1)</f>
        <v>2</v>
      </c>
      <c r="AT133" s="494">
        <f t="shared" ref="AT133:AT196" si="62">MAX((TINV(1-$C$69/100,AS133)/$Z133)^2*$D$65,$C$68)</f>
        <v>4.9367521362818856</v>
      </c>
    </row>
    <row r="134" spans="1:46" ht="12.75" customHeight="1">
      <c r="A134" s="96">
        <f>IF(MAX($F$93:F134)=$G$88,$G$88,F134)</f>
        <v>1.1351165563056041E-7</v>
      </c>
      <c r="B134" s="481">
        <v>42</v>
      </c>
      <c r="C134" s="96">
        <f t="shared" si="50"/>
        <v>6.3000000000000028E-2</v>
      </c>
      <c r="D134" s="96">
        <f t="shared" si="33"/>
        <v>0.25795592208719342</v>
      </c>
      <c r="E134" s="96">
        <f t="shared" si="34"/>
        <v>0.99999999920982807</v>
      </c>
      <c r="F134" s="96">
        <f t="shared" si="29"/>
        <v>1.1351165563056041E-7</v>
      </c>
      <c r="G134" s="96">
        <f t="shared" si="35"/>
        <v>-0.11599988648834438</v>
      </c>
      <c r="I134" s="96">
        <f t="shared" si="51"/>
        <v>0</v>
      </c>
      <c r="J134" s="96">
        <f t="shared" si="52"/>
        <v>6.3000000000000028E-2</v>
      </c>
      <c r="Y134" s="96">
        <f t="shared" ref="Y134:Y197" si="63">AA134</f>
        <v>4</v>
      </c>
      <c r="Z134" s="517">
        <v>1.4950000000000001</v>
      </c>
      <c r="AA134" s="272">
        <f>1+MAX(AQ134,AS134)</f>
        <v>4</v>
      </c>
      <c r="AB134" s="519">
        <f>MAX(($C$72/Z134)^2*$D$65,$C$68)</f>
        <v>3</v>
      </c>
      <c r="AC134" s="272">
        <f t="shared" si="53"/>
        <v>2</v>
      </c>
      <c r="AD134" s="272">
        <f t="shared" si="54"/>
        <v>4.9698291100252758</v>
      </c>
      <c r="AE134" s="272">
        <f>MAX(MIN(ROUNDUP(AD134,0)-1,AC134+1),AC134-1)</f>
        <v>3</v>
      </c>
      <c r="AF134" s="272">
        <f t="shared" si="55"/>
        <v>3</v>
      </c>
      <c r="AG134" s="272">
        <f>MAX(MIN(ROUNDUP(AF134,0)-1,AE134+1),AE134-1)</f>
        <v>2</v>
      </c>
      <c r="AH134" s="272">
        <f t="shared" si="56"/>
        <v>4.9698291100252758</v>
      </c>
      <c r="AI134" s="272">
        <f>MAX(MIN(ROUNDUP(AH134,0)-1,AG134+1),AG134-1)</f>
        <v>3</v>
      </c>
      <c r="AJ134" s="272">
        <f t="shared" si="57"/>
        <v>3</v>
      </c>
      <c r="AK134" s="272">
        <f>MAX(MIN(ROUNDUP(AJ134,0)-1,AI134+1),AI134-1)</f>
        <v>2</v>
      </c>
      <c r="AL134" s="272">
        <f t="shared" si="58"/>
        <v>4.9698291100252758</v>
      </c>
      <c r="AM134" s="272">
        <f>MAX(MIN(ROUNDUP(AL134,0)-1,AK134+1),AK134-1)</f>
        <v>3</v>
      </c>
      <c r="AN134" s="272">
        <f t="shared" si="59"/>
        <v>3</v>
      </c>
      <c r="AO134" s="272">
        <f>MAX(MIN(ROUNDUP(AN134,0)-1,AM134+1),AM134-1)</f>
        <v>2</v>
      </c>
      <c r="AP134" s="272">
        <f t="shared" si="60"/>
        <v>4.9698291100252758</v>
      </c>
      <c r="AQ134" s="272">
        <f>MAX(MIN(ROUNDUP(AP134,0)-1,AO134+1),AO134-1)</f>
        <v>3</v>
      </c>
      <c r="AR134" s="272">
        <f t="shared" si="61"/>
        <v>3</v>
      </c>
      <c r="AS134" s="272">
        <f>MAX(MIN(ROUNDUP(AR134,0)-1,AQ134+1),AQ134-1)</f>
        <v>2</v>
      </c>
      <c r="AT134" s="508">
        <f t="shared" si="62"/>
        <v>4.9698291100252758</v>
      </c>
    </row>
    <row r="135" spans="1:46" ht="12.75" customHeight="1">
      <c r="A135" s="96">
        <f>IF(MAX($F$93:F135)=$G$88,$G$88,F135)</f>
        <v>1.4952856730587882E-7</v>
      </c>
      <c r="B135" s="481">
        <v>43</v>
      </c>
      <c r="C135" s="96">
        <f t="shared" si="50"/>
        <v>6.450000000000003E-2</v>
      </c>
      <c r="D135" s="96">
        <f t="shared" si="33"/>
        <v>0.27038577094060129</v>
      </c>
      <c r="E135" s="96">
        <f t="shared" si="34"/>
        <v>0.9999999989328231</v>
      </c>
      <c r="F135" s="96">
        <f t="shared" si="29"/>
        <v>1.4952856730587882E-7</v>
      </c>
      <c r="G135" s="96">
        <f t="shared" si="35"/>
        <v>-0.1159998504714327</v>
      </c>
      <c r="I135" s="96">
        <f t="shared" si="51"/>
        <v>0</v>
      </c>
      <c r="J135" s="96">
        <f t="shared" si="52"/>
        <v>6.450000000000003E-2</v>
      </c>
      <c r="Y135" s="96">
        <f t="shared" si="63"/>
        <v>4</v>
      </c>
      <c r="Z135" s="96">
        <v>1.49</v>
      </c>
      <c r="AA135" s="272">
        <f t="shared" ref="AA135:AA198" si="64">1+MAX(AQ135,AS135)</f>
        <v>4</v>
      </c>
      <c r="AB135" s="519">
        <f t="shared" ref="AB135:AB198" si="65">MAX(($C$72/Z135)^2*$D$65,$C$68)</f>
        <v>3</v>
      </c>
      <c r="AC135" s="272">
        <f t="shared" si="53"/>
        <v>2</v>
      </c>
      <c r="AD135" s="272">
        <f t="shared" si="54"/>
        <v>5.0032396318338108</v>
      </c>
      <c r="AE135" s="272">
        <f t="shared" ref="AE135:AE198" si="66">MAX(MIN(ROUNDUP(AD135,0)-1,AC135+1),AC135-1)</f>
        <v>3</v>
      </c>
      <c r="AF135" s="272">
        <f t="shared" si="55"/>
        <v>3</v>
      </c>
      <c r="AG135" s="272">
        <f t="shared" ref="AG135:AG198" si="67">MAX(MIN(ROUNDUP(AF135,0)-1,AE135+1),AE135-1)</f>
        <v>2</v>
      </c>
      <c r="AH135" s="272">
        <f t="shared" si="56"/>
        <v>5.0032396318338108</v>
      </c>
      <c r="AI135" s="272">
        <f t="shared" ref="AI135:AI198" si="68">MAX(MIN(ROUNDUP(AH135,0)-1,AG135+1),AG135-1)</f>
        <v>3</v>
      </c>
      <c r="AJ135" s="272">
        <f t="shared" si="57"/>
        <v>3</v>
      </c>
      <c r="AK135" s="272">
        <f t="shared" ref="AK135:AK198" si="69">MAX(MIN(ROUNDUP(AJ135,0)-1,AI135+1),AI135-1)</f>
        <v>2</v>
      </c>
      <c r="AL135" s="272">
        <f t="shared" si="58"/>
        <v>5.0032396318338108</v>
      </c>
      <c r="AM135" s="272">
        <f t="shared" ref="AM135:AM198" si="70">MAX(MIN(ROUNDUP(AL135,0)-1,AK135+1),AK135-1)</f>
        <v>3</v>
      </c>
      <c r="AN135" s="272">
        <f t="shared" si="59"/>
        <v>3</v>
      </c>
      <c r="AO135" s="272">
        <f t="shared" ref="AO135:AO198" si="71">MAX(MIN(ROUNDUP(AN135,0)-1,AM135+1),AM135-1)</f>
        <v>2</v>
      </c>
      <c r="AP135" s="272">
        <f t="shared" si="60"/>
        <v>5.0032396318338108</v>
      </c>
      <c r="AQ135" s="272">
        <f t="shared" ref="AQ135:AQ198" si="72">MAX(MIN(ROUNDUP(AP135,0)-1,AO135+1),AO135-1)</f>
        <v>3</v>
      </c>
      <c r="AR135" s="272">
        <f t="shared" si="61"/>
        <v>3</v>
      </c>
      <c r="AS135" s="272">
        <f t="shared" ref="AS135:AS198" si="73">MAX(MIN(ROUNDUP(AR135,0)-1,AQ135+1),AQ135-1)</f>
        <v>2</v>
      </c>
      <c r="AT135" s="508">
        <f t="shared" si="62"/>
        <v>5.0032396318338108</v>
      </c>
    </row>
    <row r="136" spans="1:46" ht="12.75" customHeight="1">
      <c r="A136" s="96">
        <f>IF(MAX($F$93:F136)=$G$88,$G$88,F136)</f>
        <v>1.956778591013138E-7</v>
      </c>
      <c r="B136" s="481">
        <v>44</v>
      </c>
      <c r="C136" s="96">
        <f t="shared" si="50"/>
        <v>6.6000000000000031E-2</v>
      </c>
      <c r="D136" s="96">
        <f t="shared" si="33"/>
        <v>0.28310808682585398</v>
      </c>
      <c r="E136" s="96">
        <f t="shared" si="34"/>
        <v>0.99999999856899136</v>
      </c>
      <c r="F136" s="96">
        <f t="shared" si="29"/>
        <v>1.956778591013138E-7</v>
      </c>
      <c r="G136" s="96">
        <f t="shared" si="35"/>
        <v>-0.11599980432214091</v>
      </c>
      <c r="I136" s="96">
        <f t="shared" si="51"/>
        <v>0</v>
      </c>
      <c r="J136" s="96">
        <f t="shared" si="52"/>
        <v>6.6000000000000031E-2</v>
      </c>
      <c r="Y136" s="96">
        <f t="shared" si="63"/>
        <v>4</v>
      </c>
      <c r="Z136" s="517">
        <v>1.4850000000000001</v>
      </c>
      <c r="AA136" s="272">
        <f t="shared" si="64"/>
        <v>4</v>
      </c>
      <c r="AB136" s="519">
        <f t="shared" si="65"/>
        <v>3</v>
      </c>
      <c r="AC136" s="272">
        <f t="shared" si="53"/>
        <v>2</v>
      </c>
      <c r="AD136" s="272">
        <f t="shared" si="54"/>
        <v>5.0369882014915675</v>
      </c>
      <c r="AE136" s="272">
        <f t="shared" si="66"/>
        <v>3</v>
      </c>
      <c r="AF136" s="272">
        <f t="shared" si="55"/>
        <v>3</v>
      </c>
      <c r="AG136" s="272">
        <f t="shared" si="67"/>
        <v>2</v>
      </c>
      <c r="AH136" s="272">
        <f t="shared" si="56"/>
        <v>5.0369882014915675</v>
      </c>
      <c r="AI136" s="272">
        <f t="shared" si="68"/>
        <v>3</v>
      </c>
      <c r="AJ136" s="272">
        <f t="shared" si="57"/>
        <v>3</v>
      </c>
      <c r="AK136" s="272">
        <f t="shared" si="69"/>
        <v>2</v>
      </c>
      <c r="AL136" s="272">
        <f t="shared" si="58"/>
        <v>5.0369882014915675</v>
      </c>
      <c r="AM136" s="272">
        <f t="shared" si="70"/>
        <v>3</v>
      </c>
      <c r="AN136" s="272">
        <f t="shared" si="59"/>
        <v>3</v>
      </c>
      <c r="AO136" s="272">
        <f t="shared" si="71"/>
        <v>2</v>
      </c>
      <c r="AP136" s="272">
        <f t="shared" si="60"/>
        <v>5.0369882014915675</v>
      </c>
      <c r="AQ136" s="272">
        <f t="shared" si="72"/>
        <v>3</v>
      </c>
      <c r="AR136" s="272">
        <f t="shared" si="61"/>
        <v>3</v>
      </c>
      <c r="AS136" s="272">
        <f t="shared" si="73"/>
        <v>2</v>
      </c>
      <c r="AT136" s="508">
        <f t="shared" si="62"/>
        <v>5.0369882014915675</v>
      </c>
    </row>
    <row r="137" spans="1:46" ht="12.75" customHeight="1">
      <c r="A137" s="96">
        <f>IF(MAX($F$93:F137)=$G$88,$G$88,F137)</f>
        <v>2.5445922776275626E-7</v>
      </c>
      <c r="B137" s="481">
        <v>45</v>
      </c>
      <c r="C137" s="96">
        <f t="shared" si="50"/>
        <v>6.7500000000000032E-2</v>
      </c>
      <c r="D137" s="96">
        <f t="shared" si="33"/>
        <v>0.29612286974295166</v>
      </c>
      <c r="E137" s="96">
        <f t="shared" si="34"/>
        <v>0.9999999980942037</v>
      </c>
      <c r="F137" s="96">
        <f t="shared" si="29"/>
        <v>2.5445922776275626E-7</v>
      </c>
      <c r="G137" s="96">
        <f t="shared" si="35"/>
        <v>-0.11599974554077225</v>
      </c>
      <c r="I137" s="96">
        <f t="shared" si="51"/>
        <v>0</v>
      </c>
      <c r="J137" s="96">
        <f t="shared" si="52"/>
        <v>6.7500000000000032E-2</v>
      </c>
      <c r="Y137" s="96">
        <f t="shared" si="63"/>
        <v>4</v>
      </c>
      <c r="Z137" s="96">
        <v>1.48</v>
      </c>
      <c r="AA137" s="272">
        <f t="shared" si="64"/>
        <v>4</v>
      </c>
      <c r="AB137" s="519">
        <f t="shared" si="65"/>
        <v>3</v>
      </c>
      <c r="AC137" s="272">
        <f t="shared" si="53"/>
        <v>2</v>
      </c>
      <c r="AD137" s="272">
        <f t="shared" si="54"/>
        <v>5.0710793949206732</v>
      </c>
      <c r="AE137" s="272">
        <f t="shared" si="66"/>
        <v>3</v>
      </c>
      <c r="AF137" s="272">
        <f t="shared" si="55"/>
        <v>3</v>
      </c>
      <c r="AG137" s="272">
        <f t="shared" si="67"/>
        <v>2</v>
      </c>
      <c r="AH137" s="272">
        <f t="shared" si="56"/>
        <v>5.0710793949206732</v>
      </c>
      <c r="AI137" s="272">
        <f t="shared" si="68"/>
        <v>3</v>
      </c>
      <c r="AJ137" s="272">
        <f t="shared" si="57"/>
        <v>3</v>
      </c>
      <c r="AK137" s="272">
        <f t="shared" si="69"/>
        <v>2</v>
      </c>
      <c r="AL137" s="272">
        <f t="shared" si="58"/>
        <v>5.0710793949206732</v>
      </c>
      <c r="AM137" s="272">
        <f t="shared" si="70"/>
        <v>3</v>
      </c>
      <c r="AN137" s="272">
        <f t="shared" si="59"/>
        <v>3</v>
      </c>
      <c r="AO137" s="272">
        <f t="shared" si="71"/>
        <v>2</v>
      </c>
      <c r="AP137" s="272">
        <f t="shared" si="60"/>
        <v>5.0710793949206732</v>
      </c>
      <c r="AQ137" s="272">
        <f t="shared" si="72"/>
        <v>3</v>
      </c>
      <c r="AR137" s="272">
        <f t="shared" si="61"/>
        <v>3</v>
      </c>
      <c r="AS137" s="272">
        <f t="shared" si="73"/>
        <v>2</v>
      </c>
      <c r="AT137" s="508">
        <f t="shared" si="62"/>
        <v>5.0710793949206732</v>
      </c>
    </row>
    <row r="138" spans="1:46" ht="12.75" customHeight="1">
      <c r="A138" s="96">
        <f>IF(MAX($F$93:F138)=$G$88,$G$88,F138)</f>
        <v>3.2890524008048294E-7</v>
      </c>
      <c r="B138" s="481">
        <v>46</v>
      </c>
      <c r="C138" s="96">
        <f t="shared" si="50"/>
        <v>6.9000000000000034E-2</v>
      </c>
      <c r="D138" s="96">
        <f t="shared" si="33"/>
        <v>0.30943011969189416</v>
      </c>
      <c r="E138" s="96">
        <f t="shared" si="34"/>
        <v>0.99999999747845181</v>
      </c>
      <c r="F138" s="96">
        <f t="shared" si="29"/>
        <v>3.2890524008048294E-7</v>
      </c>
      <c r="G138" s="96">
        <f t="shared" si="35"/>
        <v>-0.11599967109475992</v>
      </c>
      <c r="I138" s="96">
        <f t="shared" si="51"/>
        <v>0</v>
      </c>
      <c r="J138" s="96">
        <f t="shared" si="52"/>
        <v>6.9000000000000034E-2</v>
      </c>
      <c r="Y138" s="96">
        <f t="shared" si="63"/>
        <v>4</v>
      </c>
      <c r="Z138" s="517">
        <v>1.4750000000000001</v>
      </c>
      <c r="AA138" s="272">
        <f t="shared" si="64"/>
        <v>4</v>
      </c>
      <c r="AB138" s="519">
        <f t="shared" si="65"/>
        <v>3</v>
      </c>
      <c r="AC138" s="272">
        <f t="shared" si="53"/>
        <v>2</v>
      </c>
      <c r="AD138" s="272">
        <f t="shared" si="54"/>
        <v>5.1055178657324873</v>
      </c>
      <c r="AE138" s="272">
        <f t="shared" si="66"/>
        <v>3</v>
      </c>
      <c r="AF138" s="272">
        <f t="shared" si="55"/>
        <v>3</v>
      </c>
      <c r="AG138" s="272">
        <f t="shared" si="67"/>
        <v>2</v>
      </c>
      <c r="AH138" s="272">
        <f t="shared" si="56"/>
        <v>5.1055178657324873</v>
      </c>
      <c r="AI138" s="272">
        <f t="shared" si="68"/>
        <v>3</v>
      </c>
      <c r="AJ138" s="272">
        <f t="shared" si="57"/>
        <v>3</v>
      </c>
      <c r="AK138" s="272">
        <f t="shared" si="69"/>
        <v>2</v>
      </c>
      <c r="AL138" s="272">
        <f t="shared" si="58"/>
        <v>5.1055178657324873</v>
      </c>
      <c r="AM138" s="272">
        <f t="shared" si="70"/>
        <v>3</v>
      </c>
      <c r="AN138" s="272">
        <f t="shared" si="59"/>
        <v>3</v>
      </c>
      <c r="AO138" s="272">
        <f t="shared" si="71"/>
        <v>2</v>
      </c>
      <c r="AP138" s="272">
        <f t="shared" si="60"/>
        <v>5.1055178657324873</v>
      </c>
      <c r="AQ138" s="272">
        <f t="shared" si="72"/>
        <v>3</v>
      </c>
      <c r="AR138" s="272">
        <f t="shared" si="61"/>
        <v>3</v>
      </c>
      <c r="AS138" s="272">
        <f t="shared" si="73"/>
        <v>2</v>
      </c>
      <c r="AT138" s="508">
        <f t="shared" si="62"/>
        <v>5.1055178657324873</v>
      </c>
    </row>
    <row r="139" spans="1:46" ht="12.75" customHeight="1">
      <c r="A139" s="96">
        <f>IF(MAX($F$93:F139)=$G$88,$G$88,F139)</f>
        <v>4.2267749300606278E-7</v>
      </c>
      <c r="B139" s="481">
        <v>47</v>
      </c>
      <c r="C139" s="96">
        <f t="shared" si="50"/>
        <v>7.0500000000000035E-2</v>
      </c>
      <c r="D139" s="96">
        <f t="shared" si="33"/>
        <v>0.32302983667268159</v>
      </c>
      <c r="E139" s="96">
        <f t="shared" si="34"/>
        <v>0.99999999668460982</v>
      </c>
      <c r="F139" s="96">
        <f t="shared" si="29"/>
        <v>4.2267749300606278E-7</v>
      </c>
      <c r="G139" s="96">
        <f t="shared" si="35"/>
        <v>-0.115999577322507</v>
      </c>
      <c r="I139" s="96">
        <f t="shared" si="51"/>
        <v>0</v>
      </c>
      <c r="J139" s="96">
        <f t="shared" si="52"/>
        <v>7.0500000000000035E-2</v>
      </c>
      <c r="Y139" s="96">
        <f t="shared" si="63"/>
        <v>4</v>
      </c>
      <c r="Z139" s="96">
        <v>1.47</v>
      </c>
      <c r="AA139" s="272">
        <f t="shared" si="64"/>
        <v>4</v>
      </c>
      <c r="AB139" s="519">
        <f t="shared" si="65"/>
        <v>3</v>
      </c>
      <c r="AC139" s="272">
        <f t="shared" si="53"/>
        <v>2</v>
      </c>
      <c r="AD139" s="272">
        <f t="shared" si="54"/>
        <v>5.1403083468157913</v>
      </c>
      <c r="AE139" s="272">
        <f t="shared" si="66"/>
        <v>3</v>
      </c>
      <c r="AF139" s="272">
        <f t="shared" si="55"/>
        <v>3</v>
      </c>
      <c r="AG139" s="272">
        <f t="shared" si="67"/>
        <v>2</v>
      </c>
      <c r="AH139" s="272">
        <f t="shared" si="56"/>
        <v>5.1403083468157913</v>
      </c>
      <c r="AI139" s="272">
        <f t="shared" si="68"/>
        <v>3</v>
      </c>
      <c r="AJ139" s="272">
        <f t="shared" si="57"/>
        <v>3</v>
      </c>
      <c r="AK139" s="272">
        <f t="shared" si="69"/>
        <v>2</v>
      </c>
      <c r="AL139" s="272">
        <f t="shared" si="58"/>
        <v>5.1403083468157913</v>
      </c>
      <c r="AM139" s="272">
        <f t="shared" si="70"/>
        <v>3</v>
      </c>
      <c r="AN139" s="272">
        <f t="shared" si="59"/>
        <v>3</v>
      </c>
      <c r="AO139" s="272">
        <f t="shared" si="71"/>
        <v>2</v>
      </c>
      <c r="AP139" s="272">
        <f t="shared" si="60"/>
        <v>5.1403083468157913</v>
      </c>
      <c r="AQ139" s="272">
        <f t="shared" si="72"/>
        <v>3</v>
      </c>
      <c r="AR139" s="272">
        <f t="shared" si="61"/>
        <v>3</v>
      </c>
      <c r="AS139" s="272">
        <f t="shared" si="73"/>
        <v>2</v>
      </c>
      <c r="AT139" s="508">
        <f t="shared" si="62"/>
        <v>5.1403083468157913</v>
      </c>
    </row>
    <row r="140" spans="1:46" ht="12.75" customHeight="1">
      <c r="A140" s="96">
        <f>IF(MAX($F$93:F140)=$G$88,$G$88,F140)</f>
        <v>5.4017663305335373E-7</v>
      </c>
      <c r="B140" s="481">
        <v>48</v>
      </c>
      <c r="C140" s="96">
        <f t="shared" si="50"/>
        <v>7.2000000000000036E-2</v>
      </c>
      <c r="D140" s="96">
        <f t="shared" si="33"/>
        <v>0.33692202068531391</v>
      </c>
      <c r="E140" s="96">
        <f t="shared" si="34"/>
        <v>0.99999999566697684</v>
      </c>
      <c r="F140" s="96">
        <f t="shared" si="29"/>
        <v>5.4017663305335373E-7</v>
      </c>
      <c r="G140" s="96">
        <f t="shared" si="35"/>
        <v>-0.11599945982336696</v>
      </c>
      <c r="I140" s="96">
        <f t="shared" si="51"/>
        <v>0</v>
      </c>
      <c r="J140" s="96">
        <f t="shared" si="52"/>
        <v>7.2000000000000036E-2</v>
      </c>
      <c r="Y140" s="96">
        <f t="shared" si="63"/>
        <v>4</v>
      </c>
      <c r="Z140" s="517">
        <v>1.4650000000000001</v>
      </c>
      <c r="AA140" s="272">
        <f t="shared" si="64"/>
        <v>4</v>
      </c>
      <c r="AB140" s="519">
        <f t="shared" si="65"/>
        <v>3</v>
      </c>
      <c r="AC140" s="272">
        <f t="shared" si="53"/>
        <v>2</v>
      </c>
      <c r="AD140" s="272">
        <f t="shared" si="54"/>
        <v>5.1754556519629782</v>
      </c>
      <c r="AE140" s="272">
        <f t="shared" si="66"/>
        <v>3</v>
      </c>
      <c r="AF140" s="272">
        <f t="shared" si="55"/>
        <v>3</v>
      </c>
      <c r="AG140" s="272">
        <f t="shared" si="67"/>
        <v>2</v>
      </c>
      <c r="AH140" s="272">
        <f t="shared" si="56"/>
        <v>5.1754556519629782</v>
      </c>
      <c r="AI140" s="272">
        <f t="shared" si="68"/>
        <v>3</v>
      </c>
      <c r="AJ140" s="272">
        <f t="shared" si="57"/>
        <v>3</v>
      </c>
      <c r="AK140" s="272">
        <f t="shared" si="69"/>
        <v>2</v>
      </c>
      <c r="AL140" s="272">
        <f t="shared" si="58"/>
        <v>5.1754556519629782</v>
      </c>
      <c r="AM140" s="272">
        <f t="shared" si="70"/>
        <v>3</v>
      </c>
      <c r="AN140" s="272">
        <f t="shared" si="59"/>
        <v>3</v>
      </c>
      <c r="AO140" s="272">
        <f t="shared" si="71"/>
        <v>2</v>
      </c>
      <c r="AP140" s="272">
        <f t="shared" si="60"/>
        <v>5.1754556519629782</v>
      </c>
      <c r="AQ140" s="272">
        <f t="shared" si="72"/>
        <v>3</v>
      </c>
      <c r="AR140" s="272">
        <f t="shared" si="61"/>
        <v>3</v>
      </c>
      <c r="AS140" s="272">
        <f t="shared" si="73"/>
        <v>2</v>
      </c>
      <c r="AT140" s="508">
        <f t="shared" si="62"/>
        <v>5.1754556519629782</v>
      </c>
    </row>
    <row r="141" spans="1:46" ht="12.75" customHeight="1">
      <c r="A141" s="96">
        <f>IF(MAX($F$93:F141)=$G$88,$G$88,F141)</f>
        <v>6.8666867007275779E-7</v>
      </c>
      <c r="B141" s="481">
        <v>49</v>
      </c>
      <c r="C141" s="96">
        <f t="shared" si="50"/>
        <v>7.3500000000000038E-2</v>
      </c>
      <c r="D141" s="96">
        <f t="shared" si="33"/>
        <v>0.35110667172979104</v>
      </c>
      <c r="E141" s="96">
        <f t="shared" si="34"/>
        <v>0.9999999943695671</v>
      </c>
      <c r="F141" s="96">
        <f t="shared" si="29"/>
        <v>6.8666867007275779E-7</v>
      </c>
      <c r="G141" s="96">
        <f t="shared" si="35"/>
        <v>-0.11599931333132993</v>
      </c>
      <c r="I141" s="96">
        <f t="shared" si="51"/>
        <v>0</v>
      </c>
      <c r="J141" s="96">
        <f t="shared" si="52"/>
        <v>7.3500000000000038E-2</v>
      </c>
      <c r="Y141" s="96">
        <f t="shared" si="63"/>
        <v>4</v>
      </c>
      <c r="Z141" s="96">
        <v>1.46</v>
      </c>
      <c r="AA141" s="272">
        <f t="shared" si="64"/>
        <v>4</v>
      </c>
      <c r="AB141" s="519">
        <f t="shared" si="65"/>
        <v>3</v>
      </c>
      <c r="AC141" s="272">
        <f t="shared" si="53"/>
        <v>2</v>
      </c>
      <c r="AD141" s="272">
        <f t="shared" si="54"/>
        <v>5.2109646775352987</v>
      </c>
      <c r="AE141" s="272">
        <f t="shared" si="66"/>
        <v>3</v>
      </c>
      <c r="AF141" s="272">
        <f t="shared" si="55"/>
        <v>3</v>
      </c>
      <c r="AG141" s="272">
        <f t="shared" si="67"/>
        <v>2</v>
      </c>
      <c r="AH141" s="272">
        <f t="shared" si="56"/>
        <v>5.2109646775352987</v>
      </c>
      <c r="AI141" s="272">
        <f t="shared" si="68"/>
        <v>3</v>
      </c>
      <c r="AJ141" s="272">
        <f t="shared" si="57"/>
        <v>3</v>
      </c>
      <c r="AK141" s="272">
        <f t="shared" si="69"/>
        <v>2</v>
      </c>
      <c r="AL141" s="272">
        <f t="shared" si="58"/>
        <v>5.2109646775352987</v>
      </c>
      <c r="AM141" s="272">
        <f t="shared" si="70"/>
        <v>3</v>
      </c>
      <c r="AN141" s="272">
        <f t="shared" si="59"/>
        <v>3</v>
      </c>
      <c r="AO141" s="272">
        <f t="shared" si="71"/>
        <v>2</v>
      </c>
      <c r="AP141" s="272">
        <f t="shared" si="60"/>
        <v>5.2109646775352987</v>
      </c>
      <c r="AQ141" s="272">
        <f t="shared" si="72"/>
        <v>3</v>
      </c>
      <c r="AR141" s="272">
        <f t="shared" si="61"/>
        <v>3</v>
      </c>
      <c r="AS141" s="272">
        <f t="shared" si="73"/>
        <v>2</v>
      </c>
      <c r="AT141" s="508">
        <f t="shared" si="62"/>
        <v>5.2109646775352987</v>
      </c>
    </row>
    <row r="142" spans="1:46" ht="12.75" customHeight="1">
      <c r="A142" s="96">
        <f>IF(MAX($F$93:F142)=$G$88,$G$88,F142)</f>
        <v>8.6842841436525931E-7</v>
      </c>
      <c r="B142" s="481">
        <v>50</v>
      </c>
      <c r="C142" s="96">
        <f t="shared" si="50"/>
        <v>7.5000000000000039E-2</v>
      </c>
      <c r="D142" s="96">
        <f t="shared" si="33"/>
        <v>0.36558378980611317</v>
      </c>
      <c r="E142" s="96">
        <f t="shared" si="34"/>
        <v>0.99999999272411111</v>
      </c>
      <c r="F142" s="96">
        <f t="shared" si="29"/>
        <v>8.6842841436525931E-7</v>
      </c>
      <c r="G142" s="96">
        <f t="shared" si="35"/>
        <v>-0.11599913157158565</v>
      </c>
      <c r="I142" s="96">
        <f t="shared" si="51"/>
        <v>0</v>
      </c>
      <c r="J142" s="96">
        <f t="shared" si="52"/>
        <v>7.5000000000000039E-2</v>
      </c>
      <c r="Y142" s="96">
        <f t="shared" si="63"/>
        <v>4</v>
      </c>
      <c r="Z142" s="517">
        <v>1.4550000000000001</v>
      </c>
      <c r="AA142" s="272">
        <f t="shared" si="64"/>
        <v>4</v>
      </c>
      <c r="AB142" s="519">
        <f t="shared" si="65"/>
        <v>3</v>
      </c>
      <c r="AC142" s="272">
        <f t="shared" si="53"/>
        <v>2</v>
      </c>
      <c r="AD142" s="272">
        <f t="shared" si="54"/>
        <v>5.2468404041682275</v>
      </c>
      <c r="AE142" s="272">
        <f t="shared" si="66"/>
        <v>3</v>
      </c>
      <c r="AF142" s="272">
        <f t="shared" si="55"/>
        <v>3</v>
      </c>
      <c r="AG142" s="272">
        <f t="shared" si="67"/>
        <v>2</v>
      </c>
      <c r="AH142" s="272">
        <f t="shared" si="56"/>
        <v>5.2468404041682275</v>
      </c>
      <c r="AI142" s="272">
        <f t="shared" si="68"/>
        <v>3</v>
      </c>
      <c r="AJ142" s="272">
        <f t="shared" si="57"/>
        <v>3</v>
      </c>
      <c r="AK142" s="272">
        <f t="shared" si="69"/>
        <v>2</v>
      </c>
      <c r="AL142" s="272">
        <f t="shared" si="58"/>
        <v>5.2468404041682275</v>
      </c>
      <c r="AM142" s="272">
        <f t="shared" si="70"/>
        <v>3</v>
      </c>
      <c r="AN142" s="272">
        <f t="shared" si="59"/>
        <v>3</v>
      </c>
      <c r="AO142" s="272">
        <f t="shared" si="71"/>
        <v>2</v>
      </c>
      <c r="AP142" s="272">
        <f t="shared" si="60"/>
        <v>5.2468404041682275</v>
      </c>
      <c r="AQ142" s="272">
        <f t="shared" si="72"/>
        <v>3</v>
      </c>
      <c r="AR142" s="272">
        <f t="shared" si="61"/>
        <v>3</v>
      </c>
      <c r="AS142" s="272">
        <f t="shared" si="73"/>
        <v>2</v>
      </c>
      <c r="AT142" s="508">
        <f t="shared" si="62"/>
        <v>5.2468404041682275</v>
      </c>
    </row>
    <row r="143" spans="1:46" ht="12.75" customHeight="1">
      <c r="A143" s="96">
        <f>IF(MAX($F$93:F143)=$G$88,$G$88,F143)</f>
        <v>1.0929023945098018E-6</v>
      </c>
      <c r="B143" s="481">
        <v>51</v>
      </c>
      <c r="C143" s="96">
        <f t="shared" si="50"/>
        <v>7.650000000000004E-2</v>
      </c>
      <c r="D143" s="96">
        <f t="shared" si="33"/>
        <v>0.38035337491428012</v>
      </c>
      <c r="E143" s="96">
        <f t="shared" si="34"/>
        <v>0.99999999064773104</v>
      </c>
      <c r="F143" s="96">
        <f t="shared" si="29"/>
        <v>1.0929023945098018E-6</v>
      </c>
      <c r="G143" s="96">
        <f t="shared" si="35"/>
        <v>-0.11599890709760549</v>
      </c>
      <c r="I143" s="96">
        <f t="shared" si="51"/>
        <v>0</v>
      </c>
      <c r="J143" s="96">
        <f t="shared" si="52"/>
        <v>7.650000000000004E-2</v>
      </c>
      <c r="Y143" s="96">
        <f t="shared" si="63"/>
        <v>4</v>
      </c>
      <c r="Z143" s="96">
        <v>1.45</v>
      </c>
      <c r="AA143" s="272">
        <f t="shared" si="64"/>
        <v>4</v>
      </c>
      <c r="AB143" s="519">
        <f t="shared" si="65"/>
        <v>3</v>
      </c>
      <c r="AC143" s="272">
        <f t="shared" si="53"/>
        <v>2</v>
      </c>
      <c r="AD143" s="272">
        <f t="shared" si="54"/>
        <v>5.2830878985180707</v>
      </c>
      <c r="AE143" s="272">
        <f t="shared" si="66"/>
        <v>3</v>
      </c>
      <c r="AF143" s="272">
        <f t="shared" si="55"/>
        <v>3</v>
      </c>
      <c r="AG143" s="272">
        <f t="shared" si="67"/>
        <v>2</v>
      </c>
      <c r="AH143" s="272">
        <f t="shared" si="56"/>
        <v>5.2830878985180707</v>
      </c>
      <c r="AI143" s="272">
        <f t="shared" si="68"/>
        <v>3</v>
      </c>
      <c r="AJ143" s="272">
        <f t="shared" si="57"/>
        <v>3</v>
      </c>
      <c r="AK143" s="272">
        <f t="shared" si="69"/>
        <v>2</v>
      </c>
      <c r="AL143" s="272">
        <f t="shared" si="58"/>
        <v>5.2830878985180707</v>
      </c>
      <c r="AM143" s="272">
        <f t="shared" si="70"/>
        <v>3</v>
      </c>
      <c r="AN143" s="272">
        <f t="shared" si="59"/>
        <v>3</v>
      </c>
      <c r="AO143" s="272">
        <f t="shared" si="71"/>
        <v>2</v>
      </c>
      <c r="AP143" s="272">
        <f t="shared" si="60"/>
        <v>5.2830878985180707</v>
      </c>
      <c r="AQ143" s="272">
        <f t="shared" si="72"/>
        <v>3</v>
      </c>
      <c r="AR143" s="272">
        <f t="shared" si="61"/>
        <v>3</v>
      </c>
      <c r="AS143" s="272">
        <f t="shared" si="73"/>
        <v>2</v>
      </c>
      <c r="AT143" s="508">
        <f t="shared" si="62"/>
        <v>5.2830878985180707</v>
      </c>
    </row>
    <row r="144" spans="1:46" ht="12.75" customHeight="1">
      <c r="A144" s="96">
        <f>IF(MAX($F$93:F144)=$G$88,$G$88,F144)</f>
        <v>1.3688932506047042E-6</v>
      </c>
      <c r="B144" s="481">
        <v>52</v>
      </c>
      <c r="C144" s="96">
        <f t="shared" si="50"/>
        <v>7.8000000000000042E-2</v>
      </c>
      <c r="D144" s="96">
        <f t="shared" si="33"/>
        <v>0.39541542705429195</v>
      </c>
      <c r="E144" s="96">
        <f t="shared" si="34"/>
        <v>0.9999999880402437</v>
      </c>
      <c r="F144" s="96">
        <f t="shared" si="29"/>
        <v>1.3688932506047042E-6</v>
      </c>
      <c r="G144" s="96">
        <f t="shared" si="35"/>
        <v>-0.11599863110674941</v>
      </c>
      <c r="I144" s="96">
        <f t="shared" si="51"/>
        <v>0</v>
      </c>
      <c r="J144" s="96">
        <f t="shared" si="52"/>
        <v>7.8000000000000042E-2</v>
      </c>
      <c r="Y144" s="96">
        <f t="shared" si="63"/>
        <v>4</v>
      </c>
      <c r="Z144" s="517">
        <v>1.4450000000000001</v>
      </c>
      <c r="AA144" s="272">
        <f t="shared" si="64"/>
        <v>4</v>
      </c>
      <c r="AB144" s="519">
        <f t="shared" si="65"/>
        <v>3</v>
      </c>
      <c r="AC144" s="272">
        <f t="shared" si="53"/>
        <v>2</v>
      </c>
      <c r="AD144" s="272">
        <f t="shared" si="54"/>
        <v>5.3197123150509409</v>
      </c>
      <c r="AE144" s="272">
        <f t="shared" si="66"/>
        <v>3</v>
      </c>
      <c r="AF144" s="272">
        <f t="shared" si="55"/>
        <v>3</v>
      </c>
      <c r="AG144" s="272">
        <f t="shared" si="67"/>
        <v>2</v>
      </c>
      <c r="AH144" s="272">
        <f t="shared" si="56"/>
        <v>5.3197123150509409</v>
      </c>
      <c r="AI144" s="272">
        <f t="shared" si="68"/>
        <v>3</v>
      </c>
      <c r="AJ144" s="272">
        <f t="shared" si="57"/>
        <v>3</v>
      </c>
      <c r="AK144" s="272">
        <f t="shared" si="69"/>
        <v>2</v>
      </c>
      <c r="AL144" s="272">
        <f t="shared" si="58"/>
        <v>5.3197123150509409</v>
      </c>
      <c r="AM144" s="272">
        <f t="shared" si="70"/>
        <v>3</v>
      </c>
      <c r="AN144" s="272">
        <f t="shared" si="59"/>
        <v>3</v>
      </c>
      <c r="AO144" s="272">
        <f t="shared" si="71"/>
        <v>2</v>
      </c>
      <c r="AP144" s="272">
        <f t="shared" si="60"/>
        <v>5.3197123150509409</v>
      </c>
      <c r="AQ144" s="272">
        <f t="shared" si="72"/>
        <v>3</v>
      </c>
      <c r="AR144" s="272">
        <f t="shared" si="61"/>
        <v>3</v>
      </c>
      <c r="AS144" s="272">
        <f t="shared" si="73"/>
        <v>2</v>
      </c>
      <c r="AT144" s="508">
        <f t="shared" si="62"/>
        <v>5.3197123150509409</v>
      </c>
    </row>
    <row r="145" spans="1:46" ht="12.75" customHeight="1">
      <c r="A145" s="96">
        <f>IF(MAX($F$93:F145)=$G$88,$G$88,F145)</f>
        <v>1.7067675199082069E-6</v>
      </c>
      <c r="B145" s="481">
        <v>53</v>
      </c>
      <c r="C145" s="96">
        <f t="shared" si="50"/>
        <v>7.9500000000000043E-2</v>
      </c>
      <c r="D145" s="96">
        <f t="shared" si="33"/>
        <v>0.41076994622614871</v>
      </c>
      <c r="E145" s="96">
        <f t="shared" si="34"/>
        <v>0.99999998478104568</v>
      </c>
      <c r="F145" s="96">
        <f t="shared" si="29"/>
        <v>1.7067675199082069E-6</v>
      </c>
      <c r="G145" s="96">
        <f t="shared" si="35"/>
        <v>-0.11599829323248009</v>
      </c>
      <c r="I145" s="96">
        <f t="shared" si="51"/>
        <v>0</v>
      </c>
      <c r="J145" s="96">
        <f t="shared" si="52"/>
        <v>7.9500000000000043E-2</v>
      </c>
      <c r="Y145" s="96">
        <f t="shared" si="63"/>
        <v>4</v>
      </c>
      <c r="Z145" s="96">
        <v>1.44</v>
      </c>
      <c r="AA145" s="272">
        <f t="shared" si="64"/>
        <v>4</v>
      </c>
      <c r="AB145" s="519">
        <f t="shared" si="65"/>
        <v>3</v>
      </c>
      <c r="AC145" s="272">
        <f t="shared" si="53"/>
        <v>2</v>
      </c>
      <c r="AD145" s="272">
        <f t="shared" si="54"/>
        <v>5.3567188978753091</v>
      </c>
      <c r="AE145" s="272">
        <f t="shared" si="66"/>
        <v>3</v>
      </c>
      <c r="AF145" s="272">
        <f t="shared" si="55"/>
        <v>3</v>
      </c>
      <c r="AG145" s="272">
        <f t="shared" si="67"/>
        <v>2</v>
      </c>
      <c r="AH145" s="272">
        <f t="shared" si="56"/>
        <v>5.3567188978753091</v>
      </c>
      <c r="AI145" s="272">
        <f t="shared" si="68"/>
        <v>3</v>
      </c>
      <c r="AJ145" s="272">
        <f t="shared" si="57"/>
        <v>3</v>
      </c>
      <c r="AK145" s="272">
        <f t="shared" si="69"/>
        <v>2</v>
      </c>
      <c r="AL145" s="272">
        <f t="shared" si="58"/>
        <v>5.3567188978753091</v>
      </c>
      <c r="AM145" s="272">
        <f t="shared" si="70"/>
        <v>3</v>
      </c>
      <c r="AN145" s="272">
        <f t="shared" si="59"/>
        <v>3</v>
      </c>
      <c r="AO145" s="272">
        <f t="shared" si="71"/>
        <v>2</v>
      </c>
      <c r="AP145" s="272">
        <f t="shared" si="60"/>
        <v>5.3567188978753091</v>
      </c>
      <c r="AQ145" s="272">
        <f t="shared" si="72"/>
        <v>3</v>
      </c>
      <c r="AR145" s="272">
        <f t="shared" si="61"/>
        <v>3</v>
      </c>
      <c r="AS145" s="272">
        <f t="shared" si="73"/>
        <v>2</v>
      </c>
      <c r="AT145" s="508">
        <f t="shared" si="62"/>
        <v>5.3567188978753091</v>
      </c>
    </row>
    <row r="146" spans="1:46" ht="12.75" customHeight="1">
      <c r="A146" s="96">
        <f>IF(MAX($F$93:F146)=$G$88,$G$88,F146)</f>
        <v>2.1186891204412932E-6</v>
      </c>
      <c r="B146" s="481">
        <v>54</v>
      </c>
      <c r="C146" s="96">
        <f t="shared" si="50"/>
        <v>8.1000000000000044E-2</v>
      </c>
      <c r="D146" s="96">
        <f t="shared" si="33"/>
        <v>0.4264169324298504</v>
      </c>
      <c r="E146" s="96">
        <f t="shared" si="34"/>
        <v>0.99999998072552576</v>
      </c>
      <c r="F146" s="96">
        <f t="shared" si="29"/>
        <v>2.1186891204412932E-6</v>
      </c>
      <c r="G146" s="96">
        <f t="shared" si="35"/>
        <v>-0.11599788131087957</v>
      </c>
      <c r="I146" s="96">
        <f t="shared" si="51"/>
        <v>0</v>
      </c>
      <c r="J146" s="96">
        <f t="shared" si="52"/>
        <v>8.1000000000000044E-2</v>
      </c>
      <c r="Y146" s="96">
        <f t="shared" si="63"/>
        <v>4</v>
      </c>
      <c r="Z146" s="517">
        <v>1.4350000000000001</v>
      </c>
      <c r="AA146" s="272">
        <f t="shared" si="64"/>
        <v>4</v>
      </c>
      <c r="AB146" s="519">
        <f t="shared" si="65"/>
        <v>3</v>
      </c>
      <c r="AC146" s="272">
        <f t="shared" si="53"/>
        <v>2</v>
      </c>
      <c r="AD146" s="272">
        <f t="shared" si="54"/>
        <v>5.3941129826193057</v>
      </c>
      <c r="AE146" s="272">
        <f t="shared" si="66"/>
        <v>3</v>
      </c>
      <c r="AF146" s="272">
        <f t="shared" si="55"/>
        <v>3</v>
      </c>
      <c r="AG146" s="272">
        <f t="shared" si="67"/>
        <v>2</v>
      </c>
      <c r="AH146" s="272">
        <f t="shared" si="56"/>
        <v>5.3941129826193057</v>
      </c>
      <c r="AI146" s="272">
        <f t="shared" si="68"/>
        <v>3</v>
      </c>
      <c r="AJ146" s="272">
        <f t="shared" si="57"/>
        <v>3</v>
      </c>
      <c r="AK146" s="272">
        <f t="shared" si="69"/>
        <v>2</v>
      </c>
      <c r="AL146" s="272">
        <f t="shared" si="58"/>
        <v>5.3941129826193057</v>
      </c>
      <c r="AM146" s="272">
        <f t="shared" si="70"/>
        <v>3</v>
      </c>
      <c r="AN146" s="272">
        <f t="shared" si="59"/>
        <v>3</v>
      </c>
      <c r="AO146" s="272">
        <f t="shared" si="71"/>
        <v>2</v>
      </c>
      <c r="AP146" s="272">
        <f t="shared" si="60"/>
        <v>5.3941129826193057</v>
      </c>
      <c r="AQ146" s="272">
        <f t="shared" si="72"/>
        <v>3</v>
      </c>
      <c r="AR146" s="272">
        <f t="shared" si="61"/>
        <v>3</v>
      </c>
      <c r="AS146" s="272">
        <f t="shared" si="73"/>
        <v>2</v>
      </c>
      <c r="AT146" s="508">
        <f t="shared" si="62"/>
        <v>5.3941129826193057</v>
      </c>
    </row>
    <row r="147" spans="1:46" ht="12.75" customHeight="1">
      <c r="A147" s="96">
        <f>IF(MAX($F$93:F147)=$G$88,$G$88,F147)</f>
        <v>2.6188810194523646E-6</v>
      </c>
      <c r="B147" s="481">
        <v>55</v>
      </c>
      <c r="C147" s="96">
        <f t="shared" si="50"/>
        <v>8.2500000000000046E-2</v>
      </c>
      <c r="D147" s="96">
        <f t="shared" si="33"/>
        <v>0.44235638566539692</v>
      </c>
      <c r="E147" s="96">
        <f t="shared" si="34"/>
        <v>0.99999997570094945</v>
      </c>
      <c r="F147" s="96">
        <f t="shared" si="29"/>
        <v>2.6188810194523646E-6</v>
      </c>
      <c r="G147" s="96">
        <f t="shared" si="35"/>
        <v>-0.11599738111898056</v>
      </c>
      <c r="I147" s="96">
        <f t="shared" si="51"/>
        <v>0</v>
      </c>
      <c r="J147" s="96">
        <f t="shared" si="52"/>
        <v>8.2500000000000046E-2</v>
      </c>
      <c r="Y147" s="96">
        <f t="shared" si="63"/>
        <v>4</v>
      </c>
      <c r="Z147" s="96">
        <v>1.43</v>
      </c>
      <c r="AA147" s="272">
        <f t="shared" si="64"/>
        <v>4</v>
      </c>
      <c r="AB147" s="519">
        <f t="shared" si="65"/>
        <v>3</v>
      </c>
      <c r="AC147" s="272">
        <f t="shared" si="53"/>
        <v>2</v>
      </c>
      <c r="AD147" s="272">
        <f t="shared" si="54"/>
        <v>5.4318999983540737</v>
      </c>
      <c r="AE147" s="272">
        <f t="shared" si="66"/>
        <v>3</v>
      </c>
      <c r="AF147" s="272">
        <f t="shared" si="55"/>
        <v>3</v>
      </c>
      <c r="AG147" s="272">
        <f t="shared" si="67"/>
        <v>2</v>
      </c>
      <c r="AH147" s="272">
        <f t="shared" si="56"/>
        <v>5.4318999983540737</v>
      </c>
      <c r="AI147" s="272">
        <f t="shared" si="68"/>
        <v>3</v>
      </c>
      <c r="AJ147" s="272">
        <f t="shared" si="57"/>
        <v>3</v>
      </c>
      <c r="AK147" s="272">
        <f t="shared" si="69"/>
        <v>2</v>
      </c>
      <c r="AL147" s="272">
        <f t="shared" si="58"/>
        <v>5.4318999983540737</v>
      </c>
      <c r="AM147" s="272">
        <f t="shared" si="70"/>
        <v>3</v>
      </c>
      <c r="AN147" s="272">
        <f t="shared" si="59"/>
        <v>3</v>
      </c>
      <c r="AO147" s="272">
        <f t="shared" si="71"/>
        <v>2</v>
      </c>
      <c r="AP147" s="272">
        <f t="shared" si="60"/>
        <v>5.4318999983540737</v>
      </c>
      <c r="AQ147" s="272">
        <f t="shared" si="72"/>
        <v>3</v>
      </c>
      <c r="AR147" s="272">
        <f t="shared" si="61"/>
        <v>3</v>
      </c>
      <c r="AS147" s="272">
        <f t="shared" si="73"/>
        <v>2</v>
      </c>
      <c r="AT147" s="508">
        <f t="shared" si="62"/>
        <v>5.4318999983540737</v>
      </c>
    </row>
    <row r="148" spans="1:46" ht="12.75" customHeight="1">
      <c r="A148" s="96">
        <f>IF(MAX($F$93:F148)=$G$88,$G$88,F148)</f>
        <v>3.2239174959277266E-6</v>
      </c>
      <c r="B148" s="481">
        <v>56</v>
      </c>
      <c r="C148" s="96">
        <f t="shared" si="50"/>
        <v>8.4000000000000047E-2</v>
      </c>
      <c r="D148" s="96">
        <f t="shared" si="33"/>
        <v>0.45858830593278832</v>
      </c>
      <c r="E148" s="96">
        <f t="shared" si="34"/>
        <v>0.99999996950174996</v>
      </c>
      <c r="F148" s="96">
        <f t="shared" si="29"/>
        <v>3.2239174959277266E-6</v>
      </c>
      <c r="G148" s="96">
        <f t="shared" si="35"/>
        <v>-0.11599677608250408</v>
      </c>
      <c r="I148" s="96">
        <f t="shared" si="51"/>
        <v>0</v>
      </c>
      <c r="J148" s="96">
        <f t="shared" si="52"/>
        <v>8.4000000000000047E-2</v>
      </c>
      <c r="Y148" s="96">
        <f t="shared" si="63"/>
        <v>4</v>
      </c>
      <c r="Z148" s="517">
        <v>1.425</v>
      </c>
      <c r="AA148" s="272">
        <f t="shared" si="64"/>
        <v>4</v>
      </c>
      <c r="AB148" s="519">
        <f t="shared" si="65"/>
        <v>3</v>
      </c>
      <c r="AC148" s="272">
        <f t="shared" si="53"/>
        <v>2</v>
      </c>
      <c r="AD148" s="272">
        <f t="shared" si="54"/>
        <v>5.4700854695644168</v>
      </c>
      <c r="AE148" s="272">
        <f t="shared" si="66"/>
        <v>3</v>
      </c>
      <c r="AF148" s="272">
        <f t="shared" si="55"/>
        <v>3</v>
      </c>
      <c r="AG148" s="272">
        <f t="shared" si="67"/>
        <v>2</v>
      </c>
      <c r="AH148" s="272">
        <f t="shared" si="56"/>
        <v>5.4700854695644168</v>
      </c>
      <c r="AI148" s="272">
        <f t="shared" si="68"/>
        <v>3</v>
      </c>
      <c r="AJ148" s="272">
        <f t="shared" si="57"/>
        <v>3</v>
      </c>
      <c r="AK148" s="272">
        <f t="shared" si="69"/>
        <v>2</v>
      </c>
      <c r="AL148" s="272">
        <f t="shared" si="58"/>
        <v>5.4700854695644168</v>
      </c>
      <c r="AM148" s="272">
        <f t="shared" si="70"/>
        <v>3</v>
      </c>
      <c r="AN148" s="272">
        <f t="shared" si="59"/>
        <v>3</v>
      </c>
      <c r="AO148" s="272">
        <f t="shared" si="71"/>
        <v>2</v>
      </c>
      <c r="AP148" s="272">
        <f t="shared" si="60"/>
        <v>5.4700854695644168</v>
      </c>
      <c r="AQ148" s="272">
        <f t="shared" si="72"/>
        <v>3</v>
      </c>
      <c r="AR148" s="272">
        <f t="shared" si="61"/>
        <v>3</v>
      </c>
      <c r="AS148" s="272">
        <f t="shared" si="73"/>
        <v>2</v>
      </c>
      <c r="AT148" s="508">
        <f t="shared" si="62"/>
        <v>5.4700854695644168</v>
      </c>
    </row>
    <row r="149" spans="1:46" ht="12.75" customHeight="1">
      <c r="A149" s="96">
        <f>IF(MAX($F$93:F149)=$G$88,$G$88,F149)</f>
        <v>3.9530494581422691E-6</v>
      </c>
      <c r="B149" s="481">
        <v>57</v>
      </c>
      <c r="C149" s="96">
        <f t="shared" si="50"/>
        <v>8.5500000000000048E-2</v>
      </c>
      <c r="D149" s="96">
        <f t="shared" si="33"/>
        <v>0.47511269323202471</v>
      </c>
      <c r="E149" s="96">
        <f t="shared" si="34"/>
        <v>0.99999996188416018</v>
      </c>
      <c r="F149" s="96">
        <f t="shared" si="29"/>
        <v>3.9530494581422691E-6</v>
      </c>
      <c r="G149" s="96">
        <f t="shared" si="35"/>
        <v>-0.11599604695054186</v>
      </c>
      <c r="I149" s="96">
        <f t="shared" si="51"/>
        <v>0</v>
      </c>
      <c r="J149" s="96">
        <f t="shared" si="52"/>
        <v>8.5500000000000048E-2</v>
      </c>
      <c r="Y149" s="96">
        <f t="shared" si="63"/>
        <v>4</v>
      </c>
      <c r="Z149" s="96">
        <v>1.42</v>
      </c>
      <c r="AA149" s="272">
        <f t="shared" si="64"/>
        <v>4</v>
      </c>
      <c r="AB149" s="519">
        <f t="shared" si="65"/>
        <v>3</v>
      </c>
      <c r="AC149" s="272">
        <f t="shared" si="53"/>
        <v>2</v>
      </c>
      <c r="AD149" s="272">
        <f t="shared" si="54"/>
        <v>5.5086750181681428</v>
      </c>
      <c r="AE149" s="272">
        <f t="shared" si="66"/>
        <v>3</v>
      </c>
      <c r="AF149" s="272">
        <f t="shared" si="55"/>
        <v>3.0136771920714573</v>
      </c>
      <c r="AG149" s="272">
        <f t="shared" si="67"/>
        <v>3</v>
      </c>
      <c r="AH149" s="272">
        <f t="shared" si="56"/>
        <v>3.0136771920714573</v>
      </c>
      <c r="AI149" s="272">
        <f t="shared" si="68"/>
        <v>3</v>
      </c>
      <c r="AJ149" s="272">
        <f t="shared" si="57"/>
        <v>3.0136771920714573</v>
      </c>
      <c r="AK149" s="272">
        <f t="shared" si="69"/>
        <v>3</v>
      </c>
      <c r="AL149" s="272">
        <f t="shared" si="58"/>
        <v>3.0136771920714573</v>
      </c>
      <c r="AM149" s="272">
        <f t="shared" si="70"/>
        <v>3</v>
      </c>
      <c r="AN149" s="272">
        <f t="shared" si="59"/>
        <v>3.0136771920714573</v>
      </c>
      <c r="AO149" s="272">
        <f t="shared" si="71"/>
        <v>3</v>
      </c>
      <c r="AP149" s="272">
        <f t="shared" si="60"/>
        <v>3.0136771920714573</v>
      </c>
      <c r="AQ149" s="272">
        <f t="shared" si="72"/>
        <v>3</v>
      </c>
      <c r="AR149" s="272">
        <f t="shared" si="61"/>
        <v>3.0136771920714573</v>
      </c>
      <c r="AS149" s="272">
        <f t="shared" si="73"/>
        <v>3</v>
      </c>
      <c r="AT149" s="508">
        <f t="shared" si="62"/>
        <v>3.0136771920714573</v>
      </c>
    </row>
    <row r="150" spans="1:46" ht="12.75" customHeight="1">
      <c r="A150" s="96">
        <f>IF(MAX($F$93:F150)=$G$88,$G$88,F150)</f>
        <v>4.8285661062112215E-6</v>
      </c>
      <c r="B150" s="481">
        <v>58</v>
      </c>
      <c r="C150" s="96">
        <f t="shared" si="50"/>
        <v>8.700000000000005E-2</v>
      </c>
      <c r="D150" s="96">
        <f t="shared" si="33"/>
        <v>0.49192954756310592</v>
      </c>
      <c r="E150" s="96">
        <f t="shared" si="34"/>
        <v>0.99999995256010943</v>
      </c>
      <c r="F150" s="96">
        <f t="shared" si="29"/>
        <v>4.8285661062112215E-6</v>
      </c>
      <c r="G150" s="96">
        <f t="shared" si="35"/>
        <v>-0.11599517143389379</v>
      </c>
      <c r="I150" s="96">
        <f t="shared" si="51"/>
        <v>0</v>
      </c>
      <c r="J150" s="96">
        <f t="shared" si="52"/>
        <v>8.700000000000005E-2</v>
      </c>
      <c r="Y150" s="96">
        <f t="shared" si="63"/>
        <v>4</v>
      </c>
      <c r="Z150" s="517">
        <v>1.415</v>
      </c>
      <c r="AA150" s="272">
        <f t="shared" si="64"/>
        <v>4</v>
      </c>
      <c r="AB150" s="519">
        <f t="shared" si="65"/>
        <v>3</v>
      </c>
      <c r="AC150" s="272">
        <f t="shared" si="53"/>
        <v>2</v>
      </c>
      <c r="AD150" s="272">
        <f t="shared" si="54"/>
        <v>5.5476743655854079</v>
      </c>
      <c r="AE150" s="272">
        <f t="shared" si="66"/>
        <v>3</v>
      </c>
      <c r="AF150" s="272">
        <f t="shared" si="55"/>
        <v>3.0350128932027549</v>
      </c>
      <c r="AG150" s="272">
        <f t="shared" si="67"/>
        <v>3</v>
      </c>
      <c r="AH150" s="272">
        <f t="shared" si="56"/>
        <v>3.0350128932027549</v>
      </c>
      <c r="AI150" s="272">
        <f t="shared" si="68"/>
        <v>3</v>
      </c>
      <c r="AJ150" s="272">
        <f t="shared" si="57"/>
        <v>3.0350128932027549</v>
      </c>
      <c r="AK150" s="272">
        <f t="shared" si="69"/>
        <v>3</v>
      </c>
      <c r="AL150" s="272">
        <f t="shared" si="58"/>
        <v>3.0350128932027549</v>
      </c>
      <c r="AM150" s="272">
        <f t="shared" si="70"/>
        <v>3</v>
      </c>
      <c r="AN150" s="272">
        <f t="shared" si="59"/>
        <v>3.0350128932027549</v>
      </c>
      <c r="AO150" s="272">
        <f t="shared" si="71"/>
        <v>3</v>
      </c>
      <c r="AP150" s="272">
        <f t="shared" si="60"/>
        <v>3.0350128932027549</v>
      </c>
      <c r="AQ150" s="272">
        <f t="shared" si="72"/>
        <v>3</v>
      </c>
      <c r="AR150" s="272">
        <f t="shared" si="61"/>
        <v>3.0350128932027549</v>
      </c>
      <c r="AS150" s="272">
        <f t="shared" si="73"/>
        <v>3</v>
      </c>
      <c r="AT150" s="508">
        <f t="shared" si="62"/>
        <v>3.0350128932027549</v>
      </c>
    </row>
    <row r="151" spans="1:46" ht="12.75" customHeight="1">
      <c r="A151" s="96">
        <f>IF(MAX($F$93:F151)=$G$88,$G$88,F151)</f>
        <v>5.8761951674905309E-6</v>
      </c>
      <c r="B151" s="481">
        <v>59</v>
      </c>
      <c r="C151" s="96">
        <f t="shared" si="50"/>
        <v>8.8500000000000051E-2</v>
      </c>
      <c r="D151" s="96">
        <f t="shared" si="33"/>
        <v>0.50903886892603201</v>
      </c>
      <c r="E151" s="96">
        <f t="shared" si="34"/>
        <v>0.99999994119030544</v>
      </c>
      <c r="F151" s="96">
        <f t="shared" si="29"/>
        <v>5.8761951674905309E-6</v>
      </c>
      <c r="G151" s="96">
        <f t="shared" si="35"/>
        <v>-0.11599412380483251</v>
      </c>
      <c r="I151" s="96">
        <f t="shared" si="51"/>
        <v>0</v>
      </c>
      <c r="J151" s="96">
        <f t="shared" si="52"/>
        <v>8.8500000000000051E-2</v>
      </c>
      <c r="Y151" s="96">
        <f t="shared" si="63"/>
        <v>4</v>
      </c>
      <c r="Z151" s="96">
        <v>1.41</v>
      </c>
      <c r="AA151" s="272">
        <f t="shared" si="64"/>
        <v>4</v>
      </c>
      <c r="AB151" s="519">
        <f t="shared" si="65"/>
        <v>3</v>
      </c>
      <c r="AC151" s="272">
        <f t="shared" si="53"/>
        <v>2</v>
      </c>
      <c r="AD151" s="272">
        <f t="shared" si="54"/>
        <v>5.5870893348595372</v>
      </c>
      <c r="AE151" s="272">
        <f t="shared" si="66"/>
        <v>3</v>
      </c>
      <c r="AF151" s="272">
        <f t="shared" si="55"/>
        <v>3.0565759720803225</v>
      </c>
      <c r="AG151" s="272">
        <f t="shared" si="67"/>
        <v>3</v>
      </c>
      <c r="AH151" s="272">
        <f t="shared" si="56"/>
        <v>3.0565759720803225</v>
      </c>
      <c r="AI151" s="272">
        <f t="shared" si="68"/>
        <v>3</v>
      </c>
      <c r="AJ151" s="272">
        <f t="shared" si="57"/>
        <v>3.0565759720803225</v>
      </c>
      <c r="AK151" s="272">
        <f t="shared" si="69"/>
        <v>3</v>
      </c>
      <c r="AL151" s="272">
        <f t="shared" si="58"/>
        <v>3.0565759720803225</v>
      </c>
      <c r="AM151" s="272">
        <f t="shared" si="70"/>
        <v>3</v>
      </c>
      <c r="AN151" s="272">
        <f t="shared" si="59"/>
        <v>3.0565759720803225</v>
      </c>
      <c r="AO151" s="272">
        <f t="shared" si="71"/>
        <v>3</v>
      </c>
      <c r="AP151" s="272">
        <f t="shared" si="60"/>
        <v>3.0565759720803225</v>
      </c>
      <c r="AQ151" s="272">
        <f t="shared" si="72"/>
        <v>3</v>
      </c>
      <c r="AR151" s="272">
        <f t="shared" si="61"/>
        <v>3.0565759720803225</v>
      </c>
      <c r="AS151" s="272">
        <f t="shared" si="73"/>
        <v>3</v>
      </c>
      <c r="AT151" s="508">
        <f t="shared" si="62"/>
        <v>3.0565759720803225</v>
      </c>
    </row>
    <row r="152" spans="1:46" ht="12.75" customHeight="1">
      <c r="A152" s="96">
        <f>IF(MAX($F$93:F152)=$G$88,$G$88,F152)</f>
        <v>7.1255450206919582E-6</v>
      </c>
      <c r="B152" s="481">
        <v>60</v>
      </c>
      <c r="C152" s="96">
        <f t="shared" si="50"/>
        <v>9.0000000000000052E-2</v>
      </c>
      <c r="D152" s="96">
        <f t="shared" si="33"/>
        <v>0.52644065732080303</v>
      </c>
      <c r="E152" s="96">
        <f t="shared" si="34"/>
        <v>0.99999992737641585</v>
      </c>
      <c r="F152" s="96">
        <f t="shared" si="29"/>
        <v>7.1255450206919582E-6</v>
      </c>
      <c r="G152" s="96">
        <f t="shared" si="35"/>
        <v>-0.11599287445497931</v>
      </c>
      <c r="I152" s="96">
        <f t="shared" si="51"/>
        <v>0</v>
      </c>
      <c r="J152" s="96">
        <f t="shared" si="52"/>
        <v>9.0000000000000052E-2</v>
      </c>
      <c r="Y152" s="96">
        <f t="shared" si="63"/>
        <v>4</v>
      </c>
      <c r="Z152" s="517">
        <v>1.405</v>
      </c>
      <c r="AA152" s="272">
        <f t="shared" si="64"/>
        <v>4</v>
      </c>
      <c r="AB152" s="519">
        <f t="shared" si="65"/>
        <v>3</v>
      </c>
      <c r="AC152" s="272">
        <f t="shared" si="53"/>
        <v>2</v>
      </c>
      <c r="AD152" s="272">
        <f t="shared" si="54"/>
        <v>5.6269258528307606</v>
      </c>
      <c r="AE152" s="272">
        <f t="shared" si="66"/>
        <v>3</v>
      </c>
      <c r="AF152" s="272">
        <f t="shared" si="55"/>
        <v>3.0783696711505111</v>
      </c>
      <c r="AG152" s="272">
        <f t="shared" si="67"/>
        <v>3</v>
      </c>
      <c r="AH152" s="272">
        <f t="shared" si="56"/>
        <v>3.0783696711505111</v>
      </c>
      <c r="AI152" s="272">
        <f t="shared" si="68"/>
        <v>3</v>
      </c>
      <c r="AJ152" s="272">
        <f t="shared" si="57"/>
        <v>3.0783696711505111</v>
      </c>
      <c r="AK152" s="272">
        <f t="shared" si="69"/>
        <v>3</v>
      </c>
      <c r="AL152" s="272">
        <f t="shared" si="58"/>
        <v>3.0783696711505111</v>
      </c>
      <c r="AM152" s="272">
        <f t="shared" si="70"/>
        <v>3</v>
      </c>
      <c r="AN152" s="272">
        <f t="shared" si="59"/>
        <v>3.0783696711505111</v>
      </c>
      <c r="AO152" s="272">
        <f t="shared" si="71"/>
        <v>3</v>
      </c>
      <c r="AP152" s="272">
        <f t="shared" si="60"/>
        <v>3.0783696711505111</v>
      </c>
      <c r="AQ152" s="272">
        <f t="shared" si="72"/>
        <v>3</v>
      </c>
      <c r="AR152" s="272">
        <f t="shared" si="61"/>
        <v>3.0783696711505111</v>
      </c>
      <c r="AS152" s="272">
        <f t="shared" si="73"/>
        <v>3</v>
      </c>
      <c r="AT152" s="508">
        <f t="shared" si="62"/>
        <v>3.0783696711505111</v>
      </c>
    </row>
    <row r="153" spans="1:46" ht="12.75" customHeight="1">
      <c r="A153" s="96">
        <f>IF(MAX($F$93:F153)=$G$88,$G$88,F153)</f>
        <v>8.6105919727685887E-6</v>
      </c>
      <c r="B153" s="481">
        <v>61</v>
      </c>
      <c r="C153" s="96">
        <f t="shared" si="50"/>
        <v>9.1500000000000054E-2</v>
      </c>
      <c r="D153" s="96">
        <f t="shared" si="33"/>
        <v>0.54413491274741888</v>
      </c>
      <c r="E153" s="96">
        <f t="shared" si="34"/>
        <v>0.99999991065225535</v>
      </c>
      <c r="F153" s="96">
        <f t="shared" si="29"/>
        <v>8.6105919727685887E-6</v>
      </c>
      <c r="G153" s="96">
        <f t="shared" si="35"/>
        <v>-0.11599138940802724</v>
      </c>
      <c r="I153" s="96">
        <f t="shared" si="51"/>
        <v>0</v>
      </c>
      <c r="J153" s="96">
        <f t="shared" si="52"/>
        <v>9.1500000000000054E-2</v>
      </c>
      <c r="Y153" s="96">
        <f t="shared" si="63"/>
        <v>4</v>
      </c>
      <c r="Z153" s="96">
        <v>1.4</v>
      </c>
      <c r="AA153" s="272">
        <f t="shared" si="64"/>
        <v>4</v>
      </c>
      <c r="AB153" s="519">
        <f t="shared" si="65"/>
        <v>3</v>
      </c>
      <c r="AC153" s="272">
        <f t="shared" si="53"/>
        <v>2</v>
      </c>
      <c r="AD153" s="272">
        <f t="shared" si="54"/>
        <v>5.6671899523644109</v>
      </c>
      <c r="AE153" s="272">
        <f t="shared" si="66"/>
        <v>3</v>
      </c>
      <c r="AF153" s="272">
        <f t="shared" si="55"/>
        <v>3.1003972908637176</v>
      </c>
      <c r="AG153" s="272">
        <f t="shared" si="67"/>
        <v>3</v>
      </c>
      <c r="AH153" s="272">
        <f t="shared" si="56"/>
        <v>3.1003972908637176</v>
      </c>
      <c r="AI153" s="272">
        <f t="shared" si="68"/>
        <v>3</v>
      </c>
      <c r="AJ153" s="272">
        <f t="shared" si="57"/>
        <v>3.1003972908637176</v>
      </c>
      <c r="AK153" s="272">
        <f t="shared" si="69"/>
        <v>3</v>
      </c>
      <c r="AL153" s="272">
        <f t="shared" si="58"/>
        <v>3.1003972908637176</v>
      </c>
      <c r="AM153" s="272">
        <f t="shared" si="70"/>
        <v>3</v>
      </c>
      <c r="AN153" s="272">
        <f t="shared" si="59"/>
        <v>3.1003972908637176</v>
      </c>
      <c r="AO153" s="272">
        <f t="shared" si="71"/>
        <v>3</v>
      </c>
      <c r="AP153" s="272">
        <f t="shared" si="60"/>
        <v>3.1003972908637176</v>
      </c>
      <c r="AQ153" s="272">
        <f t="shared" si="72"/>
        <v>3</v>
      </c>
      <c r="AR153" s="272">
        <f t="shared" si="61"/>
        <v>3.1003972908637176</v>
      </c>
      <c r="AS153" s="272">
        <f t="shared" si="73"/>
        <v>3</v>
      </c>
      <c r="AT153" s="508">
        <f t="shared" si="62"/>
        <v>3.1003972908637176</v>
      </c>
    </row>
    <row r="154" spans="1:46" ht="12.75" customHeight="1">
      <c r="A154" s="96">
        <f>IF(MAX($F$93:F154)=$G$88,$G$88,F154)</f>
        <v>1.037021556404838E-5</v>
      </c>
      <c r="B154" s="481">
        <v>62</v>
      </c>
      <c r="C154" s="96">
        <f t="shared" si="50"/>
        <v>9.3000000000000055E-2</v>
      </c>
      <c r="D154" s="96">
        <f t="shared" si="33"/>
        <v>0.56212163520587966</v>
      </c>
      <c r="E154" s="96">
        <f t="shared" si="34"/>
        <v>0.99999989047387883</v>
      </c>
      <c r="F154" s="96">
        <f t="shared" si="29"/>
        <v>1.037021556404838E-5</v>
      </c>
      <c r="G154" s="96">
        <f t="shared" si="35"/>
        <v>-0.11598962978443596</v>
      </c>
      <c r="I154" s="96">
        <f t="shared" si="51"/>
        <v>0</v>
      </c>
      <c r="J154" s="96">
        <f t="shared" si="52"/>
        <v>9.3000000000000055E-2</v>
      </c>
      <c r="Y154" s="96">
        <f t="shared" si="63"/>
        <v>4</v>
      </c>
      <c r="Z154" s="517">
        <v>1.395</v>
      </c>
      <c r="AA154" s="272">
        <f t="shared" si="64"/>
        <v>4</v>
      </c>
      <c r="AB154" s="519">
        <f t="shared" si="65"/>
        <v>3</v>
      </c>
      <c r="AC154" s="272">
        <f t="shared" si="53"/>
        <v>2</v>
      </c>
      <c r="AD154" s="272">
        <f t="shared" si="54"/>
        <v>5.7078877746350862</v>
      </c>
      <c r="AE154" s="272">
        <f t="shared" si="66"/>
        <v>3</v>
      </c>
      <c r="AF154" s="272">
        <f t="shared" si="55"/>
        <v>3.1226621909240051</v>
      </c>
      <c r="AG154" s="272">
        <f t="shared" si="67"/>
        <v>3</v>
      </c>
      <c r="AH154" s="272">
        <f t="shared" si="56"/>
        <v>3.1226621909240051</v>
      </c>
      <c r="AI154" s="272">
        <f t="shared" si="68"/>
        <v>3</v>
      </c>
      <c r="AJ154" s="272">
        <f t="shared" si="57"/>
        <v>3.1226621909240051</v>
      </c>
      <c r="AK154" s="272">
        <f t="shared" si="69"/>
        <v>3</v>
      </c>
      <c r="AL154" s="272">
        <f t="shared" si="58"/>
        <v>3.1226621909240051</v>
      </c>
      <c r="AM154" s="272">
        <f t="shared" si="70"/>
        <v>3</v>
      </c>
      <c r="AN154" s="272">
        <f t="shared" si="59"/>
        <v>3.1226621909240051</v>
      </c>
      <c r="AO154" s="272">
        <f t="shared" si="71"/>
        <v>3</v>
      </c>
      <c r="AP154" s="272">
        <f t="shared" si="60"/>
        <v>3.1226621909240051</v>
      </c>
      <c r="AQ154" s="272">
        <f t="shared" si="72"/>
        <v>3</v>
      </c>
      <c r="AR154" s="272">
        <f t="shared" si="61"/>
        <v>3.1226621909240051</v>
      </c>
      <c r="AS154" s="272">
        <f t="shared" si="73"/>
        <v>3</v>
      </c>
      <c r="AT154" s="508">
        <f t="shared" si="62"/>
        <v>3.1226621909240051</v>
      </c>
    </row>
    <row r="155" spans="1:46" ht="12.75" customHeight="1">
      <c r="A155" s="96">
        <f>IF(MAX($F$93:F155)=$G$88,$G$88,F155)</f>
        <v>1.2448785398818291E-5</v>
      </c>
      <c r="B155" s="481">
        <v>63</v>
      </c>
      <c r="C155" s="96">
        <f t="shared" si="50"/>
        <v>9.4500000000000056E-2</v>
      </c>
      <c r="D155" s="96">
        <f t="shared" si="33"/>
        <v>0.58040082469618537</v>
      </c>
      <c r="E155" s="96">
        <f t="shared" si="34"/>
        <v>0.99999986620847436</v>
      </c>
      <c r="F155" s="96">
        <f t="shared" si="29"/>
        <v>1.2448785398818291E-5</v>
      </c>
      <c r="G155" s="96">
        <f t="shared" si="35"/>
        <v>-0.11598755121460119</v>
      </c>
      <c r="I155" s="96">
        <f t="shared" si="51"/>
        <v>0</v>
      </c>
      <c r="J155" s="96">
        <f t="shared" si="52"/>
        <v>9.4500000000000056E-2</v>
      </c>
      <c r="Y155" s="96">
        <f t="shared" si="63"/>
        <v>4</v>
      </c>
      <c r="Z155" s="96">
        <v>1.39</v>
      </c>
      <c r="AA155" s="272">
        <f t="shared" si="64"/>
        <v>4</v>
      </c>
      <c r="AB155" s="519">
        <f t="shared" si="65"/>
        <v>3</v>
      </c>
      <c r="AC155" s="272">
        <f t="shared" si="53"/>
        <v>2</v>
      </c>
      <c r="AD155" s="272">
        <f t="shared" si="54"/>
        <v>5.7490255714684766</v>
      </c>
      <c r="AE155" s="272">
        <f t="shared" si="66"/>
        <v>3</v>
      </c>
      <c r="AF155" s="272">
        <f t="shared" si="55"/>
        <v>3.1451677915702549</v>
      </c>
      <c r="AG155" s="272">
        <f t="shared" si="67"/>
        <v>3</v>
      </c>
      <c r="AH155" s="272">
        <f t="shared" si="56"/>
        <v>3.1451677915702549</v>
      </c>
      <c r="AI155" s="272">
        <f t="shared" si="68"/>
        <v>3</v>
      </c>
      <c r="AJ155" s="272">
        <f t="shared" si="57"/>
        <v>3.1451677915702549</v>
      </c>
      <c r="AK155" s="272">
        <f t="shared" si="69"/>
        <v>3</v>
      </c>
      <c r="AL155" s="272">
        <f t="shared" si="58"/>
        <v>3.1451677915702549</v>
      </c>
      <c r="AM155" s="272">
        <f t="shared" si="70"/>
        <v>3</v>
      </c>
      <c r="AN155" s="272">
        <f t="shared" si="59"/>
        <v>3.1451677915702549</v>
      </c>
      <c r="AO155" s="272">
        <f t="shared" si="71"/>
        <v>3</v>
      </c>
      <c r="AP155" s="272">
        <f t="shared" si="60"/>
        <v>3.1451677915702549</v>
      </c>
      <c r="AQ155" s="272">
        <f t="shared" si="72"/>
        <v>3</v>
      </c>
      <c r="AR155" s="272">
        <f t="shared" si="61"/>
        <v>3.1451677915702549</v>
      </c>
      <c r="AS155" s="272">
        <f t="shared" si="73"/>
        <v>3</v>
      </c>
      <c r="AT155" s="508">
        <f t="shared" si="62"/>
        <v>3.1451677915702549</v>
      </c>
    </row>
    <row r="156" spans="1:46" ht="12.75" customHeight="1">
      <c r="A156" s="96">
        <f>IF(MAX($F$93:F156)=$G$88,$G$88,F156)</f>
        <v>1.4896802739509475E-5</v>
      </c>
      <c r="B156" s="481">
        <v>64</v>
      </c>
      <c r="C156" s="96">
        <f t="shared" si="50"/>
        <v>9.6000000000000058E-2</v>
      </c>
      <c r="D156" s="96">
        <f t="shared" si="33"/>
        <v>0.59897248121833579</v>
      </c>
      <c r="E156" s="96">
        <f t="shared" si="34"/>
        <v>0.9999998371219414</v>
      </c>
      <c r="F156" s="96">
        <f t="shared" si="29"/>
        <v>1.4896802739509475E-5</v>
      </c>
      <c r="G156" s="96">
        <f t="shared" si="35"/>
        <v>-0.11598510319726049</v>
      </c>
      <c r="I156" s="96">
        <f t="shared" si="51"/>
        <v>0</v>
      </c>
      <c r="J156" s="96">
        <f t="shared" si="52"/>
        <v>9.6000000000000058E-2</v>
      </c>
      <c r="Y156" s="96">
        <f t="shared" si="63"/>
        <v>4</v>
      </c>
      <c r="Z156" s="517">
        <v>1.385</v>
      </c>
      <c r="AA156" s="272">
        <f t="shared" si="64"/>
        <v>4</v>
      </c>
      <c r="AB156" s="519">
        <f t="shared" si="65"/>
        <v>3</v>
      </c>
      <c r="AC156" s="272">
        <f t="shared" si="53"/>
        <v>2</v>
      </c>
      <c r="AD156" s="272">
        <f t="shared" si="54"/>
        <v>5.7906097077424414</v>
      </c>
      <c r="AE156" s="272">
        <f t="shared" si="66"/>
        <v>3</v>
      </c>
      <c r="AF156" s="272">
        <f t="shared" si="55"/>
        <v>3.1679175748897488</v>
      </c>
      <c r="AG156" s="272">
        <f t="shared" si="67"/>
        <v>3</v>
      </c>
      <c r="AH156" s="272">
        <f t="shared" si="56"/>
        <v>3.1679175748897488</v>
      </c>
      <c r="AI156" s="272">
        <f t="shared" si="68"/>
        <v>3</v>
      </c>
      <c r="AJ156" s="272">
        <f t="shared" si="57"/>
        <v>3.1679175748897488</v>
      </c>
      <c r="AK156" s="272">
        <f t="shared" si="69"/>
        <v>3</v>
      </c>
      <c r="AL156" s="272">
        <f t="shared" si="58"/>
        <v>3.1679175748897488</v>
      </c>
      <c r="AM156" s="272">
        <f t="shared" si="70"/>
        <v>3</v>
      </c>
      <c r="AN156" s="272">
        <f t="shared" si="59"/>
        <v>3.1679175748897488</v>
      </c>
      <c r="AO156" s="272">
        <f t="shared" si="71"/>
        <v>3</v>
      </c>
      <c r="AP156" s="272">
        <f t="shared" si="60"/>
        <v>3.1679175748897488</v>
      </c>
      <c r="AQ156" s="272">
        <f t="shared" si="72"/>
        <v>3</v>
      </c>
      <c r="AR156" s="272">
        <f t="shared" si="61"/>
        <v>3.1679175748897488</v>
      </c>
      <c r="AS156" s="272">
        <f t="shared" si="73"/>
        <v>3</v>
      </c>
      <c r="AT156" s="508">
        <f t="shared" si="62"/>
        <v>3.1679175748897488</v>
      </c>
    </row>
    <row r="157" spans="1:46" ht="12.75" customHeight="1">
      <c r="A157" s="96">
        <f>IF(MAX($F$93:F157)=$G$88,$G$88,F157)</f>
        <v>1.77716006984537E-5</v>
      </c>
      <c r="B157" s="481">
        <v>65</v>
      </c>
      <c r="C157" s="96">
        <f t="shared" si="50"/>
        <v>9.7500000000000059E-2</v>
      </c>
      <c r="D157" s="96">
        <f t="shared" si="33"/>
        <v>0.61783660477233127</v>
      </c>
      <c r="E157" s="96">
        <f t="shared" si="34"/>
        <v>0.99999980236503405</v>
      </c>
      <c r="F157" s="96">
        <f t="shared" ref="F157:F220" si="74">IF($E$12&lt;$F$90,NA(),$E$87*(E156-E158)/(2*$C$88))</f>
        <v>1.77716006984537E-5</v>
      </c>
      <c r="G157" s="96">
        <f t="shared" si="35"/>
        <v>-0.11598222839930156</v>
      </c>
      <c r="I157" s="96">
        <f t="shared" si="51"/>
        <v>0</v>
      </c>
      <c r="J157" s="96">
        <f t="shared" si="52"/>
        <v>9.7500000000000059E-2</v>
      </c>
      <c r="Y157" s="96">
        <f t="shared" si="63"/>
        <v>4</v>
      </c>
      <c r="Z157" s="96">
        <v>1.38</v>
      </c>
      <c r="AA157" s="272">
        <f t="shared" si="64"/>
        <v>4</v>
      </c>
      <c r="AB157" s="519">
        <f t="shared" si="65"/>
        <v>3</v>
      </c>
      <c r="AC157" s="272">
        <f t="shared" si="53"/>
        <v>2</v>
      </c>
      <c r="AD157" s="272">
        <f t="shared" si="54"/>
        <v>5.8326466638491103</v>
      </c>
      <c r="AE157" s="272">
        <f t="shared" si="66"/>
        <v>3</v>
      </c>
      <c r="AF157" s="272">
        <f t="shared" si="55"/>
        <v>3.1909150861651376</v>
      </c>
      <c r="AG157" s="272">
        <f t="shared" si="67"/>
        <v>3</v>
      </c>
      <c r="AH157" s="272">
        <f t="shared" si="56"/>
        <v>3.1909150861651376</v>
      </c>
      <c r="AI157" s="272">
        <f t="shared" si="68"/>
        <v>3</v>
      </c>
      <c r="AJ157" s="272">
        <f t="shared" si="57"/>
        <v>3.1909150861651376</v>
      </c>
      <c r="AK157" s="272">
        <f t="shared" si="69"/>
        <v>3</v>
      </c>
      <c r="AL157" s="272">
        <f t="shared" si="58"/>
        <v>3.1909150861651376</v>
      </c>
      <c r="AM157" s="272">
        <f t="shared" si="70"/>
        <v>3</v>
      </c>
      <c r="AN157" s="272">
        <f t="shared" si="59"/>
        <v>3.1909150861651376</v>
      </c>
      <c r="AO157" s="272">
        <f t="shared" si="71"/>
        <v>3</v>
      </c>
      <c r="AP157" s="272">
        <f t="shared" si="60"/>
        <v>3.1909150861651376</v>
      </c>
      <c r="AQ157" s="272">
        <f t="shared" si="72"/>
        <v>3</v>
      </c>
      <c r="AR157" s="272">
        <f t="shared" si="61"/>
        <v>3.1909150861651376</v>
      </c>
      <c r="AS157" s="272">
        <f t="shared" si="73"/>
        <v>3</v>
      </c>
      <c r="AT157" s="508">
        <f t="shared" si="62"/>
        <v>3.1909150861651376</v>
      </c>
    </row>
    <row r="158" spans="1:46" ht="12.75" customHeight="1">
      <c r="A158" s="96">
        <f>IF(MAX($F$93:F158)=$G$88,$G$88,F158)</f>
        <v>2.1138106109930274E-5</v>
      </c>
      <c r="B158" s="481">
        <v>66</v>
      </c>
      <c r="C158" s="96">
        <f t="shared" si="50"/>
        <v>9.900000000000006E-2</v>
      </c>
      <c r="D158" s="96">
        <f t="shared" ref="D158:D221" si="75">C158^2/$C$85</f>
        <v>0.63699319535817156</v>
      </c>
      <c r="E158" s="96">
        <f t="shared" ref="E158:E221" si="76">CHIDIST(D158,$E$85)</f>
        <v>0.99999976095793841</v>
      </c>
      <c r="F158" s="96">
        <f t="shared" si="74"/>
        <v>2.1138106109930274E-5</v>
      </c>
      <c r="G158" s="96">
        <f t="shared" ref="G158:G221" si="77">F158-$G$90</f>
        <v>-0.11597886189389008</v>
      </c>
      <c r="I158" s="96">
        <f t="shared" si="51"/>
        <v>0</v>
      </c>
      <c r="J158" s="96">
        <f t="shared" si="52"/>
        <v>9.900000000000006E-2</v>
      </c>
      <c r="Y158" s="96">
        <f t="shared" si="63"/>
        <v>4</v>
      </c>
      <c r="Z158" s="517">
        <v>1.375</v>
      </c>
      <c r="AA158" s="272">
        <f t="shared" si="64"/>
        <v>4</v>
      </c>
      <c r="AB158" s="519">
        <f t="shared" si="65"/>
        <v>3</v>
      </c>
      <c r="AC158" s="272">
        <f t="shared" si="53"/>
        <v>2</v>
      </c>
      <c r="AD158" s="272">
        <f t="shared" si="54"/>
        <v>5.8751430382197656</v>
      </c>
      <c r="AE158" s="272">
        <f t="shared" si="66"/>
        <v>3</v>
      </c>
      <c r="AF158" s="272">
        <f t="shared" si="55"/>
        <v>3.2141639352557418</v>
      </c>
      <c r="AG158" s="272">
        <f t="shared" si="67"/>
        <v>3</v>
      </c>
      <c r="AH158" s="272">
        <f t="shared" si="56"/>
        <v>3.2141639352557418</v>
      </c>
      <c r="AI158" s="272">
        <f t="shared" si="68"/>
        <v>3</v>
      </c>
      <c r="AJ158" s="272">
        <f t="shared" si="57"/>
        <v>3.2141639352557418</v>
      </c>
      <c r="AK158" s="272">
        <f t="shared" si="69"/>
        <v>3</v>
      </c>
      <c r="AL158" s="272">
        <f t="shared" si="58"/>
        <v>3.2141639352557418</v>
      </c>
      <c r="AM158" s="272">
        <f t="shared" si="70"/>
        <v>3</v>
      </c>
      <c r="AN158" s="272">
        <f t="shared" si="59"/>
        <v>3.2141639352557418</v>
      </c>
      <c r="AO158" s="272">
        <f t="shared" si="71"/>
        <v>3</v>
      </c>
      <c r="AP158" s="272">
        <f t="shared" si="60"/>
        <v>3.2141639352557418</v>
      </c>
      <c r="AQ158" s="272">
        <f t="shared" si="72"/>
        <v>3</v>
      </c>
      <c r="AR158" s="272">
        <f t="shared" si="61"/>
        <v>3.2141639352557418</v>
      </c>
      <c r="AS158" s="272">
        <f t="shared" si="73"/>
        <v>3</v>
      </c>
      <c r="AT158" s="508">
        <f t="shared" si="62"/>
        <v>3.2141639352557418</v>
      </c>
    </row>
    <row r="159" spans="1:46" ht="12.75" customHeight="1">
      <c r="A159" s="96">
        <f>IF(MAX($F$93:F159)=$G$88,$G$88,F159)</f>
        <v>2.5069666864663272E-5</v>
      </c>
      <c r="B159" s="481">
        <v>67</v>
      </c>
      <c r="C159" s="96">
        <f t="shared" si="50"/>
        <v>0.10050000000000006</v>
      </c>
      <c r="D159" s="96">
        <f t="shared" si="75"/>
        <v>0.6564422529758569</v>
      </c>
      <c r="E159" s="96">
        <f t="shared" si="76"/>
        <v>0.99999971177315072</v>
      </c>
      <c r="F159" s="96">
        <f t="shared" si="74"/>
        <v>2.5069666864663272E-5</v>
      </c>
      <c r="G159" s="96">
        <f t="shared" si="77"/>
        <v>-0.11597493033313534</v>
      </c>
      <c r="I159" s="96">
        <f t="shared" si="51"/>
        <v>0</v>
      </c>
      <c r="J159" s="96">
        <f t="shared" si="52"/>
        <v>0.10050000000000006</v>
      </c>
      <c r="Y159" s="96">
        <f t="shared" si="63"/>
        <v>4</v>
      </c>
      <c r="Z159" s="96">
        <v>1.37</v>
      </c>
      <c r="AA159" s="272">
        <f t="shared" si="64"/>
        <v>4</v>
      </c>
      <c r="AB159" s="519">
        <f t="shared" si="65"/>
        <v>3</v>
      </c>
      <c r="AC159" s="272">
        <f t="shared" si="53"/>
        <v>2</v>
      </c>
      <c r="AD159" s="272">
        <f t="shared" si="54"/>
        <v>5.9181055499143485</v>
      </c>
      <c r="AE159" s="272">
        <f t="shared" si="66"/>
        <v>3</v>
      </c>
      <c r="AF159" s="272">
        <f t="shared" si="55"/>
        <v>3.2376677980142192</v>
      </c>
      <c r="AG159" s="272">
        <f t="shared" si="67"/>
        <v>3</v>
      </c>
      <c r="AH159" s="272">
        <f t="shared" si="56"/>
        <v>3.2376677980142192</v>
      </c>
      <c r="AI159" s="272">
        <f t="shared" si="68"/>
        <v>3</v>
      </c>
      <c r="AJ159" s="272">
        <f t="shared" si="57"/>
        <v>3.2376677980142192</v>
      </c>
      <c r="AK159" s="272">
        <f t="shared" si="69"/>
        <v>3</v>
      </c>
      <c r="AL159" s="272">
        <f t="shared" si="58"/>
        <v>3.2376677980142192</v>
      </c>
      <c r="AM159" s="272">
        <f t="shared" si="70"/>
        <v>3</v>
      </c>
      <c r="AN159" s="272">
        <f t="shared" si="59"/>
        <v>3.2376677980142192</v>
      </c>
      <c r="AO159" s="272">
        <f t="shared" si="71"/>
        <v>3</v>
      </c>
      <c r="AP159" s="272">
        <f t="shared" si="60"/>
        <v>3.2376677980142192</v>
      </c>
      <c r="AQ159" s="272">
        <f t="shared" si="72"/>
        <v>3</v>
      </c>
      <c r="AR159" s="272">
        <f t="shared" si="61"/>
        <v>3.2376677980142192</v>
      </c>
      <c r="AS159" s="272">
        <f t="shared" si="73"/>
        <v>3</v>
      </c>
      <c r="AT159" s="508">
        <f t="shared" si="62"/>
        <v>3.2376677980142192</v>
      </c>
    </row>
    <row r="160" spans="1:46" ht="12.75" customHeight="1">
      <c r="A160" s="96">
        <f>IF(MAX($F$93:F160)=$G$88,$G$88,F160)</f>
        <v>2.9648948359402752E-5</v>
      </c>
      <c r="B160" s="481">
        <v>68</v>
      </c>
      <c r="C160" s="96">
        <f t="shared" si="50"/>
        <v>0.10200000000000006</v>
      </c>
      <c r="D160" s="96">
        <f t="shared" si="75"/>
        <v>0.67618377762538695</v>
      </c>
      <c r="E160" s="96">
        <f t="shared" si="76"/>
        <v>0.99999965351650899</v>
      </c>
      <c r="F160" s="96">
        <f t="shared" si="74"/>
        <v>2.9648948359402752E-5</v>
      </c>
      <c r="G160" s="96">
        <f t="shared" si="77"/>
        <v>-0.11597035105164061</v>
      </c>
      <c r="I160" s="96">
        <f t="shared" si="51"/>
        <v>0</v>
      </c>
      <c r="J160" s="96">
        <f t="shared" si="52"/>
        <v>0.10200000000000006</v>
      </c>
      <c r="Y160" s="96">
        <f t="shared" si="63"/>
        <v>4</v>
      </c>
      <c r="Z160" s="517">
        <v>1.365</v>
      </c>
      <c r="AA160" s="272">
        <f t="shared" si="64"/>
        <v>4</v>
      </c>
      <c r="AB160" s="519">
        <f t="shared" si="65"/>
        <v>3</v>
      </c>
      <c r="AC160" s="272">
        <f t="shared" si="53"/>
        <v>2</v>
      </c>
      <c r="AD160" s="272">
        <f t="shared" si="54"/>
        <v>5.9615410412774859</v>
      </c>
      <c r="AE160" s="272">
        <f t="shared" si="66"/>
        <v>3</v>
      </c>
      <c r="AF160" s="272">
        <f t="shared" si="55"/>
        <v>3.2614304177396112</v>
      </c>
      <c r="AG160" s="272">
        <f t="shared" si="67"/>
        <v>3</v>
      </c>
      <c r="AH160" s="272">
        <f t="shared" si="56"/>
        <v>3.2614304177396112</v>
      </c>
      <c r="AI160" s="272">
        <f t="shared" si="68"/>
        <v>3</v>
      </c>
      <c r="AJ160" s="272">
        <f t="shared" si="57"/>
        <v>3.2614304177396112</v>
      </c>
      <c r="AK160" s="272">
        <f t="shared" si="69"/>
        <v>3</v>
      </c>
      <c r="AL160" s="272">
        <f t="shared" si="58"/>
        <v>3.2614304177396112</v>
      </c>
      <c r="AM160" s="272">
        <f t="shared" si="70"/>
        <v>3</v>
      </c>
      <c r="AN160" s="272">
        <f t="shared" si="59"/>
        <v>3.2614304177396112</v>
      </c>
      <c r="AO160" s="272">
        <f t="shared" si="71"/>
        <v>3</v>
      </c>
      <c r="AP160" s="272">
        <f t="shared" si="60"/>
        <v>3.2614304177396112</v>
      </c>
      <c r="AQ160" s="272">
        <f t="shared" si="72"/>
        <v>3</v>
      </c>
      <c r="AR160" s="272">
        <f t="shared" si="61"/>
        <v>3.2614304177396112</v>
      </c>
      <c r="AS160" s="272">
        <f t="shared" si="73"/>
        <v>3</v>
      </c>
      <c r="AT160" s="508">
        <f t="shared" si="62"/>
        <v>3.2614304177396112</v>
      </c>
    </row>
    <row r="161" spans="1:46" ht="12.75" customHeight="1">
      <c r="A161" s="96">
        <f>IF(MAX($F$93:F161)=$G$88,$G$88,F161)</f>
        <v>3.4968902766034184E-5</v>
      </c>
      <c r="B161" s="481">
        <v>69</v>
      </c>
      <c r="C161" s="96">
        <f t="shared" si="50"/>
        <v>0.10350000000000006</v>
      </c>
      <c r="D161" s="96">
        <f t="shared" si="75"/>
        <v>0.69621776930676205</v>
      </c>
      <c r="E161" s="96">
        <f t="shared" si="76"/>
        <v>0.99999958470622918</v>
      </c>
      <c r="F161" s="96">
        <f t="shared" si="74"/>
        <v>3.4968902766034184E-5</v>
      </c>
      <c r="G161" s="96">
        <f t="shared" si="77"/>
        <v>-0.11596503109723397</v>
      </c>
      <c r="I161" s="96">
        <f t="shared" si="51"/>
        <v>0</v>
      </c>
      <c r="J161" s="96">
        <f t="shared" si="52"/>
        <v>0.10350000000000006</v>
      </c>
      <c r="Y161" s="96">
        <f t="shared" si="63"/>
        <v>4</v>
      </c>
      <c r="Z161" s="96">
        <v>1.36</v>
      </c>
      <c r="AA161" s="272">
        <f t="shared" si="64"/>
        <v>4</v>
      </c>
      <c r="AB161" s="519">
        <f t="shared" si="65"/>
        <v>3</v>
      </c>
      <c r="AC161" s="272">
        <f t="shared" si="53"/>
        <v>2</v>
      </c>
      <c r="AD161" s="272">
        <f t="shared" si="54"/>
        <v>6.0054564806629758</v>
      </c>
      <c r="AE161" s="272">
        <f t="shared" si="66"/>
        <v>3</v>
      </c>
      <c r="AF161" s="272">
        <f t="shared" si="55"/>
        <v>3.2854556066678673</v>
      </c>
      <c r="AG161" s="272">
        <f t="shared" si="67"/>
        <v>3</v>
      </c>
      <c r="AH161" s="272">
        <f t="shared" si="56"/>
        <v>3.2854556066678673</v>
      </c>
      <c r="AI161" s="272">
        <f t="shared" si="68"/>
        <v>3</v>
      </c>
      <c r="AJ161" s="272">
        <f t="shared" si="57"/>
        <v>3.2854556066678673</v>
      </c>
      <c r="AK161" s="272">
        <f t="shared" si="69"/>
        <v>3</v>
      </c>
      <c r="AL161" s="272">
        <f t="shared" si="58"/>
        <v>3.2854556066678673</v>
      </c>
      <c r="AM161" s="272">
        <f t="shared" si="70"/>
        <v>3</v>
      </c>
      <c r="AN161" s="272">
        <f t="shared" si="59"/>
        <v>3.2854556066678673</v>
      </c>
      <c r="AO161" s="272">
        <f t="shared" si="71"/>
        <v>3</v>
      </c>
      <c r="AP161" s="272">
        <f t="shared" si="60"/>
        <v>3.2854556066678673</v>
      </c>
      <c r="AQ161" s="272">
        <f t="shared" si="72"/>
        <v>3</v>
      </c>
      <c r="AR161" s="272">
        <f t="shared" si="61"/>
        <v>3.2854556066678673</v>
      </c>
      <c r="AS161" s="272">
        <f t="shared" si="73"/>
        <v>3</v>
      </c>
      <c r="AT161" s="508">
        <f t="shared" si="62"/>
        <v>3.2854556066678673</v>
      </c>
    </row>
    <row r="162" spans="1:46" ht="12.75" customHeight="1">
      <c r="A162" s="96">
        <f>IF(MAX($F$93:F162)=$G$88,$G$88,F162)</f>
        <v>4.1133814643323774E-5</v>
      </c>
      <c r="B162" s="481">
        <v>70</v>
      </c>
      <c r="C162" s="96">
        <f t="shared" si="50"/>
        <v>0.10500000000000007</v>
      </c>
      <c r="D162" s="96">
        <f t="shared" si="75"/>
        <v>0.71654422801998197</v>
      </c>
      <c r="E162" s="96">
        <f t="shared" si="76"/>
        <v>0.99999950364978285</v>
      </c>
      <c r="F162" s="96">
        <f t="shared" si="74"/>
        <v>4.1133814643323774E-5</v>
      </c>
      <c r="G162" s="96">
        <f t="shared" si="77"/>
        <v>-0.11595886618535668</v>
      </c>
      <c r="I162" s="96">
        <f t="shared" si="51"/>
        <v>0</v>
      </c>
      <c r="J162" s="96">
        <f t="shared" si="52"/>
        <v>0.10500000000000007</v>
      </c>
      <c r="Y162" s="96">
        <f t="shared" si="63"/>
        <v>4</v>
      </c>
      <c r="Z162" s="517">
        <v>1.355</v>
      </c>
      <c r="AA162" s="272">
        <f t="shared" si="64"/>
        <v>4</v>
      </c>
      <c r="AB162" s="519">
        <f t="shared" si="65"/>
        <v>3</v>
      </c>
      <c r="AC162" s="272">
        <f t="shared" si="53"/>
        <v>2</v>
      </c>
      <c r="AD162" s="272">
        <f t="shared" si="54"/>
        <v>6.0498589652288191</v>
      </c>
      <c r="AE162" s="272">
        <f t="shared" si="66"/>
        <v>3</v>
      </c>
      <c r="AF162" s="272">
        <f t="shared" si="55"/>
        <v>3.3097472475009257</v>
      </c>
      <c r="AG162" s="272">
        <f t="shared" si="67"/>
        <v>3</v>
      </c>
      <c r="AH162" s="272">
        <f t="shared" si="56"/>
        <v>3.3097472475009257</v>
      </c>
      <c r="AI162" s="272">
        <f t="shared" si="68"/>
        <v>3</v>
      </c>
      <c r="AJ162" s="272">
        <f t="shared" si="57"/>
        <v>3.3097472475009257</v>
      </c>
      <c r="AK162" s="272">
        <f t="shared" si="69"/>
        <v>3</v>
      </c>
      <c r="AL162" s="272">
        <f t="shared" si="58"/>
        <v>3.3097472475009257</v>
      </c>
      <c r="AM162" s="272">
        <f t="shared" si="70"/>
        <v>3</v>
      </c>
      <c r="AN162" s="272">
        <f t="shared" si="59"/>
        <v>3.3097472475009257</v>
      </c>
      <c r="AO162" s="272">
        <f t="shared" si="71"/>
        <v>3</v>
      </c>
      <c r="AP162" s="272">
        <f t="shared" si="60"/>
        <v>3.3097472475009257</v>
      </c>
      <c r="AQ162" s="272">
        <f t="shared" si="72"/>
        <v>3</v>
      </c>
      <c r="AR162" s="272">
        <f t="shared" si="61"/>
        <v>3.3097472475009257</v>
      </c>
      <c r="AS162" s="272">
        <f t="shared" si="73"/>
        <v>3</v>
      </c>
      <c r="AT162" s="508">
        <f t="shared" si="62"/>
        <v>3.3097472475009257</v>
      </c>
    </row>
    <row r="163" spans="1:46" ht="12.75" customHeight="1">
      <c r="A163" s="96">
        <f>IF(MAX($F$93:F163)=$G$88,$G$88,F163)</f>
        <v>4.8260426310786635E-5</v>
      </c>
      <c r="B163" s="481">
        <v>71</v>
      </c>
      <c r="C163" s="96">
        <f t="shared" si="50"/>
        <v>0.10650000000000007</v>
      </c>
      <c r="D163" s="96">
        <f t="shared" si="75"/>
        <v>0.73716315376504671</v>
      </c>
      <c r="E163" s="96">
        <f t="shared" si="76"/>
        <v>0.99999940841845214</v>
      </c>
      <c r="F163" s="96">
        <f t="shared" si="74"/>
        <v>4.8260426310786635E-5</v>
      </c>
      <c r="G163" s="96">
        <f t="shared" si="77"/>
        <v>-0.11595173957368922</v>
      </c>
      <c r="I163" s="96">
        <f t="shared" si="51"/>
        <v>0</v>
      </c>
      <c r="J163" s="96">
        <f t="shared" si="52"/>
        <v>0.10650000000000007</v>
      </c>
      <c r="Y163" s="96">
        <f t="shared" si="63"/>
        <v>4</v>
      </c>
      <c r="Z163" s="96">
        <v>1.35</v>
      </c>
      <c r="AA163" s="272">
        <f t="shared" si="64"/>
        <v>4</v>
      </c>
      <c r="AB163" s="519">
        <f t="shared" si="65"/>
        <v>3</v>
      </c>
      <c r="AC163" s="272">
        <f t="shared" si="53"/>
        <v>2</v>
      </c>
      <c r="AD163" s="272">
        <f t="shared" si="54"/>
        <v>6.0947557238047976</v>
      </c>
      <c r="AE163" s="272">
        <f t="shared" si="66"/>
        <v>3</v>
      </c>
      <c r="AF163" s="272">
        <f t="shared" si="55"/>
        <v>3.3343092949755202</v>
      </c>
      <c r="AG163" s="272">
        <f t="shared" si="67"/>
        <v>3</v>
      </c>
      <c r="AH163" s="272">
        <f t="shared" si="56"/>
        <v>3.3343092949755202</v>
      </c>
      <c r="AI163" s="272">
        <f t="shared" si="68"/>
        <v>3</v>
      </c>
      <c r="AJ163" s="272">
        <f t="shared" si="57"/>
        <v>3.3343092949755202</v>
      </c>
      <c r="AK163" s="272">
        <f t="shared" si="69"/>
        <v>3</v>
      </c>
      <c r="AL163" s="272">
        <f t="shared" si="58"/>
        <v>3.3343092949755202</v>
      </c>
      <c r="AM163" s="272">
        <f t="shared" si="70"/>
        <v>3</v>
      </c>
      <c r="AN163" s="272">
        <f t="shared" si="59"/>
        <v>3.3343092949755202</v>
      </c>
      <c r="AO163" s="272">
        <f t="shared" si="71"/>
        <v>3</v>
      </c>
      <c r="AP163" s="272">
        <f t="shared" si="60"/>
        <v>3.3343092949755202</v>
      </c>
      <c r="AQ163" s="272">
        <f t="shared" si="72"/>
        <v>3</v>
      </c>
      <c r="AR163" s="272">
        <f t="shared" si="61"/>
        <v>3.3343092949755202</v>
      </c>
      <c r="AS163" s="272">
        <f t="shared" si="73"/>
        <v>3</v>
      </c>
      <c r="AT163" s="508">
        <f t="shared" si="62"/>
        <v>3.3343092949755202</v>
      </c>
    </row>
    <row r="164" spans="1:46" ht="12.75" customHeight="1">
      <c r="A164" s="96">
        <f>IF(MAX($F$93:F164)=$G$88,$G$88,F164)</f>
        <v>5.6479147310846863E-5</v>
      </c>
      <c r="B164" s="481">
        <v>72</v>
      </c>
      <c r="C164" s="96">
        <f t="shared" si="50"/>
        <v>0.10800000000000007</v>
      </c>
      <c r="D164" s="96">
        <f t="shared" si="75"/>
        <v>0.75807454654195638</v>
      </c>
      <c r="E164" s="96">
        <f t="shared" si="76"/>
        <v>0.99999929681938438</v>
      </c>
      <c r="F164" s="96">
        <f t="shared" si="74"/>
        <v>5.6479147310846863E-5</v>
      </c>
      <c r="G164" s="96">
        <f t="shared" si="77"/>
        <v>-0.11594352085268916</v>
      </c>
      <c r="I164" s="96">
        <f t="shared" si="51"/>
        <v>0</v>
      </c>
      <c r="J164" s="96">
        <f t="shared" si="52"/>
        <v>0.10800000000000007</v>
      </c>
      <c r="Y164" s="96">
        <f t="shared" si="63"/>
        <v>4</v>
      </c>
      <c r="Z164" s="517">
        <v>1.345</v>
      </c>
      <c r="AA164" s="272">
        <f t="shared" si="64"/>
        <v>4</v>
      </c>
      <c r="AB164" s="519">
        <f t="shared" si="65"/>
        <v>3</v>
      </c>
      <c r="AC164" s="272">
        <f t="shared" si="53"/>
        <v>2</v>
      </c>
      <c r="AD164" s="272">
        <f t="shared" si="54"/>
        <v>6.140154119834853</v>
      </c>
      <c r="AE164" s="272">
        <f t="shared" si="66"/>
        <v>3</v>
      </c>
      <c r="AF164" s="272">
        <f t="shared" si="55"/>
        <v>3.3591457774728859</v>
      </c>
      <c r="AG164" s="272">
        <f t="shared" si="67"/>
        <v>3</v>
      </c>
      <c r="AH164" s="272">
        <f t="shared" si="56"/>
        <v>3.3591457774728859</v>
      </c>
      <c r="AI164" s="272">
        <f t="shared" si="68"/>
        <v>3</v>
      </c>
      <c r="AJ164" s="272">
        <f t="shared" si="57"/>
        <v>3.3591457774728859</v>
      </c>
      <c r="AK164" s="272">
        <f t="shared" si="69"/>
        <v>3</v>
      </c>
      <c r="AL164" s="272">
        <f t="shared" si="58"/>
        <v>3.3591457774728859</v>
      </c>
      <c r="AM164" s="272">
        <f t="shared" si="70"/>
        <v>3</v>
      </c>
      <c r="AN164" s="272">
        <f t="shared" si="59"/>
        <v>3.3591457774728859</v>
      </c>
      <c r="AO164" s="272">
        <f t="shared" si="71"/>
        <v>3</v>
      </c>
      <c r="AP164" s="272">
        <f t="shared" si="60"/>
        <v>3.3591457774728859</v>
      </c>
      <c r="AQ164" s="272">
        <f t="shared" si="72"/>
        <v>3</v>
      </c>
      <c r="AR164" s="272">
        <f t="shared" si="61"/>
        <v>3.3591457774728859</v>
      </c>
      <c r="AS164" s="272">
        <f t="shared" si="73"/>
        <v>3</v>
      </c>
      <c r="AT164" s="508">
        <f t="shared" si="62"/>
        <v>3.3591457774728859</v>
      </c>
    </row>
    <row r="165" spans="1:46" ht="12.75" customHeight="1">
      <c r="A165" s="96">
        <f>IF(MAX($F$93:F165)=$G$88,$G$88,F165)</f>
        <v>6.5935350731146272E-5</v>
      </c>
      <c r="B165" s="481">
        <v>73</v>
      </c>
      <c r="C165" s="96">
        <f t="shared" si="50"/>
        <v>0.10950000000000007</v>
      </c>
      <c r="D165" s="96">
        <f t="shared" si="75"/>
        <v>0.77927840635071088</v>
      </c>
      <c r="E165" s="96">
        <f t="shared" si="76"/>
        <v>0.99999916636496367</v>
      </c>
      <c r="F165" s="96">
        <f t="shared" si="74"/>
        <v>6.5935350731146272E-5</v>
      </c>
      <c r="G165" s="96">
        <f t="shared" si="77"/>
        <v>-0.11593406464926886</v>
      </c>
      <c r="I165" s="96">
        <f t="shared" si="51"/>
        <v>0</v>
      </c>
      <c r="J165" s="96">
        <f t="shared" si="52"/>
        <v>0.10950000000000007</v>
      </c>
      <c r="Y165" s="96">
        <f t="shared" si="63"/>
        <v>4</v>
      </c>
      <c r="Z165" s="96">
        <v>1.34</v>
      </c>
      <c r="AA165" s="272">
        <f t="shared" si="64"/>
        <v>4</v>
      </c>
      <c r="AB165" s="519">
        <f t="shared" si="65"/>
        <v>3</v>
      </c>
      <c r="AC165" s="272">
        <f t="shared" si="53"/>
        <v>2</v>
      </c>
      <c r="AD165" s="272">
        <f t="shared" si="54"/>
        <v>6.1860616543964371</v>
      </c>
      <c r="AE165" s="272">
        <f t="shared" si="66"/>
        <v>3</v>
      </c>
      <c r="AF165" s="272">
        <f t="shared" si="55"/>
        <v>3.3842607986705766</v>
      </c>
      <c r="AG165" s="272">
        <f t="shared" si="67"/>
        <v>3</v>
      </c>
      <c r="AH165" s="272">
        <f t="shared" si="56"/>
        <v>3.3842607986705766</v>
      </c>
      <c r="AI165" s="272">
        <f t="shared" si="68"/>
        <v>3</v>
      </c>
      <c r="AJ165" s="272">
        <f t="shared" si="57"/>
        <v>3.3842607986705766</v>
      </c>
      <c r="AK165" s="272">
        <f t="shared" si="69"/>
        <v>3</v>
      </c>
      <c r="AL165" s="272">
        <f t="shared" si="58"/>
        <v>3.3842607986705766</v>
      </c>
      <c r="AM165" s="272">
        <f t="shared" si="70"/>
        <v>3</v>
      </c>
      <c r="AN165" s="272">
        <f t="shared" si="59"/>
        <v>3.3842607986705766</v>
      </c>
      <c r="AO165" s="272">
        <f t="shared" si="71"/>
        <v>3</v>
      </c>
      <c r="AP165" s="272">
        <f t="shared" si="60"/>
        <v>3.3842607986705766</v>
      </c>
      <c r="AQ165" s="272">
        <f t="shared" si="72"/>
        <v>3</v>
      </c>
      <c r="AR165" s="272">
        <f t="shared" si="61"/>
        <v>3.3842607986705766</v>
      </c>
      <c r="AS165" s="272">
        <f t="shared" si="73"/>
        <v>3</v>
      </c>
      <c r="AT165" s="508">
        <f t="shared" si="62"/>
        <v>3.3842607986705766</v>
      </c>
    </row>
    <row r="166" spans="1:46" ht="12.75" customHeight="1">
      <c r="A166" s="96">
        <f>IF(MAX($F$93:F166)=$G$88,$G$88,F166)</f>
        <v>7.6790760298687616E-5</v>
      </c>
      <c r="B166" s="481">
        <v>74</v>
      </c>
      <c r="C166" s="96">
        <f t="shared" si="50"/>
        <v>0.11100000000000007</v>
      </c>
      <c r="D166" s="96">
        <f t="shared" si="75"/>
        <v>0.80077473319131043</v>
      </c>
      <c r="E166" s="96">
        <f t="shared" si="76"/>
        <v>0.99999901423930981</v>
      </c>
      <c r="F166" s="96">
        <f t="shared" si="74"/>
        <v>7.6790760298687616E-5</v>
      </c>
      <c r="G166" s="96">
        <f t="shared" si="77"/>
        <v>-0.11592320923970131</v>
      </c>
      <c r="I166" s="96">
        <f t="shared" si="51"/>
        <v>0</v>
      </c>
      <c r="J166" s="96">
        <f t="shared" si="52"/>
        <v>0.11100000000000007</v>
      </c>
      <c r="Y166" s="96">
        <f t="shared" si="63"/>
        <v>4</v>
      </c>
      <c r="Z166" s="517">
        <v>1.335</v>
      </c>
      <c r="AA166" s="272">
        <f t="shared" si="64"/>
        <v>4</v>
      </c>
      <c r="AB166" s="519">
        <f t="shared" si="65"/>
        <v>3</v>
      </c>
      <c r="AC166" s="272">
        <f t="shared" si="53"/>
        <v>2</v>
      </c>
      <c r="AD166" s="272">
        <f t="shared" si="54"/>
        <v>6.2324859692991863</v>
      </c>
      <c r="AE166" s="272">
        <f t="shared" si="66"/>
        <v>3</v>
      </c>
      <c r="AF166" s="272">
        <f t="shared" si="55"/>
        <v>3.4096585392376886</v>
      </c>
      <c r="AG166" s="272">
        <f t="shared" si="67"/>
        <v>3</v>
      </c>
      <c r="AH166" s="272">
        <f t="shared" si="56"/>
        <v>3.4096585392376886</v>
      </c>
      <c r="AI166" s="272">
        <f t="shared" si="68"/>
        <v>3</v>
      </c>
      <c r="AJ166" s="272">
        <f t="shared" si="57"/>
        <v>3.4096585392376886</v>
      </c>
      <c r="AK166" s="272">
        <f t="shared" si="69"/>
        <v>3</v>
      </c>
      <c r="AL166" s="272">
        <f t="shared" si="58"/>
        <v>3.4096585392376886</v>
      </c>
      <c r="AM166" s="272">
        <f t="shared" si="70"/>
        <v>3</v>
      </c>
      <c r="AN166" s="272">
        <f t="shared" si="59"/>
        <v>3.4096585392376886</v>
      </c>
      <c r="AO166" s="272">
        <f t="shared" si="71"/>
        <v>3</v>
      </c>
      <c r="AP166" s="272">
        <f t="shared" si="60"/>
        <v>3.4096585392376886</v>
      </c>
      <c r="AQ166" s="272">
        <f t="shared" si="72"/>
        <v>3</v>
      </c>
      <c r="AR166" s="272">
        <f t="shared" si="61"/>
        <v>3.4096585392376886</v>
      </c>
      <c r="AS166" s="272">
        <f t="shared" si="73"/>
        <v>3</v>
      </c>
      <c r="AT166" s="508">
        <f t="shared" si="62"/>
        <v>3.4096585392376886</v>
      </c>
    </row>
    <row r="167" spans="1:46" ht="12.75" customHeight="1">
      <c r="A167" s="96">
        <f>IF(MAX($F$93:F167)=$G$88,$G$88,F167)</f>
        <v>8.9224931432152474E-5</v>
      </c>
      <c r="B167" s="481">
        <v>75</v>
      </c>
      <c r="C167" s="96">
        <f t="shared" si="50"/>
        <v>0.11250000000000007</v>
      </c>
      <c r="D167" s="96">
        <f t="shared" si="75"/>
        <v>0.8225635270637548</v>
      </c>
      <c r="E167" s="96">
        <f t="shared" si="76"/>
        <v>0.99999883726170524</v>
      </c>
      <c r="F167" s="96">
        <f t="shared" si="74"/>
        <v>8.9224931432152474E-5</v>
      </c>
      <c r="G167" s="96">
        <f t="shared" si="77"/>
        <v>-0.11591077506856785</v>
      </c>
      <c r="I167" s="96">
        <f t="shared" si="51"/>
        <v>0</v>
      </c>
      <c r="J167" s="96">
        <f t="shared" si="52"/>
        <v>0.11250000000000007</v>
      </c>
      <c r="Y167" s="96">
        <f t="shared" si="63"/>
        <v>4</v>
      </c>
      <c r="Z167" s="96">
        <v>1.33</v>
      </c>
      <c r="AA167" s="272">
        <f t="shared" si="64"/>
        <v>4</v>
      </c>
      <c r="AB167" s="519">
        <f t="shared" si="65"/>
        <v>3</v>
      </c>
      <c r="AC167" s="272">
        <f t="shared" si="53"/>
        <v>2</v>
      </c>
      <c r="AD167" s="272">
        <f t="shared" si="54"/>
        <v>6.2794348502652726</v>
      </c>
      <c r="AE167" s="272">
        <f t="shared" si="66"/>
        <v>3</v>
      </c>
      <c r="AF167" s="272">
        <f t="shared" si="55"/>
        <v>3.4353432585747559</v>
      </c>
      <c r="AG167" s="272">
        <f t="shared" si="67"/>
        <v>3</v>
      </c>
      <c r="AH167" s="272">
        <f t="shared" si="56"/>
        <v>3.4353432585747559</v>
      </c>
      <c r="AI167" s="272">
        <f t="shared" si="68"/>
        <v>3</v>
      </c>
      <c r="AJ167" s="272">
        <f t="shared" si="57"/>
        <v>3.4353432585747559</v>
      </c>
      <c r="AK167" s="272">
        <f t="shared" si="69"/>
        <v>3</v>
      </c>
      <c r="AL167" s="272">
        <f t="shared" si="58"/>
        <v>3.4353432585747559</v>
      </c>
      <c r="AM167" s="272">
        <f t="shared" si="70"/>
        <v>3</v>
      </c>
      <c r="AN167" s="272">
        <f t="shared" si="59"/>
        <v>3.4353432585747559</v>
      </c>
      <c r="AO167" s="272">
        <f t="shared" si="71"/>
        <v>3</v>
      </c>
      <c r="AP167" s="272">
        <f t="shared" si="60"/>
        <v>3.4353432585747559</v>
      </c>
      <c r="AQ167" s="272">
        <f t="shared" si="72"/>
        <v>3</v>
      </c>
      <c r="AR167" s="272">
        <f t="shared" si="61"/>
        <v>3.4353432585747559</v>
      </c>
      <c r="AS167" s="272">
        <f t="shared" si="73"/>
        <v>3</v>
      </c>
      <c r="AT167" s="508">
        <f t="shared" si="62"/>
        <v>3.4353432585747559</v>
      </c>
    </row>
    <row r="168" spans="1:46" ht="12.75" customHeight="1">
      <c r="A168" s="96">
        <f>IF(MAX($F$93:F168)=$G$88,$G$88,F168)</f>
        <v>1.0343682974959616E-4</v>
      </c>
      <c r="B168" s="481">
        <v>76</v>
      </c>
      <c r="C168" s="96">
        <f t="shared" si="50"/>
        <v>0.11400000000000007</v>
      </c>
      <c r="D168" s="96">
        <f t="shared" si="75"/>
        <v>0.84464478796804399</v>
      </c>
      <c r="E168" s="96">
        <f t="shared" si="76"/>
        <v>0.99999863184674653</v>
      </c>
      <c r="F168" s="96">
        <f t="shared" si="74"/>
        <v>1.0343682974959616E-4</v>
      </c>
      <c r="G168" s="96">
        <f t="shared" si="77"/>
        <v>-0.11589656317025041</v>
      </c>
      <c r="I168" s="96">
        <f t="shared" si="51"/>
        <v>0</v>
      </c>
      <c r="J168" s="96">
        <f t="shared" si="52"/>
        <v>0.11400000000000007</v>
      </c>
      <c r="Y168" s="96">
        <f t="shared" si="63"/>
        <v>4</v>
      </c>
      <c r="Z168" s="517">
        <v>1.325</v>
      </c>
      <c r="AA168" s="272">
        <f t="shared" si="64"/>
        <v>4</v>
      </c>
      <c r="AB168" s="519">
        <f t="shared" si="65"/>
        <v>3</v>
      </c>
      <c r="AC168" s="272">
        <f t="shared" si="53"/>
        <v>2</v>
      </c>
      <c r="AD168" s="272">
        <f t="shared" si="54"/>
        <v>6.3269162301939446</v>
      </c>
      <c r="AE168" s="272">
        <f t="shared" si="66"/>
        <v>3</v>
      </c>
      <c r="AF168" s="272">
        <f t="shared" si="55"/>
        <v>3.461319296599723</v>
      </c>
      <c r="AG168" s="272">
        <f t="shared" si="67"/>
        <v>3</v>
      </c>
      <c r="AH168" s="272">
        <f t="shared" si="56"/>
        <v>3.461319296599723</v>
      </c>
      <c r="AI168" s="272">
        <f t="shared" si="68"/>
        <v>3</v>
      </c>
      <c r="AJ168" s="272">
        <f t="shared" si="57"/>
        <v>3.461319296599723</v>
      </c>
      <c r="AK168" s="272">
        <f t="shared" si="69"/>
        <v>3</v>
      </c>
      <c r="AL168" s="272">
        <f t="shared" si="58"/>
        <v>3.461319296599723</v>
      </c>
      <c r="AM168" s="272">
        <f t="shared" si="70"/>
        <v>3</v>
      </c>
      <c r="AN168" s="272">
        <f t="shared" si="59"/>
        <v>3.461319296599723</v>
      </c>
      <c r="AO168" s="272">
        <f t="shared" si="71"/>
        <v>3</v>
      </c>
      <c r="AP168" s="272">
        <f t="shared" si="60"/>
        <v>3.461319296599723</v>
      </c>
      <c r="AQ168" s="272">
        <f t="shared" si="72"/>
        <v>3</v>
      </c>
      <c r="AR168" s="272">
        <f t="shared" si="61"/>
        <v>3.461319296599723</v>
      </c>
      <c r="AS168" s="272">
        <f t="shared" si="73"/>
        <v>3</v>
      </c>
      <c r="AT168" s="508">
        <f t="shared" si="62"/>
        <v>3.461319296599723</v>
      </c>
    </row>
    <row r="169" spans="1:46" ht="12.75" customHeight="1">
      <c r="A169" s="96">
        <f>IF(MAX($F$93:F169)=$G$88,$G$88,F169)</f>
        <v>1.196465100365233E-4</v>
      </c>
      <c r="B169" s="481">
        <v>77</v>
      </c>
      <c r="C169" s="96">
        <f t="shared" ref="C169:C232" si="78">C168+$C$88</f>
        <v>0.11550000000000007</v>
      </c>
      <c r="D169" s="96">
        <f t="shared" si="75"/>
        <v>0.86701851590417811</v>
      </c>
      <c r="E169" s="96">
        <f t="shared" si="76"/>
        <v>0.99999839396100632</v>
      </c>
      <c r="F169" s="96">
        <f t="shared" si="74"/>
        <v>1.196465100365233E-4</v>
      </c>
      <c r="G169" s="96">
        <f t="shared" si="77"/>
        <v>-0.11588035348996348</v>
      </c>
      <c r="I169" s="96">
        <f t="shared" si="51"/>
        <v>0</v>
      </c>
      <c r="J169" s="96">
        <f t="shared" si="52"/>
        <v>0.11550000000000007</v>
      </c>
      <c r="Y169" s="96">
        <f t="shared" si="63"/>
        <v>4</v>
      </c>
      <c r="Z169" s="96">
        <v>1.32</v>
      </c>
      <c r="AA169" s="272">
        <f t="shared" si="64"/>
        <v>4</v>
      </c>
      <c r="AB169" s="519">
        <f t="shared" si="65"/>
        <v>3</v>
      </c>
      <c r="AC169" s="272">
        <f t="shared" si="53"/>
        <v>2</v>
      </c>
      <c r="AD169" s="272">
        <f t="shared" si="54"/>
        <v>6.3749381925127659</v>
      </c>
      <c r="AE169" s="272">
        <f t="shared" si="66"/>
        <v>3</v>
      </c>
      <c r="AF169" s="272">
        <f t="shared" si="55"/>
        <v>3.4875910755813164</v>
      </c>
      <c r="AG169" s="272">
        <f t="shared" si="67"/>
        <v>3</v>
      </c>
      <c r="AH169" s="272">
        <f t="shared" si="56"/>
        <v>3.4875910755813164</v>
      </c>
      <c r="AI169" s="272">
        <f t="shared" si="68"/>
        <v>3</v>
      </c>
      <c r="AJ169" s="272">
        <f t="shared" si="57"/>
        <v>3.4875910755813164</v>
      </c>
      <c r="AK169" s="272">
        <f t="shared" si="69"/>
        <v>3</v>
      </c>
      <c r="AL169" s="272">
        <f t="shared" si="58"/>
        <v>3.4875910755813164</v>
      </c>
      <c r="AM169" s="272">
        <f t="shared" si="70"/>
        <v>3</v>
      </c>
      <c r="AN169" s="272">
        <f t="shared" si="59"/>
        <v>3.4875910755813164</v>
      </c>
      <c r="AO169" s="272">
        <f t="shared" si="71"/>
        <v>3</v>
      </c>
      <c r="AP169" s="272">
        <f t="shared" si="60"/>
        <v>3.4875910755813164</v>
      </c>
      <c r="AQ169" s="272">
        <f t="shared" si="72"/>
        <v>3</v>
      </c>
      <c r="AR169" s="272">
        <f t="shared" si="61"/>
        <v>3.4875910755813164</v>
      </c>
      <c r="AS169" s="272">
        <f t="shared" si="73"/>
        <v>3</v>
      </c>
      <c r="AT169" s="508">
        <f t="shared" si="62"/>
        <v>3.4875910755813164</v>
      </c>
    </row>
    <row r="170" spans="1:46" ht="12.75" customHeight="1">
      <c r="A170" s="96">
        <f>IF(MAX($F$93:F170)=$G$88,$G$88,F170)</f>
        <v>1.3809689852391688E-4</v>
      </c>
      <c r="B170" s="481">
        <v>78</v>
      </c>
      <c r="C170" s="96">
        <f t="shared" si="78"/>
        <v>0.11700000000000008</v>
      </c>
      <c r="D170" s="96">
        <f t="shared" si="75"/>
        <v>0.88968471087215717</v>
      </c>
      <c r="E170" s="96">
        <f t="shared" si="76"/>
        <v>0.99999811907598923</v>
      </c>
      <c r="F170" s="96">
        <f t="shared" si="74"/>
        <v>1.3809689852391688E-4</v>
      </c>
      <c r="G170" s="96">
        <f t="shared" si="77"/>
        <v>-0.11586190310147609</v>
      </c>
      <c r="I170" s="96">
        <f t="shared" si="51"/>
        <v>0</v>
      </c>
      <c r="J170" s="96">
        <f t="shared" si="52"/>
        <v>0.11700000000000008</v>
      </c>
      <c r="Y170" s="96">
        <f t="shared" si="63"/>
        <v>4</v>
      </c>
      <c r="Z170" s="517">
        <v>1.3149999999999999</v>
      </c>
      <c r="AA170" s="272">
        <f t="shared" si="64"/>
        <v>4</v>
      </c>
      <c r="AB170" s="519">
        <f t="shared" si="65"/>
        <v>3</v>
      </c>
      <c r="AC170" s="272">
        <f t="shared" si="53"/>
        <v>2</v>
      </c>
      <c r="AD170" s="272">
        <f t="shared" si="54"/>
        <v>6.423508974618251</v>
      </c>
      <c r="AE170" s="272">
        <f t="shared" si="66"/>
        <v>3</v>
      </c>
      <c r="AF170" s="272">
        <f t="shared" si="55"/>
        <v>3.5141631020213602</v>
      </c>
      <c r="AG170" s="272">
        <f t="shared" si="67"/>
        <v>3</v>
      </c>
      <c r="AH170" s="272">
        <f t="shared" si="56"/>
        <v>3.5141631020213602</v>
      </c>
      <c r="AI170" s="272">
        <f t="shared" si="68"/>
        <v>3</v>
      </c>
      <c r="AJ170" s="272">
        <f t="shared" si="57"/>
        <v>3.5141631020213602</v>
      </c>
      <c r="AK170" s="272">
        <f t="shared" si="69"/>
        <v>3</v>
      </c>
      <c r="AL170" s="272">
        <f t="shared" si="58"/>
        <v>3.5141631020213602</v>
      </c>
      <c r="AM170" s="272">
        <f t="shared" si="70"/>
        <v>3</v>
      </c>
      <c r="AN170" s="272">
        <f t="shared" si="59"/>
        <v>3.5141631020213602</v>
      </c>
      <c r="AO170" s="272">
        <f t="shared" si="71"/>
        <v>3</v>
      </c>
      <c r="AP170" s="272">
        <f t="shared" si="60"/>
        <v>3.5141631020213602</v>
      </c>
      <c r="AQ170" s="272">
        <f t="shared" si="72"/>
        <v>3</v>
      </c>
      <c r="AR170" s="272">
        <f t="shared" si="61"/>
        <v>3.5141631020213602</v>
      </c>
      <c r="AS170" s="272">
        <f t="shared" si="73"/>
        <v>3</v>
      </c>
      <c r="AT170" s="508">
        <f t="shared" si="62"/>
        <v>3.5141631020213602</v>
      </c>
    </row>
    <row r="171" spans="1:46" ht="12.75" customHeight="1">
      <c r="A171" s="96">
        <f>IF(MAX($F$93:F171)=$G$88,$G$88,F171)</f>
        <v>1.5905568135169779E-4</v>
      </c>
      <c r="B171" s="481">
        <v>79</v>
      </c>
      <c r="C171" s="96">
        <f t="shared" si="78"/>
        <v>0.11850000000000008</v>
      </c>
      <c r="D171" s="96">
        <f t="shared" si="75"/>
        <v>0.91264337287198105</v>
      </c>
      <c r="E171" s="96">
        <f t="shared" si="76"/>
        <v>0.9999978021171555</v>
      </c>
      <c r="F171" s="96">
        <f t="shared" si="74"/>
        <v>1.5905568135169779E-4</v>
      </c>
      <c r="G171" s="96">
        <f t="shared" si="77"/>
        <v>-0.1158409443186483</v>
      </c>
      <c r="I171" s="96">
        <f t="shared" si="51"/>
        <v>0</v>
      </c>
      <c r="J171" s="96">
        <f t="shared" si="52"/>
        <v>0.11850000000000008</v>
      </c>
      <c r="Y171" s="96">
        <f t="shared" si="63"/>
        <v>4</v>
      </c>
      <c r="Z171" s="96">
        <v>1.31</v>
      </c>
      <c r="AA171" s="272">
        <f t="shared" si="64"/>
        <v>4</v>
      </c>
      <c r="AB171" s="519">
        <f t="shared" si="65"/>
        <v>3</v>
      </c>
      <c r="AC171" s="272">
        <f t="shared" si="53"/>
        <v>2</v>
      </c>
      <c r="AD171" s="272">
        <f t="shared" si="54"/>
        <v>6.4726369714085683</v>
      </c>
      <c r="AE171" s="272">
        <f t="shared" si="66"/>
        <v>3</v>
      </c>
      <c r="AF171" s="272">
        <f t="shared" si="55"/>
        <v>3.541039968587429</v>
      </c>
      <c r="AG171" s="272">
        <f t="shared" si="67"/>
        <v>3</v>
      </c>
      <c r="AH171" s="272">
        <f t="shared" si="56"/>
        <v>3.541039968587429</v>
      </c>
      <c r="AI171" s="272">
        <f t="shared" si="68"/>
        <v>3</v>
      </c>
      <c r="AJ171" s="272">
        <f t="shared" si="57"/>
        <v>3.541039968587429</v>
      </c>
      <c r="AK171" s="272">
        <f t="shared" si="69"/>
        <v>3</v>
      </c>
      <c r="AL171" s="272">
        <f t="shared" si="58"/>
        <v>3.541039968587429</v>
      </c>
      <c r="AM171" s="272">
        <f t="shared" si="70"/>
        <v>3</v>
      </c>
      <c r="AN171" s="272">
        <f t="shared" si="59"/>
        <v>3.541039968587429</v>
      </c>
      <c r="AO171" s="272">
        <f t="shared" si="71"/>
        <v>3</v>
      </c>
      <c r="AP171" s="272">
        <f t="shared" si="60"/>
        <v>3.541039968587429</v>
      </c>
      <c r="AQ171" s="272">
        <f t="shared" si="72"/>
        <v>3</v>
      </c>
      <c r="AR171" s="272">
        <f t="shared" si="61"/>
        <v>3.541039968587429</v>
      </c>
      <c r="AS171" s="272">
        <f t="shared" si="73"/>
        <v>3</v>
      </c>
      <c r="AT171" s="508">
        <f t="shared" si="62"/>
        <v>3.541039968587429</v>
      </c>
    </row>
    <row r="172" spans="1:46" ht="12.75" customHeight="1">
      <c r="A172" s="96">
        <f>IF(MAX($F$93:F172)=$G$88,$G$88,F172)</f>
        <v>1.8281731051228434E-4</v>
      </c>
      <c r="B172" s="481">
        <v>80</v>
      </c>
      <c r="C172" s="96">
        <f t="shared" si="78"/>
        <v>0.12000000000000008</v>
      </c>
      <c r="D172" s="96">
        <f t="shared" si="75"/>
        <v>0.93589450190364987</v>
      </c>
      <c r="E172" s="96">
        <f t="shared" si="76"/>
        <v>0.99999743740878344</v>
      </c>
      <c r="F172" s="96">
        <f t="shared" si="74"/>
        <v>1.8281731051228434E-4</v>
      </c>
      <c r="G172" s="96">
        <f t="shared" si="77"/>
        <v>-0.11581718268948772</v>
      </c>
      <c r="I172" s="96">
        <f t="shared" ref="I172:I235" si="79">IF(F172&gt;$G$87,1,0)</f>
        <v>0</v>
      </c>
      <c r="J172" s="96">
        <f t="shared" ref="J172:J235" si="80">C172</f>
        <v>0.12000000000000008</v>
      </c>
      <c r="Y172" s="96">
        <f t="shared" si="63"/>
        <v>4</v>
      </c>
      <c r="Z172" s="517">
        <v>1.3049999999999999</v>
      </c>
      <c r="AA172" s="272">
        <f t="shared" si="64"/>
        <v>4</v>
      </c>
      <c r="AB172" s="519">
        <f t="shared" si="65"/>
        <v>3</v>
      </c>
      <c r="AC172" s="272">
        <f t="shared" si="53"/>
        <v>2</v>
      </c>
      <c r="AD172" s="272">
        <f t="shared" si="54"/>
        <v>6.5223307389112</v>
      </c>
      <c r="AE172" s="272">
        <f t="shared" si="66"/>
        <v>3</v>
      </c>
      <c r="AF172" s="272">
        <f t="shared" si="55"/>
        <v>3.5682263560974667</v>
      </c>
      <c r="AG172" s="272">
        <f t="shared" si="67"/>
        <v>3</v>
      </c>
      <c r="AH172" s="272">
        <f t="shared" si="56"/>
        <v>3.5682263560974667</v>
      </c>
      <c r="AI172" s="272">
        <f t="shared" si="68"/>
        <v>3</v>
      </c>
      <c r="AJ172" s="272">
        <f t="shared" si="57"/>
        <v>3.5682263560974667</v>
      </c>
      <c r="AK172" s="272">
        <f t="shared" si="69"/>
        <v>3</v>
      </c>
      <c r="AL172" s="272">
        <f t="shared" si="58"/>
        <v>3.5682263560974667</v>
      </c>
      <c r="AM172" s="272">
        <f t="shared" si="70"/>
        <v>3</v>
      </c>
      <c r="AN172" s="272">
        <f t="shared" si="59"/>
        <v>3.5682263560974667</v>
      </c>
      <c r="AO172" s="272">
        <f t="shared" si="71"/>
        <v>3</v>
      </c>
      <c r="AP172" s="272">
        <f t="shared" si="60"/>
        <v>3.5682263560974667</v>
      </c>
      <c r="AQ172" s="272">
        <f t="shared" si="72"/>
        <v>3</v>
      </c>
      <c r="AR172" s="272">
        <f t="shared" si="61"/>
        <v>3.5682263560974667</v>
      </c>
      <c r="AS172" s="272">
        <f t="shared" si="73"/>
        <v>3</v>
      </c>
      <c r="AT172" s="508">
        <f t="shared" si="62"/>
        <v>3.5682263560974667</v>
      </c>
    </row>
    <row r="173" spans="1:46" ht="12.75" customHeight="1">
      <c r="A173" s="96">
        <f>IF(MAX($F$93:F173)=$G$88,$G$88,F173)</f>
        <v>2.0970508043764249E-4</v>
      </c>
      <c r="B173" s="481">
        <v>81</v>
      </c>
      <c r="C173" s="96">
        <f t="shared" si="78"/>
        <v>0.12150000000000008</v>
      </c>
      <c r="D173" s="96">
        <f t="shared" si="75"/>
        <v>0.95943809796716362</v>
      </c>
      <c r="E173" s="96">
        <f t="shared" si="76"/>
        <v>0.99999701861439616</v>
      </c>
      <c r="F173" s="96">
        <f t="shared" si="74"/>
        <v>2.0970508043764249E-4</v>
      </c>
      <c r="G173" s="96">
        <f t="shared" si="77"/>
        <v>-0.11579029491956236</v>
      </c>
      <c r="I173" s="96">
        <f t="shared" si="79"/>
        <v>0</v>
      </c>
      <c r="J173" s="96">
        <f t="shared" si="80"/>
        <v>0.12150000000000008</v>
      </c>
      <c r="Y173" s="96">
        <f t="shared" si="63"/>
        <v>4</v>
      </c>
      <c r="Z173" s="96">
        <v>1.3</v>
      </c>
      <c r="AA173" s="272">
        <f t="shared" si="64"/>
        <v>4</v>
      </c>
      <c r="AB173" s="519">
        <f t="shared" si="65"/>
        <v>3</v>
      </c>
      <c r="AC173" s="272">
        <f t="shared" si="53"/>
        <v>2</v>
      </c>
      <c r="AD173" s="272">
        <f t="shared" si="54"/>
        <v>6.5725989980084272</v>
      </c>
      <c r="AE173" s="272">
        <f t="shared" si="66"/>
        <v>3</v>
      </c>
      <c r="AF173" s="272">
        <f t="shared" si="55"/>
        <v>3.5957270355579212</v>
      </c>
      <c r="AG173" s="272">
        <f t="shared" si="67"/>
        <v>3</v>
      </c>
      <c r="AH173" s="272">
        <f t="shared" si="56"/>
        <v>3.5957270355579212</v>
      </c>
      <c r="AI173" s="272">
        <f t="shared" si="68"/>
        <v>3</v>
      </c>
      <c r="AJ173" s="272">
        <f t="shared" si="57"/>
        <v>3.5957270355579212</v>
      </c>
      <c r="AK173" s="272">
        <f t="shared" si="69"/>
        <v>3</v>
      </c>
      <c r="AL173" s="272">
        <f t="shared" si="58"/>
        <v>3.5957270355579212</v>
      </c>
      <c r="AM173" s="272">
        <f t="shared" si="70"/>
        <v>3</v>
      </c>
      <c r="AN173" s="272">
        <f t="shared" si="59"/>
        <v>3.5957270355579212</v>
      </c>
      <c r="AO173" s="272">
        <f t="shared" si="71"/>
        <v>3</v>
      </c>
      <c r="AP173" s="272">
        <f t="shared" si="60"/>
        <v>3.5957270355579212</v>
      </c>
      <c r="AQ173" s="272">
        <f t="shared" si="72"/>
        <v>3</v>
      </c>
      <c r="AR173" s="272">
        <f t="shared" si="61"/>
        <v>3.5957270355579212</v>
      </c>
      <c r="AS173" s="272">
        <f t="shared" si="73"/>
        <v>3</v>
      </c>
      <c r="AT173" s="508">
        <f t="shared" si="62"/>
        <v>3.5957270355579212</v>
      </c>
    </row>
    <row r="174" spans="1:46" ht="12.75" customHeight="1">
      <c r="A174" s="96">
        <f>IF(MAX($F$93:F174)=$G$88,$G$88,F174)</f>
        <v>2.4007338457569341E-4</v>
      </c>
      <c r="B174" s="481">
        <v>82</v>
      </c>
      <c r="C174" s="96">
        <f t="shared" si="78"/>
        <v>0.12300000000000008</v>
      </c>
      <c r="D174" s="96">
        <f t="shared" si="75"/>
        <v>0.9832741610625223</v>
      </c>
      <c r="E174" s="96">
        <f t="shared" si="76"/>
        <v>0.99999653867272442</v>
      </c>
      <c r="F174" s="96">
        <f t="shared" si="74"/>
        <v>2.4007338457569341E-4</v>
      </c>
      <c r="G174" s="96">
        <f t="shared" si="77"/>
        <v>-0.11575992661542431</v>
      </c>
      <c r="I174" s="96">
        <f t="shared" si="79"/>
        <v>0</v>
      </c>
      <c r="J174" s="96">
        <f t="shared" si="80"/>
        <v>0.12300000000000008</v>
      </c>
      <c r="Y174" s="96">
        <f t="shared" si="63"/>
        <v>4</v>
      </c>
      <c r="Z174" s="517">
        <v>1.2949999999999999</v>
      </c>
      <c r="AA174" s="272">
        <f t="shared" si="64"/>
        <v>4</v>
      </c>
      <c r="AB174" s="519">
        <f t="shared" si="65"/>
        <v>3</v>
      </c>
      <c r="AC174" s="272">
        <f t="shared" si="53"/>
        <v>2</v>
      </c>
      <c r="AD174" s="272">
        <f t="shared" si="54"/>
        <v>6.6234506382637379</v>
      </c>
      <c r="AE174" s="272">
        <f t="shared" si="66"/>
        <v>3</v>
      </c>
      <c r="AF174" s="272">
        <f t="shared" si="55"/>
        <v>3.6235468702570843</v>
      </c>
      <c r="AG174" s="272">
        <f t="shared" si="67"/>
        <v>3</v>
      </c>
      <c r="AH174" s="272">
        <f t="shared" si="56"/>
        <v>3.6235468702570843</v>
      </c>
      <c r="AI174" s="272">
        <f t="shared" si="68"/>
        <v>3</v>
      </c>
      <c r="AJ174" s="272">
        <f t="shared" si="57"/>
        <v>3.6235468702570843</v>
      </c>
      <c r="AK174" s="272">
        <f t="shared" si="69"/>
        <v>3</v>
      </c>
      <c r="AL174" s="272">
        <f t="shared" si="58"/>
        <v>3.6235468702570843</v>
      </c>
      <c r="AM174" s="272">
        <f t="shared" si="70"/>
        <v>3</v>
      </c>
      <c r="AN174" s="272">
        <f t="shared" si="59"/>
        <v>3.6235468702570843</v>
      </c>
      <c r="AO174" s="272">
        <f t="shared" si="71"/>
        <v>3</v>
      </c>
      <c r="AP174" s="272">
        <f t="shared" si="60"/>
        <v>3.6235468702570843</v>
      </c>
      <c r="AQ174" s="272">
        <f t="shared" si="72"/>
        <v>3</v>
      </c>
      <c r="AR174" s="272">
        <f t="shared" si="61"/>
        <v>3.6235468702570843</v>
      </c>
      <c r="AS174" s="272">
        <f t="shared" si="73"/>
        <v>3</v>
      </c>
      <c r="AT174" s="508">
        <f t="shared" si="62"/>
        <v>3.6235468702570843</v>
      </c>
    </row>
    <row r="175" spans="1:46" ht="12.75" customHeight="1">
      <c r="A175" s="96">
        <f>IF(MAX($F$93:F175)=$G$88,$G$88,F175)</f>
        <v>2.7431005600320191E-4</v>
      </c>
      <c r="B175" s="481">
        <v>83</v>
      </c>
      <c r="C175" s="96">
        <f t="shared" si="78"/>
        <v>0.12450000000000008</v>
      </c>
      <c r="D175" s="96">
        <f t="shared" si="75"/>
        <v>1.0074026911897258</v>
      </c>
      <c r="E175" s="96">
        <f t="shared" si="76"/>
        <v>0.99999598972846226</v>
      </c>
      <c r="F175" s="96">
        <f t="shared" si="74"/>
        <v>2.7431005600320191E-4</v>
      </c>
      <c r="G175" s="96">
        <f t="shared" si="77"/>
        <v>-0.1157256899439968</v>
      </c>
      <c r="I175" s="96">
        <f t="shared" si="79"/>
        <v>0</v>
      </c>
      <c r="J175" s="96">
        <f t="shared" si="80"/>
        <v>0.12450000000000008</v>
      </c>
      <c r="Y175" s="96">
        <f t="shared" si="63"/>
        <v>4</v>
      </c>
      <c r="Z175" s="96">
        <v>1.29</v>
      </c>
      <c r="AA175" s="272">
        <f t="shared" si="64"/>
        <v>4</v>
      </c>
      <c r="AB175" s="519">
        <f t="shared" si="65"/>
        <v>3</v>
      </c>
      <c r="AC175" s="272">
        <f t="shared" si="53"/>
        <v>2</v>
      </c>
      <c r="AD175" s="272">
        <f t="shared" si="54"/>
        <v>6.6748947218521986</v>
      </c>
      <c r="AE175" s="272">
        <f t="shared" si="66"/>
        <v>3</v>
      </c>
      <c r="AF175" s="272">
        <f t="shared" si="55"/>
        <v>3.6516908179153211</v>
      </c>
      <c r="AG175" s="272">
        <f t="shared" si="67"/>
        <v>3</v>
      </c>
      <c r="AH175" s="272">
        <f t="shared" si="56"/>
        <v>3.6516908179153211</v>
      </c>
      <c r="AI175" s="272">
        <f t="shared" si="68"/>
        <v>3</v>
      </c>
      <c r="AJ175" s="272">
        <f t="shared" si="57"/>
        <v>3.6516908179153211</v>
      </c>
      <c r="AK175" s="272">
        <f t="shared" si="69"/>
        <v>3</v>
      </c>
      <c r="AL175" s="272">
        <f t="shared" si="58"/>
        <v>3.6516908179153211</v>
      </c>
      <c r="AM175" s="272">
        <f t="shared" si="70"/>
        <v>3</v>
      </c>
      <c r="AN175" s="272">
        <f t="shared" si="59"/>
        <v>3.6516908179153211</v>
      </c>
      <c r="AO175" s="272">
        <f t="shared" si="71"/>
        <v>3</v>
      </c>
      <c r="AP175" s="272">
        <f t="shared" si="60"/>
        <v>3.6516908179153211</v>
      </c>
      <c r="AQ175" s="272">
        <f t="shared" si="72"/>
        <v>3</v>
      </c>
      <c r="AR175" s="272">
        <f t="shared" si="61"/>
        <v>3.6516908179153211</v>
      </c>
      <c r="AS175" s="272">
        <f t="shared" si="73"/>
        <v>3</v>
      </c>
      <c r="AT175" s="508">
        <f t="shared" si="62"/>
        <v>3.6516908179153211</v>
      </c>
    </row>
    <row r="176" spans="1:46" ht="12.75" customHeight="1">
      <c r="A176" s="96">
        <f>IF(MAX($F$93:F176)=$G$88,$G$88,F176)</f>
        <v>3.1283878186849634E-4</v>
      </c>
      <c r="B176" s="481">
        <v>84</v>
      </c>
      <c r="C176" s="96">
        <f t="shared" si="78"/>
        <v>0.12600000000000008</v>
      </c>
      <c r="D176" s="96">
        <f t="shared" si="75"/>
        <v>1.0318236883487741</v>
      </c>
      <c r="E176" s="96">
        <f t="shared" si="76"/>
        <v>0.99999536305819869</v>
      </c>
      <c r="F176" s="96">
        <f t="shared" si="74"/>
        <v>3.1283878186849634E-4</v>
      </c>
      <c r="G176" s="96">
        <f t="shared" si="77"/>
        <v>-0.11568716121813151</v>
      </c>
      <c r="I176" s="96">
        <f t="shared" si="79"/>
        <v>0</v>
      </c>
      <c r="J176" s="96">
        <f t="shared" si="80"/>
        <v>0.12600000000000008</v>
      </c>
      <c r="Y176" s="96">
        <f t="shared" si="63"/>
        <v>4</v>
      </c>
      <c r="Z176" s="517">
        <v>1.2849999999999999</v>
      </c>
      <c r="AA176" s="272">
        <f t="shared" si="64"/>
        <v>4</v>
      </c>
      <c r="AB176" s="519">
        <f t="shared" si="65"/>
        <v>3</v>
      </c>
      <c r="AC176" s="272">
        <f t="shared" si="53"/>
        <v>2</v>
      </c>
      <c r="AD176" s="272">
        <f t="shared" si="54"/>
        <v>6.7269404875981431</v>
      </c>
      <c r="AE176" s="272">
        <f t="shared" si="66"/>
        <v>3</v>
      </c>
      <c r="AF176" s="272">
        <f t="shared" si="55"/>
        <v>3.6801639328939952</v>
      </c>
      <c r="AG176" s="272">
        <f t="shared" si="67"/>
        <v>3</v>
      </c>
      <c r="AH176" s="272">
        <f t="shared" si="56"/>
        <v>3.6801639328939952</v>
      </c>
      <c r="AI176" s="272">
        <f t="shared" si="68"/>
        <v>3</v>
      </c>
      <c r="AJ176" s="272">
        <f t="shared" si="57"/>
        <v>3.6801639328939952</v>
      </c>
      <c r="AK176" s="272">
        <f t="shared" si="69"/>
        <v>3</v>
      </c>
      <c r="AL176" s="272">
        <f t="shared" si="58"/>
        <v>3.6801639328939952</v>
      </c>
      <c r="AM176" s="272">
        <f t="shared" si="70"/>
        <v>3</v>
      </c>
      <c r="AN176" s="272">
        <f t="shared" si="59"/>
        <v>3.6801639328939952</v>
      </c>
      <c r="AO176" s="272">
        <f t="shared" si="71"/>
        <v>3</v>
      </c>
      <c r="AP176" s="272">
        <f t="shared" si="60"/>
        <v>3.6801639328939952</v>
      </c>
      <c r="AQ176" s="272">
        <f t="shared" si="72"/>
        <v>3</v>
      </c>
      <c r="AR176" s="272">
        <f t="shared" si="61"/>
        <v>3.6801639328939952</v>
      </c>
      <c r="AS176" s="272">
        <f t="shared" si="73"/>
        <v>3</v>
      </c>
      <c r="AT176" s="508">
        <f t="shared" si="62"/>
        <v>3.6801639328939952</v>
      </c>
    </row>
    <row r="177" spans="1:46" ht="12.75" customHeight="1">
      <c r="A177" s="96">
        <f>IF(MAX($F$93:F177)=$G$88,$G$88,F177)</f>
        <v>3.5612170033634994E-4</v>
      </c>
      <c r="B177" s="481">
        <v>85</v>
      </c>
      <c r="C177" s="96">
        <f t="shared" si="78"/>
        <v>0.12750000000000009</v>
      </c>
      <c r="D177" s="96">
        <f t="shared" si="75"/>
        <v>1.0565371525396672</v>
      </c>
      <c r="E177" s="96">
        <f t="shared" si="76"/>
        <v>0.99999464899082569</v>
      </c>
      <c r="F177" s="96">
        <f t="shared" si="74"/>
        <v>3.5612170033634994E-4</v>
      </c>
      <c r="G177" s="96">
        <f t="shared" si="77"/>
        <v>-0.11564387829966366</v>
      </c>
      <c r="I177" s="96">
        <f t="shared" si="79"/>
        <v>0</v>
      </c>
      <c r="J177" s="96">
        <f t="shared" si="80"/>
        <v>0.12750000000000009</v>
      </c>
      <c r="Y177" s="96">
        <f t="shared" si="63"/>
        <v>4</v>
      </c>
      <c r="Z177" s="96">
        <v>1.28</v>
      </c>
      <c r="AA177" s="272">
        <f t="shared" si="64"/>
        <v>4</v>
      </c>
      <c r="AB177" s="519">
        <f t="shared" si="65"/>
        <v>3</v>
      </c>
      <c r="AC177" s="272">
        <f t="shared" si="53"/>
        <v>2</v>
      </c>
      <c r="AD177" s="272">
        <f t="shared" si="54"/>
        <v>6.779597355123439</v>
      </c>
      <c r="AE177" s="272">
        <f t="shared" si="66"/>
        <v>3</v>
      </c>
      <c r="AF177" s="272">
        <f t="shared" si="55"/>
        <v>3.7089713684648968</v>
      </c>
      <c r="AG177" s="272">
        <f t="shared" si="67"/>
        <v>3</v>
      </c>
      <c r="AH177" s="272">
        <f t="shared" si="56"/>
        <v>3.7089713684648968</v>
      </c>
      <c r="AI177" s="272">
        <f t="shared" si="68"/>
        <v>3</v>
      </c>
      <c r="AJ177" s="272">
        <f t="shared" si="57"/>
        <v>3.7089713684648968</v>
      </c>
      <c r="AK177" s="272">
        <f t="shared" si="69"/>
        <v>3</v>
      </c>
      <c r="AL177" s="272">
        <f t="shared" si="58"/>
        <v>3.7089713684648968</v>
      </c>
      <c r="AM177" s="272">
        <f t="shared" si="70"/>
        <v>3</v>
      </c>
      <c r="AN177" s="272">
        <f t="shared" si="59"/>
        <v>3.7089713684648968</v>
      </c>
      <c r="AO177" s="272">
        <f t="shared" si="71"/>
        <v>3</v>
      </c>
      <c r="AP177" s="272">
        <f t="shared" si="60"/>
        <v>3.7089713684648968</v>
      </c>
      <c r="AQ177" s="272">
        <f t="shared" si="72"/>
        <v>3</v>
      </c>
      <c r="AR177" s="272">
        <f t="shared" si="61"/>
        <v>3.7089713684648968</v>
      </c>
      <c r="AS177" s="272">
        <f t="shared" si="73"/>
        <v>3</v>
      </c>
      <c r="AT177" s="508">
        <f t="shared" si="62"/>
        <v>3.7089713684648968</v>
      </c>
    </row>
    <row r="178" spans="1:46" ht="12.75" customHeight="1">
      <c r="A178" s="96">
        <f>IF(MAX($F$93:F178)=$G$88,$G$88,F178)</f>
        <v>4.0466208146572308E-4</v>
      </c>
      <c r="B178" s="481">
        <v>86</v>
      </c>
      <c r="C178" s="96">
        <f t="shared" si="78"/>
        <v>0.12900000000000009</v>
      </c>
      <c r="D178" s="96">
        <f t="shared" si="75"/>
        <v>1.0815430837624056</v>
      </c>
      <c r="E178" s="96">
        <f t="shared" si="76"/>
        <v>0.99999383682234011</v>
      </c>
      <c r="F178" s="96">
        <f t="shared" si="74"/>
        <v>4.0466208146572308E-4</v>
      </c>
      <c r="G178" s="96">
        <f t="shared" si="77"/>
        <v>-0.11559533791853428</v>
      </c>
      <c r="I178" s="96">
        <f t="shared" si="79"/>
        <v>0</v>
      </c>
      <c r="J178" s="96">
        <f t="shared" si="80"/>
        <v>0.12900000000000009</v>
      </c>
      <c r="Y178" s="96">
        <f t="shared" si="63"/>
        <v>4</v>
      </c>
      <c r="Z178" s="517">
        <v>1.2749999999999999</v>
      </c>
      <c r="AA178" s="272">
        <f t="shared" si="64"/>
        <v>4</v>
      </c>
      <c r="AB178" s="519">
        <f t="shared" si="65"/>
        <v>3</v>
      </c>
      <c r="AC178" s="272">
        <f t="shared" si="53"/>
        <v>2</v>
      </c>
      <c r="AD178" s="272">
        <f t="shared" si="54"/>
        <v>6.8328749291098765</v>
      </c>
      <c r="AE178" s="272">
        <f t="shared" si="66"/>
        <v>3</v>
      </c>
      <c r="AF178" s="272">
        <f t="shared" si="55"/>
        <v>3.7381183791421067</v>
      </c>
      <c r="AG178" s="272">
        <f t="shared" si="67"/>
        <v>3</v>
      </c>
      <c r="AH178" s="272">
        <f t="shared" si="56"/>
        <v>3.7381183791421067</v>
      </c>
      <c r="AI178" s="272">
        <f t="shared" si="68"/>
        <v>3</v>
      </c>
      <c r="AJ178" s="272">
        <f t="shared" si="57"/>
        <v>3.7381183791421067</v>
      </c>
      <c r="AK178" s="272">
        <f t="shared" si="69"/>
        <v>3</v>
      </c>
      <c r="AL178" s="272">
        <f t="shared" si="58"/>
        <v>3.7381183791421067</v>
      </c>
      <c r="AM178" s="272">
        <f t="shared" si="70"/>
        <v>3</v>
      </c>
      <c r="AN178" s="272">
        <f t="shared" si="59"/>
        <v>3.7381183791421067</v>
      </c>
      <c r="AO178" s="272">
        <f t="shared" si="71"/>
        <v>3</v>
      </c>
      <c r="AP178" s="272">
        <f t="shared" si="60"/>
        <v>3.7381183791421067</v>
      </c>
      <c r="AQ178" s="272">
        <f t="shared" si="72"/>
        <v>3</v>
      </c>
      <c r="AR178" s="272">
        <f t="shared" si="61"/>
        <v>3.7381183791421067</v>
      </c>
      <c r="AS178" s="272">
        <f t="shared" si="73"/>
        <v>3</v>
      </c>
      <c r="AT178" s="508">
        <f t="shared" si="62"/>
        <v>3.7381183791421067</v>
      </c>
    </row>
    <row r="179" spans="1:46" ht="12.75" customHeight="1">
      <c r="A179" s="96">
        <f>IF(MAX($F$93:F179)=$G$88,$G$88,F179)</f>
        <v>4.5900713253610442E-4</v>
      </c>
      <c r="B179" s="481">
        <v>87</v>
      </c>
      <c r="C179" s="96">
        <f t="shared" si="78"/>
        <v>0.13050000000000009</v>
      </c>
      <c r="D179" s="96">
        <f t="shared" si="75"/>
        <v>1.1068414820169885</v>
      </c>
      <c r="E179" s="96">
        <f t="shared" si="76"/>
        <v>0.99999291472476226</v>
      </c>
      <c r="F179" s="96">
        <f t="shared" si="74"/>
        <v>4.5900713253610442E-4</v>
      </c>
      <c r="G179" s="96">
        <f t="shared" si="77"/>
        <v>-0.1155409928674639</v>
      </c>
      <c r="I179" s="96">
        <f t="shared" si="79"/>
        <v>0</v>
      </c>
      <c r="J179" s="96">
        <f t="shared" si="80"/>
        <v>0.13050000000000009</v>
      </c>
      <c r="Y179" s="96">
        <f t="shared" si="63"/>
        <v>4</v>
      </c>
      <c r="Z179" s="96">
        <v>1.27</v>
      </c>
      <c r="AA179" s="272">
        <f t="shared" si="64"/>
        <v>4</v>
      </c>
      <c r="AB179" s="519">
        <f t="shared" si="65"/>
        <v>3</v>
      </c>
      <c r="AC179" s="272">
        <f t="shared" si="53"/>
        <v>2</v>
      </c>
      <c r="AD179" s="272">
        <f t="shared" si="54"/>
        <v>6.8867830036792386</v>
      </c>
      <c r="AE179" s="272">
        <f t="shared" si="66"/>
        <v>3</v>
      </c>
      <c r="AF179" s="272">
        <f t="shared" si="55"/>
        <v>3.7676103230782365</v>
      </c>
      <c r="AG179" s="272">
        <f t="shared" si="67"/>
        <v>3</v>
      </c>
      <c r="AH179" s="272">
        <f t="shared" si="56"/>
        <v>3.7676103230782365</v>
      </c>
      <c r="AI179" s="272">
        <f t="shared" si="68"/>
        <v>3</v>
      </c>
      <c r="AJ179" s="272">
        <f t="shared" si="57"/>
        <v>3.7676103230782365</v>
      </c>
      <c r="AK179" s="272">
        <f t="shared" si="69"/>
        <v>3</v>
      </c>
      <c r="AL179" s="272">
        <f t="shared" si="58"/>
        <v>3.7676103230782365</v>
      </c>
      <c r="AM179" s="272">
        <f t="shared" si="70"/>
        <v>3</v>
      </c>
      <c r="AN179" s="272">
        <f t="shared" si="59"/>
        <v>3.7676103230782365</v>
      </c>
      <c r="AO179" s="272">
        <f t="shared" si="71"/>
        <v>3</v>
      </c>
      <c r="AP179" s="272">
        <f t="shared" si="60"/>
        <v>3.7676103230782365</v>
      </c>
      <c r="AQ179" s="272">
        <f t="shared" si="72"/>
        <v>3</v>
      </c>
      <c r="AR179" s="272">
        <f t="shared" si="61"/>
        <v>3.7676103230782365</v>
      </c>
      <c r="AS179" s="272">
        <f t="shared" si="73"/>
        <v>3</v>
      </c>
      <c r="AT179" s="508">
        <f t="shared" si="62"/>
        <v>3.7676103230782365</v>
      </c>
    </row>
    <row r="180" spans="1:46" ht="12.75" customHeight="1">
      <c r="A180" s="96">
        <f>IF(MAX($F$93:F180)=$G$88,$G$88,F180)</f>
        <v>5.1975092150158275E-4</v>
      </c>
      <c r="B180" s="481">
        <v>88</v>
      </c>
      <c r="C180" s="96">
        <f t="shared" si="78"/>
        <v>0.13200000000000009</v>
      </c>
      <c r="D180" s="96">
        <f t="shared" si="75"/>
        <v>1.1324323473034164</v>
      </c>
      <c r="E180" s="96">
        <f t="shared" si="76"/>
        <v>0.99999186964891495</v>
      </c>
      <c r="F180" s="96">
        <f t="shared" si="74"/>
        <v>5.1975092150158275E-4</v>
      </c>
      <c r="G180" s="96">
        <f t="shared" si="77"/>
        <v>-0.11548024907849842</v>
      </c>
      <c r="I180" s="96">
        <f t="shared" si="79"/>
        <v>0</v>
      </c>
      <c r="J180" s="96">
        <f t="shared" si="80"/>
        <v>0.13200000000000009</v>
      </c>
      <c r="Y180" s="96">
        <f t="shared" si="63"/>
        <v>4</v>
      </c>
      <c r="Z180" s="517">
        <v>1.2649999999999999</v>
      </c>
      <c r="AA180" s="272">
        <f t="shared" si="64"/>
        <v>4</v>
      </c>
      <c r="AB180" s="519">
        <f t="shared" si="65"/>
        <v>3</v>
      </c>
      <c r="AC180" s="272">
        <f t="shared" si="53"/>
        <v>2</v>
      </c>
      <c r="AD180" s="272">
        <f t="shared" si="54"/>
        <v>6.9413315668948083</v>
      </c>
      <c r="AE180" s="272">
        <f t="shared" si="66"/>
        <v>3</v>
      </c>
      <c r="AF180" s="272">
        <f t="shared" si="55"/>
        <v>3.7974526645271061</v>
      </c>
      <c r="AG180" s="272">
        <f t="shared" si="67"/>
        <v>3</v>
      </c>
      <c r="AH180" s="272">
        <f t="shared" si="56"/>
        <v>3.7974526645271061</v>
      </c>
      <c r="AI180" s="272">
        <f t="shared" si="68"/>
        <v>3</v>
      </c>
      <c r="AJ180" s="272">
        <f t="shared" si="57"/>
        <v>3.7974526645271061</v>
      </c>
      <c r="AK180" s="272">
        <f t="shared" si="69"/>
        <v>3</v>
      </c>
      <c r="AL180" s="272">
        <f t="shared" si="58"/>
        <v>3.7974526645271061</v>
      </c>
      <c r="AM180" s="272">
        <f t="shared" si="70"/>
        <v>3</v>
      </c>
      <c r="AN180" s="272">
        <f t="shared" si="59"/>
        <v>3.7974526645271061</v>
      </c>
      <c r="AO180" s="272">
        <f t="shared" si="71"/>
        <v>3</v>
      </c>
      <c r="AP180" s="272">
        <f t="shared" si="60"/>
        <v>3.7974526645271061</v>
      </c>
      <c r="AQ180" s="272">
        <f t="shared" si="72"/>
        <v>3</v>
      </c>
      <c r="AR180" s="272">
        <f t="shared" si="61"/>
        <v>3.7974526645271061</v>
      </c>
      <c r="AS180" s="272">
        <f t="shared" si="73"/>
        <v>3</v>
      </c>
      <c r="AT180" s="508">
        <f t="shared" si="62"/>
        <v>3.7974526645271061</v>
      </c>
    </row>
    <row r="181" spans="1:46" ht="12.75" customHeight="1">
      <c r="A181" s="96">
        <f>IF(MAX($F$93:F181)=$G$88,$G$88,F181)</f>
        <v>5.8753741727738762E-4</v>
      </c>
      <c r="B181" s="481">
        <v>89</v>
      </c>
      <c r="C181" s="96">
        <f t="shared" si="78"/>
        <v>0.13350000000000009</v>
      </c>
      <c r="D181" s="96">
        <f t="shared" si="75"/>
        <v>1.1583156796216894</v>
      </c>
      <c r="E181" s="96">
        <f t="shared" si="76"/>
        <v>0.99999068722081297</v>
      </c>
      <c r="F181" s="96">
        <f t="shared" si="74"/>
        <v>5.8753741727738762E-4</v>
      </c>
      <c r="G181" s="96">
        <f t="shared" si="77"/>
        <v>-0.11541246258272261</v>
      </c>
      <c r="I181" s="96">
        <f t="shared" si="79"/>
        <v>0</v>
      </c>
      <c r="J181" s="96">
        <f t="shared" si="80"/>
        <v>0.13350000000000009</v>
      </c>
      <c r="Y181" s="96">
        <f t="shared" si="63"/>
        <v>4</v>
      </c>
      <c r="Z181" s="96">
        <v>1.26</v>
      </c>
      <c r="AA181" s="272">
        <f t="shared" si="64"/>
        <v>4</v>
      </c>
      <c r="AB181" s="519">
        <f t="shared" si="65"/>
        <v>3</v>
      </c>
      <c r="AC181" s="272">
        <f t="shared" si="53"/>
        <v>2</v>
      </c>
      <c r="AD181" s="272">
        <f t="shared" si="54"/>
        <v>6.9965308053881596</v>
      </c>
      <c r="AE181" s="272">
        <f t="shared" si="66"/>
        <v>3</v>
      </c>
      <c r="AF181" s="272">
        <f t="shared" si="55"/>
        <v>3.8276509763749607</v>
      </c>
      <c r="AG181" s="272">
        <f t="shared" si="67"/>
        <v>3</v>
      </c>
      <c r="AH181" s="272">
        <f t="shared" si="56"/>
        <v>3.8276509763749607</v>
      </c>
      <c r="AI181" s="272">
        <f t="shared" si="68"/>
        <v>3</v>
      </c>
      <c r="AJ181" s="272">
        <f t="shared" si="57"/>
        <v>3.8276509763749607</v>
      </c>
      <c r="AK181" s="272">
        <f t="shared" si="69"/>
        <v>3</v>
      </c>
      <c r="AL181" s="272">
        <f t="shared" si="58"/>
        <v>3.8276509763749607</v>
      </c>
      <c r="AM181" s="272">
        <f t="shared" si="70"/>
        <v>3</v>
      </c>
      <c r="AN181" s="272">
        <f t="shared" si="59"/>
        <v>3.8276509763749607</v>
      </c>
      <c r="AO181" s="272">
        <f t="shared" si="71"/>
        <v>3</v>
      </c>
      <c r="AP181" s="272">
        <f t="shared" si="60"/>
        <v>3.8276509763749607</v>
      </c>
      <c r="AQ181" s="272">
        <f t="shared" si="72"/>
        <v>3</v>
      </c>
      <c r="AR181" s="272">
        <f t="shared" si="61"/>
        <v>3.8276509763749607</v>
      </c>
      <c r="AS181" s="272">
        <f t="shared" si="73"/>
        <v>3</v>
      </c>
      <c r="AT181" s="508">
        <f t="shared" si="62"/>
        <v>3.8276509763749607</v>
      </c>
    </row>
    <row r="182" spans="1:46" ht="12.75" customHeight="1">
      <c r="A182" s="96">
        <f>IF(MAX($F$93:F182)=$G$88,$G$88,F182)</f>
        <v>6.6306364623717562E-4</v>
      </c>
      <c r="B182" s="481">
        <v>90</v>
      </c>
      <c r="C182" s="96">
        <f t="shared" si="78"/>
        <v>0.13500000000000009</v>
      </c>
      <c r="D182" s="96">
        <f t="shared" si="75"/>
        <v>1.1844914789718071</v>
      </c>
      <c r="E182" s="96">
        <f t="shared" si="76"/>
        <v>0.99998935163141234</v>
      </c>
      <c r="F182" s="96">
        <f t="shared" si="74"/>
        <v>6.6306364623717562E-4</v>
      </c>
      <c r="G182" s="96">
        <f t="shared" si="77"/>
        <v>-0.11533693635376283</v>
      </c>
      <c r="I182" s="96">
        <f t="shared" si="79"/>
        <v>0</v>
      </c>
      <c r="J182" s="96">
        <f t="shared" si="80"/>
        <v>0.13500000000000009</v>
      </c>
      <c r="Y182" s="96">
        <f t="shared" si="63"/>
        <v>4</v>
      </c>
      <c r="Z182" s="517">
        <v>1.2549999999999899</v>
      </c>
      <c r="AA182" s="272">
        <f t="shared" si="64"/>
        <v>4</v>
      </c>
      <c r="AB182" s="519">
        <f t="shared" si="65"/>
        <v>3</v>
      </c>
      <c r="AC182" s="272">
        <f t="shared" si="53"/>
        <v>2</v>
      </c>
      <c r="AD182" s="272">
        <f t="shared" si="54"/>
        <v>7.0523911091153613</v>
      </c>
      <c r="AE182" s="272">
        <f t="shared" si="66"/>
        <v>3</v>
      </c>
      <c r="AF182" s="272">
        <f t="shared" si="55"/>
        <v>3.8582109427424864</v>
      </c>
      <c r="AG182" s="272">
        <f t="shared" si="67"/>
        <v>3</v>
      </c>
      <c r="AH182" s="272">
        <f t="shared" si="56"/>
        <v>3.8582109427424864</v>
      </c>
      <c r="AI182" s="272">
        <f t="shared" si="68"/>
        <v>3</v>
      </c>
      <c r="AJ182" s="272">
        <f t="shared" si="57"/>
        <v>3.8582109427424864</v>
      </c>
      <c r="AK182" s="272">
        <f t="shared" si="69"/>
        <v>3</v>
      </c>
      <c r="AL182" s="272">
        <f t="shared" si="58"/>
        <v>3.8582109427424864</v>
      </c>
      <c r="AM182" s="272">
        <f t="shared" si="70"/>
        <v>3</v>
      </c>
      <c r="AN182" s="272">
        <f t="shared" si="59"/>
        <v>3.8582109427424864</v>
      </c>
      <c r="AO182" s="272">
        <f t="shared" si="71"/>
        <v>3</v>
      </c>
      <c r="AP182" s="272">
        <f t="shared" si="60"/>
        <v>3.8582109427424864</v>
      </c>
      <c r="AQ182" s="272">
        <f t="shared" si="72"/>
        <v>3</v>
      </c>
      <c r="AR182" s="272">
        <f t="shared" si="61"/>
        <v>3.8582109427424864</v>
      </c>
      <c r="AS182" s="272">
        <f t="shared" si="73"/>
        <v>3</v>
      </c>
      <c r="AT182" s="508">
        <f t="shared" si="62"/>
        <v>3.8582109427424864</v>
      </c>
    </row>
    <row r="183" spans="1:46" ht="12.75" customHeight="1">
      <c r="A183" s="96">
        <f>IF(MAX($F$93:F183)=$G$88,$G$88,F183)</f>
        <v>7.4708296328903267E-4</v>
      </c>
      <c r="B183" s="481">
        <v>91</v>
      </c>
      <c r="C183" s="96">
        <f t="shared" si="78"/>
        <v>0.13650000000000009</v>
      </c>
      <c r="D183" s="96">
        <f t="shared" si="75"/>
        <v>1.2109597453537695</v>
      </c>
      <c r="E183" s="96">
        <f t="shared" si="76"/>
        <v>0.99998784551947195</v>
      </c>
      <c r="F183" s="96">
        <f t="shared" si="74"/>
        <v>7.4708296328903267E-4</v>
      </c>
      <c r="G183" s="96">
        <f t="shared" si="77"/>
        <v>-0.11525291703671098</v>
      </c>
      <c r="I183" s="96">
        <f t="shared" si="79"/>
        <v>0</v>
      </c>
      <c r="J183" s="96">
        <f t="shared" si="80"/>
        <v>0.13650000000000009</v>
      </c>
      <c r="Y183" s="96">
        <f t="shared" si="63"/>
        <v>4</v>
      </c>
      <c r="Z183" s="96">
        <v>1.24999999999999</v>
      </c>
      <c r="AA183" s="272">
        <f t="shared" si="64"/>
        <v>4</v>
      </c>
      <c r="AB183" s="519">
        <f t="shared" si="65"/>
        <v>3</v>
      </c>
      <c r="AC183" s="272">
        <f t="shared" si="53"/>
        <v>2</v>
      </c>
      <c r="AD183" s="272">
        <f t="shared" si="54"/>
        <v>7.1089230762460289</v>
      </c>
      <c r="AE183" s="272">
        <f t="shared" si="66"/>
        <v>3</v>
      </c>
      <c r="AF183" s="272">
        <f t="shared" si="55"/>
        <v>3.8891383616595099</v>
      </c>
      <c r="AG183" s="272">
        <f t="shared" si="67"/>
        <v>3</v>
      </c>
      <c r="AH183" s="272">
        <f t="shared" si="56"/>
        <v>3.8891383616595099</v>
      </c>
      <c r="AI183" s="272">
        <f t="shared" si="68"/>
        <v>3</v>
      </c>
      <c r="AJ183" s="272">
        <f t="shared" si="57"/>
        <v>3.8891383616595099</v>
      </c>
      <c r="AK183" s="272">
        <f t="shared" si="69"/>
        <v>3</v>
      </c>
      <c r="AL183" s="272">
        <f t="shared" si="58"/>
        <v>3.8891383616595099</v>
      </c>
      <c r="AM183" s="272">
        <f t="shared" si="70"/>
        <v>3</v>
      </c>
      <c r="AN183" s="272">
        <f t="shared" si="59"/>
        <v>3.8891383616595099</v>
      </c>
      <c r="AO183" s="272">
        <f t="shared" si="71"/>
        <v>3</v>
      </c>
      <c r="AP183" s="272">
        <f t="shared" si="60"/>
        <v>3.8891383616595099</v>
      </c>
      <c r="AQ183" s="272">
        <f t="shared" si="72"/>
        <v>3</v>
      </c>
      <c r="AR183" s="272">
        <f t="shared" si="61"/>
        <v>3.8891383616595099</v>
      </c>
      <c r="AS183" s="272">
        <f t="shared" si="73"/>
        <v>3</v>
      </c>
      <c r="AT183" s="508">
        <f t="shared" si="62"/>
        <v>3.8891383616595099</v>
      </c>
    </row>
    <row r="184" spans="1:46" ht="12.75" customHeight="1">
      <c r="A184" s="96">
        <f>IF(MAX($F$93:F184)=$G$88,$G$88,F184)</f>
        <v>8.4040843470652615E-4</v>
      </c>
      <c r="B184" s="481">
        <v>92</v>
      </c>
      <c r="C184" s="96">
        <f t="shared" si="78"/>
        <v>0.13800000000000009</v>
      </c>
      <c r="D184" s="96">
        <f t="shared" si="75"/>
        <v>1.2377204787675771</v>
      </c>
      <c r="E184" s="96">
        <f t="shared" si="76"/>
        <v>0.99998614984728396</v>
      </c>
      <c r="F184" s="96">
        <f t="shared" si="74"/>
        <v>8.4040843470652615E-4</v>
      </c>
      <c r="G184" s="96">
        <f t="shared" si="77"/>
        <v>-0.11515959156529348</v>
      </c>
      <c r="I184" s="96">
        <f t="shared" si="79"/>
        <v>0</v>
      </c>
      <c r="J184" s="96">
        <f t="shared" si="80"/>
        <v>0.13800000000000009</v>
      </c>
      <c r="Y184" s="96">
        <f t="shared" si="63"/>
        <v>4</v>
      </c>
      <c r="Z184" s="517">
        <v>1.2449999999999899</v>
      </c>
      <c r="AA184" s="272">
        <f t="shared" si="64"/>
        <v>4</v>
      </c>
      <c r="AB184" s="519">
        <f t="shared" si="65"/>
        <v>3</v>
      </c>
      <c r="AC184" s="272">
        <f t="shared" si="53"/>
        <v>2</v>
      </c>
      <c r="AD184" s="272">
        <f t="shared" si="54"/>
        <v>7.1661375181912694</v>
      </c>
      <c r="AE184" s="272">
        <f t="shared" si="66"/>
        <v>3</v>
      </c>
      <c r="AF184" s="272">
        <f t="shared" si="55"/>
        <v>3.9204391478156713</v>
      </c>
      <c r="AG184" s="272">
        <f t="shared" si="67"/>
        <v>3</v>
      </c>
      <c r="AH184" s="272">
        <f t="shared" si="56"/>
        <v>3.9204391478156713</v>
      </c>
      <c r="AI184" s="272">
        <f t="shared" si="68"/>
        <v>3</v>
      </c>
      <c r="AJ184" s="272">
        <f t="shared" si="57"/>
        <v>3.9204391478156713</v>
      </c>
      <c r="AK184" s="272">
        <f t="shared" si="69"/>
        <v>3</v>
      </c>
      <c r="AL184" s="272">
        <f t="shared" si="58"/>
        <v>3.9204391478156713</v>
      </c>
      <c r="AM184" s="272">
        <f t="shared" si="70"/>
        <v>3</v>
      </c>
      <c r="AN184" s="272">
        <f t="shared" si="59"/>
        <v>3.9204391478156713</v>
      </c>
      <c r="AO184" s="272">
        <f t="shared" si="71"/>
        <v>3</v>
      </c>
      <c r="AP184" s="272">
        <f t="shared" si="60"/>
        <v>3.9204391478156713</v>
      </c>
      <c r="AQ184" s="272">
        <f t="shared" si="72"/>
        <v>3</v>
      </c>
      <c r="AR184" s="272">
        <f t="shared" si="61"/>
        <v>3.9204391478156713</v>
      </c>
      <c r="AS184" s="272">
        <f t="shared" si="73"/>
        <v>3</v>
      </c>
      <c r="AT184" s="508">
        <f t="shared" si="62"/>
        <v>3.9204391478156713</v>
      </c>
    </row>
    <row r="185" spans="1:46" ht="12.75" customHeight="1">
      <c r="A185" s="96">
        <f>IF(MAX($F$93:F185)=$G$88,$G$88,F185)</f>
        <v>9.4391633022790811E-4</v>
      </c>
      <c r="B185" s="481">
        <v>93</v>
      </c>
      <c r="C185" s="96">
        <f t="shared" si="78"/>
        <v>0.1395000000000001</v>
      </c>
      <c r="D185" s="96">
        <f t="shared" si="75"/>
        <v>1.2647736792132294</v>
      </c>
      <c r="E185" s="96">
        <f t="shared" si="76"/>
        <v>0.9999842437690375</v>
      </c>
      <c r="F185" s="96">
        <f t="shared" si="74"/>
        <v>9.4391633022790811E-4</v>
      </c>
      <c r="G185" s="96">
        <f t="shared" si="77"/>
        <v>-0.1150560836697721</v>
      </c>
      <c r="I185" s="96">
        <f t="shared" si="79"/>
        <v>0</v>
      </c>
      <c r="J185" s="96">
        <f t="shared" si="80"/>
        <v>0.1395000000000001</v>
      </c>
      <c r="Y185" s="96">
        <f t="shared" si="63"/>
        <v>4</v>
      </c>
      <c r="Z185" s="96">
        <v>1.23999999999999</v>
      </c>
      <c r="AA185" s="272">
        <f t="shared" si="64"/>
        <v>4</v>
      </c>
      <c r="AB185" s="519">
        <f t="shared" si="65"/>
        <v>3</v>
      </c>
      <c r="AC185" s="272">
        <f t="shared" si="53"/>
        <v>2</v>
      </c>
      <c r="AD185" s="272">
        <f t="shared" si="54"/>
        <v>7.2240454647726482</v>
      </c>
      <c r="AE185" s="272">
        <f t="shared" si="66"/>
        <v>3</v>
      </c>
      <c r="AF185" s="272">
        <f t="shared" si="55"/>
        <v>3.9521193353882582</v>
      </c>
      <c r="AG185" s="272">
        <f t="shared" si="67"/>
        <v>3</v>
      </c>
      <c r="AH185" s="272">
        <f t="shared" si="56"/>
        <v>3.9521193353882582</v>
      </c>
      <c r="AI185" s="272">
        <f t="shared" si="68"/>
        <v>3</v>
      </c>
      <c r="AJ185" s="272">
        <f t="shared" si="57"/>
        <v>3.9521193353882582</v>
      </c>
      <c r="AK185" s="272">
        <f t="shared" si="69"/>
        <v>3</v>
      </c>
      <c r="AL185" s="272">
        <f t="shared" si="58"/>
        <v>3.9521193353882582</v>
      </c>
      <c r="AM185" s="272">
        <f t="shared" si="70"/>
        <v>3</v>
      </c>
      <c r="AN185" s="272">
        <f t="shared" si="59"/>
        <v>3.9521193353882582</v>
      </c>
      <c r="AO185" s="272">
        <f t="shared" si="71"/>
        <v>3</v>
      </c>
      <c r="AP185" s="272">
        <f t="shared" si="60"/>
        <v>3.9521193353882582</v>
      </c>
      <c r="AQ185" s="272">
        <f t="shared" si="72"/>
        <v>3</v>
      </c>
      <c r="AR185" s="272">
        <f t="shared" si="61"/>
        <v>3.9521193353882582</v>
      </c>
      <c r="AS185" s="272">
        <f t="shared" si="73"/>
        <v>3</v>
      </c>
      <c r="AT185" s="508">
        <f t="shared" si="62"/>
        <v>3.9521193353882582</v>
      </c>
    </row>
    <row r="186" spans="1:46" ht="12.75" customHeight="1">
      <c r="A186" s="96">
        <f>IF(MAX($F$93:F186)=$G$88,$G$88,F186)</f>
        <v>1.0585497216257047E-3</v>
      </c>
      <c r="B186" s="481">
        <v>94</v>
      </c>
      <c r="C186" s="96">
        <f t="shared" si="78"/>
        <v>0.1410000000000001</v>
      </c>
      <c r="D186" s="96">
        <f t="shared" si="75"/>
        <v>1.2921193466907268</v>
      </c>
      <c r="E186" s="96">
        <f t="shared" si="76"/>
        <v>0.99998210449158298</v>
      </c>
      <c r="F186" s="96">
        <f t="shared" si="74"/>
        <v>1.0585497216257047E-3</v>
      </c>
      <c r="G186" s="96">
        <f t="shared" si="77"/>
        <v>-0.1149414502783743</v>
      </c>
      <c r="I186" s="96">
        <f t="shared" si="79"/>
        <v>0</v>
      </c>
      <c r="J186" s="96">
        <f t="shared" si="80"/>
        <v>0.1410000000000001</v>
      </c>
      <c r="Y186" s="96">
        <f t="shared" si="63"/>
        <v>4</v>
      </c>
      <c r="Z186" s="517">
        <v>1.2349999999999901</v>
      </c>
      <c r="AA186" s="272">
        <f t="shared" si="64"/>
        <v>4</v>
      </c>
      <c r="AB186" s="519">
        <f t="shared" si="65"/>
        <v>3</v>
      </c>
      <c r="AC186" s="272">
        <f t="shared" si="53"/>
        <v>2</v>
      </c>
      <c r="AD186" s="272">
        <f t="shared" si="54"/>
        <v>7.2826581695385411</v>
      </c>
      <c r="AE186" s="272">
        <f t="shared" si="66"/>
        <v>3</v>
      </c>
      <c r="AF186" s="272">
        <f t="shared" si="55"/>
        <v>3.9841850809506698</v>
      </c>
      <c r="AG186" s="272">
        <f t="shared" si="67"/>
        <v>3</v>
      </c>
      <c r="AH186" s="272">
        <f t="shared" si="56"/>
        <v>3.9841850809506698</v>
      </c>
      <c r="AI186" s="272">
        <f t="shared" si="68"/>
        <v>3</v>
      </c>
      <c r="AJ186" s="272">
        <f t="shared" si="57"/>
        <v>3.9841850809506698</v>
      </c>
      <c r="AK186" s="272">
        <f t="shared" si="69"/>
        <v>3</v>
      </c>
      <c r="AL186" s="272">
        <f t="shared" si="58"/>
        <v>3.9841850809506698</v>
      </c>
      <c r="AM186" s="272">
        <f t="shared" si="70"/>
        <v>3</v>
      </c>
      <c r="AN186" s="272">
        <f t="shared" si="59"/>
        <v>3.9841850809506698</v>
      </c>
      <c r="AO186" s="272">
        <f t="shared" si="71"/>
        <v>3</v>
      </c>
      <c r="AP186" s="272">
        <f t="shared" si="60"/>
        <v>3.9841850809506698</v>
      </c>
      <c r="AQ186" s="272">
        <f t="shared" si="72"/>
        <v>3</v>
      </c>
      <c r="AR186" s="272">
        <f t="shared" si="61"/>
        <v>3.9841850809506698</v>
      </c>
      <c r="AS186" s="272">
        <f t="shared" si="73"/>
        <v>3</v>
      </c>
      <c r="AT186" s="508">
        <f t="shared" si="62"/>
        <v>3.9841850809506698</v>
      </c>
    </row>
    <row r="187" spans="1:46" ht="12.75" customHeight="1">
      <c r="A187" s="96">
        <f>IF(MAX($F$93:F187)=$G$88,$G$88,F187)</f>
        <v>1.1853221825915601E-3</v>
      </c>
      <c r="B187" s="481">
        <v>95</v>
      </c>
      <c r="C187" s="96">
        <f t="shared" si="78"/>
        <v>0.1425000000000001</v>
      </c>
      <c r="D187" s="96">
        <f t="shared" si="75"/>
        <v>1.319757481200069</v>
      </c>
      <c r="E187" s="96">
        <f t="shared" si="76"/>
        <v>0.99997970712737339</v>
      </c>
      <c r="F187" s="96">
        <f t="shared" si="74"/>
        <v>1.1853221825915601E-3</v>
      </c>
      <c r="G187" s="96">
        <f t="shared" si="77"/>
        <v>-0.11481467781740845</v>
      </c>
      <c r="I187" s="96">
        <f t="shared" si="79"/>
        <v>0</v>
      </c>
      <c r="J187" s="96">
        <f t="shared" si="80"/>
        <v>0.1425000000000001</v>
      </c>
      <c r="Y187" s="96">
        <f t="shared" si="63"/>
        <v>5</v>
      </c>
      <c r="Z187" s="96">
        <v>1.22999999999999</v>
      </c>
      <c r="AA187" s="272">
        <f t="shared" si="64"/>
        <v>5</v>
      </c>
      <c r="AB187" s="519">
        <f t="shared" si="65"/>
        <v>3</v>
      </c>
      <c r="AC187" s="272">
        <f t="shared" si="53"/>
        <v>2</v>
      </c>
      <c r="AD187" s="272">
        <f t="shared" si="54"/>
        <v>7.3419871152319534</v>
      </c>
      <c r="AE187" s="272">
        <f t="shared" si="66"/>
        <v>3</v>
      </c>
      <c r="AF187" s="272">
        <f t="shared" si="55"/>
        <v>4.0166426664637367</v>
      </c>
      <c r="AG187" s="272">
        <f t="shared" si="67"/>
        <v>4</v>
      </c>
      <c r="AH187" s="272">
        <f t="shared" si="56"/>
        <v>3.0571673294950683</v>
      </c>
      <c r="AI187" s="272">
        <f t="shared" si="68"/>
        <v>3</v>
      </c>
      <c r="AJ187" s="272">
        <f t="shared" si="57"/>
        <v>4.0166426664637367</v>
      </c>
      <c r="AK187" s="272">
        <f t="shared" si="69"/>
        <v>4</v>
      </c>
      <c r="AL187" s="272">
        <f t="shared" si="58"/>
        <v>3.0571673294950683</v>
      </c>
      <c r="AM187" s="272">
        <f t="shared" si="70"/>
        <v>3</v>
      </c>
      <c r="AN187" s="272">
        <f t="shared" si="59"/>
        <v>4.0166426664637367</v>
      </c>
      <c r="AO187" s="272">
        <f t="shared" si="71"/>
        <v>4</v>
      </c>
      <c r="AP187" s="272">
        <f t="shared" si="60"/>
        <v>3.0571673294950683</v>
      </c>
      <c r="AQ187" s="272">
        <f t="shared" si="72"/>
        <v>3</v>
      </c>
      <c r="AR187" s="272">
        <f t="shared" si="61"/>
        <v>4.0166426664637367</v>
      </c>
      <c r="AS187" s="272">
        <f t="shared" si="73"/>
        <v>4</v>
      </c>
      <c r="AT187" s="508">
        <f t="shared" si="62"/>
        <v>3.0571673294950683</v>
      </c>
    </row>
    <row r="188" spans="1:46" ht="12.75" customHeight="1">
      <c r="A188" s="96">
        <f>IF(MAX($F$93:F188)=$G$88,$G$88,F188)</f>
        <v>1.3253215861282659E-3</v>
      </c>
      <c r="B188" s="481">
        <v>96</v>
      </c>
      <c r="C188" s="96">
        <f t="shared" si="78"/>
        <v>0.1440000000000001</v>
      </c>
      <c r="D188" s="96">
        <f t="shared" si="75"/>
        <v>1.3476880827412561</v>
      </c>
      <c r="E188" s="96">
        <f t="shared" si="76"/>
        <v>0.99997702453937187</v>
      </c>
      <c r="F188" s="96">
        <f t="shared" si="74"/>
        <v>1.3253215861282659E-3</v>
      </c>
      <c r="G188" s="96">
        <f t="shared" si="77"/>
        <v>-0.11467467841387174</v>
      </c>
      <c r="I188" s="96">
        <f t="shared" si="79"/>
        <v>0</v>
      </c>
      <c r="J188" s="96">
        <f t="shared" si="80"/>
        <v>0.1440000000000001</v>
      </c>
      <c r="Y188" s="96">
        <f t="shared" si="63"/>
        <v>5</v>
      </c>
      <c r="Z188" s="517">
        <v>1.2249999999999901</v>
      </c>
      <c r="AA188" s="272">
        <f t="shared" si="64"/>
        <v>5</v>
      </c>
      <c r="AB188" s="519">
        <f t="shared" si="65"/>
        <v>3</v>
      </c>
      <c r="AC188" s="272">
        <f t="shared" si="53"/>
        <v>2</v>
      </c>
      <c r="AD188" s="272">
        <f t="shared" si="54"/>
        <v>7.4020440194148582</v>
      </c>
      <c r="AE188" s="272">
        <f t="shared" si="66"/>
        <v>3</v>
      </c>
      <c r="AF188" s="272">
        <f t="shared" si="55"/>
        <v>4.0494985023526766</v>
      </c>
      <c r="AG188" s="272">
        <f t="shared" si="67"/>
        <v>4</v>
      </c>
      <c r="AH188" s="272">
        <f t="shared" si="56"/>
        <v>3.0821747290582846</v>
      </c>
      <c r="AI188" s="272">
        <f t="shared" si="68"/>
        <v>3</v>
      </c>
      <c r="AJ188" s="272">
        <f t="shared" si="57"/>
        <v>4.0494985023526766</v>
      </c>
      <c r="AK188" s="272">
        <f t="shared" si="69"/>
        <v>4</v>
      </c>
      <c r="AL188" s="272">
        <f t="shared" si="58"/>
        <v>3.0821747290582846</v>
      </c>
      <c r="AM188" s="272">
        <f t="shared" si="70"/>
        <v>3</v>
      </c>
      <c r="AN188" s="272">
        <f t="shared" si="59"/>
        <v>4.0494985023526766</v>
      </c>
      <c r="AO188" s="272">
        <f t="shared" si="71"/>
        <v>4</v>
      </c>
      <c r="AP188" s="272">
        <f t="shared" si="60"/>
        <v>3.0821747290582846</v>
      </c>
      <c r="AQ188" s="272">
        <f t="shared" si="72"/>
        <v>3</v>
      </c>
      <c r="AR188" s="272">
        <f t="shared" si="61"/>
        <v>4.0494985023526766</v>
      </c>
      <c r="AS188" s="272">
        <f t="shared" si="73"/>
        <v>4</v>
      </c>
      <c r="AT188" s="508">
        <f t="shared" si="62"/>
        <v>3.0821747290582846</v>
      </c>
    </row>
    <row r="189" spans="1:46" ht="12.75" customHeight="1">
      <c r="A189" s="96">
        <f>IF(MAX($F$93:F189)=$G$88,$G$88,F189)</f>
        <v>1.4797139942161288E-3</v>
      </c>
      <c r="B189" s="481">
        <v>97</v>
      </c>
      <c r="C189" s="96">
        <f t="shared" si="78"/>
        <v>0.1455000000000001</v>
      </c>
      <c r="D189" s="96">
        <f t="shared" si="75"/>
        <v>1.3759111513142879</v>
      </c>
      <c r="E189" s="96">
        <f t="shared" si="76"/>
        <v>0.99997402717771855</v>
      </c>
      <c r="F189" s="96">
        <f t="shared" si="74"/>
        <v>1.4797139942161288E-3</v>
      </c>
      <c r="G189" s="96">
        <f t="shared" si="77"/>
        <v>-0.11452028600578387</v>
      </c>
      <c r="I189" s="96">
        <f t="shared" si="79"/>
        <v>0</v>
      </c>
      <c r="J189" s="96">
        <f t="shared" si="80"/>
        <v>0.1455000000000001</v>
      </c>
      <c r="Y189" s="96">
        <f t="shared" si="63"/>
        <v>5</v>
      </c>
      <c r="Z189" s="96">
        <v>1.21999999999999</v>
      </c>
      <c r="AA189" s="272">
        <f t="shared" si="64"/>
        <v>5</v>
      </c>
      <c r="AB189" s="519">
        <f t="shared" si="65"/>
        <v>3</v>
      </c>
      <c r="AC189" s="272">
        <f t="shared" si="53"/>
        <v>2</v>
      </c>
      <c r="AD189" s="272">
        <f t="shared" si="54"/>
        <v>7.4628408402542501</v>
      </c>
      <c r="AE189" s="272">
        <f t="shared" si="66"/>
        <v>3</v>
      </c>
      <c r="AF189" s="272">
        <f t="shared" si="55"/>
        <v>4.0827591306725255</v>
      </c>
      <c r="AG189" s="272">
        <f t="shared" si="67"/>
        <v>4</v>
      </c>
      <c r="AH189" s="272">
        <f t="shared" si="56"/>
        <v>3.1074902262786144</v>
      </c>
      <c r="AI189" s="272">
        <f t="shared" si="68"/>
        <v>3</v>
      </c>
      <c r="AJ189" s="272">
        <f t="shared" si="57"/>
        <v>4.0827591306725255</v>
      </c>
      <c r="AK189" s="272">
        <f t="shared" si="69"/>
        <v>4</v>
      </c>
      <c r="AL189" s="272">
        <f t="shared" si="58"/>
        <v>3.1074902262786144</v>
      </c>
      <c r="AM189" s="272">
        <f t="shared" si="70"/>
        <v>3</v>
      </c>
      <c r="AN189" s="272">
        <f t="shared" si="59"/>
        <v>4.0827591306725255</v>
      </c>
      <c r="AO189" s="272">
        <f t="shared" si="71"/>
        <v>4</v>
      </c>
      <c r="AP189" s="272">
        <f t="shared" si="60"/>
        <v>3.1074902262786144</v>
      </c>
      <c r="AQ189" s="272">
        <f t="shared" si="72"/>
        <v>3</v>
      </c>
      <c r="AR189" s="272">
        <f t="shared" si="61"/>
        <v>4.0827591306725255</v>
      </c>
      <c r="AS189" s="272">
        <f t="shared" si="73"/>
        <v>4</v>
      </c>
      <c r="AT189" s="508">
        <f t="shared" si="62"/>
        <v>3.1074902262786144</v>
      </c>
    </row>
    <row r="190" spans="1:46" ht="12.75" customHeight="1">
      <c r="A190" s="96">
        <f>IF(MAX($F$93:F190)=$G$88,$G$88,F190)</f>
        <v>1.6497476331996568E-3</v>
      </c>
      <c r="B190" s="481">
        <v>98</v>
      </c>
      <c r="C190" s="96">
        <f t="shared" si="78"/>
        <v>0.1470000000000001</v>
      </c>
      <c r="D190" s="96">
        <f t="shared" si="75"/>
        <v>1.4044266869191648</v>
      </c>
      <c r="E190" s="96">
        <f t="shared" si="76"/>
        <v>0.99997068290796809</v>
      </c>
      <c r="F190" s="96">
        <f t="shared" si="74"/>
        <v>1.6497476331996568E-3</v>
      </c>
      <c r="G190" s="96">
        <f t="shared" si="77"/>
        <v>-0.11435025236680035</v>
      </c>
      <c r="I190" s="96">
        <f t="shared" si="79"/>
        <v>0</v>
      </c>
      <c r="J190" s="96">
        <f t="shared" si="80"/>
        <v>0.1470000000000001</v>
      </c>
      <c r="Y190" s="96">
        <f t="shared" si="63"/>
        <v>5</v>
      </c>
      <c r="Z190" s="517">
        <v>1.2149999999999901</v>
      </c>
      <c r="AA190" s="272">
        <f t="shared" si="64"/>
        <v>5</v>
      </c>
      <c r="AB190" s="519">
        <f t="shared" si="65"/>
        <v>3</v>
      </c>
      <c r="AC190" s="272">
        <f t="shared" si="53"/>
        <v>2</v>
      </c>
      <c r="AD190" s="272">
        <f t="shared" si="54"/>
        <v>7.5243897824751809</v>
      </c>
      <c r="AE190" s="272">
        <f t="shared" si="66"/>
        <v>3</v>
      </c>
      <c r="AF190" s="272">
        <f t="shared" si="55"/>
        <v>4.1164312283649087</v>
      </c>
      <c r="AG190" s="272">
        <f t="shared" si="67"/>
        <v>4</v>
      </c>
      <c r="AH190" s="272">
        <f t="shared" si="56"/>
        <v>3.1331189031435511</v>
      </c>
      <c r="AI190" s="272">
        <f t="shared" si="68"/>
        <v>3</v>
      </c>
      <c r="AJ190" s="272">
        <f t="shared" si="57"/>
        <v>4.1164312283649087</v>
      </c>
      <c r="AK190" s="272">
        <f t="shared" si="69"/>
        <v>4</v>
      </c>
      <c r="AL190" s="272">
        <f t="shared" si="58"/>
        <v>3.1331189031435511</v>
      </c>
      <c r="AM190" s="272">
        <f t="shared" si="70"/>
        <v>3</v>
      </c>
      <c r="AN190" s="272">
        <f t="shared" si="59"/>
        <v>4.1164312283649087</v>
      </c>
      <c r="AO190" s="272">
        <f t="shared" si="71"/>
        <v>4</v>
      </c>
      <c r="AP190" s="272">
        <f t="shared" si="60"/>
        <v>3.1331189031435511</v>
      </c>
      <c r="AQ190" s="272">
        <f t="shared" si="72"/>
        <v>3</v>
      </c>
      <c r="AR190" s="272">
        <f t="shared" si="61"/>
        <v>4.1164312283649087</v>
      </c>
      <c r="AS190" s="272">
        <f t="shared" si="73"/>
        <v>4</v>
      </c>
      <c r="AT190" s="508">
        <f t="shared" si="62"/>
        <v>3.1331189031435511</v>
      </c>
    </row>
    <row r="191" spans="1:46" ht="12.75" customHeight="1">
      <c r="A191" s="96">
        <f>IF(MAX($F$93:F191)=$G$88,$G$88,F191)</f>
        <v>1.836756948858653E-3</v>
      </c>
      <c r="B191" s="481">
        <v>99</v>
      </c>
      <c r="C191" s="96">
        <f t="shared" si="78"/>
        <v>0.1485000000000001</v>
      </c>
      <c r="D191" s="96">
        <f t="shared" si="75"/>
        <v>1.4332346895558865</v>
      </c>
      <c r="E191" s="96">
        <f t="shared" si="76"/>
        <v>0.99996695683071912</v>
      </c>
      <c r="F191" s="96">
        <f t="shared" si="74"/>
        <v>1.836756948858653E-3</v>
      </c>
      <c r="G191" s="96">
        <f t="shared" si="77"/>
        <v>-0.11416324305114135</v>
      </c>
      <c r="I191" s="96">
        <f t="shared" si="79"/>
        <v>0</v>
      </c>
      <c r="J191" s="96">
        <f t="shared" si="80"/>
        <v>0.1485000000000001</v>
      </c>
      <c r="Y191" s="96">
        <f t="shared" si="63"/>
        <v>5</v>
      </c>
      <c r="Z191" s="96">
        <v>1.20999999999999</v>
      </c>
      <c r="AA191" s="272">
        <f t="shared" si="64"/>
        <v>5</v>
      </c>
      <c r="AB191" s="519">
        <f t="shared" si="65"/>
        <v>3</v>
      </c>
      <c r="AC191" s="272">
        <f t="shared" si="53"/>
        <v>2</v>
      </c>
      <c r="AD191" s="272">
        <f t="shared" si="54"/>
        <v>7.5867033034863924</v>
      </c>
      <c r="AE191" s="272">
        <f t="shared" si="66"/>
        <v>3</v>
      </c>
      <c r="AF191" s="272">
        <f t="shared" si="55"/>
        <v>4.1505216106092391</v>
      </c>
      <c r="AG191" s="272">
        <f t="shared" si="67"/>
        <v>4</v>
      </c>
      <c r="AH191" s="272">
        <f t="shared" si="56"/>
        <v>3.1590659468568334</v>
      </c>
      <c r="AI191" s="272">
        <f t="shared" si="68"/>
        <v>3</v>
      </c>
      <c r="AJ191" s="272">
        <f t="shared" si="57"/>
        <v>4.1505216106092391</v>
      </c>
      <c r="AK191" s="272">
        <f t="shared" si="69"/>
        <v>4</v>
      </c>
      <c r="AL191" s="272">
        <f t="shared" si="58"/>
        <v>3.1590659468568334</v>
      </c>
      <c r="AM191" s="272">
        <f t="shared" si="70"/>
        <v>3</v>
      </c>
      <c r="AN191" s="272">
        <f t="shared" si="59"/>
        <v>4.1505216106092391</v>
      </c>
      <c r="AO191" s="272">
        <f t="shared" si="71"/>
        <v>4</v>
      </c>
      <c r="AP191" s="272">
        <f t="shared" si="60"/>
        <v>3.1590659468568334</v>
      </c>
      <c r="AQ191" s="272">
        <f t="shared" si="72"/>
        <v>3</v>
      </c>
      <c r="AR191" s="272">
        <f t="shared" si="61"/>
        <v>4.1505216106092391</v>
      </c>
      <c r="AS191" s="272">
        <f t="shared" si="73"/>
        <v>4</v>
      </c>
      <c r="AT191" s="508">
        <f t="shared" si="62"/>
        <v>3.1590659468568334</v>
      </c>
    </row>
    <row r="192" spans="1:46" ht="12.75" customHeight="1">
      <c r="A192" s="96">
        <f>IF(MAX($F$93:F192)=$G$88,$G$88,F192)</f>
        <v>2.0421667336771123E-3</v>
      </c>
      <c r="B192" s="481">
        <v>100</v>
      </c>
      <c r="C192" s="96">
        <f t="shared" si="78"/>
        <v>0.15000000000000011</v>
      </c>
      <c r="D192" s="96">
        <f t="shared" si="75"/>
        <v>1.4623351592244531</v>
      </c>
      <c r="E192" s="96">
        <f t="shared" si="76"/>
        <v>0.99996281109247298</v>
      </c>
      <c r="F192" s="96">
        <f t="shared" si="74"/>
        <v>2.0421667336771123E-3</v>
      </c>
      <c r="G192" s="96">
        <f t="shared" si="77"/>
        <v>-0.11395783326632289</v>
      </c>
      <c r="I192" s="96">
        <f t="shared" si="79"/>
        <v>0</v>
      </c>
      <c r="J192" s="96">
        <f t="shared" si="80"/>
        <v>0.15000000000000011</v>
      </c>
      <c r="Y192" s="96">
        <f t="shared" si="63"/>
        <v>5</v>
      </c>
      <c r="Z192" s="517">
        <v>1.2049999999999901</v>
      </c>
      <c r="AA192" s="272">
        <f t="shared" si="64"/>
        <v>5</v>
      </c>
      <c r="AB192" s="519">
        <f t="shared" si="65"/>
        <v>3</v>
      </c>
      <c r="AC192" s="272">
        <f t="shared" si="53"/>
        <v>2</v>
      </c>
      <c r="AD192" s="272">
        <f t="shared" si="54"/>
        <v>7.6497941196841834</v>
      </c>
      <c r="AE192" s="272">
        <f t="shared" si="66"/>
        <v>3</v>
      </c>
      <c r="AF192" s="272">
        <f t="shared" si="55"/>
        <v>4.1850372342714399</v>
      </c>
      <c r="AG192" s="272">
        <f t="shared" si="67"/>
        <v>4</v>
      </c>
      <c r="AH192" s="272">
        <f t="shared" si="56"/>
        <v>3.185336652463346</v>
      </c>
      <c r="AI192" s="272">
        <f t="shared" si="68"/>
        <v>3</v>
      </c>
      <c r="AJ192" s="272">
        <f t="shared" si="57"/>
        <v>4.1850372342714399</v>
      </c>
      <c r="AK192" s="272">
        <f t="shared" si="69"/>
        <v>4</v>
      </c>
      <c r="AL192" s="272">
        <f t="shared" si="58"/>
        <v>3.185336652463346</v>
      </c>
      <c r="AM192" s="272">
        <f t="shared" si="70"/>
        <v>3</v>
      </c>
      <c r="AN192" s="272">
        <f t="shared" si="59"/>
        <v>4.1850372342714399</v>
      </c>
      <c r="AO192" s="272">
        <f t="shared" si="71"/>
        <v>4</v>
      </c>
      <c r="AP192" s="272">
        <f t="shared" si="60"/>
        <v>3.185336652463346</v>
      </c>
      <c r="AQ192" s="272">
        <f t="shared" si="72"/>
        <v>3</v>
      </c>
      <c r="AR192" s="272">
        <f t="shared" si="61"/>
        <v>4.1850372342714399</v>
      </c>
      <c r="AS192" s="272">
        <f t="shared" si="73"/>
        <v>4</v>
      </c>
      <c r="AT192" s="508">
        <f t="shared" si="62"/>
        <v>3.185336652463346</v>
      </c>
    </row>
    <row r="193" spans="1:46" ht="12.75" customHeight="1">
      <c r="A193" s="96">
        <f>IF(MAX($F$93:F193)=$G$88,$G$88,F193)</f>
        <v>2.2674963183311192E-3</v>
      </c>
      <c r="B193" s="481">
        <v>101</v>
      </c>
      <c r="C193" s="96">
        <f t="shared" si="78"/>
        <v>0.15150000000000011</v>
      </c>
      <c r="D193" s="96">
        <f t="shared" si="75"/>
        <v>1.4917280959248647</v>
      </c>
      <c r="E193" s="96">
        <f t="shared" si="76"/>
        <v>0.99995820468757479</v>
      </c>
      <c r="F193" s="96">
        <f t="shared" si="74"/>
        <v>2.2674963183311192E-3</v>
      </c>
      <c r="G193" s="96">
        <f t="shared" si="77"/>
        <v>-0.11373250368166889</v>
      </c>
      <c r="I193" s="96">
        <f t="shared" si="79"/>
        <v>0</v>
      </c>
      <c r="J193" s="96">
        <f t="shared" si="80"/>
        <v>0.15150000000000011</v>
      </c>
      <c r="Y193" s="96">
        <f t="shared" si="63"/>
        <v>5</v>
      </c>
      <c r="Z193" s="96">
        <v>1.19999999999999</v>
      </c>
      <c r="AA193" s="272">
        <f t="shared" si="64"/>
        <v>5</v>
      </c>
      <c r="AB193" s="519">
        <f t="shared" si="65"/>
        <v>3</v>
      </c>
      <c r="AC193" s="272">
        <f t="shared" si="53"/>
        <v>2</v>
      </c>
      <c r="AD193" s="272">
        <f t="shared" si="54"/>
        <v>7.7136752129405757</v>
      </c>
      <c r="AE193" s="272">
        <f t="shared" si="66"/>
        <v>3</v>
      </c>
      <c r="AF193" s="272">
        <f t="shared" si="55"/>
        <v>4.2199852014534649</v>
      </c>
      <c r="AG193" s="272">
        <f t="shared" si="67"/>
        <v>4</v>
      </c>
      <c r="AH193" s="272">
        <f t="shared" si="56"/>
        <v>3.2119364255507579</v>
      </c>
      <c r="AI193" s="272">
        <f t="shared" si="68"/>
        <v>3</v>
      </c>
      <c r="AJ193" s="272">
        <f t="shared" si="57"/>
        <v>4.2199852014534649</v>
      </c>
      <c r="AK193" s="272">
        <f t="shared" si="69"/>
        <v>4</v>
      </c>
      <c r="AL193" s="272">
        <f t="shared" si="58"/>
        <v>3.2119364255507579</v>
      </c>
      <c r="AM193" s="272">
        <f t="shared" si="70"/>
        <v>3</v>
      </c>
      <c r="AN193" s="272">
        <f t="shared" si="59"/>
        <v>4.2199852014534649</v>
      </c>
      <c r="AO193" s="272">
        <f t="shared" si="71"/>
        <v>4</v>
      </c>
      <c r="AP193" s="272">
        <f t="shared" si="60"/>
        <v>3.2119364255507579</v>
      </c>
      <c r="AQ193" s="272">
        <f t="shared" si="72"/>
        <v>3</v>
      </c>
      <c r="AR193" s="272">
        <f t="shared" si="61"/>
        <v>4.2199852014534649</v>
      </c>
      <c r="AS193" s="272">
        <f t="shared" si="73"/>
        <v>4</v>
      </c>
      <c r="AT193" s="508">
        <f t="shared" si="62"/>
        <v>3.2119364255507579</v>
      </c>
    </row>
    <row r="194" spans="1:46" ht="12.75" customHeight="1">
      <c r="A194" s="96">
        <f>IF(MAX($F$93:F194)=$G$88,$G$88,F194)</f>
        <v>2.5143638187693123E-3</v>
      </c>
      <c r="B194" s="481">
        <v>102</v>
      </c>
      <c r="C194" s="96">
        <f t="shared" si="78"/>
        <v>0.15300000000000011</v>
      </c>
      <c r="D194" s="96">
        <f t="shared" si="75"/>
        <v>1.5214134996571211</v>
      </c>
      <c r="E194" s="96">
        <f t="shared" si="76"/>
        <v>0.9999530932511087</v>
      </c>
      <c r="F194" s="96">
        <f t="shared" si="74"/>
        <v>2.5143638187693123E-3</v>
      </c>
      <c r="G194" s="96">
        <f t="shared" si="77"/>
        <v>-0.1134856361812307</v>
      </c>
      <c r="I194" s="96">
        <f t="shared" si="79"/>
        <v>0</v>
      </c>
      <c r="J194" s="96">
        <f t="shared" si="80"/>
        <v>0.15300000000000011</v>
      </c>
      <c r="Y194" s="96">
        <f t="shared" si="63"/>
        <v>5</v>
      </c>
      <c r="Z194" s="517">
        <v>1.1949999999999901</v>
      </c>
      <c r="AA194" s="272">
        <f t="shared" si="64"/>
        <v>5</v>
      </c>
      <c r="AB194" s="519">
        <f t="shared" si="65"/>
        <v>3</v>
      </c>
      <c r="AC194" s="272">
        <f t="shared" si="53"/>
        <v>2</v>
      </c>
      <c r="AD194" s="272">
        <f t="shared" si="54"/>
        <v>7.778359837281859</v>
      </c>
      <c r="AE194" s="272">
        <f t="shared" si="66"/>
        <v>3</v>
      </c>
      <c r="AF194" s="272">
        <f t="shared" si="55"/>
        <v>4.2553727631469949</v>
      </c>
      <c r="AG194" s="272">
        <f t="shared" si="67"/>
        <v>4</v>
      </c>
      <c r="AH194" s="272">
        <f t="shared" si="56"/>
        <v>3.2388707850304379</v>
      </c>
      <c r="AI194" s="272">
        <f t="shared" si="68"/>
        <v>3</v>
      </c>
      <c r="AJ194" s="272">
        <f t="shared" si="57"/>
        <v>4.2553727631469949</v>
      </c>
      <c r="AK194" s="272">
        <f t="shared" si="69"/>
        <v>4</v>
      </c>
      <c r="AL194" s="272">
        <f t="shared" si="58"/>
        <v>3.2388707850304379</v>
      </c>
      <c r="AM194" s="272">
        <f t="shared" si="70"/>
        <v>3</v>
      </c>
      <c r="AN194" s="272">
        <f t="shared" si="59"/>
        <v>4.2553727631469949</v>
      </c>
      <c r="AO194" s="272">
        <f t="shared" si="71"/>
        <v>4</v>
      </c>
      <c r="AP194" s="272">
        <f t="shared" si="60"/>
        <v>3.2388707850304379</v>
      </c>
      <c r="AQ194" s="272">
        <f t="shared" si="72"/>
        <v>3</v>
      </c>
      <c r="AR194" s="272">
        <f t="shared" si="61"/>
        <v>4.2553727631469949</v>
      </c>
      <c r="AS194" s="272">
        <f t="shared" si="73"/>
        <v>4</v>
      </c>
      <c r="AT194" s="508">
        <f t="shared" si="62"/>
        <v>3.2388707850304379</v>
      </c>
    </row>
    <row r="195" spans="1:46" ht="12.75" customHeight="1">
      <c r="A195" s="96">
        <f>IF(MAX($F$93:F195)=$G$88,$G$88,F195)</f>
        <v>2.7844904293268984E-3</v>
      </c>
      <c r="B195" s="481">
        <v>103</v>
      </c>
      <c r="C195" s="96">
        <f t="shared" si="78"/>
        <v>0.15450000000000011</v>
      </c>
      <c r="D195" s="96">
        <f t="shared" si="75"/>
        <v>1.5513913704212223</v>
      </c>
      <c r="E195" s="96">
        <f t="shared" si="76"/>
        <v>0.99994742884263721</v>
      </c>
      <c r="F195" s="96">
        <f t="shared" si="74"/>
        <v>2.7844904293268984E-3</v>
      </c>
      <c r="G195" s="96">
        <f t="shared" si="77"/>
        <v>-0.11321550957067311</v>
      </c>
      <c r="I195" s="96">
        <f t="shared" si="79"/>
        <v>0</v>
      </c>
      <c r="J195" s="96">
        <f t="shared" si="80"/>
        <v>0.15450000000000011</v>
      </c>
      <c r="Y195" s="96">
        <f t="shared" si="63"/>
        <v>5</v>
      </c>
      <c r="Z195" s="96">
        <v>1.18999999999999</v>
      </c>
      <c r="AA195" s="272">
        <f t="shared" si="64"/>
        <v>5</v>
      </c>
      <c r="AB195" s="519">
        <f t="shared" si="65"/>
        <v>3</v>
      </c>
      <c r="AC195" s="272">
        <f t="shared" si="53"/>
        <v>2</v>
      </c>
      <c r="AD195" s="272">
        <f t="shared" si="54"/>
        <v>7.8438615257640212</v>
      </c>
      <c r="AE195" s="272">
        <f t="shared" si="66"/>
        <v>3</v>
      </c>
      <c r="AF195" s="272">
        <f t="shared" si="55"/>
        <v>4.2912073229948371</v>
      </c>
      <c r="AG195" s="272">
        <f t="shared" si="67"/>
        <v>4</v>
      </c>
      <c r="AH195" s="272">
        <f t="shared" si="56"/>
        <v>3.2661453660003472</v>
      </c>
      <c r="AI195" s="272">
        <f t="shared" si="68"/>
        <v>3</v>
      </c>
      <c r="AJ195" s="272">
        <f t="shared" si="57"/>
        <v>4.2912073229948371</v>
      </c>
      <c r="AK195" s="272">
        <f t="shared" si="69"/>
        <v>4</v>
      </c>
      <c r="AL195" s="272">
        <f t="shared" si="58"/>
        <v>3.2661453660003472</v>
      </c>
      <c r="AM195" s="272">
        <f t="shared" si="70"/>
        <v>3</v>
      </c>
      <c r="AN195" s="272">
        <f t="shared" si="59"/>
        <v>4.2912073229948371</v>
      </c>
      <c r="AO195" s="272">
        <f t="shared" si="71"/>
        <v>4</v>
      </c>
      <c r="AP195" s="272">
        <f t="shared" si="60"/>
        <v>3.2661453660003472</v>
      </c>
      <c r="AQ195" s="272">
        <f t="shared" si="72"/>
        <v>3</v>
      </c>
      <c r="AR195" s="272">
        <f t="shared" si="61"/>
        <v>4.2912073229948371</v>
      </c>
      <c r="AS195" s="272">
        <f t="shared" si="73"/>
        <v>4</v>
      </c>
      <c r="AT195" s="508">
        <f t="shared" si="62"/>
        <v>3.2661453660003472</v>
      </c>
    </row>
    <row r="196" spans="1:46" ht="12.75" customHeight="1">
      <c r="A196" s="96">
        <f>IF(MAX($F$93:F196)=$G$88,$G$88,F196)</f>
        <v>3.0797047520551377E-3</v>
      </c>
      <c r="B196" s="481">
        <v>104</v>
      </c>
      <c r="C196" s="96">
        <f t="shared" si="78"/>
        <v>0.15600000000000011</v>
      </c>
      <c r="D196" s="96">
        <f t="shared" si="75"/>
        <v>1.5816617082171684</v>
      </c>
      <c r="E196" s="96">
        <f t="shared" si="76"/>
        <v>0.9999411597206973</v>
      </c>
      <c r="F196" s="96">
        <f t="shared" si="74"/>
        <v>3.0797047520551377E-3</v>
      </c>
      <c r="G196" s="96">
        <f t="shared" si="77"/>
        <v>-0.11292029524794486</v>
      </c>
      <c r="I196" s="96">
        <f t="shared" si="79"/>
        <v>0</v>
      </c>
      <c r="J196" s="96">
        <f t="shared" si="80"/>
        <v>0.15600000000000011</v>
      </c>
      <c r="Y196" s="96">
        <f t="shared" si="63"/>
        <v>5</v>
      </c>
      <c r="Z196" s="517">
        <v>1.1849999999999901</v>
      </c>
      <c r="AA196" s="272">
        <f t="shared" si="64"/>
        <v>5</v>
      </c>
      <c r="AB196" s="519">
        <f t="shared" si="65"/>
        <v>3</v>
      </c>
      <c r="AC196" s="272">
        <f t="shared" si="53"/>
        <v>2</v>
      </c>
      <c r="AD196" s="272">
        <f t="shared" si="54"/>
        <v>7.9101940975516243</v>
      </c>
      <c r="AE196" s="272">
        <f t="shared" si="66"/>
        <v>3</v>
      </c>
      <c r="AF196" s="272">
        <f t="shared" si="55"/>
        <v>4.3274964411636239</v>
      </c>
      <c r="AG196" s="272">
        <f t="shared" si="67"/>
        <v>4</v>
      </c>
      <c r="AH196" s="272">
        <f t="shared" si="56"/>
        <v>3.2937659226926539</v>
      </c>
      <c r="AI196" s="272">
        <f t="shared" si="68"/>
        <v>3</v>
      </c>
      <c r="AJ196" s="272">
        <f t="shared" si="57"/>
        <v>4.3274964411636239</v>
      </c>
      <c r="AK196" s="272">
        <f t="shared" si="69"/>
        <v>4</v>
      </c>
      <c r="AL196" s="272">
        <f t="shared" si="58"/>
        <v>3.2937659226926539</v>
      </c>
      <c r="AM196" s="272">
        <f t="shared" si="70"/>
        <v>3</v>
      </c>
      <c r="AN196" s="272">
        <f t="shared" si="59"/>
        <v>4.3274964411636239</v>
      </c>
      <c r="AO196" s="272">
        <f t="shared" si="71"/>
        <v>4</v>
      </c>
      <c r="AP196" s="272">
        <f t="shared" si="60"/>
        <v>3.2937659226926539</v>
      </c>
      <c r="AQ196" s="272">
        <f t="shared" si="72"/>
        <v>3</v>
      </c>
      <c r="AR196" s="272">
        <f t="shared" si="61"/>
        <v>4.3274964411636239</v>
      </c>
      <c r="AS196" s="272">
        <f t="shared" si="73"/>
        <v>4</v>
      </c>
      <c r="AT196" s="508">
        <f t="shared" si="62"/>
        <v>3.2937659226926539</v>
      </c>
    </row>
    <row r="197" spans="1:46" ht="12.75" customHeight="1">
      <c r="A197" s="96">
        <f>IF(MAX($F$93:F197)=$G$88,$G$88,F197)</f>
        <v>3.4019471514897441E-3</v>
      </c>
      <c r="B197" s="481">
        <v>105</v>
      </c>
      <c r="C197" s="96">
        <f t="shared" si="78"/>
        <v>0.15750000000000011</v>
      </c>
      <c r="D197" s="96">
        <f t="shared" si="75"/>
        <v>1.6122245130449597</v>
      </c>
      <c r="E197" s="96">
        <f t="shared" si="76"/>
        <v>0.99993423010798554</v>
      </c>
      <c r="F197" s="96">
        <f t="shared" si="74"/>
        <v>3.4019471514897441E-3</v>
      </c>
      <c r="G197" s="96">
        <f t="shared" si="77"/>
        <v>-0.11259805284851027</v>
      </c>
      <c r="I197" s="96">
        <f t="shared" si="79"/>
        <v>0</v>
      </c>
      <c r="J197" s="96">
        <f t="shared" si="80"/>
        <v>0.15750000000000011</v>
      </c>
      <c r="Y197" s="96">
        <f t="shared" si="63"/>
        <v>5</v>
      </c>
      <c r="Z197" s="96">
        <v>1.1799999999999899</v>
      </c>
      <c r="AA197" s="272">
        <f t="shared" si="64"/>
        <v>5</v>
      </c>
      <c r="AB197" s="519">
        <f t="shared" si="65"/>
        <v>3</v>
      </c>
      <c r="AC197" s="272">
        <f t="shared" ref="AC197:AC260" si="81">ROUNDUP(AB197,0)-1</f>
        <v>2</v>
      </c>
      <c r="AD197" s="272">
        <f t="shared" ref="AD197:AD260" si="82">MAX((TINV(1-$C$69/100,AC197)/$Z197)^2*$D$65,$C$68)</f>
        <v>7.9773716652071487</v>
      </c>
      <c r="AE197" s="272">
        <f t="shared" si="66"/>
        <v>3</v>
      </c>
      <c r="AF197" s="272">
        <f t="shared" ref="AF197:AF260" si="83">MAX((TINV(1-$C$69/100,AE197)/$Z197)^2*$D$65,$C$68)</f>
        <v>4.364247838331651</v>
      </c>
      <c r="AG197" s="272">
        <f t="shared" si="67"/>
        <v>4</v>
      </c>
      <c r="AH197" s="272">
        <f t="shared" ref="AH197:AH260" si="84">MAX((TINV(1-$C$69/100,AG197)/$Z197)^2*$D$65,$C$68)</f>
        <v>3.3217383315089726</v>
      </c>
      <c r="AI197" s="272">
        <f t="shared" si="68"/>
        <v>3</v>
      </c>
      <c r="AJ197" s="272">
        <f t="shared" ref="AJ197:AJ260" si="85">MAX((TINV(1-$C$69/100,AI197)/$Z197)^2*$D$65,$C$68)</f>
        <v>4.364247838331651</v>
      </c>
      <c r="AK197" s="272">
        <f t="shared" si="69"/>
        <v>4</v>
      </c>
      <c r="AL197" s="272">
        <f t="shared" ref="AL197:AL260" si="86">MAX((TINV(1-$C$69/100,AK197)/$Z197)^2*$D$65,$C$68)</f>
        <v>3.3217383315089726</v>
      </c>
      <c r="AM197" s="272">
        <f t="shared" si="70"/>
        <v>3</v>
      </c>
      <c r="AN197" s="272">
        <f t="shared" ref="AN197:AN260" si="87">MAX((TINV(1-$C$69/100,AM197)/$Z197)^2*$D$65,$C$68)</f>
        <v>4.364247838331651</v>
      </c>
      <c r="AO197" s="272">
        <f t="shared" si="71"/>
        <v>4</v>
      </c>
      <c r="AP197" s="272">
        <f t="shared" ref="AP197:AP260" si="88">MAX((TINV(1-$C$69/100,AO197)/$Z197)^2*$D$65,$C$68)</f>
        <v>3.3217383315089726</v>
      </c>
      <c r="AQ197" s="272">
        <f t="shared" si="72"/>
        <v>3</v>
      </c>
      <c r="AR197" s="272">
        <f t="shared" ref="AR197:AR260" si="89">MAX((TINV(1-$C$69/100,AQ197)/$Z197)^2*$D$65,$C$68)</f>
        <v>4.364247838331651</v>
      </c>
      <c r="AS197" s="272">
        <f t="shared" si="73"/>
        <v>4</v>
      </c>
      <c r="AT197" s="508">
        <f t="shared" ref="AT197:AT260" si="90">MAX((TINV(1-$C$69/100,AS197)/$Z197)^2*$D$65,$C$68)</f>
        <v>3.3217383315089726</v>
      </c>
    </row>
    <row r="198" spans="1:46" ht="12.75" customHeight="1">
      <c r="A198" s="96">
        <f>IF(MAX($F$93:F198)=$G$88,$G$88,F198)</f>
        <v>3.7532745197318045E-3</v>
      </c>
      <c r="B198" s="481">
        <v>106</v>
      </c>
      <c r="C198" s="96">
        <f t="shared" si="78"/>
        <v>0.15900000000000011</v>
      </c>
      <c r="D198" s="96">
        <f t="shared" si="75"/>
        <v>1.6430797849045955</v>
      </c>
      <c r="E198" s="96">
        <f t="shared" si="76"/>
        <v>0.99992657994719092</v>
      </c>
      <c r="F198" s="96">
        <f t="shared" si="74"/>
        <v>3.7532745197318045E-3</v>
      </c>
      <c r="G198" s="96">
        <f t="shared" si="77"/>
        <v>-0.11224672548026821</v>
      </c>
      <c r="I198" s="96">
        <f t="shared" si="79"/>
        <v>0</v>
      </c>
      <c r="J198" s="96">
        <f t="shared" si="80"/>
        <v>0.15900000000000011</v>
      </c>
      <c r="Y198" s="96">
        <f t="shared" ref="Y198:Y261" si="91">AA198</f>
        <v>5</v>
      </c>
      <c r="Z198" s="517">
        <v>1.1749999999999901</v>
      </c>
      <c r="AA198" s="272">
        <f t="shared" si="64"/>
        <v>5</v>
      </c>
      <c r="AB198" s="519">
        <f t="shared" si="65"/>
        <v>3</v>
      </c>
      <c r="AC198" s="272">
        <f t="shared" si="81"/>
        <v>2</v>
      </c>
      <c r="AD198" s="272">
        <f t="shared" si="82"/>
        <v>8.0454086421978683</v>
      </c>
      <c r="AE198" s="272">
        <f t="shared" si="66"/>
        <v>3</v>
      </c>
      <c r="AF198" s="272">
        <f t="shared" si="83"/>
        <v>4.4014693997957375</v>
      </c>
      <c r="AG198" s="272">
        <f t="shared" si="67"/>
        <v>4</v>
      </c>
      <c r="AH198" s="272">
        <f t="shared" si="84"/>
        <v>3.3500685941461956</v>
      </c>
      <c r="AI198" s="272">
        <f t="shared" si="68"/>
        <v>3</v>
      </c>
      <c r="AJ198" s="272">
        <f t="shared" si="85"/>
        <v>4.4014693997957375</v>
      </c>
      <c r="AK198" s="272">
        <f t="shared" si="69"/>
        <v>4</v>
      </c>
      <c r="AL198" s="272">
        <f t="shared" si="86"/>
        <v>3.3500685941461956</v>
      </c>
      <c r="AM198" s="272">
        <f t="shared" si="70"/>
        <v>3</v>
      </c>
      <c r="AN198" s="272">
        <f t="shared" si="87"/>
        <v>4.4014693997957375</v>
      </c>
      <c r="AO198" s="272">
        <f t="shared" si="71"/>
        <v>4</v>
      </c>
      <c r="AP198" s="272">
        <f t="shared" si="88"/>
        <v>3.3500685941461956</v>
      </c>
      <c r="AQ198" s="272">
        <f t="shared" si="72"/>
        <v>3</v>
      </c>
      <c r="AR198" s="272">
        <f t="shared" si="89"/>
        <v>4.4014693997957375</v>
      </c>
      <c r="AS198" s="272">
        <f t="shared" si="73"/>
        <v>4</v>
      </c>
      <c r="AT198" s="508">
        <f t="shared" si="90"/>
        <v>3.3500685941461956</v>
      </c>
    </row>
    <row r="199" spans="1:46" ht="12.75" customHeight="1">
      <c r="A199" s="96">
        <f>IF(MAX($F$93:F199)=$G$88,$G$88,F199)</f>
        <v>4.1358631649816386E-3</v>
      </c>
      <c r="B199" s="481">
        <v>107</v>
      </c>
      <c r="C199" s="96">
        <f t="shared" si="78"/>
        <v>0.16050000000000011</v>
      </c>
      <c r="D199" s="96">
        <f t="shared" si="75"/>
        <v>1.6742275237960764</v>
      </c>
      <c r="E199" s="96">
        <f t="shared" si="76"/>
        <v>0.99991814464575812</v>
      </c>
      <c r="F199" s="96">
        <f t="shared" si="74"/>
        <v>4.1358631649816386E-3</v>
      </c>
      <c r="G199" s="96">
        <f t="shared" si="77"/>
        <v>-0.11186413683501836</v>
      </c>
      <c r="I199" s="96">
        <f t="shared" si="79"/>
        <v>0</v>
      </c>
      <c r="J199" s="96">
        <f t="shared" si="80"/>
        <v>0.16050000000000011</v>
      </c>
      <c r="Y199" s="96">
        <f t="shared" si="91"/>
        <v>5</v>
      </c>
      <c r="Z199" s="96">
        <v>1.1699999999999899</v>
      </c>
      <c r="AA199" s="272">
        <f t="shared" ref="AA199:AA262" si="92">1+MAX(AQ199,AS199)</f>
        <v>5</v>
      </c>
      <c r="AB199" s="519">
        <f t="shared" ref="AB199:AB262" si="93">MAX(($C$72/Z199)^2*$D$65,$C$68)</f>
        <v>3</v>
      </c>
      <c r="AC199" s="272">
        <f t="shared" si="81"/>
        <v>2</v>
      </c>
      <c r="AD199" s="272">
        <f t="shared" si="82"/>
        <v>8.1143197506278284</v>
      </c>
      <c r="AE199" s="272">
        <f t="shared" ref="AE199:AE262" si="94">MAX(MIN(ROUNDUP(AD199,0)-1,AC199+1),AC199-1)</f>
        <v>3</v>
      </c>
      <c r="AF199" s="272">
        <f t="shared" si="83"/>
        <v>4.4391691797012145</v>
      </c>
      <c r="AG199" s="272">
        <f t="shared" ref="AG199:AG262" si="95">MAX(MIN(ROUNDUP(AF199,0)-1,AE199+1),AE199-1)</f>
        <v>4</v>
      </c>
      <c r="AH199" s="272">
        <f t="shared" si="84"/>
        <v>3.3787628408160519</v>
      </c>
      <c r="AI199" s="272">
        <f t="shared" ref="AI199:AI262" si="96">MAX(MIN(ROUNDUP(AH199,0)-1,AG199+1),AG199-1)</f>
        <v>3</v>
      </c>
      <c r="AJ199" s="272">
        <f t="shared" si="85"/>
        <v>4.4391691797012145</v>
      </c>
      <c r="AK199" s="272">
        <f t="shared" ref="AK199:AK262" si="97">MAX(MIN(ROUNDUP(AJ199,0)-1,AI199+1),AI199-1)</f>
        <v>4</v>
      </c>
      <c r="AL199" s="272">
        <f t="shared" si="86"/>
        <v>3.3787628408160519</v>
      </c>
      <c r="AM199" s="272">
        <f t="shared" ref="AM199:AM262" si="98">MAX(MIN(ROUNDUP(AL199,0)-1,AK199+1),AK199-1)</f>
        <v>3</v>
      </c>
      <c r="AN199" s="272">
        <f t="shared" si="87"/>
        <v>4.4391691797012145</v>
      </c>
      <c r="AO199" s="272">
        <f t="shared" ref="AO199:AO262" si="99">MAX(MIN(ROUNDUP(AN199,0)-1,AM199+1),AM199-1)</f>
        <v>4</v>
      </c>
      <c r="AP199" s="272">
        <f t="shared" si="88"/>
        <v>3.3787628408160519</v>
      </c>
      <c r="AQ199" s="272">
        <f t="shared" ref="AQ199:AQ262" si="100">MAX(MIN(ROUNDUP(AP199,0)-1,AO199+1),AO199-1)</f>
        <v>3</v>
      </c>
      <c r="AR199" s="272">
        <f t="shared" si="89"/>
        <v>4.4391691797012145</v>
      </c>
      <c r="AS199" s="272">
        <f t="shared" ref="AS199:AS262" si="101">MAX(MIN(ROUNDUP(AR199,0)-1,AQ199+1),AQ199-1)</f>
        <v>4</v>
      </c>
      <c r="AT199" s="508">
        <f t="shared" si="90"/>
        <v>3.3787628408160519</v>
      </c>
    </row>
    <row r="200" spans="1:46" ht="12.75" customHeight="1">
      <c r="A200" s="96">
        <f>IF(MAX($F$93:F200)=$G$88,$G$88,F200)</f>
        <v>4.552014864937318E-3</v>
      </c>
      <c r="B200" s="481">
        <v>108</v>
      </c>
      <c r="C200" s="96">
        <f t="shared" si="78"/>
        <v>0.16200000000000012</v>
      </c>
      <c r="D200" s="96">
        <f t="shared" si="75"/>
        <v>1.7056677297194023</v>
      </c>
      <c r="E200" s="96">
        <f t="shared" si="76"/>
        <v>0.999908854819341</v>
      </c>
      <c r="F200" s="96">
        <f t="shared" si="74"/>
        <v>4.552014864937318E-3</v>
      </c>
      <c r="G200" s="96">
        <f t="shared" si="77"/>
        <v>-0.11144798513506268</v>
      </c>
      <c r="I200" s="96">
        <f t="shared" si="79"/>
        <v>0</v>
      </c>
      <c r="J200" s="96">
        <f t="shared" si="80"/>
        <v>0.16200000000000012</v>
      </c>
      <c r="Y200" s="96">
        <f t="shared" si="91"/>
        <v>5</v>
      </c>
      <c r="Z200" s="517">
        <v>1.16499999999999</v>
      </c>
      <c r="AA200" s="272">
        <f t="shared" si="92"/>
        <v>5</v>
      </c>
      <c r="AB200" s="519">
        <f t="shared" si="93"/>
        <v>3</v>
      </c>
      <c r="AC200" s="272">
        <f t="shared" si="81"/>
        <v>2</v>
      </c>
      <c r="AD200" s="272">
        <f t="shared" si="82"/>
        <v>8.1841200292025515</v>
      </c>
      <c r="AE200" s="272">
        <f t="shared" si="94"/>
        <v>3</v>
      </c>
      <c r="AF200" s="272">
        <f t="shared" si="83"/>
        <v>4.477355405399245</v>
      </c>
      <c r="AG200" s="272">
        <f t="shared" si="95"/>
        <v>4</v>
      </c>
      <c r="AH200" s="272">
        <f t="shared" si="84"/>
        <v>3.4078273335615643</v>
      </c>
      <c r="AI200" s="272">
        <f t="shared" si="96"/>
        <v>3</v>
      </c>
      <c r="AJ200" s="272">
        <f t="shared" si="85"/>
        <v>4.477355405399245</v>
      </c>
      <c r="AK200" s="272">
        <f t="shared" si="97"/>
        <v>4</v>
      </c>
      <c r="AL200" s="272">
        <f t="shared" si="86"/>
        <v>3.4078273335615643</v>
      </c>
      <c r="AM200" s="272">
        <f t="shared" si="98"/>
        <v>3</v>
      </c>
      <c r="AN200" s="272">
        <f t="shared" si="87"/>
        <v>4.477355405399245</v>
      </c>
      <c r="AO200" s="272">
        <f t="shared" si="99"/>
        <v>4</v>
      </c>
      <c r="AP200" s="272">
        <f t="shared" si="88"/>
        <v>3.4078273335615643</v>
      </c>
      <c r="AQ200" s="272">
        <f t="shared" si="100"/>
        <v>3</v>
      </c>
      <c r="AR200" s="272">
        <f t="shared" si="89"/>
        <v>4.477355405399245</v>
      </c>
      <c r="AS200" s="272">
        <f t="shared" si="101"/>
        <v>4</v>
      </c>
      <c r="AT200" s="508">
        <f t="shared" si="90"/>
        <v>3.4078273335615643</v>
      </c>
    </row>
    <row r="201" spans="1:46" ht="12.75" customHeight="1">
      <c r="A201" s="96">
        <f>IF(MAX($F$93:F201)=$G$88,$G$88,F201)</f>
        <v>5.0041613654146682E-3</v>
      </c>
      <c r="B201" s="481">
        <v>109</v>
      </c>
      <c r="C201" s="96">
        <f t="shared" si="78"/>
        <v>0.16350000000000012</v>
      </c>
      <c r="D201" s="96">
        <f t="shared" si="75"/>
        <v>1.7374004026745726</v>
      </c>
      <c r="E201" s="96">
        <f t="shared" si="76"/>
        <v>0.99989863601062268</v>
      </c>
      <c r="F201" s="96">
        <f t="shared" si="74"/>
        <v>5.0041613654146682E-3</v>
      </c>
      <c r="G201" s="96">
        <f t="shared" si="77"/>
        <v>-0.11099583863458534</v>
      </c>
      <c r="I201" s="96">
        <f t="shared" si="79"/>
        <v>0</v>
      </c>
      <c r="J201" s="96">
        <f t="shared" si="80"/>
        <v>0.16350000000000012</v>
      </c>
      <c r="Y201" s="96">
        <f t="shared" si="91"/>
        <v>5</v>
      </c>
      <c r="Z201" s="96">
        <v>1.1599999999999899</v>
      </c>
      <c r="AA201" s="272">
        <f t="shared" si="92"/>
        <v>5</v>
      </c>
      <c r="AB201" s="519">
        <f t="shared" si="93"/>
        <v>3</v>
      </c>
      <c r="AC201" s="272">
        <f t="shared" si="81"/>
        <v>2</v>
      </c>
      <c r="AD201" s="272">
        <f t="shared" si="82"/>
        <v>8.2548248414346279</v>
      </c>
      <c r="AE201" s="272">
        <f t="shared" si="94"/>
        <v>3</v>
      </c>
      <c r="AF201" s="272">
        <f t="shared" si="83"/>
        <v>4.5160364819359344</v>
      </c>
      <c r="AG201" s="272">
        <f t="shared" si="95"/>
        <v>4</v>
      </c>
      <c r="AH201" s="272">
        <f t="shared" si="84"/>
        <v>3.4372684696738216</v>
      </c>
      <c r="AI201" s="272">
        <f t="shared" si="96"/>
        <v>3</v>
      </c>
      <c r="AJ201" s="272">
        <f t="shared" si="85"/>
        <v>4.5160364819359344</v>
      </c>
      <c r="AK201" s="272">
        <f t="shared" si="97"/>
        <v>4</v>
      </c>
      <c r="AL201" s="272">
        <f t="shared" si="86"/>
        <v>3.4372684696738216</v>
      </c>
      <c r="AM201" s="272">
        <f t="shared" si="98"/>
        <v>3</v>
      </c>
      <c r="AN201" s="272">
        <f t="shared" si="87"/>
        <v>4.5160364819359344</v>
      </c>
      <c r="AO201" s="272">
        <f t="shared" si="99"/>
        <v>4</v>
      </c>
      <c r="AP201" s="272">
        <f t="shared" si="88"/>
        <v>3.4372684696738216</v>
      </c>
      <c r="AQ201" s="272">
        <f t="shared" si="100"/>
        <v>3</v>
      </c>
      <c r="AR201" s="272">
        <f t="shared" si="89"/>
        <v>4.5160364819359344</v>
      </c>
      <c r="AS201" s="272">
        <f t="shared" si="101"/>
        <v>4</v>
      </c>
      <c r="AT201" s="508">
        <f t="shared" si="90"/>
        <v>3.4372684696738216</v>
      </c>
    </row>
    <row r="202" spans="1:46" ht="12.75" customHeight="1">
      <c r="A202" s="96">
        <f>IF(MAX($F$93:F202)=$G$88,$G$88,F202)</f>
        <v>5.494866897944501E-3</v>
      </c>
      <c r="B202" s="481">
        <v>110</v>
      </c>
      <c r="C202" s="96">
        <f t="shared" si="78"/>
        <v>0.16500000000000012</v>
      </c>
      <c r="D202" s="96">
        <f t="shared" si="75"/>
        <v>1.7694255426615884</v>
      </c>
      <c r="E202" s="96">
        <f t="shared" si="76"/>
        <v>0.99988740841348922</v>
      </c>
      <c r="F202" s="96">
        <f t="shared" si="74"/>
        <v>5.494866897944501E-3</v>
      </c>
      <c r="G202" s="96">
        <f t="shared" si="77"/>
        <v>-0.11050513310205551</v>
      </c>
      <c r="I202" s="96">
        <f t="shared" si="79"/>
        <v>0</v>
      </c>
      <c r="J202" s="96">
        <f t="shared" si="80"/>
        <v>0.16500000000000012</v>
      </c>
      <c r="Y202" s="96">
        <f t="shared" si="91"/>
        <v>5</v>
      </c>
      <c r="Z202" s="517">
        <v>1.15499999999999</v>
      </c>
      <c r="AA202" s="272">
        <f t="shared" si="92"/>
        <v>5</v>
      </c>
      <c r="AB202" s="519">
        <f t="shared" si="93"/>
        <v>3</v>
      </c>
      <c r="AC202" s="272">
        <f t="shared" si="81"/>
        <v>2</v>
      </c>
      <c r="AD202" s="272">
        <f t="shared" si="82"/>
        <v>8.3264498840984498</v>
      </c>
      <c r="AE202" s="272">
        <f t="shared" si="94"/>
        <v>3</v>
      </c>
      <c r="AF202" s="272">
        <f t="shared" si="83"/>
        <v>4.5552209966777184</v>
      </c>
      <c r="AG202" s="272">
        <f t="shared" si="95"/>
        <v>4</v>
      </c>
      <c r="AH202" s="272">
        <f t="shared" si="84"/>
        <v>3.4670927852124906</v>
      </c>
      <c r="AI202" s="272">
        <f t="shared" si="96"/>
        <v>3</v>
      </c>
      <c r="AJ202" s="272">
        <f t="shared" si="85"/>
        <v>4.5552209966777184</v>
      </c>
      <c r="AK202" s="272">
        <f t="shared" si="97"/>
        <v>4</v>
      </c>
      <c r="AL202" s="272">
        <f t="shared" si="86"/>
        <v>3.4670927852124906</v>
      </c>
      <c r="AM202" s="272">
        <f t="shared" si="98"/>
        <v>3</v>
      </c>
      <c r="AN202" s="272">
        <f t="shared" si="87"/>
        <v>4.5552209966777184</v>
      </c>
      <c r="AO202" s="272">
        <f t="shared" si="99"/>
        <v>4</v>
      </c>
      <c r="AP202" s="272">
        <f t="shared" si="88"/>
        <v>3.4670927852124906</v>
      </c>
      <c r="AQ202" s="272">
        <f t="shared" si="100"/>
        <v>3</v>
      </c>
      <c r="AR202" s="272">
        <f t="shared" si="89"/>
        <v>4.5552209966777184</v>
      </c>
      <c r="AS202" s="272">
        <f t="shared" si="101"/>
        <v>4</v>
      </c>
      <c r="AT202" s="508">
        <f t="shared" si="90"/>
        <v>3.4670927852124906</v>
      </c>
    </row>
    <row r="203" spans="1:46" ht="12.75" customHeight="1">
      <c r="A203" s="96">
        <f>IF(MAX($F$93:F203)=$G$88,$G$88,F203)</f>
        <v>6.026833740272834E-3</v>
      </c>
      <c r="B203" s="481">
        <v>111</v>
      </c>
      <c r="C203" s="96">
        <f t="shared" si="78"/>
        <v>0.16650000000000012</v>
      </c>
      <c r="D203" s="96">
        <f t="shared" si="75"/>
        <v>1.8017431496804486</v>
      </c>
      <c r="E203" s="96">
        <f t="shared" si="76"/>
        <v>0.99987508658106006</v>
      </c>
      <c r="F203" s="96">
        <f t="shared" si="74"/>
        <v>6.026833740272834E-3</v>
      </c>
      <c r="G203" s="96">
        <f t="shared" si="77"/>
        <v>-0.10997316625972717</v>
      </c>
      <c r="I203" s="96">
        <f t="shared" si="79"/>
        <v>0</v>
      </c>
      <c r="J203" s="96">
        <f t="shared" si="80"/>
        <v>0.16650000000000012</v>
      </c>
      <c r="Y203" s="96">
        <f t="shared" si="91"/>
        <v>5</v>
      </c>
      <c r="Z203" s="96">
        <v>1.1499999999999899</v>
      </c>
      <c r="AA203" s="272">
        <f t="shared" si="92"/>
        <v>5</v>
      </c>
      <c r="AB203" s="519">
        <f t="shared" si="93"/>
        <v>3</v>
      </c>
      <c r="AC203" s="272">
        <f t="shared" si="81"/>
        <v>2</v>
      </c>
      <c r="AD203" s="272">
        <f t="shared" si="82"/>
        <v>8.3990111959428635</v>
      </c>
      <c r="AE203" s="272">
        <f t="shared" si="94"/>
        <v>3</v>
      </c>
      <c r="AF203" s="272">
        <f t="shared" si="83"/>
        <v>4.5949177240778782</v>
      </c>
      <c r="AG203" s="272">
        <f t="shared" si="95"/>
        <v>4</v>
      </c>
      <c r="AH203" s="272">
        <f t="shared" si="84"/>
        <v>3.4973069586337195</v>
      </c>
      <c r="AI203" s="272">
        <f t="shared" si="96"/>
        <v>3</v>
      </c>
      <c r="AJ203" s="272">
        <f t="shared" si="85"/>
        <v>4.5949177240778782</v>
      </c>
      <c r="AK203" s="272">
        <f t="shared" si="97"/>
        <v>4</v>
      </c>
      <c r="AL203" s="272">
        <f t="shared" si="86"/>
        <v>3.4973069586337195</v>
      </c>
      <c r="AM203" s="272">
        <f t="shared" si="98"/>
        <v>3</v>
      </c>
      <c r="AN203" s="272">
        <f t="shared" si="87"/>
        <v>4.5949177240778782</v>
      </c>
      <c r="AO203" s="272">
        <f t="shared" si="99"/>
        <v>4</v>
      </c>
      <c r="AP203" s="272">
        <f t="shared" si="88"/>
        <v>3.4973069586337195</v>
      </c>
      <c r="AQ203" s="272">
        <f t="shared" si="100"/>
        <v>3</v>
      </c>
      <c r="AR203" s="272">
        <f t="shared" si="89"/>
        <v>4.5949177240778782</v>
      </c>
      <c r="AS203" s="272">
        <f t="shared" si="101"/>
        <v>4</v>
      </c>
      <c r="AT203" s="508">
        <f t="shared" si="90"/>
        <v>3.4973069586337195</v>
      </c>
    </row>
    <row r="204" spans="1:46" ht="12.75" customHeight="1">
      <c r="A204" s="96">
        <f>IF(MAX($F$93:F204)=$G$88,$G$88,F204)</f>
        <v>6.6029060772206556E-3</v>
      </c>
      <c r="B204" s="481">
        <v>112</v>
      </c>
      <c r="C204" s="96">
        <f t="shared" si="78"/>
        <v>0.16800000000000012</v>
      </c>
      <c r="D204" s="96">
        <f t="shared" si="75"/>
        <v>1.8343532237311542</v>
      </c>
      <c r="E204" s="96">
        <f t="shared" si="76"/>
        <v>0.99986157912603091</v>
      </c>
      <c r="F204" s="96">
        <f t="shared" si="74"/>
        <v>6.6029060772206556E-3</v>
      </c>
      <c r="G204" s="96">
        <f t="shared" si="77"/>
        <v>-0.10939709392277935</v>
      </c>
      <c r="I204" s="96">
        <f t="shared" si="79"/>
        <v>0</v>
      </c>
      <c r="J204" s="96">
        <f t="shared" si="80"/>
        <v>0.16800000000000012</v>
      </c>
      <c r="Y204" s="96">
        <f t="shared" si="91"/>
        <v>5</v>
      </c>
      <c r="Z204" s="517">
        <v>1.14499999999999</v>
      </c>
      <c r="AA204" s="272">
        <f t="shared" si="92"/>
        <v>5</v>
      </c>
      <c r="AB204" s="519">
        <f t="shared" si="93"/>
        <v>3</v>
      </c>
      <c r="AC204" s="272">
        <f t="shared" si="81"/>
        <v>2</v>
      </c>
      <c r="AD204" s="272">
        <f t="shared" si="82"/>
        <v>8.4725251666706853</v>
      </c>
      <c r="AE204" s="272">
        <f t="shared" si="94"/>
        <v>3</v>
      </c>
      <c r="AF204" s="272">
        <f t="shared" si="83"/>
        <v>4.6351356305890379</v>
      </c>
      <c r="AG204" s="272">
        <f t="shared" si="95"/>
        <v>4</v>
      </c>
      <c r="AH204" s="272">
        <f t="shared" si="84"/>
        <v>3.5279178145291619</v>
      </c>
      <c r="AI204" s="272">
        <f t="shared" si="96"/>
        <v>3</v>
      </c>
      <c r="AJ204" s="272">
        <f t="shared" si="85"/>
        <v>4.6351356305890379</v>
      </c>
      <c r="AK204" s="272">
        <f t="shared" si="97"/>
        <v>4</v>
      </c>
      <c r="AL204" s="272">
        <f t="shared" si="86"/>
        <v>3.5279178145291619</v>
      </c>
      <c r="AM204" s="272">
        <f t="shared" si="98"/>
        <v>3</v>
      </c>
      <c r="AN204" s="272">
        <f t="shared" si="87"/>
        <v>4.6351356305890379</v>
      </c>
      <c r="AO204" s="272">
        <f t="shared" si="99"/>
        <v>4</v>
      </c>
      <c r="AP204" s="272">
        <f t="shared" si="88"/>
        <v>3.5279178145291619</v>
      </c>
      <c r="AQ204" s="272">
        <f t="shared" si="100"/>
        <v>3</v>
      </c>
      <c r="AR204" s="272">
        <f t="shared" si="89"/>
        <v>4.6351356305890379</v>
      </c>
      <c r="AS204" s="272">
        <f t="shared" si="101"/>
        <v>4</v>
      </c>
      <c r="AT204" s="508">
        <f t="shared" si="90"/>
        <v>3.5279178145291619</v>
      </c>
    </row>
    <row r="205" spans="1:46" ht="12.75" customHeight="1">
      <c r="A205" s="96">
        <f>IF(MAX($F$93:F205)=$G$88,$G$88,F205)</f>
        <v>7.2260740896908544E-3</v>
      </c>
      <c r="B205" s="481">
        <v>113</v>
      </c>
      <c r="C205" s="96">
        <f t="shared" si="78"/>
        <v>0.16950000000000012</v>
      </c>
      <c r="D205" s="96">
        <f t="shared" si="75"/>
        <v>1.8672557648137043</v>
      </c>
      <c r="E205" s="96">
        <f t="shared" si="76"/>
        <v>0.99984678841215768</v>
      </c>
      <c r="F205" s="96">
        <f t="shared" si="74"/>
        <v>7.2260740896908544E-3</v>
      </c>
      <c r="G205" s="96">
        <f t="shared" si="77"/>
        <v>-0.10877392591030915</v>
      </c>
      <c r="I205" s="96">
        <f t="shared" si="79"/>
        <v>0</v>
      </c>
      <c r="J205" s="96">
        <f t="shared" si="80"/>
        <v>0.16950000000000012</v>
      </c>
      <c r="Y205" s="96">
        <f t="shared" si="91"/>
        <v>5</v>
      </c>
      <c r="Z205" s="96">
        <v>1.1399999999999899</v>
      </c>
      <c r="AA205" s="272">
        <f t="shared" si="92"/>
        <v>5</v>
      </c>
      <c r="AB205" s="519">
        <f t="shared" si="93"/>
        <v>3</v>
      </c>
      <c r="AC205" s="272">
        <f t="shared" si="81"/>
        <v>2</v>
      </c>
      <c r="AD205" s="272">
        <f t="shared" si="82"/>
        <v>8.5470085461945526</v>
      </c>
      <c r="AE205" s="272">
        <f t="shared" si="94"/>
        <v>3</v>
      </c>
      <c r="AF205" s="272">
        <f t="shared" si="83"/>
        <v>4.6758838797268352</v>
      </c>
      <c r="AG205" s="272">
        <f t="shared" si="95"/>
        <v>4</v>
      </c>
      <c r="AH205" s="272">
        <f t="shared" si="84"/>
        <v>3.558932327480067</v>
      </c>
      <c r="AI205" s="272">
        <f t="shared" si="96"/>
        <v>3</v>
      </c>
      <c r="AJ205" s="272">
        <f t="shared" si="85"/>
        <v>4.6758838797268352</v>
      </c>
      <c r="AK205" s="272">
        <f t="shared" si="97"/>
        <v>4</v>
      </c>
      <c r="AL205" s="272">
        <f t="shared" si="86"/>
        <v>3.558932327480067</v>
      </c>
      <c r="AM205" s="272">
        <f t="shared" si="98"/>
        <v>3</v>
      </c>
      <c r="AN205" s="272">
        <f t="shared" si="87"/>
        <v>4.6758838797268352</v>
      </c>
      <c r="AO205" s="272">
        <f t="shared" si="99"/>
        <v>4</v>
      </c>
      <c r="AP205" s="272">
        <f t="shared" si="88"/>
        <v>3.558932327480067</v>
      </c>
      <c r="AQ205" s="272">
        <f t="shared" si="100"/>
        <v>3</v>
      </c>
      <c r="AR205" s="272">
        <f t="shared" si="89"/>
        <v>4.6758838797268352</v>
      </c>
      <c r="AS205" s="272">
        <f t="shared" si="101"/>
        <v>4</v>
      </c>
      <c r="AT205" s="508">
        <f t="shared" si="90"/>
        <v>3.558932327480067</v>
      </c>
    </row>
    <row r="206" spans="1:46" ht="12.75" customHeight="1">
      <c r="A206" s="96">
        <f>IF(MAX($F$93:F206)=$G$88,$G$88,F206)</f>
        <v>7.8994779428779669E-3</v>
      </c>
      <c r="B206" s="481">
        <v>114</v>
      </c>
      <c r="C206" s="96">
        <f t="shared" si="78"/>
        <v>0.17100000000000012</v>
      </c>
      <c r="D206" s="96">
        <f t="shared" si="75"/>
        <v>1.9004507729280993</v>
      </c>
      <c r="E206" s="96">
        <f t="shared" si="76"/>
        <v>0.99983061023707509</v>
      </c>
      <c r="F206" s="96">
        <f t="shared" si="74"/>
        <v>7.8994779428779669E-3</v>
      </c>
      <c r="G206" s="96">
        <f t="shared" si="77"/>
        <v>-0.10810052205712203</v>
      </c>
      <c r="I206" s="96">
        <f t="shared" si="79"/>
        <v>0</v>
      </c>
      <c r="J206" s="96">
        <f t="shared" si="80"/>
        <v>0.17100000000000012</v>
      </c>
      <c r="Y206" s="96">
        <f t="shared" si="91"/>
        <v>5</v>
      </c>
      <c r="Z206" s="517">
        <v>1.13499999999999</v>
      </c>
      <c r="AA206" s="272">
        <f t="shared" si="92"/>
        <v>5</v>
      </c>
      <c r="AB206" s="519">
        <f t="shared" si="93"/>
        <v>3</v>
      </c>
      <c r="AC206" s="272">
        <f t="shared" si="81"/>
        <v>2</v>
      </c>
      <c r="AD206" s="272">
        <f t="shared" si="82"/>
        <v>8.6224784541787649</v>
      </c>
      <c r="AE206" s="272">
        <f t="shared" si="94"/>
        <v>3</v>
      </c>
      <c r="AF206" s="272">
        <f t="shared" si="83"/>
        <v>4.7171718372900653</v>
      </c>
      <c r="AG206" s="272">
        <f t="shared" si="95"/>
        <v>4</v>
      </c>
      <c r="AH206" s="272">
        <f t="shared" si="84"/>
        <v>3.5903576260304639</v>
      </c>
      <c r="AI206" s="272">
        <f t="shared" si="96"/>
        <v>3</v>
      </c>
      <c r="AJ206" s="272">
        <f t="shared" si="85"/>
        <v>4.7171718372900653</v>
      </c>
      <c r="AK206" s="272">
        <f t="shared" si="97"/>
        <v>4</v>
      </c>
      <c r="AL206" s="272">
        <f t="shared" si="86"/>
        <v>3.5903576260304639</v>
      </c>
      <c r="AM206" s="272">
        <f t="shared" si="98"/>
        <v>3</v>
      </c>
      <c r="AN206" s="272">
        <f t="shared" si="87"/>
        <v>4.7171718372900653</v>
      </c>
      <c r="AO206" s="272">
        <f t="shared" si="99"/>
        <v>4</v>
      </c>
      <c r="AP206" s="272">
        <f t="shared" si="88"/>
        <v>3.5903576260304639</v>
      </c>
      <c r="AQ206" s="272">
        <f t="shared" si="100"/>
        <v>3</v>
      </c>
      <c r="AR206" s="272">
        <f t="shared" si="89"/>
        <v>4.7171718372900653</v>
      </c>
      <c r="AS206" s="272">
        <f t="shared" si="101"/>
        <v>4</v>
      </c>
      <c r="AT206" s="508">
        <f t="shared" si="90"/>
        <v>3.5903576260304639</v>
      </c>
    </row>
    <row r="207" spans="1:46" ht="12.75" customHeight="1">
      <c r="A207" s="96">
        <f>IF(MAX($F$93:F207)=$G$88,$G$88,F207)</f>
        <v>8.6264116560134472E-3</v>
      </c>
      <c r="B207" s="481">
        <v>115</v>
      </c>
      <c r="C207" s="96">
        <f t="shared" si="78"/>
        <v>0.17250000000000013</v>
      </c>
      <c r="D207" s="96">
        <f t="shared" si="75"/>
        <v>1.9339382480743392</v>
      </c>
      <c r="E207" s="96">
        <f t="shared" si="76"/>
        <v>0.99981293350668821</v>
      </c>
      <c r="F207" s="96">
        <f t="shared" si="74"/>
        <v>8.6264116560134472E-3</v>
      </c>
      <c r="G207" s="96">
        <f t="shared" si="77"/>
        <v>-0.10737358834398655</v>
      </c>
      <c r="I207" s="96">
        <f t="shared" si="79"/>
        <v>0</v>
      </c>
      <c r="J207" s="96">
        <f t="shared" si="80"/>
        <v>0.17250000000000013</v>
      </c>
      <c r="Y207" s="96">
        <f t="shared" si="91"/>
        <v>5</v>
      </c>
      <c r="Z207" s="96">
        <v>1.1299999999999899</v>
      </c>
      <c r="AA207" s="272">
        <f t="shared" si="92"/>
        <v>5</v>
      </c>
      <c r="AB207" s="519">
        <f t="shared" si="93"/>
        <v>3</v>
      </c>
      <c r="AC207" s="272">
        <f t="shared" si="81"/>
        <v>2</v>
      </c>
      <c r="AD207" s="272">
        <f t="shared" si="82"/>
        <v>8.6989523898773928</v>
      </c>
      <c r="AE207" s="272">
        <f t="shared" si="94"/>
        <v>3</v>
      </c>
      <c r="AF207" s="272">
        <f t="shared" si="83"/>
        <v>4.7590090767428901</v>
      </c>
      <c r="AG207" s="272">
        <f t="shared" si="95"/>
        <v>4</v>
      </c>
      <c r="AH207" s="272">
        <f t="shared" si="84"/>
        <v>3.6222009967836923</v>
      </c>
      <c r="AI207" s="272">
        <f t="shared" si="96"/>
        <v>3</v>
      </c>
      <c r="AJ207" s="272">
        <f t="shared" si="85"/>
        <v>4.7590090767428901</v>
      </c>
      <c r="AK207" s="272">
        <f t="shared" si="97"/>
        <v>4</v>
      </c>
      <c r="AL207" s="272">
        <f t="shared" si="86"/>
        <v>3.6222009967836923</v>
      </c>
      <c r="AM207" s="272">
        <f t="shared" si="98"/>
        <v>3</v>
      </c>
      <c r="AN207" s="272">
        <f t="shared" si="87"/>
        <v>4.7590090767428901</v>
      </c>
      <c r="AO207" s="272">
        <f t="shared" si="99"/>
        <v>4</v>
      </c>
      <c r="AP207" s="272">
        <f t="shared" si="88"/>
        <v>3.6222009967836923</v>
      </c>
      <c r="AQ207" s="272">
        <f t="shared" si="100"/>
        <v>3</v>
      </c>
      <c r="AR207" s="272">
        <f t="shared" si="89"/>
        <v>4.7590090767428901</v>
      </c>
      <c r="AS207" s="272">
        <f t="shared" si="101"/>
        <v>4</v>
      </c>
      <c r="AT207" s="508">
        <f t="shared" si="90"/>
        <v>3.6222009967836923</v>
      </c>
    </row>
    <row r="208" spans="1:46" ht="12.75" customHeight="1">
      <c r="A208" s="96">
        <f>IF(MAX($F$93:F208)=$G$88,$G$88,F208)</f>
        <v>9.4103268373520628E-3</v>
      </c>
      <c r="B208" s="481">
        <v>116</v>
      </c>
      <c r="C208" s="96">
        <f t="shared" si="78"/>
        <v>0.17400000000000013</v>
      </c>
      <c r="D208" s="96">
        <f t="shared" si="75"/>
        <v>1.9677181902524241</v>
      </c>
      <c r="E208" s="96">
        <f t="shared" si="76"/>
        <v>0.99979363990140646</v>
      </c>
      <c r="F208" s="96">
        <f t="shared" si="74"/>
        <v>9.4103268373520628E-3</v>
      </c>
      <c r="G208" s="96">
        <f t="shared" si="77"/>
        <v>-0.10658967316264795</v>
      </c>
      <c r="I208" s="96">
        <f t="shared" si="79"/>
        <v>0</v>
      </c>
      <c r="J208" s="96">
        <f t="shared" si="80"/>
        <v>0.17400000000000013</v>
      </c>
      <c r="Y208" s="96">
        <f t="shared" si="91"/>
        <v>5</v>
      </c>
      <c r="Z208" s="517">
        <v>1.12499999999999</v>
      </c>
      <c r="AA208" s="272">
        <f t="shared" si="92"/>
        <v>5</v>
      </c>
      <c r="AB208" s="519">
        <f t="shared" si="93"/>
        <v>3</v>
      </c>
      <c r="AC208" s="272">
        <f t="shared" si="81"/>
        <v>2</v>
      </c>
      <c r="AD208" s="272">
        <f t="shared" si="82"/>
        <v>8.7764482422790646</v>
      </c>
      <c r="AE208" s="272">
        <f t="shared" si="94"/>
        <v>3</v>
      </c>
      <c r="AF208" s="272">
        <f t="shared" si="83"/>
        <v>4.8014053847648359</v>
      </c>
      <c r="AG208" s="272">
        <f t="shared" si="95"/>
        <v>4</v>
      </c>
      <c r="AH208" s="272">
        <f t="shared" si="84"/>
        <v>3.654469888626644</v>
      </c>
      <c r="AI208" s="272">
        <f t="shared" si="96"/>
        <v>3</v>
      </c>
      <c r="AJ208" s="272">
        <f t="shared" si="85"/>
        <v>4.8014053847648359</v>
      </c>
      <c r="AK208" s="272">
        <f t="shared" si="97"/>
        <v>4</v>
      </c>
      <c r="AL208" s="272">
        <f t="shared" si="86"/>
        <v>3.654469888626644</v>
      </c>
      <c r="AM208" s="272">
        <f t="shared" si="98"/>
        <v>3</v>
      </c>
      <c r="AN208" s="272">
        <f t="shared" si="87"/>
        <v>4.8014053847648359</v>
      </c>
      <c r="AO208" s="272">
        <f t="shared" si="99"/>
        <v>4</v>
      </c>
      <c r="AP208" s="272">
        <f t="shared" si="88"/>
        <v>3.654469888626644</v>
      </c>
      <c r="AQ208" s="272">
        <f t="shared" si="100"/>
        <v>3</v>
      </c>
      <c r="AR208" s="272">
        <f t="shared" si="89"/>
        <v>4.8014053847648359</v>
      </c>
      <c r="AS208" s="272">
        <f t="shared" si="101"/>
        <v>4</v>
      </c>
      <c r="AT208" s="508">
        <f t="shared" si="90"/>
        <v>3.654469888626644</v>
      </c>
    </row>
    <row r="209" spans="1:46" ht="12.75" customHeight="1">
      <c r="A209" s="96">
        <f>IF(MAX($F$93:F209)=$G$88,$G$88,F209)</f>
        <v>1.0254836265669955E-2</v>
      </c>
      <c r="B209" s="481">
        <v>117</v>
      </c>
      <c r="C209" s="96">
        <f t="shared" si="78"/>
        <v>0.17550000000000013</v>
      </c>
      <c r="D209" s="96">
        <f t="shared" si="75"/>
        <v>2.0017905994623542</v>
      </c>
      <c r="E209" s="96">
        <f t="shared" si="76"/>
        <v>0.99977260353452813</v>
      </c>
      <c r="F209" s="96">
        <f t="shared" si="74"/>
        <v>1.0254836265669955E-2</v>
      </c>
      <c r="G209" s="96">
        <f t="shared" si="77"/>
        <v>-0.10574516373433004</v>
      </c>
      <c r="I209" s="96">
        <f t="shared" si="79"/>
        <v>0</v>
      </c>
      <c r="J209" s="96">
        <f t="shared" si="80"/>
        <v>0.17550000000000013</v>
      </c>
      <c r="Y209" s="96">
        <f t="shared" si="91"/>
        <v>5</v>
      </c>
      <c r="Z209" s="96">
        <v>1.1199999999999899</v>
      </c>
      <c r="AA209" s="272">
        <f t="shared" si="92"/>
        <v>5</v>
      </c>
      <c r="AB209" s="519">
        <f t="shared" si="93"/>
        <v>3</v>
      </c>
      <c r="AC209" s="272">
        <f t="shared" si="81"/>
        <v>2</v>
      </c>
      <c r="AD209" s="272">
        <f t="shared" si="82"/>
        <v>8.8549843005695514</v>
      </c>
      <c r="AE209" s="272">
        <f t="shared" si="94"/>
        <v>3</v>
      </c>
      <c r="AF209" s="272">
        <f t="shared" si="83"/>
        <v>4.8443707669746479</v>
      </c>
      <c r="AG209" s="272">
        <f t="shared" si="95"/>
        <v>4</v>
      </c>
      <c r="AH209" s="272">
        <f t="shared" si="84"/>
        <v>3.6871719170863333</v>
      </c>
      <c r="AI209" s="272">
        <f t="shared" si="96"/>
        <v>3</v>
      </c>
      <c r="AJ209" s="272">
        <f t="shared" si="85"/>
        <v>4.8443707669746479</v>
      </c>
      <c r="AK209" s="272">
        <f t="shared" si="97"/>
        <v>4</v>
      </c>
      <c r="AL209" s="272">
        <f t="shared" si="86"/>
        <v>3.6871719170863333</v>
      </c>
      <c r="AM209" s="272">
        <f t="shared" si="98"/>
        <v>3</v>
      </c>
      <c r="AN209" s="272">
        <f t="shared" si="87"/>
        <v>4.8443707669746479</v>
      </c>
      <c r="AO209" s="272">
        <f t="shared" si="99"/>
        <v>4</v>
      </c>
      <c r="AP209" s="272">
        <f t="shared" si="88"/>
        <v>3.6871719170863333</v>
      </c>
      <c r="AQ209" s="272">
        <f t="shared" si="100"/>
        <v>3</v>
      </c>
      <c r="AR209" s="272">
        <f t="shared" si="89"/>
        <v>4.8443707669746479</v>
      </c>
      <c r="AS209" s="272">
        <f t="shared" si="101"/>
        <v>4</v>
      </c>
      <c r="AT209" s="508">
        <f t="shared" si="90"/>
        <v>3.6871719170863333</v>
      </c>
    </row>
    <row r="210" spans="1:46" ht="12.75" customHeight="1">
      <c r="A210" s="96">
        <f>IF(MAX($F$93:F210)=$G$88,$G$88,F210)</f>
        <v>1.1163717300399776E-2</v>
      </c>
      <c r="B210" s="481">
        <v>118</v>
      </c>
      <c r="C210" s="96">
        <f t="shared" si="78"/>
        <v>0.17700000000000013</v>
      </c>
      <c r="D210" s="96">
        <f t="shared" si="75"/>
        <v>2.0361554757041285</v>
      </c>
      <c r="E210" s="96">
        <f t="shared" si="76"/>
        <v>0.99974969060312502</v>
      </c>
      <c r="F210" s="96">
        <f t="shared" si="74"/>
        <v>1.1163717300399776E-2</v>
      </c>
      <c r="G210" s="96">
        <f t="shared" si="77"/>
        <v>-0.10483628269960023</v>
      </c>
      <c r="I210" s="96">
        <f t="shared" si="79"/>
        <v>0</v>
      </c>
      <c r="J210" s="96">
        <f t="shared" si="80"/>
        <v>0.17700000000000013</v>
      </c>
      <c r="Y210" s="96">
        <f t="shared" si="91"/>
        <v>5</v>
      </c>
      <c r="Z210" s="517">
        <v>1.11499999999999</v>
      </c>
      <c r="AA210" s="272">
        <f t="shared" si="92"/>
        <v>5</v>
      </c>
      <c r="AB210" s="519">
        <f t="shared" si="93"/>
        <v>3</v>
      </c>
      <c r="AC210" s="272">
        <f t="shared" si="81"/>
        <v>2</v>
      </c>
      <c r="AD210" s="272">
        <f t="shared" si="82"/>
        <v>8.934579264923439</v>
      </c>
      <c r="AE210" s="272">
        <f t="shared" si="94"/>
        <v>3</v>
      </c>
      <c r="AF210" s="272">
        <f t="shared" si="83"/>
        <v>4.8879154538341787</v>
      </c>
      <c r="AG210" s="272">
        <f t="shared" si="95"/>
        <v>4</v>
      </c>
      <c r="AH210" s="272">
        <f t="shared" si="84"/>
        <v>3.7203148688235004</v>
      </c>
      <c r="AI210" s="272">
        <f t="shared" si="96"/>
        <v>3</v>
      </c>
      <c r="AJ210" s="272">
        <f t="shared" si="85"/>
        <v>4.8879154538341787</v>
      </c>
      <c r="AK210" s="272">
        <f t="shared" si="97"/>
        <v>4</v>
      </c>
      <c r="AL210" s="272">
        <f t="shared" si="86"/>
        <v>3.7203148688235004</v>
      </c>
      <c r="AM210" s="272">
        <f t="shared" si="98"/>
        <v>3</v>
      </c>
      <c r="AN210" s="272">
        <f t="shared" si="87"/>
        <v>4.8879154538341787</v>
      </c>
      <c r="AO210" s="272">
        <f t="shared" si="99"/>
        <v>4</v>
      </c>
      <c r="AP210" s="272">
        <f t="shared" si="88"/>
        <v>3.7203148688235004</v>
      </c>
      <c r="AQ210" s="272">
        <f t="shared" si="100"/>
        <v>3</v>
      </c>
      <c r="AR210" s="272">
        <f t="shared" si="89"/>
        <v>4.8879154538341787</v>
      </c>
      <c r="AS210" s="272">
        <f t="shared" si="101"/>
        <v>4</v>
      </c>
      <c r="AT210" s="508">
        <f t="shared" si="90"/>
        <v>3.7203148688235004</v>
      </c>
    </row>
    <row r="211" spans="1:46" ht="12.75" customHeight="1">
      <c r="A211" s="96">
        <f>IF(MAX($F$93:F211)=$G$88,$G$88,F211)</f>
        <v>1.2140915102295164E-2</v>
      </c>
      <c r="B211" s="481">
        <v>119</v>
      </c>
      <c r="C211" s="96">
        <f t="shared" si="78"/>
        <v>0.17850000000000013</v>
      </c>
      <c r="D211" s="96">
        <f t="shared" si="75"/>
        <v>2.0708128189777479</v>
      </c>
      <c r="E211" s="96">
        <f t="shared" si="76"/>
        <v>0.99972475903181213</v>
      </c>
      <c r="F211" s="96">
        <f t="shared" si="74"/>
        <v>1.2140915102295164E-2</v>
      </c>
      <c r="G211" s="96">
        <f t="shared" si="77"/>
        <v>-0.10385908489770485</v>
      </c>
      <c r="I211" s="96">
        <f t="shared" si="79"/>
        <v>0</v>
      </c>
      <c r="J211" s="96">
        <f t="shared" si="80"/>
        <v>0.17850000000000013</v>
      </c>
      <c r="Y211" s="96">
        <f t="shared" si="91"/>
        <v>5</v>
      </c>
      <c r="Z211" s="96">
        <v>1.1099999999999901</v>
      </c>
      <c r="AA211" s="272">
        <f t="shared" si="92"/>
        <v>5</v>
      </c>
      <c r="AB211" s="519">
        <f t="shared" si="93"/>
        <v>3</v>
      </c>
      <c r="AC211" s="272">
        <f t="shared" si="81"/>
        <v>2</v>
      </c>
      <c r="AD211" s="272">
        <f t="shared" si="82"/>
        <v>9.0152522576369147</v>
      </c>
      <c r="AE211" s="272">
        <f t="shared" si="94"/>
        <v>3</v>
      </c>
      <c r="AF211" s="272">
        <f t="shared" si="83"/>
        <v>4.9320499067388974</v>
      </c>
      <c r="AG211" s="272">
        <f t="shared" si="95"/>
        <v>4</v>
      </c>
      <c r="AH211" s="272">
        <f t="shared" si="84"/>
        <v>3.7539067062682383</v>
      </c>
      <c r="AI211" s="272">
        <f t="shared" si="96"/>
        <v>3</v>
      </c>
      <c r="AJ211" s="272">
        <f t="shared" si="85"/>
        <v>4.9320499067388974</v>
      </c>
      <c r="AK211" s="272">
        <f t="shared" si="97"/>
        <v>4</v>
      </c>
      <c r="AL211" s="272">
        <f t="shared" si="86"/>
        <v>3.7539067062682383</v>
      </c>
      <c r="AM211" s="272">
        <f t="shared" si="98"/>
        <v>3</v>
      </c>
      <c r="AN211" s="272">
        <f t="shared" si="87"/>
        <v>4.9320499067388974</v>
      </c>
      <c r="AO211" s="272">
        <f t="shared" si="99"/>
        <v>4</v>
      </c>
      <c r="AP211" s="272">
        <f t="shared" si="88"/>
        <v>3.7539067062682383</v>
      </c>
      <c r="AQ211" s="272">
        <f t="shared" si="100"/>
        <v>3</v>
      </c>
      <c r="AR211" s="272">
        <f t="shared" si="89"/>
        <v>4.9320499067388974</v>
      </c>
      <c r="AS211" s="272">
        <f t="shared" si="101"/>
        <v>4</v>
      </c>
      <c r="AT211" s="508">
        <f t="shared" si="90"/>
        <v>3.7539067062682383</v>
      </c>
    </row>
    <row r="212" spans="1:46" ht="12.75" customHeight="1">
      <c r="A212" s="96">
        <f>IF(MAX($F$93:F212)=$G$88,$G$88,F212)</f>
        <v>1.3190545645351085E-2</v>
      </c>
      <c r="B212" s="481">
        <v>120</v>
      </c>
      <c r="C212" s="96">
        <f t="shared" si="78"/>
        <v>0.18000000000000013</v>
      </c>
      <c r="D212" s="96">
        <f t="shared" si="75"/>
        <v>2.1057626292832126</v>
      </c>
      <c r="E212" s="96">
        <f t="shared" si="76"/>
        <v>0.99969765810982947</v>
      </c>
      <c r="F212" s="96">
        <f t="shared" si="74"/>
        <v>1.3190545645351085E-2</v>
      </c>
      <c r="G212" s="96">
        <f t="shared" si="77"/>
        <v>-0.10280945435464892</v>
      </c>
      <c r="I212" s="96">
        <f t="shared" si="79"/>
        <v>0</v>
      </c>
      <c r="J212" s="96">
        <f t="shared" si="80"/>
        <v>0.18000000000000013</v>
      </c>
      <c r="Y212" s="96">
        <f t="shared" si="91"/>
        <v>5</v>
      </c>
      <c r="Z212" s="517">
        <v>1.10499999999999</v>
      </c>
      <c r="AA212" s="272">
        <f t="shared" si="92"/>
        <v>5</v>
      </c>
      <c r="AB212" s="519">
        <f t="shared" si="93"/>
        <v>3</v>
      </c>
      <c r="AC212" s="272">
        <f t="shared" si="81"/>
        <v>2</v>
      </c>
      <c r="AD212" s="272">
        <f t="shared" si="82"/>
        <v>9.0970228346139059</v>
      </c>
      <c r="AE212" s="272">
        <f t="shared" si="94"/>
        <v>3</v>
      </c>
      <c r="AF212" s="272">
        <f t="shared" si="83"/>
        <v>4.9767848243017117</v>
      </c>
      <c r="AG212" s="272">
        <f t="shared" si="95"/>
        <v>4</v>
      </c>
      <c r="AH212" s="272">
        <f t="shared" si="84"/>
        <v>3.7879555724027738</v>
      </c>
      <c r="AI212" s="272">
        <f t="shared" si="96"/>
        <v>3</v>
      </c>
      <c r="AJ212" s="272">
        <f t="shared" si="85"/>
        <v>4.9767848243017117</v>
      </c>
      <c r="AK212" s="272">
        <f t="shared" si="97"/>
        <v>4</v>
      </c>
      <c r="AL212" s="272">
        <f t="shared" si="86"/>
        <v>3.7879555724027738</v>
      </c>
      <c r="AM212" s="272">
        <f t="shared" si="98"/>
        <v>3</v>
      </c>
      <c r="AN212" s="272">
        <f t="shared" si="87"/>
        <v>4.9767848243017117</v>
      </c>
      <c r="AO212" s="272">
        <f t="shared" si="99"/>
        <v>4</v>
      </c>
      <c r="AP212" s="272">
        <f t="shared" si="88"/>
        <v>3.7879555724027738</v>
      </c>
      <c r="AQ212" s="272">
        <f t="shared" si="100"/>
        <v>3</v>
      </c>
      <c r="AR212" s="272">
        <f t="shared" si="89"/>
        <v>4.9767848243017117</v>
      </c>
      <c r="AS212" s="272">
        <f t="shared" si="101"/>
        <v>4</v>
      </c>
      <c r="AT212" s="508">
        <f t="shared" si="90"/>
        <v>3.7879555724027738</v>
      </c>
    </row>
    <row r="213" spans="1:46" ht="12.75" customHeight="1">
      <c r="A213" s="96">
        <f>IF(MAX($F$93:F213)=$G$88,$G$88,F213)</f>
        <v>1.4316898501250581E-2</v>
      </c>
      <c r="B213" s="481">
        <v>121</v>
      </c>
      <c r="C213" s="96">
        <f t="shared" si="78"/>
        <v>0.18150000000000013</v>
      </c>
      <c r="D213" s="96">
        <f t="shared" si="75"/>
        <v>2.1410049066205219</v>
      </c>
      <c r="E213" s="96">
        <f t="shared" si="76"/>
        <v>0.99966822812190348</v>
      </c>
      <c r="F213" s="96">
        <f t="shared" si="74"/>
        <v>1.4316898501250581E-2</v>
      </c>
      <c r="G213" s="96">
        <f t="shared" si="77"/>
        <v>-0.10168310149874943</v>
      </c>
      <c r="I213" s="96">
        <f t="shared" si="79"/>
        <v>0</v>
      </c>
      <c r="J213" s="96">
        <f t="shared" si="80"/>
        <v>0.18150000000000013</v>
      </c>
      <c r="Y213" s="96">
        <f t="shared" si="91"/>
        <v>5</v>
      </c>
      <c r="Z213" s="96">
        <v>1.0999999999999901</v>
      </c>
      <c r="AA213" s="272">
        <f t="shared" si="92"/>
        <v>5</v>
      </c>
      <c r="AB213" s="519">
        <f t="shared" si="93"/>
        <v>3</v>
      </c>
      <c r="AC213" s="272">
        <f t="shared" si="81"/>
        <v>2</v>
      </c>
      <c r="AD213" s="272">
        <f t="shared" si="82"/>
        <v>9.1799109972185491</v>
      </c>
      <c r="AE213" s="272">
        <f t="shared" si="94"/>
        <v>3</v>
      </c>
      <c r="AF213" s="272">
        <f t="shared" si="83"/>
        <v>5.0221311488371869</v>
      </c>
      <c r="AG213" s="272">
        <f t="shared" si="95"/>
        <v>4</v>
      </c>
      <c r="AH213" s="272">
        <f t="shared" si="84"/>
        <v>3.8224697956967737</v>
      </c>
      <c r="AI213" s="272">
        <f t="shared" si="96"/>
        <v>3</v>
      </c>
      <c r="AJ213" s="272">
        <f t="shared" si="85"/>
        <v>5.0221311488371869</v>
      </c>
      <c r="AK213" s="272">
        <f t="shared" si="97"/>
        <v>4</v>
      </c>
      <c r="AL213" s="272">
        <f t="shared" si="86"/>
        <v>3.8224697956967737</v>
      </c>
      <c r="AM213" s="272">
        <f t="shared" si="98"/>
        <v>3</v>
      </c>
      <c r="AN213" s="272">
        <f t="shared" si="87"/>
        <v>5.0221311488371869</v>
      </c>
      <c r="AO213" s="272">
        <f t="shared" si="99"/>
        <v>4</v>
      </c>
      <c r="AP213" s="272">
        <f t="shared" si="88"/>
        <v>3.8224697956967737</v>
      </c>
      <c r="AQ213" s="272">
        <f t="shared" si="100"/>
        <v>3</v>
      </c>
      <c r="AR213" s="272">
        <f t="shared" si="89"/>
        <v>5.0221311488371869</v>
      </c>
      <c r="AS213" s="272">
        <f t="shared" si="101"/>
        <v>4</v>
      </c>
      <c r="AT213" s="508">
        <f t="shared" si="90"/>
        <v>3.8224697956967737</v>
      </c>
    </row>
    <row r="214" spans="1:46" ht="12.75" customHeight="1">
      <c r="A214" s="96">
        <f>IF(MAX($F$93:F214)=$G$88,$G$88,F214)</f>
        <v>1.5524439377038547E-2</v>
      </c>
      <c r="B214" s="481">
        <v>122</v>
      </c>
      <c r="C214" s="96">
        <f t="shared" si="78"/>
        <v>0.18300000000000013</v>
      </c>
      <c r="D214" s="96">
        <f t="shared" si="75"/>
        <v>2.1765396509896759</v>
      </c>
      <c r="E214" s="96">
        <f t="shared" si="76"/>
        <v>0.99963629997339554</v>
      </c>
      <c r="F214" s="96">
        <f t="shared" si="74"/>
        <v>1.5524439377038547E-2</v>
      </c>
      <c r="G214" s="96">
        <f t="shared" si="77"/>
        <v>-0.10047556062296145</v>
      </c>
      <c r="I214" s="96">
        <f t="shared" si="79"/>
        <v>0</v>
      </c>
      <c r="J214" s="96">
        <f t="shared" si="80"/>
        <v>0.18300000000000013</v>
      </c>
      <c r="Y214" s="96">
        <f t="shared" si="91"/>
        <v>5</v>
      </c>
      <c r="Z214" s="517">
        <v>1.09499999999999</v>
      </c>
      <c r="AA214" s="272">
        <f t="shared" si="92"/>
        <v>5</v>
      </c>
      <c r="AB214" s="519">
        <f t="shared" si="93"/>
        <v>3</v>
      </c>
      <c r="AC214" s="272">
        <f t="shared" si="81"/>
        <v>2</v>
      </c>
      <c r="AD214" s="272">
        <f t="shared" si="82"/>
        <v>9.2639372045073678</v>
      </c>
      <c r="AE214" s="272">
        <f t="shared" si="94"/>
        <v>3</v>
      </c>
      <c r="AF214" s="272">
        <f t="shared" si="83"/>
        <v>5.0681000730535208</v>
      </c>
      <c r="AG214" s="272">
        <f t="shared" si="95"/>
        <v>4</v>
      </c>
      <c r="AH214" s="272">
        <f t="shared" si="84"/>
        <v>3.8574578952007661</v>
      </c>
      <c r="AI214" s="272">
        <f t="shared" si="96"/>
        <v>3</v>
      </c>
      <c r="AJ214" s="272">
        <f t="shared" si="85"/>
        <v>5.0681000730535208</v>
      </c>
      <c r="AK214" s="272">
        <f t="shared" si="97"/>
        <v>4</v>
      </c>
      <c r="AL214" s="272">
        <f t="shared" si="86"/>
        <v>3.8574578952007661</v>
      </c>
      <c r="AM214" s="272">
        <f t="shared" si="98"/>
        <v>3</v>
      </c>
      <c r="AN214" s="272">
        <f t="shared" si="87"/>
        <v>5.0681000730535208</v>
      </c>
      <c r="AO214" s="272">
        <f t="shared" si="99"/>
        <v>4</v>
      </c>
      <c r="AP214" s="272">
        <f t="shared" si="88"/>
        <v>3.8574578952007661</v>
      </c>
      <c r="AQ214" s="272">
        <f t="shared" si="100"/>
        <v>3</v>
      </c>
      <c r="AR214" s="272">
        <f t="shared" si="89"/>
        <v>5.0681000730535208</v>
      </c>
      <c r="AS214" s="272">
        <f t="shared" si="101"/>
        <v>4</v>
      </c>
      <c r="AT214" s="508">
        <f t="shared" si="90"/>
        <v>3.8574578952007661</v>
      </c>
    </row>
    <row r="215" spans="1:46" ht="12.75" customHeight="1">
      <c r="A215" s="96">
        <f>IF(MAX($F$93:F215)=$G$88,$G$88,F215)</f>
        <v>1.6817812387059927E-2</v>
      </c>
      <c r="B215" s="481">
        <v>123</v>
      </c>
      <c r="C215" s="96">
        <f t="shared" si="78"/>
        <v>0.18450000000000014</v>
      </c>
      <c r="D215" s="96">
        <f t="shared" si="75"/>
        <v>2.2123668623906751</v>
      </c>
      <c r="E215" s="96">
        <f t="shared" si="76"/>
        <v>0.9996016948102876</v>
      </c>
      <c r="F215" s="96">
        <f t="shared" si="74"/>
        <v>1.6817812387059927E-2</v>
      </c>
      <c r="G215" s="96">
        <f t="shared" si="77"/>
        <v>-9.9182187612940079E-2</v>
      </c>
      <c r="I215" s="96">
        <f t="shared" si="79"/>
        <v>0</v>
      </c>
      <c r="J215" s="96">
        <f t="shared" si="80"/>
        <v>0.18450000000000014</v>
      </c>
      <c r="Y215" s="96">
        <f t="shared" si="91"/>
        <v>5</v>
      </c>
      <c r="Z215" s="96">
        <v>1.0899999999999901</v>
      </c>
      <c r="AA215" s="272">
        <f t="shared" si="92"/>
        <v>5</v>
      </c>
      <c r="AB215" s="519">
        <f t="shared" si="93"/>
        <v>3</v>
      </c>
      <c r="AC215" s="272">
        <f t="shared" si="81"/>
        <v>2</v>
      </c>
      <c r="AD215" s="272">
        <f t="shared" si="82"/>
        <v>9.3491223858551002</v>
      </c>
      <c r="AE215" s="272">
        <f t="shared" si="94"/>
        <v>3</v>
      </c>
      <c r="AF215" s="272">
        <f t="shared" si="83"/>
        <v>5.1147030469598507</v>
      </c>
      <c r="AG215" s="272">
        <f t="shared" si="95"/>
        <v>4</v>
      </c>
      <c r="AH215" s="272">
        <f t="shared" si="84"/>
        <v>3.8929285858034661</v>
      </c>
      <c r="AI215" s="272">
        <f t="shared" si="96"/>
        <v>3</v>
      </c>
      <c r="AJ215" s="272">
        <f t="shared" si="85"/>
        <v>5.1147030469598507</v>
      </c>
      <c r="AK215" s="272">
        <f t="shared" si="97"/>
        <v>4</v>
      </c>
      <c r="AL215" s="272">
        <f t="shared" si="86"/>
        <v>3.8929285858034661</v>
      </c>
      <c r="AM215" s="272">
        <f t="shared" si="98"/>
        <v>3</v>
      </c>
      <c r="AN215" s="272">
        <f t="shared" si="87"/>
        <v>5.1147030469598507</v>
      </c>
      <c r="AO215" s="272">
        <f t="shared" si="99"/>
        <v>4</v>
      </c>
      <c r="AP215" s="272">
        <f t="shared" si="88"/>
        <v>3.8929285858034661</v>
      </c>
      <c r="AQ215" s="272">
        <f t="shared" si="100"/>
        <v>3</v>
      </c>
      <c r="AR215" s="272">
        <f t="shared" si="89"/>
        <v>5.1147030469598507</v>
      </c>
      <c r="AS215" s="272">
        <f t="shared" si="101"/>
        <v>4</v>
      </c>
      <c r="AT215" s="508">
        <f t="shared" si="90"/>
        <v>3.8929285858034661</v>
      </c>
    </row>
    <row r="216" spans="1:46" ht="12.75" customHeight="1">
      <c r="A216" s="96">
        <f>IF(MAX($F$93:F216)=$G$88,$G$88,F216)</f>
        <v>1.8201842039629785E-2</v>
      </c>
      <c r="B216" s="481">
        <v>124</v>
      </c>
      <c r="C216" s="96">
        <f t="shared" si="78"/>
        <v>0.18600000000000014</v>
      </c>
      <c r="D216" s="96">
        <f t="shared" si="75"/>
        <v>2.2484865408235191</v>
      </c>
      <c r="E216" s="96">
        <f t="shared" si="76"/>
        <v>0.99956422363459385</v>
      </c>
      <c r="F216" s="96">
        <f t="shared" si="74"/>
        <v>1.8201842039629785E-2</v>
      </c>
      <c r="G216" s="96">
        <f t="shared" si="77"/>
        <v>-9.7798157960370224E-2</v>
      </c>
      <c r="I216" s="96">
        <f t="shared" si="79"/>
        <v>0</v>
      </c>
      <c r="J216" s="96">
        <f t="shared" si="80"/>
        <v>0.18600000000000014</v>
      </c>
      <c r="Y216" s="96">
        <f t="shared" si="91"/>
        <v>5</v>
      </c>
      <c r="Z216" s="517">
        <v>1.08499999999999</v>
      </c>
      <c r="AA216" s="272">
        <f t="shared" si="92"/>
        <v>5</v>
      </c>
      <c r="AB216" s="519">
        <f t="shared" si="93"/>
        <v>3</v>
      </c>
      <c r="AC216" s="272">
        <f t="shared" si="81"/>
        <v>2</v>
      </c>
      <c r="AD216" s="272">
        <f t="shared" si="82"/>
        <v>9.435487953988785</v>
      </c>
      <c r="AE216" s="272">
        <f t="shared" si="94"/>
        <v>3</v>
      </c>
      <c r="AF216" s="272">
        <f t="shared" si="83"/>
        <v>5.1619517849969192</v>
      </c>
      <c r="AG216" s="272">
        <f t="shared" si="95"/>
        <v>4</v>
      </c>
      <c r="AH216" s="272">
        <f t="shared" si="84"/>
        <v>3.9288907836591136</v>
      </c>
      <c r="AI216" s="272">
        <f t="shared" si="96"/>
        <v>3</v>
      </c>
      <c r="AJ216" s="272">
        <f t="shared" si="85"/>
        <v>5.1619517849969192</v>
      </c>
      <c r="AK216" s="272">
        <f t="shared" si="97"/>
        <v>4</v>
      </c>
      <c r="AL216" s="272">
        <f t="shared" si="86"/>
        <v>3.9288907836591136</v>
      </c>
      <c r="AM216" s="272">
        <f t="shared" si="98"/>
        <v>3</v>
      </c>
      <c r="AN216" s="272">
        <f t="shared" si="87"/>
        <v>5.1619517849969192</v>
      </c>
      <c r="AO216" s="272">
        <f t="shared" si="99"/>
        <v>4</v>
      </c>
      <c r="AP216" s="272">
        <f t="shared" si="88"/>
        <v>3.9288907836591136</v>
      </c>
      <c r="AQ216" s="272">
        <f t="shared" si="100"/>
        <v>3</v>
      </c>
      <c r="AR216" s="272">
        <f t="shared" si="89"/>
        <v>5.1619517849969192</v>
      </c>
      <c r="AS216" s="272">
        <f t="shared" si="101"/>
        <v>4</v>
      </c>
      <c r="AT216" s="508">
        <f t="shared" si="90"/>
        <v>3.9288907836591136</v>
      </c>
    </row>
    <row r="217" spans="1:46" ht="12.75" customHeight="1">
      <c r="A217" s="96">
        <f>IF(MAX($F$93:F217)=$G$88,$G$88,F217)</f>
        <v>1.9681534919084122E-2</v>
      </c>
      <c r="B217" s="481">
        <v>125</v>
      </c>
      <c r="C217" s="96">
        <f t="shared" si="78"/>
        <v>0.18750000000000014</v>
      </c>
      <c r="D217" s="96">
        <f t="shared" si="75"/>
        <v>2.2848986862882086</v>
      </c>
      <c r="E217" s="96">
        <f t="shared" si="76"/>
        <v>0.99952368691583204</v>
      </c>
      <c r="F217" s="96">
        <f t="shared" si="74"/>
        <v>1.9681534919084122E-2</v>
      </c>
      <c r="G217" s="96">
        <f t="shared" si="77"/>
        <v>-9.6318465080915877E-2</v>
      </c>
      <c r="I217" s="96">
        <f t="shared" si="79"/>
        <v>0</v>
      </c>
      <c r="J217" s="96">
        <f t="shared" si="80"/>
        <v>0.18750000000000014</v>
      </c>
      <c r="Y217" s="96">
        <f t="shared" si="91"/>
        <v>5</v>
      </c>
      <c r="Z217" s="96">
        <v>1.0799999999999901</v>
      </c>
      <c r="AA217" s="272">
        <f t="shared" si="92"/>
        <v>5</v>
      </c>
      <c r="AB217" s="519">
        <f t="shared" si="93"/>
        <v>3</v>
      </c>
      <c r="AC217" s="272">
        <f t="shared" si="81"/>
        <v>2</v>
      </c>
      <c r="AD217" s="272">
        <f t="shared" si="82"/>
        <v>9.5230558184451723</v>
      </c>
      <c r="AE217" s="272">
        <f t="shared" si="94"/>
        <v>3</v>
      </c>
      <c r="AF217" s="272">
        <f t="shared" si="83"/>
        <v>5.2098582733993473</v>
      </c>
      <c r="AG217" s="272">
        <f t="shared" si="95"/>
        <v>4</v>
      </c>
      <c r="AH217" s="272">
        <f t="shared" si="84"/>
        <v>3.9653536117910648</v>
      </c>
      <c r="AI217" s="272">
        <f t="shared" si="96"/>
        <v>3</v>
      </c>
      <c r="AJ217" s="272">
        <f t="shared" si="85"/>
        <v>5.2098582733993473</v>
      </c>
      <c r="AK217" s="272">
        <f t="shared" si="97"/>
        <v>4</v>
      </c>
      <c r="AL217" s="272">
        <f t="shared" si="86"/>
        <v>3.9653536117910648</v>
      </c>
      <c r="AM217" s="272">
        <f t="shared" si="98"/>
        <v>3</v>
      </c>
      <c r="AN217" s="272">
        <f t="shared" si="87"/>
        <v>5.2098582733993473</v>
      </c>
      <c r="AO217" s="272">
        <f t="shared" si="99"/>
        <v>4</v>
      </c>
      <c r="AP217" s="272">
        <f t="shared" si="88"/>
        <v>3.9653536117910648</v>
      </c>
      <c r="AQ217" s="272">
        <f t="shared" si="100"/>
        <v>3</v>
      </c>
      <c r="AR217" s="272">
        <f t="shared" si="89"/>
        <v>5.2098582733993473</v>
      </c>
      <c r="AS217" s="272">
        <f t="shared" si="101"/>
        <v>4</v>
      </c>
      <c r="AT217" s="508">
        <f t="shared" si="90"/>
        <v>3.9653536117910648</v>
      </c>
    </row>
    <row r="218" spans="1:46" ht="12.75" customHeight="1">
      <c r="A218" s="96">
        <f>IF(MAX($F$93:F218)=$G$88,$G$88,F218)</f>
        <v>2.126208104424876E-2</v>
      </c>
      <c r="B218" s="481">
        <v>126</v>
      </c>
      <c r="C218" s="96">
        <f t="shared" si="78"/>
        <v>0.18900000000000014</v>
      </c>
      <c r="D218" s="96">
        <f t="shared" si="75"/>
        <v>2.3216032987847419</v>
      </c>
      <c r="E218" s="96">
        <f t="shared" si="76"/>
        <v>0.99947987419922635</v>
      </c>
      <c r="F218" s="96">
        <f t="shared" si="74"/>
        <v>2.126208104424876E-2</v>
      </c>
      <c r="G218" s="96">
        <f t="shared" si="77"/>
        <v>-9.4737918955751246E-2</v>
      </c>
      <c r="I218" s="96">
        <f t="shared" si="79"/>
        <v>0</v>
      </c>
      <c r="J218" s="96">
        <f t="shared" si="80"/>
        <v>0.18900000000000014</v>
      </c>
      <c r="Y218" s="96">
        <f t="shared" si="91"/>
        <v>5</v>
      </c>
      <c r="Z218" s="517">
        <v>1.07499999999999</v>
      </c>
      <c r="AA218" s="272">
        <f t="shared" si="92"/>
        <v>5</v>
      </c>
      <c r="AB218" s="519">
        <f t="shared" si="93"/>
        <v>3</v>
      </c>
      <c r="AC218" s="272">
        <f t="shared" si="81"/>
        <v>2</v>
      </c>
      <c r="AD218" s="272">
        <f t="shared" si="82"/>
        <v>9.6118483994673447</v>
      </c>
      <c r="AE218" s="272">
        <f t="shared" si="94"/>
        <v>3</v>
      </c>
      <c r="AF218" s="272">
        <f t="shared" si="83"/>
        <v>5.258434777798163</v>
      </c>
      <c r="AG218" s="272">
        <f t="shared" si="95"/>
        <v>4</v>
      </c>
      <c r="AH218" s="272">
        <f t="shared" si="84"/>
        <v>4.0023264058782919</v>
      </c>
      <c r="AI218" s="272">
        <f t="shared" si="96"/>
        <v>4</v>
      </c>
      <c r="AJ218" s="272">
        <f t="shared" si="85"/>
        <v>4.0023264058782919</v>
      </c>
      <c r="AK218" s="272">
        <f t="shared" si="97"/>
        <v>4</v>
      </c>
      <c r="AL218" s="272">
        <f t="shared" si="86"/>
        <v>4.0023264058782919</v>
      </c>
      <c r="AM218" s="272">
        <f t="shared" si="98"/>
        <v>4</v>
      </c>
      <c r="AN218" s="272">
        <f t="shared" si="87"/>
        <v>4.0023264058782919</v>
      </c>
      <c r="AO218" s="272">
        <f t="shared" si="99"/>
        <v>4</v>
      </c>
      <c r="AP218" s="272">
        <f t="shared" si="88"/>
        <v>4.0023264058782919</v>
      </c>
      <c r="AQ218" s="272">
        <f t="shared" si="100"/>
        <v>4</v>
      </c>
      <c r="AR218" s="272">
        <f t="shared" si="89"/>
        <v>4.0023264058782919</v>
      </c>
      <c r="AS218" s="272">
        <f t="shared" si="101"/>
        <v>4</v>
      </c>
      <c r="AT218" s="508">
        <f t="shared" si="90"/>
        <v>4.0023264058782919</v>
      </c>
    </row>
    <row r="219" spans="1:46" ht="12.75" customHeight="1">
      <c r="A219" s="96">
        <f>IF(MAX($F$93:F219)=$G$88,$G$88,F219)</f>
        <v>2.2948854884156468E-2</v>
      </c>
      <c r="B219" s="481">
        <v>127</v>
      </c>
      <c r="C219" s="96">
        <f t="shared" si="78"/>
        <v>0.19050000000000014</v>
      </c>
      <c r="D219" s="96">
        <f t="shared" si="75"/>
        <v>2.3586003783131204</v>
      </c>
      <c r="E219" s="96">
        <f t="shared" si="76"/>
        <v>0.99943256371135669</v>
      </c>
      <c r="F219" s="96">
        <f t="shared" si="74"/>
        <v>2.2948854884156468E-2</v>
      </c>
      <c r="G219" s="96">
        <f t="shared" si="77"/>
        <v>-9.3051145115843531E-2</v>
      </c>
      <c r="I219" s="96">
        <f t="shared" si="79"/>
        <v>0</v>
      </c>
      <c r="J219" s="96">
        <f t="shared" si="80"/>
        <v>0.19050000000000014</v>
      </c>
      <c r="Y219" s="96">
        <f t="shared" si="91"/>
        <v>5</v>
      </c>
      <c r="Z219" s="96">
        <v>1.0699999999999901</v>
      </c>
      <c r="AA219" s="272">
        <f t="shared" si="92"/>
        <v>5</v>
      </c>
      <c r="AB219" s="519">
        <f t="shared" si="93"/>
        <v>3</v>
      </c>
      <c r="AC219" s="272">
        <f t="shared" si="81"/>
        <v>2</v>
      </c>
      <c r="AD219" s="272">
        <f t="shared" si="82"/>
        <v>9.7018886423569271</v>
      </c>
      <c r="AE219" s="272">
        <f t="shared" si="94"/>
        <v>3</v>
      </c>
      <c r="AF219" s="272">
        <f t="shared" si="83"/>
        <v>5.3076938510725826</v>
      </c>
      <c r="AG219" s="272">
        <f t="shared" si="95"/>
        <v>4</v>
      </c>
      <c r="AH219" s="272">
        <f t="shared" si="84"/>
        <v>4.0398187202315485</v>
      </c>
      <c r="AI219" s="272">
        <f t="shared" si="96"/>
        <v>4</v>
      </c>
      <c r="AJ219" s="272">
        <f t="shared" si="85"/>
        <v>4.0398187202315485</v>
      </c>
      <c r="AK219" s="272">
        <f t="shared" si="97"/>
        <v>4</v>
      </c>
      <c r="AL219" s="272">
        <f t="shared" si="86"/>
        <v>4.0398187202315485</v>
      </c>
      <c r="AM219" s="272">
        <f t="shared" si="98"/>
        <v>4</v>
      </c>
      <c r="AN219" s="272">
        <f t="shared" si="87"/>
        <v>4.0398187202315485</v>
      </c>
      <c r="AO219" s="272">
        <f t="shared" si="99"/>
        <v>4</v>
      </c>
      <c r="AP219" s="272">
        <f t="shared" si="88"/>
        <v>4.0398187202315485</v>
      </c>
      <c r="AQ219" s="272">
        <f t="shared" si="100"/>
        <v>4</v>
      </c>
      <c r="AR219" s="272">
        <f t="shared" si="89"/>
        <v>4.0398187202315485</v>
      </c>
      <c r="AS219" s="272">
        <f t="shared" si="101"/>
        <v>4</v>
      </c>
      <c r="AT219" s="508">
        <f t="shared" si="90"/>
        <v>4.0398187202315485</v>
      </c>
    </row>
    <row r="220" spans="1:46" ht="12.75" customHeight="1">
      <c r="A220" s="96">
        <f>IF(MAX($F$93:F220)=$G$88,$G$88,F220)</f>
        <v>2.4747416012308825E-2</v>
      </c>
      <c r="B220" s="481">
        <v>128</v>
      </c>
      <c r="C220" s="96">
        <f t="shared" si="78"/>
        <v>0.19200000000000014</v>
      </c>
      <c r="D220" s="96">
        <f t="shared" si="75"/>
        <v>2.3958899248733445</v>
      </c>
      <c r="E220" s="96">
        <f t="shared" si="76"/>
        <v>0.99938152196400853</v>
      </c>
      <c r="F220" s="96">
        <f t="shared" si="74"/>
        <v>2.4747416012308825E-2</v>
      </c>
      <c r="G220" s="96">
        <f t="shared" si="77"/>
        <v>-9.1252583987691177E-2</v>
      </c>
      <c r="I220" s="96">
        <f t="shared" si="79"/>
        <v>0</v>
      </c>
      <c r="J220" s="96">
        <f t="shared" si="80"/>
        <v>0.19200000000000014</v>
      </c>
      <c r="Y220" s="96">
        <f t="shared" si="91"/>
        <v>5</v>
      </c>
      <c r="Z220" s="517">
        <v>1.06499999999999</v>
      </c>
      <c r="AA220" s="272">
        <f t="shared" si="92"/>
        <v>5</v>
      </c>
      <c r="AB220" s="519">
        <f t="shared" si="93"/>
        <v>3</v>
      </c>
      <c r="AC220" s="272">
        <f t="shared" si="81"/>
        <v>2</v>
      </c>
      <c r="AD220" s="272">
        <f t="shared" si="82"/>
        <v>9.7932000322991044</v>
      </c>
      <c r="AE220" s="272">
        <f t="shared" si="94"/>
        <v>3</v>
      </c>
      <c r="AF220" s="272">
        <f t="shared" si="83"/>
        <v>5.3576483414604699</v>
      </c>
      <c r="AG220" s="272">
        <f t="shared" si="95"/>
        <v>4</v>
      </c>
      <c r="AH220" s="272">
        <f t="shared" si="84"/>
        <v>4.0778403339664537</v>
      </c>
      <c r="AI220" s="272">
        <f t="shared" si="96"/>
        <v>4</v>
      </c>
      <c r="AJ220" s="272">
        <f t="shared" si="85"/>
        <v>4.0778403339664537</v>
      </c>
      <c r="AK220" s="272">
        <f t="shared" si="97"/>
        <v>4</v>
      </c>
      <c r="AL220" s="272">
        <f t="shared" si="86"/>
        <v>4.0778403339664537</v>
      </c>
      <c r="AM220" s="272">
        <f t="shared" si="98"/>
        <v>4</v>
      </c>
      <c r="AN220" s="272">
        <f t="shared" si="87"/>
        <v>4.0778403339664537</v>
      </c>
      <c r="AO220" s="272">
        <f t="shared" si="99"/>
        <v>4</v>
      </c>
      <c r="AP220" s="272">
        <f t="shared" si="88"/>
        <v>4.0778403339664537</v>
      </c>
      <c r="AQ220" s="272">
        <f t="shared" si="100"/>
        <v>4</v>
      </c>
      <c r="AR220" s="272">
        <f t="shared" si="89"/>
        <v>4.0778403339664537</v>
      </c>
      <c r="AS220" s="272">
        <f t="shared" si="101"/>
        <v>4</v>
      </c>
      <c r="AT220" s="508">
        <f t="shared" si="90"/>
        <v>4.0778403339664537</v>
      </c>
    </row>
    <row r="221" spans="1:46" ht="12.75" customHeight="1">
      <c r="A221" s="96">
        <f>IF(MAX($F$93:F221)=$G$88,$G$88,F221)</f>
        <v>2.6663509380779143E-2</v>
      </c>
      <c r="B221" s="481">
        <v>129</v>
      </c>
      <c r="C221" s="96">
        <f t="shared" si="78"/>
        <v>0.19350000000000014</v>
      </c>
      <c r="D221" s="96">
        <f t="shared" si="75"/>
        <v>2.4334719384654129</v>
      </c>
      <c r="E221" s="96">
        <f t="shared" si="76"/>
        <v>0.99932650335701823</v>
      </c>
      <c r="F221" s="96">
        <f t="shared" ref="F221:F284" si="102">IF($E$12&lt;$F$90,NA(),$E$87*(E220-E222)/(2*$C$88))</f>
        <v>2.6663509380779143E-2</v>
      </c>
      <c r="G221" s="96">
        <f t="shared" si="77"/>
        <v>-8.933649061922086E-2</v>
      </c>
      <c r="I221" s="96">
        <f t="shared" si="79"/>
        <v>0</v>
      </c>
      <c r="J221" s="96">
        <f t="shared" si="80"/>
        <v>0.19350000000000014</v>
      </c>
      <c r="Y221" s="96">
        <f t="shared" si="91"/>
        <v>5</v>
      </c>
      <c r="Z221" s="96">
        <v>1.0599999999999901</v>
      </c>
      <c r="AA221" s="272">
        <f t="shared" si="92"/>
        <v>5</v>
      </c>
      <c r="AB221" s="519">
        <f t="shared" si="93"/>
        <v>3</v>
      </c>
      <c r="AC221" s="272">
        <f t="shared" si="81"/>
        <v>2</v>
      </c>
      <c r="AD221" s="272">
        <f t="shared" si="82"/>
        <v>9.8858066096782196</v>
      </c>
      <c r="AE221" s="272">
        <f t="shared" si="94"/>
        <v>3</v>
      </c>
      <c r="AF221" s="272">
        <f t="shared" si="83"/>
        <v>5.4083114009371664</v>
      </c>
      <c r="AG221" s="272">
        <f t="shared" si="95"/>
        <v>4</v>
      </c>
      <c r="AH221" s="272">
        <f t="shared" si="84"/>
        <v>4.1164012573808293</v>
      </c>
      <c r="AI221" s="272">
        <f t="shared" si="96"/>
        <v>4</v>
      </c>
      <c r="AJ221" s="272">
        <f t="shared" si="85"/>
        <v>4.1164012573808293</v>
      </c>
      <c r="AK221" s="272">
        <f t="shared" si="97"/>
        <v>4</v>
      </c>
      <c r="AL221" s="272">
        <f t="shared" si="86"/>
        <v>4.1164012573808293</v>
      </c>
      <c r="AM221" s="272">
        <f t="shared" si="98"/>
        <v>4</v>
      </c>
      <c r="AN221" s="272">
        <f t="shared" si="87"/>
        <v>4.1164012573808293</v>
      </c>
      <c r="AO221" s="272">
        <f t="shared" si="99"/>
        <v>4</v>
      </c>
      <c r="AP221" s="272">
        <f t="shared" si="88"/>
        <v>4.1164012573808293</v>
      </c>
      <c r="AQ221" s="272">
        <f t="shared" si="100"/>
        <v>4</v>
      </c>
      <c r="AR221" s="272">
        <f t="shared" si="89"/>
        <v>4.1164012573808293</v>
      </c>
      <c r="AS221" s="272">
        <f t="shared" si="101"/>
        <v>4</v>
      </c>
      <c r="AT221" s="508">
        <f t="shared" si="90"/>
        <v>4.1164012573808293</v>
      </c>
    </row>
    <row r="222" spans="1:46" ht="12.75" customHeight="1">
      <c r="A222" s="96">
        <f>IF(MAX($F$93:F222)=$G$88,$G$88,F222)</f>
        <v>2.8703070533427535E-2</v>
      </c>
      <c r="B222" s="481">
        <v>130</v>
      </c>
      <c r="C222" s="96">
        <f t="shared" si="78"/>
        <v>0.19500000000000015</v>
      </c>
      <c r="D222" s="96">
        <f t="shared" ref="D222:D285" si="103">C222^2/$C$85</f>
        <v>2.471346419089326</v>
      </c>
      <c r="E222" s="96">
        <f t="shared" ref="E222:E285" si="104">CHIDIST(D222,$E$85)</f>
        <v>0.99926724978094805</v>
      </c>
      <c r="F222" s="96">
        <f t="shared" si="102"/>
        <v>2.8703070533427535E-2</v>
      </c>
      <c r="G222" s="96">
        <f t="shared" ref="G222:G285" si="105">F222-$G$90</f>
        <v>-8.729692946657247E-2</v>
      </c>
      <c r="I222" s="96">
        <f t="shared" si="79"/>
        <v>0</v>
      </c>
      <c r="J222" s="96">
        <f t="shared" si="80"/>
        <v>0.19500000000000015</v>
      </c>
      <c r="Y222" s="96">
        <f t="shared" si="91"/>
        <v>5</v>
      </c>
      <c r="Z222" s="517">
        <v>1.0549999999999899</v>
      </c>
      <c r="AA222" s="272">
        <f t="shared" si="92"/>
        <v>5</v>
      </c>
      <c r="AB222" s="519">
        <f t="shared" si="93"/>
        <v>3</v>
      </c>
      <c r="AC222" s="272">
        <f t="shared" si="81"/>
        <v>2</v>
      </c>
      <c r="AD222" s="272">
        <f t="shared" si="82"/>
        <v>9.9797329859027943</v>
      </c>
      <c r="AE222" s="272">
        <f t="shared" si="94"/>
        <v>3</v>
      </c>
      <c r="AF222" s="272">
        <f t="shared" si="83"/>
        <v>5.4596964938730075</v>
      </c>
      <c r="AG222" s="272">
        <f t="shared" si="95"/>
        <v>4</v>
      </c>
      <c r="AH222" s="272">
        <f t="shared" si="84"/>
        <v>4.1555117385441491</v>
      </c>
      <c r="AI222" s="272">
        <f t="shared" si="96"/>
        <v>4</v>
      </c>
      <c r="AJ222" s="272">
        <f t="shared" si="85"/>
        <v>4.1555117385441491</v>
      </c>
      <c r="AK222" s="272">
        <f t="shared" si="97"/>
        <v>4</v>
      </c>
      <c r="AL222" s="272">
        <f t="shared" si="86"/>
        <v>4.1555117385441491</v>
      </c>
      <c r="AM222" s="272">
        <f t="shared" si="98"/>
        <v>4</v>
      </c>
      <c r="AN222" s="272">
        <f t="shared" si="87"/>
        <v>4.1555117385441491</v>
      </c>
      <c r="AO222" s="272">
        <f t="shared" si="99"/>
        <v>4</v>
      </c>
      <c r="AP222" s="272">
        <f t="shared" si="88"/>
        <v>4.1555117385441491</v>
      </c>
      <c r="AQ222" s="272">
        <f t="shared" si="100"/>
        <v>4</v>
      </c>
      <c r="AR222" s="272">
        <f t="shared" si="89"/>
        <v>4.1555117385441491</v>
      </c>
      <c r="AS222" s="272">
        <f t="shared" si="101"/>
        <v>4</v>
      </c>
      <c r="AT222" s="508">
        <f t="shared" si="90"/>
        <v>4.1555117385441491</v>
      </c>
    </row>
    <row r="223" spans="1:46" ht="12.75" customHeight="1">
      <c r="A223" s="96">
        <f>IF(MAX($F$93:F223)=$G$88,$G$88,F223)</f>
        <v>3.0872204906917663E-2</v>
      </c>
      <c r="B223" s="481">
        <v>131</v>
      </c>
      <c r="C223" s="96">
        <f t="shared" si="78"/>
        <v>0.19650000000000015</v>
      </c>
      <c r="D223" s="96">
        <f t="shared" si="103"/>
        <v>2.5095133667450842</v>
      </c>
      <c r="E223" s="96">
        <f t="shared" si="104"/>
        <v>0.99920349019758925</v>
      </c>
      <c r="F223" s="96">
        <f t="shared" si="102"/>
        <v>3.0872204906917663E-2</v>
      </c>
      <c r="G223" s="96">
        <f t="shared" si="105"/>
        <v>-8.512779509308234E-2</v>
      </c>
      <c r="I223" s="96">
        <f t="shared" si="79"/>
        <v>0</v>
      </c>
      <c r="J223" s="96">
        <f t="shared" si="80"/>
        <v>0.19650000000000015</v>
      </c>
      <c r="Y223" s="96">
        <f t="shared" si="91"/>
        <v>5</v>
      </c>
      <c r="Z223" s="96">
        <v>1.0499999999999901</v>
      </c>
      <c r="AA223" s="272">
        <f t="shared" si="92"/>
        <v>5</v>
      </c>
      <c r="AB223" s="519">
        <f t="shared" si="93"/>
        <v>3</v>
      </c>
      <c r="AC223" s="272">
        <f t="shared" si="81"/>
        <v>2</v>
      </c>
      <c r="AD223" s="272">
        <f t="shared" si="82"/>
        <v>10.075004359759141</v>
      </c>
      <c r="AE223" s="272">
        <f t="shared" si="94"/>
        <v>3</v>
      </c>
      <c r="AF223" s="272">
        <f t="shared" si="83"/>
        <v>5.5118174059800484</v>
      </c>
      <c r="AG223" s="272">
        <f t="shared" si="95"/>
        <v>4</v>
      </c>
      <c r="AH223" s="272">
        <f t="shared" si="84"/>
        <v>4.1951822701071206</v>
      </c>
      <c r="AI223" s="272">
        <f t="shared" si="96"/>
        <v>4</v>
      </c>
      <c r="AJ223" s="272">
        <f t="shared" si="85"/>
        <v>4.1951822701071206</v>
      </c>
      <c r="AK223" s="272">
        <f t="shared" si="97"/>
        <v>4</v>
      </c>
      <c r="AL223" s="272">
        <f t="shared" si="86"/>
        <v>4.1951822701071206</v>
      </c>
      <c r="AM223" s="272">
        <f t="shared" si="98"/>
        <v>4</v>
      </c>
      <c r="AN223" s="272">
        <f t="shared" si="87"/>
        <v>4.1951822701071206</v>
      </c>
      <c r="AO223" s="272">
        <f t="shared" si="99"/>
        <v>4</v>
      </c>
      <c r="AP223" s="272">
        <f t="shared" si="88"/>
        <v>4.1951822701071206</v>
      </c>
      <c r="AQ223" s="272">
        <f t="shared" si="100"/>
        <v>4</v>
      </c>
      <c r="AR223" s="272">
        <f t="shared" si="89"/>
        <v>4.1951822701071206</v>
      </c>
      <c r="AS223" s="272">
        <f t="shared" si="101"/>
        <v>4</v>
      </c>
      <c r="AT223" s="508">
        <f t="shared" si="90"/>
        <v>4.1951822701071206</v>
      </c>
    </row>
    <row r="224" spans="1:46" ht="12.75" customHeight="1">
      <c r="A224" s="96">
        <f>IF(MAX($F$93:F224)=$G$88,$G$88,F224)</f>
        <v>3.3177210224288878E-2</v>
      </c>
      <c r="B224" s="481">
        <v>132</v>
      </c>
      <c r="C224" s="96">
        <f t="shared" si="78"/>
        <v>0.19800000000000015</v>
      </c>
      <c r="D224" s="96">
        <f t="shared" si="103"/>
        <v>2.5479727814326871</v>
      </c>
      <c r="E224" s="96">
        <f t="shared" si="104"/>
        <v>0.99913494033134698</v>
      </c>
      <c r="F224" s="96">
        <f t="shared" si="102"/>
        <v>3.3177210224288878E-2</v>
      </c>
      <c r="G224" s="96">
        <f t="shared" si="105"/>
        <v>-8.2822789775711128E-2</v>
      </c>
      <c r="I224" s="96">
        <f t="shared" si="79"/>
        <v>0</v>
      </c>
      <c r="J224" s="96">
        <f t="shared" si="80"/>
        <v>0.19800000000000015</v>
      </c>
      <c r="Y224" s="96">
        <f t="shared" si="91"/>
        <v>5</v>
      </c>
      <c r="Z224" s="517">
        <v>1.0449999999999899</v>
      </c>
      <c r="AA224" s="272">
        <f t="shared" si="92"/>
        <v>5</v>
      </c>
      <c r="AB224" s="519">
        <f t="shared" si="93"/>
        <v>3</v>
      </c>
      <c r="AC224" s="272">
        <f t="shared" si="81"/>
        <v>2</v>
      </c>
      <c r="AD224" s="272">
        <f t="shared" si="82"/>
        <v>10.171646534314192</v>
      </c>
      <c r="AE224" s="272">
        <f t="shared" si="94"/>
        <v>3</v>
      </c>
      <c r="AF224" s="272">
        <f t="shared" si="83"/>
        <v>5.5646882535592166</v>
      </c>
      <c r="AG224" s="272">
        <f t="shared" si="95"/>
        <v>4</v>
      </c>
      <c r="AH224" s="272">
        <f t="shared" si="84"/>
        <v>4.2354235963399223</v>
      </c>
      <c r="AI224" s="272">
        <f t="shared" si="96"/>
        <v>4</v>
      </c>
      <c r="AJ224" s="272">
        <f t="shared" si="85"/>
        <v>4.2354235963399223</v>
      </c>
      <c r="AK224" s="272">
        <f t="shared" si="97"/>
        <v>4</v>
      </c>
      <c r="AL224" s="272">
        <f t="shared" si="86"/>
        <v>4.2354235963399223</v>
      </c>
      <c r="AM224" s="272">
        <f t="shared" si="98"/>
        <v>4</v>
      </c>
      <c r="AN224" s="272">
        <f t="shared" si="87"/>
        <v>4.2354235963399223</v>
      </c>
      <c r="AO224" s="272">
        <f t="shared" si="99"/>
        <v>4</v>
      </c>
      <c r="AP224" s="272">
        <f t="shared" si="88"/>
        <v>4.2354235963399223</v>
      </c>
      <c r="AQ224" s="272">
        <f t="shared" si="100"/>
        <v>4</v>
      </c>
      <c r="AR224" s="272">
        <f t="shared" si="89"/>
        <v>4.2354235963399223</v>
      </c>
      <c r="AS224" s="272">
        <f t="shared" si="101"/>
        <v>4</v>
      </c>
      <c r="AT224" s="508">
        <f t="shared" si="90"/>
        <v>4.2354235963399223</v>
      </c>
    </row>
    <row r="225" spans="1:46" ht="12.75" customHeight="1">
      <c r="A225" s="96">
        <f>IF(MAX($F$93:F225)=$G$88,$G$88,F225)</f>
        <v>3.5624577000444482E-2</v>
      </c>
      <c r="B225" s="481">
        <v>133</v>
      </c>
      <c r="C225" s="96">
        <f t="shared" si="78"/>
        <v>0.19950000000000015</v>
      </c>
      <c r="D225" s="96">
        <f t="shared" si="103"/>
        <v>2.5867246631521352</v>
      </c>
      <c r="E225" s="96">
        <f t="shared" si="104"/>
        <v>0.99906130215377087</v>
      </c>
      <c r="F225" s="96">
        <f t="shared" si="102"/>
        <v>3.5624577000444482E-2</v>
      </c>
      <c r="G225" s="96">
        <f t="shared" si="105"/>
        <v>-8.0375422999555524E-2</v>
      </c>
      <c r="I225" s="96">
        <f t="shared" si="79"/>
        <v>0</v>
      </c>
      <c r="J225" s="96">
        <f t="shared" si="80"/>
        <v>0.19950000000000015</v>
      </c>
      <c r="Y225" s="96">
        <f t="shared" si="91"/>
        <v>5</v>
      </c>
      <c r="Z225" s="96">
        <v>1.03999999999999</v>
      </c>
      <c r="AA225" s="272">
        <f t="shared" si="92"/>
        <v>5</v>
      </c>
      <c r="AB225" s="519">
        <f t="shared" si="93"/>
        <v>3</v>
      </c>
      <c r="AC225" s="272">
        <f t="shared" si="81"/>
        <v>2</v>
      </c>
      <c r="AD225" s="272">
        <f t="shared" si="82"/>
        <v>10.269685934388363</v>
      </c>
      <c r="AE225" s="272">
        <f t="shared" si="94"/>
        <v>3</v>
      </c>
      <c r="AF225" s="272">
        <f t="shared" si="83"/>
        <v>5.6183234930593597</v>
      </c>
      <c r="AG225" s="272">
        <f t="shared" si="95"/>
        <v>4</v>
      </c>
      <c r="AH225" s="272">
        <f t="shared" si="84"/>
        <v>4.2762467204078245</v>
      </c>
      <c r="AI225" s="272">
        <f t="shared" si="96"/>
        <v>4</v>
      </c>
      <c r="AJ225" s="272">
        <f t="shared" si="85"/>
        <v>4.2762467204078245</v>
      </c>
      <c r="AK225" s="272">
        <f t="shared" si="97"/>
        <v>4</v>
      </c>
      <c r="AL225" s="272">
        <f t="shared" si="86"/>
        <v>4.2762467204078245</v>
      </c>
      <c r="AM225" s="272">
        <f t="shared" si="98"/>
        <v>4</v>
      </c>
      <c r="AN225" s="272">
        <f t="shared" si="87"/>
        <v>4.2762467204078245</v>
      </c>
      <c r="AO225" s="272">
        <f t="shared" si="99"/>
        <v>4</v>
      </c>
      <c r="AP225" s="272">
        <f t="shared" si="88"/>
        <v>4.2762467204078245</v>
      </c>
      <c r="AQ225" s="272">
        <f t="shared" si="100"/>
        <v>4</v>
      </c>
      <c r="AR225" s="272">
        <f t="shared" si="89"/>
        <v>4.2762467204078245</v>
      </c>
      <c r="AS225" s="272">
        <f t="shared" si="101"/>
        <v>4</v>
      </c>
      <c r="AT225" s="508">
        <f t="shared" si="90"/>
        <v>4.2762467204078245</v>
      </c>
    </row>
    <row r="226" spans="1:46" ht="12.75" customHeight="1">
      <c r="A226" s="96">
        <f>IF(MAX($F$93:F226)=$G$88,$G$88,F226)</f>
        <v>3.8220962306786024E-2</v>
      </c>
      <c r="B226" s="481">
        <v>134</v>
      </c>
      <c r="C226" s="96">
        <f t="shared" si="78"/>
        <v>0.20100000000000015</v>
      </c>
      <c r="D226" s="96">
        <f t="shared" si="103"/>
        <v>2.6257690119034285</v>
      </c>
      <c r="E226" s="96">
        <f t="shared" si="104"/>
        <v>0.99898226357277364</v>
      </c>
      <c r="F226" s="96">
        <f t="shared" si="102"/>
        <v>3.8220962306786024E-2</v>
      </c>
      <c r="G226" s="96">
        <f t="shared" si="105"/>
        <v>-7.7779037693213982E-2</v>
      </c>
      <c r="I226" s="96">
        <f t="shared" si="79"/>
        <v>0</v>
      </c>
      <c r="J226" s="96">
        <f t="shared" si="80"/>
        <v>0.20100000000000015</v>
      </c>
      <c r="Y226" s="96">
        <f t="shared" si="91"/>
        <v>5</v>
      </c>
      <c r="Z226" s="517">
        <v>1.0349999999999899</v>
      </c>
      <c r="AA226" s="272">
        <f t="shared" si="92"/>
        <v>5</v>
      </c>
      <c r="AB226" s="519">
        <f t="shared" si="93"/>
        <v>3</v>
      </c>
      <c r="AC226" s="272">
        <f t="shared" si="81"/>
        <v>2</v>
      </c>
      <c r="AD226" s="272">
        <f t="shared" si="82"/>
        <v>10.369149624620842</v>
      </c>
      <c r="AE226" s="272">
        <f t="shared" si="94"/>
        <v>3</v>
      </c>
      <c r="AF226" s="272">
        <f t="shared" si="83"/>
        <v>5.6727379309603538</v>
      </c>
      <c r="AG226" s="272">
        <f t="shared" si="95"/>
        <v>4</v>
      </c>
      <c r="AH226" s="272">
        <f t="shared" si="84"/>
        <v>4.3176629118934899</v>
      </c>
      <c r="AI226" s="272">
        <f t="shared" si="96"/>
        <v>4</v>
      </c>
      <c r="AJ226" s="272">
        <f t="shared" si="85"/>
        <v>4.3176629118934899</v>
      </c>
      <c r="AK226" s="272">
        <f t="shared" si="97"/>
        <v>4</v>
      </c>
      <c r="AL226" s="272">
        <f t="shared" si="86"/>
        <v>4.3176629118934899</v>
      </c>
      <c r="AM226" s="272">
        <f t="shared" si="98"/>
        <v>4</v>
      </c>
      <c r="AN226" s="272">
        <f t="shared" si="87"/>
        <v>4.3176629118934899</v>
      </c>
      <c r="AO226" s="272">
        <f t="shared" si="99"/>
        <v>4</v>
      </c>
      <c r="AP226" s="272">
        <f t="shared" si="88"/>
        <v>4.3176629118934899</v>
      </c>
      <c r="AQ226" s="272">
        <f t="shared" si="100"/>
        <v>4</v>
      </c>
      <c r="AR226" s="272">
        <f t="shared" si="89"/>
        <v>4.3176629118934899</v>
      </c>
      <c r="AS226" s="272">
        <f t="shared" si="101"/>
        <v>4</v>
      </c>
      <c r="AT226" s="508">
        <f t="shared" si="90"/>
        <v>4.3176629118934899</v>
      </c>
    </row>
    <row r="227" spans="1:46" ht="12.75" customHeight="1">
      <c r="A227" s="96">
        <f>IF(MAX($F$93:F227)=$G$88,$G$88,F227)</f>
        <v>4.0973205633772672E-2</v>
      </c>
      <c r="B227" s="481">
        <v>135</v>
      </c>
      <c r="C227" s="96">
        <f t="shared" si="78"/>
        <v>0.20250000000000015</v>
      </c>
      <c r="D227" s="96">
        <f t="shared" si="103"/>
        <v>2.665105827686566</v>
      </c>
      <c r="E227" s="96">
        <f t="shared" si="104"/>
        <v>0.99889749802959893</v>
      </c>
      <c r="F227" s="96">
        <f t="shared" si="102"/>
        <v>4.0973205633772672E-2</v>
      </c>
      <c r="G227" s="96">
        <f t="shared" si="105"/>
        <v>-7.5026794366227334E-2</v>
      </c>
      <c r="I227" s="96">
        <f t="shared" si="79"/>
        <v>0</v>
      </c>
      <c r="J227" s="96">
        <f t="shared" si="80"/>
        <v>0.20250000000000015</v>
      </c>
      <c r="Y227" s="96">
        <f t="shared" si="91"/>
        <v>5</v>
      </c>
      <c r="Z227" s="96">
        <v>1.02999999999999</v>
      </c>
      <c r="AA227" s="272">
        <f t="shared" si="92"/>
        <v>5</v>
      </c>
      <c r="AB227" s="519">
        <f t="shared" si="93"/>
        <v>3</v>
      </c>
      <c r="AC227" s="272">
        <f t="shared" si="81"/>
        <v>2</v>
      </c>
      <c r="AD227" s="272">
        <f t="shared" si="82"/>
        <v>10.470065328150113</v>
      </c>
      <c r="AE227" s="272">
        <f t="shared" si="94"/>
        <v>3</v>
      </c>
      <c r="AF227" s="272">
        <f t="shared" si="83"/>
        <v>5.7279467339928409</v>
      </c>
      <c r="AG227" s="272">
        <f t="shared" si="95"/>
        <v>4</v>
      </c>
      <c r="AH227" s="272">
        <f t="shared" si="84"/>
        <v>4.3596837145754579</v>
      </c>
      <c r="AI227" s="272">
        <f t="shared" si="96"/>
        <v>4</v>
      </c>
      <c r="AJ227" s="272">
        <f t="shared" si="85"/>
        <v>4.3596837145754579</v>
      </c>
      <c r="AK227" s="272">
        <f t="shared" si="97"/>
        <v>4</v>
      </c>
      <c r="AL227" s="272">
        <f t="shared" si="86"/>
        <v>4.3596837145754579</v>
      </c>
      <c r="AM227" s="272">
        <f t="shared" si="98"/>
        <v>4</v>
      </c>
      <c r="AN227" s="272">
        <f t="shared" si="87"/>
        <v>4.3596837145754579</v>
      </c>
      <c r="AO227" s="272">
        <f t="shared" si="99"/>
        <v>4</v>
      </c>
      <c r="AP227" s="272">
        <f t="shared" si="88"/>
        <v>4.3596837145754579</v>
      </c>
      <c r="AQ227" s="272">
        <f t="shared" si="100"/>
        <v>4</v>
      </c>
      <c r="AR227" s="272">
        <f t="shared" si="89"/>
        <v>4.3596837145754579</v>
      </c>
      <c r="AS227" s="272">
        <f t="shared" si="101"/>
        <v>4</v>
      </c>
      <c r="AT227" s="508">
        <f t="shared" si="90"/>
        <v>4.3596837145754579</v>
      </c>
    </row>
    <row r="228" spans="1:46" ht="12.75" customHeight="1">
      <c r="A228" s="96">
        <f>IF(MAX($F$93:F228)=$G$88,$G$88,F228)</f>
        <v>4.3888321670234223E-2</v>
      </c>
      <c r="B228" s="481">
        <v>136</v>
      </c>
      <c r="C228" s="96">
        <f t="shared" si="78"/>
        <v>0.20400000000000015</v>
      </c>
      <c r="D228" s="96">
        <f t="shared" si="103"/>
        <v>2.7047351105015487</v>
      </c>
      <c r="E228" s="96">
        <f t="shared" si="104"/>
        <v>0.99880666412005747</v>
      </c>
      <c r="F228" s="96">
        <f t="shared" si="102"/>
        <v>4.3888321670234223E-2</v>
      </c>
      <c r="G228" s="96">
        <f t="shared" si="105"/>
        <v>-7.2111678329765783E-2</v>
      </c>
      <c r="I228" s="96">
        <f t="shared" si="79"/>
        <v>0</v>
      </c>
      <c r="J228" s="96">
        <f t="shared" si="80"/>
        <v>0.20400000000000015</v>
      </c>
      <c r="Y228" s="96">
        <f t="shared" si="91"/>
        <v>5</v>
      </c>
      <c r="Z228" s="517">
        <v>1.0249999999999899</v>
      </c>
      <c r="AA228" s="272">
        <f t="shared" si="92"/>
        <v>5</v>
      </c>
      <c r="AB228" s="519">
        <f t="shared" si="93"/>
        <v>3</v>
      </c>
      <c r="AC228" s="272">
        <f t="shared" si="81"/>
        <v>2</v>
      </c>
      <c r="AD228" s="272">
        <f t="shared" si="82"/>
        <v>10.572461445934053</v>
      </c>
      <c r="AE228" s="272">
        <f t="shared" si="94"/>
        <v>3</v>
      </c>
      <c r="AF228" s="272">
        <f t="shared" si="83"/>
        <v>5.7839654397077984</v>
      </c>
      <c r="AG228" s="272">
        <f t="shared" si="95"/>
        <v>4</v>
      </c>
      <c r="AH228" s="272">
        <f t="shared" si="84"/>
        <v>4.4023209544729145</v>
      </c>
      <c r="AI228" s="272">
        <f t="shared" si="96"/>
        <v>4</v>
      </c>
      <c r="AJ228" s="272">
        <f t="shared" si="85"/>
        <v>4.4023209544729145</v>
      </c>
      <c r="AK228" s="272">
        <f t="shared" si="97"/>
        <v>4</v>
      </c>
      <c r="AL228" s="272">
        <f t="shared" si="86"/>
        <v>4.4023209544729145</v>
      </c>
      <c r="AM228" s="272">
        <f t="shared" si="98"/>
        <v>4</v>
      </c>
      <c r="AN228" s="272">
        <f t="shared" si="87"/>
        <v>4.4023209544729145</v>
      </c>
      <c r="AO228" s="272">
        <f t="shared" si="99"/>
        <v>4</v>
      </c>
      <c r="AP228" s="272">
        <f t="shared" si="88"/>
        <v>4.4023209544729145</v>
      </c>
      <c r="AQ228" s="272">
        <f t="shared" si="100"/>
        <v>4</v>
      </c>
      <c r="AR228" s="272">
        <f t="shared" si="89"/>
        <v>4.4023209544729145</v>
      </c>
      <c r="AS228" s="272">
        <f t="shared" si="101"/>
        <v>4</v>
      </c>
      <c r="AT228" s="508">
        <f t="shared" si="90"/>
        <v>4.4023209544729145</v>
      </c>
    </row>
    <row r="229" spans="1:46" ht="12.75" customHeight="1">
      <c r="A229" s="96">
        <f>IF(MAX($F$93:F229)=$G$88,$G$88,F229)</f>
        <v>4.6973496929917737E-2</v>
      </c>
      <c r="B229" s="481">
        <v>137</v>
      </c>
      <c r="C229" s="96">
        <f t="shared" si="78"/>
        <v>0.20550000000000015</v>
      </c>
      <c r="D229" s="96">
        <f t="shared" si="103"/>
        <v>2.7446568603483765</v>
      </c>
      <c r="E229" s="96">
        <f t="shared" si="104"/>
        <v>0.99870940522244078</v>
      </c>
      <c r="F229" s="96">
        <f t="shared" si="102"/>
        <v>4.6973496929917737E-2</v>
      </c>
      <c r="G229" s="96">
        <f t="shared" si="105"/>
        <v>-6.9026503070082262E-2</v>
      </c>
      <c r="I229" s="96">
        <f t="shared" si="79"/>
        <v>0</v>
      </c>
      <c r="J229" s="96">
        <f t="shared" si="80"/>
        <v>0.20550000000000015</v>
      </c>
      <c r="Y229" s="96">
        <f t="shared" si="91"/>
        <v>5</v>
      </c>
      <c r="Z229" s="96">
        <v>1.01999999999999</v>
      </c>
      <c r="AA229" s="272">
        <f t="shared" si="92"/>
        <v>5</v>
      </c>
      <c r="AB229" s="519">
        <f t="shared" si="93"/>
        <v>3</v>
      </c>
      <c r="AC229" s="272">
        <f t="shared" si="81"/>
        <v>2</v>
      </c>
      <c r="AD229" s="272">
        <f t="shared" si="82"/>
        <v>10.67636707673439</v>
      </c>
      <c r="AE229" s="272">
        <f t="shared" si="94"/>
        <v>3</v>
      </c>
      <c r="AF229" s="272">
        <f t="shared" si="83"/>
        <v>5.8408099674096565</v>
      </c>
      <c r="AG229" s="272">
        <f t="shared" si="95"/>
        <v>4</v>
      </c>
      <c r="AH229" s="272">
        <f t="shared" si="84"/>
        <v>4.4455867481671509</v>
      </c>
      <c r="AI229" s="272">
        <f t="shared" si="96"/>
        <v>4</v>
      </c>
      <c r="AJ229" s="272">
        <f t="shared" si="85"/>
        <v>4.4455867481671509</v>
      </c>
      <c r="AK229" s="272">
        <f t="shared" si="97"/>
        <v>4</v>
      </c>
      <c r="AL229" s="272">
        <f t="shared" si="86"/>
        <v>4.4455867481671509</v>
      </c>
      <c r="AM229" s="272">
        <f t="shared" si="98"/>
        <v>4</v>
      </c>
      <c r="AN229" s="272">
        <f t="shared" si="87"/>
        <v>4.4455867481671509</v>
      </c>
      <c r="AO229" s="272">
        <f t="shared" si="99"/>
        <v>4</v>
      </c>
      <c r="AP229" s="272">
        <f t="shared" si="88"/>
        <v>4.4455867481671509</v>
      </c>
      <c r="AQ229" s="272">
        <f t="shared" si="100"/>
        <v>4</v>
      </c>
      <c r="AR229" s="272">
        <f t="shared" si="89"/>
        <v>4.4455867481671509</v>
      </c>
      <c r="AS229" s="272">
        <f t="shared" si="101"/>
        <v>4</v>
      </c>
      <c r="AT229" s="508">
        <f t="shared" si="90"/>
        <v>4.4455867481671509</v>
      </c>
    </row>
    <row r="230" spans="1:46" ht="12.75" customHeight="1">
      <c r="A230" s="96">
        <f>IF(MAX($F$93:F230)=$G$88,$G$88,F230)</f>
        <v>5.0236085856562397E-2</v>
      </c>
      <c r="B230" s="481">
        <v>138</v>
      </c>
      <c r="C230" s="96">
        <f t="shared" si="78"/>
        <v>0.20700000000000016</v>
      </c>
      <c r="D230" s="96">
        <f t="shared" si="103"/>
        <v>2.7848710772270491</v>
      </c>
      <c r="E230" s="96">
        <f t="shared" si="104"/>
        <v>0.99860534913321497</v>
      </c>
      <c r="F230" s="96">
        <f t="shared" si="102"/>
        <v>5.0236085856562397E-2</v>
      </c>
      <c r="G230" s="96">
        <f t="shared" si="105"/>
        <v>-6.5763914143437602E-2</v>
      </c>
      <c r="I230" s="96">
        <f t="shared" si="79"/>
        <v>0</v>
      </c>
      <c r="J230" s="96">
        <f t="shared" si="80"/>
        <v>0.20700000000000016</v>
      </c>
      <c r="Y230" s="96">
        <f t="shared" si="91"/>
        <v>5</v>
      </c>
      <c r="Z230" s="517">
        <v>1.0149999999999899</v>
      </c>
      <c r="AA230" s="272">
        <f t="shared" si="92"/>
        <v>5</v>
      </c>
      <c r="AB230" s="519">
        <f t="shared" si="93"/>
        <v>3</v>
      </c>
      <c r="AC230" s="272">
        <f t="shared" si="81"/>
        <v>2</v>
      </c>
      <c r="AD230" s="272">
        <f t="shared" si="82"/>
        <v>10.781812037792195</v>
      </c>
      <c r="AE230" s="272">
        <f t="shared" si="94"/>
        <v>3</v>
      </c>
      <c r="AF230" s="272">
        <f t="shared" si="83"/>
        <v>5.8984966294673571</v>
      </c>
      <c r="AG230" s="272">
        <f t="shared" si="95"/>
        <v>4</v>
      </c>
      <c r="AH230" s="272">
        <f t="shared" si="84"/>
        <v>4.489493511410716</v>
      </c>
      <c r="AI230" s="272">
        <f t="shared" si="96"/>
        <v>4</v>
      </c>
      <c r="AJ230" s="272">
        <f t="shared" si="85"/>
        <v>4.489493511410716</v>
      </c>
      <c r="AK230" s="272">
        <f t="shared" si="97"/>
        <v>4</v>
      </c>
      <c r="AL230" s="272">
        <f t="shared" si="86"/>
        <v>4.489493511410716</v>
      </c>
      <c r="AM230" s="272">
        <f t="shared" si="98"/>
        <v>4</v>
      </c>
      <c r="AN230" s="272">
        <f t="shared" si="87"/>
        <v>4.489493511410716</v>
      </c>
      <c r="AO230" s="272">
        <f t="shared" si="99"/>
        <v>4</v>
      </c>
      <c r="AP230" s="272">
        <f t="shared" si="88"/>
        <v>4.489493511410716</v>
      </c>
      <c r="AQ230" s="272">
        <f t="shared" si="100"/>
        <v>4</v>
      </c>
      <c r="AR230" s="272">
        <f t="shared" si="89"/>
        <v>4.489493511410716</v>
      </c>
      <c r="AS230" s="272">
        <f t="shared" si="101"/>
        <v>4</v>
      </c>
      <c r="AT230" s="508">
        <f t="shared" si="90"/>
        <v>4.489493511410716</v>
      </c>
    </row>
    <row r="231" spans="1:46" ht="12.75" customHeight="1">
      <c r="A231" s="96">
        <f>IF(MAX($F$93:F231)=$G$88,$G$88,F231)</f>
        <v>5.368360639584531E-2</v>
      </c>
      <c r="B231" s="481">
        <v>139</v>
      </c>
      <c r="C231" s="96">
        <f t="shared" si="78"/>
        <v>0.20850000000000016</v>
      </c>
      <c r="D231" s="96">
        <f t="shared" si="103"/>
        <v>2.8253777611375663</v>
      </c>
      <c r="E231" s="96">
        <f t="shared" si="104"/>
        <v>0.99849410771162694</v>
      </c>
      <c r="F231" s="96">
        <f t="shared" si="102"/>
        <v>5.368360639584531E-2</v>
      </c>
      <c r="G231" s="96">
        <f t="shared" si="105"/>
        <v>-6.2316393604154696E-2</v>
      </c>
      <c r="I231" s="96">
        <f t="shared" si="79"/>
        <v>0</v>
      </c>
      <c r="J231" s="96">
        <f t="shared" si="80"/>
        <v>0.20850000000000016</v>
      </c>
      <c r="Y231" s="96">
        <f t="shared" si="91"/>
        <v>5</v>
      </c>
      <c r="Z231" s="96">
        <v>1.00999999999999</v>
      </c>
      <c r="AA231" s="272">
        <f t="shared" si="92"/>
        <v>5</v>
      </c>
      <c r="AB231" s="519">
        <f t="shared" si="93"/>
        <v>3</v>
      </c>
      <c r="AC231" s="272">
        <f t="shared" si="81"/>
        <v>2</v>
      </c>
      <c r="AD231" s="272">
        <f t="shared" si="82"/>
        <v>10.888826886221411</v>
      </c>
      <c r="AE231" s="272">
        <f t="shared" si="94"/>
        <v>3</v>
      </c>
      <c r="AF231" s="272">
        <f t="shared" si="83"/>
        <v>5.9570421430183398</v>
      </c>
      <c r="AG231" s="272">
        <f t="shared" si="95"/>
        <v>4</v>
      </c>
      <c r="AH231" s="272">
        <f t="shared" si="84"/>
        <v>4.5340539680355896</v>
      </c>
      <c r="AI231" s="272">
        <f t="shared" si="96"/>
        <v>4</v>
      </c>
      <c r="AJ231" s="272">
        <f t="shared" si="85"/>
        <v>4.5340539680355896</v>
      </c>
      <c r="AK231" s="272">
        <f t="shared" si="97"/>
        <v>4</v>
      </c>
      <c r="AL231" s="272">
        <f t="shared" si="86"/>
        <v>4.5340539680355896</v>
      </c>
      <c r="AM231" s="272">
        <f t="shared" si="98"/>
        <v>4</v>
      </c>
      <c r="AN231" s="272">
        <f t="shared" si="87"/>
        <v>4.5340539680355896</v>
      </c>
      <c r="AO231" s="272">
        <f t="shared" si="99"/>
        <v>4</v>
      </c>
      <c r="AP231" s="272">
        <f t="shared" si="88"/>
        <v>4.5340539680355896</v>
      </c>
      <c r="AQ231" s="272">
        <f t="shared" si="100"/>
        <v>4</v>
      </c>
      <c r="AR231" s="272">
        <f t="shared" si="89"/>
        <v>4.5340539680355896</v>
      </c>
      <c r="AS231" s="272">
        <f t="shared" si="101"/>
        <v>4</v>
      </c>
      <c r="AT231" s="508">
        <f t="shared" si="90"/>
        <v>4.5340539680355896</v>
      </c>
    </row>
    <row r="232" spans="1:46" ht="12.75" customHeight="1">
      <c r="A232" s="96">
        <f>IF(MAX($F$93:F232)=$G$88,$G$88,F232)</f>
        <v>5.7323735023939719E-2</v>
      </c>
      <c r="B232" s="481">
        <v>140</v>
      </c>
      <c r="C232" s="96">
        <f t="shared" si="78"/>
        <v>0.21000000000000016</v>
      </c>
      <c r="D232" s="96">
        <f t="shared" si="103"/>
        <v>2.8661769120799288</v>
      </c>
      <c r="E232" s="96">
        <f t="shared" si="104"/>
        <v>0.99837527653437563</v>
      </c>
      <c r="F232" s="96">
        <f t="shared" si="102"/>
        <v>5.7323735023939719E-2</v>
      </c>
      <c r="G232" s="96">
        <f t="shared" si="105"/>
        <v>-5.8676264976060287E-2</v>
      </c>
      <c r="I232" s="96">
        <f t="shared" si="79"/>
        <v>0</v>
      </c>
      <c r="J232" s="96">
        <f t="shared" si="80"/>
        <v>0.21000000000000016</v>
      </c>
      <c r="Y232" s="96">
        <f t="shared" si="91"/>
        <v>5</v>
      </c>
      <c r="Z232" s="517">
        <v>1.0049999999999899</v>
      </c>
      <c r="AA232" s="272">
        <f t="shared" si="92"/>
        <v>5</v>
      </c>
      <c r="AB232" s="519">
        <f t="shared" si="93"/>
        <v>3</v>
      </c>
      <c r="AC232" s="272">
        <f t="shared" si="81"/>
        <v>2</v>
      </c>
      <c r="AD232" s="272">
        <f t="shared" si="82"/>
        <v>10.997442941149444</v>
      </c>
      <c r="AE232" s="272">
        <f t="shared" si="94"/>
        <v>3</v>
      </c>
      <c r="AF232" s="272">
        <f t="shared" si="83"/>
        <v>6.0164636420811446</v>
      </c>
      <c r="AG232" s="272">
        <f t="shared" si="95"/>
        <v>4</v>
      </c>
      <c r="AH232" s="272">
        <f t="shared" si="84"/>
        <v>4.5792811591724032</v>
      </c>
      <c r="AI232" s="272">
        <f t="shared" si="96"/>
        <v>4</v>
      </c>
      <c r="AJ232" s="272">
        <f t="shared" si="85"/>
        <v>4.5792811591724032</v>
      </c>
      <c r="AK232" s="272">
        <f t="shared" si="97"/>
        <v>4</v>
      </c>
      <c r="AL232" s="272">
        <f t="shared" si="86"/>
        <v>4.5792811591724032</v>
      </c>
      <c r="AM232" s="272">
        <f t="shared" si="98"/>
        <v>4</v>
      </c>
      <c r="AN232" s="272">
        <f t="shared" si="87"/>
        <v>4.5792811591724032</v>
      </c>
      <c r="AO232" s="272">
        <f t="shared" si="99"/>
        <v>4</v>
      </c>
      <c r="AP232" s="272">
        <f t="shared" si="88"/>
        <v>4.5792811591724032</v>
      </c>
      <c r="AQ232" s="272">
        <f t="shared" si="100"/>
        <v>4</v>
      </c>
      <c r="AR232" s="272">
        <f t="shared" si="89"/>
        <v>4.5792811591724032</v>
      </c>
      <c r="AS232" s="272">
        <f t="shared" si="101"/>
        <v>4</v>
      </c>
      <c r="AT232" s="508">
        <f t="shared" si="90"/>
        <v>4.5792811591724032</v>
      </c>
    </row>
    <row r="233" spans="1:46" ht="12.75" customHeight="1">
      <c r="A233" s="96">
        <f>IF(MAX($F$93:F233)=$G$88,$G$88,F233)</f>
        <v>6.1164301223230279E-2</v>
      </c>
      <c r="B233" s="481">
        <v>141</v>
      </c>
      <c r="C233" s="96">
        <f t="shared" ref="C233:C296" si="106">C232+$C$88</f>
        <v>0.21150000000000016</v>
      </c>
      <c r="D233" s="96">
        <f t="shared" si="103"/>
        <v>2.9072685300541359</v>
      </c>
      <c r="E233" s="96">
        <f t="shared" si="104"/>
        <v>0.99824843456152434</v>
      </c>
      <c r="F233" s="96">
        <f t="shared" si="102"/>
        <v>6.1164301223230279E-2</v>
      </c>
      <c r="G233" s="96">
        <f t="shared" si="105"/>
        <v>-5.4835698776769727E-2</v>
      </c>
      <c r="I233" s="96">
        <f t="shared" si="79"/>
        <v>0</v>
      </c>
      <c r="J233" s="96">
        <f t="shared" si="80"/>
        <v>0.21150000000000016</v>
      </c>
      <c r="Y233" s="96">
        <f t="shared" si="91"/>
        <v>5</v>
      </c>
      <c r="Z233" s="96">
        <v>0.99999999999998901</v>
      </c>
      <c r="AA233" s="272">
        <f t="shared" si="92"/>
        <v>5</v>
      </c>
      <c r="AB233" s="519">
        <f t="shared" si="93"/>
        <v>3</v>
      </c>
      <c r="AC233" s="272">
        <f t="shared" si="81"/>
        <v>2</v>
      </c>
      <c r="AD233" s="272">
        <f t="shared" si="82"/>
        <v>11.107692306634485</v>
      </c>
      <c r="AE233" s="272">
        <f t="shared" si="94"/>
        <v>3</v>
      </c>
      <c r="AF233" s="272">
        <f t="shared" si="83"/>
        <v>6.0767786900930219</v>
      </c>
      <c r="AG233" s="272">
        <f t="shared" si="95"/>
        <v>4</v>
      </c>
      <c r="AH233" s="272">
        <f t="shared" si="84"/>
        <v>4.6251884527931155</v>
      </c>
      <c r="AI233" s="272">
        <f t="shared" si="96"/>
        <v>4</v>
      </c>
      <c r="AJ233" s="272">
        <f t="shared" si="85"/>
        <v>4.6251884527931155</v>
      </c>
      <c r="AK233" s="272">
        <f t="shared" si="97"/>
        <v>4</v>
      </c>
      <c r="AL233" s="272">
        <f t="shared" si="86"/>
        <v>4.6251884527931155</v>
      </c>
      <c r="AM233" s="272">
        <f t="shared" si="98"/>
        <v>4</v>
      </c>
      <c r="AN233" s="272">
        <f t="shared" si="87"/>
        <v>4.6251884527931155</v>
      </c>
      <c r="AO233" s="272">
        <f t="shared" si="99"/>
        <v>4</v>
      </c>
      <c r="AP233" s="272">
        <f t="shared" si="88"/>
        <v>4.6251884527931155</v>
      </c>
      <c r="AQ233" s="272">
        <f t="shared" si="100"/>
        <v>4</v>
      </c>
      <c r="AR233" s="272">
        <f t="shared" si="89"/>
        <v>4.6251884527931155</v>
      </c>
      <c r="AS233" s="272">
        <f t="shared" si="101"/>
        <v>4</v>
      </c>
      <c r="AT233" s="508">
        <f t="shared" si="90"/>
        <v>4.6251884527931155</v>
      </c>
    </row>
    <row r="234" spans="1:46" ht="12.75" customHeight="1">
      <c r="A234" s="96">
        <f>IF(MAX($F$93:F234)=$G$88,$G$88,F234)</f>
        <v>6.5213281397051098E-2</v>
      </c>
      <c r="B234" s="481">
        <v>142</v>
      </c>
      <c r="C234" s="96">
        <f t="shared" si="106"/>
        <v>0.21300000000000016</v>
      </c>
      <c r="D234" s="96">
        <f t="shared" si="103"/>
        <v>2.9486526150601877</v>
      </c>
      <c r="E234" s="96">
        <f t="shared" si="104"/>
        <v>0.9981131438148475</v>
      </c>
      <c r="F234" s="96">
        <f t="shared" si="102"/>
        <v>6.5213281397051098E-2</v>
      </c>
      <c r="G234" s="96">
        <f t="shared" si="105"/>
        <v>-5.0786718602948908E-2</v>
      </c>
      <c r="I234" s="96">
        <f t="shared" si="79"/>
        <v>0</v>
      </c>
      <c r="J234" s="96">
        <f t="shared" si="80"/>
        <v>0.21300000000000016</v>
      </c>
      <c r="Y234" s="96">
        <f t="shared" si="91"/>
        <v>5</v>
      </c>
      <c r="Z234" s="517">
        <v>0.99499999999998801</v>
      </c>
      <c r="AA234" s="272">
        <f t="shared" si="92"/>
        <v>5</v>
      </c>
      <c r="AB234" s="519">
        <f t="shared" si="93"/>
        <v>3</v>
      </c>
      <c r="AC234" s="272">
        <f t="shared" si="81"/>
        <v>2</v>
      </c>
      <c r="AD234" s="272">
        <f t="shared" si="82"/>
        <v>11.219607895391038</v>
      </c>
      <c r="AE234" s="272">
        <f t="shared" si="94"/>
        <v>3</v>
      </c>
      <c r="AF234" s="272">
        <f t="shared" si="83"/>
        <v>6.1380052928896074</v>
      </c>
      <c r="AG234" s="272">
        <f t="shared" si="95"/>
        <v>4</v>
      </c>
      <c r="AH234" s="272">
        <f t="shared" si="84"/>
        <v>4.6717895535901874</v>
      </c>
      <c r="AI234" s="272">
        <f t="shared" si="96"/>
        <v>4</v>
      </c>
      <c r="AJ234" s="272">
        <f t="shared" si="85"/>
        <v>4.6717895535901874</v>
      </c>
      <c r="AK234" s="272">
        <f t="shared" si="97"/>
        <v>4</v>
      </c>
      <c r="AL234" s="272">
        <f t="shared" si="86"/>
        <v>4.6717895535901874</v>
      </c>
      <c r="AM234" s="272">
        <f t="shared" si="98"/>
        <v>4</v>
      </c>
      <c r="AN234" s="272">
        <f t="shared" si="87"/>
        <v>4.6717895535901874</v>
      </c>
      <c r="AO234" s="272">
        <f t="shared" si="99"/>
        <v>4</v>
      </c>
      <c r="AP234" s="272">
        <f t="shared" si="88"/>
        <v>4.6717895535901874</v>
      </c>
      <c r="AQ234" s="272">
        <f t="shared" si="100"/>
        <v>4</v>
      </c>
      <c r="AR234" s="272">
        <f t="shared" si="89"/>
        <v>4.6717895535901874</v>
      </c>
      <c r="AS234" s="272">
        <f t="shared" si="101"/>
        <v>4</v>
      </c>
      <c r="AT234" s="508">
        <f t="shared" si="90"/>
        <v>4.6717895535901874</v>
      </c>
    </row>
    <row r="235" spans="1:46" ht="12.75" customHeight="1">
      <c r="A235" s="96">
        <f>IF(MAX($F$93:F235)=$G$88,$G$88,F235)</f>
        <v>6.9478792216763147E-2</v>
      </c>
      <c r="B235" s="481">
        <v>143</v>
      </c>
      <c r="C235" s="96">
        <f t="shared" si="106"/>
        <v>0.21450000000000016</v>
      </c>
      <c r="D235" s="96">
        <f t="shared" si="103"/>
        <v>2.9903291670980847</v>
      </c>
      <c r="E235" s="96">
        <f t="shared" si="104"/>
        <v>0.9979689490698227</v>
      </c>
      <c r="F235" s="96">
        <f t="shared" si="102"/>
        <v>6.9478792216763147E-2</v>
      </c>
      <c r="G235" s="96">
        <f t="shared" si="105"/>
        <v>-4.6521207783236859E-2</v>
      </c>
      <c r="I235" s="96">
        <f t="shared" si="79"/>
        <v>0</v>
      </c>
      <c r="J235" s="96">
        <f t="shared" si="80"/>
        <v>0.21450000000000016</v>
      </c>
      <c r="Y235" s="96">
        <f t="shared" si="91"/>
        <v>5</v>
      </c>
      <c r="Z235" s="96">
        <v>0.989999999999988</v>
      </c>
      <c r="AA235" s="272">
        <f t="shared" si="92"/>
        <v>5</v>
      </c>
      <c r="AB235" s="519">
        <f t="shared" si="93"/>
        <v>3</v>
      </c>
      <c r="AC235" s="272">
        <f t="shared" si="81"/>
        <v>2</v>
      </c>
      <c r="AD235" s="272">
        <f t="shared" si="82"/>
        <v>11.333223453356302</v>
      </c>
      <c r="AE235" s="272">
        <f t="shared" si="94"/>
        <v>3</v>
      </c>
      <c r="AF235" s="272">
        <f t="shared" si="83"/>
        <v>6.200161912144714</v>
      </c>
      <c r="AG235" s="272">
        <f t="shared" si="95"/>
        <v>4</v>
      </c>
      <c r="AH235" s="272">
        <f t="shared" si="84"/>
        <v>4.7190985132059247</v>
      </c>
      <c r="AI235" s="272">
        <f t="shared" si="96"/>
        <v>4</v>
      </c>
      <c r="AJ235" s="272">
        <f t="shared" si="85"/>
        <v>4.7190985132059247</v>
      </c>
      <c r="AK235" s="272">
        <f t="shared" si="97"/>
        <v>4</v>
      </c>
      <c r="AL235" s="272">
        <f t="shared" si="86"/>
        <v>4.7190985132059247</v>
      </c>
      <c r="AM235" s="272">
        <f t="shared" si="98"/>
        <v>4</v>
      </c>
      <c r="AN235" s="272">
        <f t="shared" si="87"/>
        <v>4.7190985132059247</v>
      </c>
      <c r="AO235" s="272">
        <f t="shared" si="99"/>
        <v>4</v>
      </c>
      <c r="AP235" s="272">
        <f t="shared" si="88"/>
        <v>4.7190985132059247</v>
      </c>
      <c r="AQ235" s="272">
        <f t="shared" si="100"/>
        <v>4</v>
      </c>
      <c r="AR235" s="272">
        <f t="shared" si="89"/>
        <v>4.7190985132059247</v>
      </c>
      <c r="AS235" s="272">
        <f t="shared" si="101"/>
        <v>4</v>
      </c>
      <c r="AT235" s="508">
        <f t="shared" si="90"/>
        <v>4.7190985132059247</v>
      </c>
    </row>
    <row r="236" spans="1:46" ht="12.75" customHeight="1">
      <c r="A236" s="96">
        <f>IF(MAX($F$93:F236)=$G$88,$G$88,F236)</f>
        <v>7.3969083395678897E-2</v>
      </c>
      <c r="B236" s="481">
        <v>144</v>
      </c>
      <c r="C236" s="96">
        <f t="shared" si="106"/>
        <v>0.21600000000000016</v>
      </c>
      <c r="D236" s="96">
        <f t="shared" si="103"/>
        <v>3.0322981861678264</v>
      </c>
      <c r="E236" s="96">
        <f t="shared" si="104"/>
        <v>0.99781537756248995</v>
      </c>
      <c r="F236" s="96">
        <f t="shared" si="102"/>
        <v>7.3969083395678897E-2</v>
      </c>
      <c r="G236" s="96">
        <f t="shared" si="105"/>
        <v>-4.2030916604321109E-2</v>
      </c>
      <c r="I236" s="96">
        <f t="shared" ref="I236:I299" si="107">IF(F236&gt;$G$87,1,0)</f>
        <v>0</v>
      </c>
      <c r="J236" s="96">
        <f t="shared" ref="J236:J299" si="108">C236</f>
        <v>0.21600000000000016</v>
      </c>
      <c r="Y236" s="96">
        <f t="shared" si="91"/>
        <v>5</v>
      </c>
      <c r="Z236" s="517">
        <v>0.984999999999988</v>
      </c>
      <c r="AA236" s="272">
        <f t="shared" si="92"/>
        <v>5</v>
      </c>
      <c r="AB236" s="519">
        <f t="shared" si="93"/>
        <v>3</v>
      </c>
      <c r="AC236" s="272">
        <f t="shared" si="81"/>
        <v>2</v>
      </c>
      <c r="AD236" s="272">
        <f t="shared" si="82"/>
        <v>11.448573585131815</v>
      </c>
      <c r="AE236" s="272">
        <f t="shared" si="94"/>
        <v>3</v>
      </c>
      <c r="AF236" s="272">
        <f t="shared" si="83"/>
        <v>6.263267479288861</v>
      </c>
      <c r="AG236" s="272">
        <f t="shared" si="95"/>
        <v>4</v>
      </c>
      <c r="AH236" s="272">
        <f t="shared" si="84"/>
        <v>4.7671297408262276</v>
      </c>
      <c r="AI236" s="272">
        <f t="shared" si="96"/>
        <v>4</v>
      </c>
      <c r="AJ236" s="272">
        <f t="shared" si="85"/>
        <v>4.7671297408262276</v>
      </c>
      <c r="AK236" s="272">
        <f t="shared" si="97"/>
        <v>4</v>
      </c>
      <c r="AL236" s="272">
        <f t="shared" si="86"/>
        <v>4.7671297408262276</v>
      </c>
      <c r="AM236" s="272">
        <f t="shared" si="98"/>
        <v>4</v>
      </c>
      <c r="AN236" s="272">
        <f t="shared" si="87"/>
        <v>4.7671297408262276</v>
      </c>
      <c r="AO236" s="272">
        <f t="shared" si="99"/>
        <v>4</v>
      </c>
      <c r="AP236" s="272">
        <f t="shared" si="88"/>
        <v>4.7671297408262276</v>
      </c>
      <c r="AQ236" s="272">
        <f t="shared" si="100"/>
        <v>4</v>
      </c>
      <c r="AR236" s="272">
        <f t="shared" si="89"/>
        <v>4.7671297408262276</v>
      </c>
      <c r="AS236" s="272">
        <f t="shared" si="101"/>
        <v>4</v>
      </c>
      <c r="AT236" s="508">
        <f t="shared" si="90"/>
        <v>4.7671297408262276</v>
      </c>
    </row>
    <row r="237" spans="1:46" ht="12.75" customHeight="1">
      <c r="A237" s="96">
        <f>IF(MAX($F$93:F237)=$G$88,$G$88,F237)</f>
        <v>7.8692529885741408E-2</v>
      </c>
      <c r="B237" s="481">
        <v>145</v>
      </c>
      <c r="C237" s="96">
        <f t="shared" si="106"/>
        <v>0.21750000000000017</v>
      </c>
      <c r="D237" s="96">
        <f t="shared" si="103"/>
        <v>3.0745596722694128</v>
      </c>
      <c r="E237" s="96">
        <f t="shared" si="104"/>
        <v>0.99765193871241264</v>
      </c>
      <c r="F237" s="96">
        <f t="shared" si="102"/>
        <v>7.8692529885741408E-2</v>
      </c>
      <c r="G237" s="96">
        <f t="shared" si="105"/>
        <v>-3.7307470114258598E-2</v>
      </c>
      <c r="I237" s="96">
        <f t="shared" si="107"/>
        <v>0</v>
      </c>
      <c r="J237" s="96">
        <f t="shared" si="108"/>
        <v>0.21750000000000017</v>
      </c>
      <c r="Y237" s="96">
        <f t="shared" si="91"/>
        <v>5</v>
      </c>
      <c r="Z237" s="96">
        <v>0.97999999999998799</v>
      </c>
      <c r="AA237" s="272">
        <f t="shared" si="92"/>
        <v>5</v>
      </c>
      <c r="AB237" s="519">
        <f t="shared" si="93"/>
        <v>3</v>
      </c>
      <c r="AC237" s="272">
        <f t="shared" si="81"/>
        <v>2</v>
      </c>
      <c r="AD237" s="272">
        <f t="shared" si="82"/>
        <v>11.565693780335812</v>
      </c>
      <c r="AE237" s="272">
        <f t="shared" si="94"/>
        <v>3</v>
      </c>
      <c r="AF237" s="272">
        <f t="shared" si="83"/>
        <v>6.3273414099261105</v>
      </c>
      <c r="AG237" s="272">
        <f t="shared" si="95"/>
        <v>4</v>
      </c>
      <c r="AH237" s="272">
        <f t="shared" si="84"/>
        <v>4.8158980141536105</v>
      </c>
      <c r="AI237" s="272">
        <f t="shared" si="96"/>
        <v>4</v>
      </c>
      <c r="AJ237" s="272">
        <f t="shared" si="85"/>
        <v>4.8158980141536105</v>
      </c>
      <c r="AK237" s="272">
        <f t="shared" si="97"/>
        <v>4</v>
      </c>
      <c r="AL237" s="272">
        <f t="shared" si="86"/>
        <v>4.8158980141536105</v>
      </c>
      <c r="AM237" s="272">
        <f t="shared" si="98"/>
        <v>4</v>
      </c>
      <c r="AN237" s="272">
        <f t="shared" si="87"/>
        <v>4.8158980141536105</v>
      </c>
      <c r="AO237" s="272">
        <f t="shared" si="99"/>
        <v>4</v>
      </c>
      <c r="AP237" s="272">
        <f t="shared" si="88"/>
        <v>4.8158980141536105</v>
      </c>
      <c r="AQ237" s="272">
        <f t="shared" si="100"/>
        <v>4</v>
      </c>
      <c r="AR237" s="272">
        <f t="shared" si="89"/>
        <v>4.8158980141536105</v>
      </c>
      <c r="AS237" s="272">
        <f t="shared" si="101"/>
        <v>4</v>
      </c>
      <c r="AT237" s="508">
        <f t="shared" si="90"/>
        <v>4.8158980141536105</v>
      </c>
    </row>
    <row r="238" spans="1:46" ht="12.75" customHeight="1">
      <c r="A238" s="96">
        <f>IF(MAX($F$93:F238)=$G$88,$G$88,F238)</f>
        <v>8.3657623494367186E-2</v>
      </c>
      <c r="B238" s="481">
        <v>146</v>
      </c>
      <c r="C238" s="96">
        <f t="shared" si="106"/>
        <v>0.21900000000000017</v>
      </c>
      <c r="D238" s="96">
        <f t="shared" si="103"/>
        <v>3.1171136254028444</v>
      </c>
      <c r="E238" s="96">
        <f t="shared" si="104"/>
        <v>0.99747812386297963</v>
      </c>
      <c r="F238" s="96">
        <f t="shared" si="102"/>
        <v>8.3657623494367186E-2</v>
      </c>
      <c r="G238" s="96">
        <f t="shared" si="105"/>
        <v>-3.2342376505632819E-2</v>
      </c>
      <c r="I238" s="96">
        <f t="shared" si="107"/>
        <v>0</v>
      </c>
      <c r="J238" s="96">
        <f t="shared" si="108"/>
        <v>0.21900000000000017</v>
      </c>
      <c r="Y238" s="96">
        <f t="shared" si="91"/>
        <v>5</v>
      </c>
      <c r="Z238" s="517">
        <v>0.97499999999998799</v>
      </c>
      <c r="AA238" s="272">
        <f t="shared" si="92"/>
        <v>5</v>
      </c>
      <c r="AB238" s="519">
        <f t="shared" si="93"/>
        <v>3</v>
      </c>
      <c r="AC238" s="272">
        <f t="shared" si="81"/>
        <v>2</v>
      </c>
      <c r="AD238" s="272">
        <f t="shared" si="82"/>
        <v>11.68462044090416</v>
      </c>
      <c r="AE238" s="272">
        <f t="shared" si="94"/>
        <v>3</v>
      </c>
      <c r="AF238" s="272">
        <f t="shared" si="83"/>
        <v>6.392403618769797</v>
      </c>
      <c r="AG238" s="272">
        <f t="shared" si="95"/>
        <v>4</v>
      </c>
      <c r="AH238" s="272">
        <f t="shared" si="84"/>
        <v>4.8654184907751494</v>
      </c>
      <c r="AI238" s="272">
        <f t="shared" si="96"/>
        <v>4</v>
      </c>
      <c r="AJ238" s="272">
        <f t="shared" si="85"/>
        <v>4.8654184907751494</v>
      </c>
      <c r="AK238" s="272">
        <f t="shared" si="97"/>
        <v>4</v>
      </c>
      <c r="AL238" s="272">
        <f t="shared" si="86"/>
        <v>4.8654184907751494</v>
      </c>
      <c r="AM238" s="272">
        <f t="shared" si="98"/>
        <v>4</v>
      </c>
      <c r="AN238" s="272">
        <f t="shared" si="87"/>
        <v>4.8654184907751494</v>
      </c>
      <c r="AO238" s="272">
        <f t="shared" si="99"/>
        <v>4</v>
      </c>
      <c r="AP238" s="272">
        <f t="shared" si="88"/>
        <v>4.8654184907751494</v>
      </c>
      <c r="AQ238" s="272">
        <f t="shared" si="100"/>
        <v>4</v>
      </c>
      <c r="AR238" s="272">
        <f t="shared" si="89"/>
        <v>4.8654184907751494</v>
      </c>
      <c r="AS238" s="272">
        <f t="shared" si="101"/>
        <v>4</v>
      </c>
      <c r="AT238" s="508">
        <f t="shared" si="90"/>
        <v>4.8654184907751494</v>
      </c>
    </row>
    <row r="239" spans="1:46" ht="12.75" customHeight="1">
      <c r="A239" s="96">
        <f>IF(MAX($F$93:F239)=$G$88,$G$88,F239)</f>
        <v>8.8872963920390735E-2</v>
      </c>
      <c r="B239" s="481">
        <v>147</v>
      </c>
      <c r="C239" s="96">
        <f t="shared" si="106"/>
        <v>0.22050000000000017</v>
      </c>
      <c r="D239" s="96">
        <f t="shared" si="103"/>
        <v>3.1599600455681212</v>
      </c>
      <c r="E239" s="96">
        <f t="shared" si="104"/>
        <v>0.99729340604029393</v>
      </c>
      <c r="F239" s="96">
        <f t="shared" si="102"/>
        <v>8.8872963920390735E-2</v>
      </c>
      <c r="G239" s="96">
        <f t="shared" si="105"/>
        <v>-2.7127036079609271E-2</v>
      </c>
      <c r="I239" s="96">
        <f t="shared" si="107"/>
        <v>0</v>
      </c>
      <c r="J239" s="96">
        <f t="shared" si="108"/>
        <v>0.22050000000000017</v>
      </c>
      <c r="Y239" s="96">
        <f t="shared" si="91"/>
        <v>5</v>
      </c>
      <c r="Z239" s="96">
        <v>0.96999999999998798</v>
      </c>
      <c r="AA239" s="272">
        <f t="shared" si="92"/>
        <v>5</v>
      </c>
      <c r="AB239" s="519">
        <f t="shared" si="93"/>
        <v>3</v>
      </c>
      <c r="AC239" s="272">
        <f t="shared" si="81"/>
        <v>2</v>
      </c>
      <c r="AD239" s="272">
        <f t="shared" si="82"/>
        <v>11.805390909378808</v>
      </c>
      <c r="AE239" s="272">
        <f t="shared" si="94"/>
        <v>3</v>
      </c>
      <c r="AF239" s="272">
        <f t="shared" si="83"/>
        <v>6.458474535118544</v>
      </c>
      <c r="AG239" s="272">
        <f t="shared" si="95"/>
        <v>4</v>
      </c>
      <c r="AH239" s="272">
        <f t="shared" si="84"/>
        <v>4.9157067199416815</v>
      </c>
      <c r="AI239" s="272">
        <f t="shared" si="96"/>
        <v>4</v>
      </c>
      <c r="AJ239" s="272">
        <f t="shared" si="85"/>
        <v>4.9157067199416815</v>
      </c>
      <c r="AK239" s="272">
        <f t="shared" si="97"/>
        <v>4</v>
      </c>
      <c r="AL239" s="272">
        <f t="shared" si="86"/>
        <v>4.9157067199416815</v>
      </c>
      <c r="AM239" s="272">
        <f t="shared" si="98"/>
        <v>4</v>
      </c>
      <c r="AN239" s="272">
        <f t="shared" si="87"/>
        <v>4.9157067199416815</v>
      </c>
      <c r="AO239" s="272">
        <f t="shared" si="99"/>
        <v>4</v>
      </c>
      <c r="AP239" s="272">
        <f t="shared" si="88"/>
        <v>4.9157067199416815</v>
      </c>
      <c r="AQ239" s="272">
        <f t="shared" si="100"/>
        <v>4</v>
      </c>
      <c r="AR239" s="272">
        <f t="shared" si="89"/>
        <v>4.9157067199416815</v>
      </c>
      <c r="AS239" s="272">
        <f t="shared" si="101"/>
        <v>4</v>
      </c>
      <c r="AT239" s="508">
        <f t="shared" si="90"/>
        <v>4.9157067199416815</v>
      </c>
    </row>
    <row r="240" spans="1:46" ht="12.75" customHeight="1">
      <c r="A240" s="96">
        <f>IF(MAX($F$93:F240)=$G$88,$G$88,F240)</f>
        <v>9.4347249209551315E-2</v>
      </c>
      <c r="B240" s="481">
        <v>148</v>
      </c>
      <c r="C240" s="96">
        <f t="shared" si="106"/>
        <v>0.22200000000000017</v>
      </c>
      <c r="D240" s="96">
        <f t="shared" si="103"/>
        <v>3.2030989327652426</v>
      </c>
      <c r="E240" s="96">
        <f t="shared" si="104"/>
        <v>0.99709723973189224</v>
      </c>
      <c r="F240" s="96">
        <f t="shared" si="102"/>
        <v>9.4347249209551315E-2</v>
      </c>
      <c r="G240" s="96">
        <f t="shared" si="105"/>
        <v>-2.1652750790448691E-2</v>
      </c>
      <c r="I240" s="96">
        <f t="shared" si="107"/>
        <v>0</v>
      </c>
      <c r="J240" s="96">
        <f t="shared" si="108"/>
        <v>0.22200000000000017</v>
      </c>
      <c r="Y240" s="96">
        <f t="shared" si="91"/>
        <v>5</v>
      </c>
      <c r="Z240" s="517">
        <v>0.96499999999998798</v>
      </c>
      <c r="AA240" s="272">
        <f t="shared" si="92"/>
        <v>5</v>
      </c>
      <c r="AB240" s="519">
        <f t="shared" si="93"/>
        <v>3</v>
      </c>
      <c r="AC240" s="272">
        <f t="shared" si="81"/>
        <v>2</v>
      </c>
      <c r="AD240" s="272">
        <f t="shared" si="82"/>
        <v>11.928043498224939</v>
      </c>
      <c r="AE240" s="272">
        <f t="shared" si="94"/>
        <v>3</v>
      </c>
      <c r="AF240" s="272">
        <f t="shared" si="83"/>
        <v>6.5255751188950457</v>
      </c>
      <c r="AG240" s="272">
        <f t="shared" si="95"/>
        <v>4</v>
      </c>
      <c r="AH240" s="272">
        <f t="shared" si="84"/>
        <v>4.9667786547753003</v>
      </c>
      <c r="AI240" s="272">
        <f t="shared" si="96"/>
        <v>4</v>
      </c>
      <c r="AJ240" s="272">
        <f t="shared" si="85"/>
        <v>4.9667786547753003</v>
      </c>
      <c r="AK240" s="272">
        <f t="shared" si="97"/>
        <v>4</v>
      </c>
      <c r="AL240" s="272">
        <f t="shared" si="86"/>
        <v>4.9667786547753003</v>
      </c>
      <c r="AM240" s="272">
        <f t="shared" si="98"/>
        <v>4</v>
      </c>
      <c r="AN240" s="272">
        <f t="shared" si="87"/>
        <v>4.9667786547753003</v>
      </c>
      <c r="AO240" s="272">
        <f t="shared" si="99"/>
        <v>4</v>
      </c>
      <c r="AP240" s="272">
        <f t="shared" si="88"/>
        <v>4.9667786547753003</v>
      </c>
      <c r="AQ240" s="272">
        <f t="shared" si="100"/>
        <v>4</v>
      </c>
      <c r="AR240" s="272">
        <f t="shared" si="89"/>
        <v>4.9667786547753003</v>
      </c>
      <c r="AS240" s="272">
        <f t="shared" si="101"/>
        <v>4</v>
      </c>
      <c r="AT240" s="508">
        <f t="shared" si="90"/>
        <v>4.9667786547753003</v>
      </c>
    </row>
    <row r="241" spans="1:46" ht="12.75" customHeight="1">
      <c r="A241" s="96">
        <f>IF(MAX($F$93:F241)=$G$88,$G$88,F241)</f>
        <v>0.10008926563180125</v>
      </c>
      <c r="B241" s="481">
        <v>149</v>
      </c>
      <c r="C241" s="96">
        <f t="shared" si="106"/>
        <v>0.22350000000000017</v>
      </c>
      <c r="D241" s="96">
        <f t="shared" si="103"/>
        <v>3.2465302869942088</v>
      </c>
      <c r="E241" s="96">
        <f t="shared" si="104"/>
        <v>0.99688906068653871</v>
      </c>
      <c r="F241" s="96">
        <f t="shared" si="102"/>
        <v>0.10008926563180125</v>
      </c>
      <c r="G241" s="96">
        <f t="shared" si="105"/>
        <v>-1.5910734368198759E-2</v>
      </c>
      <c r="I241" s="96">
        <f t="shared" si="107"/>
        <v>0</v>
      </c>
      <c r="J241" s="96">
        <f t="shared" si="108"/>
        <v>0.22350000000000017</v>
      </c>
      <c r="Y241" s="96">
        <f t="shared" si="91"/>
        <v>6</v>
      </c>
      <c r="Z241" s="96">
        <v>0.95999999999998797</v>
      </c>
      <c r="AA241" s="272">
        <f t="shared" si="92"/>
        <v>6</v>
      </c>
      <c r="AB241" s="519">
        <f t="shared" si="93"/>
        <v>3</v>
      </c>
      <c r="AC241" s="272">
        <f t="shared" si="81"/>
        <v>2</v>
      </c>
      <c r="AD241" s="272">
        <f t="shared" si="82"/>
        <v>12.05261752021975</v>
      </c>
      <c r="AE241" s="272">
        <f t="shared" si="94"/>
        <v>3</v>
      </c>
      <c r="AF241" s="272">
        <f t="shared" si="83"/>
        <v>6.5937268772710933</v>
      </c>
      <c r="AG241" s="272">
        <f t="shared" si="95"/>
        <v>4</v>
      </c>
      <c r="AH241" s="272">
        <f t="shared" si="84"/>
        <v>5.0186506649231006</v>
      </c>
      <c r="AI241" s="272">
        <f t="shared" si="96"/>
        <v>5</v>
      </c>
      <c r="AJ241" s="272">
        <f t="shared" si="85"/>
        <v>4.3020123495293845</v>
      </c>
      <c r="AK241" s="272">
        <f t="shared" si="97"/>
        <v>4</v>
      </c>
      <c r="AL241" s="272">
        <f t="shared" si="86"/>
        <v>5.0186506649231006</v>
      </c>
      <c r="AM241" s="272">
        <f t="shared" si="98"/>
        <v>5</v>
      </c>
      <c r="AN241" s="272">
        <f t="shared" si="87"/>
        <v>4.3020123495293845</v>
      </c>
      <c r="AO241" s="272">
        <f t="shared" si="99"/>
        <v>4</v>
      </c>
      <c r="AP241" s="272">
        <f t="shared" si="88"/>
        <v>5.0186506649231006</v>
      </c>
      <c r="AQ241" s="272">
        <f t="shared" si="100"/>
        <v>5</v>
      </c>
      <c r="AR241" s="272">
        <f t="shared" si="89"/>
        <v>4.3020123495293845</v>
      </c>
      <c r="AS241" s="272">
        <f t="shared" si="101"/>
        <v>4</v>
      </c>
      <c r="AT241" s="508">
        <f t="shared" si="90"/>
        <v>5.0186506649231006</v>
      </c>
    </row>
    <row r="242" spans="1:46" ht="12.75" customHeight="1">
      <c r="A242" s="96">
        <f>IF(MAX($F$93:F242)=$G$88,$G$88,F242)</f>
        <v>0.10610787698362247</v>
      </c>
      <c r="B242" s="481">
        <v>150</v>
      </c>
      <c r="C242" s="96">
        <f t="shared" si="106"/>
        <v>0.22500000000000017</v>
      </c>
      <c r="D242" s="96">
        <f t="shared" si="103"/>
        <v>3.2902541082550201</v>
      </c>
      <c r="E242" s="96">
        <f t="shared" si="104"/>
        <v>0.99666828573632738</v>
      </c>
      <c r="F242" s="96">
        <f t="shared" si="102"/>
        <v>0.10610787698362247</v>
      </c>
      <c r="G242" s="96">
        <f t="shared" si="105"/>
        <v>-9.8921230163775409E-3</v>
      </c>
      <c r="I242" s="96">
        <f t="shared" si="107"/>
        <v>0</v>
      </c>
      <c r="J242" s="96">
        <f t="shared" si="108"/>
        <v>0.22500000000000017</v>
      </c>
      <c r="Y242" s="96">
        <f t="shared" si="91"/>
        <v>6</v>
      </c>
      <c r="Z242" s="517">
        <v>0.95499999999998797</v>
      </c>
      <c r="AA242" s="272">
        <f t="shared" si="92"/>
        <v>6</v>
      </c>
      <c r="AB242" s="519">
        <f t="shared" si="93"/>
        <v>3</v>
      </c>
      <c r="AC242" s="272">
        <f t="shared" si="81"/>
        <v>2</v>
      </c>
      <c r="AD242" s="272">
        <f t="shared" si="82"/>
        <v>12.179153319957811</v>
      </c>
      <c r="AE242" s="272">
        <f t="shared" si="94"/>
        <v>3</v>
      </c>
      <c r="AF242" s="272">
        <f t="shared" si="83"/>
        <v>6.6629518819035001</v>
      </c>
      <c r="AG242" s="272">
        <f t="shared" si="95"/>
        <v>4</v>
      </c>
      <c r="AH242" s="272">
        <f t="shared" si="84"/>
        <v>5.071339549675864</v>
      </c>
      <c r="AI242" s="272">
        <f t="shared" si="96"/>
        <v>5</v>
      </c>
      <c r="AJ242" s="272">
        <f t="shared" si="85"/>
        <v>4.3471775240001982</v>
      </c>
      <c r="AK242" s="272">
        <f t="shared" si="97"/>
        <v>4</v>
      </c>
      <c r="AL242" s="272">
        <f t="shared" si="86"/>
        <v>5.071339549675864</v>
      </c>
      <c r="AM242" s="272">
        <f t="shared" si="98"/>
        <v>5</v>
      </c>
      <c r="AN242" s="272">
        <f t="shared" si="87"/>
        <v>4.3471775240001982</v>
      </c>
      <c r="AO242" s="272">
        <f t="shared" si="99"/>
        <v>4</v>
      </c>
      <c r="AP242" s="272">
        <f t="shared" si="88"/>
        <v>5.071339549675864</v>
      </c>
      <c r="AQ242" s="272">
        <f t="shared" si="100"/>
        <v>5</v>
      </c>
      <c r="AR242" s="272">
        <f t="shared" si="89"/>
        <v>4.3471775240001982</v>
      </c>
      <c r="AS242" s="272">
        <f t="shared" si="101"/>
        <v>4</v>
      </c>
      <c r="AT242" s="508">
        <f t="shared" si="90"/>
        <v>5.071339549675864</v>
      </c>
    </row>
    <row r="243" spans="1:46" ht="12.75" customHeight="1">
      <c r="A243" s="96">
        <f>IF(MAX($F$93:F243)=$G$88,$G$88,F243)</f>
        <v>0.11241201332105044</v>
      </c>
      <c r="B243" s="481">
        <v>151</v>
      </c>
      <c r="C243" s="96">
        <f t="shared" si="106"/>
        <v>0.22650000000000017</v>
      </c>
      <c r="D243" s="96">
        <f t="shared" si="103"/>
        <v>3.3342703965476761</v>
      </c>
      <c r="E243" s="96">
        <f t="shared" si="104"/>
        <v>0.99643431264232318</v>
      </c>
      <c r="F243" s="96">
        <f t="shared" si="102"/>
        <v>0.11241201332105044</v>
      </c>
      <c r="G243" s="96">
        <f t="shared" si="105"/>
        <v>-3.5879866789495646E-3</v>
      </c>
      <c r="I243" s="96">
        <f t="shared" si="107"/>
        <v>0</v>
      </c>
      <c r="J243" s="96">
        <f t="shared" si="108"/>
        <v>0.22650000000000017</v>
      </c>
      <c r="Y243" s="96">
        <f t="shared" si="91"/>
        <v>6</v>
      </c>
      <c r="Z243" s="96">
        <v>0.94999999999998697</v>
      </c>
      <c r="AA243" s="272">
        <f t="shared" si="92"/>
        <v>6</v>
      </c>
      <c r="AB243" s="519">
        <f t="shared" si="93"/>
        <v>3</v>
      </c>
      <c r="AC243" s="272">
        <f t="shared" si="81"/>
        <v>2</v>
      </c>
      <c r="AD243" s="272">
        <f t="shared" si="82"/>
        <v>12.307692306520275</v>
      </c>
      <c r="AE243" s="272">
        <f t="shared" si="94"/>
        <v>3</v>
      </c>
      <c r="AF243" s="272">
        <f t="shared" si="83"/>
        <v>6.7332727868067082</v>
      </c>
      <c r="AG243" s="272">
        <f t="shared" si="95"/>
        <v>4</v>
      </c>
      <c r="AH243" s="272">
        <f t="shared" si="84"/>
        <v>5.1248625515713471</v>
      </c>
      <c r="AI243" s="272">
        <f t="shared" si="96"/>
        <v>5</v>
      </c>
      <c r="AJ243" s="272">
        <f t="shared" si="85"/>
        <v>4.3930577078407644</v>
      </c>
      <c r="AK243" s="272">
        <f t="shared" si="97"/>
        <v>4</v>
      </c>
      <c r="AL243" s="272">
        <f t="shared" si="86"/>
        <v>5.1248625515713471</v>
      </c>
      <c r="AM243" s="272">
        <f t="shared" si="98"/>
        <v>5</v>
      </c>
      <c r="AN243" s="272">
        <f t="shared" si="87"/>
        <v>4.3930577078407644</v>
      </c>
      <c r="AO243" s="272">
        <f t="shared" si="99"/>
        <v>4</v>
      </c>
      <c r="AP243" s="272">
        <f t="shared" si="88"/>
        <v>5.1248625515713471</v>
      </c>
      <c r="AQ243" s="272">
        <f t="shared" si="100"/>
        <v>5</v>
      </c>
      <c r="AR243" s="272">
        <f t="shared" si="89"/>
        <v>4.3930577078407644</v>
      </c>
      <c r="AS243" s="272">
        <f t="shared" si="101"/>
        <v>4</v>
      </c>
      <c r="AT243" s="508">
        <f t="shared" si="90"/>
        <v>5.1248625515713471</v>
      </c>
    </row>
    <row r="244" spans="1:46" ht="12.75" customHeight="1">
      <c r="A244" s="96">
        <f>IF(MAX($F$93:F244)=$G$88,$G$88,F244)</f>
        <v>0.11901069279519615</v>
      </c>
      <c r="B244" s="481">
        <v>152</v>
      </c>
      <c r="C244" s="96">
        <f t="shared" si="106"/>
        <v>0.22800000000000017</v>
      </c>
      <c r="D244" s="96">
        <f t="shared" si="103"/>
        <v>3.3785791518721768</v>
      </c>
      <c r="E244" s="96">
        <f t="shared" si="104"/>
        <v>0.99618651996495144</v>
      </c>
      <c r="F244" s="96">
        <f t="shared" si="102"/>
        <v>0.11901069279519615</v>
      </c>
      <c r="G244" s="96">
        <f t="shared" si="105"/>
        <v>3.0106927951961404E-3</v>
      </c>
      <c r="I244" s="96">
        <f t="shared" si="107"/>
        <v>0</v>
      </c>
      <c r="J244" s="96">
        <f t="shared" si="108"/>
        <v>0.22800000000000017</v>
      </c>
      <c r="Y244" s="96">
        <f t="shared" si="91"/>
        <v>6</v>
      </c>
      <c r="Z244" s="517">
        <v>0.94499999999998696</v>
      </c>
      <c r="AA244" s="272">
        <f t="shared" si="92"/>
        <v>6</v>
      </c>
      <c r="AB244" s="519">
        <f t="shared" si="93"/>
        <v>3</v>
      </c>
      <c r="AC244" s="272">
        <f t="shared" si="81"/>
        <v>2</v>
      </c>
      <c r="AD244" s="272">
        <f t="shared" si="82"/>
        <v>12.438276987357073</v>
      </c>
      <c r="AE244" s="272">
        <f t="shared" si="94"/>
        <v>3</v>
      </c>
      <c r="AF244" s="272">
        <f t="shared" si="83"/>
        <v>6.8047128468890072</v>
      </c>
      <c r="AG244" s="272">
        <f t="shared" si="95"/>
        <v>4</v>
      </c>
      <c r="AH244" s="272">
        <f t="shared" si="84"/>
        <v>5.1792373705026629</v>
      </c>
      <c r="AI244" s="272">
        <f t="shared" si="96"/>
        <v>5</v>
      </c>
      <c r="AJ244" s="272">
        <f t="shared" si="85"/>
        <v>4.4396680734876304</v>
      </c>
      <c r="AK244" s="272">
        <f t="shared" si="97"/>
        <v>4</v>
      </c>
      <c r="AL244" s="272">
        <f t="shared" si="86"/>
        <v>5.1792373705026629</v>
      </c>
      <c r="AM244" s="272">
        <f t="shared" si="98"/>
        <v>5</v>
      </c>
      <c r="AN244" s="272">
        <f t="shared" si="87"/>
        <v>4.4396680734876304</v>
      </c>
      <c r="AO244" s="272">
        <f t="shared" si="99"/>
        <v>4</v>
      </c>
      <c r="AP244" s="272">
        <f t="shared" si="88"/>
        <v>5.1792373705026629</v>
      </c>
      <c r="AQ244" s="272">
        <f t="shared" si="100"/>
        <v>5</v>
      </c>
      <c r="AR244" s="272">
        <f t="shared" si="89"/>
        <v>4.4396680734876304</v>
      </c>
      <c r="AS244" s="272">
        <f t="shared" si="101"/>
        <v>4</v>
      </c>
      <c r="AT244" s="508">
        <f t="shared" si="90"/>
        <v>5.1792373705026629</v>
      </c>
    </row>
    <row r="245" spans="1:46" ht="12.75" customHeight="1">
      <c r="A245" s="96">
        <f>IF(MAX($F$93:F245)=$G$88,$G$88,F245)</f>
        <v>0.12591288123096436</v>
      </c>
      <c r="B245" s="481">
        <v>153</v>
      </c>
      <c r="C245" s="96">
        <f t="shared" si="106"/>
        <v>0.22950000000000018</v>
      </c>
      <c r="D245" s="96">
        <f t="shared" si="103"/>
        <v>3.4231803742285227</v>
      </c>
      <c r="E245" s="96">
        <f t="shared" si="104"/>
        <v>0.99592426681605806</v>
      </c>
      <c r="F245" s="96">
        <f t="shared" si="102"/>
        <v>0.12591288123096436</v>
      </c>
      <c r="G245" s="96">
        <f t="shared" si="105"/>
        <v>9.9128812309643571E-3</v>
      </c>
      <c r="I245" s="96">
        <f t="shared" si="107"/>
        <v>0</v>
      </c>
      <c r="J245" s="96">
        <f t="shared" si="108"/>
        <v>0.22950000000000018</v>
      </c>
      <c r="Y245" s="96">
        <f t="shared" si="91"/>
        <v>6</v>
      </c>
      <c r="Z245" s="96">
        <v>0.93999999999998696</v>
      </c>
      <c r="AA245" s="272">
        <f t="shared" si="92"/>
        <v>6</v>
      </c>
      <c r="AB245" s="519">
        <f t="shared" si="93"/>
        <v>3</v>
      </c>
      <c r="AC245" s="272">
        <f t="shared" si="81"/>
        <v>2</v>
      </c>
      <c r="AD245" s="272">
        <f t="shared" si="82"/>
        <v>12.570951003434308</v>
      </c>
      <c r="AE245" s="272">
        <f t="shared" si="94"/>
        <v>3</v>
      </c>
      <c r="AF245" s="272">
        <f t="shared" si="83"/>
        <v>6.8772959371809144</v>
      </c>
      <c r="AG245" s="272">
        <f t="shared" si="95"/>
        <v>4</v>
      </c>
      <c r="AH245" s="272">
        <f t="shared" si="84"/>
        <v>5.2344821783534883</v>
      </c>
      <c r="AI245" s="272">
        <f t="shared" si="96"/>
        <v>5</v>
      </c>
      <c r="AJ245" s="272">
        <f t="shared" si="85"/>
        <v>4.4870241979699985</v>
      </c>
      <c r="AK245" s="272">
        <f t="shared" si="97"/>
        <v>4</v>
      </c>
      <c r="AL245" s="272">
        <f t="shared" si="86"/>
        <v>5.2344821783534883</v>
      </c>
      <c r="AM245" s="272">
        <f t="shared" si="98"/>
        <v>5</v>
      </c>
      <c r="AN245" s="272">
        <f t="shared" si="87"/>
        <v>4.4870241979699985</v>
      </c>
      <c r="AO245" s="272">
        <f t="shared" si="99"/>
        <v>4</v>
      </c>
      <c r="AP245" s="272">
        <f t="shared" si="88"/>
        <v>5.2344821783534883</v>
      </c>
      <c r="AQ245" s="272">
        <f t="shared" si="100"/>
        <v>5</v>
      </c>
      <c r="AR245" s="272">
        <f t="shared" si="89"/>
        <v>4.4870241979699985</v>
      </c>
      <c r="AS245" s="272">
        <f t="shared" si="101"/>
        <v>4</v>
      </c>
      <c r="AT245" s="508">
        <f t="shared" si="90"/>
        <v>5.2344821783534883</v>
      </c>
    </row>
    <row r="246" spans="1:46" ht="12.75" customHeight="1">
      <c r="A246" s="96">
        <f>IF(MAX($F$93:F246)=$G$88,$G$88,F246)</f>
        <v>0.13312762889710061</v>
      </c>
      <c r="B246" s="481">
        <v>154</v>
      </c>
      <c r="C246" s="96">
        <f t="shared" si="106"/>
        <v>0.23100000000000018</v>
      </c>
      <c r="D246" s="96">
        <f t="shared" si="103"/>
        <v>3.4680740636167133</v>
      </c>
      <c r="E246" s="96">
        <f t="shared" si="104"/>
        <v>0.99564689333110445</v>
      </c>
      <c r="F246" s="96">
        <f t="shared" si="102"/>
        <v>0.13312762889710061</v>
      </c>
      <c r="G246" s="96">
        <f t="shared" si="105"/>
        <v>1.7127628897100608E-2</v>
      </c>
      <c r="I246" s="96">
        <f t="shared" si="107"/>
        <v>0</v>
      </c>
      <c r="J246" s="96">
        <f t="shared" si="108"/>
        <v>0.23100000000000018</v>
      </c>
      <c r="Y246" s="96">
        <f t="shared" si="91"/>
        <v>6</v>
      </c>
      <c r="Z246" s="517">
        <v>0.93499999999998695</v>
      </c>
      <c r="AA246" s="272">
        <f t="shared" si="92"/>
        <v>6</v>
      </c>
      <c r="AB246" s="519">
        <f t="shared" si="93"/>
        <v>3</v>
      </c>
      <c r="AC246" s="272">
        <f t="shared" si="81"/>
        <v>2</v>
      </c>
      <c r="AD246" s="272">
        <f t="shared" si="82"/>
        <v>12.70575916570054</v>
      </c>
      <c r="AE246" s="272">
        <f t="shared" si="94"/>
        <v>3</v>
      </c>
      <c r="AF246" s="272">
        <f t="shared" si="83"/>
        <v>6.9510465727851045</v>
      </c>
      <c r="AG246" s="272">
        <f t="shared" si="95"/>
        <v>4</v>
      </c>
      <c r="AH246" s="272">
        <f t="shared" si="84"/>
        <v>5.2906156341824389</v>
      </c>
      <c r="AI246" s="272">
        <f t="shared" si="96"/>
        <v>5</v>
      </c>
      <c r="AJ246" s="272">
        <f t="shared" si="85"/>
        <v>4.5351420759258669</v>
      </c>
      <c r="AK246" s="272">
        <f t="shared" si="97"/>
        <v>4</v>
      </c>
      <c r="AL246" s="272">
        <f t="shared" si="86"/>
        <v>5.2906156341824389</v>
      </c>
      <c r="AM246" s="272">
        <f t="shared" si="98"/>
        <v>5</v>
      </c>
      <c r="AN246" s="272">
        <f t="shared" si="87"/>
        <v>4.5351420759258669</v>
      </c>
      <c r="AO246" s="272">
        <f t="shared" si="99"/>
        <v>4</v>
      </c>
      <c r="AP246" s="272">
        <f t="shared" si="88"/>
        <v>5.2906156341824389</v>
      </c>
      <c r="AQ246" s="272">
        <f t="shared" si="100"/>
        <v>5</v>
      </c>
      <c r="AR246" s="272">
        <f t="shared" si="89"/>
        <v>4.5351420759258669</v>
      </c>
      <c r="AS246" s="272">
        <f t="shared" si="101"/>
        <v>4</v>
      </c>
      <c r="AT246" s="508">
        <f t="shared" si="90"/>
        <v>5.2906156341824389</v>
      </c>
    </row>
    <row r="247" spans="1:46" ht="12.75" customHeight="1">
      <c r="A247" s="96">
        <f>IF(MAX($F$93:F247)=$G$88,$G$88,F247)</f>
        <v>0.14066406804149242</v>
      </c>
      <c r="B247" s="481">
        <v>155</v>
      </c>
      <c r="C247" s="96">
        <f t="shared" si="106"/>
        <v>0.23250000000000018</v>
      </c>
      <c r="D247" s="96">
        <f t="shared" si="103"/>
        <v>3.5132602200367491</v>
      </c>
      <c r="E247" s="96">
        <f t="shared" si="104"/>
        <v>0.99535371983507048</v>
      </c>
      <c r="F247" s="96">
        <f t="shared" si="102"/>
        <v>0.14066406804149242</v>
      </c>
      <c r="G247" s="96">
        <f t="shared" si="105"/>
        <v>2.4664068041492418E-2</v>
      </c>
      <c r="I247" s="96">
        <f t="shared" si="107"/>
        <v>0</v>
      </c>
      <c r="J247" s="96">
        <f t="shared" si="108"/>
        <v>0.23250000000000018</v>
      </c>
      <c r="Y247" s="96">
        <f t="shared" si="91"/>
        <v>6</v>
      </c>
      <c r="Z247" s="96">
        <v>0.92999999999998695</v>
      </c>
      <c r="AA247" s="272">
        <f t="shared" si="92"/>
        <v>6</v>
      </c>
      <c r="AB247" s="519">
        <f t="shared" si="93"/>
        <v>3</v>
      </c>
      <c r="AC247" s="272">
        <f t="shared" si="81"/>
        <v>2</v>
      </c>
      <c r="AD247" s="272">
        <f t="shared" si="82"/>
        <v>12.842747492929307</v>
      </c>
      <c r="AE247" s="272">
        <f t="shared" si="94"/>
        <v>3</v>
      </c>
      <c r="AF247" s="272">
        <f t="shared" si="83"/>
        <v>7.0259899295792101</v>
      </c>
      <c r="AG247" s="272">
        <f t="shared" si="95"/>
        <v>4</v>
      </c>
      <c r="AH247" s="272">
        <f t="shared" si="84"/>
        <v>5.3476568999805103</v>
      </c>
      <c r="AI247" s="272">
        <f t="shared" si="96"/>
        <v>5</v>
      </c>
      <c r="AJ247" s="272">
        <f t="shared" si="85"/>
        <v>4.5840381331093685</v>
      </c>
      <c r="AK247" s="272">
        <f t="shared" si="97"/>
        <v>4</v>
      </c>
      <c r="AL247" s="272">
        <f t="shared" si="86"/>
        <v>5.3476568999805103</v>
      </c>
      <c r="AM247" s="272">
        <f t="shared" si="98"/>
        <v>5</v>
      </c>
      <c r="AN247" s="272">
        <f t="shared" si="87"/>
        <v>4.5840381331093685</v>
      </c>
      <c r="AO247" s="272">
        <f t="shared" si="99"/>
        <v>4</v>
      </c>
      <c r="AP247" s="272">
        <f t="shared" si="88"/>
        <v>5.3476568999805103</v>
      </c>
      <c r="AQ247" s="272">
        <f t="shared" si="100"/>
        <v>5</v>
      </c>
      <c r="AR247" s="272">
        <f t="shared" si="89"/>
        <v>4.5840381331093685</v>
      </c>
      <c r="AS247" s="272">
        <f t="shared" si="101"/>
        <v>4</v>
      </c>
      <c r="AT247" s="508">
        <f t="shared" si="90"/>
        <v>5.3476568999805103</v>
      </c>
    </row>
    <row r="248" spans="1:46" ht="12.75" customHeight="1">
      <c r="A248" s="96">
        <f>IF(MAX($F$93:F248)=$G$88,$G$88,F248)</f>
        <v>0.14853124365397466</v>
      </c>
      <c r="B248" s="481">
        <v>156</v>
      </c>
      <c r="C248" s="96">
        <f t="shared" si="106"/>
        <v>0.23400000000000018</v>
      </c>
      <c r="D248" s="96">
        <f t="shared" si="103"/>
        <v>3.5587388434886296</v>
      </c>
      <c r="E248" s="96">
        <f t="shared" si="104"/>
        <v>0.99504404732521234</v>
      </c>
      <c r="F248" s="96">
        <f t="shared" si="102"/>
        <v>0.14853124365397466</v>
      </c>
      <c r="G248" s="96">
        <f t="shared" si="105"/>
        <v>3.2531243653974654E-2</v>
      </c>
      <c r="I248" s="96">
        <f t="shared" si="107"/>
        <v>0</v>
      </c>
      <c r="J248" s="96">
        <f t="shared" si="108"/>
        <v>0.23400000000000018</v>
      </c>
      <c r="Y248" s="96">
        <f t="shared" si="91"/>
        <v>6</v>
      </c>
      <c r="Z248" s="517">
        <v>0.92499999999998705</v>
      </c>
      <c r="AA248" s="272">
        <f t="shared" si="92"/>
        <v>6</v>
      </c>
      <c r="AB248" s="519">
        <f t="shared" si="93"/>
        <v>3</v>
      </c>
      <c r="AC248" s="272">
        <f t="shared" si="81"/>
        <v>2</v>
      </c>
      <c r="AD248" s="272">
        <f t="shared" si="82"/>
        <v>12.981963250997287</v>
      </c>
      <c r="AE248" s="272">
        <f t="shared" si="94"/>
        <v>3</v>
      </c>
      <c r="AF248" s="272">
        <f t="shared" si="83"/>
        <v>7.1021518657040854</v>
      </c>
      <c r="AG248" s="272">
        <f t="shared" si="95"/>
        <v>4</v>
      </c>
      <c r="AH248" s="272">
        <f t="shared" si="84"/>
        <v>5.4056256570263184</v>
      </c>
      <c r="AI248" s="272">
        <f t="shared" si="96"/>
        <v>5</v>
      </c>
      <c r="AJ248" s="272">
        <f t="shared" si="85"/>
        <v>4.6337292404105686</v>
      </c>
      <c r="AK248" s="272">
        <f t="shared" si="97"/>
        <v>4</v>
      </c>
      <c r="AL248" s="272">
        <f t="shared" si="86"/>
        <v>5.4056256570263184</v>
      </c>
      <c r="AM248" s="272">
        <f t="shared" si="98"/>
        <v>5</v>
      </c>
      <c r="AN248" s="272">
        <f t="shared" si="87"/>
        <v>4.6337292404105686</v>
      </c>
      <c r="AO248" s="272">
        <f t="shared" si="99"/>
        <v>4</v>
      </c>
      <c r="AP248" s="272">
        <f t="shared" si="88"/>
        <v>5.4056256570263184</v>
      </c>
      <c r="AQ248" s="272">
        <f t="shared" si="100"/>
        <v>5</v>
      </c>
      <c r="AR248" s="272">
        <f t="shared" si="89"/>
        <v>4.6337292404105686</v>
      </c>
      <c r="AS248" s="272">
        <f t="shared" si="101"/>
        <v>4</v>
      </c>
      <c r="AT248" s="508">
        <f t="shared" si="90"/>
        <v>5.4056256570263184</v>
      </c>
    </row>
    <row r="249" spans="1:46" ht="12.75" customHeight="1">
      <c r="A249" s="96">
        <f>IF(MAX($F$93:F249)=$G$88,$G$88,F249)</f>
        <v>0.15673821604448671</v>
      </c>
      <c r="B249" s="481">
        <v>157</v>
      </c>
      <c r="C249" s="96">
        <f t="shared" si="106"/>
        <v>0.23550000000000018</v>
      </c>
      <c r="D249" s="96">
        <f t="shared" si="103"/>
        <v>3.6045099339723552</v>
      </c>
      <c r="E249" s="96">
        <f t="shared" si="104"/>
        <v>0.99471715736226773</v>
      </c>
      <c r="F249" s="96">
        <f t="shared" si="102"/>
        <v>0.15673821604448671</v>
      </c>
      <c r="G249" s="96">
        <f t="shared" si="105"/>
        <v>4.07382160444867E-2</v>
      </c>
      <c r="I249" s="96">
        <f t="shared" si="107"/>
        <v>0</v>
      </c>
      <c r="J249" s="96">
        <f t="shared" si="108"/>
        <v>0.23550000000000018</v>
      </c>
      <c r="Y249" s="96">
        <f t="shared" si="91"/>
        <v>6</v>
      </c>
      <c r="Z249" s="96">
        <v>0.91999999999998705</v>
      </c>
      <c r="AA249" s="272">
        <f t="shared" si="92"/>
        <v>6</v>
      </c>
      <c r="AB249" s="519">
        <f t="shared" si="93"/>
        <v>3</v>
      </c>
      <c r="AC249" s="272">
        <f t="shared" si="81"/>
        <v>2</v>
      </c>
      <c r="AD249" s="272">
        <f t="shared" si="82"/>
        <v>13.123454993660863</v>
      </c>
      <c r="AE249" s="272">
        <f t="shared" si="94"/>
        <v>3</v>
      </c>
      <c r="AF249" s="272">
        <f t="shared" si="83"/>
        <v>7.1795589438717604</v>
      </c>
      <c r="AG249" s="272">
        <f t="shared" si="95"/>
        <v>4</v>
      </c>
      <c r="AH249" s="272">
        <f t="shared" si="84"/>
        <v>5.4645421228652458</v>
      </c>
      <c r="AI249" s="272">
        <f t="shared" si="96"/>
        <v>5</v>
      </c>
      <c r="AJ249" s="272">
        <f t="shared" si="85"/>
        <v>4.6842327284100813</v>
      </c>
      <c r="AK249" s="272">
        <f t="shared" si="97"/>
        <v>4</v>
      </c>
      <c r="AL249" s="272">
        <f t="shared" si="86"/>
        <v>5.4645421228652458</v>
      </c>
      <c r="AM249" s="272">
        <f t="shared" si="98"/>
        <v>5</v>
      </c>
      <c r="AN249" s="272">
        <f t="shared" si="87"/>
        <v>4.6842327284100813</v>
      </c>
      <c r="AO249" s="272">
        <f t="shared" si="99"/>
        <v>4</v>
      </c>
      <c r="AP249" s="272">
        <f t="shared" si="88"/>
        <v>5.4645421228652458</v>
      </c>
      <c r="AQ249" s="272">
        <f t="shared" si="100"/>
        <v>5</v>
      </c>
      <c r="AR249" s="272">
        <f t="shared" si="89"/>
        <v>4.6842327284100813</v>
      </c>
      <c r="AS249" s="272">
        <f t="shared" si="101"/>
        <v>4</v>
      </c>
      <c r="AT249" s="508">
        <f t="shared" si="90"/>
        <v>5.4645421228652458</v>
      </c>
    </row>
    <row r="250" spans="1:46" ht="12.75" customHeight="1">
      <c r="A250" s="96">
        <f>IF(MAX($F$93:F250)=$G$88,$G$88,F250)</f>
        <v>0.16529401779556602</v>
      </c>
      <c r="B250" s="481">
        <v>158</v>
      </c>
      <c r="C250" s="96">
        <f t="shared" si="106"/>
        <v>0.23700000000000018</v>
      </c>
      <c r="D250" s="96">
        <f t="shared" si="103"/>
        <v>3.6505734914879251</v>
      </c>
      <c r="E250" s="96">
        <f t="shared" si="104"/>
        <v>0.99437231211359312</v>
      </c>
      <c r="F250" s="96">
        <f t="shared" si="102"/>
        <v>0.16529401779556602</v>
      </c>
      <c r="G250" s="96">
        <f t="shared" si="105"/>
        <v>4.9294017795566011E-2</v>
      </c>
      <c r="I250" s="96">
        <f t="shared" si="107"/>
        <v>0</v>
      </c>
      <c r="J250" s="96">
        <f t="shared" si="108"/>
        <v>0.23700000000000018</v>
      </c>
      <c r="Y250" s="96">
        <f t="shared" si="91"/>
        <v>6</v>
      </c>
      <c r="Z250" s="517">
        <v>0.91499999999998705</v>
      </c>
      <c r="AA250" s="272">
        <f t="shared" si="92"/>
        <v>6</v>
      </c>
      <c r="AB250" s="519">
        <f t="shared" si="93"/>
        <v>3</v>
      </c>
      <c r="AC250" s="272">
        <f t="shared" si="81"/>
        <v>2</v>
      </c>
      <c r="AD250" s="272">
        <f t="shared" si="82"/>
        <v>13.267272604896601</v>
      </c>
      <c r="AE250" s="272">
        <f t="shared" si="94"/>
        <v>3</v>
      </c>
      <c r="AF250" s="272">
        <f t="shared" si="83"/>
        <v>7.2582384545290202</v>
      </c>
      <c r="AG250" s="272">
        <f t="shared" si="95"/>
        <v>4</v>
      </c>
      <c r="AH250" s="272">
        <f t="shared" si="84"/>
        <v>5.5244270689398238</v>
      </c>
      <c r="AI250" s="272">
        <f t="shared" si="96"/>
        <v>5</v>
      </c>
      <c r="AJ250" s="272">
        <f t="shared" si="85"/>
        <v>4.735566402491914</v>
      </c>
      <c r="AK250" s="272">
        <f t="shared" si="97"/>
        <v>4</v>
      </c>
      <c r="AL250" s="272">
        <f t="shared" si="86"/>
        <v>5.5244270689398238</v>
      </c>
      <c r="AM250" s="272">
        <f t="shared" si="98"/>
        <v>5</v>
      </c>
      <c r="AN250" s="272">
        <f t="shared" si="87"/>
        <v>4.735566402491914</v>
      </c>
      <c r="AO250" s="272">
        <f t="shared" si="99"/>
        <v>4</v>
      </c>
      <c r="AP250" s="272">
        <f t="shared" si="88"/>
        <v>5.5244270689398238</v>
      </c>
      <c r="AQ250" s="272">
        <f t="shared" si="100"/>
        <v>5</v>
      </c>
      <c r="AR250" s="272">
        <f t="shared" si="89"/>
        <v>4.735566402491914</v>
      </c>
      <c r="AS250" s="272">
        <f t="shared" si="101"/>
        <v>4</v>
      </c>
      <c r="AT250" s="508">
        <f t="shared" si="90"/>
        <v>5.5244270689398238</v>
      </c>
    </row>
    <row r="251" spans="1:46" ht="12.75" customHeight="1">
      <c r="A251" s="96">
        <f>IF(MAX($F$93:F251)=$G$88,$G$88,F251)</f>
        <v>0.1742076383422238</v>
      </c>
      <c r="B251" s="481">
        <v>159</v>
      </c>
      <c r="C251" s="96">
        <f t="shared" si="106"/>
        <v>0.23850000000000018</v>
      </c>
      <c r="D251" s="96">
        <f t="shared" si="103"/>
        <v>3.6969295160353401</v>
      </c>
      <c r="E251" s="96">
        <f t="shared" si="104"/>
        <v>0.99400875442885817</v>
      </c>
      <c r="F251" s="96">
        <f t="shared" si="102"/>
        <v>0.1742076383422238</v>
      </c>
      <c r="G251" s="96">
        <f t="shared" si="105"/>
        <v>5.8207638342223797E-2</v>
      </c>
      <c r="I251" s="96">
        <f t="shared" si="107"/>
        <v>0</v>
      </c>
      <c r="J251" s="96">
        <f t="shared" si="108"/>
        <v>0.23850000000000018</v>
      </c>
      <c r="Y251" s="96">
        <f t="shared" si="91"/>
        <v>6</v>
      </c>
      <c r="Z251" s="96">
        <v>0.90999999999998604</v>
      </c>
      <c r="AA251" s="272">
        <f t="shared" si="92"/>
        <v>6</v>
      </c>
      <c r="AB251" s="519">
        <f t="shared" si="93"/>
        <v>3</v>
      </c>
      <c r="AC251" s="272">
        <f t="shared" si="81"/>
        <v>2</v>
      </c>
      <c r="AD251" s="272">
        <f t="shared" si="82"/>
        <v>13.413467342874757</v>
      </c>
      <c r="AE251" s="272">
        <f t="shared" si="94"/>
        <v>3</v>
      </c>
      <c r="AF251" s="272">
        <f t="shared" si="83"/>
        <v>7.3382184399143497</v>
      </c>
      <c r="AG251" s="272">
        <f t="shared" si="95"/>
        <v>4</v>
      </c>
      <c r="AH251" s="272">
        <f t="shared" si="84"/>
        <v>5.5853018389000786</v>
      </c>
      <c r="AI251" s="272">
        <f t="shared" si="96"/>
        <v>5</v>
      </c>
      <c r="AJ251" s="272">
        <f t="shared" si="85"/>
        <v>4.7877485585391888</v>
      </c>
      <c r="AK251" s="272">
        <f t="shared" si="97"/>
        <v>4</v>
      </c>
      <c r="AL251" s="272">
        <f t="shared" si="86"/>
        <v>5.5853018389000786</v>
      </c>
      <c r="AM251" s="272">
        <f t="shared" si="98"/>
        <v>5</v>
      </c>
      <c r="AN251" s="272">
        <f t="shared" si="87"/>
        <v>4.7877485585391888</v>
      </c>
      <c r="AO251" s="272">
        <f t="shared" si="99"/>
        <v>4</v>
      </c>
      <c r="AP251" s="272">
        <f t="shared" si="88"/>
        <v>5.5853018389000786</v>
      </c>
      <c r="AQ251" s="272">
        <f t="shared" si="100"/>
        <v>5</v>
      </c>
      <c r="AR251" s="272">
        <f t="shared" si="89"/>
        <v>4.7877485585391888</v>
      </c>
      <c r="AS251" s="272">
        <f t="shared" si="101"/>
        <v>4</v>
      </c>
      <c r="AT251" s="508">
        <f t="shared" si="90"/>
        <v>5.5853018389000786</v>
      </c>
    </row>
    <row r="252" spans="1:46" ht="12.75" customHeight="1">
      <c r="A252" s="96">
        <f>IF(MAX($F$93:F252)=$G$88,$G$88,F252)</f>
        <v>0.18348800810897106</v>
      </c>
      <c r="B252" s="481">
        <v>160</v>
      </c>
      <c r="C252" s="96">
        <f t="shared" si="106"/>
        <v>0.24000000000000019</v>
      </c>
      <c r="D252" s="96">
        <f t="shared" si="103"/>
        <v>3.7435780076146004</v>
      </c>
      <c r="E252" s="96">
        <f t="shared" si="104"/>
        <v>0.9936257079492693</v>
      </c>
      <c r="F252" s="96">
        <f t="shared" si="102"/>
        <v>0.18348800810897106</v>
      </c>
      <c r="G252" s="96">
        <f t="shared" si="105"/>
        <v>6.7488008108971057E-2</v>
      </c>
      <c r="I252" s="96">
        <f t="shared" si="107"/>
        <v>0</v>
      </c>
      <c r="J252" s="96">
        <f t="shared" si="108"/>
        <v>0.24000000000000019</v>
      </c>
      <c r="Y252" s="96">
        <f t="shared" si="91"/>
        <v>6</v>
      </c>
      <c r="Z252" s="517">
        <v>0.90499999999998604</v>
      </c>
      <c r="AA252" s="272">
        <f t="shared" si="92"/>
        <v>6</v>
      </c>
      <c r="AB252" s="519">
        <f t="shared" si="93"/>
        <v>3</v>
      </c>
      <c r="AC252" s="272">
        <f t="shared" si="81"/>
        <v>2</v>
      </c>
      <c r="AD252" s="272">
        <f t="shared" si="82"/>
        <v>13.562091885637907</v>
      </c>
      <c r="AE252" s="272">
        <f t="shared" si="94"/>
        <v>3</v>
      </c>
      <c r="AF252" s="272">
        <f t="shared" si="83"/>
        <v>7.4195277190477382</v>
      </c>
      <c r="AG252" s="272">
        <f t="shared" si="95"/>
        <v>4</v>
      </c>
      <c r="AH252" s="272">
        <f t="shared" si="84"/>
        <v>5.6471883676238894</v>
      </c>
      <c r="AI252" s="272">
        <f t="shared" si="96"/>
        <v>5</v>
      </c>
      <c r="AJ252" s="272">
        <f t="shared" si="85"/>
        <v>4.8407979992384886</v>
      </c>
      <c r="AK252" s="272">
        <f t="shared" si="97"/>
        <v>4</v>
      </c>
      <c r="AL252" s="272">
        <f t="shared" si="86"/>
        <v>5.6471883676238894</v>
      </c>
      <c r="AM252" s="272">
        <f t="shared" si="98"/>
        <v>5</v>
      </c>
      <c r="AN252" s="272">
        <f t="shared" si="87"/>
        <v>4.8407979992384886</v>
      </c>
      <c r="AO252" s="272">
        <f t="shared" si="99"/>
        <v>4</v>
      </c>
      <c r="AP252" s="272">
        <f t="shared" si="88"/>
        <v>5.6471883676238894</v>
      </c>
      <c r="AQ252" s="272">
        <f t="shared" si="100"/>
        <v>5</v>
      </c>
      <c r="AR252" s="272">
        <f t="shared" si="89"/>
        <v>4.8407979992384886</v>
      </c>
      <c r="AS252" s="272">
        <f t="shared" si="101"/>
        <v>4</v>
      </c>
      <c r="AT252" s="508">
        <f t="shared" si="90"/>
        <v>5.6471883676238894</v>
      </c>
    </row>
    <row r="253" spans="1:46" ht="12.75" customHeight="1">
      <c r="A253" s="96">
        <f>IF(MAX($F$93:F253)=$G$88,$G$88,F253)</f>
        <v>0.19314398222645504</v>
      </c>
      <c r="B253" s="481">
        <v>161</v>
      </c>
      <c r="C253" s="96">
        <f t="shared" si="106"/>
        <v>0.24150000000000019</v>
      </c>
      <c r="D253" s="96">
        <f t="shared" si="103"/>
        <v>3.7905189662257053</v>
      </c>
      <c r="E253" s="96">
        <f t="shared" si="104"/>
        <v>0.99322237725124829</v>
      </c>
      <c r="F253" s="96">
        <f t="shared" si="102"/>
        <v>0.19314398222645504</v>
      </c>
      <c r="G253" s="96">
        <f t="shared" si="105"/>
        <v>7.7143982226455035E-2</v>
      </c>
      <c r="I253" s="96">
        <f t="shared" si="107"/>
        <v>0</v>
      </c>
      <c r="J253" s="96">
        <f t="shared" si="108"/>
        <v>0.24150000000000019</v>
      </c>
      <c r="Y253" s="96">
        <f t="shared" si="91"/>
        <v>6</v>
      </c>
      <c r="Z253" s="96">
        <v>0.89999999999998603</v>
      </c>
      <c r="AA253" s="272">
        <f t="shared" si="92"/>
        <v>6</v>
      </c>
      <c r="AB253" s="519">
        <f t="shared" si="93"/>
        <v>3</v>
      </c>
      <c r="AC253" s="272">
        <f t="shared" si="81"/>
        <v>2</v>
      </c>
      <c r="AD253" s="272">
        <f t="shared" si="82"/>
        <v>13.713200378561218</v>
      </c>
      <c r="AE253" s="272">
        <f t="shared" si="94"/>
        <v>3</v>
      </c>
      <c r="AF253" s="272">
        <f t="shared" si="83"/>
        <v>7.5021959136951564</v>
      </c>
      <c r="AG253" s="272">
        <f t="shared" si="95"/>
        <v>4</v>
      </c>
      <c r="AH253" s="272">
        <f t="shared" si="84"/>
        <v>5.7101092009792058</v>
      </c>
      <c r="AI253" s="272">
        <f t="shared" si="96"/>
        <v>5</v>
      </c>
      <c r="AJ253" s="272">
        <f t="shared" si="85"/>
        <v>4.8947340510201283</v>
      </c>
      <c r="AK253" s="272">
        <f t="shared" si="97"/>
        <v>4</v>
      </c>
      <c r="AL253" s="272">
        <f t="shared" si="86"/>
        <v>5.7101092009792058</v>
      </c>
      <c r="AM253" s="272">
        <f t="shared" si="98"/>
        <v>5</v>
      </c>
      <c r="AN253" s="272">
        <f t="shared" si="87"/>
        <v>4.8947340510201283</v>
      </c>
      <c r="AO253" s="272">
        <f t="shared" si="99"/>
        <v>4</v>
      </c>
      <c r="AP253" s="272">
        <f t="shared" si="88"/>
        <v>5.7101092009792058</v>
      </c>
      <c r="AQ253" s="272">
        <f t="shared" si="100"/>
        <v>5</v>
      </c>
      <c r="AR253" s="272">
        <f t="shared" si="89"/>
        <v>4.8947340510201283</v>
      </c>
      <c r="AS253" s="272">
        <f t="shared" si="101"/>
        <v>4</v>
      </c>
      <c r="AT253" s="508">
        <f t="shared" si="90"/>
        <v>5.7101092009792058</v>
      </c>
    </row>
    <row r="254" spans="1:46" ht="12.75" customHeight="1">
      <c r="A254" s="96">
        <f>IF(MAX($F$93:F254)=$G$88,$G$88,F254)</f>
        <v>0.20318432385247145</v>
      </c>
      <c r="B254" s="481">
        <v>162</v>
      </c>
      <c r="C254" s="96">
        <f t="shared" si="106"/>
        <v>0.24300000000000019</v>
      </c>
      <c r="D254" s="96">
        <f t="shared" si="103"/>
        <v>3.8377523918686554</v>
      </c>
      <c r="E254" s="96">
        <f t="shared" si="104"/>
        <v>0.99279794802544163</v>
      </c>
      <c r="F254" s="96">
        <f t="shared" si="102"/>
        <v>0.20318432385247145</v>
      </c>
      <c r="G254" s="96">
        <f t="shared" si="105"/>
        <v>8.7184323852471449E-2</v>
      </c>
      <c r="I254" s="96">
        <f t="shared" si="107"/>
        <v>0</v>
      </c>
      <c r="J254" s="96">
        <f t="shared" si="108"/>
        <v>0.24300000000000019</v>
      </c>
      <c r="Y254" s="96">
        <f t="shared" si="91"/>
        <v>6</v>
      </c>
      <c r="Z254" s="517">
        <v>0.89499999999998603</v>
      </c>
      <c r="AA254" s="272">
        <f t="shared" si="92"/>
        <v>6</v>
      </c>
      <c r="AB254" s="519">
        <f t="shared" si="93"/>
        <v>3</v>
      </c>
      <c r="AC254" s="272">
        <f t="shared" si="81"/>
        <v>2</v>
      </c>
      <c r="AD254" s="272">
        <f t="shared" si="82"/>
        <v>13.866848483673532</v>
      </c>
      <c r="AE254" s="272">
        <f t="shared" si="94"/>
        <v>3</v>
      </c>
      <c r="AF254" s="272">
        <f t="shared" si="83"/>
        <v>7.5862534753510529</v>
      </c>
      <c r="AG254" s="272">
        <f t="shared" si="95"/>
        <v>4</v>
      </c>
      <c r="AH254" s="272">
        <f t="shared" si="84"/>
        <v>5.7740875163611101</v>
      </c>
      <c r="AI254" s="272">
        <f t="shared" si="96"/>
        <v>5</v>
      </c>
      <c r="AJ254" s="272">
        <f t="shared" si="85"/>
        <v>4.949576581662626</v>
      </c>
      <c r="AK254" s="272">
        <f t="shared" si="97"/>
        <v>4</v>
      </c>
      <c r="AL254" s="272">
        <f t="shared" si="86"/>
        <v>5.7740875163611101</v>
      </c>
      <c r="AM254" s="272">
        <f t="shared" si="98"/>
        <v>5</v>
      </c>
      <c r="AN254" s="272">
        <f t="shared" si="87"/>
        <v>4.949576581662626</v>
      </c>
      <c r="AO254" s="272">
        <f t="shared" si="99"/>
        <v>4</v>
      </c>
      <c r="AP254" s="272">
        <f t="shared" si="88"/>
        <v>5.7740875163611101</v>
      </c>
      <c r="AQ254" s="272">
        <f t="shared" si="100"/>
        <v>5</v>
      </c>
      <c r="AR254" s="272">
        <f t="shared" si="89"/>
        <v>4.949576581662626</v>
      </c>
      <c r="AS254" s="272">
        <f t="shared" si="101"/>
        <v>4</v>
      </c>
      <c r="AT254" s="508">
        <f t="shared" si="90"/>
        <v>5.7740875163611101</v>
      </c>
    </row>
    <row r="255" spans="1:46" ht="12.75" customHeight="1">
      <c r="A255" s="96">
        <f>IF(MAX($F$93:F255)=$G$88,$G$88,F255)</f>
        <v>0.21361768712312804</v>
      </c>
      <c r="B255" s="481">
        <v>163</v>
      </c>
      <c r="C255" s="96">
        <f t="shared" si="106"/>
        <v>0.24450000000000019</v>
      </c>
      <c r="D255" s="96">
        <f t="shared" si="103"/>
        <v>3.8852782845434497</v>
      </c>
      <c r="E255" s="96">
        <f t="shared" si="104"/>
        <v>0.99235158729188055</v>
      </c>
      <c r="F255" s="96">
        <f t="shared" si="102"/>
        <v>0.21361768712312804</v>
      </c>
      <c r="G255" s="96">
        <f t="shared" si="105"/>
        <v>9.761768712312803E-2</v>
      </c>
      <c r="I255" s="96">
        <f t="shared" si="107"/>
        <v>0</v>
      </c>
      <c r="J255" s="96">
        <f t="shared" si="108"/>
        <v>0.24450000000000019</v>
      </c>
      <c r="Y255" s="96">
        <f t="shared" si="91"/>
        <v>6</v>
      </c>
      <c r="Z255" s="96">
        <v>0.88999999999998602</v>
      </c>
      <c r="AA255" s="272">
        <f t="shared" si="92"/>
        <v>6</v>
      </c>
      <c r="AB255" s="519">
        <f t="shared" si="93"/>
        <v>3</v>
      </c>
      <c r="AC255" s="272">
        <f t="shared" si="81"/>
        <v>2</v>
      </c>
      <c r="AD255" s="272">
        <f t="shared" si="82"/>
        <v>14.023093430923607</v>
      </c>
      <c r="AE255" s="272">
        <f t="shared" si="94"/>
        <v>3</v>
      </c>
      <c r="AF255" s="272">
        <f t="shared" si="83"/>
        <v>7.6717317132850376</v>
      </c>
      <c r="AG255" s="272">
        <f t="shared" si="95"/>
        <v>4</v>
      </c>
      <c r="AH255" s="272">
        <f t="shared" si="84"/>
        <v>5.8391471440388329</v>
      </c>
      <c r="AI255" s="272">
        <f t="shared" si="96"/>
        <v>5</v>
      </c>
      <c r="AJ255" s="272">
        <f t="shared" si="85"/>
        <v>5.0053460185914727</v>
      </c>
      <c r="AK255" s="272">
        <f t="shared" si="97"/>
        <v>5</v>
      </c>
      <c r="AL255" s="272">
        <f t="shared" si="86"/>
        <v>5.0053460185914727</v>
      </c>
      <c r="AM255" s="272">
        <f t="shared" si="98"/>
        <v>5</v>
      </c>
      <c r="AN255" s="272">
        <f t="shared" si="87"/>
        <v>5.0053460185914727</v>
      </c>
      <c r="AO255" s="272">
        <f t="shared" si="99"/>
        <v>5</v>
      </c>
      <c r="AP255" s="272">
        <f t="shared" si="88"/>
        <v>5.0053460185914727</v>
      </c>
      <c r="AQ255" s="272">
        <f t="shared" si="100"/>
        <v>5</v>
      </c>
      <c r="AR255" s="272">
        <f t="shared" si="89"/>
        <v>5.0053460185914727</v>
      </c>
      <c r="AS255" s="272">
        <f t="shared" si="101"/>
        <v>5</v>
      </c>
      <c r="AT255" s="508">
        <f t="shared" si="90"/>
        <v>5.0053460185914727</v>
      </c>
    </row>
    <row r="256" spans="1:46" ht="12.75" customHeight="1">
      <c r="A256" s="96">
        <f>IF(MAX($F$93:F256)=$G$88,$G$88,F256)</f>
        <v>0.2244525997619817</v>
      </c>
      <c r="B256" s="481">
        <v>164</v>
      </c>
      <c r="C256" s="96">
        <f t="shared" si="106"/>
        <v>0.24600000000000019</v>
      </c>
      <c r="D256" s="96">
        <f t="shared" si="103"/>
        <v>3.9330966442500896</v>
      </c>
      <c r="E256" s="96">
        <f t="shared" si="104"/>
        <v>0.9918824436520568</v>
      </c>
      <c r="F256" s="96">
        <f t="shared" si="102"/>
        <v>0.2244525997619817</v>
      </c>
      <c r="G256" s="96">
        <f t="shared" si="105"/>
        <v>0.1084525997619817</v>
      </c>
      <c r="I256" s="96">
        <f t="shared" si="107"/>
        <v>0</v>
      </c>
      <c r="J256" s="96">
        <f t="shared" si="108"/>
        <v>0.24600000000000019</v>
      </c>
      <c r="Y256" s="96">
        <f t="shared" si="91"/>
        <v>6</v>
      </c>
      <c r="Z256" s="517">
        <v>0.88499999999998602</v>
      </c>
      <c r="AA256" s="272">
        <f t="shared" si="92"/>
        <v>6</v>
      </c>
      <c r="AB256" s="519">
        <f t="shared" si="93"/>
        <v>3</v>
      </c>
      <c r="AC256" s="272">
        <f t="shared" si="81"/>
        <v>2</v>
      </c>
      <c r="AD256" s="272">
        <f t="shared" si="82"/>
        <v>14.181994071479579</v>
      </c>
      <c r="AE256" s="272">
        <f t="shared" si="94"/>
        <v>3</v>
      </c>
      <c r="AF256" s="272">
        <f t="shared" si="83"/>
        <v>7.7586628237008259</v>
      </c>
      <c r="AG256" s="272">
        <f t="shared" si="95"/>
        <v>4</v>
      </c>
      <c r="AH256" s="272">
        <f t="shared" si="84"/>
        <v>5.9053125893493688</v>
      </c>
      <c r="AI256" s="272">
        <f t="shared" si="96"/>
        <v>5</v>
      </c>
      <c r="AJ256" s="272">
        <f t="shared" si="85"/>
        <v>5.0620633679036118</v>
      </c>
      <c r="AK256" s="272">
        <f t="shared" si="97"/>
        <v>5</v>
      </c>
      <c r="AL256" s="272">
        <f t="shared" si="86"/>
        <v>5.0620633679036118</v>
      </c>
      <c r="AM256" s="272">
        <f t="shared" si="98"/>
        <v>5</v>
      </c>
      <c r="AN256" s="272">
        <f t="shared" si="87"/>
        <v>5.0620633679036118</v>
      </c>
      <c r="AO256" s="272">
        <f t="shared" si="99"/>
        <v>5</v>
      </c>
      <c r="AP256" s="272">
        <f t="shared" si="88"/>
        <v>5.0620633679036118</v>
      </c>
      <c r="AQ256" s="272">
        <f t="shared" si="100"/>
        <v>5</v>
      </c>
      <c r="AR256" s="272">
        <f t="shared" si="89"/>
        <v>5.0620633679036118</v>
      </c>
      <c r="AS256" s="272">
        <f t="shared" si="101"/>
        <v>5</v>
      </c>
      <c r="AT256" s="508">
        <f t="shared" si="90"/>
        <v>5.0620633679036118</v>
      </c>
    </row>
    <row r="257" spans="1:46" ht="12.75" customHeight="1">
      <c r="A257" s="96">
        <f>IF(MAX($F$93:F257)=$G$88,$G$88,F257)</f>
        <v>0.23569744537637047</v>
      </c>
      <c r="B257" s="481">
        <v>165</v>
      </c>
      <c r="C257" s="96">
        <f t="shared" si="106"/>
        <v>0.24750000000000019</v>
      </c>
      <c r="D257" s="96">
        <f t="shared" si="103"/>
        <v>3.9812074709885743</v>
      </c>
      <c r="E257" s="96">
        <f t="shared" si="104"/>
        <v>0.99138964757861492</v>
      </c>
      <c r="F257" s="96">
        <f t="shared" si="102"/>
        <v>0.23569744537637047</v>
      </c>
      <c r="G257" s="96">
        <f t="shared" si="105"/>
        <v>0.11969744537637046</v>
      </c>
      <c r="I257" s="96">
        <f t="shared" si="107"/>
        <v>0</v>
      </c>
      <c r="J257" s="96">
        <f t="shared" si="108"/>
        <v>0.24750000000000019</v>
      </c>
      <c r="Y257" s="96">
        <f t="shared" si="91"/>
        <v>6</v>
      </c>
      <c r="Z257" s="96">
        <v>0.87999999999998602</v>
      </c>
      <c r="AA257" s="272">
        <f t="shared" si="92"/>
        <v>6</v>
      </c>
      <c r="AB257" s="519">
        <f t="shared" si="93"/>
        <v>3</v>
      </c>
      <c r="AC257" s="272">
        <f t="shared" si="81"/>
        <v>2</v>
      </c>
      <c r="AD257" s="272">
        <f t="shared" si="82"/>
        <v>14.343610933154178</v>
      </c>
      <c r="AE257" s="272">
        <f t="shared" si="94"/>
        <v>3</v>
      </c>
      <c r="AF257" s="272">
        <f t="shared" si="83"/>
        <v>7.8470799200582126</v>
      </c>
      <c r="AG257" s="272">
        <f t="shared" si="95"/>
        <v>4</v>
      </c>
      <c r="AH257" s="272">
        <f t="shared" si="84"/>
        <v>5.9726090557762923</v>
      </c>
      <c r="AI257" s="272">
        <f t="shared" si="96"/>
        <v>5</v>
      </c>
      <c r="AJ257" s="272">
        <f t="shared" si="85"/>
        <v>5.1197502341507057</v>
      </c>
      <c r="AK257" s="272">
        <f t="shared" si="97"/>
        <v>5</v>
      </c>
      <c r="AL257" s="272">
        <f t="shared" si="86"/>
        <v>5.1197502341507057</v>
      </c>
      <c r="AM257" s="272">
        <f t="shared" si="98"/>
        <v>5</v>
      </c>
      <c r="AN257" s="272">
        <f t="shared" si="87"/>
        <v>5.1197502341507057</v>
      </c>
      <c r="AO257" s="272">
        <f t="shared" si="99"/>
        <v>5</v>
      </c>
      <c r="AP257" s="272">
        <f t="shared" si="88"/>
        <v>5.1197502341507057</v>
      </c>
      <c r="AQ257" s="272">
        <f t="shared" si="100"/>
        <v>5</v>
      </c>
      <c r="AR257" s="272">
        <f t="shared" si="89"/>
        <v>5.1197502341507057</v>
      </c>
      <c r="AS257" s="272">
        <f t="shared" si="101"/>
        <v>5</v>
      </c>
      <c r="AT257" s="508">
        <f t="shared" si="90"/>
        <v>5.1197502341507057</v>
      </c>
    </row>
    <row r="258" spans="1:46" ht="12.75" customHeight="1">
      <c r="A258" s="96">
        <f>IF(MAX($F$93:F258)=$G$88,$G$88,F258)</f>
        <v>0.24736044547171521</v>
      </c>
      <c r="B258" s="481">
        <v>166</v>
      </c>
      <c r="C258" s="96">
        <f t="shared" si="106"/>
        <v>0.24900000000000019</v>
      </c>
      <c r="D258" s="96">
        <f t="shared" si="103"/>
        <v>4.0296107647589041</v>
      </c>
      <c r="E258" s="96">
        <f t="shared" si="104"/>
        <v>0.99087231174330093</v>
      </c>
      <c r="F258" s="96">
        <f t="shared" si="102"/>
        <v>0.24736044547171521</v>
      </c>
      <c r="G258" s="96">
        <f t="shared" si="105"/>
        <v>0.13136044547171521</v>
      </c>
      <c r="I258" s="96">
        <f t="shared" si="107"/>
        <v>0</v>
      </c>
      <c r="J258" s="96">
        <f t="shared" si="108"/>
        <v>0.24900000000000019</v>
      </c>
      <c r="Y258" s="96">
        <f t="shared" si="91"/>
        <v>6</v>
      </c>
      <c r="Z258" s="517">
        <v>0.87499999999998601</v>
      </c>
      <c r="AA258" s="272">
        <f t="shared" si="92"/>
        <v>6</v>
      </c>
      <c r="AB258" s="519">
        <f t="shared" si="93"/>
        <v>3.0104493615236576</v>
      </c>
      <c r="AC258" s="272">
        <f t="shared" si="81"/>
        <v>3</v>
      </c>
      <c r="AD258" s="272">
        <f t="shared" si="82"/>
        <v>7.9370170646113714</v>
      </c>
      <c r="AE258" s="272">
        <f t="shared" si="94"/>
        <v>4</v>
      </c>
      <c r="AF258" s="272">
        <f t="shared" si="83"/>
        <v>6.0410624689543333</v>
      </c>
      <c r="AG258" s="272">
        <f t="shared" si="95"/>
        <v>5</v>
      </c>
      <c r="AH258" s="272">
        <f t="shared" si="84"/>
        <v>5.178428840915994</v>
      </c>
      <c r="AI258" s="272">
        <f t="shared" si="96"/>
        <v>5</v>
      </c>
      <c r="AJ258" s="272">
        <f t="shared" si="85"/>
        <v>5.178428840915994</v>
      </c>
      <c r="AK258" s="272">
        <f t="shared" si="97"/>
        <v>5</v>
      </c>
      <c r="AL258" s="272">
        <f t="shared" si="86"/>
        <v>5.178428840915994</v>
      </c>
      <c r="AM258" s="272">
        <f t="shared" si="98"/>
        <v>5</v>
      </c>
      <c r="AN258" s="272">
        <f t="shared" si="87"/>
        <v>5.178428840915994</v>
      </c>
      <c r="AO258" s="272">
        <f t="shared" si="99"/>
        <v>5</v>
      </c>
      <c r="AP258" s="272">
        <f t="shared" si="88"/>
        <v>5.178428840915994</v>
      </c>
      <c r="AQ258" s="272">
        <f t="shared" si="100"/>
        <v>5</v>
      </c>
      <c r="AR258" s="272">
        <f t="shared" si="89"/>
        <v>5.178428840915994</v>
      </c>
      <c r="AS258" s="272">
        <f t="shared" si="101"/>
        <v>5</v>
      </c>
      <c r="AT258" s="508">
        <f t="shared" si="90"/>
        <v>5.178428840915994</v>
      </c>
    </row>
    <row r="259" spans="1:46" ht="12.75" customHeight="1">
      <c r="A259" s="96">
        <f>IF(MAX($F$93:F259)=$G$88,$G$88,F259)</f>
        <v>0.2594496412161732</v>
      </c>
      <c r="B259" s="481">
        <v>167</v>
      </c>
      <c r="C259" s="96">
        <f t="shared" si="106"/>
        <v>0.25050000000000017</v>
      </c>
      <c r="D259" s="96">
        <f t="shared" si="103"/>
        <v>4.0783065255610769</v>
      </c>
      <c r="E259" s="96">
        <f t="shared" si="104"/>
        <v>0.99032953138373614</v>
      </c>
      <c r="F259" s="96">
        <f t="shared" si="102"/>
        <v>0.2594496412161732</v>
      </c>
      <c r="G259" s="96">
        <f t="shared" si="105"/>
        <v>0.14344964121617321</v>
      </c>
      <c r="I259" s="96">
        <f t="shared" si="107"/>
        <v>0</v>
      </c>
      <c r="J259" s="96">
        <f t="shared" si="108"/>
        <v>0.25050000000000017</v>
      </c>
      <c r="Y259" s="96">
        <f t="shared" si="91"/>
        <v>6</v>
      </c>
      <c r="Z259" s="96">
        <v>0.86999999999998601</v>
      </c>
      <c r="AA259" s="272">
        <f t="shared" si="92"/>
        <v>6</v>
      </c>
      <c r="AB259" s="519">
        <f t="shared" si="93"/>
        <v>3.0451516612717007</v>
      </c>
      <c r="AC259" s="272">
        <f t="shared" si="81"/>
        <v>3</v>
      </c>
      <c r="AD259" s="272">
        <f t="shared" si="82"/>
        <v>8.0285093012195574</v>
      </c>
      <c r="AE259" s="272">
        <f t="shared" si="94"/>
        <v>4</v>
      </c>
      <c r="AF259" s="272">
        <f t="shared" si="83"/>
        <v>6.1106995016424399</v>
      </c>
      <c r="AG259" s="272">
        <f t="shared" si="95"/>
        <v>5</v>
      </c>
      <c r="AH259" s="272">
        <f t="shared" si="84"/>
        <v>5.2381220522213079</v>
      </c>
      <c r="AI259" s="272">
        <f t="shared" si="96"/>
        <v>5</v>
      </c>
      <c r="AJ259" s="272">
        <f t="shared" si="85"/>
        <v>5.2381220522213079</v>
      </c>
      <c r="AK259" s="272">
        <f t="shared" si="97"/>
        <v>5</v>
      </c>
      <c r="AL259" s="272">
        <f t="shared" si="86"/>
        <v>5.2381220522213079</v>
      </c>
      <c r="AM259" s="272">
        <f t="shared" si="98"/>
        <v>5</v>
      </c>
      <c r="AN259" s="272">
        <f t="shared" si="87"/>
        <v>5.2381220522213079</v>
      </c>
      <c r="AO259" s="272">
        <f t="shared" si="99"/>
        <v>5</v>
      </c>
      <c r="AP259" s="272">
        <f t="shared" si="88"/>
        <v>5.2381220522213079</v>
      </c>
      <c r="AQ259" s="272">
        <f t="shared" si="100"/>
        <v>5</v>
      </c>
      <c r="AR259" s="272">
        <f t="shared" si="89"/>
        <v>5.2381220522213079</v>
      </c>
      <c r="AS259" s="272">
        <f t="shared" si="101"/>
        <v>5</v>
      </c>
      <c r="AT259" s="508">
        <f t="shared" si="90"/>
        <v>5.2381220522213079</v>
      </c>
    </row>
    <row r="260" spans="1:46" ht="12.75" customHeight="1">
      <c r="A260" s="96">
        <f>IF(MAX($F$93:F260)=$G$88,$G$88,F260)</f>
        <v>0.27197287498882761</v>
      </c>
      <c r="B260" s="481">
        <v>168</v>
      </c>
      <c r="C260" s="96">
        <f t="shared" si="106"/>
        <v>0.25200000000000017</v>
      </c>
      <c r="D260" s="96">
        <f t="shared" si="103"/>
        <v>4.1272947533950965</v>
      </c>
      <c r="E260" s="96">
        <f t="shared" si="104"/>
        <v>0.98976038470951733</v>
      </c>
      <c r="F260" s="96">
        <f t="shared" si="102"/>
        <v>0.27197287498882761</v>
      </c>
      <c r="G260" s="96">
        <f t="shared" si="105"/>
        <v>0.15597287498882761</v>
      </c>
      <c r="I260" s="96">
        <f t="shared" si="107"/>
        <v>0</v>
      </c>
      <c r="J260" s="96">
        <f t="shared" si="108"/>
        <v>0.25200000000000017</v>
      </c>
      <c r="Y260" s="96">
        <f t="shared" si="91"/>
        <v>6</v>
      </c>
      <c r="Z260" s="517">
        <v>0.864999999999985</v>
      </c>
      <c r="AA260" s="272">
        <f t="shared" si="92"/>
        <v>6</v>
      </c>
      <c r="AB260" s="519">
        <f t="shared" si="93"/>
        <v>3.0804574725738338</v>
      </c>
      <c r="AC260" s="272">
        <f t="shared" si="81"/>
        <v>3</v>
      </c>
      <c r="AD260" s="272">
        <f t="shared" si="82"/>
        <v>8.1215926894892547</v>
      </c>
      <c r="AE260" s="272">
        <f t="shared" si="94"/>
        <v>4</v>
      </c>
      <c r="AF260" s="272">
        <f t="shared" si="83"/>
        <v>6.1815475997102114</v>
      </c>
      <c r="AG260" s="272">
        <f t="shared" si="95"/>
        <v>5</v>
      </c>
      <c r="AH260" s="272">
        <f t="shared" si="84"/>
        <v>5.2988533948027907</v>
      </c>
      <c r="AI260" s="272">
        <f t="shared" si="96"/>
        <v>5</v>
      </c>
      <c r="AJ260" s="272">
        <f t="shared" si="85"/>
        <v>5.2988533948027907</v>
      </c>
      <c r="AK260" s="272">
        <f t="shared" si="97"/>
        <v>5</v>
      </c>
      <c r="AL260" s="272">
        <f t="shared" si="86"/>
        <v>5.2988533948027907</v>
      </c>
      <c r="AM260" s="272">
        <f t="shared" si="98"/>
        <v>5</v>
      </c>
      <c r="AN260" s="272">
        <f t="shared" si="87"/>
        <v>5.2988533948027907</v>
      </c>
      <c r="AO260" s="272">
        <f t="shared" si="99"/>
        <v>5</v>
      </c>
      <c r="AP260" s="272">
        <f t="shared" si="88"/>
        <v>5.2988533948027907</v>
      </c>
      <c r="AQ260" s="272">
        <f t="shared" si="100"/>
        <v>5</v>
      </c>
      <c r="AR260" s="272">
        <f t="shared" si="89"/>
        <v>5.2988533948027907</v>
      </c>
      <c r="AS260" s="272">
        <f t="shared" si="101"/>
        <v>5</v>
      </c>
      <c r="AT260" s="508">
        <f t="shared" si="90"/>
        <v>5.2988533948027907</v>
      </c>
    </row>
    <row r="261" spans="1:46" ht="12.75" customHeight="1">
      <c r="A261" s="96">
        <f>IF(MAX($F$93:F261)=$G$88,$G$88,F261)</f>
        <v>0.28493777174700696</v>
      </c>
      <c r="B261" s="481">
        <v>169</v>
      </c>
      <c r="C261" s="96">
        <f t="shared" si="106"/>
        <v>0.25350000000000017</v>
      </c>
      <c r="D261" s="96">
        <f t="shared" si="103"/>
        <v>4.1765754482609605</v>
      </c>
      <c r="E261" s="96">
        <f t="shared" si="104"/>
        <v>0.98916393334806973</v>
      </c>
      <c r="F261" s="96">
        <f t="shared" si="102"/>
        <v>0.28493777174700696</v>
      </c>
      <c r="G261" s="96">
        <f t="shared" si="105"/>
        <v>0.16893777174700697</v>
      </c>
      <c r="I261" s="96">
        <f t="shared" si="107"/>
        <v>0</v>
      </c>
      <c r="J261" s="96">
        <f t="shared" si="108"/>
        <v>0.25350000000000017</v>
      </c>
      <c r="Y261" s="96">
        <f t="shared" si="91"/>
        <v>6</v>
      </c>
      <c r="Z261" s="96">
        <v>0.859999999999985</v>
      </c>
      <c r="AA261" s="272">
        <f t="shared" si="92"/>
        <v>6</v>
      </c>
      <c r="AB261" s="519">
        <f t="shared" si="93"/>
        <v>3.1163808713041599</v>
      </c>
      <c r="AC261" s="272">
        <f t="shared" ref="AC261:AC324" si="109">ROUNDUP(AB261,0)-1</f>
        <v>3</v>
      </c>
      <c r="AD261" s="272">
        <f t="shared" ref="AD261:AD324" si="110">MAX((TINV(1-$C$69/100,AC261)/$Z261)^2*$D$65,$C$68)</f>
        <v>8.2163043403097618</v>
      </c>
      <c r="AE261" s="272">
        <f t="shared" si="94"/>
        <v>4</v>
      </c>
      <c r="AF261" s="272">
        <f t="shared" ref="AF261:AF324" si="111">MAX((TINV(1-$C$69/100,AE261)/$Z261)^2*$D$65,$C$68)</f>
        <v>6.2536350091849311</v>
      </c>
      <c r="AG261" s="272">
        <f t="shared" si="95"/>
        <v>5</v>
      </c>
      <c r="AH261" s="272">
        <f t="shared" ref="AH261:AH324" si="112">MAX((TINV(1-$C$69/100,AG261)/$Z261)^2*$D$65,$C$68)</f>
        <v>5.3606470812957259</v>
      </c>
      <c r="AI261" s="272">
        <f t="shared" si="96"/>
        <v>5</v>
      </c>
      <c r="AJ261" s="272">
        <f t="shared" ref="AJ261:AJ324" si="113">MAX((TINV(1-$C$69/100,AI261)/$Z261)^2*$D$65,$C$68)</f>
        <v>5.3606470812957259</v>
      </c>
      <c r="AK261" s="272">
        <f t="shared" si="97"/>
        <v>5</v>
      </c>
      <c r="AL261" s="272">
        <f t="shared" ref="AL261:AL324" si="114">MAX((TINV(1-$C$69/100,AK261)/$Z261)^2*$D$65,$C$68)</f>
        <v>5.3606470812957259</v>
      </c>
      <c r="AM261" s="272">
        <f t="shared" si="98"/>
        <v>5</v>
      </c>
      <c r="AN261" s="272">
        <f t="shared" ref="AN261:AN324" si="115">MAX((TINV(1-$C$69/100,AM261)/$Z261)^2*$D$65,$C$68)</f>
        <v>5.3606470812957259</v>
      </c>
      <c r="AO261" s="272">
        <f t="shared" si="99"/>
        <v>5</v>
      </c>
      <c r="AP261" s="272">
        <f t="shared" ref="AP261:AP324" si="116">MAX((TINV(1-$C$69/100,AO261)/$Z261)^2*$D$65,$C$68)</f>
        <v>5.3606470812957259</v>
      </c>
      <c r="AQ261" s="272">
        <f t="shared" si="100"/>
        <v>5</v>
      </c>
      <c r="AR261" s="272">
        <f t="shared" ref="AR261:AR324" si="117">MAX((TINV(1-$C$69/100,AQ261)/$Z261)^2*$D$65,$C$68)</f>
        <v>5.3606470812957259</v>
      </c>
      <c r="AS261" s="272">
        <f t="shared" si="101"/>
        <v>5</v>
      </c>
      <c r="AT261" s="508">
        <f t="shared" ref="AT261:AT324" si="118">MAX((TINV(1-$C$69/100,AS261)/$Z261)^2*$D$65,$C$68)</f>
        <v>5.3606470812957259</v>
      </c>
    </row>
    <row r="262" spans="1:46" ht="12.75" customHeight="1">
      <c r="A262" s="96">
        <f>IF(MAX($F$93:F262)=$G$88,$G$88,F262)</f>
        <v>0.29835172024853523</v>
      </c>
      <c r="B262" s="481">
        <v>170</v>
      </c>
      <c r="C262" s="96">
        <f t="shared" si="106"/>
        <v>0.25500000000000017</v>
      </c>
      <c r="D262" s="96">
        <f t="shared" si="103"/>
        <v>4.2261486101586687</v>
      </c>
      <c r="E262" s="96">
        <f t="shared" si="104"/>
        <v>0.98853922283060158</v>
      </c>
      <c r="F262" s="96">
        <f t="shared" si="102"/>
        <v>0.29835172024853523</v>
      </c>
      <c r="G262" s="96">
        <f t="shared" si="105"/>
        <v>0.18235172024853524</v>
      </c>
      <c r="I262" s="96">
        <f t="shared" si="107"/>
        <v>0</v>
      </c>
      <c r="J262" s="96">
        <f t="shared" si="108"/>
        <v>0.25500000000000017</v>
      </c>
      <c r="Y262" s="96">
        <f t="shared" ref="Y262:Y325" si="119">AA262</f>
        <v>6</v>
      </c>
      <c r="Z262" s="517">
        <v>0.85499999999998499</v>
      </c>
      <c r="AA262" s="272">
        <f t="shared" si="92"/>
        <v>6</v>
      </c>
      <c r="AB262" s="519">
        <f t="shared" si="93"/>
        <v>3.1529363461120452</v>
      </c>
      <c r="AC262" s="272">
        <f t="shared" si="109"/>
        <v>3</v>
      </c>
      <c r="AD262" s="272">
        <f t="shared" si="110"/>
        <v>8.3126824528478522</v>
      </c>
      <c r="AE262" s="272">
        <f t="shared" si="94"/>
        <v>4</v>
      </c>
      <c r="AF262" s="272">
        <f t="shared" si="111"/>
        <v>6.3269908044091192</v>
      </c>
      <c r="AG262" s="272">
        <f t="shared" si="95"/>
        <v>5</v>
      </c>
      <c r="AH262" s="272">
        <f t="shared" si="112"/>
        <v>5.4235280343713557</v>
      </c>
      <c r="AI262" s="272">
        <f t="shared" si="96"/>
        <v>5</v>
      </c>
      <c r="AJ262" s="272">
        <f t="shared" si="113"/>
        <v>5.4235280343713557</v>
      </c>
      <c r="AK262" s="272">
        <f t="shared" si="97"/>
        <v>5</v>
      </c>
      <c r="AL262" s="272">
        <f t="shared" si="114"/>
        <v>5.4235280343713557</v>
      </c>
      <c r="AM262" s="272">
        <f t="shared" si="98"/>
        <v>5</v>
      </c>
      <c r="AN262" s="272">
        <f t="shared" si="115"/>
        <v>5.4235280343713557</v>
      </c>
      <c r="AO262" s="272">
        <f t="shared" si="99"/>
        <v>5</v>
      </c>
      <c r="AP262" s="272">
        <f t="shared" si="116"/>
        <v>5.4235280343713557</v>
      </c>
      <c r="AQ262" s="272">
        <f t="shared" si="100"/>
        <v>5</v>
      </c>
      <c r="AR262" s="272">
        <f t="shared" si="117"/>
        <v>5.4235280343713557</v>
      </c>
      <c r="AS262" s="272">
        <f t="shared" si="101"/>
        <v>5</v>
      </c>
      <c r="AT262" s="508">
        <f t="shared" si="118"/>
        <v>5.4235280343713557</v>
      </c>
    </row>
    <row r="263" spans="1:46" ht="12.75" customHeight="1">
      <c r="A263" s="96">
        <f>IF(MAX($F$93:F263)=$G$88,$G$88,F263)</f>
        <v>0.31222185416629461</v>
      </c>
      <c r="B263" s="481">
        <v>171</v>
      </c>
      <c r="C263" s="96">
        <f t="shared" si="106"/>
        <v>0.25650000000000017</v>
      </c>
      <c r="D263" s="96">
        <f t="shared" si="103"/>
        <v>4.2760142390882239</v>
      </c>
      <c r="E263" s="96">
        <f t="shared" si="104"/>
        <v>0.98788528311843316</v>
      </c>
      <c r="F263" s="96">
        <f t="shared" si="102"/>
        <v>0.31222185416629461</v>
      </c>
      <c r="G263" s="96">
        <f t="shared" si="105"/>
        <v>0.19622185416629462</v>
      </c>
      <c r="I263" s="96">
        <f t="shared" si="107"/>
        <v>0</v>
      </c>
      <c r="J263" s="96">
        <f t="shared" si="108"/>
        <v>0.25650000000000017</v>
      </c>
      <c r="Y263" s="96">
        <f t="shared" si="119"/>
        <v>6</v>
      </c>
      <c r="Z263" s="96">
        <v>0.84999999999998499</v>
      </c>
      <c r="AA263" s="272">
        <f t="shared" ref="AA263:AA326" si="120">1+MAX(AQ263,AS263)</f>
        <v>6</v>
      </c>
      <c r="AB263" s="519">
        <f t="shared" ref="AB263:AB326" si="121">MAX(($C$72/Z263)^2*$D$65,$C$68)</f>
        <v>3.1901388130332977</v>
      </c>
      <c r="AC263" s="272">
        <f t="shared" si="109"/>
        <v>3</v>
      </c>
      <c r="AD263" s="272">
        <f t="shared" si="110"/>
        <v>8.4107663530700361</v>
      </c>
      <c r="AE263" s="272">
        <f t="shared" ref="AE263:AE326" si="122">MAX(MIN(ROUNDUP(AD263,0)-1,AC263+1),AC263-1)</f>
        <v>4</v>
      </c>
      <c r="AF263" s="272">
        <f t="shared" si="111"/>
        <v>6.4016449173607972</v>
      </c>
      <c r="AG263" s="272">
        <f t="shared" ref="AG263:AG326" si="123">MAX(MIN(ROUNDUP(AF263,0)-1,AE263+1),AE263-1)</f>
        <v>5</v>
      </c>
      <c r="AH263" s="272">
        <f t="shared" si="112"/>
        <v>5.4875219118703411</v>
      </c>
      <c r="AI263" s="272">
        <f t="shared" ref="AI263:AI326" si="124">MAX(MIN(ROUNDUP(AH263,0)-1,AG263+1),AG263-1)</f>
        <v>5</v>
      </c>
      <c r="AJ263" s="272">
        <f t="shared" si="113"/>
        <v>5.4875219118703411</v>
      </c>
      <c r="AK263" s="272">
        <f t="shared" ref="AK263:AK326" si="125">MAX(MIN(ROUNDUP(AJ263,0)-1,AI263+1),AI263-1)</f>
        <v>5</v>
      </c>
      <c r="AL263" s="272">
        <f t="shared" si="114"/>
        <v>5.4875219118703411</v>
      </c>
      <c r="AM263" s="272">
        <f t="shared" ref="AM263:AM326" si="126">MAX(MIN(ROUNDUP(AL263,0)-1,AK263+1),AK263-1)</f>
        <v>5</v>
      </c>
      <c r="AN263" s="272">
        <f t="shared" si="115"/>
        <v>5.4875219118703411</v>
      </c>
      <c r="AO263" s="272">
        <f t="shared" ref="AO263:AO326" si="127">MAX(MIN(ROUNDUP(AN263,0)-1,AM263+1),AM263-1)</f>
        <v>5</v>
      </c>
      <c r="AP263" s="272">
        <f t="shared" si="116"/>
        <v>5.4875219118703411</v>
      </c>
      <c r="AQ263" s="272">
        <f t="shared" ref="AQ263:AQ326" si="128">MAX(MIN(ROUNDUP(AP263,0)-1,AO263+1),AO263-1)</f>
        <v>5</v>
      </c>
      <c r="AR263" s="272">
        <f t="shared" si="117"/>
        <v>5.4875219118703411</v>
      </c>
      <c r="AS263" s="272">
        <f t="shared" ref="AS263:AS326" si="129">MAX(MIN(ROUNDUP(AR263,0)-1,AQ263+1),AQ263-1)</f>
        <v>5</v>
      </c>
      <c r="AT263" s="508">
        <f t="shared" si="118"/>
        <v>5.4875219118703411</v>
      </c>
    </row>
    <row r="264" spans="1:46" ht="12.75" customHeight="1">
      <c r="A264" s="96">
        <f>IF(MAX($F$93:F264)=$G$88,$G$88,F264)</f>
        <v>0.32655503313416451</v>
      </c>
      <c r="B264" s="481">
        <v>172</v>
      </c>
      <c r="C264" s="96">
        <f t="shared" si="106"/>
        <v>0.25800000000000017</v>
      </c>
      <c r="D264" s="96">
        <f t="shared" si="103"/>
        <v>4.3261723350496224</v>
      </c>
      <c r="E264" s="96">
        <f t="shared" si="104"/>
        <v>0.98720112916988889</v>
      </c>
      <c r="F264" s="96">
        <f t="shared" si="102"/>
        <v>0.32655503313416451</v>
      </c>
      <c r="G264" s="96">
        <f t="shared" si="105"/>
        <v>0.21055503313416452</v>
      </c>
      <c r="I264" s="96">
        <f t="shared" si="107"/>
        <v>0</v>
      </c>
      <c r="J264" s="96">
        <f t="shared" si="108"/>
        <v>0.25800000000000017</v>
      </c>
      <c r="Y264" s="96">
        <f t="shared" si="119"/>
        <v>6</v>
      </c>
      <c r="Z264" s="517">
        <v>0.84499999999998499</v>
      </c>
      <c r="AA264" s="272">
        <f t="shared" si="120"/>
        <v>6</v>
      </c>
      <c r="AB264" s="519">
        <f t="shared" si="121"/>
        <v>3.2280036307083901</v>
      </c>
      <c r="AC264" s="272">
        <f t="shared" si="109"/>
        <v>3</v>
      </c>
      <c r="AD264" s="272">
        <f t="shared" si="110"/>
        <v>8.5105965338652059</v>
      </c>
      <c r="AE264" s="272">
        <f t="shared" si="122"/>
        <v>4</v>
      </c>
      <c r="AF264" s="272">
        <f t="shared" si="111"/>
        <v>6.4776281681918384</v>
      </c>
      <c r="AG264" s="272">
        <f t="shared" si="123"/>
        <v>5</v>
      </c>
      <c r="AH264" s="272">
        <f t="shared" si="112"/>
        <v>5.5526551329803882</v>
      </c>
      <c r="AI264" s="272">
        <f t="shared" si="124"/>
        <v>5</v>
      </c>
      <c r="AJ264" s="272">
        <f t="shared" si="113"/>
        <v>5.5526551329803882</v>
      </c>
      <c r="AK264" s="272">
        <f t="shared" si="125"/>
        <v>5</v>
      </c>
      <c r="AL264" s="272">
        <f t="shared" si="114"/>
        <v>5.5526551329803882</v>
      </c>
      <c r="AM264" s="272">
        <f t="shared" si="126"/>
        <v>5</v>
      </c>
      <c r="AN264" s="272">
        <f t="shared" si="115"/>
        <v>5.5526551329803882</v>
      </c>
      <c r="AO264" s="272">
        <f t="shared" si="127"/>
        <v>5</v>
      </c>
      <c r="AP264" s="272">
        <f t="shared" si="116"/>
        <v>5.5526551329803882</v>
      </c>
      <c r="AQ264" s="272">
        <f t="shared" si="128"/>
        <v>5</v>
      </c>
      <c r="AR264" s="272">
        <f t="shared" si="117"/>
        <v>5.5526551329803882</v>
      </c>
      <c r="AS264" s="272">
        <f t="shared" si="129"/>
        <v>5</v>
      </c>
      <c r="AT264" s="508">
        <f t="shared" si="118"/>
        <v>5.5526551329803882</v>
      </c>
    </row>
    <row r="265" spans="1:46" ht="12.75" customHeight="1">
      <c r="A265" s="96">
        <f>IF(MAX($F$93:F265)=$G$88,$G$88,F265)</f>
        <v>0.34135797110948307</v>
      </c>
      <c r="B265" s="481">
        <v>173</v>
      </c>
      <c r="C265" s="96">
        <f t="shared" si="106"/>
        <v>0.25950000000000017</v>
      </c>
      <c r="D265" s="96">
        <f t="shared" si="103"/>
        <v>4.3766228980428652</v>
      </c>
      <c r="E265" s="96">
        <f t="shared" si="104"/>
        <v>0.98648576154785816</v>
      </c>
      <c r="F265" s="96">
        <f t="shared" si="102"/>
        <v>0.34135797110948307</v>
      </c>
      <c r="G265" s="96">
        <f t="shared" si="105"/>
        <v>0.22535797110948308</v>
      </c>
      <c r="I265" s="96">
        <f t="shared" si="107"/>
        <v>0</v>
      </c>
      <c r="J265" s="96">
        <f t="shared" si="108"/>
        <v>0.25950000000000017</v>
      </c>
      <c r="Y265" s="96">
        <f t="shared" si="119"/>
        <v>6</v>
      </c>
      <c r="Z265" s="96">
        <v>0.83999999999998498</v>
      </c>
      <c r="AA265" s="272">
        <f t="shared" si="120"/>
        <v>6</v>
      </c>
      <c r="AB265" s="519">
        <f t="shared" si="121"/>
        <v>3.266546616236619</v>
      </c>
      <c r="AC265" s="272">
        <f t="shared" si="109"/>
        <v>3</v>
      </c>
      <c r="AD265" s="272">
        <f t="shared" si="110"/>
        <v>8.612214696843969</v>
      </c>
      <c r="AE265" s="272">
        <f t="shared" si="122"/>
        <v>4</v>
      </c>
      <c r="AF265" s="272">
        <f t="shared" si="111"/>
        <v>6.5549722970424869</v>
      </c>
      <c r="AG265" s="272">
        <f t="shared" si="123"/>
        <v>5</v>
      </c>
      <c r="AH265" s="272">
        <f t="shared" si="112"/>
        <v>5.6189549055078274</v>
      </c>
      <c r="AI265" s="272">
        <f t="shared" si="124"/>
        <v>5</v>
      </c>
      <c r="AJ265" s="272">
        <f t="shared" si="113"/>
        <v>5.6189549055078274</v>
      </c>
      <c r="AK265" s="272">
        <f t="shared" si="125"/>
        <v>5</v>
      </c>
      <c r="AL265" s="272">
        <f t="shared" si="114"/>
        <v>5.6189549055078274</v>
      </c>
      <c r="AM265" s="272">
        <f t="shared" si="126"/>
        <v>5</v>
      </c>
      <c r="AN265" s="272">
        <f t="shared" si="115"/>
        <v>5.6189549055078274</v>
      </c>
      <c r="AO265" s="272">
        <f t="shared" si="127"/>
        <v>5</v>
      </c>
      <c r="AP265" s="272">
        <f t="shared" si="116"/>
        <v>5.6189549055078274</v>
      </c>
      <c r="AQ265" s="272">
        <f t="shared" si="128"/>
        <v>5</v>
      </c>
      <c r="AR265" s="272">
        <f t="shared" si="117"/>
        <v>5.6189549055078274</v>
      </c>
      <c r="AS265" s="272">
        <f t="shared" si="129"/>
        <v>5</v>
      </c>
      <c r="AT265" s="508">
        <f t="shared" si="118"/>
        <v>5.6189549055078274</v>
      </c>
    </row>
    <row r="266" spans="1:46" ht="12.75" customHeight="1">
      <c r="A266" s="96">
        <f>IF(MAX($F$93:F266)=$G$88,$G$88,F266)</f>
        <v>0.35663665420330165</v>
      </c>
      <c r="B266" s="481">
        <v>174</v>
      </c>
      <c r="C266" s="96">
        <f t="shared" si="106"/>
        <v>0.26100000000000018</v>
      </c>
      <c r="D266" s="96">
        <f t="shared" si="103"/>
        <v>4.427365928067954</v>
      </c>
      <c r="E266" s="96">
        <f t="shared" si="104"/>
        <v>0.98573816643656254</v>
      </c>
      <c r="F266" s="96">
        <f t="shared" si="102"/>
        <v>0.35663665420330165</v>
      </c>
      <c r="G266" s="96">
        <f t="shared" si="105"/>
        <v>0.24063665420330166</v>
      </c>
      <c r="I266" s="96">
        <f t="shared" si="107"/>
        <v>0</v>
      </c>
      <c r="J266" s="96">
        <f t="shared" si="108"/>
        <v>0.26100000000000018</v>
      </c>
      <c r="Y266" s="96">
        <f t="shared" si="119"/>
        <v>6</v>
      </c>
      <c r="Z266" s="517">
        <v>0.83499999999998498</v>
      </c>
      <c r="AA266" s="272">
        <f t="shared" si="120"/>
        <v>6</v>
      </c>
      <c r="AB266" s="519">
        <f t="shared" si="121"/>
        <v>3.3057840616968122</v>
      </c>
      <c r="AC266" s="272">
        <f t="shared" si="109"/>
        <v>3</v>
      </c>
      <c r="AD266" s="272">
        <f t="shared" si="110"/>
        <v>8.7156637958953063</v>
      </c>
      <c r="AE266" s="272">
        <f t="shared" si="122"/>
        <v>4</v>
      </c>
      <c r="AF266" s="272">
        <f t="shared" si="111"/>
        <v>6.6337099971934173</v>
      </c>
      <c r="AG266" s="272">
        <f t="shared" si="123"/>
        <v>5</v>
      </c>
      <c r="AH266" s="272">
        <f t="shared" si="112"/>
        <v>5.6864492542957059</v>
      </c>
      <c r="AI266" s="272">
        <f t="shared" si="124"/>
        <v>5</v>
      </c>
      <c r="AJ266" s="272">
        <f t="shared" si="113"/>
        <v>5.6864492542957059</v>
      </c>
      <c r="AK266" s="272">
        <f t="shared" si="125"/>
        <v>5</v>
      </c>
      <c r="AL266" s="272">
        <f t="shared" si="114"/>
        <v>5.6864492542957059</v>
      </c>
      <c r="AM266" s="272">
        <f t="shared" si="126"/>
        <v>5</v>
      </c>
      <c r="AN266" s="272">
        <f t="shared" si="115"/>
        <v>5.6864492542957059</v>
      </c>
      <c r="AO266" s="272">
        <f t="shared" si="127"/>
        <v>5</v>
      </c>
      <c r="AP266" s="272">
        <f t="shared" si="116"/>
        <v>5.6864492542957059</v>
      </c>
      <c r="AQ266" s="272">
        <f t="shared" si="128"/>
        <v>5</v>
      </c>
      <c r="AR266" s="272">
        <f t="shared" si="117"/>
        <v>5.6864492542957059</v>
      </c>
      <c r="AS266" s="272">
        <f t="shared" si="129"/>
        <v>5</v>
      </c>
      <c r="AT266" s="508">
        <f t="shared" si="118"/>
        <v>5.6864492542957059</v>
      </c>
    </row>
    <row r="267" spans="1:46" ht="12.75" customHeight="1">
      <c r="A267" s="96">
        <f>IF(MAX($F$93:F267)=$G$88,$G$88,F267)</f>
        <v>0.37239698433048457</v>
      </c>
      <c r="B267" s="481">
        <v>175</v>
      </c>
      <c r="C267" s="96">
        <f t="shared" si="106"/>
        <v>0.26250000000000018</v>
      </c>
      <c r="D267" s="96">
        <f t="shared" si="103"/>
        <v>4.478401425124888</v>
      </c>
      <c r="E267" s="96">
        <f t="shared" si="104"/>
        <v>0.98495731874412973</v>
      </c>
      <c r="F267" s="96">
        <f t="shared" si="102"/>
        <v>0.37239698433048457</v>
      </c>
      <c r="G267" s="96">
        <f t="shared" si="105"/>
        <v>0.25639698433048458</v>
      </c>
      <c r="I267" s="96">
        <f t="shared" si="107"/>
        <v>0</v>
      </c>
      <c r="J267" s="96">
        <f t="shared" si="108"/>
        <v>0.26250000000000018</v>
      </c>
      <c r="Y267" s="96">
        <f t="shared" si="119"/>
        <v>6</v>
      </c>
      <c r="Z267" s="96">
        <v>0.82999999999998497</v>
      </c>
      <c r="AA267" s="272">
        <f t="shared" si="120"/>
        <v>6</v>
      </c>
      <c r="AB267" s="519">
        <f t="shared" si="121"/>
        <v>3.3457327513667581</v>
      </c>
      <c r="AC267" s="272">
        <f t="shared" si="109"/>
        <v>3</v>
      </c>
      <c r="AD267" s="272">
        <f t="shared" si="110"/>
        <v>8.820988082585437</v>
      </c>
      <c r="AE267" s="272">
        <f t="shared" si="122"/>
        <v>4</v>
      </c>
      <c r="AF267" s="272">
        <f t="shared" si="111"/>
        <v>6.7138749496199468</v>
      </c>
      <c r="AG267" s="272">
        <f t="shared" si="123"/>
        <v>5</v>
      </c>
      <c r="AH267" s="272">
        <f t="shared" si="112"/>
        <v>5.7551670508438457</v>
      </c>
      <c r="AI267" s="272">
        <f t="shared" si="124"/>
        <v>5</v>
      </c>
      <c r="AJ267" s="272">
        <f t="shared" si="113"/>
        <v>5.7551670508438457</v>
      </c>
      <c r="AK267" s="272">
        <f t="shared" si="125"/>
        <v>5</v>
      </c>
      <c r="AL267" s="272">
        <f t="shared" si="114"/>
        <v>5.7551670508438457</v>
      </c>
      <c r="AM267" s="272">
        <f t="shared" si="126"/>
        <v>5</v>
      </c>
      <c r="AN267" s="272">
        <f t="shared" si="115"/>
        <v>5.7551670508438457</v>
      </c>
      <c r="AO267" s="272">
        <f t="shared" si="127"/>
        <v>5</v>
      </c>
      <c r="AP267" s="272">
        <f t="shared" si="116"/>
        <v>5.7551670508438457</v>
      </c>
      <c r="AQ267" s="272">
        <f t="shared" si="128"/>
        <v>5</v>
      </c>
      <c r="AR267" s="272">
        <f t="shared" si="117"/>
        <v>5.7551670508438457</v>
      </c>
      <c r="AS267" s="272">
        <f t="shared" si="129"/>
        <v>5</v>
      </c>
      <c r="AT267" s="508">
        <f t="shared" si="118"/>
        <v>5.7551670508438457</v>
      </c>
    </row>
    <row r="268" spans="1:46" ht="12.75" customHeight="1">
      <c r="A268" s="96">
        <f>IF(MAX($F$93:F268)=$G$88,$G$88,F268)</f>
        <v>0.38864480464965528</v>
      </c>
      <c r="B268" s="481">
        <v>176</v>
      </c>
      <c r="C268" s="96">
        <f t="shared" si="106"/>
        <v>0.26400000000000018</v>
      </c>
      <c r="D268" s="96">
        <f t="shared" si="103"/>
        <v>4.5297293892136654</v>
      </c>
      <c r="E268" s="96">
        <f t="shared" si="104"/>
        <v>0.98414217936086046</v>
      </c>
      <c r="F268" s="96">
        <f t="shared" si="102"/>
        <v>0.38864480464965528</v>
      </c>
      <c r="G268" s="96">
        <f t="shared" si="105"/>
        <v>0.27264480464965529</v>
      </c>
      <c r="I268" s="96">
        <f t="shared" si="107"/>
        <v>0</v>
      </c>
      <c r="J268" s="96">
        <f t="shared" si="108"/>
        <v>0.26400000000000018</v>
      </c>
      <c r="Y268" s="96">
        <f t="shared" si="119"/>
        <v>6</v>
      </c>
      <c r="Z268" s="517">
        <v>0.82499999999998497</v>
      </c>
      <c r="AA268" s="272">
        <f t="shared" si="120"/>
        <v>6</v>
      </c>
      <c r="AB268" s="519">
        <f t="shared" si="121"/>
        <v>3.3864099796753875</v>
      </c>
      <c r="AC268" s="272">
        <f t="shared" si="109"/>
        <v>3</v>
      </c>
      <c r="AD268" s="272">
        <f t="shared" si="110"/>
        <v>8.9282331534884989</v>
      </c>
      <c r="AE268" s="272">
        <f t="shared" si="122"/>
        <v>4</v>
      </c>
      <c r="AF268" s="272">
        <f t="shared" si="111"/>
        <v>6.7955018590166123</v>
      </c>
      <c r="AG268" s="272">
        <f t="shared" si="123"/>
        <v>5</v>
      </c>
      <c r="AH268" s="272">
        <f t="shared" si="112"/>
        <v>5.8251380441892744</v>
      </c>
      <c r="AI268" s="272">
        <f t="shared" si="124"/>
        <v>5</v>
      </c>
      <c r="AJ268" s="272">
        <f t="shared" si="113"/>
        <v>5.8251380441892744</v>
      </c>
      <c r="AK268" s="272">
        <f t="shared" si="125"/>
        <v>5</v>
      </c>
      <c r="AL268" s="272">
        <f t="shared" si="114"/>
        <v>5.8251380441892744</v>
      </c>
      <c r="AM268" s="272">
        <f t="shared" si="126"/>
        <v>5</v>
      </c>
      <c r="AN268" s="272">
        <f t="shared" si="115"/>
        <v>5.8251380441892744</v>
      </c>
      <c r="AO268" s="272">
        <f t="shared" si="127"/>
        <v>5</v>
      </c>
      <c r="AP268" s="272">
        <f t="shared" si="116"/>
        <v>5.8251380441892744</v>
      </c>
      <c r="AQ268" s="272">
        <f t="shared" si="128"/>
        <v>5</v>
      </c>
      <c r="AR268" s="272">
        <f t="shared" si="117"/>
        <v>5.8251380441892744</v>
      </c>
      <c r="AS268" s="272">
        <f t="shared" si="129"/>
        <v>5</v>
      </c>
      <c r="AT268" s="508">
        <f t="shared" si="118"/>
        <v>5.8251380441892744</v>
      </c>
    </row>
    <row r="269" spans="1:46" ht="12.75" customHeight="1">
      <c r="A269" s="96">
        <f>IF(MAX($F$93:F269)=$G$88,$G$88,F269)</f>
        <v>0.40538519592490846</v>
      </c>
      <c r="B269" s="481">
        <v>177</v>
      </c>
      <c r="C269" s="96">
        <f t="shared" si="106"/>
        <v>0.26550000000000018</v>
      </c>
      <c r="D269" s="96">
        <f t="shared" si="103"/>
        <v>4.5813498203342897</v>
      </c>
      <c r="E269" s="96">
        <f t="shared" si="104"/>
        <v>0.98329169815277406</v>
      </c>
      <c r="F269" s="96">
        <f t="shared" si="102"/>
        <v>0.40538519592490846</v>
      </c>
      <c r="G269" s="96">
        <f t="shared" si="105"/>
        <v>0.28938519592490847</v>
      </c>
      <c r="I269" s="96">
        <f t="shared" si="107"/>
        <v>0</v>
      </c>
      <c r="J269" s="96">
        <f t="shared" si="108"/>
        <v>0.26550000000000018</v>
      </c>
      <c r="Y269" s="96">
        <f t="shared" si="119"/>
        <v>6</v>
      </c>
      <c r="Z269" s="96">
        <v>0.81999999999998396</v>
      </c>
      <c r="AA269" s="272">
        <f t="shared" si="120"/>
        <v>6</v>
      </c>
      <c r="AB269" s="519">
        <f t="shared" si="121"/>
        <v>3.4278335699235081</v>
      </c>
      <c r="AC269" s="272">
        <f t="shared" si="109"/>
        <v>3</v>
      </c>
      <c r="AD269" s="272">
        <f t="shared" si="110"/>
        <v>9.0374459995436123</v>
      </c>
      <c r="AE269" s="272">
        <f t="shared" si="122"/>
        <v>4</v>
      </c>
      <c r="AF269" s="272">
        <f t="shared" si="111"/>
        <v>6.8786264913640611</v>
      </c>
      <c r="AG269" s="272">
        <f t="shared" si="123"/>
        <v>5</v>
      </c>
      <c r="AH269" s="272">
        <f t="shared" si="112"/>
        <v>5.8963928931087688</v>
      </c>
      <c r="AI269" s="272">
        <f t="shared" si="124"/>
        <v>5</v>
      </c>
      <c r="AJ269" s="272">
        <f t="shared" si="113"/>
        <v>5.8963928931087688</v>
      </c>
      <c r="AK269" s="272">
        <f t="shared" si="125"/>
        <v>5</v>
      </c>
      <c r="AL269" s="272">
        <f t="shared" si="114"/>
        <v>5.8963928931087688</v>
      </c>
      <c r="AM269" s="272">
        <f t="shared" si="126"/>
        <v>5</v>
      </c>
      <c r="AN269" s="272">
        <f t="shared" si="115"/>
        <v>5.8963928931087688</v>
      </c>
      <c r="AO269" s="272">
        <f t="shared" si="127"/>
        <v>5</v>
      </c>
      <c r="AP269" s="272">
        <f t="shared" si="116"/>
        <v>5.8963928931087688</v>
      </c>
      <c r="AQ269" s="272">
        <f t="shared" si="128"/>
        <v>5</v>
      </c>
      <c r="AR269" s="272">
        <f t="shared" si="117"/>
        <v>5.8963928931087688</v>
      </c>
      <c r="AS269" s="272">
        <f t="shared" si="129"/>
        <v>5</v>
      </c>
      <c r="AT269" s="508">
        <f t="shared" si="118"/>
        <v>5.8963928931087688</v>
      </c>
    </row>
    <row r="270" spans="1:46" ht="12.75" customHeight="1">
      <c r="A270" s="96">
        <f>IF(MAX($F$93:F270)=$G$88,$G$88,F270)</f>
        <v>0.42262297696165807</v>
      </c>
      <c r="B270" s="481">
        <v>178</v>
      </c>
      <c r="C270" s="96">
        <f t="shared" si="106"/>
        <v>0.26700000000000018</v>
      </c>
      <c r="D270" s="96">
        <f t="shared" si="103"/>
        <v>4.6332627184867574</v>
      </c>
      <c r="E270" s="96">
        <f t="shared" si="104"/>
        <v>0.98240481423546799</v>
      </c>
      <c r="F270" s="96">
        <f t="shared" si="102"/>
        <v>0.42262297696165807</v>
      </c>
      <c r="G270" s="96">
        <f t="shared" si="105"/>
        <v>0.30662297696165808</v>
      </c>
      <c r="I270" s="96">
        <f t="shared" si="107"/>
        <v>0</v>
      </c>
      <c r="J270" s="96">
        <f t="shared" si="108"/>
        <v>0.26700000000000018</v>
      </c>
      <c r="Y270" s="96">
        <f t="shared" si="119"/>
        <v>6</v>
      </c>
      <c r="Z270" s="517">
        <v>0.81499999999998396</v>
      </c>
      <c r="AA270" s="272">
        <f t="shared" si="120"/>
        <v>6</v>
      </c>
      <c r="AB270" s="519">
        <f t="shared" si="121"/>
        <v>3.4700218938109328</v>
      </c>
      <c r="AC270" s="272">
        <f t="shared" si="109"/>
        <v>3</v>
      </c>
      <c r="AD270" s="272">
        <f t="shared" si="110"/>
        <v>9.1486750575379219</v>
      </c>
      <c r="AE270" s="272">
        <f t="shared" si="122"/>
        <v>4</v>
      </c>
      <c r="AF270" s="272">
        <f t="shared" si="111"/>
        <v>6.9632857131140744</v>
      </c>
      <c r="AG270" s="272">
        <f t="shared" si="123"/>
        <v>5</v>
      </c>
      <c r="AH270" s="272">
        <f t="shared" si="112"/>
        <v>5.9689631997084378</v>
      </c>
      <c r="AI270" s="272">
        <f t="shared" si="124"/>
        <v>5</v>
      </c>
      <c r="AJ270" s="272">
        <f t="shared" si="113"/>
        <v>5.9689631997084378</v>
      </c>
      <c r="AK270" s="272">
        <f t="shared" si="125"/>
        <v>5</v>
      </c>
      <c r="AL270" s="272">
        <f t="shared" si="114"/>
        <v>5.9689631997084378</v>
      </c>
      <c r="AM270" s="272">
        <f t="shared" si="126"/>
        <v>5</v>
      </c>
      <c r="AN270" s="272">
        <f t="shared" si="115"/>
        <v>5.9689631997084378</v>
      </c>
      <c r="AO270" s="272">
        <f t="shared" si="127"/>
        <v>5</v>
      </c>
      <c r="AP270" s="272">
        <f t="shared" si="116"/>
        <v>5.9689631997084378</v>
      </c>
      <c r="AQ270" s="272">
        <f t="shared" si="128"/>
        <v>5</v>
      </c>
      <c r="AR270" s="272">
        <f t="shared" si="117"/>
        <v>5.9689631997084378</v>
      </c>
      <c r="AS270" s="272">
        <f t="shared" si="129"/>
        <v>5</v>
      </c>
      <c r="AT270" s="508">
        <f t="shared" si="118"/>
        <v>5.9689631997084378</v>
      </c>
    </row>
    <row r="271" spans="1:46" ht="12.75" customHeight="1">
      <c r="A271" s="96">
        <f>IF(MAX($F$93:F271)=$G$88,$G$88,F271)</f>
        <v>0.44036256136938207</v>
      </c>
      <c r="B271" s="481">
        <v>179</v>
      </c>
      <c r="C271" s="96">
        <f t="shared" si="106"/>
        <v>0.26850000000000018</v>
      </c>
      <c r="D271" s="96">
        <f t="shared" si="103"/>
        <v>4.6854680836710694</v>
      </c>
      <c r="E271" s="96">
        <f t="shared" si="104"/>
        <v>0.98148045682293839</v>
      </c>
      <c r="F271" s="96">
        <f t="shared" si="102"/>
        <v>0.44036256136938207</v>
      </c>
      <c r="G271" s="96">
        <f t="shared" si="105"/>
        <v>0.32436256136938207</v>
      </c>
      <c r="I271" s="96">
        <f t="shared" si="107"/>
        <v>0</v>
      </c>
      <c r="J271" s="96">
        <f t="shared" si="108"/>
        <v>0.26850000000000018</v>
      </c>
      <c r="Y271" s="96">
        <f t="shared" si="119"/>
        <v>7</v>
      </c>
      <c r="Z271" s="96">
        <v>0.80999999999998396</v>
      </c>
      <c r="AA271" s="272">
        <f t="shared" si="120"/>
        <v>7</v>
      </c>
      <c r="AB271" s="519">
        <f t="shared" si="121"/>
        <v>3.5129938918100407</v>
      </c>
      <c r="AC271" s="272">
        <f t="shared" si="109"/>
        <v>3</v>
      </c>
      <c r="AD271" s="272">
        <f t="shared" si="110"/>
        <v>9.261970263821258</v>
      </c>
      <c r="AE271" s="272">
        <f t="shared" si="122"/>
        <v>4</v>
      </c>
      <c r="AF271" s="272">
        <f t="shared" si="111"/>
        <v>7.049517532073156</v>
      </c>
      <c r="AG271" s="272">
        <f t="shared" si="123"/>
        <v>5</v>
      </c>
      <c r="AH271" s="272">
        <f t="shared" si="112"/>
        <v>6.0428815444693473</v>
      </c>
      <c r="AI271" s="272">
        <f t="shared" si="124"/>
        <v>6</v>
      </c>
      <c r="AJ271" s="272">
        <f t="shared" si="113"/>
        <v>5.4754253170670584</v>
      </c>
      <c r="AK271" s="272">
        <f t="shared" si="125"/>
        <v>5</v>
      </c>
      <c r="AL271" s="272">
        <f t="shared" si="114"/>
        <v>6.0428815444693473</v>
      </c>
      <c r="AM271" s="272">
        <f t="shared" si="126"/>
        <v>6</v>
      </c>
      <c r="AN271" s="272">
        <f t="shared" si="115"/>
        <v>5.4754253170670584</v>
      </c>
      <c r="AO271" s="272">
        <f t="shared" si="127"/>
        <v>5</v>
      </c>
      <c r="AP271" s="272">
        <f t="shared" si="116"/>
        <v>6.0428815444693473</v>
      </c>
      <c r="AQ271" s="272">
        <f t="shared" si="128"/>
        <v>6</v>
      </c>
      <c r="AR271" s="272">
        <f t="shared" si="117"/>
        <v>5.4754253170670584</v>
      </c>
      <c r="AS271" s="272">
        <f t="shared" si="129"/>
        <v>5</v>
      </c>
      <c r="AT271" s="508">
        <f t="shared" si="118"/>
        <v>6.0428815444693473</v>
      </c>
    </row>
    <row r="272" spans="1:46" ht="12.75" customHeight="1">
      <c r="A272" s="96">
        <f>IF(MAX($F$93:F272)=$G$88,$G$88,F272)</f>
        <v>0.45860793954737666</v>
      </c>
      <c r="B272" s="481">
        <v>180</v>
      </c>
      <c r="C272" s="96">
        <f t="shared" si="106"/>
        <v>0.27000000000000018</v>
      </c>
      <c r="D272" s="96">
        <f t="shared" si="103"/>
        <v>4.7379659158872283</v>
      </c>
      <c r="E272" s="96">
        <f t="shared" si="104"/>
        <v>0.9805175461153135</v>
      </c>
      <c r="F272" s="96">
        <f t="shared" si="102"/>
        <v>0.45860793954737666</v>
      </c>
      <c r="G272" s="96">
        <f t="shared" si="105"/>
        <v>0.34260793954737667</v>
      </c>
      <c r="I272" s="96">
        <f t="shared" si="107"/>
        <v>0</v>
      </c>
      <c r="J272" s="96">
        <f t="shared" si="108"/>
        <v>0.27000000000000018</v>
      </c>
      <c r="Y272" s="96">
        <f t="shared" si="119"/>
        <v>7</v>
      </c>
      <c r="Z272" s="517">
        <v>0.80499999999998395</v>
      </c>
      <c r="AA272" s="272">
        <f t="shared" si="120"/>
        <v>7</v>
      </c>
      <c r="AB272" s="519">
        <f t="shared" si="121"/>
        <v>3.5567690944277897</v>
      </c>
      <c r="AC272" s="272">
        <f t="shared" si="109"/>
        <v>3</v>
      </c>
      <c r="AD272" s="272">
        <f t="shared" si="110"/>
        <v>9.3773831103632279</v>
      </c>
      <c r="AE272" s="272">
        <f t="shared" si="122"/>
        <v>4</v>
      </c>
      <c r="AF272" s="272">
        <f t="shared" si="111"/>
        <v>7.1373611400689754</v>
      </c>
      <c r="AG272" s="272">
        <f t="shared" si="123"/>
        <v>5</v>
      </c>
      <c r="AH272" s="272">
        <f t="shared" si="112"/>
        <v>6.1181815228214029</v>
      </c>
      <c r="AI272" s="272">
        <f t="shared" si="124"/>
        <v>6</v>
      </c>
      <c r="AJ272" s="272">
        <f t="shared" si="113"/>
        <v>5.5436542579803207</v>
      </c>
      <c r="AK272" s="272">
        <f t="shared" si="125"/>
        <v>5</v>
      </c>
      <c r="AL272" s="272">
        <f t="shared" si="114"/>
        <v>6.1181815228214029</v>
      </c>
      <c r="AM272" s="272">
        <f t="shared" si="126"/>
        <v>6</v>
      </c>
      <c r="AN272" s="272">
        <f t="shared" si="115"/>
        <v>5.5436542579803207</v>
      </c>
      <c r="AO272" s="272">
        <f t="shared" si="127"/>
        <v>5</v>
      </c>
      <c r="AP272" s="272">
        <f t="shared" si="116"/>
        <v>6.1181815228214029</v>
      </c>
      <c r="AQ272" s="272">
        <f t="shared" si="128"/>
        <v>6</v>
      </c>
      <c r="AR272" s="272">
        <f t="shared" si="117"/>
        <v>5.5436542579803207</v>
      </c>
      <c r="AS272" s="272">
        <f t="shared" si="129"/>
        <v>5</v>
      </c>
      <c r="AT272" s="508">
        <f t="shared" si="118"/>
        <v>6.1181815228214029</v>
      </c>
    </row>
    <row r="273" spans="1:46" ht="12.75" customHeight="1">
      <c r="A273" s="96">
        <f>IF(MAX($F$93:F273)=$G$88,$G$88,F273)</f>
        <v>0.47736266098264235</v>
      </c>
      <c r="B273" s="481">
        <v>181</v>
      </c>
      <c r="C273" s="96">
        <f t="shared" si="106"/>
        <v>0.27150000000000019</v>
      </c>
      <c r="D273" s="96">
        <f t="shared" si="103"/>
        <v>4.7907562151352305</v>
      </c>
      <c r="E273" s="96">
        <f t="shared" si="104"/>
        <v>0.9795149942248782</v>
      </c>
      <c r="F273" s="96">
        <f t="shared" si="102"/>
        <v>0.47736266098264235</v>
      </c>
      <c r="G273" s="96">
        <f t="shared" si="105"/>
        <v>0.36136266098264236</v>
      </c>
      <c r="I273" s="96">
        <f t="shared" si="107"/>
        <v>0</v>
      </c>
      <c r="J273" s="96">
        <f t="shared" si="108"/>
        <v>0.27150000000000019</v>
      </c>
      <c r="Y273" s="96">
        <f t="shared" si="119"/>
        <v>7</v>
      </c>
      <c r="Z273" s="96">
        <v>0.79999999999998395</v>
      </c>
      <c r="AA273" s="272">
        <f t="shared" si="120"/>
        <v>7</v>
      </c>
      <c r="AB273" s="519">
        <f t="shared" si="121"/>
        <v>3.6013676444008889</v>
      </c>
      <c r="AC273" s="272">
        <f t="shared" si="109"/>
        <v>3</v>
      </c>
      <c r="AD273" s="272">
        <f t="shared" si="110"/>
        <v>9.4949667032705172</v>
      </c>
      <c r="AE273" s="272">
        <f t="shared" si="122"/>
        <v>4</v>
      </c>
      <c r="AF273" s="272">
        <f t="shared" si="111"/>
        <v>7.2268569574893746</v>
      </c>
      <c r="AG273" s="272">
        <f t="shared" si="123"/>
        <v>5</v>
      </c>
      <c r="AH273" s="272">
        <f t="shared" si="112"/>
        <v>6.194897783322407</v>
      </c>
      <c r="AI273" s="272">
        <f t="shared" si="124"/>
        <v>6</v>
      </c>
      <c r="AJ273" s="272">
        <f t="shared" si="113"/>
        <v>5.6131664851995282</v>
      </c>
      <c r="AK273" s="272">
        <f t="shared" si="125"/>
        <v>5</v>
      </c>
      <c r="AL273" s="272">
        <f t="shared" si="114"/>
        <v>6.194897783322407</v>
      </c>
      <c r="AM273" s="272">
        <f t="shared" si="126"/>
        <v>6</v>
      </c>
      <c r="AN273" s="272">
        <f t="shared" si="115"/>
        <v>5.6131664851995282</v>
      </c>
      <c r="AO273" s="272">
        <f t="shared" si="127"/>
        <v>5</v>
      </c>
      <c r="AP273" s="272">
        <f t="shared" si="116"/>
        <v>6.194897783322407</v>
      </c>
      <c r="AQ273" s="272">
        <f t="shared" si="128"/>
        <v>6</v>
      </c>
      <c r="AR273" s="272">
        <f t="shared" si="117"/>
        <v>5.6131664851995282</v>
      </c>
      <c r="AS273" s="272">
        <f t="shared" si="129"/>
        <v>5</v>
      </c>
      <c r="AT273" s="508">
        <f t="shared" si="118"/>
        <v>6.194897783322407</v>
      </c>
    </row>
    <row r="274" spans="1:46" ht="12.75" customHeight="1">
      <c r="A274" s="96">
        <f>IF(MAX($F$93:F274)=$G$88,$G$88,F274)</f>
        <v>0.49662981690399283</v>
      </c>
      <c r="B274" s="481">
        <v>182</v>
      </c>
      <c r="C274" s="96">
        <f t="shared" si="106"/>
        <v>0.27300000000000019</v>
      </c>
      <c r="D274" s="96">
        <f t="shared" si="103"/>
        <v>4.843838981415078</v>
      </c>
      <c r="E274" s="96">
        <f t="shared" si="104"/>
        <v>0.9784717061396736</v>
      </c>
      <c r="F274" s="96">
        <f t="shared" si="102"/>
        <v>0.49662981690399283</v>
      </c>
      <c r="G274" s="96">
        <f t="shared" si="105"/>
        <v>0.38062981690399283</v>
      </c>
      <c r="I274" s="96">
        <f t="shared" si="107"/>
        <v>0</v>
      </c>
      <c r="J274" s="96">
        <f t="shared" si="108"/>
        <v>0.27300000000000019</v>
      </c>
      <c r="Y274" s="96">
        <f t="shared" si="119"/>
        <v>7</v>
      </c>
      <c r="Z274" s="517">
        <v>0.79499999999998405</v>
      </c>
      <c r="AA274" s="272">
        <f t="shared" si="120"/>
        <v>7</v>
      </c>
      <c r="AB274" s="519">
        <f t="shared" si="121"/>
        <v>3.6468103198711588</v>
      </c>
      <c r="AC274" s="272">
        <f t="shared" si="109"/>
        <v>3</v>
      </c>
      <c r="AD274" s="272">
        <f t="shared" si="110"/>
        <v>9.6147758238885039</v>
      </c>
      <c r="AE274" s="272">
        <f t="shared" si="122"/>
        <v>4</v>
      </c>
      <c r="AF274" s="272">
        <f t="shared" si="111"/>
        <v>7.3180466797882993</v>
      </c>
      <c r="AG274" s="272">
        <f t="shared" si="123"/>
        <v>5</v>
      </c>
      <c r="AH274" s="272">
        <f t="shared" si="112"/>
        <v>6.2730660675231835</v>
      </c>
      <c r="AI274" s="272">
        <f t="shared" si="124"/>
        <v>6</v>
      </c>
      <c r="AJ274" s="272">
        <f t="shared" si="113"/>
        <v>5.6839943839685114</v>
      </c>
      <c r="AK274" s="272">
        <f t="shared" si="125"/>
        <v>5</v>
      </c>
      <c r="AL274" s="272">
        <f t="shared" si="114"/>
        <v>6.2730660675231835</v>
      </c>
      <c r="AM274" s="272">
        <f t="shared" si="126"/>
        <v>6</v>
      </c>
      <c r="AN274" s="272">
        <f t="shared" si="115"/>
        <v>5.6839943839685114</v>
      </c>
      <c r="AO274" s="272">
        <f t="shared" si="127"/>
        <v>5</v>
      </c>
      <c r="AP274" s="272">
        <f t="shared" si="116"/>
        <v>6.2730660675231835</v>
      </c>
      <c r="AQ274" s="272">
        <f t="shared" si="128"/>
        <v>6</v>
      </c>
      <c r="AR274" s="272">
        <f t="shared" si="117"/>
        <v>5.6839943839685114</v>
      </c>
      <c r="AS274" s="272">
        <f t="shared" si="129"/>
        <v>5</v>
      </c>
      <c r="AT274" s="508">
        <f t="shared" si="118"/>
        <v>6.2730660675231835</v>
      </c>
    </row>
    <row r="275" spans="1:46" ht="12.75" customHeight="1">
      <c r="A275" s="96">
        <f>IF(MAX($F$93:F275)=$G$88,$G$88,F275)</f>
        <v>0.51641202333624348</v>
      </c>
      <c r="B275" s="481">
        <v>183</v>
      </c>
      <c r="C275" s="96">
        <f t="shared" si="106"/>
        <v>0.27450000000000019</v>
      </c>
      <c r="D275" s="96">
        <f t="shared" si="103"/>
        <v>4.8972142147267705</v>
      </c>
      <c r="E275" s="96">
        <f t="shared" si="104"/>
        <v>0.97738658072386109</v>
      </c>
      <c r="F275" s="96">
        <f t="shared" si="102"/>
        <v>0.51641202333624348</v>
      </c>
      <c r="G275" s="96">
        <f t="shared" si="105"/>
        <v>0.40041202333624348</v>
      </c>
      <c r="I275" s="96">
        <f t="shared" si="107"/>
        <v>0</v>
      </c>
      <c r="J275" s="96">
        <f t="shared" si="108"/>
        <v>0.27450000000000019</v>
      </c>
      <c r="Y275" s="96">
        <f t="shared" si="119"/>
        <v>7</v>
      </c>
      <c r="Z275" s="96">
        <v>0.78999999999998405</v>
      </c>
      <c r="AA275" s="272">
        <f t="shared" si="120"/>
        <v>7</v>
      </c>
      <c r="AB275" s="519">
        <f t="shared" si="121"/>
        <v>3.6931185585908821</v>
      </c>
      <c r="AC275" s="272">
        <f t="shared" si="109"/>
        <v>3</v>
      </c>
      <c r="AD275" s="272">
        <f t="shared" si="110"/>
        <v>9.7368669926183813</v>
      </c>
      <c r="AE275" s="272">
        <f t="shared" si="122"/>
        <v>4</v>
      </c>
      <c r="AF275" s="272">
        <f t="shared" si="111"/>
        <v>7.4109733260586452</v>
      </c>
      <c r="AG275" s="272">
        <f t="shared" si="123"/>
        <v>5</v>
      </c>
      <c r="AH275" s="272">
        <f t="shared" si="112"/>
        <v>6.3527232516044556</v>
      </c>
      <c r="AI275" s="272">
        <f t="shared" si="124"/>
        <v>6</v>
      </c>
      <c r="AJ275" s="272">
        <f t="shared" si="113"/>
        <v>5.7561713676136828</v>
      </c>
      <c r="AK275" s="272">
        <f t="shared" si="125"/>
        <v>5</v>
      </c>
      <c r="AL275" s="272">
        <f t="shared" si="114"/>
        <v>6.3527232516044556</v>
      </c>
      <c r="AM275" s="272">
        <f t="shared" si="126"/>
        <v>6</v>
      </c>
      <c r="AN275" s="272">
        <f t="shared" si="115"/>
        <v>5.7561713676136828</v>
      </c>
      <c r="AO275" s="272">
        <f t="shared" si="127"/>
        <v>5</v>
      </c>
      <c r="AP275" s="272">
        <f t="shared" si="116"/>
        <v>6.3527232516044556</v>
      </c>
      <c r="AQ275" s="272">
        <f t="shared" si="128"/>
        <v>6</v>
      </c>
      <c r="AR275" s="272">
        <f t="shared" si="117"/>
        <v>5.7561713676136828</v>
      </c>
      <c r="AS275" s="272">
        <f t="shared" si="129"/>
        <v>5</v>
      </c>
      <c r="AT275" s="508">
        <f t="shared" si="118"/>
        <v>6.3527232516044556</v>
      </c>
    </row>
    <row r="276" spans="1:46" ht="12.75" customHeight="1">
      <c r="A276" s="96">
        <f>IF(MAX($F$93:F276)=$G$88,$G$88,F276)</f>
        <v>0.53671140459882927</v>
      </c>
      <c r="B276" s="481">
        <v>184</v>
      </c>
      <c r="C276" s="96">
        <f t="shared" si="106"/>
        <v>0.27600000000000019</v>
      </c>
      <c r="D276" s="96">
        <f t="shared" si="103"/>
        <v>4.9508819150703083</v>
      </c>
      <c r="E276" s="96">
        <f t="shared" si="104"/>
        <v>0.97625851175394684</v>
      </c>
      <c r="F276" s="96">
        <f t="shared" si="102"/>
        <v>0.53671140459882927</v>
      </c>
      <c r="G276" s="96">
        <f t="shared" si="105"/>
        <v>0.42071140459882927</v>
      </c>
      <c r="I276" s="96">
        <f t="shared" si="107"/>
        <v>0</v>
      </c>
      <c r="J276" s="96">
        <f t="shared" si="108"/>
        <v>0.27600000000000019</v>
      </c>
      <c r="Y276" s="96">
        <f t="shared" si="119"/>
        <v>7</v>
      </c>
      <c r="Z276" s="517">
        <v>0.78499999999998404</v>
      </c>
      <c r="AA276" s="272">
        <f t="shared" si="120"/>
        <v>7</v>
      </c>
      <c r="AB276" s="519">
        <f t="shared" si="121"/>
        <v>3.740314483210792</v>
      </c>
      <c r="AC276" s="272">
        <f t="shared" si="109"/>
        <v>3</v>
      </c>
      <c r="AD276" s="272">
        <f t="shared" si="110"/>
        <v>9.8612985355886806</v>
      </c>
      <c r="AE276" s="272">
        <f t="shared" si="122"/>
        <v>4</v>
      </c>
      <c r="AF276" s="272">
        <f t="shared" si="111"/>
        <v>7.5056812897775984</v>
      </c>
      <c r="AG276" s="272">
        <f t="shared" si="123"/>
        <v>5</v>
      </c>
      <c r="AH276" s="272">
        <f t="shared" si="112"/>
        <v>6.4339073898760057</v>
      </c>
      <c r="AI276" s="272">
        <f t="shared" si="124"/>
        <v>6</v>
      </c>
      <c r="AJ276" s="272">
        <f t="shared" si="113"/>
        <v>5.8297319169584165</v>
      </c>
      <c r="AK276" s="272">
        <f t="shared" si="125"/>
        <v>5</v>
      </c>
      <c r="AL276" s="272">
        <f t="shared" si="114"/>
        <v>6.4339073898760057</v>
      </c>
      <c r="AM276" s="272">
        <f t="shared" si="126"/>
        <v>6</v>
      </c>
      <c r="AN276" s="272">
        <f t="shared" si="115"/>
        <v>5.8297319169584165</v>
      </c>
      <c r="AO276" s="272">
        <f t="shared" si="127"/>
        <v>5</v>
      </c>
      <c r="AP276" s="272">
        <f t="shared" si="116"/>
        <v>6.4339073898760057</v>
      </c>
      <c r="AQ276" s="272">
        <f t="shared" si="128"/>
        <v>6</v>
      </c>
      <c r="AR276" s="272">
        <f t="shared" si="117"/>
        <v>5.8297319169584165</v>
      </c>
      <c r="AS276" s="272">
        <f t="shared" si="129"/>
        <v>5</v>
      </c>
      <c r="AT276" s="508">
        <f t="shared" si="118"/>
        <v>6.4339073898760057</v>
      </c>
    </row>
    <row r="277" spans="1:46" ht="12.75" customHeight="1">
      <c r="A277" s="96">
        <f>IF(MAX($F$93:F277)=$G$88,$G$88,F277)</f>
        <v>0.55752957729206332</v>
      </c>
      <c r="B277" s="481">
        <v>185</v>
      </c>
      <c r="C277" s="96">
        <f t="shared" si="106"/>
        <v>0.27750000000000019</v>
      </c>
      <c r="D277" s="96">
        <f t="shared" si="103"/>
        <v>5.0048420824456912</v>
      </c>
      <c r="E277" s="96">
        <f t="shared" si="104"/>
        <v>0.9750863889898661</v>
      </c>
      <c r="F277" s="96">
        <f t="shared" si="102"/>
        <v>0.55752957729206332</v>
      </c>
      <c r="G277" s="96">
        <f t="shared" si="105"/>
        <v>0.44152957729206332</v>
      </c>
      <c r="I277" s="96">
        <f t="shared" si="107"/>
        <v>0</v>
      </c>
      <c r="J277" s="96">
        <f t="shared" si="108"/>
        <v>0.27750000000000019</v>
      </c>
      <c r="Y277" s="96">
        <f t="shared" si="119"/>
        <v>7</v>
      </c>
      <c r="Z277" s="96">
        <v>0.77999999999998304</v>
      </c>
      <c r="AA277" s="272">
        <f t="shared" si="120"/>
        <v>7</v>
      </c>
      <c r="AB277" s="519">
        <f t="shared" si="121"/>
        <v>3.7884209277064045</v>
      </c>
      <c r="AC277" s="272">
        <f t="shared" si="109"/>
        <v>3</v>
      </c>
      <c r="AD277" s="272">
        <f t="shared" si="110"/>
        <v>9.9881306543279944</v>
      </c>
      <c r="AE277" s="272">
        <f t="shared" si="122"/>
        <v>4</v>
      </c>
      <c r="AF277" s="272">
        <f t="shared" si="111"/>
        <v>7.6022163918363148</v>
      </c>
      <c r="AG277" s="272">
        <f t="shared" si="123"/>
        <v>5</v>
      </c>
      <c r="AH277" s="272">
        <f t="shared" si="112"/>
        <v>6.5166577602339801</v>
      </c>
      <c r="AI277" s="272">
        <f t="shared" si="124"/>
        <v>6</v>
      </c>
      <c r="AJ277" s="272">
        <f t="shared" si="113"/>
        <v>5.9047116215116873</v>
      </c>
      <c r="AK277" s="272">
        <f t="shared" si="125"/>
        <v>5</v>
      </c>
      <c r="AL277" s="272">
        <f t="shared" si="114"/>
        <v>6.5166577602339801</v>
      </c>
      <c r="AM277" s="272">
        <f t="shared" si="126"/>
        <v>6</v>
      </c>
      <c r="AN277" s="272">
        <f t="shared" si="115"/>
        <v>5.9047116215116873</v>
      </c>
      <c r="AO277" s="272">
        <f t="shared" si="127"/>
        <v>5</v>
      </c>
      <c r="AP277" s="272">
        <f t="shared" si="116"/>
        <v>6.5166577602339801</v>
      </c>
      <c r="AQ277" s="272">
        <f t="shared" si="128"/>
        <v>6</v>
      </c>
      <c r="AR277" s="272">
        <f t="shared" si="117"/>
        <v>5.9047116215116873</v>
      </c>
      <c r="AS277" s="272">
        <f t="shared" si="129"/>
        <v>5</v>
      </c>
      <c r="AT277" s="508">
        <f t="shared" si="118"/>
        <v>6.5166577602339801</v>
      </c>
    </row>
    <row r="278" spans="1:46" ht="12.75" customHeight="1">
      <c r="A278" s="96">
        <f>IF(MAX($F$93:F278)=$G$88,$G$88,F278)</f>
        <v>0.57886763481455417</v>
      </c>
      <c r="B278" s="481">
        <v>186</v>
      </c>
      <c r="C278" s="96">
        <f t="shared" si="106"/>
        <v>0.27900000000000019</v>
      </c>
      <c r="D278" s="96">
        <f t="shared" si="103"/>
        <v>5.0590947168529175</v>
      </c>
      <c r="E278" s="96">
        <f t="shared" si="104"/>
        <v>0.973869099279838</v>
      </c>
      <c r="F278" s="96">
        <f t="shared" si="102"/>
        <v>0.57886763481455417</v>
      </c>
      <c r="G278" s="96">
        <f t="shared" si="105"/>
        <v>0.46286763481455417</v>
      </c>
      <c r="I278" s="96">
        <f t="shared" si="107"/>
        <v>0</v>
      </c>
      <c r="J278" s="96">
        <f t="shared" si="108"/>
        <v>0.27900000000000019</v>
      </c>
      <c r="Y278" s="96">
        <f t="shared" si="119"/>
        <v>7</v>
      </c>
      <c r="Z278" s="517">
        <v>0.77499999999998304</v>
      </c>
      <c r="AA278" s="272">
        <f t="shared" si="120"/>
        <v>7</v>
      </c>
      <c r="AB278" s="519">
        <f t="shared" si="121"/>
        <v>3.837461465001585</v>
      </c>
      <c r="AC278" s="272">
        <f t="shared" si="109"/>
        <v>3</v>
      </c>
      <c r="AD278" s="272">
        <f t="shared" si="110"/>
        <v>10.117425498594219</v>
      </c>
      <c r="AE278" s="272">
        <f t="shared" si="122"/>
        <v>4</v>
      </c>
      <c r="AF278" s="272">
        <f t="shared" si="111"/>
        <v>7.7006259359720568</v>
      </c>
      <c r="AG278" s="272">
        <f t="shared" si="123"/>
        <v>5</v>
      </c>
      <c r="AH278" s="272">
        <f t="shared" si="112"/>
        <v>6.601014911677594</v>
      </c>
      <c r="AI278" s="272">
        <f t="shared" si="124"/>
        <v>6</v>
      </c>
      <c r="AJ278" s="272">
        <f t="shared" si="113"/>
        <v>5.9811472225227256</v>
      </c>
      <c r="AK278" s="272">
        <f t="shared" si="125"/>
        <v>5</v>
      </c>
      <c r="AL278" s="272">
        <f t="shared" si="114"/>
        <v>6.601014911677594</v>
      </c>
      <c r="AM278" s="272">
        <f t="shared" si="126"/>
        <v>6</v>
      </c>
      <c r="AN278" s="272">
        <f t="shared" si="115"/>
        <v>5.9811472225227256</v>
      </c>
      <c r="AO278" s="272">
        <f t="shared" si="127"/>
        <v>5</v>
      </c>
      <c r="AP278" s="272">
        <f t="shared" si="116"/>
        <v>6.601014911677594</v>
      </c>
      <c r="AQ278" s="272">
        <f t="shared" si="128"/>
        <v>6</v>
      </c>
      <c r="AR278" s="272">
        <f t="shared" si="117"/>
        <v>5.9811472225227256</v>
      </c>
      <c r="AS278" s="272">
        <f t="shared" si="129"/>
        <v>5</v>
      </c>
      <c r="AT278" s="508">
        <f t="shared" si="118"/>
        <v>6.601014911677594</v>
      </c>
    </row>
    <row r="279" spans="1:46" ht="12.75" customHeight="1">
      <c r="A279" s="96">
        <f>IF(MAX($F$93:F279)=$G$88,$G$88,F279)</f>
        <v>0.60072613245432105</v>
      </c>
      <c r="B279" s="481">
        <v>187</v>
      </c>
      <c r="C279" s="96">
        <f t="shared" si="106"/>
        <v>0.28050000000000019</v>
      </c>
      <c r="D279" s="96">
        <f t="shared" si="103"/>
        <v>5.1136398182919898</v>
      </c>
      <c r="E279" s="96">
        <f t="shared" si="104"/>
        <v>0.97260552769780373</v>
      </c>
      <c r="F279" s="96">
        <f t="shared" si="102"/>
        <v>0.60072613245432105</v>
      </c>
      <c r="G279" s="96">
        <f t="shared" si="105"/>
        <v>0.48472613245432106</v>
      </c>
      <c r="I279" s="96">
        <f t="shared" si="107"/>
        <v>0</v>
      </c>
      <c r="J279" s="96">
        <f t="shared" si="108"/>
        <v>0.28050000000000019</v>
      </c>
      <c r="Y279" s="96">
        <f t="shared" si="119"/>
        <v>7</v>
      </c>
      <c r="Z279" s="96">
        <v>0.76999999999998303</v>
      </c>
      <c r="AA279" s="272">
        <f t="shared" si="120"/>
        <v>7</v>
      </c>
      <c r="AB279" s="519">
        <f t="shared" si="121"/>
        <v>3.8874604358518767</v>
      </c>
      <c r="AC279" s="272">
        <f t="shared" si="109"/>
        <v>3</v>
      </c>
      <c r="AD279" s="272">
        <f t="shared" si="110"/>
        <v>10.24924724252514</v>
      </c>
      <c r="AE279" s="272">
        <f t="shared" si="122"/>
        <v>4</v>
      </c>
      <c r="AF279" s="272">
        <f t="shared" si="111"/>
        <v>7.8009587667283142</v>
      </c>
      <c r="AG279" s="272">
        <f t="shared" si="123"/>
        <v>5</v>
      </c>
      <c r="AH279" s="272">
        <f t="shared" si="112"/>
        <v>6.6870207139928421</v>
      </c>
      <c r="AI279" s="272">
        <f t="shared" si="124"/>
        <v>6</v>
      </c>
      <c r="AJ279" s="272">
        <f t="shared" si="113"/>
        <v>6.0590766579991779</v>
      </c>
      <c r="AK279" s="272">
        <f t="shared" si="125"/>
        <v>6</v>
      </c>
      <c r="AL279" s="272">
        <f t="shared" si="114"/>
        <v>6.0590766579991779</v>
      </c>
      <c r="AM279" s="272">
        <f t="shared" si="126"/>
        <v>6</v>
      </c>
      <c r="AN279" s="272">
        <f t="shared" si="115"/>
        <v>6.0590766579991779</v>
      </c>
      <c r="AO279" s="272">
        <f t="shared" si="127"/>
        <v>6</v>
      </c>
      <c r="AP279" s="272">
        <f t="shared" si="116"/>
        <v>6.0590766579991779</v>
      </c>
      <c r="AQ279" s="272">
        <f t="shared" si="128"/>
        <v>6</v>
      </c>
      <c r="AR279" s="272">
        <f t="shared" si="117"/>
        <v>6.0590766579991779</v>
      </c>
      <c r="AS279" s="272">
        <f t="shared" si="129"/>
        <v>6</v>
      </c>
      <c r="AT279" s="508">
        <f t="shared" si="118"/>
        <v>6.0590766579991779</v>
      </c>
    </row>
    <row r="280" spans="1:46" ht="12.75" customHeight="1">
      <c r="A280" s="96">
        <f>IF(MAX($F$93:F280)=$G$88,$G$88,F280)</f>
        <v>0.62310507309559771</v>
      </c>
      <c r="B280" s="481">
        <v>188</v>
      </c>
      <c r="C280" s="96">
        <f t="shared" si="106"/>
        <v>0.28200000000000019</v>
      </c>
      <c r="D280" s="96">
        <f t="shared" si="103"/>
        <v>5.1684773867629072</v>
      </c>
      <c r="E280" s="96">
        <f t="shared" si="104"/>
        <v>0.97129455871217663</v>
      </c>
      <c r="F280" s="96">
        <f t="shared" si="102"/>
        <v>0.62310507309559771</v>
      </c>
      <c r="G280" s="96">
        <f t="shared" si="105"/>
        <v>0.50710507309559771</v>
      </c>
      <c r="I280" s="96">
        <f t="shared" si="107"/>
        <v>0</v>
      </c>
      <c r="J280" s="96">
        <f t="shared" si="108"/>
        <v>0.28200000000000019</v>
      </c>
      <c r="Y280" s="96">
        <f t="shared" si="119"/>
        <v>7</v>
      </c>
      <c r="Z280" s="517">
        <v>0.76499999999998303</v>
      </c>
      <c r="AA280" s="272">
        <f t="shared" si="120"/>
        <v>7</v>
      </c>
      <c r="AB280" s="519">
        <f t="shared" si="121"/>
        <v>3.9384429790534901</v>
      </c>
      <c r="AC280" s="272">
        <f t="shared" si="109"/>
        <v>3</v>
      </c>
      <c r="AD280" s="272">
        <f t="shared" si="110"/>
        <v>10.38366216428409</v>
      </c>
      <c r="AE280" s="272">
        <f t="shared" si="122"/>
        <v>4</v>
      </c>
      <c r="AF280" s="272">
        <f t="shared" si="111"/>
        <v>7.9032653300751301</v>
      </c>
      <c r="AG280" s="272">
        <f t="shared" si="123"/>
        <v>5</v>
      </c>
      <c r="AH280" s="272">
        <f t="shared" si="112"/>
        <v>6.7747184097165309</v>
      </c>
      <c r="AI280" s="272">
        <f t="shared" si="124"/>
        <v>6</v>
      </c>
      <c r="AJ280" s="272">
        <f t="shared" si="113"/>
        <v>6.1385391097914708</v>
      </c>
      <c r="AK280" s="272">
        <f t="shared" si="125"/>
        <v>6</v>
      </c>
      <c r="AL280" s="272">
        <f t="shared" si="114"/>
        <v>6.1385391097914708</v>
      </c>
      <c r="AM280" s="272">
        <f t="shared" si="126"/>
        <v>6</v>
      </c>
      <c r="AN280" s="272">
        <f t="shared" si="115"/>
        <v>6.1385391097914708</v>
      </c>
      <c r="AO280" s="272">
        <f t="shared" si="127"/>
        <v>6</v>
      </c>
      <c r="AP280" s="272">
        <f t="shared" si="116"/>
        <v>6.1385391097914708</v>
      </c>
      <c r="AQ280" s="272">
        <f t="shared" si="128"/>
        <v>6</v>
      </c>
      <c r="AR280" s="272">
        <f t="shared" si="117"/>
        <v>6.1385391097914708</v>
      </c>
      <c r="AS280" s="272">
        <f t="shared" si="129"/>
        <v>6</v>
      </c>
      <c r="AT280" s="508">
        <f t="shared" si="118"/>
        <v>6.1385391097914708</v>
      </c>
    </row>
    <row r="281" spans="1:46" ht="12.75" customHeight="1">
      <c r="A281" s="96">
        <f>IF(MAX($F$93:F281)=$G$88,$G$88,F281)</f>
        <v>0.6460038935827731</v>
      </c>
      <c r="B281" s="481">
        <v>189</v>
      </c>
      <c r="C281" s="96">
        <f t="shared" si="106"/>
        <v>0.2835000000000002</v>
      </c>
      <c r="D281" s="96">
        <f t="shared" si="103"/>
        <v>5.223607422265669</v>
      </c>
      <c r="E281" s="96">
        <f t="shared" si="104"/>
        <v>0.96993507738453688</v>
      </c>
      <c r="F281" s="96">
        <f t="shared" si="102"/>
        <v>0.6460038935827731</v>
      </c>
      <c r="G281" s="96">
        <f t="shared" si="105"/>
        <v>0.53000389358277311</v>
      </c>
      <c r="I281" s="96">
        <f t="shared" si="107"/>
        <v>0</v>
      </c>
      <c r="J281" s="96">
        <f t="shared" si="108"/>
        <v>0.2835000000000002</v>
      </c>
      <c r="Y281" s="96">
        <f t="shared" si="119"/>
        <v>7</v>
      </c>
      <c r="Z281" s="96">
        <v>0.75999999999998302</v>
      </c>
      <c r="AA281" s="272">
        <f t="shared" si="120"/>
        <v>7</v>
      </c>
      <c r="AB281" s="519">
        <f t="shared" si="121"/>
        <v>3.990435063048094</v>
      </c>
      <c r="AC281" s="272">
        <f t="shared" si="109"/>
        <v>3</v>
      </c>
      <c r="AD281" s="272">
        <f t="shared" si="110"/>
        <v>10.520738729385661</v>
      </c>
      <c r="AE281" s="272">
        <f t="shared" si="122"/>
        <v>4</v>
      </c>
      <c r="AF281" s="272">
        <f t="shared" si="111"/>
        <v>8.0075977368303679</v>
      </c>
      <c r="AG281" s="272">
        <f t="shared" si="123"/>
        <v>5</v>
      </c>
      <c r="AH281" s="272">
        <f t="shared" si="112"/>
        <v>6.8641526685013128</v>
      </c>
      <c r="AI281" s="272">
        <f t="shared" si="124"/>
        <v>6</v>
      </c>
      <c r="AJ281" s="272">
        <f t="shared" si="113"/>
        <v>6.2195750528526919</v>
      </c>
      <c r="AK281" s="272">
        <f t="shared" si="125"/>
        <v>6</v>
      </c>
      <c r="AL281" s="272">
        <f t="shared" si="114"/>
        <v>6.2195750528526919</v>
      </c>
      <c r="AM281" s="272">
        <f t="shared" si="126"/>
        <v>6</v>
      </c>
      <c r="AN281" s="272">
        <f t="shared" si="115"/>
        <v>6.2195750528526919</v>
      </c>
      <c r="AO281" s="272">
        <f t="shared" si="127"/>
        <v>6</v>
      </c>
      <c r="AP281" s="272">
        <f t="shared" si="116"/>
        <v>6.2195750528526919</v>
      </c>
      <c r="AQ281" s="272">
        <f t="shared" si="128"/>
        <v>6</v>
      </c>
      <c r="AR281" s="272">
        <f t="shared" si="117"/>
        <v>6.2195750528526919</v>
      </c>
      <c r="AS281" s="272">
        <f t="shared" si="129"/>
        <v>6</v>
      </c>
      <c r="AT281" s="508">
        <f t="shared" si="118"/>
        <v>6.2195750528526919</v>
      </c>
    </row>
    <row r="282" spans="1:46" ht="12.75" customHeight="1">
      <c r="A282" s="96">
        <f>IF(MAX($F$93:F282)=$G$88,$G$88,F282)</f>
        <v>0.66942145178154511</v>
      </c>
      <c r="B282" s="481">
        <v>190</v>
      </c>
      <c r="C282" s="96">
        <f t="shared" si="106"/>
        <v>0.2850000000000002</v>
      </c>
      <c r="D282" s="96">
        <f t="shared" si="103"/>
        <v>5.2790299248002759</v>
      </c>
      <c r="E282" s="96">
        <f t="shared" si="104"/>
        <v>0.96852597059682188</v>
      </c>
      <c r="F282" s="96">
        <f t="shared" si="102"/>
        <v>0.66942145178154511</v>
      </c>
      <c r="G282" s="96">
        <f t="shared" si="105"/>
        <v>0.55342145178154512</v>
      </c>
      <c r="I282" s="96">
        <f t="shared" si="107"/>
        <v>0</v>
      </c>
      <c r="J282" s="96">
        <f t="shared" si="108"/>
        <v>0.2850000000000002</v>
      </c>
      <c r="Y282" s="96">
        <f t="shared" si="119"/>
        <v>7</v>
      </c>
      <c r="Z282" s="517">
        <v>0.75499999999998302</v>
      </c>
      <c r="AA282" s="272">
        <f t="shared" si="120"/>
        <v>7</v>
      </c>
      <c r="AB282" s="519">
        <f t="shared" si="121"/>
        <v>4.0434635189975525</v>
      </c>
      <c r="AC282" s="272">
        <f t="shared" si="109"/>
        <v>4</v>
      </c>
      <c r="AD282" s="272">
        <f t="shared" si="110"/>
        <v>8.1140098290306941</v>
      </c>
      <c r="AE282" s="272">
        <f t="shared" si="122"/>
        <v>5</v>
      </c>
      <c r="AF282" s="272">
        <f t="shared" si="111"/>
        <v>6.9553696440092265</v>
      </c>
      <c r="AG282" s="272">
        <f t="shared" si="123"/>
        <v>6</v>
      </c>
      <c r="AH282" s="272">
        <f t="shared" si="112"/>
        <v>6.3022263067895556</v>
      </c>
      <c r="AI282" s="272">
        <f t="shared" si="124"/>
        <v>6</v>
      </c>
      <c r="AJ282" s="272">
        <f t="shared" si="113"/>
        <v>6.3022263067895556</v>
      </c>
      <c r="AK282" s="272">
        <f t="shared" si="125"/>
        <v>6</v>
      </c>
      <c r="AL282" s="272">
        <f t="shared" si="114"/>
        <v>6.3022263067895556</v>
      </c>
      <c r="AM282" s="272">
        <f t="shared" si="126"/>
        <v>6</v>
      </c>
      <c r="AN282" s="272">
        <f t="shared" si="115"/>
        <v>6.3022263067895556</v>
      </c>
      <c r="AO282" s="272">
        <f t="shared" si="127"/>
        <v>6</v>
      </c>
      <c r="AP282" s="272">
        <f t="shared" si="116"/>
        <v>6.3022263067895556</v>
      </c>
      <c r="AQ282" s="272">
        <f t="shared" si="128"/>
        <v>6</v>
      </c>
      <c r="AR282" s="272">
        <f t="shared" si="117"/>
        <v>6.3022263067895556</v>
      </c>
      <c r="AS282" s="272">
        <f t="shared" si="129"/>
        <v>6</v>
      </c>
      <c r="AT282" s="508">
        <f t="shared" si="118"/>
        <v>6.3022263067895556</v>
      </c>
    </row>
    <row r="283" spans="1:46" ht="12.75" customHeight="1">
      <c r="A283" s="96">
        <f>IF(MAX($F$93:F283)=$G$88,$G$88,F283)</f>
        <v>0.69335601437676686</v>
      </c>
      <c r="B283" s="481">
        <v>191</v>
      </c>
      <c r="C283" s="96">
        <f t="shared" si="106"/>
        <v>0.2865000000000002</v>
      </c>
      <c r="D283" s="96">
        <f t="shared" si="103"/>
        <v>5.3347448943667279</v>
      </c>
      <c r="E283" s="96">
        <f t="shared" si="104"/>
        <v>0.96706612830547312</v>
      </c>
      <c r="F283" s="96">
        <f t="shared" si="102"/>
        <v>0.69335601437676686</v>
      </c>
      <c r="G283" s="96">
        <f t="shared" si="105"/>
        <v>0.57735601437676687</v>
      </c>
      <c r="I283" s="96">
        <f t="shared" si="107"/>
        <v>0</v>
      </c>
      <c r="J283" s="96">
        <f t="shared" si="108"/>
        <v>0.2865000000000002</v>
      </c>
      <c r="Y283" s="96">
        <f t="shared" si="119"/>
        <v>7</v>
      </c>
      <c r="Z283" s="96">
        <v>0.74999999999998301</v>
      </c>
      <c r="AA283" s="272">
        <f t="shared" si="120"/>
        <v>7</v>
      </c>
      <c r="AB283" s="519">
        <f t="shared" si="121"/>
        <v>4.0975560754072555</v>
      </c>
      <c r="AC283" s="272">
        <f t="shared" si="109"/>
        <v>4</v>
      </c>
      <c r="AD283" s="272">
        <f t="shared" si="110"/>
        <v>8.2225572494101744</v>
      </c>
      <c r="AE283" s="272">
        <f t="shared" si="122"/>
        <v>5</v>
      </c>
      <c r="AF283" s="272">
        <f t="shared" si="111"/>
        <v>7.0484170334690841</v>
      </c>
      <c r="AG283" s="272">
        <f t="shared" si="123"/>
        <v>6</v>
      </c>
      <c r="AH283" s="272">
        <f t="shared" si="112"/>
        <v>6.386536089827052</v>
      </c>
      <c r="AI283" s="272">
        <f t="shared" si="124"/>
        <v>6</v>
      </c>
      <c r="AJ283" s="272">
        <f t="shared" si="113"/>
        <v>6.386536089827052</v>
      </c>
      <c r="AK283" s="272">
        <f t="shared" si="125"/>
        <v>6</v>
      </c>
      <c r="AL283" s="272">
        <f t="shared" si="114"/>
        <v>6.386536089827052</v>
      </c>
      <c r="AM283" s="272">
        <f t="shared" si="126"/>
        <v>6</v>
      </c>
      <c r="AN283" s="272">
        <f t="shared" si="115"/>
        <v>6.386536089827052</v>
      </c>
      <c r="AO283" s="272">
        <f t="shared" si="127"/>
        <v>6</v>
      </c>
      <c r="AP283" s="272">
        <f t="shared" si="116"/>
        <v>6.386536089827052</v>
      </c>
      <c r="AQ283" s="272">
        <f t="shared" si="128"/>
        <v>6</v>
      </c>
      <c r="AR283" s="272">
        <f t="shared" si="117"/>
        <v>6.386536089827052</v>
      </c>
      <c r="AS283" s="272">
        <f t="shared" si="129"/>
        <v>6</v>
      </c>
      <c r="AT283" s="508">
        <f t="shared" si="118"/>
        <v>6.386536089827052</v>
      </c>
    </row>
    <row r="284" spans="1:46" ht="12.75" customHeight="1">
      <c r="A284" s="96">
        <f>IF(MAX($F$93:F284)=$G$88,$G$88,F284)</f>
        <v>0.71780566644042965</v>
      </c>
      <c r="B284" s="481">
        <v>192</v>
      </c>
      <c r="C284" s="96">
        <f t="shared" si="106"/>
        <v>0.2880000000000002</v>
      </c>
      <c r="D284" s="96">
        <f t="shared" si="103"/>
        <v>5.3907523309650243</v>
      </c>
      <c r="E284" s="96">
        <f t="shared" si="104"/>
        <v>0.96555444482092145</v>
      </c>
      <c r="F284" s="96">
        <f t="shared" si="102"/>
        <v>0.71780566644042965</v>
      </c>
      <c r="G284" s="96">
        <f t="shared" si="105"/>
        <v>0.60180566644042965</v>
      </c>
      <c r="I284" s="96">
        <f t="shared" si="107"/>
        <v>0</v>
      </c>
      <c r="J284" s="96">
        <f t="shared" si="108"/>
        <v>0.2880000000000002</v>
      </c>
      <c r="Y284" s="96">
        <f t="shared" si="119"/>
        <v>7</v>
      </c>
      <c r="Z284" s="517">
        <v>0.74499999999998301</v>
      </c>
      <c r="AA284" s="272">
        <f t="shared" si="120"/>
        <v>7</v>
      </c>
      <c r="AB284" s="519">
        <f t="shared" si="121"/>
        <v>4.1527413943814819</v>
      </c>
      <c r="AC284" s="272">
        <f t="shared" si="109"/>
        <v>4</v>
      </c>
      <c r="AD284" s="272">
        <f t="shared" si="110"/>
        <v>8.3332975141538217</v>
      </c>
      <c r="AE284" s="272">
        <f t="shared" si="122"/>
        <v>5</v>
      </c>
      <c r="AF284" s="272">
        <f t="shared" si="111"/>
        <v>7.143344140041191</v>
      </c>
      <c r="AG284" s="272">
        <f t="shared" si="123"/>
        <v>6</v>
      </c>
      <c r="AH284" s="272">
        <f t="shared" si="112"/>
        <v>6.4725490753168202</v>
      </c>
      <c r="AI284" s="272">
        <f t="shared" si="124"/>
        <v>6</v>
      </c>
      <c r="AJ284" s="272">
        <f t="shared" si="113"/>
        <v>6.4725490753168202</v>
      </c>
      <c r="AK284" s="272">
        <f t="shared" si="125"/>
        <v>6</v>
      </c>
      <c r="AL284" s="272">
        <f t="shared" si="114"/>
        <v>6.4725490753168202</v>
      </c>
      <c r="AM284" s="272">
        <f t="shared" si="126"/>
        <v>6</v>
      </c>
      <c r="AN284" s="272">
        <f t="shared" si="115"/>
        <v>6.4725490753168202</v>
      </c>
      <c r="AO284" s="272">
        <f t="shared" si="127"/>
        <v>6</v>
      </c>
      <c r="AP284" s="272">
        <f t="shared" si="116"/>
        <v>6.4725490753168202</v>
      </c>
      <c r="AQ284" s="272">
        <f t="shared" si="128"/>
        <v>6</v>
      </c>
      <c r="AR284" s="272">
        <f t="shared" si="117"/>
        <v>6.4725490753168202</v>
      </c>
      <c r="AS284" s="272">
        <f t="shared" si="129"/>
        <v>6</v>
      </c>
      <c r="AT284" s="508">
        <f t="shared" si="118"/>
        <v>6.4725490753168202</v>
      </c>
    </row>
    <row r="285" spans="1:46" ht="12.75" customHeight="1">
      <c r="A285" s="96">
        <f>IF(MAX($F$93:F285)=$G$88,$G$88,F285)</f>
        <v>0.7427666862313923</v>
      </c>
      <c r="B285" s="481">
        <v>193</v>
      </c>
      <c r="C285" s="96">
        <f t="shared" si="106"/>
        <v>0.2895000000000002</v>
      </c>
      <c r="D285" s="96">
        <f t="shared" si="103"/>
        <v>5.4470522345951649</v>
      </c>
      <c r="E285" s="96">
        <f t="shared" si="104"/>
        <v>0.9639898183064427</v>
      </c>
      <c r="F285" s="96">
        <f t="shared" ref="F285:F348" si="130">IF($E$12&lt;$F$90,NA(),$E$87*(E284-E286)/(2*$C$88))</f>
        <v>0.7427666862313923</v>
      </c>
      <c r="G285" s="96">
        <f t="shared" si="105"/>
        <v>0.62676668623139231</v>
      </c>
      <c r="I285" s="96">
        <f t="shared" si="107"/>
        <v>0</v>
      </c>
      <c r="J285" s="96">
        <f t="shared" si="108"/>
        <v>0.2895000000000002</v>
      </c>
      <c r="Y285" s="96">
        <f t="shared" si="119"/>
        <v>7</v>
      </c>
      <c r="Z285" s="96">
        <v>0.739999999999983</v>
      </c>
      <c r="AA285" s="272">
        <f t="shared" si="120"/>
        <v>7</v>
      </c>
      <c r="AB285" s="519">
        <f t="shared" si="121"/>
        <v>4.2090491095993094</v>
      </c>
      <c r="AC285" s="272">
        <f t="shared" si="109"/>
        <v>4</v>
      </c>
      <c r="AD285" s="272">
        <f t="shared" si="110"/>
        <v>8.4462900891037727</v>
      </c>
      <c r="AE285" s="272">
        <f t="shared" si="122"/>
        <v>5</v>
      </c>
      <c r="AF285" s="272">
        <f t="shared" si="111"/>
        <v>7.2402019381416434</v>
      </c>
      <c r="AG285" s="272">
        <f t="shared" si="123"/>
        <v>6</v>
      </c>
      <c r="AH285" s="272">
        <f t="shared" si="112"/>
        <v>6.5603114509271707</v>
      </c>
      <c r="AI285" s="272">
        <f t="shared" si="124"/>
        <v>6</v>
      </c>
      <c r="AJ285" s="272">
        <f t="shared" si="113"/>
        <v>6.5603114509271707</v>
      </c>
      <c r="AK285" s="272">
        <f t="shared" si="125"/>
        <v>6</v>
      </c>
      <c r="AL285" s="272">
        <f t="shared" si="114"/>
        <v>6.5603114509271707</v>
      </c>
      <c r="AM285" s="272">
        <f t="shared" si="126"/>
        <v>6</v>
      </c>
      <c r="AN285" s="272">
        <f t="shared" si="115"/>
        <v>6.5603114509271707</v>
      </c>
      <c r="AO285" s="272">
        <f t="shared" si="127"/>
        <v>6</v>
      </c>
      <c r="AP285" s="272">
        <f t="shared" si="116"/>
        <v>6.5603114509271707</v>
      </c>
      <c r="AQ285" s="272">
        <f t="shared" si="128"/>
        <v>6</v>
      </c>
      <c r="AR285" s="272">
        <f t="shared" si="117"/>
        <v>6.5603114509271707</v>
      </c>
      <c r="AS285" s="272">
        <f t="shared" si="129"/>
        <v>6</v>
      </c>
      <c r="AT285" s="508">
        <f t="shared" si="118"/>
        <v>6.5603114509271707</v>
      </c>
    </row>
    <row r="286" spans="1:46" ht="12.75" customHeight="1">
      <c r="A286" s="96">
        <f>IF(MAX($F$93:F286)=$G$88,$G$88,F286)</f>
        <v>0.76823544303924451</v>
      </c>
      <c r="B286" s="481">
        <v>194</v>
      </c>
      <c r="C286" s="96">
        <f t="shared" si="106"/>
        <v>0.2910000000000002</v>
      </c>
      <c r="D286" s="96">
        <f t="shared" ref="D286:D349" si="131">C286^2/$C$85</f>
        <v>5.5036446052571515</v>
      </c>
      <c r="E286" s="96">
        <f t="shared" ref="E286:E349" si="132">CHIDIST(D286,$E$85)</f>
        <v>0.96237115902278692</v>
      </c>
      <c r="F286" s="96">
        <f t="shared" si="130"/>
        <v>0.76823544303924451</v>
      </c>
      <c r="G286" s="96">
        <f t="shared" ref="G286:G349" si="133">F286-$G$90</f>
        <v>0.65223544303924452</v>
      </c>
      <c r="I286" s="96">
        <f t="shared" si="107"/>
        <v>0</v>
      </c>
      <c r="J286" s="96">
        <f t="shared" si="108"/>
        <v>0.2910000000000002</v>
      </c>
      <c r="Y286" s="96">
        <f t="shared" si="119"/>
        <v>7</v>
      </c>
      <c r="Z286" s="517">
        <v>0.734999999999982</v>
      </c>
      <c r="AA286" s="272">
        <f t="shared" si="120"/>
        <v>7</v>
      </c>
      <c r="AB286" s="519">
        <f t="shared" si="121"/>
        <v>4.2665098661050296</v>
      </c>
      <c r="AC286" s="272">
        <f t="shared" si="109"/>
        <v>4</v>
      </c>
      <c r="AD286" s="272">
        <f t="shared" si="110"/>
        <v>8.5615964696066271</v>
      </c>
      <c r="AE286" s="272">
        <f t="shared" si="122"/>
        <v>5</v>
      </c>
      <c r="AF286" s="272">
        <f t="shared" si="111"/>
        <v>7.3390431418878714</v>
      </c>
      <c r="AG286" s="272">
        <f t="shared" si="123"/>
        <v>6</v>
      </c>
      <c r="AH286" s="272">
        <f t="shared" si="112"/>
        <v>6.6498709806612624</v>
      </c>
      <c r="AI286" s="272">
        <f t="shared" si="124"/>
        <v>6</v>
      </c>
      <c r="AJ286" s="272">
        <f t="shared" si="113"/>
        <v>6.6498709806612624</v>
      </c>
      <c r="AK286" s="272">
        <f t="shared" si="125"/>
        <v>6</v>
      </c>
      <c r="AL286" s="272">
        <f t="shared" si="114"/>
        <v>6.6498709806612624</v>
      </c>
      <c r="AM286" s="272">
        <f t="shared" si="126"/>
        <v>6</v>
      </c>
      <c r="AN286" s="272">
        <f t="shared" si="115"/>
        <v>6.6498709806612624</v>
      </c>
      <c r="AO286" s="272">
        <f t="shared" si="127"/>
        <v>6</v>
      </c>
      <c r="AP286" s="272">
        <f t="shared" si="116"/>
        <v>6.6498709806612624</v>
      </c>
      <c r="AQ286" s="272">
        <f t="shared" si="128"/>
        <v>6</v>
      </c>
      <c r="AR286" s="272">
        <f t="shared" si="117"/>
        <v>6.6498709806612624</v>
      </c>
      <c r="AS286" s="272">
        <f t="shared" si="129"/>
        <v>6</v>
      </c>
      <c r="AT286" s="508">
        <f t="shared" si="118"/>
        <v>6.6498709806612624</v>
      </c>
    </row>
    <row r="287" spans="1:46" ht="12.75" customHeight="1">
      <c r="A287" s="96">
        <f>IF(MAX($F$93:F287)=$G$88,$G$88,F287)</f>
        <v>0.79420850703110224</v>
      </c>
      <c r="B287" s="481">
        <v>195</v>
      </c>
      <c r="C287" s="96">
        <f t="shared" si="106"/>
        <v>0.2925000000000002</v>
      </c>
      <c r="D287" s="96">
        <f t="shared" si="131"/>
        <v>5.5605294429509833</v>
      </c>
      <c r="E287" s="96">
        <f t="shared" si="132"/>
        <v>0.96069738069341737</v>
      </c>
      <c r="F287" s="96">
        <f t="shared" si="130"/>
        <v>0.79420850703110224</v>
      </c>
      <c r="G287" s="96">
        <f t="shared" si="133"/>
        <v>0.67820850703110225</v>
      </c>
      <c r="I287" s="96">
        <f t="shared" si="107"/>
        <v>0</v>
      </c>
      <c r="J287" s="96">
        <f t="shared" si="108"/>
        <v>0.2925000000000002</v>
      </c>
      <c r="Y287" s="96">
        <f t="shared" si="119"/>
        <v>7</v>
      </c>
      <c r="Z287" s="96">
        <v>0.729999999999982</v>
      </c>
      <c r="AA287" s="272">
        <f t="shared" si="120"/>
        <v>7</v>
      </c>
      <c r="AB287" s="519">
        <f t="shared" si="121"/>
        <v>4.3251553620127421</v>
      </c>
      <c r="AC287" s="272">
        <f t="shared" si="109"/>
        <v>4</v>
      </c>
      <c r="AD287" s="272">
        <f t="shared" si="110"/>
        <v>8.6792802642019922</v>
      </c>
      <c r="AE287" s="272">
        <f t="shared" si="122"/>
        <v>5</v>
      </c>
      <c r="AF287" s="272">
        <f t="shared" si="111"/>
        <v>7.4399222768368851</v>
      </c>
      <c r="AG287" s="272">
        <f t="shared" si="123"/>
        <v>6</v>
      </c>
      <c r="AH287" s="272">
        <f t="shared" si="112"/>
        <v>6.7412770698587563</v>
      </c>
      <c r="AI287" s="272">
        <f t="shared" si="124"/>
        <v>6</v>
      </c>
      <c r="AJ287" s="272">
        <f t="shared" si="113"/>
        <v>6.7412770698587563</v>
      </c>
      <c r="AK287" s="272">
        <f t="shared" si="125"/>
        <v>6</v>
      </c>
      <c r="AL287" s="272">
        <f t="shared" si="114"/>
        <v>6.7412770698587563</v>
      </c>
      <c r="AM287" s="272">
        <f t="shared" si="126"/>
        <v>6</v>
      </c>
      <c r="AN287" s="272">
        <f t="shared" si="115"/>
        <v>6.7412770698587563</v>
      </c>
      <c r="AO287" s="272">
        <f t="shared" si="127"/>
        <v>6</v>
      </c>
      <c r="AP287" s="272">
        <f t="shared" si="116"/>
        <v>6.7412770698587563</v>
      </c>
      <c r="AQ287" s="272">
        <f t="shared" si="128"/>
        <v>6</v>
      </c>
      <c r="AR287" s="272">
        <f t="shared" si="117"/>
        <v>6.7412770698587563</v>
      </c>
      <c r="AS287" s="272">
        <f t="shared" si="129"/>
        <v>6</v>
      </c>
      <c r="AT287" s="508">
        <f t="shared" si="118"/>
        <v>6.7412770698587563</v>
      </c>
    </row>
    <row r="288" spans="1:46" ht="12.75" customHeight="1">
      <c r="A288" s="96">
        <f>IF(MAX($F$93:F288)=$G$88,$G$88,F288)</f>
        <v>0.8206806737236837</v>
      </c>
      <c r="B288" s="481">
        <v>196</v>
      </c>
      <c r="C288" s="96">
        <f t="shared" si="106"/>
        <v>0.29400000000000021</v>
      </c>
      <c r="D288" s="96">
        <f t="shared" si="131"/>
        <v>5.6177067476766593</v>
      </c>
      <c r="E288" s="96">
        <f t="shared" si="132"/>
        <v>0.95896740827836791</v>
      </c>
      <c r="F288" s="96">
        <f t="shared" si="130"/>
        <v>0.8206806737236837</v>
      </c>
      <c r="G288" s="96">
        <f t="shared" si="133"/>
        <v>0.7046806737236837</v>
      </c>
      <c r="I288" s="96">
        <f t="shared" si="107"/>
        <v>0</v>
      </c>
      <c r="J288" s="96">
        <f t="shared" si="108"/>
        <v>0.29400000000000021</v>
      </c>
      <c r="Y288" s="96">
        <f t="shared" si="119"/>
        <v>7</v>
      </c>
      <c r="Z288" s="517">
        <v>0.72499999999998199</v>
      </c>
      <c r="AA288" s="272">
        <f t="shared" si="120"/>
        <v>7</v>
      </c>
      <c r="AB288" s="519">
        <f t="shared" si="121"/>
        <v>4.3850183922313271</v>
      </c>
      <c r="AC288" s="272">
        <f t="shared" si="109"/>
        <v>4</v>
      </c>
      <c r="AD288" s="272">
        <f t="shared" si="110"/>
        <v>8.7994072823652676</v>
      </c>
      <c r="AE288" s="272">
        <f t="shared" si="122"/>
        <v>5</v>
      </c>
      <c r="AF288" s="272">
        <f t="shared" si="111"/>
        <v>7.5428957551988152</v>
      </c>
      <c r="AG288" s="272">
        <f t="shared" si="123"/>
        <v>6</v>
      </c>
      <c r="AH288" s="272">
        <f t="shared" si="112"/>
        <v>6.8345808333464602</v>
      </c>
      <c r="AI288" s="272">
        <f t="shared" si="124"/>
        <v>6</v>
      </c>
      <c r="AJ288" s="272">
        <f t="shared" si="113"/>
        <v>6.8345808333464602</v>
      </c>
      <c r="AK288" s="272">
        <f t="shared" si="125"/>
        <v>6</v>
      </c>
      <c r="AL288" s="272">
        <f t="shared" si="114"/>
        <v>6.8345808333464602</v>
      </c>
      <c r="AM288" s="272">
        <f t="shared" si="126"/>
        <v>6</v>
      </c>
      <c r="AN288" s="272">
        <f t="shared" si="115"/>
        <v>6.8345808333464602</v>
      </c>
      <c r="AO288" s="272">
        <f t="shared" si="127"/>
        <v>6</v>
      </c>
      <c r="AP288" s="272">
        <f t="shared" si="116"/>
        <v>6.8345808333464602</v>
      </c>
      <c r="AQ288" s="272">
        <f t="shared" si="128"/>
        <v>6</v>
      </c>
      <c r="AR288" s="272">
        <f t="shared" si="117"/>
        <v>6.8345808333464602</v>
      </c>
      <c r="AS288" s="272">
        <f t="shared" si="129"/>
        <v>6</v>
      </c>
      <c r="AT288" s="508">
        <f t="shared" si="118"/>
        <v>6.8345808333464602</v>
      </c>
    </row>
    <row r="289" spans="1:46" ht="12.75" customHeight="1">
      <c r="A289" s="96">
        <f>IF(MAX($F$93:F289)=$G$88,$G$88,F289)</f>
        <v>0.84764645283444218</v>
      </c>
      <c r="B289" s="481">
        <v>197</v>
      </c>
      <c r="C289" s="96">
        <f t="shared" si="106"/>
        <v>0.29550000000000021</v>
      </c>
      <c r="D289" s="96">
        <f t="shared" si="131"/>
        <v>5.6751765194341806</v>
      </c>
      <c r="E289" s="96">
        <f t="shared" si="132"/>
        <v>0.95718017780603015</v>
      </c>
      <c r="F289" s="96">
        <f t="shared" si="130"/>
        <v>0.84764645283444218</v>
      </c>
      <c r="G289" s="96">
        <f t="shared" si="133"/>
        <v>0.73164645283444218</v>
      </c>
      <c r="I289" s="96">
        <f t="shared" si="107"/>
        <v>0</v>
      </c>
      <c r="J289" s="96">
        <f t="shared" si="108"/>
        <v>0.29550000000000021</v>
      </c>
      <c r="Y289" s="96">
        <f t="shared" si="119"/>
        <v>7</v>
      </c>
      <c r="Z289" s="96">
        <v>0.71999999999998199</v>
      </c>
      <c r="AA289" s="272">
        <f t="shared" si="120"/>
        <v>7</v>
      </c>
      <c r="AB289" s="519">
        <f t="shared" si="121"/>
        <v>4.4461328943221288</v>
      </c>
      <c r="AC289" s="272">
        <f t="shared" si="109"/>
        <v>4</v>
      </c>
      <c r="AD289" s="272">
        <f t="shared" si="110"/>
        <v>8.9220456265301813</v>
      </c>
      <c r="AE289" s="272">
        <f t="shared" si="122"/>
        <v>5</v>
      </c>
      <c r="AF289" s="272">
        <f t="shared" si="111"/>
        <v>7.6480219547190949</v>
      </c>
      <c r="AG289" s="272">
        <f t="shared" si="123"/>
        <v>6</v>
      </c>
      <c r="AH289" s="272">
        <f t="shared" si="112"/>
        <v>6.9298351669130671</v>
      </c>
      <c r="AI289" s="272">
        <f t="shared" si="124"/>
        <v>6</v>
      </c>
      <c r="AJ289" s="272">
        <f t="shared" si="113"/>
        <v>6.9298351669130671</v>
      </c>
      <c r="AK289" s="272">
        <f t="shared" si="125"/>
        <v>6</v>
      </c>
      <c r="AL289" s="272">
        <f t="shared" si="114"/>
        <v>6.9298351669130671</v>
      </c>
      <c r="AM289" s="272">
        <f t="shared" si="126"/>
        <v>6</v>
      </c>
      <c r="AN289" s="272">
        <f t="shared" si="115"/>
        <v>6.9298351669130671</v>
      </c>
      <c r="AO289" s="272">
        <f t="shared" si="127"/>
        <v>6</v>
      </c>
      <c r="AP289" s="272">
        <f t="shared" si="116"/>
        <v>6.9298351669130671</v>
      </c>
      <c r="AQ289" s="272">
        <f t="shared" si="128"/>
        <v>6</v>
      </c>
      <c r="AR289" s="272">
        <f t="shared" si="117"/>
        <v>6.9298351669130671</v>
      </c>
      <c r="AS289" s="272">
        <f t="shared" si="129"/>
        <v>6</v>
      </c>
      <c r="AT289" s="508">
        <f t="shared" si="118"/>
        <v>6.9298351669130671</v>
      </c>
    </row>
    <row r="290" spans="1:46" ht="12.75" customHeight="1">
      <c r="A290" s="96">
        <f>IF(MAX($F$93:F290)=$G$88,$G$88,F290)</f>
        <v>0.87509970120640546</v>
      </c>
      <c r="B290" s="481">
        <v>198</v>
      </c>
      <c r="C290" s="96">
        <f t="shared" si="106"/>
        <v>0.29700000000000021</v>
      </c>
      <c r="D290" s="96">
        <f t="shared" si="131"/>
        <v>5.732938758223546</v>
      </c>
      <c r="E290" s="96">
        <f t="shared" si="132"/>
        <v>0.9553346377662203</v>
      </c>
      <c r="F290" s="96">
        <f t="shared" si="130"/>
        <v>0.87509970120640546</v>
      </c>
      <c r="G290" s="96">
        <f t="shared" si="133"/>
        <v>0.75909970120640546</v>
      </c>
      <c r="I290" s="96">
        <f t="shared" si="107"/>
        <v>0</v>
      </c>
      <c r="J290" s="96">
        <f t="shared" si="108"/>
        <v>0.29700000000000021</v>
      </c>
      <c r="Y290" s="96">
        <f t="shared" si="119"/>
        <v>8</v>
      </c>
      <c r="Z290" s="517">
        <v>0.71499999999998198</v>
      </c>
      <c r="AA290" s="272">
        <f t="shared" si="120"/>
        <v>8</v>
      </c>
      <c r="AB290" s="519">
        <f t="shared" si="121"/>
        <v>4.508533996609307</v>
      </c>
      <c r="AC290" s="272">
        <f t="shared" si="109"/>
        <v>4</v>
      </c>
      <c r="AD290" s="272">
        <f t="shared" si="110"/>
        <v>9.0472657886317123</v>
      </c>
      <c r="AE290" s="272">
        <f t="shared" si="122"/>
        <v>5</v>
      </c>
      <c r="AF290" s="272">
        <f t="shared" si="111"/>
        <v>7.755361301435534</v>
      </c>
      <c r="AG290" s="272">
        <f t="shared" si="123"/>
        <v>6</v>
      </c>
      <c r="AH290" s="272">
        <f t="shared" si="112"/>
        <v>7.0270948222949485</v>
      </c>
      <c r="AI290" s="272">
        <f t="shared" si="124"/>
        <v>7</v>
      </c>
      <c r="AJ290" s="272">
        <f t="shared" si="113"/>
        <v>6.5624112844769806</v>
      </c>
      <c r="AK290" s="272">
        <f t="shared" si="125"/>
        <v>6</v>
      </c>
      <c r="AL290" s="272">
        <f t="shared" si="114"/>
        <v>7.0270948222949485</v>
      </c>
      <c r="AM290" s="272">
        <f t="shared" si="126"/>
        <v>7</v>
      </c>
      <c r="AN290" s="272">
        <f t="shared" si="115"/>
        <v>6.5624112844769806</v>
      </c>
      <c r="AO290" s="272">
        <f t="shared" si="127"/>
        <v>6</v>
      </c>
      <c r="AP290" s="272">
        <f t="shared" si="116"/>
        <v>7.0270948222949485</v>
      </c>
      <c r="AQ290" s="272">
        <f t="shared" si="128"/>
        <v>7</v>
      </c>
      <c r="AR290" s="272">
        <f t="shared" si="117"/>
        <v>6.5624112844769806</v>
      </c>
      <c r="AS290" s="272">
        <f t="shared" si="129"/>
        <v>6</v>
      </c>
      <c r="AT290" s="508">
        <f t="shared" si="118"/>
        <v>7.0270948222949485</v>
      </c>
    </row>
    <row r="291" spans="1:46" ht="12.75" customHeight="1">
      <c r="A291" s="96">
        <f>IF(MAX($F$93:F291)=$G$88,$G$88,F291)</f>
        <v>0.9030336177622833</v>
      </c>
      <c r="B291" s="481">
        <v>199</v>
      </c>
      <c r="C291" s="96">
        <f t="shared" si="106"/>
        <v>0.29850000000000021</v>
      </c>
      <c r="D291" s="96">
        <f t="shared" si="131"/>
        <v>5.7909934640447567</v>
      </c>
      <c r="E291" s="96">
        <f t="shared" si="132"/>
        <v>0.95342975051514556</v>
      </c>
      <c r="F291" s="96">
        <f t="shared" si="130"/>
        <v>0.9030336177622833</v>
      </c>
      <c r="G291" s="96">
        <f t="shared" si="133"/>
        <v>0.78703361776228331</v>
      </c>
      <c r="I291" s="96">
        <f t="shared" si="107"/>
        <v>0</v>
      </c>
      <c r="J291" s="96">
        <f t="shared" si="108"/>
        <v>0.29850000000000021</v>
      </c>
      <c r="Y291" s="96">
        <f t="shared" si="119"/>
        <v>8</v>
      </c>
      <c r="Z291" s="96">
        <v>0.70999999999998198</v>
      </c>
      <c r="AA291" s="272">
        <f t="shared" si="120"/>
        <v>8</v>
      </c>
      <c r="AB291" s="519">
        <f t="shared" si="121"/>
        <v>4.5722580686700924</v>
      </c>
      <c r="AC291" s="272">
        <f t="shared" si="109"/>
        <v>4</v>
      </c>
      <c r="AD291" s="272">
        <f t="shared" si="110"/>
        <v>9.1751407514248147</v>
      </c>
      <c r="AE291" s="272">
        <f t="shared" si="122"/>
        <v>5</v>
      </c>
      <c r="AF291" s="272">
        <f t="shared" si="111"/>
        <v>7.8649763565292261</v>
      </c>
      <c r="AG291" s="272">
        <f t="shared" si="123"/>
        <v>6</v>
      </c>
      <c r="AH291" s="272">
        <f t="shared" si="112"/>
        <v>7.1264164858713279</v>
      </c>
      <c r="AI291" s="272">
        <f t="shared" si="124"/>
        <v>7</v>
      </c>
      <c r="AJ291" s="272">
        <f t="shared" si="113"/>
        <v>6.6551650642863418</v>
      </c>
      <c r="AK291" s="272">
        <f t="shared" si="125"/>
        <v>6</v>
      </c>
      <c r="AL291" s="272">
        <f t="shared" si="114"/>
        <v>7.1264164858713279</v>
      </c>
      <c r="AM291" s="272">
        <f t="shared" si="126"/>
        <v>7</v>
      </c>
      <c r="AN291" s="272">
        <f t="shared" si="115"/>
        <v>6.6551650642863418</v>
      </c>
      <c r="AO291" s="272">
        <f t="shared" si="127"/>
        <v>6</v>
      </c>
      <c r="AP291" s="272">
        <f t="shared" si="116"/>
        <v>7.1264164858713279</v>
      </c>
      <c r="AQ291" s="272">
        <f t="shared" si="128"/>
        <v>7</v>
      </c>
      <c r="AR291" s="272">
        <f t="shared" si="117"/>
        <v>6.6551650642863418</v>
      </c>
      <c r="AS291" s="272">
        <f t="shared" si="129"/>
        <v>6</v>
      </c>
      <c r="AT291" s="508">
        <f t="shared" si="118"/>
        <v>7.1264164858713279</v>
      </c>
    </row>
    <row r="292" spans="1:46" ht="12.75" customHeight="1">
      <c r="A292" s="96">
        <f>IF(MAX($F$93:F292)=$G$88,$G$88,F292)</f>
        <v>0.93144073948506756</v>
      </c>
      <c r="B292" s="481">
        <v>200</v>
      </c>
      <c r="C292" s="96">
        <f t="shared" si="106"/>
        <v>0.30000000000000021</v>
      </c>
      <c r="D292" s="96">
        <f t="shared" si="131"/>
        <v>5.8493406368978125</v>
      </c>
      <c r="E292" s="96">
        <f t="shared" si="132"/>
        <v>0.95146449369009622</v>
      </c>
      <c r="F292" s="96">
        <f t="shared" si="130"/>
        <v>0.93144073948506756</v>
      </c>
      <c r="G292" s="96">
        <f t="shared" si="133"/>
        <v>0.81544073948506757</v>
      </c>
      <c r="I292" s="96">
        <f t="shared" si="107"/>
        <v>0</v>
      </c>
      <c r="J292" s="96">
        <f t="shared" si="108"/>
        <v>0.30000000000000021</v>
      </c>
      <c r="Y292" s="96">
        <f t="shared" si="119"/>
        <v>8</v>
      </c>
      <c r="Z292" s="517">
        <v>0.70499999999998197</v>
      </c>
      <c r="AA292" s="272">
        <f t="shared" si="120"/>
        <v>8</v>
      </c>
      <c r="AB292" s="519">
        <f t="shared" si="121"/>
        <v>4.6373427743405147</v>
      </c>
      <c r="AC292" s="272">
        <f t="shared" si="109"/>
        <v>4</v>
      </c>
      <c r="AD292" s="272">
        <f t="shared" si="110"/>
        <v>9.3057460948508623</v>
      </c>
      <c r="AE292" s="272">
        <f t="shared" si="122"/>
        <v>5</v>
      </c>
      <c r="AF292" s="272">
        <f t="shared" si="111"/>
        <v>7.976931907502407</v>
      </c>
      <c r="AG292" s="272">
        <f t="shared" si="123"/>
        <v>6</v>
      </c>
      <c r="AH292" s="272">
        <f t="shared" si="112"/>
        <v>7.2278588612800929</v>
      </c>
      <c r="AI292" s="272">
        <f t="shared" si="124"/>
        <v>7</v>
      </c>
      <c r="AJ292" s="272">
        <f t="shared" si="113"/>
        <v>6.7498993187601162</v>
      </c>
      <c r="AK292" s="272">
        <f t="shared" si="125"/>
        <v>6</v>
      </c>
      <c r="AL292" s="272">
        <f t="shared" si="114"/>
        <v>7.2278588612800929</v>
      </c>
      <c r="AM292" s="272">
        <f t="shared" si="126"/>
        <v>7</v>
      </c>
      <c r="AN292" s="272">
        <f t="shared" si="115"/>
        <v>6.7498993187601162</v>
      </c>
      <c r="AO292" s="272">
        <f t="shared" si="127"/>
        <v>6</v>
      </c>
      <c r="AP292" s="272">
        <f t="shared" si="116"/>
        <v>7.2278588612800929</v>
      </c>
      <c r="AQ292" s="272">
        <f t="shared" si="128"/>
        <v>7</v>
      </c>
      <c r="AR292" s="272">
        <f t="shared" si="117"/>
        <v>6.7498993187601162</v>
      </c>
      <c r="AS292" s="272">
        <f t="shared" si="129"/>
        <v>6</v>
      </c>
      <c r="AT292" s="508">
        <f t="shared" si="118"/>
        <v>7.2278588612800929</v>
      </c>
    </row>
    <row r="293" spans="1:46" ht="12.75" customHeight="1">
      <c r="A293" s="96">
        <f>IF(MAX($F$93:F293)=$G$88,$G$88,F293)</f>
        <v>0.96031293844880394</v>
      </c>
      <c r="B293" s="481">
        <v>201</v>
      </c>
      <c r="C293" s="96">
        <f t="shared" si="106"/>
        <v>0.30150000000000021</v>
      </c>
      <c r="D293" s="96">
        <f t="shared" si="131"/>
        <v>5.9079802767827134</v>
      </c>
      <c r="E293" s="96">
        <f t="shared" si="132"/>
        <v>0.94943786163163812</v>
      </c>
      <c r="F293" s="96">
        <f t="shared" si="130"/>
        <v>0.96031293844880394</v>
      </c>
      <c r="G293" s="96">
        <f t="shared" si="133"/>
        <v>0.84431293844880395</v>
      </c>
      <c r="I293" s="96">
        <f t="shared" si="107"/>
        <v>0</v>
      </c>
      <c r="J293" s="96">
        <f t="shared" si="108"/>
        <v>0.30150000000000021</v>
      </c>
      <c r="Y293" s="96">
        <f t="shared" si="119"/>
        <v>8</v>
      </c>
      <c r="Z293" s="96">
        <v>0.69999999999998197</v>
      </c>
      <c r="AA293" s="272">
        <f t="shared" si="120"/>
        <v>8</v>
      </c>
      <c r="AB293" s="519">
        <f t="shared" si="121"/>
        <v>4.7038271273808068</v>
      </c>
      <c r="AC293" s="272">
        <f t="shared" si="109"/>
        <v>4</v>
      </c>
      <c r="AD293" s="272">
        <f t="shared" si="110"/>
        <v>9.4391601077413299</v>
      </c>
      <c r="AE293" s="272">
        <f t="shared" si="122"/>
        <v>5</v>
      </c>
      <c r="AF293" s="272">
        <f t="shared" si="111"/>
        <v>8.0912950639313976</v>
      </c>
      <c r="AG293" s="272">
        <f t="shared" si="123"/>
        <v>6</v>
      </c>
      <c r="AH293" s="272">
        <f t="shared" si="112"/>
        <v>7.3314827561790592</v>
      </c>
      <c r="AI293" s="272">
        <f t="shared" si="124"/>
        <v>7</v>
      </c>
      <c r="AJ293" s="272">
        <f t="shared" si="113"/>
        <v>6.8466708345035672</v>
      </c>
      <c r="AK293" s="272">
        <f t="shared" si="125"/>
        <v>6</v>
      </c>
      <c r="AL293" s="272">
        <f t="shared" si="114"/>
        <v>7.3314827561790592</v>
      </c>
      <c r="AM293" s="272">
        <f t="shared" si="126"/>
        <v>7</v>
      </c>
      <c r="AN293" s="272">
        <f t="shared" si="115"/>
        <v>6.8466708345035672</v>
      </c>
      <c r="AO293" s="272">
        <f t="shared" si="127"/>
        <v>6</v>
      </c>
      <c r="AP293" s="272">
        <f t="shared" si="116"/>
        <v>7.3314827561790592</v>
      </c>
      <c r="AQ293" s="272">
        <f t="shared" si="128"/>
        <v>7</v>
      </c>
      <c r="AR293" s="272">
        <f t="shared" si="117"/>
        <v>6.8466708345035672</v>
      </c>
      <c r="AS293" s="272">
        <f t="shared" si="129"/>
        <v>6</v>
      </c>
      <c r="AT293" s="508">
        <f t="shared" si="118"/>
        <v>7.3314827561790592</v>
      </c>
    </row>
    <row r="294" spans="1:46" ht="12.75" customHeight="1">
      <c r="A294" s="96">
        <f>IF(MAX($F$93:F294)=$G$88,$G$88,F294)</f>
        <v>0.98964141992111287</v>
      </c>
      <c r="B294" s="481">
        <v>202</v>
      </c>
      <c r="C294" s="96">
        <f t="shared" si="106"/>
        <v>0.30300000000000021</v>
      </c>
      <c r="D294" s="96">
        <f t="shared" si="131"/>
        <v>5.9669123836994586</v>
      </c>
      <c r="E294" s="96">
        <f t="shared" si="132"/>
        <v>0.94734886681102992</v>
      </c>
      <c r="F294" s="96">
        <f t="shared" si="130"/>
        <v>0.98964141992111287</v>
      </c>
      <c r="G294" s="96">
        <f t="shared" si="133"/>
        <v>0.87364141992111288</v>
      </c>
      <c r="I294" s="96">
        <f t="shared" si="107"/>
        <v>0</v>
      </c>
      <c r="J294" s="96">
        <f t="shared" si="108"/>
        <v>0.30300000000000021</v>
      </c>
      <c r="Y294" s="96">
        <f t="shared" si="119"/>
        <v>8</v>
      </c>
      <c r="Z294" s="517">
        <v>0.69499999999998197</v>
      </c>
      <c r="AA294" s="272">
        <f t="shared" si="120"/>
        <v>8</v>
      </c>
      <c r="AB294" s="519">
        <f t="shared" si="121"/>
        <v>4.7717515499541356</v>
      </c>
      <c r="AC294" s="272">
        <f t="shared" si="109"/>
        <v>4</v>
      </c>
      <c r="AD294" s="272">
        <f t="shared" si="110"/>
        <v>9.5754639051669255</v>
      </c>
      <c r="AE294" s="272">
        <f t="shared" si="122"/>
        <v>5</v>
      </c>
      <c r="AF294" s="272">
        <f t="shared" si="111"/>
        <v>8.2081353580588718</v>
      </c>
      <c r="AG294" s="272">
        <f t="shared" si="123"/>
        <v>6</v>
      </c>
      <c r="AH294" s="272">
        <f t="shared" si="112"/>
        <v>7.4373511733921447</v>
      </c>
      <c r="AI294" s="272">
        <f t="shared" si="124"/>
        <v>7</v>
      </c>
      <c r="AJ294" s="272">
        <f t="shared" si="113"/>
        <v>6.945538448127424</v>
      </c>
      <c r="AK294" s="272">
        <f t="shared" si="125"/>
        <v>6</v>
      </c>
      <c r="AL294" s="272">
        <f t="shared" si="114"/>
        <v>7.4373511733921447</v>
      </c>
      <c r="AM294" s="272">
        <f t="shared" si="126"/>
        <v>7</v>
      </c>
      <c r="AN294" s="272">
        <f t="shared" si="115"/>
        <v>6.945538448127424</v>
      </c>
      <c r="AO294" s="272">
        <f t="shared" si="127"/>
        <v>6</v>
      </c>
      <c r="AP294" s="272">
        <f t="shared" si="116"/>
        <v>7.4373511733921447</v>
      </c>
      <c r="AQ294" s="272">
        <f t="shared" si="128"/>
        <v>7</v>
      </c>
      <c r="AR294" s="272">
        <f t="shared" si="117"/>
        <v>6.945538448127424</v>
      </c>
      <c r="AS294" s="272">
        <f t="shared" si="129"/>
        <v>6</v>
      </c>
      <c r="AT294" s="508">
        <f t="shared" si="118"/>
        <v>7.4373511733921447</v>
      </c>
    </row>
    <row r="295" spans="1:46" ht="12.75" customHeight="1">
      <c r="A295" s="96">
        <f>IF(MAX($F$93:F295)=$G$88,$G$88,F295)</f>
        <v>1.0194167215555698</v>
      </c>
      <c r="B295" s="481">
        <v>203</v>
      </c>
      <c r="C295" s="96">
        <f t="shared" si="106"/>
        <v>0.30450000000000021</v>
      </c>
      <c r="D295" s="96">
        <f t="shared" si="131"/>
        <v>6.026136957648049</v>
      </c>
      <c r="E295" s="96">
        <f t="shared" si="132"/>
        <v>0.94519654126054764</v>
      </c>
      <c r="F295" s="96">
        <f t="shared" si="130"/>
        <v>1.0194167215555698</v>
      </c>
      <c r="G295" s="96">
        <f t="shared" si="133"/>
        <v>0.90341672155556985</v>
      </c>
      <c r="I295" s="96">
        <f t="shared" si="107"/>
        <v>0</v>
      </c>
      <c r="J295" s="96">
        <f t="shared" si="108"/>
        <v>0.30450000000000021</v>
      </c>
      <c r="Y295" s="96">
        <f t="shared" si="119"/>
        <v>8</v>
      </c>
      <c r="Z295" s="96">
        <v>0.68999999999998096</v>
      </c>
      <c r="AA295" s="272">
        <f t="shared" si="120"/>
        <v>8</v>
      </c>
      <c r="AB295" s="519">
        <f t="shared" si="121"/>
        <v>4.8411579340823438</v>
      </c>
      <c r="AC295" s="272">
        <f t="shared" si="109"/>
        <v>4</v>
      </c>
      <c r="AD295" s="272">
        <f t="shared" si="110"/>
        <v>9.7147415517606994</v>
      </c>
      <c r="AE295" s="272">
        <f t="shared" si="122"/>
        <v>5</v>
      </c>
      <c r="AF295" s="272">
        <f t="shared" si="111"/>
        <v>8.3275248505070358</v>
      </c>
      <c r="AG295" s="272">
        <f t="shared" si="123"/>
        <v>6</v>
      </c>
      <c r="AH295" s="272">
        <f t="shared" si="112"/>
        <v>7.5455294066955521</v>
      </c>
      <c r="AI295" s="272">
        <f t="shared" si="124"/>
        <v>7</v>
      </c>
      <c r="AJ295" s="272">
        <f t="shared" si="113"/>
        <v>7.0465631356999801</v>
      </c>
      <c r="AK295" s="272">
        <f t="shared" si="125"/>
        <v>7</v>
      </c>
      <c r="AL295" s="272">
        <f t="shared" si="114"/>
        <v>7.0465631356999801</v>
      </c>
      <c r="AM295" s="272">
        <f t="shared" si="126"/>
        <v>7</v>
      </c>
      <c r="AN295" s="272">
        <f t="shared" si="115"/>
        <v>7.0465631356999801</v>
      </c>
      <c r="AO295" s="272">
        <f t="shared" si="127"/>
        <v>7</v>
      </c>
      <c r="AP295" s="272">
        <f t="shared" si="116"/>
        <v>7.0465631356999801</v>
      </c>
      <c r="AQ295" s="272">
        <f t="shared" si="128"/>
        <v>7</v>
      </c>
      <c r="AR295" s="272">
        <f t="shared" si="117"/>
        <v>7.0465631356999801</v>
      </c>
      <c r="AS295" s="272">
        <f t="shared" si="129"/>
        <v>7</v>
      </c>
      <c r="AT295" s="508">
        <f t="shared" si="118"/>
        <v>7.0465631356999801</v>
      </c>
    </row>
    <row r="296" spans="1:46" ht="12.75" customHeight="1">
      <c r="A296" s="96">
        <f>IF(MAX($F$93:F296)=$G$88,$G$88,F296)</f>
        <v>1.0496287136907014</v>
      </c>
      <c r="B296" s="481">
        <v>204</v>
      </c>
      <c r="C296" s="96">
        <f t="shared" si="106"/>
        <v>0.30600000000000022</v>
      </c>
      <c r="D296" s="96">
        <f t="shared" si="131"/>
        <v>6.0856539986284846</v>
      </c>
      <c r="E296" s="96">
        <f t="shared" si="132"/>
        <v>0.94297993800436319</v>
      </c>
      <c r="F296" s="96">
        <f t="shared" si="130"/>
        <v>1.0496287136907014</v>
      </c>
      <c r="G296" s="96">
        <f t="shared" si="133"/>
        <v>0.93362871369070144</v>
      </c>
      <c r="I296" s="96">
        <f t="shared" si="107"/>
        <v>0</v>
      </c>
      <c r="J296" s="96">
        <f t="shared" si="108"/>
        <v>0.30600000000000022</v>
      </c>
      <c r="Y296" s="96">
        <f t="shared" si="119"/>
        <v>8</v>
      </c>
      <c r="Z296" s="517">
        <v>0.68499999999998096</v>
      </c>
      <c r="AA296" s="272">
        <f t="shared" si="120"/>
        <v>8</v>
      </c>
      <c r="AB296" s="519">
        <f t="shared" si="121"/>
        <v>4.9120897062530871</v>
      </c>
      <c r="AC296" s="272">
        <f t="shared" si="109"/>
        <v>4</v>
      </c>
      <c r="AD296" s="272">
        <f t="shared" si="110"/>
        <v>9.8570801913650623</v>
      </c>
      <c r="AE296" s="272">
        <f t="shared" si="122"/>
        <v>5</v>
      </c>
      <c r="AF296" s="272">
        <f t="shared" si="111"/>
        <v>8.4495382414116911</v>
      </c>
      <c r="AG296" s="272">
        <f t="shared" si="123"/>
        <v>6</v>
      </c>
      <c r="AH296" s="272">
        <f t="shared" si="112"/>
        <v>7.6560851415158053</v>
      </c>
      <c r="AI296" s="272">
        <f t="shared" si="124"/>
        <v>7</v>
      </c>
      <c r="AJ296" s="272">
        <f t="shared" si="113"/>
        <v>7.1498081067862147</v>
      </c>
      <c r="AK296" s="272">
        <f t="shared" si="125"/>
        <v>7</v>
      </c>
      <c r="AL296" s="272">
        <f t="shared" si="114"/>
        <v>7.1498081067862147</v>
      </c>
      <c r="AM296" s="272">
        <f t="shared" si="126"/>
        <v>7</v>
      </c>
      <c r="AN296" s="272">
        <f t="shared" si="115"/>
        <v>7.1498081067862147</v>
      </c>
      <c r="AO296" s="272">
        <f t="shared" si="127"/>
        <v>7</v>
      </c>
      <c r="AP296" s="272">
        <f t="shared" si="116"/>
        <v>7.1498081067862147</v>
      </c>
      <c r="AQ296" s="272">
        <f t="shared" si="128"/>
        <v>7</v>
      </c>
      <c r="AR296" s="272">
        <f t="shared" si="117"/>
        <v>7.1498081067862147</v>
      </c>
      <c r="AS296" s="272">
        <f t="shared" si="129"/>
        <v>7</v>
      </c>
      <c r="AT296" s="508">
        <f t="shared" si="118"/>
        <v>7.1498081067862147</v>
      </c>
    </row>
    <row r="297" spans="1:46" ht="12.75" customHeight="1">
      <c r="A297" s="96">
        <f>IF(MAX($F$93:F297)=$G$88,$G$88,F297)</f>
        <v>1.0802666007704482</v>
      </c>
      <c r="B297" s="481">
        <v>205</v>
      </c>
      <c r="C297" s="96">
        <f t="shared" ref="C297:C360" si="134">C296+$C$88</f>
        <v>0.30750000000000022</v>
      </c>
      <c r="D297" s="96">
        <f t="shared" si="131"/>
        <v>6.1454635066407644</v>
      </c>
      <c r="E297" s="96">
        <f t="shared" si="132"/>
        <v>0.94069813248758749</v>
      </c>
      <c r="F297" s="96">
        <f t="shared" si="130"/>
        <v>1.0802666007704482</v>
      </c>
      <c r="G297" s="96">
        <f t="shared" si="133"/>
        <v>0.96426660077044823</v>
      </c>
      <c r="I297" s="96">
        <f t="shared" si="107"/>
        <v>0</v>
      </c>
      <c r="J297" s="96">
        <f t="shared" si="108"/>
        <v>0.30750000000000022</v>
      </c>
      <c r="Y297" s="96">
        <f t="shared" si="119"/>
        <v>8</v>
      </c>
      <c r="Z297" s="96">
        <v>0.67999999999998095</v>
      </c>
      <c r="AA297" s="272">
        <f t="shared" si="120"/>
        <v>8</v>
      </c>
      <c r="AB297" s="519">
        <f t="shared" si="121"/>
        <v>4.9845918953646322</v>
      </c>
      <c r="AC297" s="272">
        <f t="shared" si="109"/>
        <v>4</v>
      </c>
      <c r="AD297" s="272">
        <f t="shared" si="110"/>
        <v>10.002570183376454</v>
      </c>
      <c r="AE297" s="272">
        <f t="shared" si="122"/>
        <v>5</v>
      </c>
      <c r="AF297" s="272">
        <f t="shared" si="111"/>
        <v>8.5742529872975854</v>
      </c>
      <c r="AG297" s="272">
        <f t="shared" si="123"/>
        <v>6</v>
      </c>
      <c r="AH297" s="272">
        <f t="shared" si="112"/>
        <v>7.7690885608299203</v>
      </c>
      <c r="AI297" s="272">
        <f t="shared" si="124"/>
        <v>7</v>
      </c>
      <c r="AJ297" s="272">
        <f t="shared" si="113"/>
        <v>7.255338903345077</v>
      </c>
      <c r="AK297" s="272">
        <f t="shared" si="125"/>
        <v>7</v>
      </c>
      <c r="AL297" s="272">
        <f t="shared" si="114"/>
        <v>7.255338903345077</v>
      </c>
      <c r="AM297" s="272">
        <f t="shared" si="126"/>
        <v>7</v>
      </c>
      <c r="AN297" s="272">
        <f t="shared" si="115"/>
        <v>7.255338903345077</v>
      </c>
      <c r="AO297" s="272">
        <f t="shared" si="127"/>
        <v>7</v>
      </c>
      <c r="AP297" s="272">
        <f t="shared" si="116"/>
        <v>7.255338903345077</v>
      </c>
      <c r="AQ297" s="272">
        <f t="shared" si="128"/>
        <v>7</v>
      </c>
      <c r="AR297" s="272">
        <f t="shared" si="117"/>
        <v>7.255338903345077</v>
      </c>
      <c r="AS297" s="272">
        <f t="shared" si="129"/>
        <v>7</v>
      </c>
      <c r="AT297" s="508">
        <f t="shared" si="118"/>
        <v>7.255338903345077</v>
      </c>
    </row>
    <row r="298" spans="1:46" ht="12.75" customHeight="1">
      <c r="A298" s="96">
        <f>IF(MAX($F$93:F298)=$G$88,$G$88,F298)</f>
        <v>1.1113189238976637</v>
      </c>
      <c r="B298" s="481">
        <v>206</v>
      </c>
      <c r="C298" s="96">
        <f t="shared" si="134"/>
        <v>0.30900000000000022</v>
      </c>
      <c r="D298" s="96">
        <f t="shared" si="131"/>
        <v>6.2055654816848893</v>
      </c>
      <c r="E298" s="96">
        <f t="shared" si="132"/>
        <v>0.93835022400106127</v>
      </c>
      <c r="F298" s="96">
        <f t="shared" si="130"/>
        <v>1.1113189238976637</v>
      </c>
      <c r="G298" s="96">
        <f t="shared" si="133"/>
        <v>0.99531892389766374</v>
      </c>
      <c r="I298" s="96">
        <f t="shared" si="107"/>
        <v>0</v>
      </c>
      <c r="J298" s="96">
        <f t="shared" si="108"/>
        <v>0.30900000000000022</v>
      </c>
      <c r="Y298" s="96">
        <f t="shared" si="119"/>
        <v>8</v>
      </c>
      <c r="Z298" s="517">
        <v>0.67499999999998095</v>
      </c>
      <c r="AA298" s="272">
        <f t="shared" si="120"/>
        <v>8</v>
      </c>
      <c r="AB298" s="519">
        <f t="shared" si="121"/>
        <v>5.0587112042065439</v>
      </c>
      <c r="AC298" s="272">
        <f t="shared" si="109"/>
        <v>5</v>
      </c>
      <c r="AD298" s="272">
        <f t="shared" si="110"/>
        <v>8.701749424036004</v>
      </c>
      <c r="AE298" s="272">
        <f t="shared" si="122"/>
        <v>6</v>
      </c>
      <c r="AF298" s="272">
        <f t="shared" si="111"/>
        <v>7.8846124565766962</v>
      </c>
      <c r="AG298" s="272">
        <f t="shared" si="123"/>
        <v>7</v>
      </c>
      <c r="AH298" s="272">
        <f t="shared" si="112"/>
        <v>7.3632235037734208</v>
      </c>
      <c r="AI298" s="272">
        <f t="shared" si="124"/>
        <v>7</v>
      </c>
      <c r="AJ298" s="272">
        <f t="shared" si="113"/>
        <v>7.3632235037734208</v>
      </c>
      <c r="AK298" s="272">
        <f t="shared" si="125"/>
        <v>7</v>
      </c>
      <c r="AL298" s="272">
        <f t="shared" si="114"/>
        <v>7.3632235037734208</v>
      </c>
      <c r="AM298" s="272">
        <f t="shared" si="126"/>
        <v>7</v>
      </c>
      <c r="AN298" s="272">
        <f t="shared" si="115"/>
        <v>7.3632235037734208</v>
      </c>
      <c r="AO298" s="272">
        <f t="shared" si="127"/>
        <v>7</v>
      </c>
      <c r="AP298" s="272">
        <f t="shared" si="116"/>
        <v>7.3632235037734208</v>
      </c>
      <c r="AQ298" s="272">
        <f t="shared" si="128"/>
        <v>7</v>
      </c>
      <c r="AR298" s="272">
        <f t="shared" si="117"/>
        <v>7.3632235037734208</v>
      </c>
      <c r="AS298" s="272">
        <f t="shared" si="129"/>
        <v>7</v>
      </c>
      <c r="AT298" s="508">
        <f t="shared" si="118"/>
        <v>7.3632235037734208</v>
      </c>
    </row>
    <row r="299" spans="1:46" ht="12.75" customHeight="1">
      <c r="A299" s="96">
        <f>IF(MAX($F$93:F299)=$G$88,$G$88,F299)</f>
        <v>1.1427735645296755</v>
      </c>
      <c r="B299" s="481">
        <v>207</v>
      </c>
      <c r="C299" s="96">
        <f t="shared" si="134"/>
        <v>0.31050000000000022</v>
      </c>
      <c r="D299" s="96">
        <f t="shared" si="131"/>
        <v>6.2659599237608594</v>
      </c>
      <c r="E299" s="96">
        <f t="shared" si="132"/>
        <v>0.93593533709945465</v>
      </c>
      <c r="F299" s="96">
        <f t="shared" si="130"/>
        <v>1.1427735645296755</v>
      </c>
      <c r="G299" s="96">
        <f t="shared" si="133"/>
        <v>1.0267735645296754</v>
      </c>
      <c r="I299" s="96">
        <f t="shared" si="107"/>
        <v>0</v>
      </c>
      <c r="J299" s="96">
        <f t="shared" si="108"/>
        <v>0.31050000000000022</v>
      </c>
      <c r="Y299" s="96">
        <f t="shared" si="119"/>
        <v>8</v>
      </c>
      <c r="Z299" s="96">
        <v>0.66999999999998106</v>
      </c>
      <c r="AA299" s="272">
        <f t="shared" si="120"/>
        <v>8</v>
      </c>
      <c r="AB299" s="519">
        <f t="shared" si="121"/>
        <v>5.1344960846883652</v>
      </c>
      <c r="AC299" s="272">
        <f t="shared" si="109"/>
        <v>5</v>
      </c>
      <c r="AD299" s="272">
        <f t="shared" si="110"/>
        <v>8.8321108962495103</v>
      </c>
      <c r="AE299" s="272">
        <f t="shared" si="122"/>
        <v>6</v>
      </c>
      <c r="AF299" s="272">
        <f t="shared" si="111"/>
        <v>8.0027323469096832</v>
      </c>
      <c r="AG299" s="272">
        <f t="shared" si="123"/>
        <v>7</v>
      </c>
      <c r="AH299" s="272">
        <f t="shared" si="112"/>
        <v>7.4735324324053583</v>
      </c>
      <c r="AI299" s="272">
        <f t="shared" si="124"/>
        <v>7</v>
      </c>
      <c r="AJ299" s="272">
        <f t="shared" si="113"/>
        <v>7.4735324324053583</v>
      </c>
      <c r="AK299" s="272">
        <f t="shared" si="125"/>
        <v>7</v>
      </c>
      <c r="AL299" s="272">
        <f t="shared" si="114"/>
        <v>7.4735324324053583</v>
      </c>
      <c r="AM299" s="272">
        <f t="shared" si="126"/>
        <v>7</v>
      </c>
      <c r="AN299" s="272">
        <f t="shared" si="115"/>
        <v>7.4735324324053583</v>
      </c>
      <c r="AO299" s="272">
        <f t="shared" si="127"/>
        <v>7</v>
      </c>
      <c r="AP299" s="272">
        <f t="shared" si="116"/>
        <v>7.4735324324053583</v>
      </c>
      <c r="AQ299" s="272">
        <f t="shared" si="128"/>
        <v>7</v>
      </c>
      <c r="AR299" s="272">
        <f t="shared" si="117"/>
        <v>7.4735324324053583</v>
      </c>
      <c r="AS299" s="272">
        <f t="shared" si="129"/>
        <v>7</v>
      </c>
      <c r="AT299" s="508">
        <f t="shared" si="118"/>
        <v>7.4735324324053583</v>
      </c>
    </row>
    <row r="300" spans="1:46" ht="12.75" customHeight="1">
      <c r="A300" s="96">
        <f>IF(MAX($F$93:F300)=$G$88,$G$88,F300)</f>
        <v>1.1746177493236696</v>
      </c>
      <c r="B300" s="481">
        <v>208</v>
      </c>
      <c r="C300" s="96">
        <f t="shared" si="134"/>
        <v>0.31200000000000022</v>
      </c>
      <c r="D300" s="96">
        <f t="shared" si="131"/>
        <v>6.3266468328686738</v>
      </c>
      <c r="E300" s="96">
        <f t="shared" si="132"/>
        <v>0.93345262301021981</v>
      </c>
      <c r="F300" s="96">
        <f t="shared" si="130"/>
        <v>1.1746177493236696</v>
      </c>
      <c r="G300" s="96">
        <f t="shared" si="133"/>
        <v>1.0586177493236695</v>
      </c>
      <c r="I300" s="96">
        <f t="shared" ref="I300:I363" si="135">IF(F300&gt;$G$87,1,0)</f>
        <v>0</v>
      </c>
      <c r="J300" s="96">
        <f t="shared" ref="J300:J363" si="136">C300</f>
        <v>0.31200000000000022</v>
      </c>
      <c r="Y300" s="96">
        <f t="shared" si="119"/>
        <v>8</v>
      </c>
      <c r="Z300" s="517">
        <v>0.66499999999998105</v>
      </c>
      <c r="AA300" s="272">
        <f t="shared" si="120"/>
        <v>8</v>
      </c>
      <c r="AB300" s="519">
        <f t="shared" si="121"/>
        <v>5.2119968170424738</v>
      </c>
      <c r="AC300" s="272">
        <f t="shared" si="109"/>
        <v>5</v>
      </c>
      <c r="AD300" s="272">
        <f t="shared" si="110"/>
        <v>8.9654238935528454</v>
      </c>
      <c r="AE300" s="272">
        <f t="shared" si="122"/>
        <v>6</v>
      </c>
      <c r="AF300" s="272">
        <f t="shared" si="111"/>
        <v>8.1235265996444319</v>
      </c>
      <c r="AG300" s="272">
        <f t="shared" si="123"/>
        <v>7</v>
      </c>
      <c r="AH300" s="272">
        <f t="shared" si="112"/>
        <v>7.5863388747962386</v>
      </c>
      <c r="AI300" s="272">
        <f t="shared" si="124"/>
        <v>7</v>
      </c>
      <c r="AJ300" s="272">
        <f t="shared" si="113"/>
        <v>7.5863388747962386</v>
      </c>
      <c r="AK300" s="272">
        <f t="shared" si="125"/>
        <v>7</v>
      </c>
      <c r="AL300" s="272">
        <f t="shared" si="114"/>
        <v>7.5863388747962386</v>
      </c>
      <c r="AM300" s="272">
        <f t="shared" si="126"/>
        <v>7</v>
      </c>
      <c r="AN300" s="272">
        <f t="shared" si="115"/>
        <v>7.5863388747962386</v>
      </c>
      <c r="AO300" s="272">
        <f t="shared" si="127"/>
        <v>7</v>
      </c>
      <c r="AP300" s="272">
        <f t="shared" si="116"/>
        <v>7.5863388747962386</v>
      </c>
      <c r="AQ300" s="272">
        <f t="shared" si="128"/>
        <v>7</v>
      </c>
      <c r="AR300" s="272">
        <f t="shared" si="117"/>
        <v>7.5863388747962386</v>
      </c>
      <c r="AS300" s="272">
        <f t="shared" si="129"/>
        <v>7</v>
      </c>
      <c r="AT300" s="508">
        <f t="shared" si="118"/>
        <v>7.5863388747962386</v>
      </c>
    </row>
    <row r="301" spans="1:46" ht="12.75" customHeight="1">
      <c r="A301" s="96">
        <f>IF(MAX($F$93:F301)=$G$88,$G$88,F301)</f>
        <v>1.2068380561361056</v>
      </c>
      <c r="B301" s="481">
        <v>209</v>
      </c>
      <c r="C301" s="96">
        <f t="shared" si="134"/>
        <v>0.31350000000000022</v>
      </c>
      <c r="D301" s="96">
        <f t="shared" si="131"/>
        <v>6.3876262090083342</v>
      </c>
      <c r="E301" s="96">
        <f t="shared" si="132"/>
        <v>0.93090126103092463</v>
      </c>
      <c r="F301" s="96">
        <f t="shared" si="130"/>
        <v>1.2068380561361056</v>
      </c>
      <c r="G301" s="96">
        <f t="shared" si="133"/>
        <v>1.0908380561361055</v>
      </c>
      <c r="I301" s="96">
        <f t="shared" si="135"/>
        <v>0</v>
      </c>
      <c r="J301" s="96">
        <f t="shared" si="136"/>
        <v>0.31350000000000022</v>
      </c>
      <c r="Y301" s="96">
        <f t="shared" si="119"/>
        <v>8</v>
      </c>
      <c r="Z301" s="96">
        <v>0.65999999999998105</v>
      </c>
      <c r="AA301" s="272">
        <f t="shared" si="120"/>
        <v>8</v>
      </c>
      <c r="AB301" s="519">
        <f t="shared" si="121"/>
        <v>5.2912655932429029</v>
      </c>
      <c r="AC301" s="272">
        <f t="shared" si="109"/>
        <v>5</v>
      </c>
      <c r="AD301" s="272">
        <f t="shared" si="110"/>
        <v>9.1017781940459344</v>
      </c>
      <c r="AE301" s="272">
        <f t="shared" si="122"/>
        <v>6</v>
      </c>
      <c r="AF301" s="272">
        <f t="shared" si="111"/>
        <v>8.247076562276769</v>
      </c>
      <c r="AG301" s="272">
        <f t="shared" si="123"/>
        <v>7</v>
      </c>
      <c r="AH301" s="272">
        <f t="shared" si="112"/>
        <v>7.7017187991431779</v>
      </c>
      <c r="AI301" s="272">
        <f t="shared" si="124"/>
        <v>7</v>
      </c>
      <c r="AJ301" s="272">
        <f t="shared" si="113"/>
        <v>7.7017187991431779</v>
      </c>
      <c r="AK301" s="272">
        <f t="shared" si="125"/>
        <v>7</v>
      </c>
      <c r="AL301" s="272">
        <f t="shared" si="114"/>
        <v>7.7017187991431779</v>
      </c>
      <c r="AM301" s="272">
        <f t="shared" si="126"/>
        <v>7</v>
      </c>
      <c r="AN301" s="272">
        <f t="shared" si="115"/>
        <v>7.7017187991431779</v>
      </c>
      <c r="AO301" s="272">
        <f t="shared" si="127"/>
        <v>7</v>
      </c>
      <c r="AP301" s="272">
        <f t="shared" si="116"/>
        <v>7.7017187991431779</v>
      </c>
      <c r="AQ301" s="272">
        <f t="shared" si="128"/>
        <v>7</v>
      </c>
      <c r="AR301" s="272">
        <f t="shared" si="117"/>
        <v>7.7017187991431779</v>
      </c>
      <c r="AS301" s="272">
        <f t="shared" si="129"/>
        <v>7</v>
      </c>
      <c r="AT301" s="508">
        <f t="shared" si="118"/>
        <v>7.7017187991431779</v>
      </c>
    </row>
    <row r="302" spans="1:46" ht="12.75" customHeight="1">
      <c r="A302" s="96">
        <f>IF(MAX($F$93:F302)=$G$88,$G$88,F302)</f>
        <v>1.2394214077998567</v>
      </c>
      <c r="B302" s="481">
        <v>210</v>
      </c>
      <c r="C302" s="96">
        <f t="shared" si="134"/>
        <v>0.31500000000000022</v>
      </c>
      <c r="D302" s="96">
        <f t="shared" si="131"/>
        <v>6.4488980521798389</v>
      </c>
      <c r="E302" s="96">
        <f t="shared" si="132"/>
        <v>0.92828045991249364</v>
      </c>
      <c r="F302" s="96">
        <f t="shared" si="130"/>
        <v>1.2394214077998567</v>
      </c>
      <c r="G302" s="96">
        <f t="shared" si="133"/>
        <v>1.1234214077998566</v>
      </c>
      <c r="I302" s="96">
        <f t="shared" si="135"/>
        <v>0</v>
      </c>
      <c r="J302" s="96">
        <f t="shared" si="136"/>
        <v>0.31500000000000022</v>
      </c>
      <c r="Y302" s="96">
        <f t="shared" si="119"/>
        <v>8</v>
      </c>
      <c r="Z302" s="517">
        <v>0.65499999999998104</v>
      </c>
      <c r="AA302" s="272">
        <f t="shared" si="120"/>
        <v>8</v>
      </c>
      <c r="AB302" s="519">
        <f t="shared" si="121"/>
        <v>5.372356604898572</v>
      </c>
      <c r="AC302" s="272">
        <f t="shared" si="109"/>
        <v>5</v>
      </c>
      <c r="AD302" s="272">
        <f t="shared" si="110"/>
        <v>9.241267015503551</v>
      </c>
      <c r="AE302" s="272">
        <f t="shared" si="122"/>
        <v>6</v>
      </c>
      <c r="AF302" s="272">
        <f t="shared" si="111"/>
        <v>8.3734666989750295</v>
      </c>
      <c r="AG302" s="272">
        <f t="shared" si="123"/>
        <v>7</v>
      </c>
      <c r="AH302" s="272">
        <f t="shared" si="112"/>
        <v>7.8197510842183311</v>
      </c>
      <c r="AI302" s="272">
        <f t="shared" si="124"/>
        <v>7</v>
      </c>
      <c r="AJ302" s="272">
        <f t="shared" si="113"/>
        <v>7.8197510842183311</v>
      </c>
      <c r="AK302" s="272">
        <f t="shared" si="125"/>
        <v>7</v>
      </c>
      <c r="AL302" s="272">
        <f t="shared" si="114"/>
        <v>7.8197510842183311</v>
      </c>
      <c r="AM302" s="272">
        <f t="shared" si="126"/>
        <v>7</v>
      </c>
      <c r="AN302" s="272">
        <f t="shared" si="115"/>
        <v>7.8197510842183311</v>
      </c>
      <c r="AO302" s="272">
        <f t="shared" si="127"/>
        <v>7</v>
      </c>
      <c r="AP302" s="272">
        <f t="shared" si="116"/>
        <v>7.8197510842183311</v>
      </c>
      <c r="AQ302" s="272">
        <f t="shared" si="128"/>
        <v>7</v>
      </c>
      <c r="AR302" s="272">
        <f t="shared" si="117"/>
        <v>7.8197510842183311</v>
      </c>
      <c r="AS302" s="272">
        <f t="shared" si="129"/>
        <v>7</v>
      </c>
      <c r="AT302" s="508">
        <f t="shared" si="118"/>
        <v>7.8197510842183311</v>
      </c>
    </row>
    <row r="303" spans="1:46" ht="12.75" customHeight="1">
      <c r="A303" s="96">
        <f>IF(MAX($F$93:F303)=$G$88,$G$88,F303)</f>
        <v>1.2723512867724514</v>
      </c>
      <c r="B303" s="481">
        <v>211</v>
      </c>
      <c r="C303" s="96">
        <f t="shared" si="134"/>
        <v>0.31650000000000023</v>
      </c>
      <c r="D303" s="96">
        <f t="shared" si="131"/>
        <v>6.5104623623831879</v>
      </c>
      <c r="E303" s="96">
        <f t="shared" si="132"/>
        <v>0.92558945499749667</v>
      </c>
      <c r="F303" s="96">
        <f t="shared" si="130"/>
        <v>1.2723512867724514</v>
      </c>
      <c r="G303" s="96">
        <f t="shared" si="133"/>
        <v>1.1563512867724512</v>
      </c>
      <c r="I303" s="96">
        <f t="shared" si="135"/>
        <v>0</v>
      </c>
      <c r="J303" s="96">
        <f t="shared" si="136"/>
        <v>0.31650000000000023</v>
      </c>
      <c r="Y303" s="96">
        <f t="shared" si="119"/>
        <v>8</v>
      </c>
      <c r="Z303" s="96">
        <v>0.64999999999998004</v>
      </c>
      <c r="AA303" s="272">
        <f t="shared" si="120"/>
        <v>8</v>
      </c>
      <c r="AB303" s="519">
        <f t="shared" si="121"/>
        <v>5.4553261358973204</v>
      </c>
      <c r="AC303" s="272">
        <f t="shared" si="109"/>
        <v>5</v>
      </c>
      <c r="AD303" s="272">
        <f t="shared" si="110"/>
        <v>9.3839871747370989</v>
      </c>
      <c r="AE303" s="272">
        <f t="shared" si="122"/>
        <v>6</v>
      </c>
      <c r="AF303" s="272">
        <f t="shared" si="111"/>
        <v>8.5027847349769825</v>
      </c>
      <c r="AG303" s="272">
        <f t="shared" si="123"/>
        <v>7</v>
      </c>
      <c r="AH303" s="272">
        <f t="shared" si="112"/>
        <v>7.940517654217234</v>
      </c>
      <c r="AI303" s="272">
        <f t="shared" si="124"/>
        <v>7</v>
      </c>
      <c r="AJ303" s="272">
        <f t="shared" si="113"/>
        <v>7.940517654217234</v>
      </c>
      <c r="AK303" s="272">
        <f t="shared" si="125"/>
        <v>7</v>
      </c>
      <c r="AL303" s="272">
        <f t="shared" si="114"/>
        <v>7.940517654217234</v>
      </c>
      <c r="AM303" s="272">
        <f t="shared" si="126"/>
        <v>7</v>
      </c>
      <c r="AN303" s="272">
        <f t="shared" si="115"/>
        <v>7.940517654217234</v>
      </c>
      <c r="AO303" s="272">
        <f t="shared" si="127"/>
        <v>7</v>
      </c>
      <c r="AP303" s="272">
        <f t="shared" si="116"/>
        <v>7.940517654217234</v>
      </c>
      <c r="AQ303" s="272">
        <f t="shared" si="128"/>
        <v>7</v>
      </c>
      <c r="AR303" s="272">
        <f t="shared" si="117"/>
        <v>7.940517654217234</v>
      </c>
      <c r="AS303" s="272">
        <f t="shared" si="129"/>
        <v>7</v>
      </c>
      <c r="AT303" s="508">
        <f t="shared" si="118"/>
        <v>7.940517654217234</v>
      </c>
    </row>
    <row r="304" spans="1:46" ht="12.75" customHeight="1">
      <c r="A304" s="96">
        <f>IF(MAX($F$93:F304)=$G$88,$G$88,F304)</f>
        <v>1.3056122416267966</v>
      </c>
      <c r="B304" s="481">
        <v>212</v>
      </c>
      <c r="C304" s="96">
        <f t="shared" si="134"/>
        <v>0.31800000000000023</v>
      </c>
      <c r="D304" s="96">
        <f t="shared" si="131"/>
        <v>6.572319139618382</v>
      </c>
      <c r="E304" s="96">
        <f t="shared" si="132"/>
        <v>0.92282752582632599</v>
      </c>
      <c r="F304" s="96">
        <f t="shared" si="130"/>
        <v>1.3056122416267966</v>
      </c>
      <c r="G304" s="96">
        <f t="shared" si="133"/>
        <v>1.1896122416267965</v>
      </c>
      <c r="I304" s="96">
        <f t="shared" si="135"/>
        <v>0</v>
      </c>
      <c r="J304" s="96">
        <f t="shared" si="136"/>
        <v>0.31800000000000023</v>
      </c>
      <c r="Y304" s="96">
        <f t="shared" si="119"/>
        <v>9</v>
      </c>
      <c r="Z304" s="517">
        <v>0.64499999999998003</v>
      </c>
      <c r="AA304" s="272">
        <f t="shared" si="120"/>
        <v>9</v>
      </c>
      <c r="AB304" s="519">
        <f t="shared" si="121"/>
        <v>5.540232660096434</v>
      </c>
      <c r="AC304" s="272">
        <f t="shared" si="109"/>
        <v>5</v>
      </c>
      <c r="AD304" s="272">
        <f t="shared" si="110"/>
        <v>9.5300392556371047</v>
      </c>
      <c r="AE304" s="272">
        <f t="shared" si="122"/>
        <v>6</v>
      </c>
      <c r="AF304" s="272">
        <f t="shared" si="111"/>
        <v>8.635121808852297</v>
      </c>
      <c r="AG304" s="272">
        <f t="shared" si="123"/>
        <v>7</v>
      </c>
      <c r="AH304" s="272">
        <f t="shared" si="112"/>
        <v>8.0641036209525474</v>
      </c>
      <c r="AI304" s="272">
        <f t="shared" si="124"/>
        <v>8</v>
      </c>
      <c r="AJ304" s="272">
        <f t="shared" si="113"/>
        <v>7.6692339106442233</v>
      </c>
      <c r="AK304" s="272">
        <f t="shared" si="125"/>
        <v>7</v>
      </c>
      <c r="AL304" s="272">
        <f t="shared" si="114"/>
        <v>8.0641036209525474</v>
      </c>
      <c r="AM304" s="272">
        <f t="shared" si="126"/>
        <v>8</v>
      </c>
      <c r="AN304" s="272">
        <f t="shared" si="115"/>
        <v>7.6692339106442233</v>
      </c>
      <c r="AO304" s="272">
        <f t="shared" si="127"/>
        <v>7</v>
      </c>
      <c r="AP304" s="272">
        <f t="shared" si="116"/>
        <v>8.0641036209525474</v>
      </c>
      <c r="AQ304" s="272">
        <f t="shared" si="128"/>
        <v>8</v>
      </c>
      <c r="AR304" s="272">
        <f t="shared" si="117"/>
        <v>7.6692339106442233</v>
      </c>
      <c r="AS304" s="272">
        <f t="shared" si="129"/>
        <v>7</v>
      </c>
      <c r="AT304" s="508">
        <f t="shared" si="118"/>
        <v>8.0641036209525474</v>
      </c>
    </row>
    <row r="305" spans="1:46" ht="12.75" customHeight="1">
      <c r="A305" s="96">
        <f>IF(MAX($F$93:F305)=$G$88,$G$88,F305)</f>
        <v>1.339190161608335</v>
      </c>
      <c r="B305" s="481">
        <v>213</v>
      </c>
      <c r="C305" s="96">
        <f t="shared" si="134"/>
        <v>0.31950000000000023</v>
      </c>
      <c r="D305" s="96">
        <f t="shared" si="131"/>
        <v>6.6344683838854221</v>
      </c>
      <c r="E305" s="96">
        <f t="shared" si="132"/>
        <v>0.91999397396195326</v>
      </c>
      <c r="F305" s="96">
        <f t="shared" si="130"/>
        <v>1.339190161608335</v>
      </c>
      <c r="G305" s="96">
        <f t="shared" si="133"/>
        <v>1.2231901616083349</v>
      </c>
      <c r="I305" s="96">
        <f t="shared" si="135"/>
        <v>0</v>
      </c>
      <c r="J305" s="96">
        <f t="shared" si="136"/>
        <v>0.31950000000000023</v>
      </c>
      <c r="Y305" s="96">
        <f t="shared" si="119"/>
        <v>9</v>
      </c>
      <c r="Z305" s="96">
        <v>0.63999999999998003</v>
      </c>
      <c r="AA305" s="272">
        <f t="shared" si="120"/>
        <v>9</v>
      </c>
      <c r="AB305" s="519">
        <f t="shared" si="121"/>
        <v>5.6271369443765149</v>
      </c>
      <c r="AC305" s="272">
        <f t="shared" si="109"/>
        <v>5</v>
      </c>
      <c r="AD305" s="272">
        <f t="shared" si="110"/>
        <v>9.6795277864414757</v>
      </c>
      <c r="AE305" s="272">
        <f t="shared" si="122"/>
        <v>6</v>
      </c>
      <c r="AF305" s="272">
        <f t="shared" si="111"/>
        <v>8.7705726331244591</v>
      </c>
      <c r="AG305" s="272">
        <f t="shared" si="123"/>
        <v>7</v>
      </c>
      <c r="AH305" s="272">
        <f t="shared" si="112"/>
        <v>8.1905974338544532</v>
      </c>
      <c r="AI305" s="272">
        <f t="shared" si="124"/>
        <v>8</v>
      </c>
      <c r="AJ305" s="272">
        <f t="shared" si="113"/>
        <v>7.789533783388098</v>
      </c>
      <c r="AK305" s="272">
        <f t="shared" si="125"/>
        <v>7</v>
      </c>
      <c r="AL305" s="272">
        <f t="shared" si="114"/>
        <v>8.1905974338544532</v>
      </c>
      <c r="AM305" s="272">
        <f t="shared" si="126"/>
        <v>8</v>
      </c>
      <c r="AN305" s="272">
        <f t="shared" si="115"/>
        <v>7.789533783388098</v>
      </c>
      <c r="AO305" s="272">
        <f t="shared" si="127"/>
        <v>7</v>
      </c>
      <c r="AP305" s="272">
        <f t="shared" si="116"/>
        <v>8.1905974338544532</v>
      </c>
      <c r="AQ305" s="272">
        <f t="shared" si="128"/>
        <v>8</v>
      </c>
      <c r="AR305" s="272">
        <f t="shared" si="117"/>
        <v>7.789533783388098</v>
      </c>
      <c r="AS305" s="272">
        <f t="shared" si="129"/>
        <v>7</v>
      </c>
      <c r="AT305" s="508">
        <f t="shared" si="118"/>
        <v>8.1905974338544532</v>
      </c>
    </row>
    <row r="306" spans="1:46" ht="12.75" customHeight="1">
      <c r="A306" s="96">
        <f>IF(MAX($F$93:F306)=$G$88,$G$88,F306)</f>
        <v>1.3730676582319779</v>
      </c>
      <c r="B306" s="481">
        <v>214</v>
      </c>
      <c r="C306" s="96">
        <f t="shared" si="134"/>
        <v>0.32100000000000023</v>
      </c>
      <c r="D306" s="96">
        <f t="shared" si="131"/>
        <v>6.6969100951843057</v>
      </c>
      <c r="E306" s="96">
        <f t="shared" si="132"/>
        <v>0.91708813941943312</v>
      </c>
      <c r="F306" s="96">
        <f t="shared" si="130"/>
        <v>1.3730676582319779</v>
      </c>
      <c r="G306" s="96">
        <f t="shared" si="133"/>
        <v>1.2570676582319777</v>
      </c>
      <c r="I306" s="96">
        <f t="shared" si="135"/>
        <v>0</v>
      </c>
      <c r="J306" s="96">
        <f t="shared" si="136"/>
        <v>0.32100000000000023</v>
      </c>
      <c r="Y306" s="96">
        <f t="shared" si="119"/>
        <v>9</v>
      </c>
      <c r="Z306" s="517">
        <v>0.63499999999998002</v>
      </c>
      <c r="AA306" s="272">
        <f t="shared" si="120"/>
        <v>9</v>
      </c>
      <c r="AB306" s="519">
        <f t="shared" si="121"/>
        <v>5.7161021573975352</v>
      </c>
      <c r="AC306" s="272">
        <f t="shared" si="109"/>
        <v>5</v>
      </c>
      <c r="AD306" s="272">
        <f t="shared" si="110"/>
        <v>9.8325614268124006</v>
      </c>
      <c r="AE306" s="272">
        <f t="shared" si="122"/>
        <v>6</v>
      </c>
      <c r="AF306" s="272">
        <f t="shared" si="111"/>
        <v>8.9092356637802244</v>
      </c>
      <c r="AG306" s="272">
        <f t="shared" si="123"/>
        <v>7</v>
      </c>
      <c r="AH306" s="272">
        <f t="shared" si="112"/>
        <v>8.3200910382709043</v>
      </c>
      <c r="AI306" s="272">
        <f t="shared" si="124"/>
        <v>8</v>
      </c>
      <c r="AJ306" s="272">
        <f t="shared" si="113"/>
        <v>7.9126865588090185</v>
      </c>
      <c r="AK306" s="272">
        <f t="shared" si="125"/>
        <v>7</v>
      </c>
      <c r="AL306" s="272">
        <f t="shared" si="114"/>
        <v>8.3200910382709043</v>
      </c>
      <c r="AM306" s="272">
        <f t="shared" si="126"/>
        <v>8</v>
      </c>
      <c r="AN306" s="272">
        <f t="shared" si="115"/>
        <v>7.9126865588090185</v>
      </c>
      <c r="AO306" s="272">
        <f t="shared" si="127"/>
        <v>7</v>
      </c>
      <c r="AP306" s="272">
        <f t="shared" si="116"/>
        <v>8.3200910382709043</v>
      </c>
      <c r="AQ306" s="272">
        <f t="shared" si="128"/>
        <v>8</v>
      </c>
      <c r="AR306" s="272">
        <f t="shared" si="117"/>
        <v>7.9126865588090185</v>
      </c>
      <c r="AS306" s="272">
        <f t="shared" si="129"/>
        <v>7</v>
      </c>
      <c r="AT306" s="508">
        <f t="shared" si="118"/>
        <v>8.3200910382709043</v>
      </c>
    </row>
    <row r="307" spans="1:46" ht="12.75" customHeight="1">
      <c r="A307" s="96">
        <f>IF(MAX($F$93:F307)=$G$88,$G$88,F307)</f>
        <v>1.4072276079162984</v>
      </c>
      <c r="B307" s="481">
        <v>215</v>
      </c>
      <c r="C307" s="96">
        <f t="shared" si="134"/>
        <v>0.32250000000000023</v>
      </c>
      <c r="D307" s="96">
        <f t="shared" si="131"/>
        <v>6.7596442735150344</v>
      </c>
      <c r="E307" s="96">
        <f t="shared" si="132"/>
        <v>0.91410939828381621</v>
      </c>
      <c r="F307" s="96">
        <f t="shared" si="130"/>
        <v>1.4072276079162984</v>
      </c>
      <c r="G307" s="96">
        <f t="shared" si="133"/>
        <v>1.2912276079162983</v>
      </c>
      <c r="I307" s="96">
        <f t="shared" si="135"/>
        <v>0</v>
      </c>
      <c r="J307" s="96">
        <f t="shared" si="136"/>
        <v>0.32250000000000023</v>
      </c>
      <c r="Y307" s="96">
        <f t="shared" si="119"/>
        <v>9</v>
      </c>
      <c r="Z307" s="96">
        <v>0.62999999999998002</v>
      </c>
      <c r="AA307" s="272">
        <f t="shared" si="120"/>
        <v>9</v>
      </c>
      <c r="AB307" s="519">
        <f t="shared" si="121"/>
        <v>5.8071939844208194</v>
      </c>
      <c r="AC307" s="272">
        <f t="shared" si="109"/>
        <v>5</v>
      </c>
      <c r="AD307" s="272">
        <f t="shared" si="110"/>
        <v>9.9892531653475238</v>
      </c>
      <c r="AE307" s="272">
        <f t="shared" si="122"/>
        <v>6</v>
      </c>
      <c r="AF307" s="272">
        <f t="shared" si="111"/>
        <v>9.0512132792335152</v>
      </c>
      <c r="AG307" s="272">
        <f t="shared" si="123"/>
        <v>7</v>
      </c>
      <c r="AH307" s="272">
        <f t="shared" si="112"/>
        <v>8.4526800425970965</v>
      </c>
      <c r="AI307" s="272">
        <f t="shared" si="124"/>
        <v>8</v>
      </c>
      <c r="AJ307" s="272">
        <f t="shared" si="113"/>
        <v>8.0387831637081586</v>
      </c>
      <c r="AK307" s="272">
        <f t="shared" si="125"/>
        <v>8</v>
      </c>
      <c r="AL307" s="272">
        <f t="shared" si="114"/>
        <v>8.0387831637081586</v>
      </c>
      <c r="AM307" s="272">
        <f t="shared" si="126"/>
        <v>8</v>
      </c>
      <c r="AN307" s="272">
        <f t="shared" si="115"/>
        <v>8.0387831637081586</v>
      </c>
      <c r="AO307" s="272">
        <f t="shared" si="127"/>
        <v>8</v>
      </c>
      <c r="AP307" s="272">
        <f t="shared" si="116"/>
        <v>8.0387831637081586</v>
      </c>
      <c r="AQ307" s="272">
        <f t="shared" si="128"/>
        <v>8</v>
      </c>
      <c r="AR307" s="272">
        <f t="shared" si="117"/>
        <v>8.0387831637081586</v>
      </c>
      <c r="AS307" s="272">
        <f t="shared" si="129"/>
        <v>8</v>
      </c>
      <c r="AT307" s="508">
        <f t="shared" si="118"/>
        <v>8.0387831637081586</v>
      </c>
    </row>
    <row r="308" spans="1:46" ht="12.75" customHeight="1">
      <c r="A308" s="96">
        <f>IF(MAX($F$93:F308)=$G$88,$G$88,F308)</f>
        <v>1.4416523125206322</v>
      </c>
      <c r="B308" s="481">
        <v>216</v>
      </c>
      <c r="C308" s="96">
        <f t="shared" si="134"/>
        <v>0.32400000000000023</v>
      </c>
      <c r="D308" s="96">
        <f t="shared" si="131"/>
        <v>6.8226709188776091</v>
      </c>
      <c r="E308" s="96">
        <f t="shared" si="132"/>
        <v>0.9110571639569347</v>
      </c>
      <c r="F308" s="96">
        <f t="shared" si="130"/>
        <v>1.4416523125206322</v>
      </c>
      <c r="G308" s="96">
        <f t="shared" si="133"/>
        <v>1.3256523125206321</v>
      </c>
      <c r="I308" s="96">
        <f t="shared" si="135"/>
        <v>0</v>
      </c>
      <c r="J308" s="96">
        <f t="shared" si="136"/>
        <v>0.32400000000000023</v>
      </c>
      <c r="Y308" s="96">
        <f t="shared" si="119"/>
        <v>9</v>
      </c>
      <c r="Z308" s="517">
        <v>0.62499999999998002</v>
      </c>
      <c r="AA308" s="272">
        <f t="shared" si="120"/>
        <v>9</v>
      </c>
      <c r="AB308" s="519">
        <f t="shared" si="121"/>
        <v>5.9004807485865562</v>
      </c>
      <c r="AC308" s="272">
        <f t="shared" si="109"/>
        <v>5</v>
      </c>
      <c r="AD308" s="272">
        <f t="shared" si="110"/>
        <v>10.149720528195672</v>
      </c>
      <c r="AE308" s="272">
        <f t="shared" si="122"/>
        <v>6</v>
      </c>
      <c r="AF308" s="272">
        <f t="shared" si="111"/>
        <v>9.1966119693511263</v>
      </c>
      <c r="AG308" s="272">
        <f t="shared" si="123"/>
        <v>7</v>
      </c>
      <c r="AH308" s="272">
        <f t="shared" si="112"/>
        <v>8.5884638948013823</v>
      </c>
      <c r="AI308" s="272">
        <f t="shared" si="124"/>
        <v>8</v>
      </c>
      <c r="AJ308" s="272">
        <f t="shared" si="113"/>
        <v>8.1679181764499713</v>
      </c>
      <c r="AK308" s="272">
        <f t="shared" si="125"/>
        <v>8</v>
      </c>
      <c r="AL308" s="272">
        <f t="shared" si="114"/>
        <v>8.1679181764499713</v>
      </c>
      <c r="AM308" s="272">
        <f t="shared" si="126"/>
        <v>8</v>
      </c>
      <c r="AN308" s="272">
        <f t="shared" si="115"/>
        <v>8.1679181764499713</v>
      </c>
      <c r="AO308" s="272">
        <f t="shared" si="127"/>
        <v>8</v>
      </c>
      <c r="AP308" s="272">
        <f t="shared" si="116"/>
        <v>8.1679181764499713</v>
      </c>
      <c r="AQ308" s="272">
        <f t="shared" si="128"/>
        <v>8</v>
      </c>
      <c r="AR308" s="272">
        <f t="shared" si="117"/>
        <v>8.1679181764499713</v>
      </c>
      <c r="AS308" s="272">
        <f t="shared" si="129"/>
        <v>8</v>
      </c>
      <c r="AT308" s="508">
        <f t="shared" si="118"/>
        <v>8.1679181764499713</v>
      </c>
    </row>
    <row r="309" spans="1:46" ht="12.75" customHeight="1">
      <c r="A309" s="96">
        <f>IF(MAX($F$93:F309)=$G$88,$G$88,F309)</f>
        <v>1.4763235144388485</v>
      </c>
      <c r="B309" s="481">
        <v>217</v>
      </c>
      <c r="C309" s="96">
        <f t="shared" si="134"/>
        <v>0.32550000000000023</v>
      </c>
      <c r="D309" s="96">
        <f t="shared" si="131"/>
        <v>6.8859900312720272</v>
      </c>
      <c r="E309" s="96">
        <f t="shared" si="132"/>
        <v>0.9079308883730135</v>
      </c>
      <c r="F309" s="96">
        <f t="shared" si="130"/>
        <v>1.4763235144388485</v>
      </c>
      <c r="G309" s="96">
        <f t="shared" si="133"/>
        <v>1.3603235144388484</v>
      </c>
      <c r="I309" s="96">
        <f t="shared" si="135"/>
        <v>0</v>
      </c>
      <c r="J309" s="96">
        <f t="shared" si="136"/>
        <v>0.32550000000000023</v>
      </c>
      <c r="Y309" s="96">
        <f t="shared" si="119"/>
        <v>9</v>
      </c>
      <c r="Z309" s="96">
        <v>0.61999999999998001</v>
      </c>
      <c r="AA309" s="272">
        <f t="shared" si="120"/>
        <v>9</v>
      </c>
      <c r="AB309" s="519">
        <f t="shared" si="121"/>
        <v>5.9960335390651016</v>
      </c>
      <c r="AC309" s="272">
        <f t="shared" si="109"/>
        <v>5</v>
      </c>
      <c r="AD309" s="272">
        <f t="shared" si="110"/>
        <v>10.31408579949645</v>
      </c>
      <c r="AE309" s="272">
        <f t="shared" si="122"/>
        <v>6</v>
      </c>
      <c r="AF309" s="272">
        <f t="shared" si="111"/>
        <v>9.3455425351919512</v>
      </c>
      <c r="AG309" s="272">
        <f t="shared" si="123"/>
        <v>7</v>
      </c>
      <c r="AH309" s="272">
        <f t="shared" si="112"/>
        <v>8.7275460689562738</v>
      </c>
      <c r="AI309" s="272">
        <f t="shared" si="124"/>
        <v>8</v>
      </c>
      <c r="AJ309" s="272">
        <f t="shared" si="113"/>
        <v>8.3001900043594468</v>
      </c>
      <c r="AK309" s="272">
        <f t="shared" si="125"/>
        <v>8</v>
      </c>
      <c r="AL309" s="272">
        <f t="shared" si="114"/>
        <v>8.3001900043594468</v>
      </c>
      <c r="AM309" s="272">
        <f t="shared" si="126"/>
        <v>8</v>
      </c>
      <c r="AN309" s="272">
        <f t="shared" si="115"/>
        <v>8.3001900043594468</v>
      </c>
      <c r="AO309" s="272">
        <f t="shared" si="127"/>
        <v>8</v>
      </c>
      <c r="AP309" s="272">
        <f t="shared" si="116"/>
        <v>8.3001900043594468</v>
      </c>
      <c r="AQ309" s="272">
        <f t="shared" si="128"/>
        <v>8</v>
      </c>
      <c r="AR309" s="272">
        <f t="shared" si="117"/>
        <v>8.3001900043594468</v>
      </c>
      <c r="AS309" s="272">
        <f t="shared" si="129"/>
        <v>8</v>
      </c>
      <c r="AT309" s="508">
        <f t="shared" si="118"/>
        <v>8.3001900043594468</v>
      </c>
    </row>
    <row r="310" spans="1:46" ht="12.75" customHeight="1">
      <c r="A310" s="96">
        <f>IF(MAX($F$93:F310)=$G$88,$G$88,F310)</f>
        <v>1.5112224127723839</v>
      </c>
      <c r="B310" s="481">
        <v>218</v>
      </c>
      <c r="C310" s="96">
        <f t="shared" si="134"/>
        <v>0.32700000000000023</v>
      </c>
      <c r="D310" s="96">
        <f t="shared" si="131"/>
        <v>6.9496016106982905</v>
      </c>
      <c r="E310" s="96">
        <f t="shared" si="132"/>
        <v>0.90473006318076821</v>
      </c>
      <c r="F310" s="96">
        <f t="shared" si="130"/>
        <v>1.5112224127723839</v>
      </c>
      <c r="G310" s="96">
        <f t="shared" si="133"/>
        <v>1.3952224127723838</v>
      </c>
      <c r="I310" s="96">
        <f t="shared" si="135"/>
        <v>0</v>
      </c>
      <c r="J310" s="96">
        <f t="shared" si="136"/>
        <v>0.32700000000000023</v>
      </c>
      <c r="Y310" s="96">
        <f t="shared" si="119"/>
        <v>9</v>
      </c>
      <c r="Z310" s="517">
        <v>0.61499999999998001</v>
      </c>
      <c r="AA310" s="272">
        <f t="shared" si="120"/>
        <v>9</v>
      </c>
      <c r="AB310" s="519">
        <f t="shared" si="121"/>
        <v>6.0939263465308384</v>
      </c>
      <c r="AC310" s="272">
        <f t="shared" si="109"/>
        <v>6</v>
      </c>
      <c r="AD310" s="272">
        <f t="shared" si="110"/>
        <v>9.4981203001593961</v>
      </c>
      <c r="AE310" s="272">
        <f t="shared" si="122"/>
        <v>7</v>
      </c>
      <c r="AF310" s="272">
        <f t="shared" si="111"/>
        <v>8.870034262427902</v>
      </c>
      <c r="AG310" s="272">
        <f t="shared" si="123"/>
        <v>8</v>
      </c>
      <c r="AH310" s="272">
        <f t="shared" si="112"/>
        <v>8.4357010712559273</v>
      </c>
      <c r="AI310" s="272">
        <f t="shared" si="124"/>
        <v>8</v>
      </c>
      <c r="AJ310" s="272">
        <f t="shared" si="113"/>
        <v>8.4357010712559273</v>
      </c>
      <c r="AK310" s="272">
        <f t="shared" si="125"/>
        <v>8</v>
      </c>
      <c r="AL310" s="272">
        <f t="shared" si="114"/>
        <v>8.4357010712559273</v>
      </c>
      <c r="AM310" s="272">
        <f t="shared" si="126"/>
        <v>8</v>
      </c>
      <c r="AN310" s="272">
        <f t="shared" si="115"/>
        <v>8.4357010712559273</v>
      </c>
      <c r="AO310" s="272">
        <f t="shared" si="127"/>
        <v>8</v>
      </c>
      <c r="AP310" s="272">
        <f t="shared" si="116"/>
        <v>8.4357010712559273</v>
      </c>
      <c r="AQ310" s="272">
        <f t="shared" si="128"/>
        <v>8</v>
      </c>
      <c r="AR310" s="272">
        <f t="shared" si="117"/>
        <v>8.4357010712559273</v>
      </c>
      <c r="AS310" s="272">
        <f t="shared" si="129"/>
        <v>8</v>
      </c>
      <c r="AT310" s="508">
        <f t="shared" si="118"/>
        <v>8.4357010712559273</v>
      </c>
    </row>
    <row r="311" spans="1:46" ht="12.75" customHeight="1">
      <c r="A311" s="96">
        <f>IF(MAX($F$93:F311)=$G$88,$G$88,F311)</f>
        <v>1.546329680560802</v>
      </c>
      <c r="B311" s="481">
        <v>219</v>
      </c>
      <c r="C311" s="96">
        <f t="shared" si="134"/>
        <v>0.32850000000000024</v>
      </c>
      <c r="D311" s="96">
        <f t="shared" si="131"/>
        <v>7.0135056571563998</v>
      </c>
      <c r="E311" s="96">
        <f t="shared" si="132"/>
        <v>0.90145422088970328</v>
      </c>
      <c r="F311" s="96">
        <f t="shared" si="130"/>
        <v>1.546329680560802</v>
      </c>
      <c r="G311" s="96">
        <f t="shared" si="133"/>
        <v>1.4303296805608019</v>
      </c>
      <c r="I311" s="96">
        <f t="shared" si="135"/>
        <v>0</v>
      </c>
      <c r="J311" s="96">
        <f t="shared" si="136"/>
        <v>0.32850000000000024</v>
      </c>
      <c r="Y311" s="96">
        <f t="shared" si="119"/>
        <v>9</v>
      </c>
      <c r="Z311" s="96">
        <v>0.60999999999998</v>
      </c>
      <c r="AA311" s="272">
        <f t="shared" si="120"/>
        <v>9</v>
      </c>
      <c r="AB311" s="519">
        <f t="shared" si="121"/>
        <v>6.1942362064408165</v>
      </c>
      <c r="AC311" s="272">
        <f t="shared" si="109"/>
        <v>6</v>
      </c>
      <c r="AD311" s="272">
        <f t="shared" si="110"/>
        <v>9.6544653333184343</v>
      </c>
      <c r="AE311" s="272">
        <f t="shared" si="122"/>
        <v>7</v>
      </c>
      <c r="AF311" s="272">
        <f t="shared" si="111"/>
        <v>9.0160406044256778</v>
      </c>
      <c r="AG311" s="272">
        <f t="shared" si="123"/>
        <v>8</v>
      </c>
      <c r="AH311" s="272">
        <f t="shared" si="112"/>
        <v>8.5745580157908492</v>
      </c>
      <c r="AI311" s="272">
        <f t="shared" si="124"/>
        <v>8</v>
      </c>
      <c r="AJ311" s="272">
        <f t="shared" si="113"/>
        <v>8.5745580157908492</v>
      </c>
      <c r="AK311" s="272">
        <f t="shared" si="125"/>
        <v>8</v>
      </c>
      <c r="AL311" s="272">
        <f t="shared" si="114"/>
        <v>8.5745580157908492</v>
      </c>
      <c r="AM311" s="272">
        <f t="shared" si="126"/>
        <v>8</v>
      </c>
      <c r="AN311" s="272">
        <f t="shared" si="115"/>
        <v>8.5745580157908492</v>
      </c>
      <c r="AO311" s="272">
        <f t="shared" si="127"/>
        <v>8</v>
      </c>
      <c r="AP311" s="272">
        <f t="shared" si="116"/>
        <v>8.5745580157908492</v>
      </c>
      <c r="AQ311" s="272">
        <f t="shared" si="128"/>
        <v>8</v>
      </c>
      <c r="AR311" s="272">
        <f t="shared" si="117"/>
        <v>8.5745580157908492</v>
      </c>
      <c r="AS311" s="272">
        <f t="shared" si="129"/>
        <v>8</v>
      </c>
      <c r="AT311" s="508">
        <f t="shared" si="118"/>
        <v>8.5745580157908492</v>
      </c>
    </row>
    <row r="312" spans="1:46" ht="12.75" customHeight="1">
      <c r="A312" s="96">
        <f>IF(MAX($F$93:F312)=$G$88,$G$88,F312)</f>
        <v>1.581625483047814</v>
      </c>
      <c r="B312" s="481">
        <v>220</v>
      </c>
      <c r="C312" s="96">
        <f t="shared" si="134"/>
        <v>0.33000000000000024</v>
      </c>
      <c r="D312" s="96">
        <f t="shared" si="131"/>
        <v>7.0777021706463534</v>
      </c>
      <c r="E312" s="96">
        <f t="shared" si="132"/>
        <v>0.89810293597836477</v>
      </c>
      <c r="F312" s="96">
        <f t="shared" si="130"/>
        <v>1.581625483047814</v>
      </c>
      <c r="G312" s="96">
        <f t="shared" si="133"/>
        <v>1.4656254830478139</v>
      </c>
      <c r="I312" s="96">
        <f t="shared" si="135"/>
        <v>0</v>
      </c>
      <c r="J312" s="96">
        <f t="shared" si="136"/>
        <v>0.33000000000000024</v>
      </c>
      <c r="Y312" s="96">
        <f t="shared" si="119"/>
        <v>9</v>
      </c>
      <c r="Z312" s="517">
        <v>0.604999999999979</v>
      </c>
      <c r="AA312" s="272">
        <f t="shared" si="120"/>
        <v>9</v>
      </c>
      <c r="AB312" s="519">
        <f t="shared" si="121"/>
        <v>6.2970433506362573</v>
      </c>
      <c r="AC312" s="272">
        <f t="shared" si="109"/>
        <v>6</v>
      </c>
      <c r="AD312" s="272">
        <f t="shared" si="110"/>
        <v>9.8147026856848694</v>
      </c>
      <c r="AE312" s="272">
        <f t="shared" si="122"/>
        <v>7</v>
      </c>
      <c r="AF312" s="272">
        <f t="shared" si="111"/>
        <v>9.165681876666369</v>
      </c>
      <c r="AG312" s="272">
        <f t="shared" si="123"/>
        <v>8</v>
      </c>
      <c r="AH312" s="272">
        <f t="shared" si="112"/>
        <v>8.7168719013067069</v>
      </c>
      <c r="AI312" s="272">
        <f t="shared" si="124"/>
        <v>8</v>
      </c>
      <c r="AJ312" s="272">
        <f t="shared" si="113"/>
        <v>8.7168719013067069</v>
      </c>
      <c r="AK312" s="272">
        <f t="shared" si="125"/>
        <v>8</v>
      </c>
      <c r="AL312" s="272">
        <f t="shared" si="114"/>
        <v>8.7168719013067069</v>
      </c>
      <c r="AM312" s="272">
        <f t="shared" si="126"/>
        <v>8</v>
      </c>
      <c r="AN312" s="272">
        <f t="shared" si="115"/>
        <v>8.7168719013067069</v>
      </c>
      <c r="AO312" s="272">
        <f t="shared" si="127"/>
        <v>8</v>
      </c>
      <c r="AP312" s="272">
        <f t="shared" si="116"/>
        <v>8.7168719013067069</v>
      </c>
      <c r="AQ312" s="272">
        <f t="shared" si="128"/>
        <v>8</v>
      </c>
      <c r="AR312" s="272">
        <f t="shared" si="117"/>
        <v>8.7168719013067069</v>
      </c>
      <c r="AS312" s="272">
        <f t="shared" si="129"/>
        <v>8</v>
      </c>
      <c r="AT312" s="508">
        <f t="shared" si="118"/>
        <v>8.7168719013067069</v>
      </c>
    </row>
    <row r="313" spans="1:46" ht="12.75" customHeight="1">
      <c r="A313" s="96">
        <f>IF(MAX($F$93:F313)=$G$88,$G$88,F313)</f>
        <v>1.6170894969552669</v>
      </c>
      <c r="B313" s="481">
        <v>221</v>
      </c>
      <c r="C313" s="96">
        <f t="shared" si="134"/>
        <v>0.33150000000000024</v>
      </c>
      <c r="D313" s="96">
        <f t="shared" si="131"/>
        <v>7.1421911511681522</v>
      </c>
      <c r="E313" s="96">
        <f t="shared" si="132"/>
        <v>0.89467582596235551</v>
      </c>
      <c r="F313" s="96">
        <f t="shared" si="130"/>
        <v>1.6170894969552669</v>
      </c>
      <c r="G313" s="96">
        <f t="shared" si="133"/>
        <v>1.5010894969552668</v>
      </c>
      <c r="I313" s="96">
        <f t="shared" si="135"/>
        <v>1</v>
      </c>
      <c r="J313" s="96">
        <f t="shared" si="136"/>
        <v>0.33150000000000024</v>
      </c>
      <c r="Y313" s="96">
        <f t="shared" si="119"/>
        <v>9</v>
      </c>
      <c r="Z313" s="96">
        <v>0.59999999999997899</v>
      </c>
      <c r="AA313" s="272">
        <f t="shared" si="120"/>
        <v>9</v>
      </c>
      <c r="AB313" s="519">
        <f t="shared" si="121"/>
        <v>6.4024313678239944</v>
      </c>
      <c r="AC313" s="272">
        <f t="shared" si="109"/>
        <v>6</v>
      </c>
      <c r="AD313" s="272">
        <f t="shared" si="110"/>
        <v>9.978962640355018</v>
      </c>
      <c r="AE313" s="272">
        <f t="shared" si="122"/>
        <v>7</v>
      </c>
      <c r="AF313" s="272">
        <f t="shared" si="111"/>
        <v>9.3190797469633608</v>
      </c>
      <c r="AG313" s="272">
        <f t="shared" si="123"/>
        <v>8</v>
      </c>
      <c r="AH313" s="272">
        <f t="shared" si="112"/>
        <v>8.8627584379883029</v>
      </c>
      <c r="AI313" s="272">
        <f t="shared" si="124"/>
        <v>8</v>
      </c>
      <c r="AJ313" s="272">
        <f t="shared" si="113"/>
        <v>8.8627584379883029</v>
      </c>
      <c r="AK313" s="272">
        <f t="shared" si="125"/>
        <v>8</v>
      </c>
      <c r="AL313" s="272">
        <f t="shared" si="114"/>
        <v>8.8627584379883029</v>
      </c>
      <c r="AM313" s="272">
        <f t="shared" si="126"/>
        <v>8</v>
      </c>
      <c r="AN313" s="272">
        <f t="shared" si="115"/>
        <v>8.8627584379883029</v>
      </c>
      <c r="AO313" s="272">
        <f t="shared" si="127"/>
        <v>8</v>
      </c>
      <c r="AP313" s="272">
        <f t="shared" si="116"/>
        <v>8.8627584379883029</v>
      </c>
      <c r="AQ313" s="272">
        <f t="shared" si="128"/>
        <v>8</v>
      </c>
      <c r="AR313" s="272">
        <f t="shared" si="117"/>
        <v>8.8627584379883029</v>
      </c>
      <c r="AS313" s="272">
        <f t="shared" si="129"/>
        <v>8</v>
      </c>
      <c r="AT313" s="508">
        <f t="shared" si="118"/>
        <v>8.8627584379883029</v>
      </c>
    </row>
    <row r="314" spans="1:46" ht="12.75" customHeight="1">
      <c r="A314" s="96">
        <f>IF(MAX($F$93:F314)=$G$88,$G$88,F314)</f>
        <v>1.6527009307372829</v>
      </c>
      <c r="B314" s="481">
        <v>222</v>
      </c>
      <c r="C314" s="96">
        <f t="shared" si="134"/>
        <v>0.33300000000000024</v>
      </c>
      <c r="D314" s="96">
        <f t="shared" si="131"/>
        <v>7.2069725987217943</v>
      </c>
      <c r="E314" s="96">
        <f t="shared" si="132"/>
        <v>0.89117255241998505</v>
      </c>
      <c r="F314" s="96">
        <f t="shared" si="130"/>
        <v>1.6527009307372829</v>
      </c>
      <c r="G314" s="96">
        <f t="shared" si="133"/>
        <v>1.5367009307372828</v>
      </c>
      <c r="I314" s="96">
        <f t="shared" si="135"/>
        <v>1</v>
      </c>
      <c r="J314" s="96">
        <f t="shared" si="136"/>
        <v>0.33300000000000024</v>
      </c>
      <c r="Y314" s="96">
        <f t="shared" si="119"/>
        <v>10</v>
      </c>
      <c r="Z314" s="517">
        <v>0.59499999999997899</v>
      </c>
      <c r="AA314" s="272">
        <f t="shared" si="120"/>
        <v>10</v>
      </c>
      <c r="AB314" s="519">
        <f t="shared" si="121"/>
        <v>6.5104873735375728</v>
      </c>
      <c r="AC314" s="272">
        <f t="shared" si="109"/>
        <v>6</v>
      </c>
      <c r="AD314" s="272">
        <f t="shared" si="110"/>
        <v>10.147380977410656</v>
      </c>
      <c r="AE314" s="272">
        <f t="shared" si="122"/>
        <v>7</v>
      </c>
      <c r="AF314" s="272">
        <f t="shared" si="111"/>
        <v>9.4763610166141152</v>
      </c>
      <c r="AG314" s="272">
        <f t="shared" si="123"/>
        <v>8</v>
      </c>
      <c r="AH314" s="272">
        <f t="shared" si="112"/>
        <v>9.0123382181365468</v>
      </c>
      <c r="AI314" s="272">
        <f t="shared" si="124"/>
        <v>9</v>
      </c>
      <c r="AJ314" s="272">
        <f t="shared" si="113"/>
        <v>8.6728705740154037</v>
      </c>
      <c r="AK314" s="272">
        <f t="shared" si="125"/>
        <v>8</v>
      </c>
      <c r="AL314" s="272">
        <f t="shared" si="114"/>
        <v>9.0123382181365468</v>
      </c>
      <c r="AM314" s="272">
        <f t="shared" si="126"/>
        <v>9</v>
      </c>
      <c r="AN314" s="272">
        <f t="shared" si="115"/>
        <v>8.6728705740154037</v>
      </c>
      <c r="AO314" s="272">
        <f t="shared" si="127"/>
        <v>8</v>
      </c>
      <c r="AP314" s="272">
        <f t="shared" si="116"/>
        <v>9.0123382181365468</v>
      </c>
      <c r="AQ314" s="272">
        <f t="shared" si="128"/>
        <v>9</v>
      </c>
      <c r="AR314" s="272">
        <f t="shared" si="117"/>
        <v>8.6728705740154037</v>
      </c>
      <c r="AS314" s="272">
        <f t="shared" si="129"/>
        <v>8</v>
      </c>
      <c r="AT314" s="508">
        <f t="shared" si="118"/>
        <v>9.0123382181365468</v>
      </c>
    </row>
    <row r="315" spans="1:46" ht="12.75" customHeight="1">
      <c r="A315" s="96">
        <f>IF(MAX($F$93:F315)=$G$88,$G$88,F315)</f>
        <v>1.6884385457839803</v>
      </c>
      <c r="B315" s="481">
        <v>223</v>
      </c>
      <c r="C315" s="96">
        <f t="shared" si="134"/>
        <v>0.33450000000000024</v>
      </c>
      <c r="D315" s="96">
        <f t="shared" si="131"/>
        <v>7.2720465133072834</v>
      </c>
      <c r="E315" s="96">
        <f t="shared" si="132"/>
        <v>0.88759282197348144</v>
      </c>
      <c r="F315" s="96">
        <f t="shared" si="130"/>
        <v>1.6884385457839803</v>
      </c>
      <c r="G315" s="96">
        <f t="shared" si="133"/>
        <v>1.5724385457839802</v>
      </c>
      <c r="I315" s="96">
        <f t="shared" si="135"/>
        <v>1</v>
      </c>
      <c r="J315" s="96">
        <f t="shared" si="136"/>
        <v>0.33450000000000024</v>
      </c>
      <c r="Y315" s="96">
        <f t="shared" si="119"/>
        <v>10</v>
      </c>
      <c r="Z315" s="96">
        <v>0.58999999999997899</v>
      </c>
      <c r="AA315" s="272">
        <f t="shared" si="120"/>
        <v>10</v>
      </c>
      <c r="AB315" s="519">
        <f t="shared" si="121"/>
        <v>6.6213021902230427</v>
      </c>
      <c r="AC315" s="272">
        <f t="shared" si="109"/>
        <v>6</v>
      </c>
      <c r="AD315" s="272">
        <f t="shared" si="110"/>
        <v>10.320099254604456</v>
      </c>
      <c r="AE315" s="272">
        <f t="shared" si="122"/>
        <v>7</v>
      </c>
      <c r="AF315" s="272">
        <f t="shared" si="111"/>
        <v>9.6376578825246</v>
      </c>
      <c r="AG315" s="272">
        <f t="shared" si="123"/>
        <v>8</v>
      </c>
      <c r="AH315" s="272">
        <f t="shared" si="112"/>
        <v>9.165736965457608</v>
      </c>
      <c r="AI315" s="272">
        <f t="shared" si="124"/>
        <v>9</v>
      </c>
      <c r="AJ315" s="272">
        <f t="shared" si="113"/>
        <v>8.8204912524154118</v>
      </c>
      <c r="AK315" s="272">
        <f t="shared" si="125"/>
        <v>8</v>
      </c>
      <c r="AL315" s="272">
        <f t="shared" si="114"/>
        <v>9.165736965457608</v>
      </c>
      <c r="AM315" s="272">
        <f t="shared" si="126"/>
        <v>9</v>
      </c>
      <c r="AN315" s="272">
        <f t="shared" si="115"/>
        <v>8.8204912524154118</v>
      </c>
      <c r="AO315" s="272">
        <f t="shared" si="127"/>
        <v>8</v>
      </c>
      <c r="AP315" s="272">
        <f t="shared" si="116"/>
        <v>9.165736965457608</v>
      </c>
      <c r="AQ315" s="272">
        <f t="shared" si="128"/>
        <v>9</v>
      </c>
      <c r="AR315" s="272">
        <f t="shared" si="117"/>
        <v>8.8204912524154118</v>
      </c>
      <c r="AS315" s="272">
        <f t="shared" si="129"/>
        <v>8</v>
      </c>
      <c r="AT315" s="508">
        <f t="shared" si="118"/>
        <v>9.165736965457608</v>
      </c>
    </row>
    <row r="316" spans="1:46" ht="12.75" customHeight="1">
      <c r="A316" s="96">
        <f>IF(MAX($F$93:F316)=$G$88,$G$88,F316)</f>
        <v>1.7242806785421338</v>
      </c>
      <c r="B316" s="481">
        <v>224</v>
      </c>
      <c r="C316" s="96">
        <f t="shared" si="134"/>
        <v>0.33600000000000024</v>
      </c>
      <c r="D316" s="96">
        <f t="shared" si="131"/>
        <v>7.3374128949246167</v>
      </c>
      <c r="E316" s="96">
        <f t="shared" si="132"/>
        <v>0.88393638722376799</v>
      </c>
      <c r="F316" s="96">
        <f t="shared" si="130"/>
        <v>1.7242806785421338</v>
      </c>
      <c r="G316" s="96">
        <f t="shared" si="133"/>
        <v>1.6082806785421337</v>
      </c>
      <c r="I316" s="96">
        <f t="shared" si="135"/>
        <v>1</v>
      </c>
      <c r="J316" s="96">
        <f t="shared" si="136"/>
        <v>0.33600000000000024</v>
      </c>
      <c r="Y316" s="96">
        <f t="shared" si="119"/>
        <v>10</v>
      </c>
      <c r="Z316" s="517">
        <v>0.58499999999997898</v>
      </c>
      <c r="AA316" s="272">
        <f t="shared" si="120"/>
        <v>10</v>
      </c>
      <c r="AB316" s="519">
        <f t="shared" si="121"/>
        <v>6.7349705381449105</v>
      </c>
      <c r="AC316" s="272">
        <f t="shared" si="109"/>
        <v>6</v>
      </c>
      <c r="AD316" s="272">
        <f t="shared" si="110"/>
        <v>10.497265104909964</v>
      </c>
      <c r="AE316" s="272">
        <f t="shared" si="122"/>
        <v>7</v>
      </c>
      <c r="AF316" s="272">
        <f t="shared" si="111"/>
        <v>9.8031082150831086</v>
      </c>
      <c r="AG316" s="272">
        <f t="shared" si="123"/>
        <v>8</v>
      </c>
      <c r="AH316" s="272">
        <f t="shared" si="112"/>
        <v>9.3230857993302507</v>
      </c>
      <c r="AI316" s="272">
        <f t="shared" si="124"/>
        <v>9</v>
      </c>
      <c r="AJ316" s="272">
        <f t="shared" si="113"/>
        <v>8.9719132295004957</v>
      </c>
      <c r="AK316" s="272">
        <f t="shared" si="125"/>
        <v>8</v>
      </c>
      <c r="AL316" s="272">
        <f t="shared" si="114"/>
        <v>9.3230857993302507</v>
      </c>
      <c r="AM316" s="272">
        <f t="shared" si="126"/>
        <v>9</v>
      </c>
      <c r="AN316" s="272">
        <f t="shared" si="115"/>
        <v>8.9719132295004957</v>
      </c>
      <c r="AO316" s="272">
        <f t="shared" si="127"/>
        <v>8</v>
      </c>
      <c r="AP316" s="272">
        <f t="shared" si="116"/>
        <v>9.3230857993302507</v>
      </c>
      <c r="AQ316" s="272">
        <f t="shared" si="128"/>
        <v>9</v>
      </c>
      <c r="AR316" s="272">
        <f t="shared" si="117"/>
        <v>8.9719132295004957</v>
      </c>
      <c r="AS316" s="272">
        <f t="shared" si="129"/>
        <v>8</v>
      </c>
      <c r="AT316" s="508">
        <f t="shared" si="118"/>
        <v>9.3230857993302507</v>
      </c>
    </row>
    <row r="317" spans="1:46" ht="12.75" customHeight="1">
      <c r="A317" s="96">
        <f>IF(MAX($F$93:F317)=$G$88,$G$88,F317)</f>
        <v>1.7602052635170524</v>
      </c>
      <c r="B317" s="481">
        <v>225</v>
      </c>
      <c r="C317" s="96">
        <f t="shared" si="134"/>
        <v>0.33750000000000024</v>
      </c>
      <c r="D317" s="96">
        <f t="shared" si="131"/>
        <v>7.4030717435737943</v>
      </c>
      <c r="E317" s="96">
        <f t="shared" si="132"/>
        <v>0.88020304763687229</v>
      </c>
      <c r="F317" s="96">
        <f t="shared" si="130"/>
        <v>1.7602052635170524</v>
      </c>
      <c r="G317" s="96">
        <f t="shared" si="133"/>
        <v>1.6442052635170523</v>
      </c>
      <c r="I317" s="96">
        <f t="shared" si="135"/>
        <v>1</v>
      </c>
      <c r="J317" s="96">
        <f t="shared" si="136"/>
        <v>0.33750000000000024</v>
      </c>
      <c r="Y317" s="96">
        <f t="shared" si="119"/>
        <v>10</v>
      </c>
      <c r="Z317" s="96">
        <v>0.57999999999997898</v>
      </c>
      <c r="AA317" s="272">
        <f t="shared" si="120"/>
        <v>10</v>
      </c>
      <c r="AB317" s="519">
        <f t="shared" si="121"/>
        <v>6.8515912378616051</v>
      </c>
      <c r="AC317" s="272">
        <f t="shared" si="109"/>
        <v>6</v>
      </c>
      <c r="AD317" s="272">
        <f t="shared" si="110"/>
        <v>10.679032552104086</v>
      </c>
      <c r="AE317" s="272">
        <f t="shared" si="122"/>
        <v>7</v>
      </c>
      <c r="AF317" s="272">
        <f t="shared" si="111"/>
        <v>9.9728558528740159</v>
      </c>
      <c r="AG317" s="272">
        <f t="shared" si="123"/>
        <v>8</v>
      </c>
      <c r="AH317" s="272">
        <f t="shared" si="112"/>
        <v>9.4845215150885753</v>
      </c>
      <c r="AI317" s="272">
        <f t="shared" si="124"/>
        <v>9</v>
      </c>
      <c r="AJ317" s="272">
        <f t="shared" si="113"/>
        <v>9.1272681479364124</v>
      </c>
      <c r="AK317" s="272">
        <f t="shared" si="125"/>
        <v>9</v>
      </c>
      <c r="AL317" s="272">
        <f t="shared" si="114"/>
        <v>9.1272681479364124</v>
      </c>
      <c r="AM317" s="272">
        <f t="shared" si="126"/>
        <v>9</v>
      </c>
      <c r="AN317" s="272">
        <f t="shared" si="115"/>
        <v>9.1272681479364124</v>
      </c>
      <c r="AO317" s="272">
        <f t="shared" si="127"/>
        <v>9</v>
      </c>
      <c r="AP317" s="272">
        <f t="shared" si="116"/>
        <v>9.1272681479364124</v>
      </c>
      <c r="AQ317" s="272">
        <f t="shared" si="128"/>
        <v>9</v>
      </c>
      <c r="AR317" s="272">
        <f t="shared" si="117"/>
        <v>9.1272681479364124</v>
      </c>
      <c r="AS317" s="272">
        <f t="shared" si="129"/>
        <v>9</v>
      </c>
      <c r="AT317" s="508">
        <f t="shared" si="118"/>
        <v>9.1272681479364124</v>
      </c>
    </row>
    <row r="318" spans="1:46" ht="12.75" customHeight="1">
      <c r="A318" s="96">
        <f>IF(MAX($F$93:F318)=$G$88,$G$88,F318)</f>
        <v>1.7961898571188644</v>
      </c>
      <c r="B318" s="481">
        <v>226</v>
      </c>
      <c r="C318" s="96">
        <f t="shared" si="134"/>
        <v>0.33900000000000025</v>
      </c>
      <c r="D318" s="96">
        <f t="shared" si="131"/>
        <v>7.469023059254817</v>
      </c>
      <c r="E318" s="96">
        <f t="shared" si="132"/>
        <v>0.87639265038012348</v>
      </c>
      <c r="F318" s="96">
        <f t="shared" si="130"/>
        <v>1.7961898571188644</v>
      </c>
      <c r="G318" s="96">
        <f t="shared" si="133"/>
        <v>1.6801898571188643</v>
      </c>
      <c r="I318" s="96">
        <f t="shared" si="135"/>
        <v>1</v>
      </c>
      <c r="J318" s="96">
        <f t="shared" si="136"/>
        <v>0.33900000000000025</v>
      </c>
      <c r="Y318" s="96">
        <f t="shared" si="119"/>
        <v>10</v>
      </c>
      <c r="Z318" s="517">
        <v>0.57499999999997897</v>
      </c>
      <c r="AA318" s="272">
        <f t="shared" si="120"/>
        <v>10</v>
      </c>
      <c r="AB318" s="519">
        <f t="shared" si="121"/>
        <v>6.9712674250786995</v>
      </c>
      <c r="AC318" s="272">
        <f t="shared" si="109"/>
        <v>6</v>
      </c>
      <c r="AD318" s="272">
        <f t="shared" si="110"/>
        <v>10.86556234564179</v>
      </c>
      <c r="AE318" s="272">
        <f t="shared" si="122"/>
        <v>7</v>
      </c>
      <c r="AF318" s="272">
        <f t="shared" si="111"/>
        <v>10.147050915408151</v>
      </c>
      <c r="AG318" s="272">
        <f t="shared" si="123"/>
        <v>8</v>
      </c>
      <c r="AH318" s="272">
        <f t="shared" si="112"/>
        <v>9.6501868814390903</v>
      </c>
      <c r="AI318" s="272">
        <f t="shared" si="124"/>
        <v>9</v>
      </c>
      <c r="AJ318" s="272">
        <f t="shared" si="113"/>
        <v>9.2866933987623774</v>
      </c>
      <c r="AK318" s="272">
        <f t="shared" si="125"/>
        <v>9</v>
      </c>
      <c r="AL318" s="272">
        <f t="shared" si="114"/>
        <v>9.2866933987623774</v>
      </c>
      <c r="AM318" s="272">
        <f t="shared" si="126"/>
        <v>9</v>
      </c>
      <c r="AN318" s="272">
        <f t="shared" si="115"/>
        <v>9.2866933987623774</v>
      </c>
      <c r="AO318" s="272">
        <f t="shared" si="127"/>
        <v>9</v>
      </c>
      <c r="AP318" s="272">
        <f t="shared" si="116"/>
        <v>9.2866933987623774</v>
      </c>
      <c r="AQ318" s="272">
        <f t="shared" si="128"/>
        <v>9</v>
      </c>
      <c r="AR318" s="272">
        <f t="shared" si="117"/>
        <v>9.2866933987623774</v>
      </c>
      <c r="AS318" s="272">
        <f t="shared" si="129"/>
        <v>9</v>
      </c>
      <c r="AT318" s="508">
        <f t="shared" si="118"/>
        <v>9.2866933987623774</v>
      </c>
    </row>
    <row r="319" spans="1:46" ht="12.75" customHeight="1">
      <c r="A319" s="96">
        <f>IF(MAX($F$93:F319)=$G$88,$G$88,F319)</f>
        <v>1.8322136218801854</v>
      </c>
      <c r="B319" s="481">
        <v>227</v>
      </c>
      <c r="C319" s="96">
        <f t="shared" si="134"/>
        <v>0.34050000000000025</v>
      </c>
      <c r="D319" s="96">
        <f t="shared" si="131"/>
        <v>7.535266841967684</v>
      </c>
      <c r="E319" s="96">
        <f t="shared" si="132"/>
        <v>0.87250509110636287</v>
      </c>
      <c r="F319" s="96">
        <f t="shared" si="130"/>
        <v>1.8322136218801854</v>
      </c>
      <c r="G319" s="96">
        <f t="shared" si="133"/>
        <v>1.7162136218801853</v>
      </c>
      <c r="I319" s="96">
        <f t="shared" si="135"/>
        <v>1</v>
      </c>
      <c r="J319" s="96">
        <f t="shared" si="136"/>
        <v>0.34050000000000025</v>
      </c>
      <c r="Y319" s="96">
        <f t="shared" si="119"/>
        <v>10</v>
      </c>
      <c r="Z319" s="96">
        <v>0.56999999999997897</v>
      </c>
      <c r="AA319" s="272">
        <f t="shared" si="120"/>
        <v>10</v>
      </c>
      <c r="AB319" s="519">
        <f t="shared" si="121"/>
        <v>7.0941067787523746</v>
      </c>
      <c r="AC319" s="272">
        <f t="shared" si="109"/>
        <v>7</v>
      </c>
      <c r="AD319" s="272">
        <f t="shared" si="110"/>
        <v>10.325850135139497</v>
      </c>
      <c r="AE319" s="272">
        <f t="shared" si="122"/>
        <v>8</v>
      </c>
      <c r="AF319" s="272">
        <f t="shared" si="111"/>
        <v>9.8202309562197634</v>
      </c>
      <c r="AG319" s="272">
        <f t="shared" si="123"/>
        <v>9</v>
      </c>
      <c r="AH319" s="272">
        <f t="shared" si="112"/>
        <v>9.4503324252564269</v>
      </c>
      <c r="AI319" s="272">
        <f t="shared" si="124"/>
        <v>9</v>
      </c>
      <c r="AJ319" s="272">
        <f t="shared" si="113"/>
        <v>9.4503324252564269</v>
      </c>
      <c r="AK319" s="272">
        <f t="shared" si="125"/>
        <v>9</v>
      </c>
      <c r="AL319" s="272">
        <f t="shared" si="114"/>
        <v>9.4503324252564269</v>
      </c>
      <c r="AM319" s="272">
        <f t="shared" si="126"/>
        <v>9</v>
      </c>
      <c r="AN319" s="272">
        <f t="shared" si="115"/>
        <v>9.4503324252564269</v>
      </c>
      <c r="AO319" s="272">
        <f t="shared" si="127"/>
        <v>9</v>
      </c>
      <c r="AP319" s="272">
        <f t="shared" si="116"/>
        <v>9.4503324252564269</v>
      </c>
      <c r="AQ319" s="272">
        <f t="shared" si="128"/>
        <v>9</v>
      </c>
      <c r="AR319" s="272">
        <f t="shared" si="117"/>
        <v>9.4503324252564269</v>
      </c>
      <c r="AS319" s="272">
        <f t="shared" si="129"/>
        <v>9</v>
      </c>
      <c r="AT319" s="508">
        <f t="shared" si="118"/>
        <v>9.4503324252564269</v>
      </c>
    </row>
    <row r="320" spans="1:46" ht="12.75" customHeight="1">
      <c r="A320" s="96">
        <f>IF(MAX($F$93:F320)=$G$88,$G$88,F320)</f>
        <v>1.8682498019240674</v>
      </c>
      <c r="B320" s="481">
        <v>228</v>
      </c>
      <c r="C320" s="96">
        <f t="shared" si="134"/>
        <v>0.34200000000000025</v>
      </c>
      <c r="D320" s="96">
        <f t="shared" si="131"/>
        <v>7.6018030917123971</v>
      </c>
      <c r="E320" s="96">
        <f t="shared" si="132"/>
        <v>0.86854030628635126</v>
      </c>
      <c r="F320" s="96">
        <f t="shared" si="130"/>
        <v>1.8682498019240674</v>
      </c>
      <c r="G320" s="96">
        <f t="shared" si="133"/>
        <v>1.7522498019240673</v>
      </c>
      <c r="I320" s="96">
        <f t="shared" si="135"/>
        <v>1</v>
      </c>
      <c r="J320" s="96">
        <f t="shared" si="136"/>
        <v>0.34200000000000025</v>
      </c>
      <c r="Y320" s="96">
        <f t="shared" si="119"/>
        <v>10</v>
      </c>
      <c r="Z320" s="517">
        <v>0.56499999999997896</v>
      </c>
      <c r="AA320" s="272">
        <f t="shared" si="120"/>
        <v>10</v>
      </c>
      <c r="AB320" s="519">
        <f t="shared" si="121"/>
        <v>7.2202217633852239</v>
      </c>
      <c r="AC320" s="272">
        <f t="shared" si="109"/>
        <v>7</v>
      </c>
      <c r="AD320" s="272">
        <f t="shared" si="110"/>
        <v>10.509417210139635</v>
      </c>
      <c r="AE320" s="272">
        <f t="shared" si="122"/>
        <v>8</v>
      </c>
      <c r="AF320" s="272">
        <f t="shared" si="111"/>
        <v>9.9948094218053178</v>
      </c>
      <c r="AG320" s="272">
        <f t="shared" si="123"/>
        <v>9</v>
      </c>
      <c r="AH320" s="272">
        <f t="shared" si="112"/>
        <v>9.618335045706992</v>
      </c>
      <c r="AI320" s="272">
        <f t="shared" si="124"/>
        <v>9</v>
      </c>
      <c r="AJ320" s="272">
        <f t="shared" si="113"/>
        <v>9.618335045706992</v>
      </c>
      <c r="AK320" s="272">
        <f t="shared" si="125"/>
        <v>9</v>
      </c>
      <c r="AL320" s="272">
        <f t="shared" si="114"/>
        <v>9.618335045706992</v>
      </c>
      <c r="AM320" s="272">
        <f t="shared" si="126"/>
        <v>9</v>
      </c>
      <c r="AN320" s="272">
        <f t="shared" si="115"/>
        <v>9.618335045706992</v>
      </c>
      <c r="AO320" s="272">
        <f t="shared" si="127"/>
        <v>9</v>
      </c>
      <c r="AP320" s="272">
        <f t="shared" si="116"/>
        <v>9.618335045706992</v>
      </c>
      <c r="AQ320" s="272">
        <f t="shared" si="128"/>
        <v>9</v>
      </c>
      <c r="AR320" s="272">
        <f t="shared" si="117"/>
        <v>9.618335045706992</v>
      </c>
      <c r="AS320" s="272">
        <f t="shared" si="129"/>
        <v>9</v>
      </c>
      <c r="AT320" s="508">
        <f t="shared" si="118"/>
        <v>9.618335045706992</v>
      </c>
    </row>
    <row r="321" spans="1:46" ht="12.75" customHeight="1">
      <c r="A321" s="96">
        <f>IF(MAX($F$93:F321)=$G$88,$G$88,F321)</f>
        <v>1.9042747221148884</v>
      </c>
      <c r="B321" s="481">
        <v>229</v>
      </c>
      <c r="C321" s="96">
        <f t="shared" si="134"/>
        <v>0.34350000000000025</v>
      </c>
      <c r="D321" s="96">
        <f t="shared" si="131"/>
        <v>7.6686318084889553</v>
      </c>
      <c r="E321" s="96">
        <f t="shared" si="132"/>
        <v>0.86449830624097401</v>
      </c>
      <c r="F321" s="96">
        <f t="shared" si="130"/>
        <v>1.9042747221148884</v>
      </c>
      <c r="G321" s="96">
        <f t="shared" si="133"/>
        <v>1.7882747221148882</v>
      </c>
      <c r="I321" s="96">
        <f t="shared" si="135"/>
        <v>1</v>
      </c>
      <c r="J321" s="96">
        <f t="shared" si="136"/>
        <v>0.34350000000000025</v>
      </c>
      <c r="Y321" s="96">
        <f t="shared" si="119"/>
        <v>10</v>
      </c>
      <c r="Z321" s="96">
        <v>0.55999999999997796</v>
      </c>
      <c r="AA321" s="272">
        <f t="shared" si="120"/>
        <v>10</v>
      </c>
      <c r="AB321" s="519">
        <f t="shared" si="121"/>
        <v>7.3497298865327103</v>
      </c>
      <c r="AC321" s="272">
        <f t="shared" si="109"/>
        <v>7</v>
      </c>
      <c r="AD321" s="272">
        <f t="shared" si="110"/>
        <v>10.697923178912113</v>
      </c>
      <c r="AE321" s="272">
        <f t="shared" si="122"/>
        <v>8</v>
      </c>
      <c r="AF321" s="272">
        <f t="shared" si="111"/>
        <v>10.174084941568294</v>
      </c>
      <c r="AG321" s="272">
        <f t="shared" si="123"/>
        <v>9</v>
      </c>
      <c r="AH321" s="272">
        <f t="shared" si="112"/>
        <v>9.7908577964471561</v>
      </c>
      <c r="AI321" s="272">
        <f t="shared" si="124"/>
        <v>9</v>
      </c>
      <c r="AJ321" s="272">
        <f t="shared" si="113"/>
        <v>9.7908577964471561</v>
      </c>
      <c r="AK321" s="272">
        <f t="shared" si="125"/>
        <v>9</v>
      </c>
      <c r="AL321" s="272">
        <f t="shared" si="114"/>
        <v>9.7908577964471561</v>
      </c>
      <c r="AM321" s="272">
        <f t="shared" si="126"/>
        <v>9</v>
      </c>
      <c r="AN321" s="272">
        <f t="shared" si="115"/>
        <v>9.7908577964471561</v>
      </c>
      <c r="AO321" s="272">
        <f t="shared" si="127"/>
        <v>9</v>
      </c>
      <c r="AP321" s="272">
        <f t="shared" si="116"/>
        <v>9.7908577964471561</v>
      </c>
      <c r="AQ321" s="272">
        <f t="shared" si="128"/>
        <v>9</v>
      </c>
      <c r="AR321" s="272">
        <f t="shared" si="117"/>
        <v>9.7908577964471561</v>
      </c>
      <c r="AS321" s="272">
        <f t="shared" si="129"/>
        <v>9</v>
      </c>
      <c r="AT321" s="508">
        <f t="shared" si="118"/>
        <v>9.7908577964471561</v>
      </c>
    </row>
    <row r="322" spans="1:46" ht="12.75" customHeight="1">
      <c r="A322" s="96">
        <f>IF(MAX($F$93:F322)=$G$88,$G$88,F322)</f>
        <v>1.9402683165024395</v>
      </c>
      <c r="B322" s="481">
        <v>230</v>
      </c>
      <c r="C322" s="96">
        <f t="shared" si="134"/>
        <v>0.34500000000000025</v>
      </c>
      <c r="D322" s="96">
        <f t="shared" si="131"/>
        <v>7.7357529922973569</v>
      </c>
      <c r="E322" s="96">
        <f t="shared" si="132"/>
        <v>0.86037912890585888</v>
      </c>
      <c r="F322" s="96">
        <f t="shared" si="130"/>
        <v>1.9402683165024395</v>
      </c>
      <c r="G322" s="96">
        <f t="shared" si="133"/>
        <v>1.8242683165024394</v>
      </c>
      <c r="I322" s="96">
        <f t="shared" si="135"/>
        <v>1</v>
      </c>
      <c r="J322" s="96">
        <f t="shared" si="136"/>
        <v>0.34500000000000025</v>
      </c>
      <c r="Y322" s="96">
        <f t="shared" si="119"/>
        <v>10</v>
      </c>
      <c r="Z322" s="517">
        <v>0.55499999999997796</v>
      </c>
      <c r="AA322" s="272">
        <f t="shared" si="120"/>
        <v>10</v>
      </c>
      <c r="AB322" s="519">
        <f t="shared" si="121"/>
        <v>7.4827539726212473</v>
      </c>
      <c r="AC322" s="272">
        <f t="shared" si="109"/>
        <v>7</v>
      </c>
      <c r="AD322" s="272">
        <f t="shared" si="110"/>
        <v>10.891546818949244</v>
      </c>
      <c r="AE322" s="272">
        <f t="shared" si="122"/>
        <v>8</v>
      </c>
      <c r="AF322" s="272">
        <f t="shared" si="111"/>
        <v>10.358227538919955</v>
      </c>
      <c r="AG322" s="272">
        <f t="shared" si="123"/>
        <v>9</v>
      </c>
      <c r="AH322" s="272">
        <f t="shared" si="112"/>
        <v>9.9680642966182287</v>
      </c>
      <c r="AI322" s="272">
        <f t="shared" si="124"/>
        <v>9</v>
      </c>
      <c r="AJ322" s="272">
        <f t="shared" si="113"/>
        <v>9.9680642966182287</v>
      </c>
      <c r="AK322" s="272">
        <f t="shared" si="125"/>
        <v>9</v>
      </c>
      <c r="AL322" s="272">
        <f t="shared" si="114"/>
        <v>9.9680642966182287</v>
      </c>
      <c r="AM322" s="272">
        <f t="shared" si="126"/>
        <v>9</v>
      </c>
      <c r="AN322" s="272">
        <f t="shared" si="115"/>
        <v>9.9680642966182287</v>
      </c>
      <c r="AO322" s="272">
        <f t="shared" si="127"/>
        <v>9</v>
      </c>
      <c r="AP322" s="272">
        <f t="shared" si="116"/>
        <v>9.9680642966182287</v>
      </c>
      <c r="AQ322" s="272">
        <f t="shared" si="128"/>
        <v>9</v>
      </c>
      <c r="AR322" s="272">
        <f t="shared" si="117"/>
        <v>9.9680642966182287</v>
      </c>
      <c r="AS322" s="272">
        <f t="shared" si="129"/>
        <v>9</v>
      </c>
      <c r="AT322" s="508">
        <f t="shared" si="118"/>
        <v>9.9680642966182287</v>
      </c>
    </row>
    <row r="323" spans="1:46" ht="12.75" customHeight="1">
      <c r="A323" s="96">
        <f>IF(MAX($F$93:F323)=$G$88,$G$88,F323)</f>
        <v>1.9762049299554862</v>
      </c>
      <c r="B323" s="481">
        <v>231</v>
      </c>
      <c r="C323" s="96">
        <f t="shared" si="134"/>
        <v>0.34650000000000025</v>
      </c>
      <c r="D323" s="96">
        <f t="shared" si="131"/>
        <v>7.8031666431376046</v>
      </c>
      <c r="E323" s="96">
        <f t="shared" si="132"/>
        <v>0.8561828705988207</v>
      </c>
      <c r="F323" s="96">
        <f t="shared" si="130"/>
        <v>1.9762049299554862</v>
      </c>
      <c r="G323" s="96">
        <f t="shared" si="133"/>
        <v>1.8602049299554861</v>
      </c>
      <c r="I323" s="96">
        <f t="shared" si="135"/>
        <v>1</v>
      </c>
      <c r="J323" s="96">
        <f t="shared" si="136"/>
        <v>0.34650000000000025</v>
      </c>
      <c r="Y323" s="96">
        <f t="shared" si="119"/>
        <v>11</v>
      </c>
      <c r="Z323" s="96">
        <v>0.54999999999997795</v>
      </c>
      <c r="AA323" s="272">
        <f t="shared" si="120"/>
        <v>11</v>
      </c>
      <c r="AB323" s="519">
        <f t="shared" si="121"/>
        <v>7.6194224542699551</v>
      </c>
      <c r="AC323" s="272">
        <f t="shared" si="109"/>
        <v>7</v>
      </c>
      <c r="AD323" s="272">
        <f t="shared" si="110"/>
        <v>11.090475070766425</v>
      </c>
      <c r="AE323" s="272">
        <f t="shared" si="122"/>
        <v>8</v>
      </c>
      <c r="AF323" s="272">
        <f t="shared" si="111"/>
        <v>10.547415000581227</v>
      </c>
      <c r="AG323" s="272">
        <f t="shared" si="123"/>
        <v>9</v>
      </c>
      <c r="AH323" s="272">
        <f t="shared" si="112"/>
        <v>10.150125636250685</v>
      </c>
      <c r="AI323" s="272">
        <f t="shared" si="124"/>
        <v>10</v>
      </c>
      <c r="AJ323" s="272">
        <f t="shared" si="113"/>
        <v>9.8471458534756078</v>
      </c>
      <c r="AK323" s="272">
        <f t="shared" si="125"/>
        <v>9</v>
      </c>
      <c r="AL323" s="272">
        <f t="shared" si="114"/>
        <v>10.150125636250685</v>
      </c>
      <c r="AM323" s="272">
        <f t="shared" si="126"/>
        <v>10</v>
      </c>
      <c r="AN323" s="272">
        <f t="shared" si="115"/>
        <v>9.8471458534756078</v>
      </c>
      <c r="AO323" s="272">
        <f t="shared" si="127"/>
        <v>9</v>
      </c>
      <c r="AP323" s="272">
        <f t="shared" si="116"/>
        <v>10.150125636250685</v>
      </c>
      <c r="AQ323" s="272">
        <f t="shared" si="128"/>
        <v>10</v>
      </c>
      <c r="AR323" s="272">
        <f t="shared" si="117"/>
        <v>9.8471458534756078</v>
      </c>
      <c r="AS323" s="272">
        <f t="shared" si="129"/>
        <v>9</v>
      </c>
      <c r="AT323" s="508">
        <f t="shared" si="118"/>
        <v>10.150125636250685</v>
      </c>
    </row>
    <row r="324" spans="1:46" ht="12.75" customHeight="1">
      <c r="A324" s="96">
        <f>IF(MAX($F$93:F324)=$G$88,$G$88,F324)</f>
        <v>2.0120603945826483</v>
      </c>
      <c r="B324" s="481">
        <v>232</v>
      </c>
      <c r="C324" s="96">
        <f t="shared" si="134"/>
        <v>0.34800000000000025</v>
      </c>
      <c r="D324" s="96">
        <f t="shared" si="131"/>
        <v>7.8708727610096965</v>
      </c>
      <c r="E324" s="96">
        <f t="shared" si="132"/>
        <v>0.85190967920604965</v>
      </c>
      <c r="F324" s="96">
        <f t="shared" si="130"/>
        <v>2.0120603945826483</v>
      </c>
      <c r="G324" s="96">
        <f t="shared" si="133"/>
        <v>1.8960603945826482</v>
      </c>
      <c r="I324" s="96">
        <f t="shared" si="135"/>
        <v>1</v>
      </c>
      <c r="J324" s="96">
        <f t="shared" si="136"/>
        <v>0.34800000000000025</v>
      </c>
      <c r="Y324" s="96">
        <f t="shared" si="119"/>
        <v>11</v>
      </c>
      <c r="Z324" s="517">
        <v>0.54499999999997795</v>
      </c>
      <c r="AA324" s="272">
        <f t="shared" si="120"/>
        <v>11</v>
      </c>
      <c r="AB324" s="519">
        <f t="shared" si="121"/>
        <v>7.7598696824060713</v>
      </c>
      <c r="AC324" s="272">
        <f t="shared" si="109"/>
        <v>7</v>
      </c>
      <c r="AD324" s="272">
        <f t="shared" si="110"/>
        <v>11.294903489291631</v>
      </c>
      <c r="AE324" s="272">
        <f t="shared" si="122"/>
        <v>8</v>
      </c>
      <c r="AF324" s="272">
        <f t="shared" si="111"/>
        <v>10.741833305869282</v>
      </c>
      <c r="AG324" s="272">
        <f t="shared" si="123"/>
        <v>9</v>
      </c>
      <c r="AH324" s="272">
        <f t="shared" si="112"/>
        <v>10.33722078938081</v>
      </c>
      <c r="AI324" s="272">
        <f t="shared" si="124"/>
        <v>10</v>
      </c>
      <c r="AJ324" s="272">
        <f t="shared" si="113"/>
        <v>10.028656243334311</v>
      </c>
      <c r="AK324" s="272">
        <f t="shared" si="125"/>
        <v>10</v>
      </c>
      <c r="AL324" s="272">
        <f t="shared" si="114"/>
        <v>10.028656243334311</v>
      </c>
      <c r="AM324" s="272">
        <f t="shared" si="126"/>
        <v>10</v>
      </c>
      <c r="AN324" s="272">
        <f t="shared" si="115"/>
        <v>10.028656243334311</v>
      </c>
      <c r="AO324" s="272">
        <f t="shared" si="127"/>
        <v>10</v>
      </c>
      <c r="AP324" s="272">
        <f t="shared" si="116"/>
        <v>10.028656243334311</v>
      </c>
      <c r="AQ324" s="272">
        <f t="shared" si="128"/>
        <v>10</v>
      </c>
      <c r="AR324" s="272">
        <f t="shared" si="117"/>
        <v>10.028656243334311</v>
      </c>
      <c r="AS324" s="272">
        <f t="shared" si="129"/>
        <v>10</v>
      </c>
      <c r="AT324" s="508">
        <f t="shared" si="118"/>
        <v>10.028656243334311</v>
      </c>
    </row>
    <row r="325" spans="1:46" ht="12.75" customHeight="1">
      <c r="A325" s="96">
        <f>IF(MAX($F$93:F325)=$G$88,$G$88,F325)</f>
        <v>2.0478103516097135</v>
      </c>
      <c r="B325" s="481">
        <v>233</v>
      </c>
      <c r="C325" s="96">
        <f t="shared" si="134"/>
        <v>0.34950000000000025</v>
      </c>
      <c r="D325" s="96">
        <f t="shared" si="131"/>
        <v>7.9388713459136344</v>
      </c>
      <c r="E325" s="96">
        <f t="shared" si="132"/>
        <v>0.84755975462203792</v>
      </c>
      <c r="F325" s="96">
        <f t="shared" si="130"/>
        <v>2.0478103516097135</v>
      </c>
      <c r="G325" s="96">
        <f t="shared" si="133"/>
        <v>1.9318103516097134</v>
      </c>
      <c r="I325" s="96">
        <f t="shared" si="135"/>
        <v>1</v>
      </c>
      <c r="J325" s="96">
        <f t="shared" si="136"/>
        <v>0.34950000000000025</v>
      </c>
      <c r="Y325" s="96">
        <f t="shared" si="119"/>
        <v>11</v>
      </c>
      <c r="Z325" s="96">
        <v>0.53999999999997805</v>
      </c>
      <c r="AA325" s="272">
        <f t="shared" si="120"/>
        <v>11</v>
      </c>
      <c r="AB325" s="519">
        <f t="shared" si="121"/>
        <v>7.9042362565729203</v>
      </c>
      <c r="AC325" s="272">
        <f t="shared" ref="AC325:AC388" si="137">ROUNDUP(AB325,0)-1</f>
        <v>7</v>
      </c>
      <c r="AD325" s="272">
        <f t="shared" ref="AD325:AD388" si="138">MAX((TINV(1-$C$69/100,AC325)/$Z325)^2*$D$65,$C$68)</f>
        <v>11.505036724646258</v>
      </c>
      <c r="AE325" s="272">
        <f t="shared" si="122"/>
        <v>8</v>
      </c>
      <c r="AF325" s="272">
        <f t="shared" ref="AF325:AF388" si="139">MAX((TINV(1-$C$69/100,AE325)/$Z325)^2*$D$65,$C$68)</f>
        <v>10.9416770839363</v>
      </c>
      <c r="AG325" s="272">
        <f t="shared" si="123"/>
        <v>9</v>
      </c>
      <c r="AH325" s="272">
        <f t="shared" ref="AH325:AH388" si="140">MAX((TINV(1-$C$69/100,AG325)/$Z325)^2*$D$65,$C$68)</f>
        <v>10.529537054066653</v>
      </c>
      <c r="AI325" s="272">
        <f t="shared" si="124"/>
        <v>10</v>
      </c>
      <c r="AJ325" s="272">
        <f t="shared" ref="AJ325:AJ388" si="141">MAX((TINV(1-$C$69/100,AI325)/$Z325)^2*$D$65,$C$68)</f>
        <v>10.215231895323646</v>
      </c>
      <c r="AK325" s="272">
        <f t="shared" si="125"/>
        <v>10</v>
      </c>
      <c r="AL325" s="272">
        <f t="shared" ref="AL325:AL388" si="142">MAX((TINV(1-$C$69/100,AK325)/$Z325)^2*$D$65,$C$68)</f>
        <v>10.215231895323646</v>
      </c>
      <c r="AM325" s="272">
        <f t="shared" si="126"/>
        <v>10</v>
      </c>
      <c r="AN325" s="272">
        <f t="shared" ref="AN325:AN388" si="143">MAX((TINV(1-$C$69/100,AM325)/$Z325)^2*$D$65,$C$68)</f>
        <v>10.215231895323646</v>
      </c>
      <c r="AO325" s="272">
        <f t="shared" si="127"/>
        <v>10</v>
      </c>
      <c r="AP325" s="272">
        <f t="shared" ref="AP325:AP388" si="144">MAX((TINV(1-$C$69/100,AO325)/$Z325)^2*$D$65,$C$68)</f>
        <v>10.215231895323646</v>
      </c>
      <c r="AQ325" s="272">
        <f t="shared" si="128"/>
        <v>10</v>
      </c>
      <c r="AR325" s="272">
        <f t="shared" ref="AR325:AR388" si="145">MAX((TINV(1-$C$69/100,AQ325)/$Z325)^2*$D$65,$C$68)</f>
        <v>10.215231895323646</v>
      </c>
      <c r="AS325" s="272">
        <f t="shared" si="129"/>
        <v>10</v>
      </c>
      <c r="AT325" s="508">
        <f t="shared" ref="AT325:AT388" si="146">MAX((TINV(1-$C$69/100,AS325)/$Z325)^2*$D$65,$C$68)</f>
        <v>10.215231895323646</v>
      </c>
    </row>
    <row r="326" spans="1:46" ht="12.75" customHeight="1">
      <c r="A326" s="96">
        <f>IF(MAX($F$93:F326)=$G$88,$G$88,F326)</f>
        <v>2.0834302804417519</v>
      </c>
      <c r="B326" s="481">
        <v>234</v>
      </c>
      <c r="C326" s="96">
        <f t="shared" si="134"/>
        <v>0.35100000000000026</v>
      </c>
      <c r="D326" s="96">
        <f t="shared" si="131"/>
        <v>8.0071623978494166</v>
      </c>
      <c r="E326" s="96">
        <f t="shared" si="132"/>
        <v>0.84313334912772231</v>
      </c>
      <c r="F326" s="96">
        <f t="shared" si="130"/>
        <v>2.0834302804417519</v>
      </c>
      <c r="G326" s="96">
        <f t="shared" si="133"/>
        <v>1.9674302804417518</v>
      </c>
      <c r="I326" s="96">
        <f t="shared" si="135"/>
        <v>1</v>
      </c>
      <c r="J326" s="96">
        <f t="shared" si="136"/>
        <v>0.35100000000000026</v>
      </c>
      <c r="Y326" s="96">
        <f t="shared" ref="Y326:Y389" si="147">AA326</f>
        <v>11</v>
      </c>
      <c r="Z326" s="517">
        <v>0.53499999999997805</v>
      </c>
      <c r="AA326" s="272">
        <f t="shared" si="120"/>
        <v>11</v>
      </c>
      <c r="AB326" s="519">
        <f t="shared" si="121"/>
        <v>8.0526693769470388</v>
      </c>
      <c r="AC326" s="272">
        <f t="shared" si="137"/>
        <v>8</v>
      </c>
      <c r="AD326" s="272">
        <f t="shared" si="138"/>
        <v>11.147150101059752</v>
      </c>
      <c r="AE326" s="272">
        <f t="shared" si="122"/>
        <v>9</v>
      </c>
      <c r="AF326" s="272">
        <f t="shared" si="139"/>
        <v>10.727270521323566</v>
      </c>
      <c r="AG326" s="272">
        <f t="shared" si="123"/>
        <v>10</v>
      </c>
      <c r="AH326" s="272">
        <f t="shared" si="140"/>
        <v>10.407063047170501</v>
      </c>
      <c r="AI326" s="272">
        <f t="shared" si="124"/>
        <v>10</v>
      </c>
      <c r="AJ326" s="272">
        <f t="shared" si="141"/>
        <v>10.407063047170501</v>
      </c>
      <c r="AK326" s="272">
        <f t="shared" si="125"/>
        <v>10</v>
      </c>
      <c r="AL326" s="272">
        <f t="shared" si="142"/>
        <v>10.407063047170501</v>
      </c>
      <c r="AM326" s="272">
        <f t="shared" si="126"/>
        <v>10</v>
      </c>
      <c r="AN326" s="272">
        <f t="shared" si="143"/>
        <v>10.407063047170501</v>
      </c>
      <c r="AO326" s="272">
        <f t="shared" si="127"/>
        <v>10</v>
      </c>
      <c r="AP326" s="272">
        <f t="shared" si="144"/>
        <v>10.407063047170501</v>
      </c>
      <c r="AQ326" s="272">
        <f t="shared" si="128"/>
        <v>10</v>
      </c>
      <c r="AR326" s="272">
        <f t="shared" si="145"/>
        <v>10.407063047170501</v>
      </c>
      <c r="AS326" s="272">
        <f t="shared" si="129"/>
        <v>10</v>
      </c>
      <c r="AT326" s="508">
        <f t="shared" si="146"/>
        <v>10.407063047170501</v>
      </c>
    </row>
    <row r="327" spans="1:46" ht="12.75" customHeight="1">
      <c r="A327" s="96">
        <f>IF(MAX($F$93:F327)=$G$88,$G$88,F327)</f>
        <v>2.1188955281598991</v>
      </c>
      <c r="B327" s="481">
        <v>235</v>
      </c>
      <c r="C327" s="96">
        <f t="shared" si="134"/>
        <v>0.35250000000000026</v>
      </c>
      <c r="D327" s="96">
        <f t="shared" si="131"/>
        <v>8.0757459168170431</v>
      </c>
      <c r="E327" s="96">
        <f t="shared" si="132"/>
        <v>0.83863076770585898</v>
      </c>
      <c r="F327" s="96">
        <f t="shared" si="130"/>
        <v>2.1188955281598991</v>
      </c>
      <c r="G327" s="96">
        <f t="shared" si="133"/>
        <v>2.002895528159899</v>
      </c>
      <c r="I327" s="96">
        <f t="shared" si="135"/>
        <v>1</v>
      </c>
      <c r="J327" s="96">
        <f t="shared" si="136"/>
        <v>0.35250000000000026</v>
      </c>
      <c r="Y327" s="96">
        <f t="shared" si="147"/>
        <v>11</v>
      </c>
      <c r="Z327" s="96">
        <v>0.52999999999997804</v>
      </c>
      <c r="AA327" s="272">
        <f t="shared" ref="AA327:AA390" si="148">1+MAX(AQ327,AS327)</f>
        <v>11</v>
      </c>
      <c r="AB327" s="519">
        <f t="shared" ref="AB327:AB390" si="149">MAX(($C$72/Z327)^2*$D$65,$C$68)</f>
        <v>8.2053232197104577</v>
      </c>
      <c r="AC327" s="272">
        <f t="shared" si="137"/>
        <v>8</v>
      </c>
      <c r="AD327" s="272">
        <f t="shared" si="138"/>
        <v>11.358465780262833</v>
      </c>
      <c r="AE327" s="272">
        <f t="shared" ref="AE327:AE390" si="150">MAX(MIN(ROUNDUP(AD327,0)-1,AC327+1),AC327-1)</f>
        <v>9</v>
      </c>
      <c r="AF327" s="272">
        <f t="shared" si="139"/>
        <v>10.930626575172091</v>
      </c>
      <c r="AG327" s="272">
        <f t="shared" ref="AG327:AG390" si="151">MAX(MIN(ROUNDUP(AF327,0)-1,AE327+1),AE327-1)</f>
        <v>10</v>
      </c>
      <c r="AH327" s="272">
        <f t="shared" si="140"/>
        <v>10.604348952212103</v>
      </c>
      <c r="AI327" s="272">
        <f t="shared" ref="AI327:AI390" si="152">MAX(MIN(ROUNDUP(AH327,0)-1,AG327+1),AG327-1)</f>
        <v>10</v>
      </c>
      <c r="AJ327" s="272">
        <f t="shared" si="141"/>
        <v>10.604348952212103</v>
      </c>
      <c r="AK327" s="272">
        <f t="shared" ref="AK327:AK390" si="153">MAX(MIN(ROUNDUP(AJ327,0)-1,AI327+1),AI327-1)</f>
        <v>10</v>
      </c>
      <c r="AL327" s="272">
        <f t="shared" si="142"/>
        <v>10.604348952212103</v>
      </c>
      <c r="AM327" s="272">
        <f t="shared" ref="AM327:AM390" si="154">MAX(MIN(ROUNDUP(AL327,0)-1,AK327+1),AK327-1)</f>
        <v>10</v>
      </c>
      <c r="AN327" s="272">
        <f t="shared" si="143"/>
        <v>10.604348952212103</v>
      </c>
      <c r="AO327" s="272">
        <f t="shared" ref="AO327:AO390" si="155">MAX(MIN(ROUNDUP(AN327,0)-1,AM327+1),AM327-1)</f>
        <v>10</v>
      </c>
      <c r="AP327" s="272">
        <f t="shared" si="144"/>
        <v>10.604348952212103</v>
      </c>
      <c r="AQ327" s="272">
        <f t="shared" ref="AQ327:AQ390" si="156">MAX(MIN(ROUNDUP(AP327,0)-1,AO327+1),AO327-1)</f>
        <v>10</v>
      </c>
      <c r="AR327" s="272">
        <f t="shared" si="145"/>
        <v>10.604348952212103</v>
      </c>
      <c r="AS327" s="272">
        <f t="shared" ref="AS327:AS390" si="157">MAX(MIN(ROUNDUP(AR327,0)-1,AQ327+1),AQ327-1)</f>
        <v>10</v>
      </c>
      <c r="AT327" s="508">
        <f t="shared" si="146"/>
        <v>10.604348952212103</v>
      </c>
    </row>
    <row r="328" spans="1:46" ht="12.75" customHeight="1">
      <c r="A328" s="96">
        <f>IF(MAX($F$93:F328)=$G$88,$G$88,F328)</f>
        <v>2.1541813393995857</v>
      </c>
      <c r="B328" s="481">
        <v>236</v>
      </c>
      <c r="C328" s="96">
        <f t="shared" si="134"/>
        <v>0.35400000000000026</v>
      </c>
      <c r="D328" s="96">
        <f t="shared" si="131"/>
        <v>8.1446219028165139</v>
      </c>
      <c r="E328" s="96">
        <f t="shared" si="132"/>
        <v>0.83405236829275131</v>
      </c>
      <c r="F328" s="96">
        <f t="shared" si="130"/>
        <v>2.1541813393995857</v>
      </c>
      <c r="G328" s="96">
        <f t="shared" si="133"/>
        <v>2.0381813393995856</v>
      </c>
      <c r="I328" s="96">
        <f t="shared" si="135"/>
        <v>1</v>
      </c>
      <c r="J328" s="96">
        <f t="shared" si="136"/>
        <v>0.35400000000000026</v>
      </c>
      <c r="Y328" s="96">
        <f t="shared" si="147"/>
        <v>11</v>
      </c>
      <c r="Z328" s="517">
        <v>0.52499999999997804</v>
      </c>
      <c r="AA328" s="272">
        <f t="shared" si="148"/>
        <v>11</v>
      </c>
      <c r="AB328" s="519">
        <f t="shared" si="149"/>
        <v>8.3623593375661471</v>
      </c>
      <c r="AC328" s="272">
        <f t="shared" si="137"/>
        <v>8</v>
      </c>
      <c r="AD328" s="272">
        <f t="shared" si="138"/>
        <v>11.57584775573998</v>
      </c>
      <c r="AE328" s="272">
        <f t="shared" si="150"/>
        <v>9</v>
      </c>
      <c r="AF328" s="272">
        <f t="shared" si="139"/>
        <v>11.139820426179933</v>
      </c>
      <c r="AG328" s="272">
        <f t="shared" si="151"/>
        <v>10</v>
      </c>
      <c r="AH328" s="272">
        <f t="shared" si="140"/>
        <v>10.807298397011818</v>
      </c>
      <c r="AI328" s="272">
        <f t="shared" si="152"/>
        <v>10</v>
      </c>
      <c r="AJ328" s="272">
        <f t="shared" si="141"/>
        <v>10.807298397011818</v>
      </c>
      <c r="AK328" s="272">
        <f t="shared" si="153"/>
        <v>10</v>
      </c>
      <c r="AL328" s="272">
        <f t="shared" si="142"/>
        <v>10.807298397011818</v>
      </c>
      <c r="AM328" s="272">
        <f t="shared" si="154"/>
        <v>10</v>
      </c>
      <c r="AN328" s="272">
        <f t="shared" si="143"/>
        <v>10.807298397011818</v>
      </c>
      <c r="AO328" s="272">
        <f t="shared" si="155"/>
        <v>10</v>
      </c>
      <c r="AP328" s="272">
        <f t="shared" si="144"/>
        <v>10.807298397011818</v>
      </c>
      <c r="AQ328" s="272">
        <f t="shared" si="156"/>
        <v>10</v>
      </c>
      <c r="AR328" s="272">
        <f t="shared" si="145"/>
        <v>10.807298397011818</v>
      </c>
      <c r="AS328" s="272">
        <f t="shared" si="157"/>
        <v>10</v>
      </c>
      <c r="AT328" s="508">
        <f t="shared" si="146"/>
        <v>10.807298397011818</v>
      </c>
    </row>
    <row r="329" spans="1:46" ht="12.75" customHeight="1">
      <c r="A329" s="96">
        <f>IF(MAX($F$93:F329)=$G$88,$G$88,F329)</f>
        <v>2.1892628865562127</v>
      </c>
      <c r="B329" s="481">
        <v>237</v>
      </c>
      <c r="C329" s="96">
        <f t="shared" si="134"/>
        <v>0.35550000000000026</v>
      </c>
      <c r="D329" s="96">
        <f t="shared" si="131"/>
        <v>8.2137903558478325</v>
      </c>
      <c r="E329" s="96">
        <f t="shared" si="132"/>
        <v>0.82939856196557504</v>
      </c>
      <c r="F329" s="96">
        <f t="shared" si="130"/>
        <v>2.1892628865562127</v>
      </c>
      <c r="G329" s="96">
        <f t="shared" si="133"/>
        <v>2.0732628865562126</v>
      </c>
      <c r="I329" s="96">
        <f t="shared" si="135"/>
        <v>1</v>
      </c>
      <c r="J329" s="96">
        <f t="shared" si="136"/>
        <v>0.35550000000000026</v>
      </c>
      <c r="Y329" s="96">
        <f t="shared" si="147"/>
        <v>12</v>
      </c>
      <c r="Z329" s="96">
        <v>0.51999999999997704</v>
      </c>
      <c r="AA329" s="272">
        <f t="shared" si="148"/>
        <v>12</v>
      </c>
      <c r="AB329" s="519">
        <f t="shared" si="149"/>
        <v>8.5239470873397938</v>
      </c>
      <c r="AC329" s="272">
        <f t="shared" si="137"/>
        <v>8</v>
      </c>
      <c r="AD329" s="272">
        <f t="shared" si="138"/>
        <v>11.799530464777543</v>
      </c>
      <c r="AE329" s="272">
        <f t="shared" si="150"/>
        <v>9</v>
      </c>
      <c r="AF329" s="272">
        <f t="shared" si="139"/>
        <v>11.355077681086753</v>
      </c>
      <c r="AG329" s="272">
        <f t="shared" si="151"/>
        <v>10</v>
      </c>
      <c r="AH329" s="272">
        <f t="shared" si="140"/>
        <v>11.016130253980757</v>
      </c>
      <c r="AI329" s="272">
        <f t="shared" si="152"/>
        <v>11</v>
      </c>
      <c r="AJ329" s="272">
        <f t="shared" si="141"/>
        <v>10.74926553753159</v>
      </c>
      <c r="AK329" s="272">
        <f t="shared" si="153"/>
        <v>10</v>
      </c>
      <c r="AL329" s="272">
        <f t="shared" si="142"/>
        <v>11.016130253980757</v>
      </c>
      <c r="AM329" s="272">
        <f t="shared" si="154"/>
        <v>11</v>
      </c>
      <c r="AN329" s="272">
        <f t="shared" si="143"/>
        <v>10.74926553753159</v>
      </c>
      <c r="AO329" s="272">
        <f t="shared" si="155"/>
        <v>10</v>
      </c>
      <c r="AP329" s="272">
        <f t="shared" si="144"/>
        <v>11.016130253980757</v>
      </c>
      <c r="AQ329" s="272">
        <f t="shared" si="156"/>
        <v>11</v>
      </c>
      <c r="AR329" s="272">
        <f t="shared" si="145"/>
        <v>10.74926553753159</v>
      </c>
      <c r="AS329" s="272">
        <f t="shared" si="157"/>
        <v>10</v>
      </c>
      <c r="AT329" s="508">
        <f t="shared" si="146"/>
        <v>11.016130253980757</v>
      </c>
    </row>
    <row r="330" spans="1:46" ht="12.75" customHeight="1">
      <c r="A330" s="96">
        <f>IF(MAX($F$93:F330)=$G$88,$G$88,F330)</f>
        <v>2.2241153002655536</v>
      </c>
      <c r="B330" s="481">
        <v>238</v>
      </c>
      <c r="C330" s="96">
        <f t="shared" si="134"/>
        <v>0.35700000000000026</v>
      </c>
      <c r="D330" s="96">
        <f t="shared" si="131"/>
        <v>8.2832512759109918</v>
      </c>
      <c r="E330" s="96">
        <f t="shared" si="132"/>
        <v>0.82466981306465326</v>
      </c>
      <c r="F330" s="96">
        <f t="shared" si="130"/>
        <v>2.2241153002655536</v>
      </c>
      <c r="G330" s="96">
        <f t="shared" si="133"/>
        <v>2.1081153002655535</v>
      </c>
      <c r="I330" s="96">
        <f t="shared" si="135"/>
        <v>1</v>
      </c>
      <c r="J330" s="96">
        <f t="shared" si="136"/>
        <v>0.35700000000000026</v>
      </c>
      <c r="Y330" s="96">
        <f t="shared" si="147"/>
        <v>12</v>
      </c>
      <c r="Z330" s="517">
        <v>0.51499999999997703</v>
      </c>
      <c r="AA330" s="272">
        <f t="shared" si="148"/>
        <v>12</v>
      </c>
      <c r="AB330" s="519">
        <f t="shared" si="149"/>
        <v>8.6902640867817222</v>
      </c>
      <c r="AC330" s="272">
        <f t="shared" si="137"/>
        <v>8</v>
      </c>
      <c r="AD330" s="272">
        <f t="shared" si="138"/>
        <v>12.029759780095581</v>
      </c>
      <c r="AE330" s="272">
        <f t="shared" si="150"/>
        <v>9</v>
      </c>
      <c r="AF330" s="272">
        <f t="shared" si="139"/>
        <v>11.576634951327589</v>
      </c>
      <c r="AG330" s="272">
        <f t="shared" si="151"/>
        <v>10</v>
      </c>
      <c r="AH330" s="272">
        <f t="shared" si="140"/>
        <v>11.23107407173682</v>
      </c>
      <c r="AI330" s="272">
        <f t="shared" si="152"/>
        <v>11</v>
      </c>
      <c r="AJ330" s="272">
        <f t="shared" si="141"/>
        <v>10.959002361574303</v>
      </c>
      <c r="AK330" s="272">
        <f t="shared" si="153"/>
        <v>10</v>
      </c>
      <c r="AL330" s="272">
        <f t="shared" si="142"/>
        <v>11.23107407173682</v>
      </c>
      <c r="AM330" s="272">
        <f t="shared" si="154"/>
        <v>11</v>
      </c>
      <c r="AN330" s="272">
        <f t="shared" si="143"/>
        <v>10.959002361574303</v>
      </c>
      <c r="AO330" s="272">
        <f t="shared" si="155"/>
        <v>10</v>
      </c>
      <c r="AP330" s="272">
        <f t="shared" si="144"/>
        <v>11.23107407173682</v>
      </c>
      <c r="AQ330" s="272">
        <f t="shared" si="156"/>
        <v>11</v>
      </c>
      <c r="AR330" s="272">
        <f t="shared" si="145"/>
        <v>10.959002361574303</v>
      </c>
      <c r="AS330" s="272">
        <f t="shared" si="157"/>
        <v>10</v>
      </c>
      <c r="AT330" s="508">
        <f t="shared" si="146"/>
        <v>11.23107407173682</v>
      </c>
    </row>
    <row r="331" spans="1:46" ht="12.75" customHeight="1">
      <c r="A331" s="96">
        <f>IF(MAX($F$93:F331)=$G$88,$G$88,F331)</f>
        <v>2.2587137001032058</v>
      </c>
      <c r="B331" s="481">
        <v>239</v>
      </c>
      <c r="C331" s="96">
        <f t="shared" si="134"/>
        <v>0.35850000000000026</v>
      </c>
      <c r="D331" s="96">
        <f t="shared" si="131"/>
        <v>8.3530046630060006</v>
      </c>
      <c r="E331" s="96">
        <f t="shared" si="132"/>
        <v>0.81986663925015124</v>
      </c>
      <c r="F331" s="96">
        <f t="shared" si="130"/>
        <v>2.2587137001032058</v>
      </c>
      <c r="G331" s="96">
        <f t="shared" si="133"/>
        <v>2.1427137001032057</v>
      </c>
      <c r="I331" s="96">
        <f t="shared" si="135"/>
        <v>1</v>
      </c>
      <c r="J331" s="96">
        <f t="shared" si="136"/>
        <v>0.35850000000000026</v>
      </c>
      <c r="Y331" s="96">
        <f t="shared" si="147"/>
        <v>12</v>
      </c>
      <c r="Z331" s="96">
        <v>0.50999999999997703</v>
      </c>
      <c r="AA331" s="272">
        <f t="shared" si="148"/>
        <v>12</v>
      </c>
      <c r="AB331" s="519">
        <f t="shared" si="149"/>
        <v>8.8614967028707579</v>
      </c>
      <c r="AC331" s="272">
        <f t="shared" si="137"/>
        <v>8</v>
      </c>
      <c r="AD331" s="272">
        <f t="shared" si="138"/>
        <v>12.266793685797207</v>
      </c>
      <c r="AE331" s="272">
        <f t="shared" si="150"/>
        <v>9</v>
      </c>
      <c r="AF331" s="272">
        <f t="shared" si="139"/>
        <v>11.804740503521195</v>
      </c>
      <c r="AG331" s="272">
        <f t="shared" si="151"/>
        <v>10</v>
      </c>
      <c r="AH331" s="272">
        <f t="shared" si="140"/>
        <v>11.452370706176094</v>
      </c>
      <c r="AI331" s="272">
        <f t="shared" si="152"/>
        <v>11</v>
      </c>
      <c r="AJ331" s="272">
        <f t="shared" si="141"/>
        <v>11.174938105915217</v>
      </c>
      <c r="AK331" s="272">
        <f t="shared" si="153"/>
        <v>11</v>
      </c>
      <c r="AL331" s="272">
        <f t="shared" si="142"/>
        <v>11.174938105915217</v>
      </c>
      <c r="AM331" s="272">
        <f t="shared" si="154"/>
        <v>11</v>
      </c>
      <c r="AN331" s="272">
        <f t="shared" si="143"/>
        <v>11.174938105915217</v>
      </c>
      <c r="AO331" s="272">
        <f t="shared" si="155"/>
        <v>11</v>
      </c>
      <c r="AP331" s="272">
        <f t="shared" si="144"/>
        <v>11.174938105915217</v>
      </c>
      <c r="AQ331" s="272">
        <f t="shared" si="156"/>
        <v>11</v>
      </c>
      <c r="AR331" s="272">
        <f t="shared" si="145"/>
        <v>11.174938105915217</v>
      </c>
      <c r="AS331" s="272">
        <f t="shared" si="157"/>
        <v>11</v>
      </c>
      <c r="AT331" s="508">
        <f t="shared" si="146"/>
        <v>11.174938105915217</v>
      </c>
    </row>
    <row r="332" spans="1:46" ht="12.75" customHeight="1">
      <c r="A332" s="96">
        <f>IF(MAX($F$93:F332)=$G$88,$G$88,F332)</f>
        <v>2.2930332254482337</v>
      </c>
      <c r="B332" s="481">
        <v>240</v>
      </c>
      <c r="C332" s="96">
        <f t="shared" si="134"/>
        <v>0.36000000000000026</v>
      </c>
      <c r="D332" s="96">
        <f t="shared" si="131"/>
        <v>8.4230505171328502</v>
      </c>
      <c r="E332" s="96">
        <f t="shared" si="132"/>
        <v>0.81498961149278237</v>
      </c>
      <c r="F332" s="96">
        <f t="shared" si="130"/>
        <v>2.2930332254482337</v>
      </c>
      <c r="G332" s="96">
        <f t="shared" si="133"/>
        <v>2.1770332254482336</v>
      </c>
      <c r="I332" s="96">
        <f t="shared" si="135"/>
        <v>1</v>
      </c>
      <c r="J332" s="96">
        <f t="shared" si="136"/>
        <v>0.36000000000000026</v>
      </c>
      <c r="Y332" s="96">
        <f t="shared" si="147"/>
        <v>12</v>
      </c>
      <c r="Z332" s="517">
        <v>0.50499999999997702</v>
      </c>
      <c r="AA332" s="272">
        <f t="shared" si="148"/>
        <v>12</v>
      </c>
      <c r="AB332" s="519">
        <f t="shared" si="149"/>
        <v>9.0378405741267969</v>
      </c>
      <c r="AC332" s="272">
        <f t="shared" si="137"/>
        <v>9</v>
      </c>
      <c r="AD332" s="272">
        <f t="shared" si="138"/>
        <v>12.039654955262684</v>
      </c>
      <c r="AE332" s="272">
        <f t="shared" si="150"/>
        <v>10</v>
      </c>
      <c r="AF332" s="272">
        <f t="shared" si="139"/>
        <v>11.680272995496143</v>
      </c>
      <c r="AG332" s="272">
        <f t="shared" si="151"/>
        <v>11</v>
      </c>
      <c r="AH332" s="272">
        <f t="shared" si="140"/>
        <v>11.397319483770415</v>
      </c>
      <c r="AI332" s="272">
        <f t="shared" si="152"/>
        <v>11</v>
      </c>
      <c r="AJ332" s="272">
        <f t="shared" si="141"/>
        <v>11.397319483770415</v>
      </c>
      <c r="AK332" s="272">
        <f t="shared" si="153"/>
        <v>11</v>
      </c>
      <c r="AL332" s="272">
        <f t="shared" si="142"/>
        <v>11.397319483770415</v>
      </c>
      <c r="AM332" s="272">
        <f t="shared" si="154"/>
        <v>11</v>
      </c>
      <c r="AN332" s="272">
        <f t="shared" si="143"/>
        <v>11.397319483770415</v>
      </c>
      <c r="AO332" s="272">
        <f t="shared" si="155"/>
        <v>11</v>
      </c>
      <c r="AP332" s="272">
        <f t="shared" si="144"/>
        <v>11.397319483770415</v>
      </c>
      <c r="AQ332" s="272">
        <f t="shared" si="156"/>
        <v>11</v>
      </c>
      <c r="AR332" s="272">
        <f t="shared" si="145"/>
        <v>11.397319483770415</v>
      </c>
      <c r="AS332" s="272">
        <f t="shared" si="157"/>
        <v>11</v>
      </c>
      <c r="AT332" s="508">
        <f t="shared" si="146"/>
        <v>11.397319483770415</v>
      </c>
    </row>
    <row r="333" spans="1:46" ht="12.75" customHeight="1">
      <c r="A333" s="96">
        <f>IF(MAX($F$93:F333)=$G$88,$G$88,F333)</f>
        <v>2.327049066455015</v>
      </c>
      <c r="B333" s="481">
        <v>241</v>
      </c>
      <c r="C333" s="96">
        <f t="shared" si="134"/>
        <v>0.36150000000000027</v>
      </c>
      <c r="D333" s="96">
        <f t="shared" si="131"/>
        <v>8.4933888382915477</v>
      </c>
      <c r="E333" s="96">
        <f t="shared" si="132"/>
        <v>0.81003935399823024</v>
      </c>
      <c r="F333" s="96">
        <f t="shared" si="130"/>
        <v>2.327049066455015</v>
      </c>
      <c r="G333" s="96">
        <f t="shared" si="133"/>
        <v>2.2110490664550149</v>
      </c>
      <c r="I333" s="96">
        <f t="shared" si="135"/>
        <v>1</v>
      </c>
      <c r="J333" s="96">
        <f t="shared" si="136"/>
        <v>0.36150000000000027</v>
      </c>
      <c r="Y333" s="96">
        <f t="shared" si="147"/>
        <v>12</v>
      </c>
      <c r="Z333" s="578">
        <v>0.49999999999997702</v>
      </c>
      <c r="AA333" s="272">
        <f t="shared" si="148"/>
        <v>12</v>
      </c>
      <c r="AB333" s="519">
        <f t="shared" si="149"/>
        <v>9.2195011696667546</v>
      </c>
      <c r="AC333" s="272">
        <f t="shared" si="137"/>
        <v>9</v>
      </c>
      <c r="AD333" s="272">
        <f t="shared" si="138"/>
        <v>12.281652019863474</v>
      </c>
      <c r="AE333" s="272">
        <f t="shared" si="150"/>
        <v>10</v>
      </c>
      <c r="AF333" s="272">
        <f t="shared" si="139"/>
        <v>11.915046482705629</v>
      </c>
      <c r="AG333" s="272">
        <f t="shared" si="151"/>
        <v>11</v>
      </c>
      <c r="AH333" s="272">
        <f t="shared" si="140"/>
        <v>11.626405605394211</v>
      </c>
      <c r="AI333" s="272">
        <f t="shared" si="152"/>
        <v>11</v>
      </c>
      <c r="AJ333" s="272">
        <f t="shared" si="141"/>
        <v>11.626405605394211</v>
      </c>
      <c r="AK333" s="272">
        <f t="shared" si="153"/>
        <v>11</v>
      </c>
      <c r="AL333" s="272">
        <f t="shared" si="142"/>
        <v>11.626405605394211</v>
      </c>
      <c r="AM333" s="272">
        <f t="shared" si="154"/>
        <v>11</v>
      </c>
      <c r="AN333" s="272">
        <f t="shared" si="143"/>
        <v>11.626405605394211</v>
      </c>
      <c r="AO333" s="272">
        <f t="shared" si="155"/>
        <v>11</v>
      </c>
      <c r="AP333" s="272">
        <f t="shared" si="144"/>
        <v>11.626405605394211</v>
      </c>
      <c r="AQ333" s="272">
        <f t="shared" si="156"/>
        <v>11</v>
      </c>
      <c r="AR333" s="272">
        <f t="shared" si="145"/>
        <v>11.626405605394211</v>
      </c>
      <c r="AS333" s="272">
        <f t="shared" si="157"/>
        <v>11</v>
      </c>
      <c r="AT333" s="508">
        <f t="shared" si="146"/>
        <v>11.626405605394211</v>
      </c>
    </row>
    <row r="334" spans="1:46" ht="12.75" customHeight="1">
      <c r="A334" s="96">
        <f>IF(MAX($F$93:F334)=$G$88,$G$88,F334)</f>
        <v>2.3607394495341363</v>
      </c>
      <c r="B334" s="481">
        <v>242</v>
      </c>
      <c r="C334" s="96">
        <f t="shared" si="134"/>
        <v>0.36300000000000027</v>
      </c>
      <c r="D334" s="96">
        <f t="shared" si="131"/>
        <v>8.5640196264820876</v>
      </c>
      <c r="E334" s="96">
        <f t="shared" si="132"/>
        <v>0.80501654406511802</v>
      </c>
      <c r="F334" s="96">
        <f t="shared" si="130"/>
        <v>2.3607394495341363</v>
      </c>
      <c r="G334" s="96">
        <f t="shared" si="133"/>
        <v>2.2447394495341362</v>
      </c>
      <c r="I334" s="96">
        <f t="shared" si="135"/>
        <v>1</v>
      </c>
      <c r="J334" s="96">
        <f t="shared" si="136"/>
        <v>0.36300000000000027</v>
      </c>
      <c r="Y334" s="96">
        <f t="shared" si="147"/>
        <v>12</v>
      </c>
      <c r="Z334" s="96">
        <v>0.498</v>
      </c>
      <c r="AA334" s="272">
        <f t="shared" si="148"/>
        <v>12</v>
      </c>
      <c r="AB334" s="519">
        <f t="shared" si="149"/>
        <v>9.2937020871295495</v>
      </c>
      <c r="AC334" s="272">
        <f t="shared" si="137"/>
        <v>9</v>
      </c>
      <c r="AD334" s="272">
        <f t="shared" si="138"/>
        <v>12.38049791521744</v>
      </c>
      <c r="AE334" s="272">
        <f t="shared" si="150"/>
        <v>10</v>
      </c>
      <c r="AF334" s="272">
        <f t="shared" si="139"/>
        <v>12.010941842374047</v>
      </c>
      <c r="AG334" s="272">
        <f t="shared" si="151"/>
        <v>11</v>
      </c>
      <c r="AH334" s="272">
        <f t="shared" si="140"/>
        <v>11.71997790901875</v>
      </c>
      <c r="AI334" s="272">
        <f t="shared" si="152"/>
        <v>11</v>
      </c>
      <c r="AJ334" s="272">
        <f t="shared" si="141"/>
        <v>11.71997790901875</v>
      </c>
      <c r="AK334" s="272">
        <f t="shared" si="153"/>
        <v>11</v>
      </c>
      <c r="AL334" s="272">
        <f t="shared" si="142"/>
        <v>11.71997790901875</v>
      </c>
      <c r="AM334" s="272">
        <f t="shared" si="154"/>
        <v>11</v>
      </c>
      <c r="AN334" s="272">
        <f t="shared" si="143"/>
        <v>11.71997790901875</v>
      </c>
      <c r="AO334" s="272">
        <f t="shared" si="155"/>
        <v>11</v>
      </c>
      <c r="AP334" s="272">
        <f t="shared" si="144"/>
        <v>11.71997790901875</v>
      </c>
      <c r="AQ334" s="272">
        <f t="shared" si="156"/>
        <v>11</v>
      </c>
      <c r="AR334" s="272">
        <f t="shared" si="145"/>
        <v>11.71997790901875</v>
      </c>
      <c r="AS334" s="272">
        <f t="shared" si="157"/>
        <v>11</v>
      </c>
      <c r="AT334" s="508">
        <f t="shared" si="146"/>
        <v>11.71997790901875</v>
      </c>
    </row>
    <row r="335" spans="1:46" ht="12.75" customHeight="1">
      <c r="A335" s="96">
        <f>IF(MAX($F$93:F335)=$G$88,$G$88,F335)</f>
        <v>2.394074270044392</v>
      </c>
      <c r="B335" s="481">
        <v>243</v>
      </c>
      <c r="C335" s="96">
        <f t="shared" si="134"/>
        <v>0.36450000000000027</v>
      </c>
      <c r="D335" s="96">
        <f t="shared" si="131"/>
        <v>8.6349428817044753</v>
      </c>
      <c r="E335" s="96">
        <f t="shared" si="132"/>
        <v>0.79992189921451251</v>
      </c>
      <c r="F335" s="96">
        <f t="shared" si="130"/>
        <v>2.394074270044392</v>
      </c>
      <c r="G335" s="96">
        <f t="shared" si="133"/>
        <v>2.2780742700443919</v>
      </c>
      <c r="I335" s="96">
        <f t="shared" si="135"/>
        <v>1</v>
      </c>
      <c r="J335" s="96">
        <f t="shared" si="136"/>
        <v>0.36450000000000027</v>
      </c>
      <c r="Y335" s="96">
        <f t="shared" si="147"/>
        <v>12</v>
      </c>
      <c r="Z335" s="96">
        <v>0.496</v>
      </c>
      <c r="AA335" s="272">
        <f t="shared" si="148"/>
        <v>12</v>
      </c>
      <c r="AB335" s="519">
        <f t="shared" si="149"/>
        <v>9.3688024047886174</v>
      </c>
      <c r="AC335" s="272">
        <f t="shared" si="137"/>
        <v>9</v>
      </c>
      <c r="AD335" s="272">
        <f t="shared" si="138"/>
        <v>12.480541936156943</v>
      </c>
      <c r="AE335" s="272">
        <f t="shared" si="150"/>
        <v>10</v>
      </c>
      <c r="AF335" s="272">
        <f t="shared" si="139"/>
        <v>12.107999563752495</v>
      </c>
      <c r="AG335" s="272">
        <f t="shared" si="151"/>
        <v>11</v>
      </c>
      <c r="AH335" s="272">
        <f t="shared" si="140"/>
        <v>11.814684416250511</v>
      </c>
      <c r="AI335" s="272">
        <f t="shared" si="152"/>
        <v>11</v>
      </c>
      <c r="AJ335" s="272">
        <f t="shared" si="141"/>
        <v>11.814684416250511</v>
      </c>
      <c r="AK335" s="272">
        <f t="shared" si="153"/>
        <v>11</v>
      </c>
      <c r="AL335" s="272">
        <f t="shared" si="142"/>
        <v>11.814684416250511</v>
      </c>
      <c r="AM335" s="272">
        <f t="shared" si="154"/>
        <v>11</v>
      </c>
      <c r="AN335" s="272">
        <f t="shared" si="143"/>
        <v>11.814684416250511</v>
      </c>
      <c r="AO335" s="272">
        <f t="shared" si="155"/>
        <v>11</v>
      </c>
      <c r="AP335" s="272">
        <f t="shared" si="144"/>
        <v>11.814684416250511</v>
      </c>
      <c r="AQ335" s="272">
        <f t="shared" si="156"/>
        <v>11</v>
      </c>
      <c r="AR335" s="272">
        <f t="shared" si="145"/>
        <v>11.814684416250511</v>
      </c>
      <c r="AS335" s="272">
        <f t="shared" si="157"/>
        <v>11</v>
      </c>
      <c r="AT335" s="508">
        <f t="shared" si="146"/>
        <v>11.814684416250511</v>
      </c>
    </row>
    <row r="336" spans="1:46" ht="12.75" customHeight="1">
      <c r="A336" s="96">
        <f>IF(MAX($F$93:F336)=$G$88,$G$88,F336)</f>
        <v>2.4270286933954055</v>
      </c>
      <c r="B336" s="481">
        <v>244</v>
      </c>
      <c r="C336" s="96">
        <f t="shared" si="134"/>
        <v>0.36600000000000027</v>
      </c>
      <c r="D336" s="96">
        <f t="shared" si="131"/>
        <v>8.7061586039587038</v>
      </c>
      <c r="E336" s="96">
        <f t="shared" si="132"/>
        <v>0.79475622576492777</v>
      </c>
      <c r="F336" s="96">
        <f t="shared" si="130"/>
        <v>2.4270286933954055</v>
      </c>
      <c r="G336" s="96">
        <f t="shared" si="133"/>
        <v>2.3110286933954054</v>
      </c>
      <c r="I336" s="96">
        <f t="shared" si="135"/>
        <v>1</v>
      </c>
      <c r="J336" s="96">
        <f t="shared" si="136"/>
        <v>0.36600000000000027</v>
      </c>
      <c r="Y336" s="96">
        <f t="shared" si="147"/>
        <v>12</v>
      </c>
      <c r="Z336" s="96">
        <v>0.49399999999999999</v>
      </c>
      <c r="AA336" s="272">
        <f t="shared" si="148"/>
        <v>12</v>
      </c>
      <c r="AB336" s="519">
        <f t="shared" si="149"/>
        <v>9.4448167172731754</v>
      </c>
      <c r="AC336" s="272">
        <f t="shared" si="137"/>
        <v>9</v>
      </c>
      <c r="AD336" s="272">
        <f t="shared" si="138"/>
        <v>12.581803524748752</v>
      </c>
      <c r="AE336" s="272">
        <f t="shared" si="150"/>
        <v>10</v>
      </c>
      <c r="AF336" s="272">
        <f t="shared" si="139"/>
        <v>12.206238508564855</v>
      </c>
      <c r="AG336" s="272">
        <f t="shared" si="151"/>
        <v>11</v>
      </c>
      <c r="AH336" s="272">
        <f t="shared" si="140"/>
        <v>11.910543531889909</v>
      </c>
      <c r="AI336" s="272">
        <f t="shared" si="152"/>
        <v>11</v>
      </c>
      <c r="AJ336" s="272">
        <f t="shared" si="141"/>
        <v>11.910543531889909</v>
      </c>
      <c r="AK336" s="272">
        <f t="shared" si="153"/>
        <v>11</v>
      </c>
      <c r="AL336" s="272">
        <f t="shared" si="142"/>
        <v>11.910543531889909</v>
      </c>
      <c r="AM336" s="272">
        <f t="shared" si="154"/>
        <v>11</v>
      </c>
      <c r="AN336" s="272">
        <f t="shared" si="143"/>
        <v>11.910543531889909</v>
      </c>
      <c r="AO336" s="272">
        <f t="shared" si="155"/>
        <v>11</v>
      </c>
      <c r="AP336" s="272">
        <f t="shared" si="144"/>
        <v>11.910543531889909</v>
      </c>
      <c r="AQ336" s="272">
        <f t="shared" si="156"/>
        <v>11</v>
      </c>
      <c r="AR336" s="272">
        <f t="shared" si="145"/>
        <v>11.910543531889909</v>
      </c>
      <c r="AS336" s="272">
        <f t="shared" si="157"/>
        <v>11</v>
      </c>
      <c r="AT336" s="508">
        <f t="shared" si="146"/>
        <v>11.910543531889909</v>
      </c>
    </row>
    <row r="337" spans="1:46" ht="12.75" customHeight="1">
      <c r="A337" s="96">
        <f>IF(MAX($F$93:F337)=$G$88,$G$88,F337)</f>
        <v>2.459583919310985</v>
      </c>
      <c r="B337" s="481">
        <v>245</v>
      </c>
      <c r="C337" s="96">
        <f t="shared" si="134"/>
        <v>0.36750000000000027</v>
      </c>
      <c r="D337" s="96">
        <f t="shared" si="131"/>
        <v>8.7776667932447818</v>
      </c>
      <c r="E337" s="96">
        <f t="shared" si="132"/>
        <v>0.78952034767138934</v>
      </c>
      <c r="F337" s="96">
        <f t="shared" si="130"/>
        <v>2.459583919310985</v>
      </c>
      <c r="G337" s="96">
        <f t="shared" si="133"/>
        <v>2.3435839193109849</v>
      </c>
      <c r="I337" s="96">
        <f t="shared" si="135"/>
        <v>1</v>
      </c>
      <c r="J337" s="96">
        <f t="shared" si="136"/>
        <v>0.36750000000000027</v>
      </c>
      <c r="Y337" s="96">
        <f t="shared" si="147"/>
        <v>13</v>
      </c>
      <c r="Z337" s="96">
        <v>0.49199999999999999</v>
      </c>
      <c r="AA337" s="272">
        <f t="shared" si="148"/>
        <v>13</v>
      </c>
      <c r="AB337" s="519">
        <f t="shared" si="149"/>
        <v>9.5217599164538171</v>
      </c>
      <c r="AC337" s="272">
        <f t="shared" si="137"/>
        <v>9</v>
      </c>
      <c r="AD337" s="272">
        <f t="shared" si="138"/>
        <v>12.684302519026318</v>
      </c>
      <c r="AE337" s="272">
        <f t="shared" si="150"/>
        <v>10</v>
      </c>
      <c r="AF337" s="272">
        <f t="shared" si="139"/>
        <v>12.305677922682154</v>
      </c>
      <c r="AG337" s="272">
        <f t="shared" si="151"/>
        <v>11</v>
      </c>
      <c r="AH337" s="272">
        <f t="shared" si="140"/>
        <v>12.007574035578548</v>
      </c>
      <c r="AI337" s="272">
        <f t="shared" si="152"/>
        <v>12</v>
      </c>
      <c r="AJ337" s="272">
        <f t="shared" si="141"/>
        <v>11.766868272404929</v>
      </c>
      <c r="AK337" s="272">
        <f t="shared" si="153"/>
        <v>11</v>
      </c>
      <c r="AL337" s="272">
        <f t="shared" si="142"/>
        <v>12.007574035578548</v>
      </c>
      <c r="AM337" s="272">
        <f t="shared" si="154"/>
        <v>12</v>
      </c>
      <c r="AN337" s="272">
        <f t="shared" si="143"/>
        <v>11.766868272404929</v>
      </c>
      <c r="AO337" s="272">
        <f t="shared" si="155"/>
        <v>11</v>
      </c>
      <c r="AP337" s="272">
        <f t="shared" si="144"/>
        <v>12.007574035578548</v>
      </c>
      <c r="AQ337" s="272">
        <f t="shared" si="156"/>
        <v>12</v>
      </c>
      <c r="AR337" s="272">
        <f t="shared" si="145"/>
        <v>11.766868272404929</v>
      </c>
      <c r="AS337" s="272">
        <f t="shared" si="157"/>
        <v>11</v>
      </c>
      <c r="AT337" s="508">
        <f t="shared" si="146"/>
        <v>12.007574035578548</v>
      </c>
    </row>
    <row r="338" spans="1:46" ht="12.75" customHeight="1">
      <c r="A338" s="96">
        <f>IF(MAX($F$93:F338)=$G$88,$G$88,F338)</f>
        <v>2.4917132729349625</v>
      </c>
      <c r="B338" s="481">
        <v>246</v>
      </c>
      <c r="C338" s="96">
        <f t="shared" si="134"/>
        <v>0.36900000000000027</v>
      </c>
      <c r="D338" s="96">
        <f t="shared" si="131"/>
        <v>8.8494674495627006</v>
      </c>
      <c r="E338" s="96">
        <f t="shared" si="132"/>
        <v>0.78421515182502355</v>
      </c>
      <c r="F338" s="96">
        <f t="shared" si="130"/>
        <v>2.4917132729349625</v>
      </c>
      <c r="G338" s="96">
        <f t="shared" si="133"/>
        <v>2.3757132729349624</v>
      </c>
      <c r="I338" s="96">
        <f t="shared" si="135"/>
        <v>1</v>
      </c>
      <c r="J338" s="96">
        <f t="shared" si="136"/>
        <v>0.36900000000000027</v>
      </c>
      <c r="Y338" s="96">
        <f t="shared" si="147"/>
        <v>13</v>
      </c>
      <c r="Z338" s="96">
        <v>0.49</v>
      </c>
      <c r="AA338" s="272">
        <f t="shared" si="148"/>
        <v>13</v>
      </c>
      <c r="AB338" s="519">
        <f t="shared" si="149"/>
        <v>9.5996471987358447</v>
      </c>
      <c r="AC338" s="272">
        <f t="shared" si="137"/>
        <v>9</v>
      </c>
      <c r="AD338" s="272">
        <f t="shared" si="138"/>
        <v>12.788059162705482</v>
      </c>
      <c r="AE338" s="272">
        <f t="shared" si="150"/>
        <v>10</v>
      </c>
      <c r="AF338" s="272">
        <f t="shared" si="139"/>
        <v>12.406337445548246</v>
      </c>
      <c r="AG338" s="272">
        <f t="shared" si="151"/>
        <v>11</v>
      </c>
      <c r="AH338" s="272">
        <f t="shared" si="140"/>
        <v>12.10579509099661</v>
      </c>
      <c r="AI338" s="272">
        <f t="shared" si="152"/>
        <v>12</v>
      </c>
      <c r="AJ338" s="272">
        <f t="shared" si="141"/>
        <v>11.863120372725639</v>
      </c>
      <c r="AK338" s="272">
        <f t="shared" si="153"/>
        <v>11</v>
      </c>
      <c r="AL338" s="272">
        <f t="shared" si="142"/>
        <v>12.10579509099661</v>
      </c>
      <c r="AM338" s="272">
        <f t="shared" si="154"/>
        <v>12</v>
      </c>
      <c r="AN338" s="272">
        <f t="shared" si="143"/>
        <v>11.863120372725639</v>
      </c>
      <c r="AO338" s="272">
        <f t="shared" si="155"/>
        <v>11</v>
      </c>
      <c r="AP338" s="272">
        <f t="shared" si="144"/>
        <v>12.10579509099661</v>
      </c>
      <c r="AQ338" s="272">
        <f t="shared" si="156"/>
        <v>12</v>
      </c>
      <c r="AR338" s="272">
        <f t="shared" si="145"/>
        <v>11.863120372725639</v>
      </c>
      <c r="AS338" s="272">
        <f t="shared" si="157"/>
        <v>11</v>
      </c>
      <c r="AT338" s="508">
        <f t="shared" si="146"/>
        <v>12.10579509099661</v>
      </c>
    </row>
    <row r="339" spans="1:46" ht="12.75" customHeight="1">
      <c r="A339" s="96">
        <f>IF(MAX($F$93:F339)=$G$88,$G$88,F339)</f>
        <v>2.5233929002825244</v>
      </c>
      <c r="B339" s="481">
        <v>247</v>
      </c>
      <c r="C339" s="96">
        <f t="shared" si="134"/>
        <v>0.37050000000000027</v>
      </c>
      <c r="D339" s="96">
        <f t="shared" si="131"/>
        <v>8.9215605729124672</v>
      </c>
      <c r="E339" s="96">
        <f t="shared" si="132"/>
        <v>0.77884157650166808</v>
      </c>
      <c r="F339" s="96">
        <f t="shared" si="130"/>
        <v>2.5233929002825244</v>
      </c>
      <c r="G339" s="96">
        <f t="shared" si="133"/>
        <v>2.4073929002825243</v>
      </c>
      <c r="I339" s="96">
        <f t="shared" si="135"/>
        <v>1</v>
      </c>
      <c r="J339" s="96">
        <f t="shared" si="136"/>
        <v>0.37050000000000027</v>
      </c>
      <c r="Y339" s="96">
        <f t="shared" si="147"/>
        <v>13</v>
      </c>
      <c r="Z339" s="96">
        <v>0.48799999999999999</v>
      </c>
      <c r="AA339" s="272">
        <f t="shared" si="148"/>
        <v>13</v>
      </c>
      <c r="AB339" s="519">
        <f t="shared" si="149"/>
        <v>9.6784940725631419</v>
      </c>
      <c r="AC339" s="272">
        <f t="shared" si="137"/>
        <v>9</v>
      </c>
      <c r="AD339" s="272">
        <f t="shared" si="138"/>
        <v>12.893094115180675</v>
      </c>
      <c r="AE339" s="272">
        <f t="shared" si="150"/>
        <v>10</v>
      </c>
      <c r="AF339" s="272">
        <f t="shared" si="139"/>
        <v>12.508237119877606</v>
      </c>
      <c r="AG339" s="272">
        <f t="shared" si="151"/>
        <v>11</v>
      </c>
      <c r="AH339" s="272">
        <f t="shared" si="140"/>
        <v>12.20522625532571</v>
      </c>
      <c r="AI339" s="272">
        <f t="shared" si="152"/>
        <v>12</v>
      </c>
      <c r="AJ339" s="272">
        <f t="shared" si="141"/>
        <v>11.960558323919251</v>
      </c>
      <c r="AK339" s="272">
        <f t="shared" si="153"/>
        <v>11</v>
      </c>
      <c r="AL339" s="272">
        <f t="shared" si="142"/>
        <v>12.20522625532571</v>
      </c>
      <c r="AM339" s="272">
        <f t="shared" si="154"/>
        <v>12</v>
      </c>
      <c r="AN339" s="272">
        <f t="shared" si="143"/>
        <v>11.960558323919251</v>
      </c>
      <c r="AO339" s="272">
        <f t="shared" si="155"/>
        <v>11</v>
      </c>
      <c r="AP339" s="272">
        <f t="shared" si="144"/>
        <v>12.20522625532571</v>
      </c>
      <c r="AQ339" s="272">
        <f t="shared" si="156"/>
        <v>12</v>
      </c>
      <c r="AR339" s="272">
        <f t="shared" si="145"/>
        <v>11.960558323919251</v>
      </c>
      <c r="AS339" s="272">
        <f t="shared" si="157"/>
        <v>11</v>
      </c>
      <c r="AT339" s="508">
        <f t="shared" si="146"/>
        <v>12.20522625532571</v>
      </c>
    </row>
    <row r="340" spans="1:46" ht="12.75" customHeight="1">
      <c r="A340" s="96">
        <f>IF(MAX($F$93:F340)=$G$88,$G$88,F340)</f>
        <v>2.554599213480091</v>
      </c>
      <c r="B340" s="481">
        <v>248</v>
      </c>
      <c r="C340" s="96">
        <f t="shared" si="134"/>
        <v>0.37200000000000027</v>
      </c>
      <c r="D340" s="96">
        <f t="shared" si="131"/>
        <v>8.9939461632940763</v>
      </c>
      <c r="E340" s="96">
        <f t="shared" si="132"/>
        <v>0.77340061082381273</v>
      </c>
      <c r="F340" s="96">
        <f t="shared" si="130"/>
        <v>2.554599213480091</v>
      </c>
      <c r="G340" s="96">
        <f t="shared" si="133"/>
        <v>2.4385992134800909</v>
      </c>
      <c r="I340" s="96">
        <f t="shared" si="135"/>
        <v>1</v>
      </c>
      <c r="J340" s="96">
        <f t="shared" si="136"/>
        <v>0.37200000000000027</v>
      </c>
      <c r="Y340" s="96">
        <f t="shared" si="147"/>
        <v>13</v>
      </c>
      <c r="Z340" s="96">
        <v>0.48599999999999999</v>
      </c>
      <c r="AA340" s="272">
        <f t="shared" si="148"/>
        <v>13</v>
      </c>
      <c r="AB340" s="519">
        <f t="shared" si="149"/>
        <v>9.7583163661386134</v>
      </c>
      <c r="AC340" s="272">
        <f t="shared" si="137"/>
        <v>9</v>
      </c>
      <c r="AD340" s="272">
        <f t="shared" si="138"/>
        <v>12.999428461809625</v>
      </c>
      <c r="AE340" s="272">
        <f t="shared" si="150"/>
        <v>10</v>
      </c>
      <c r="AF340" s="272">
        <f t="shared" si="139"/>
        <v>12.611397401633106</v>
      </c>
      <c r="AG340" s="272">
        <f t="shared" si="151"/>
        <v>11</v>
      </c>
      <c r="AH340" s="272">
        <f t="shared" si="140"/>
        <v>12.305887488984935</v>
      </c>
      <c r="AI340" s="272">
        <f t="shared" si="152"/>
        <v>12</v>
      </c>
      <c r="AJ340" s="272">
        <f t="shared" si="141"/>
        <v>12.059201686275069</v>
      </c>
      <c r="AK340" s="272">
        <f t="shared" si="153"/>
        <v>12</v>
      </c>
      <c r="AL340" s="272">
        <f t="shared" si="142"/>
        <v>12.059201686275069</v>
      </c>
      <c r="AM340" s="272">
        <f t="shared" si="154"/>
        <v>12</v>
      </c>
      <c r="AN340" s="272">
        <f t="shared" si="143"/>
        <v>12.059201686275069</v>
      </c>
      <c r="AO340" s="272">
        <f t="shared" si="155"/>
        <v>12</v>
      </c>
      <c r="AP340" s="272">
        <f t="shared" si="144"/>
        <v>12.059201686275069</v>
      </c>
      <c r="AQ340" s="272">
        <f t="shared" si="156"/>
        <v>12</v>
      </c>
      <c r="AR340" s="272">
        <f t="shared" si="145"/>
        <v>12.059201686275069</v>
      </c>
      <c r="AS340" s="272">
        <f t="shared" si="157"/>
        <v>12</v>
      </c>
      <c r="AT340" s="508">
        <f t="shared" si="146"/>
        <v>12.059201686275069</v>
      </c>
    </row>
    <row r="341" spans="1:46" ht="12.75" customHeight="1">
      <c r="A341" s="96">
        <f>IF(MAX($F$93:F341)=$G$88,$G$88,F341)</f>
        <v>2.5853089206179014</v>
      </c>
      <c r="B341" s="481">
        <v>249</v>
      </c>
      <c r="C341" s="96">
        <f t="shared" si="134"/>
        <v>0.37350000000000028</v>
      </c>
      <c r="D341" s="96">
        <f t="shared" si="131"/>
        <v>9.0666242207075332</v>
      </c>
      <c r="E341" s="96">
        <f t="shared" si="132"/>
        <v>0.76789329415818197</v>
      </c>
      <c r="F341" s="96">
        <f t="shared" si="130"/>
        <v>2.5853089206179014</v>
      </c>
      <c r="G341" s="96">
        <f t="shared" si="133"/>
        <v>2.4693089206179013</v>
      </c>
      <c r="I341" s="96">
        <f t="shared" si="135"/>
        <v>1</v>
      </c>
      <c r="J341" s="96">
        <f t="shared" si="136"/>
        <v>0.37350000000000028</v>
      </c>
      <c r="Y341" s="96">
        <f t="shared" si="147"/>
        <v>13</v>
      </c>
      <c r="Z341" s="96">
        <v>0.48399999999999999</v>
      </c>
      <c r="AA341" s="272">
        <f t="shared" si="148"/>
        <v>13</v>
      </c>
      <c r="AB341" s="519">
        <f t="shared" si="149"/>
        <v>9.8391302353684704</v>
      </c>
      <c r="AC341" s="272">
        <f t="shared" si="137"/>
        <v>9</v>
      </c>
      <c r="AD341" s="272">
        <f t="shared" si="138"/>
        <v>13.107083724496219</v>
      </c>
      <c r="AE341" s="272">
        <f t="shared" si="150"/>
        <v>10</v>
      </c>
      <c r="AF341" s="272">
        <f t="shared" si="139"/>
        <v>12.715839170292897</v>
      </c>
      <c r="AG341" s="272">
        <f t="shared" si="151"/>
        <v>11</v>
      </c>
      <c r="AH341" s="272">
        <f t="shared" si="140"/>
        <v>12.407799165649058</v>
      </c>
      <c r="AI341" s="272">
        <f t="shared" si="152"/>
        <v>12</v>
      </c>
      <c r="AJ341" s="272">
        <f t="shared" si="141"/>
        <v>12.159070425053899</v>
      </c>
      <c r="AK341" s="272">
        <f t="shared" si="153"/>
        <v>12</v>
      </c>
      <c r="AL341" s="272">
        <f t="shared" si="142"/>
        <v>12.159070425053899</v>
      </c>
      <c r="AM341" s="272">
        <f t="shared" si="154"/>
        <v>12</v>
      </c>
      <c r="AN341" s="272">
        <f t="shared" si="143"/>
        <v>12.159070425053899</v>
      </c>
      <c r="AO341" s="272">
        <f t="shared" si="155"/>
        <v>12</v>
      </c>
      <c r="AP341" s="272">
        <f t="shared" si="144"/>
        <v>12.159070425053899</v>
      </c>
      <c r="AQ341" s="272">
        <f t="shared" si="156"/>
        <v>12</v>
      </c>
      <c r="AR341" s="272">
        <f t="shared" si="145"/>
        <v>12.159070425053899</v>
      </c>
      <c r="AS341" s="272">
        <f t="shared" si="157"/>
        <v>12</v>
      </c>
      <c r="AT341" s="508">
        <f t="shared" si="146"/>
        <v>12.159070425053899</v>
      </c>
    </row>
    <row r="342" spans="1:46" ht="12.75" customHeight="1">
      <c r="A342" s="96">
        <f>IF(MAX($F$93:F342)=$G$88,$G$88,F342)</f>
        <v>2.6154990552133768</v>
      </c>
      <c r="B342" s="481">
        <v>250</v>
      </c>
      <c r="C342" s="96">
        <f t="shared" si="134"/>
        <v>0.37500000000000028</v>
      </c>
      <c r="D342" s="96">
        <f t="shared" si="131"/>
        <v>9.1395947451528343</v>
      </c>
      <c r="E342" s="96">
        <f t="shared" si="132"/>
        <v>0.76232071544973601</v>
      </c>
      <c r="F342" s="96">
        <f t="shared" si="130"/>
        <v>2.6154990552133768</v>
      </c>
      <c r="G342" s="96">
        <f t="shared" si="133"/>
        <v>2.4994990552133767</v>
      </c>
      <c r="I342" s="96">
        <f t="shared" si="135"/>
        <v>1</v>
      </c>
      <c r="J342" s="96">
        <f t="shared" si="136"/>
        <v>0.37500000000000028</v>
      </c>
      <c r="Y342" s="96">
        <f t="shared" si="147"/>
        <v>13</v>
      </c>
      <c r="Z342" s="96">
        <v>0.48199999999999998</v>
      </c>
      <c r="AA342" s="272">
        <f t="shared" si="148"/>
        <v>13</v>
      </c>
      <c r="AB342" s="519">
        <f t="shared" si="149"/>
        <v>9.9209521720376586</v>
      </c>
      <c r="AC342" s="272">
        <f t="shared" si="137"/>
        <v>9</v>
      </c>
      <c r="AD342" s="272">
        <f t="shared" si="138"/>
        <v>13.216081872581336</v>
      </c>
      <c r="AE342" s="272">
        <f t="shared" si="150"/>
        <v>10</v>
      </c>
      <c r="AF342" s="272">
        <f t="shared" si="139"/>
        <v>12.821583739416214</v>
      </c>
      <c r="AG342" s="272">
        <f t="shared" si="151"/>
        <v>11</v>
      </c>
      <c r="AH342" s="272">
        <f t="shared" si="140"/>
        <v>12.510982082558352</v>
      </c>
      <c r="AI342" s="272">
        <f t="shared" si="152"/>
        <v>12</v>
      </c>
      <c r="AJ342" s="272">
        <f t="shared" si="141"/>
        <v>12.260184920591184</v>
      </c>
      <c r="AK342" s="272">
        <f t="shared" si="153"/>
        <v>12</v>
      </c>
      <c r="AL342" s="272">
        <f t="shared" si="142"/>
        <v>12.260184920591184</v>
      </c>
      <c r="AM342" s="272">
        <f t="shared" si="154"/>
        <v>12</v>
      </c>
      <c r="AN342" s="272">
        <f t="shared" si="143"/>
        <v>12.260184920591184</v>
      </c>
      <c r="AO342" s="272">
        <f t="shared" si="155"/>
        <v>12</v>
      </c>
      <c r="AP342" s="272">
        <f t="shared" si="144"/>
        <v>12.260184920591184</v>
      </c>
      <c r="AQ342" s="272">
        <f t="shared" si="156"/>
        <v>12</v>
      </c>
      <c r="AR342" s="272">
        <f t="shared" si="145"/>
        <v>12.260184920591184</v>
      </c>
      <c r="AS342" s="272">
        <f t="shared" si="157"/>
        <v>12</v>
      </c>
      <c r="AT342" s="508">
        <f t="shared" si="146"/>
        <v>12.260184920591184</v>
      </c>
    </row>
    <row r="343" spans="1:46" ht="12.75" customHeight="1">
      <c r="A343" s="96">
        <f>IF(MAX($F$93:F343)=$G$88,$G$88,F343)</f>
        <v>2.6451470052360886</v>
      </c>
      <c r="B343" s="481">
        <v>251</v>
      </c>
      <c r="C343" s="96">
        <f t="shared" si="134"/>
        <v>0.37650000000000028</v>
      </c>
      <c r="D343" s="96">
        <f t="shared" si="131"/>
        <v>9.212857736629978</v>
      </c>
      <c r="E343" s="96">
        <f t="shared" si="132"/>
        <v>0.75668401249298178</v>
      </c>
      <c r="F343" s="96">
        <f t="shared" si="130"/>
        <v>2.6451470052360886</v>
      </c>
      <c r="G343" s="96">
        <f t="shared" si="133"/>
        <v>2.5291470052360885</v>
      </c>
      <c r="I343" s="96">
        <f t="shared" si="135"/>
        <v>1</v>
      </c>
      <c r="J343" s="96">
        <f t="shared" si="136"/>
        <v>0.37650000000000028</v>
      </c>
      <c r="Y343" s="96">
        <f t="shared" si="147"/>
        <v>13</v>
      </c>
      <c r="Z343" s="96">
        <v>0.48</v>
      </c>
      <c r="AA343" s="272">
        <f t="shared" si="148"/>
        <v>13</v>
      </c>
      <c r="AB343" s="519">
        <f t="shared" si="149"/>
        <v>10.003799012224293</v>
      </c>
      <c r="AC343" s="272">
        <f t="shared" si="137"/>
        <v>10</v>
      </c>
      <c r="AD343" s="272">
        <f t="shared" si="138"/>
        <v>12.92865286751794</v>
      </c>
      <c r="AE343" s="272">
        <f t="shared" si="150"/>
        <v>11</v>
      </c>
      <c r="AF343" s="272">
        <f t="shared" si="139"/>
        <v>12.615457471129712</v>
      </c>
      <c r="AG343" s="272">
        <f t="shared" si="151"/>
        <v>12</v>
      </c>
      <c r="AH343" s="272">
        <f t="shared" si="140"/>
        <v>12.362565978695427</v>
      </c>
      <c r="AI343" s="272">
        <f t="shared" si="152"/>
        <v>12</v>
      </c>
      <c r="AJ343" s="272">
        <f t="shared" si="141"/>
        <v>12.362565978695427</v>
      </c>
      <c r="AK343" s="272">
        <f t="shared" si="153"/>
        <v>12</v>
      </c>
      <c r="AL343" s="272">
        <f t="shared" si="142"/>
        <v>12.362565978695427</v>
      </c>
      <c r="AM343" s="272">
        <f t="shared" si="154"/>
        <v>12</v>
      </c>
      <c r="AN343" s="272">
        <f t="shared" si="143"/>
        <v>12.362565978695427</v>
      </c>
      <c r="AO343" s="272">
        <f t="shared" si="155"/>
        <v>12</v>
      </c>
      <c r="AP343" s="272">
        <f t="shared" si="144"/>
        <v>12.362565978695427</v>
      </c>
      <c r="AQ343" s="272">
        <f t="shared" si="156"/>
        <v>12</v>
      </c>
      <c r="AR343" s="272">
        <f t="shared" si="145"/>
        <v>12.362565978695427</v>
      </c>
      <c r="AS343" s="272">
        <f t="shared" si="157"/>
        <v>12</v>
      </c>
      <c r="AT343" s="508">
        <f t="shared" si="146"/>
        <v>12.362565978695427</v>
      </c>
    </row>
    <row r="344" spans="1:46" ht="12.75" customHeight="1">
      <c r="A344" s="96">
        <f>IF(MAX($F$93:F344)=$G$88,$G$88,F344)</f>
        <v>2.6742305416422862</v>
      </c>
      <c r="B344" s="481">
        <v>252</v>
      </c>
      <c r="C344" s="96">
        <f t="shared" si="134"/>
        <v>0.37800000000000028</v>
      </c>
      <c r="D344" s="96">
        <f t="shared" si="131"/>
        <v>9.2864131951389677</v>
      </c>
      <c r="E344" s="96">
        <f t="shared" si="132"/>
        <v>0.75098437114158134</v>
      </c>
      <c r="F344" s="96">
        <f t="shared" si="130"/>
        <v>2.6742305416422862</v>
      </c>
      <c r="G344" s="96">
        <f t="shared" si="133"/>
        <v>2.5582305416422861</v>
      </c>
      <c r="I344" s="96">
        <f t="shared" si="135"/>
        <v>1</v>
      </c>
      <c r="J344" s="96">
        <f t="shared" si="136"/>
        <v>0.37800000000000028</v>
      </c>
      <c r="Y344" s="96">
        <f t="shared" si="147"/>
        <v>13</v>
      </c>
      <c r="Z344" s="96">
        <v>0.47799999999999998</v>
      </c>
      <c r="AA344" s="272">
        <f t="shared" si="148"/>
        <v>13</v>
      </c>
      <c r="AB344" s="519">
        <f t="shared" si="149"/>
        <v>10.087687944961031</v>
      </c>
      <c r="AC344" s="272">
        <f t="shared" si="137"/>
        <v>10</v>
      </c>
      <c r="AD344" s="272">
        <f t="shared" si="138"/>
        <v>13.037068769262326</v>
      </c>
      <c r="AE344" s="272">
        <f t="shared" si="150"/>
        <v>11</v>
      </c>
      <c r="AF344" s="272">
        <f t="shared" si="139"/>
        <v>12.721247007879265</v>
      </c>
      <c r="AG344" s="272">
        <f t="shared" si="151"/>
        <v>12</v>
      </c>
      <c r="AH344" s="272">
        <f t="shared" si="140"/>
        <v>12.466234841351808</v>
      </c>
      <c r="AI344" s="272">
        <f t="shared" si="152"/>
        <v>12</v>
      </c>
      <c r="AJ344" s="272">
        <f t="shared" si="141"/>
        <v>12.466234841351808</v>
      </c>
      <c r="AK344" s="272">
        <f t="shared" si="153"/>
        <v>12</v>
      </c>
      <c r="AL344" s="272">
        <f t="shared" si="142"/>
        <v>12.466234841351808</v>
      </c>
      <c r="AM344" s="272">
        <f t="shared" si="154"/>
        <v>12</v>
      </c>
      <c r="AN344" s="272">
        <f t="shared" si="143"/>
        <v>12.466234841351808</v>
      </c>
      <c r="AO344" s="272">
        <f t="shared" si="155"/>
        <v>12</v>
      </c>
      <c r="AP344" s="272">
        <f t="shared" si="144"/>
        <v>12.466234841351808</v>
      </c>
      <c r="AQ344" s="272">
        <f t="shared" si="156"/>
        <v>12</v>
      </c>
      <c r="AR344" s="272">
        <f t="shared" si="145"/>
        <v>12.466234841351808</v>
      </c>
      <c r="AS344" s="272">
        <f t="shared" si="157"/>
        <v>12</v>
      </c>
      <c r="AT344" s="508">
        <f t="shared" si="146"/>
        <v>12.466234841351808</v>
      </c>
    </row>
    <row r="345" spans="1:46" ht="12.75" customHeight="1">
      <c r="A345" s="96">
        <f>IF(MAX($F$93:F345)=$G$88,$G$88,F345)</f>
        <v>2.7027278463672841</v>
      </c>
      <c r="B345" s="481">
        <v>253</v>
      </c>
      <c r="C345" s="96">
        <f t="shared" si="134"/>
        <v>0.37950000000000028</v>
      </c>
      <c r="D345" s="96">
        <f t="shared" si="131"/>
        <v>9.3602611206798016</v>
      </c>
      <c r="E345" s="96">
        <f t="shared" si="132"/>
        <v>0.74522302445737199</v>
      </c>
      <c r="F345" s="96">
        <f t="shared" si="130"/>
        <v>2.7027278463672841</v>
      </c>
      <c r="G345" s="96">
        <f t="shared" si="133"/>
        <v>2.586727846367284</v>
      </c>
      <c r="I345" s="96">
        <f t="shared" si="135"/>
        <v>1</v>
      </c>
      <c r="J345" s="96">
        <f t="shared" si="136"/>
        <v>0.37950000000000028</v>
      </c>
      <c r="Y345" s="96">
        <f t="shared" si="147"/>
        <v>13</v>
      </c>
      <c r="Z345" s="96">
        <v>0.47599999999999998</v>
      </c>
      <c r="AA345" s="272">
        <f t="shared" si="148"/>
        <v>13</v>
      </c>
      <c r="AB345" s="519">
        <f t="shared" si="149"/>
        <v>10.172636521151739</v>
      </c>
      <c r="AC345" s="272">
        <f t="shared" si="137"/>
        <v>10</v>
      </c>
      <c r="AD345" s="272">
        <f t="shared" si="138"/>
        <v>13.146854126986673</v>
      </c>
      <c r="AE345" s="272">
        <f t="shared" si="150"/>
        <v>11</v>
      </c>
      <c r="AF345" s="272">
        <f t="shared" si="139"/>
        <v>12.828372825666822</v>
      </c>
      <c r="AG345" s="272">
        <f t="shared" si="151"/>
        <v>12</v>
      </c>
      <c r="AH345" s="272">
        <f t="shared" si="140"/>
        <v>12.571213197741272</v>
      </c>
      <c r="AI345" s="272">
        <f t="shared" si="152"/>
        <v>12</v>
      </c>
      <c r="AJ345" s="272">
        <f t="shared" si="141"/>
        <v>12.571213197741272</v>
      </c>
      <c r="AK345" s="272">
        <f t="shared" si="153"/>
        <v>12</v>
      </c>
      <c r="AL345" s="272">
        <f t="shared" si="142"/>
        <v>12.571213197741272</v>
      </c>
      <c r="AM345" s="272">
        <f t="shared" si="154"/>
        <v>12</v>
      </c>
      <c r="AN345" s="272">
        <f t="shared" si="143"/>
        <v>12.571213197741272</v>
      </c>
      <c r="AO345" s="272">
        <f t="shared" si="155"/>
        <v>12</v>
      </c>
      <c r="AP345" s="272">
        <f t="shared" si="144"/>
        <v>12.571213197741272</v>
      </c>
      <c r="AQ345" s="272">
        <f t="shared" si="156"/>
        <v>12</v>
      </c>
      <c r="AR345" s="272">
        <f t="shared" si="145"/>
        <v>12.571213197741272</v>
      </c>
      <c r="AS345" s="272">
        <f t="shared" si="157"/>
        <v>12</v>
      </c>
      <c r="AT345" s="508">
        <f t="shared" si="146"/>
        <v>12.571213197741272</v>
      </c>
    </row>
    <row r="346" spans="1:46" ht="12.75" customHeight="1">
      <c r="A346" s="96">
        <f>IF(MAX($F$93:F346)=$G$88,$G$88,F346)</f>
        <v>2.7306175397293888</v>
      </c>
      <c r="B346" s="481">
        <v>254</v>
      </c>
      <c r="C346" s="96">
        <f t="shared" si="134"/>
        <v>0.38100000000000028</v>
      </c>
      <c r="D346" s="96">
        <f t="shared" si="131"/>
        <v>9.4344015132524817</v>
      </c>
      <c r="E346" s="96">
        <f t="shared" si="132"/>
        <v>0.73940125180000726</v>
      </c>
      <c r="F346" s="96">
        <f t="shared" si="130"/>
        <v>2.7306175397293888</v>
      </c>
      <c r="G346" s="96">
        <f t="shared" si="133"/>
        <v>2.6146175397293887</v>
      </c>
      <c r="I346" s="96">
        <f t="shared" si="135"/>
        <v>1</v>
      </c>
      <c r="J346" s="96">
        <f t="shared" si="136"/>
        <v>0.38100000000000028</v>
      </c>
      <c r="Y346" s="96">
        <f t="shared" si="147"/>
        <v>13</v>
      </c>
      <c r="Z346" s="96">
        <v>0.47399999999999998</v>
      </c>
      <c r="AA346" s="272">
        <f t="shared" si="148"/>
        <v>13</v>
      </c>
      <c r="AB346" s="519">
        <f t="shared" si="149"/>
        <v>10.258662662752036</v>
      </c>
      <c r="AC346" s="272">
        <f t="shared" si="137"/>
        <v>10</v>
      </c>
      <c r="AD346" s="272">
        <f t="shared" si="138"/>
        <v>13.258032102566062</v>
      </c>
      <c r="AE346" s="272">
        <f t="shared" si="150"/>
        <v>11</v>
      </c>
      <c r="AF346" s="272">
        <f t="shared" si="139"/>
        <v>12.936857525273217</v>
      </c>
      <c r="AG346" s="272">
        <f t="shared" si="151"/>
        <v>12</v>
      </c>
      <c r="AH346" s="272">
        <f t="shared" si="140"/>
        <v>12.677523195585763</v>
      </c>
      <c r="AI346" s="272">
        <f t="shared" si="152"/>
        <v>12</v>
      </c>
      <c r="AJ346" s="272">
        <f t="shared" si="141"/>
        <v>12.677523195585763</v>
      </c>
      <c r="AK346" s="272">
        <f t="shared" si="153"/>
        <v>12</v>
      </c>
      <c r="AL346" s="272">
        <f t="shared" si="142"/>
        <v>12.677523195585763</v>
      </c>
      <c r="AM346" s="272">
        <f t="shared" si="154"/>
        <v>12</v>
      </c>
      <c r="AN346" s="272">
        <f t="shared" si="143"/>
        <v>12.677523195585763</v>
      </c>
      <c r="AO346" s="272">
        <f t="shared" si="155"/>
        <v>12</v>
      </c>
      <c r="AP346" s="272">
        <f t="shared" si="144"/>
        <v>12.677523195585763</v>
      </c>
      <c r="AQ346" s="272">
        <f t="shared" si="156"/>
        <v>12</v>
      </c>
      <c r="AR346" s="272">
        <f t="shared" si="145"/>
        <v>12.677523195585763</v>
      </c>
      <c r="AS346" s="272">
        <f t="shared" si="157"/>
        <v>12</v>
      </c>
      <c r="AT346" s="508">
        <f t="shared" si="146"/>
        <v>12.677523195585763</v>
      </c>
    </row>
    <row r="347" spans="1:46" ht="12.75" customHeight="1">
      <c r="A347" s="96">
        <f>IF(MAX($F$93:F347)=$G$88,$G$88,F347)</f>
        <v>2.7578787071953048</v>
      </c>
      <c r="B347" s="481">
        <v>255</v>
      </c>
      <c r="C347" s="96">
        <f t="shared" si="134"/>
        <v>0.38250000000000028</v>
      </c>
      <c r="D347" s="96">
        <f t="shared" si="131"/>
        <v>9.5088343728570077</v>
      </c>
      <c r="E347" s="96">
        <f t="shared" si="132"/>
        <v>0.73352037785853175</v>
      </c>
      <c r="F347" s="96">
        <f t="shared" si="130"/>
        <v>2.7578787071953048</v>
      </c>
      <c r="G347" s="96">
        <f t="shared" si="133"/>
        <v>2.6418787071953047</v>
      </c>
      <c r="I347" s="96">
        <f t="shared" si="135"/>
        <v>1</v>
      </c>
      <c r="J347" s="96">
        <f t="shared" si="136"/>
        <v>0.38250000000000028</v>
      </c>
      <c r="Y347" s="96">
        <f t="shared" si="147"/>
        <v>13</v>
      </c>
      <c r="Z347" s="96">
        <v>0.47199999999999998</v>
      </c>
      <c r="AA347" s="272">
        <f t="shared" si="148"/>
        <v>13</v>
      </c>
      <c r="AB347" s="519">
        <f t="shared" si="149"/>
        <v>10.345784672222768</v>
      </c>
      <c r="AC347" s="272">
        <f t="shared" si="137"/>
        <v>10</v>
      </c>
      <c r="AD347" s="272">
        <f t="shared" si="138"/>
        <v>13.370626349630733</v>
      </c>
      <c r="AE347" s="272">
        <f t="shared" si="150"/>
        <v>11</v>
      </c>
      <c r="AF347" s="272">
        <f t="shared" si="139"/>
        <v>13.046724187321736</v>
      </c>
      <c r="AG347" s="272">
        <f t="shared" si="151"/>
        <v>12</v>
      </c>
      <c r="AH347" s="272">
        <f t="shared" si="140"/>
        <v>12.785187452830661</v>
      </c>
      <c r="AI347" s="272">
        <f t="shared" si="152"/>
        <v>12</v>
      </c>
      <c r="AJ347" s="272">
        <f t="shared" si="141"/>
        <v>12.785187452830661</v>
      </c>
      <c r="AK347" s="272">
        <f t="shared" si="153"/>
        <v>12</v>
      </c>
      <c r="AL347" s="272">
        <f t="shared" si="142"/>
        <v>12.785187452830661</v>
      </c>
      <c r="AM347" s="272">
        <f t="shared" si="154"/>
        <v>12</v>
      </c>
      <c r="AN347" s="272">
        <f t="shared" si="143"/>
        <v>12.785187452830661</v>
      </c>
      <c r="AO347" s="272">
        <f t="shared" si="155"/>
        <v>12</v>
      </c>
      <c r="AP347" s="272">
        <f t="shared" si="144"/>
        <v>12.785187452830661</v>
      </c>
      <c r="AQ347" s="272">
        <f t="shared" si="156"/>
        <v>12</v>
      </c>
      <c r="AR347" s="272">
        <f t="shared" si="145"/>
        <v>12.785187452830661</v>
      </c>
      <c r="AS347" s="272">
        <f t="shared" si="157"/>
        <v>12</v>
      </c>
      <c r="AT347" s="508">
        <f t="shared" si="146"/>
        <v>12.785187452830661</v>
      </c>
    </row>
    <row r="348" spans="1:46" ht="12.75" customHeight="1">
      <c r="A348" s="96">
        <f>IF(MAX($F$93:F348)=$G$88,$G$88,F348)</f>
        <v>2.7844909254615757</v>
      </c>
      <c r="B348" s="481">
        <v>256</v>
      </c>
      <c r="C348" s="96">
        <f t="shared" si="134"/>
        <v>0.38400000000000029</v>
      </c>
      <c r="D348" s="96">
        <f t="shared" si="131"/>
        <v>9.583559699493378</v>
      </c>
      <c r="E348" s="96">
        <f t="shared" si="132"/>
        <v>0.7275817716263131</v>
      </c>
      <c r="F348" s="96">
        <f t="shared" si="130"/>
        <v>2.7844909254615757</v>
      </c>
      <c r="G348" s="96">
        <f t="shared" si="133"/>
        <v>2.6684909254615756</v>
      </c>
      <c r="I348" s="96">
        <f t="shared" si="135"/>
        <v>1</v>
      </c>
      <c r="J348" s="96">
        <f t="shared" si="136"/>
        <v>0.38400000000000029</v>
      </c>
      <c r="Y348" s="96">
        <f t="shared" si="147"/>
        <v>13</v>
      </c>
      <c r="Z348" s="96">
        <v>0.47</v>
      </c>
      <c r="AA348" s="272">
        <f t="shared" si="148"/>
        <v>13</v>
      </c>
      <c r="AB348" s="519">
        <f t="shared" si="149"/>
        <v>10.434021242265622</v>
      </c>
      <c r="AC348" s="272">
        <f t="shared" si="137"/>
        <v>10</v>
      </c>
      <c r="AD348" s="272">
        <f t="shared" si="138"/>
        <v>13.484661026148181</v>
      </c>
      <c r="AE348" s="272">
        <f t="shared" si="150"/>
        <v>11</v>
      </c>
      <c r="AF348" s="272">
        <f t="shared" si="139"/>
        <v>13.157996384555391</v>
      </c>
      <c r="AG348" s="272">
        <f t="shared" si="151"/>
        <v>12</v>
      </c>
      <c r="AH348" s="272">
        <f t="shared" si="140"/>
        <v>12.894229069675992</v>
      </c>
      <c r="AI348" s="272">
        <f t="shared" si="152"/>
        <v>12</v>
      </c>
      <c r="AJ348" s="272">
        <f t="shared" si="141"/>
        <v>12.894229069675992</v>
      </c>
      <c r="AK348" s="272">
        <f t="shared" si="153"/>
        <v>12</v>
      </c>
      <c r="AL348" s="272">
        <f t="shared" si="142"/>
        <v>12.894229069675992</v>
      </c>
      <c r="AM348" s="272">
        <f t="shared" si="154"/>
        <v>12</v>
      </c>
      <c r="AN348" s="272">
        <f t="shared" si="143"/>
        <v>12.894229069675992</v>
      </c>
      <c r="AO348" s="272">
        <f t="shared" si="155"/>
        <v>12</v>
      </c>
      <c r="AP348" s="272">
        <f t="shared" si="144"/>
        <v>12.894229069675992</v>
      </c>
      <c r="AQ348" s="272">
        <f t="shared" si="156"/>
        <v>12</v>
      </c>
      <c r="AR348" s="272">
        <f t="shared" si="145"/>
        <v>12.894229069675992</v>
      </c>
      <c r="AS348" s="272">
        <f t="shared" si="157"/>
        <v>12</v>
      </c>
      <c r="AT348" s="508">
        <f t="shared" si="146"/>
        <v>12.894229069675992</v>
      </c>
    </row>
    <row r="349" spans="1:46" ht="12.75" customHeight="1">
      <c r="A349" s="96">
        <f>IF(MAX($F$93:F349)=$G$88,$G$88,F349)</f>
        <v>2.8104342878075168</v>
      </c>
      <c r="B349" s="481">
        <v>257</v>
      </c>
      <c r="C349" s="96">
        <f t="shared" si="134"/>
        <v>0.38550000000000029</v>
      </c>
      <c r="D349" s="96">
        <f t="shared" si="131"/>
        <v>9.6585774931615909</v>
      </c>
      <c r="E349" s="96">
        <f t="shared" si="132"/>
        <v>0.72158684532083928</v>
      </c>
      <c r="F349" s="96">
        <f t="shared" ref="F349:F412" si="158">IF($E$12&lt;$F$90,NA(),$E$87*(E348-E350)/(2*$C$88))</f>
        <v>2.8104342878075168</v>
      </c>
      <c r="G349" s="96">
        <f t="shared" si="133"/>
        <v>2.6944342878075167</v>
      </c>
      <c r="I349" s="96">
        <f t="shared" si="135"/>
        <v>1</v>
      </c>
      <c r="J349" s="96">
        <f t="shared" si="136"/>
        <v>0.38550000000000029</v>
      </c>
      <c r="Y349" s="96">
        <f t="shared" si="147"/>
        <v>14</v>
      </c>
      <c r="Z349" s="96">
        <v>0.46800000000000003</v>
      </c>
      <c r="AA349" s="272">
        <f t="shared" si="148"/>
        <v>14</v>
      </c>
      <c r="AB349" s="519">
        <f t="shared" si="149"/>
        <v>10.523391465850668</v>
      </c>
      <c r="AC349" s="272">
        <f t="shared" si="137"/>
        <v>10</v>
      </c>
      <c r="AD349" s="272">
        <f t="shared" si="138"/>
        <v>13.600160807382442</v>
      </c>
      <c r="AE349" s="272">
        <f t="shared" si="150"/>
        <v>11</v>
      </c>
      <c r="AF349" s="272">
        <f t="shared" si="139"/>
        <v>13.270698194482272</v>
      </c>
      <c r="AG349" s="272">
        <f t="shared" si="151"/>
        <v>12</v>
      </c>
      <c r="AH349" s="272">
        <f t="shared" si="140"/>
        <v>13.00467164096823</v>
      </c>
      <c r="AI349" s="272">
        <f t="shared" si="152"/>
        <v>13</v>
      </c>
      <c r="AJ349" s="272">
        <f t="shared" si="141"/>
        <v>12.785428209561003</v>
      </c>
      <c r="AK349" s="272">
        <f t="shared" si="153"/>
        <v>12</v>
      </c>
      <c r="AL349" s="272">
        <f t="shared" si="142"/>
        <v>13.00467164096823</v>
      </c>
      <c r="AM349" s="272">
        <f t="shared" si="154"/>
        <v>13</v>
      </c>
      <c r="AN349" s="272">
        <f t="shared" si="143"/>
        <v>12.785428209561003</v>
      </c>
      <c r="AO349" s="272">
        <f t="shared" si="155"/>
        <v>12</v>
      </c>
      <c r="AP349" s="272">
        <f t="shared" si="144"/>
        <v>13.00467164096823</v>
      </c>
      <c r="AQ349" s="272">
        <f t="shared" si="156"/>
        <v>13</v>
      </c>
      <c r="AR349" s="272">
        <f t="shared" si="145"/>
        <v>12.785428209561003</v>
      </c>
      <c r="AS349" s="272">
        <f t="shared" si="157"/>
        <v>12</v>
      </c>
      <c r="AT349" s="508">
        <f t="shared" si="146"/>
        <v>13.00467164096823</v>
      </c>
    </row>
    <row r="350" spans="1:46" ht="12.75" customHeight="1">
      <c r="A350" s="96">
        <f>IF(MAX($F$93:F350)=$G$88,$G$88,F350)</f>
        <v>2.8356945459520904</v>
      </c>
      <c r="B350" s="481">
        <v>258</v>
      </c>
      <c r="C350" s="96">
        <f t="shared" si="134"/>
        <v>0.38700000000000029</v>
      </c>
      <c r="D350" s="96">
        <f t="shared" ref="D350:D413" si="159">C350^2/$C$85</f>
        <v>9.7338877538616515</v>
      </c>
      <c r="E350" s="96">
        <f t="shared" ref="E350:E413" si="160">CHIDIST(D350,$E$85)</f>
        <v>0.71553705324999517</v>
      </c>
      <c r="F350" s="96">
        <f t="shared" si="158"/>
        <v>2.8356945459520904</v>
      </c>
      <c r="G350" s="96">
        <f t="shared" ref="G350:G413" si="161">F350-$G$90</f>
        <v>2.7196945459520903</v>
      </c>
      <c r="I350" s="96">
        <f t="shared" si="135"/>
        <v>1</v>
      </c>
      <c r="J350" s="96">
        <f t="shared" si="136"/>
        <v>0.38700000000000029</v>
      </c>
      <c r="Y350" s="96">
        <f t="shared" si="147"/>
        <v>14</v>
      </c>
      <c r="Z350" s="96">
        <v>0.46600000000000003</v>
      </c>
      <c r="AA350" s="272">
        <f t="shared" si="148"/>
        <v>14</v>
      </c>
      <c r="AB350" s="519">
        <f t="shared" si="149"/>
        <v>10.613914846545692</v>
      </c>
      <c r="AC350" s="272">
        <f t="shared" si="137"/>
        <v>10</v>
      </c>
      <c r="AD350" s="272">
        <f t="shared" si="138"/>
        <v>13.717150899243551</v>
      </c>
      <c r="AE350" s="272">
        <f t="shared" si="150"/>
        <v>11</v>
      </c>
      <c r="AF350" s="272">
        <f t="shared" si="139"/>
        <v>13.384854212401613</v>
      </c>
      <c r="AG350" s="272">
        <f t="shared" si="151"/>
        <v>12</v>
      </c>
      <c r="AH350" s="272">
        <f t="shared" si="140"/>
        <v>13.116539268965285</v>
      </c>
      <c r="AI350" s="272">
        <f t="shared" si="152"/>
        <v>13</v>
      </c>
      <c r="AJ350" s="272">
        <f t="shared" si="141"/>
        <v>12.895409881241545</v>
      </c>
      <c r="AK350" s="272">
        <f t="shared" si="153"/>
        <v>12</v>
      </c>
      <c r="AL350" s="272">
        <f t="shared" si="142"/>
        <v>13.116539268965285</v>
      </c>
      <c r="AM350" s="272">
        <f t="shared" si="154"/>
        <v>13</v>
      </c>
      <c r="AN350" s="272">
        <f t="shared" si="143"/>
        <v>12.895409881241545</v>
      </c>
      <c r="AO350" s="272">
        <f t="shared" si="155"/>
        <v>12</v>
      </c>
      <c r="AP350" s="272">
        <f t="shared" si="144"/>
        <v>13.116539268965285</v>
      </c>
      <c r="AQ350" s="272">
        <f t="shared" si="156"/>
        <v>13</v>
      </c>
      <c r="AR350" s="272">
        <f t="shared" si="145"/>
        <v>12.895409881241545</v>
      </c>
      <c r="AS350" s="272">
        <f t="shared" si="157"/>
        <v>12</v>
      </c>
      <c r="AT350" s="508">
        <f t="shared" si="146"/>
        <v>13.116539268965285</v>
      </c>
    </row>
    <row r="351" spans="1:46" ht="12.75" customHeight="1">
      <c r="A351" s="96">
        <f>IF(MAX($F$93:F351)=$G$88,$G$88,F351)</f>
        <v>2.8602433620765311</v>
      </c>
      <c r="B351" s="481">
        <v>259</v>
      </c>
      <c r="C351" s="96">
        <f t="shared" si="134"/>
        <v>0.38850000000000029</v>
      </c>
      <c r="D351" s="96">
        <f t="shared" si="159"/>
        <v>9.8094904815935546</v>
      </c>
      <c r="E351" s="96">
        <f t="shared" si="160"/>
        <v>0.70943386869533032</v>
      </c>
      <c r="F351" s="96">
        <f t="shared" si="158"/>
        <v>2.8602433620765311</v>
      </c>
      <c r="G351" s="96">
        <f t="shared" si="161"/>
        <v>2.744243362076531</v>
      </c>
      <c r="I351" s="96">
        <f t="shared" si="135"/>
        <v>1</v>
      </c>
      <c r="J351" s="96">
        <f t="shared" si="136"/>
        <v>0.38850000000000029</v>
      </c>
      <c r="Y351" s="96">
        <f t="shared" si="147"/>
        <v>14</v>
      </c>
      <c r="Z351" s="96">
        <v>0.46400000000000002</v>
      </c>
      <c r="AA351" s="272">
        <f t="shared" si="148"/>
        <v>14</v>
      </c>
      <c r="AB351" s="519">
        <f t="shared" si="149"/>
        <v>10.705611309157979</v>
      </c>
      <c r="AC351" s="272">
        <f t="shared" si="137"/>
        <v>10</v>
      </c>
      <c r="AD351" s="272">
        <f t="shared" si="138"/>
        <v>13.835657052040601</v>
      </c>
      <c r="AE351" s="272">
        <f t="shared" si="150"/>
        <v>11</v>
      </c>
      <c r="AF351" s="272">
        <f t="shared" si="139"/>
        <v>13.500489564823711</v>
      </c>
      <c r="AG351" s="272">
        <f t="shared" si="151"/>
        <v>12</v>
      </c>
      <c r="AH351" s="272">
        <f t="shared" si="140"/>
        <v>13.229856576487379</v>
      </c>
      <c r="AI351" s="272">
        <f t="shared" si="152"/>
        <v>13</v>
      </c>
      <c r="AJ351" s="272">
        <f t="shared" si="141"/>
        <v>13.006816792559496</v>
      </c>
      <c r="AK351" s="272">
        <f t="shared" si="153"/>
        <v>13</v>
      </c>
      <c r="AL351" s="272">
        <f t="shared" si="142"/>
        <v>13.006816792559496</v>
      </c>
      <c r="AM351" s="272">
        <f t="shared" si="154"/>
        <v>13</v>
      </c>
      <c r="AN351" s="272">
        <f t="shared" si="143"/>
        <v>13.006816792559496</v>
      </c>
      <c r="AO351" s="272">
        <f t="shared" si="155"/>
        <v>13</v>
      </c>
      <c r="AP351" s="272">
        <f t="shared" si="144"/>
        <v>13.006816792559496</v>
      </c>
      <c r="AQ351" s="272">
        <f t="shared" si="156"/>
        <v>13</v>
      </c>
      <c r="AR351" s="272">
        <f t="shared" si="145"/>
        <v>13.006816792559496</v>
      </c>
      <c r="AS351" s="272">
        <f t="shared" si="157"/>
        <v>13</v>
      </c>
      <c r="AT351" s="508">
        <f t="shared" si="146"/>
        <v>13.006816792559496</v>
      </c>
    </row>
    <row r="352" spans="1:46" ht="12.75" customHeight="1">
      <c r="A352" s="96">
        <f>IF(MAX($F$93:F352)=$G$88,$G$88,F352)</f>
        <v>2.8840619159079277</v>
      </c>
      <c r="B352" s="481">
        <v>260</v>
      </c>
      <c r="C352" s="96">
        <f t="shared" si="134"/>
        <v>0.39000000000000029</v>
      </c>
      <c r="D352" s="96">
        <f t="shared" si="159"/>
        <v>9.8853856763573038</v>
      </c>
      <c r="E352" s="96">
        <f t="shared" si="160"/>
        <v>0.70327886741252432</v>
      </c>
      <c r="F352" s="96">
        <f t="shared" si="158"/>
        <v>2.8840619159079277</v>
      </c>
      <c r="G352" s="96">
        <f t="shared" si="161"/>
        <v>2.7680619159079276</v>
      </c>
      <c r="I352" s="96">
        <f t="shared" si="135"/>
        <v>1</v>
      </c>
      <c r="J352" s="96">
        <f t="shared" si="136"/>
        <v>0.39000000000000029</v>
      </c>
      <c r="Y352" s="96">
        <f t="shared" si="147"/>
        <v>14</v>
      </c>
      <c r="Z352" s="96">
        <v>0.46200000000000002</v>
      </c>
      <c r="AA352" s="272">
        <f t="shared" si="148"/>
        <v>14</v>
      </c>
      <c r="AB352" s="519">
        <f t="shared" si="149"/>
        <v>10.798501210699182</v>
      </c>
      <c r="AC352" s="272">
        <f t="shared" si="137"/>
        <v>10</v>
      </c>
      <c r="AD352" s="272">
        <f t="shared" si="138"/>
        <v>13.955705574652521</v>
      </c>
      <c r="AE352" s="272">
        <f t="shared" si="150"/>
        <v>11</v>
      </c>
      <c r="AF352" s="272">
        <f t="shared" si="139"/>
        <v>13.617629923297377</v>
      </c>
      <c r="AG352" s="272">
        <f t="shared" si="151"/>
        <v>12</v>
      </c>
      <c r="AH352" s="272">
        <f t="shared" si="140"/>
        <v>13.344648720467317</v>
      </c>
      <c r="AI352" s="272">
        <f t="shared" si="152"/>
        <v>13</v>
      </c>
      <c r="AJ352" s="272">
        <f t="shared" si="141"/>
        <v>13.119673676331448</v>
      </c>
      <c r="AK352" s="272">
        <f t="shared" si="153"/>
        <v>13</v>
      </c>
      <c r="AL352" s="272">
        <f t="shared" si="142"/>
        <v>13.119673676331448</v>
      </c>
      <c r="AM352" s="272">
        <f t="shared" si="154"/>
        <v>13</v>
      </c>
      <c r="AN352" s="272">
        <f t="shared" si="143"/>
        <v>13.119673676331448</v>
      </c>
      <c r="AO352" s="272">
        <f t="shared" si="155"/>
        <v>13</v>
      </c>
      <c r="AP352" s="272">
        <f t="shared" si="144"/>
        <v>13.119673676331448</v>
      </c>
      <c r="AQ352" s="272">
        <f t="shared" si="156"/>
        <v>13</v>
      </c>
      <c r="AR352" s="272">
        <f t="shared" si="145"/>
        <v>13.119673676331448</v>
      </c>
      <c r="AS352" s="272">
        <f t="shared" si="157"/>
        <v>13</v>
      </c>
      <c r="AT352" s="508">
        <f t="shared" si="146"/>
        <v>13.119673676331448</v>
      </c>
    </row>
    <row r="353" spans="1:46" ht="12.75" customHeight="1">
      <c r="A353" s="96">
        <f>IF(MAX($F$93:F353)=$G$88,$G$88,F353)</f>
        <v>2.9071421526188019</v>
      </c>
      <c r="B353" s="481">
        <v>261</v>
      </c>
      <c r="C353" s="96">
        <f t="shared" si="134"/>
        <v>0.39150000000000029</v>
      </c>
      <c r="D353" s="96">
        <f t="shared" si="159"/>
        <v>9.9615733381528973</v>
      </c>
      <c r="E353" s="96">
        <f t="shared" si="160"/>
        <v>0.6970736033414392</v>
      </c>
      <c r="F353" s="96">
        <f t="shared" si="158"/>
        <v>2.9071421526188019</v>
      </c>
      <c r="G353" s="96">
        <f t="shared" si="161"/>
        <v>2.7911421526188018</v>
      </c>
      <c r="I353" s="96">
        <f t="shared" si="135"/>
        <v>1</v>
      </c>
      <c r="J353" s="96">
        <f t="shared" si="136"/>
        <v>0.39150000000000029</v>
      </c>
      <c r="Y353" s="96">
        <f t="shared" si="147"/>
        <v>14</v>
      </c>
      <c r="Z353" s="96">
        <v>0.46</v>
      </c>
      <c r="AA353" s="272">
        <f t="shared" si="148"/>
        <v>14</v>
      </c>
      <c r="AB353" s="519">
        <f t="shared" si="149"/>
        <v>10.892605351684672</v>
      </c>
      <c r="AC353" s="272">
        <f t="shared" si="137"/>
        <v>10</v>
      </c>
      <c r="AD353" s="272">
        <f t="shared" si="138"/>
        <v>14.07732334913106</v>
      </c>
      <c r="AE353" s="272">
        <f t="shared" si="150"/>
        <v>11</v>
      </c>
      <c r="AF353" s="272">
        <f t="shared" si="139"/>
        <v>13.736301518659195</v>
      </c>
      <c r="AG353" s="272">
        <f t="shared" si="151"/>
        <v>12</v>
      </c>
      <c r="AH353" s="272">
        <f t="shared" si="140"/>
        <v>13.460941405914113</v>
      </c>
      <c r="AI353" s="272">
        <f t="shared" si="152"/>
        <v>13</v>
      </c>
      <c r="AJ353" s="272">
        <f t="shared" si="141"/>
        <v>13.234005804210256</v>
      </c>
      <c r="AK353" s="272">
        <f t="shared" si="153"/>
        <v>13</v>
      </c>
      <c r="AL353" s="272">
        <f t="shared" si="142"/>
        <v>13.234005804210256</v>
      </c>
      <c r="AM353" s="272">
        <f t="shared" si="154"/>
        <v>13</v>
      </c>
      <c r="AN353" s="272">
        <f t="shared" si="143"/>
        <v>13.234005804210256</v>
      </c>
      <c r="AO353" s="272">
        <f t="shared" si="155"/>
        <v>13</v>
      </c>
      <c r="AP353" s="272">
        <f t="shared" si="144"/>
        <v>13.234005804210256</v>
      </c>
      <c r="AQ353" s="272">
        <f t="shared" si="156"/>
        <v>13</v>
      </c>
      <c r="AR353" s="272">
        <f t="shared" si="145"/>
        <v>13.234005804210256</v>
      </c>
      <c r="AS353" s="272">
        <f t="shared" si="157"/>
        <v>13</v>
      </c>
      <c r="AT353" s="508">
        <f t="shared" si="146"/>
        <v>13.234005804210256</v>
      </c>
    </row>
    <row r="354" spans="1:46" ht="12.75" customHeight="1">
      <c r="A354" s="96">
        <f>IF(MAX($F$93:F354)=$G$88,$G$88,F354)</f>
        <v>2.9294626026050818</v>
      </c>
      <c r="B354" s="481">
        <v>262</v>
      </c>
      <c r="C354" s="96">
        <f t="shared" si="134"/>
        <v>0.39300000000000029</v>
      </c>
      <c r="D354" s="96">
        <f t="shared" si="159"/>
        <v>10.038053466980337</v>
      </c>
      <c r="E354" s="96">
        <f t="shared" si="160"/>
        <v>0.69081968675844374</v>
      </c>
      <c r="F354" s="96">
        <f t="shared" si="158"/>
        <v>2.9294626026050818</v>
      </c>
      <c r="G354" s="96">
        <f t="shared" si="161"/>
        <v>2.8134626026050817</v>
      </c>
      <c r="I354" s="96">
        <f t="shared" si="135"/>
        <v>1</v>
      </c>
      <c r="J354" s="96">
        <f t="shared" si="136"/>
        <v>0.39300000000000029</v>
      </c>
      <c r="Y354" s="96">
        <f t="shared" si="147"/>
        <v>14</v>
      </c>
      <c r="Z354" s="96">
        <v>0.45800000000000002</v>
      </c>
      <c r="AA354" s="272">
        <f t="shared" si="148"/>
        <v>14</v>
      </c>
      <c r="AB354" s="519">
        <f t="shared" si="149"/>
        <v>10.987944987779013</v>
      </c>
      <c r="AC354" s="272">
        <f t="shared" si="137"/>
        <v>10</v>
      </c>
      <c r="AD354" s="272">
        <f t="shared" si="138"/>
        <v>14.200537845751095</v>
      </c>
      <c r="AE354" s="272">
        <f t="shared" si="150"/>
        <v>11</v>
      </c>
      <c r="AF354" s="272">
        <f t="shared" si="139"/>
        <v>13.856531155719214</v>
      </c>
      <c r="AG354" s="272">
        <f t="shared" si="151"/>
        <v>12</v>
      </c>
      <c r="AH354" s="272">
        <f t="shared" si="140"/>
        <v>13.578760900304276</v>
      </c>
      <c r="AI354" s="272">
        <f t="shared" si="152"/>
        <v>13</v>
      </c>
      <c r="AJ354" s="272">
        <f t="shared" si="141"/>
        <v>13.349839000833745</v>
      </c>
      <c r="AK354" s="272">
        <f t="shared" si="153"/>
        <v>13</v>
      </c>
      <c r="AL354" s="272">
        <f t="shared" si="142"/>
        <v>13.349839000833745</v>
      </c>
      <c r="AM354" s="272">
        <f t="shared" si="154"/>
        <v>13</v>
      </c>
      <c r="AN354" s="272">
        <f t="shared" si="143"/>
        <v>13.349839000833745</v>
      </c>
      <c r="AO354" s="272">
        <f t="shared" si="155"/>
        <v>13</v>
      </c>
      <c r="AP354" s="272">
        <f t="shared" si="144"/>
        <v>13.349839000833745</v>
      </c>
      <c r="AQ354" s="272">
        <f t="shared" si="156"/>
        <v>13</v>
      </c>
      <c r="AR354" s="272">
        <f t="shared" si="145"/>
        <v>13.349839000833745</v>
      </c>
      <c r="AS354" s="272">
        <f t="shared" si="157"/>
        <v>13</v>
      </c>
      <c r="AT354" s="508">
        <f t="shared" si="146"/>
        <v>13.349839000833745</v>
      </c>
    </row>
    <row r="355" spans="1:46" ht="12.75" customHeight="1">
      <c r="A355" s="96">
        <f>IF(MAX($F$93:F355)=$G$88,$G$88,F355)</f>
        <v>2.9510069476224325</v>
      </c>
      <c r="B355" s="481">
        <v>263</v>
      </c>
      <c r="C355" s="96">
        <f t="shared" si="134"/>
        <v>0.39450000000000029</v>
      </c>
      <c r="D355" s="96">
        <f t="shared" si="159"/>
        <v>10.11482606283962</v>
      </c>
      <c r="E355" s="96">
        <f t="shared" si="160"/>
        <v>0.68451876361598885</v>
      </c>
      <c r="F355" s="96">
        <f t="shared" si="158"/>
        <v>2.9510069476224325</v>
      </c>
      <c r="G355" s="96">
        <f t="shared" si="161"/>
        <v>2.8350069476224324</v>
      </c>
      <c r="I355" s="96">
        <f t="shared" si="135"/>
        <v>1</v>
      </c>
      <c r="J355" s="96">
        <f t="shared" si="136"/>
        <v>0.39450000000000029</v>
      </c>
      <c r="Y355" s="96">
        <f t="shared" si="147"/>
        <v>14</v>
      </c>
      <c r="Z355" s="96">
        <v>0.45600000000000002</v>
      </c>
      <c r="AA355" s="272">
        <f t="shared" si="148"/>
        <v>14</v>
      </c>
      <c r="AB355" s="519">
        <f t="shared" si="149"/>
        <v>11.084541841799769</v>
      </c>
      <c r="AC355" s="272">
        <f t="shared" si="137"/>
        <v>11</v>
      </c>
      <c r="AD355" s="272">
        <f t="shared" si="138"/>
        <v>13.97834622839857</v>
      </c>
      <c r="AE355" s="272">
        <f t="shared" si="150"/>
        <v>12</v>
      </c>
      <c r="AF355" s="272">
        <f t="shared" si="139"/>
        <v>13.698134048415984</v>
      </c>
      <c r="AG355" s="272">
        <f t="shared" si="151"/>
        <v>13</v>
      </c>
      <c r="AH355" s="272">
        <f t="shared" si="140"/>
        <v>13.467199658408788</v>
      </c>
      <c r="AI355" s="272">
        <f t="shared" si="152"/>
        <v>13</v>
      </c>
      <c r="AJ355" s="272">
        <f t="shared" si="141"/>
        <v>13.467199658408788</v>
      </c>
      <c r="AK355" s="272">
        <f t="shared" si="153"/>
        <v>13</v>
      </c>
      <c r="AL355" s="272">
        <f t="shared" si="142"/>
        <v>13.467199658408788</v>
      </c>
      <c r="AM355" s="272">
        <f t="shared" si="154"/>
        <v>13</v>
      </c>
      <c r="AN355" s="272">
        <f t="shared" si="143"/>
        <v>13.467199658408788</v>
      </c>
      <c r="AO355" s="272">
        <f t="shared" si="155"/>
        <v>13</v>
      </c>
      <c r="AP355" s="272">
        <f t="shared" si="144"/>
        <v>13.467199658408788</v>
      </c>
      <c r="AQ355" s="272">
        <f t="shared" si="156"/>
        <v>13</v>
      </c>
      <c r="AR355" s="272">
        <f t="shared" si="145"/>
        <v>13.467199658408788</v>
      </c>
      <c r="AS355" s="272">
        <f t="shared" si="157"/>
        <v>13</v>
      </c>
      <c r="AT355" s="508">
        <f t="shared" si="146"/>
        <v>13.467199658408788</v>
      </c>
    </row>
    <row r="356" spans="1:46" ht="12.75" customHeight="1">
      <c r="A356" s="96">
        <f>IF(MAX($F$93:F356)=$G$88,$G$88,F356)</f>
        <v>2.9717595399471053</v>
      </c>
      <c r="B356" s="481">
        <v>264</v>
      </c>
      <c r="C356" s="96">
        <f t="shared" si="134"/>
        <v>0.3960000000000003</v>
      </c>
      <c r="D356" s="96">
        <f t="shared" si="159"/>
        <v>10.191891125730749</v>
      </c>
      <c r="E356" s="96">
        <f t="shared" si="160"/>
        <v>0.67817251412577617</v>
      </c>
      <c r="F356" s="96">
        <f t="shared" si="158"/>
        <v>2.9717595399471053</v>
      </c>
      <c r="G356" s="96">
        <f t="shared" si="161"/>
        <v>2.8557595399471052</v>
      </c>
      <c r="I356" s="96">
        <f t="shared" si="135"/>
        <v>1</v>
      </c>
      <c r="J356" s="96">
        <f t="shared" si="136"/>
        <v>0.3960000000000003</v>
      </c>
      <c r="Y356" s="96">
        <f t="shared" si="147"/>
        <v>14</v>
      </c>
      <c r="Z356" s="96">
        <v>0.45400000000000001</v>
      </c>
      <c r="AA356" s="272">
        <f t="shared" si="148"/>
        <v>14</v>
      </c>
      <c r="AB356" s="519">
        <f t="shared" si="149"/>
        <v>11.182418116092279</v>
      </c>
      <c r="AC356" s="272">
        <f t="shared" si="137"/>
        <v>11</v>
      </c>
      <c r="AD356" s="272">
        <f t="shared" si="138"/>
        <v>14.101774735334885</v>
      </c>
      <c r="AE356" s="272">
        <f t="shared" si="150"/>
        <v>12</v>
      </c>
      <c r="AF356" s="272">
        <f t="shared" si="139"/>
        <v>13.819088287621659</v>
      </c>
      <c r="AG356" s="272">
        <f t="shared" si="151"/>
        <v>13</v>
      </c>
      <c r="AH356" s="272">
        <f t="shared" si="140"/>
        <v>13.586114751746056</v>
      </c>
      <c r="AI356" s="272">
        <f t="shared" si="152"/>
        <v>13</v>
      </c>
      <c r="AJ356" s="272">
        <f t="shared" si="141"/>
        <v>13.586114751746056</v>
      </c>
      <c r="AK356" s="272">
        <f t="shared" si="153"/>
        <v>13</v>
      </c>
      <c r="AL356" s="272">
        <f t="shared" si="142"/>
        <v>13.586114751746056</v>
      </c>
      <c r="AM356" s="272">
        <f t="shared" si="154"/>
        <v>13</v>
      </c>
      <c r="AN356" s="272">
        <f t="shared" si="143"/>
        <v>13.586114751746056</v>
      </c>
      <c r="AO356" s="272">
        <f t="shared" si="155"/>
        <v>13</v>
      </c>
      <c r="AP356" s="272">
        <f t="shared" si="144"/>
        <v>13.586114751746056</v>
      </c>
      <c r="AQ356" s="272">
        <f t="shared" si="156"/>
        <v>13</v>
      </c>
      <c r="AR356" s="272">
        <f t="shared" si="145"/>
        <v>13.586114751746056</v>
      </c>
      <c r="AS356" s="272">
        <f t="shared" si="157"/>
        <v>13</v>
      </c>
      <c r="AT356" s="508">
        <f t="shared" si="146"/>
        <v>13.586114751746056</v>
      </c>
    </row>
    <row r="357" spans="1:46" ht="12.75" customHeight="1">
      <c r="A357" s="96">
        <f>IF(MAX($F$93:F357)=$G$88,$G$88,F357)</f>
        <v>2.9917054205251445</v>
      </c>
      <c r="B357" s="481">
        <v>265</v>
      </c>
      <c r="C357" s="96">
        <f t="shared" si="134"/>
        <v>0.3975000000000003</v>
      </c>
      <c r="D357" s="96">
        <f t="shared" si="159"/>
        <v>10.269248655653723</v>
      </c>
      <c r="E357" s="96">
        <f t="shared" si="160"/>
        <v>0.67178265130192982</v>
      </c>
      <c r="F357" s="96">
        <f t="shared" si="158"/>
        <v>2.9917054205251445</v>
      </c>
      <c r="G357" s="96">
        <f t="shared" si="161"/>
        <v>2.8757054205251444</v>
      </c>
      <c r="I357" s="96">
        <f t="shared" si="135"/>
        <v>1</v>
      </c>
      <c r="J357" s="96">
        <f t="shared" si="136"/>
        <v>0.3975000000000003</v>
      </c>
      <c r="Y357" s="96">
        <f t="shared" si="147"/>
        <v>14</v>
      </c>
      <c r="Z357" s="96">
        <v>0.45200000000000001</v>
      </c>
      <c r="AA357" s="272">
        <f t="shared" si="148"/>
        <v>14</v>
      </c>
      <c r="AB357" s="519">
        <f t="shared" si="149"/>
        <v>11.28159650528857</v>
      </c>
      <c r="AC357" s="272">
        <f t="shared" si="137"/>
        <v>11</v>
      </c>
      <c r="AD357" s="272">
        <f t="shared" si="138"/>
        <v>14.226845295972105</v>
      </c>
      <c r="AE357" s="272">
        <f t="shared" si="150"/>
        <v>12</v>
      </c>
      <c r="AF357" s="272">
        <f t="shared" si="139"/>
        <v>13.941651663655268</v>
      </c>
      <c r="AG357" s="272">
        <f t="shared" si="151"/>
        <v>13</v>
      </c>
      <c r="AH357" s="272">
        <f t="shared" si="140"/>
        <v>13.706611853761499</v>
      </c>
      <c r="AI357" s="272">
        <f t="shared" si="152"/>
        <v>13</v>
      </c>
      <c r="AJ357" s="272">
        <f t="shared" si="141"/>
        <v>13.706611853761499</v>
      </c>
      <c r="AK357" s="272">
        <f t="shared" si="153"/>
        <v>13</v>
      </c>
      <c r="AL357" s="272">
        <f t="shared" si="142"/>
        <v>13.706611853761499</v>
      </c>
      <c r="AM357" s="272">
        <f t="shared" si="154"/>
        <v>13</v>
      </c>
      <c r="AN357" s="272">
        <f t="shared" si="143"/>
        <v>13.706611853761499</v>
      </c>
      <c r="AO357" s="272">
        <f t="shared" si="155"/>
        <v>13</v>
      </c>
      <c r="AP357" s="272">
        <f t="shared" si="144"/>
        <v>13.706611853761499</v>
      </c>
      <c r="AQ357" s="272">
        <f t="shared" si="156"/>
        <v>13</v>
      </c>
      <c r="AR357" s="272">
        <f t="shared" si="145"/>
        <v>13.706611853761499</v>
      </c>
      <c r="AS357" s="272">
        <f t="shared" si="157"/>
        <v>13</v>
      </c>
      <c r="AT357" s="508">
        <f t="shared" si="146"/>
        <v>13.706611853761499</v>
      </c>
    </row>
    <row r="358" spans="1:46" ht="12.75" customHeight="1">
      <c r="A358" s="96">
        <f>IF(MAX($F$93:F358)=$G$88,$G$88,F358)</f>
        <v>3.0108303360743061</v>
      </c>
      <c r="B358" s="481">
        <v>266</v>
      </c>
      <c r="C358" s="96">
        <f t="shared" si="134"/>
        <v>0.3990000000000003</v>
      </c>
      <c r="D358" s="96">
        <f t="shared" si="159"/>
        <v>10.346898652608541</v>
      </c>
      <c r="E358" s="96">
        <f t="shared" si="160"/>
        <v>0.6653509194663827</v>
      </c>
      <c r="F358" s="96">
        <f t="shared" si="158"/>
        <v>3.0108303360743061</v>
      </c>
      <c r="G358" s="96">
        <f t="shared" si="161"/>
        <v>2.894830336074306</v>
      </c>
      <c r="I358" s="96">
        <f t="shared" si="135"/>
        <v>1</v>
      </c>
      <c r="J358" s="96">
        <f t="shared" si="136"/>
        <v>0.3990000000000003</v>
      </c>
      <c r="Y358" s="96">
        <f t="shared" si="147"/>
        <v>14</v>
      </c>
      <c r="Z358" s="96">
        <v>0.45</v>
      </c>
      <c r="AA358" s="272">
        <f t="shared" si="148"/>
        <v>14</v>
      </c>
      <c r="AB358" s="519">
        <f t="shared" si="149"/>
        <v>11.382100209464079</v>
      </c>
      <c r="AC358" s="272">
        <f t="shared" si="137"/>
        <v>11</v>
      </c>
      <c r="AD358" s="272">
        <f t="shared" si="138"/>
        <v>14.353587167152027</v>
      </c>
      <c r="AE358" s="272">
        <f t="shared" si="150"/>
        <v>12</v>
      </c>
      <c r="AF358" s="272">
        <f t="shared" si="139"/>
        <v>14.065852846871238</v>
      </c>
      <c r="AG358" s="272">
        <f t="shared" si="151"/>
        <v>13</v>
      </c>
      <c r="AH358" s="272">
        <f t="shared" si="140"/>
        <v>13.828719151461183</v>
      </c>
      <c r="AI358" s="272">
        <f t="shared" si="152"/>
        <v>13</v>
      </c>
      <c r="AJ358" s="272">
        <f t="shared" si="141"/>
        <v>13.828719151461183</v>
      </c>
      <c r="AK358" s="272">
        <f t="shared" si="153"/>
        <v>13</v>
      </c>
      <c r="AL358" s="272">
        <f t="shared" si="142"/>
        <v>13.828719151461183</v>
      </c>
      <c r="AM358" s="272">
        <f t="shared" si="154"/>
        <v>13</v>
      </c>
      <c r="AN358" s="272">
        <f t="shared" si="143"/>
        <v>13.828719151461183</v>
      </c>
      <c r="AO358" s="272">
        <f t="shared" si="155"/>
        <v>13</v>
      </c>
      <c r="AP358" s="272">
        <f t="shared" si="144"/>
        <v>13.828719151461183</v>
      </c>
      <c r="AQ358" s="272">
        <f t="shared" si="156"/>
        <v>13</v>
      </c>
      <c r="AR358" s="272">
        <f t="shared" si="145"/>
        <v>13.828719151461183</v>
      </c>
      <c r="AS358" s="272">
        <f t="shared" si="157"/>
        <v>13</v>
      </c>
      <c r="AT358" s="508">
        <f t="shared" si="146"/>
        <v>13.828719151461183</v>
      </c>
    </row>
    <row r="359" spans="1:46" ht="12.75" customHeight="1">
      <c r="A359" s="96">
        <f>IF(MAX($F$93:F359)=$G$88,$G$88,F359)</f>
        <v>3.029120755115029</v>
      </c>
      <c r="B359" s="481">
        <v>267</v>
      </c>
      <c r="C359" s="96">
        <f t="shared" si="134"/>
        <v>0.4005000000000003</v>
      </c>
      <c r="D359" s="96">
        <f t="shared" si="159"/>
        <v>10.424841116595205</v>
      </c>
      <c r="E359" s="96">
        <f t="shared" si="160"/>
        <v>0.65887909271875422</v>
      </c>
      <c r="F359" s="96">
        <f t="shared" si="158"/>
        <v>3.029120755115029</v>
      </c>
      <c r="G359" s="96">
        <f t="shared" si="161"/>
        <v>2.9131207551150289</v>
      </c>
      <c r="I359" s="96">
        <f t="shared" si="135"/>
        <v>1</v>
      </c>
      <c r="J359" s="96">
        <f t="shared" si="136"/>
        <v>0.4005000000000003</v>
      </c>
      <c r="Y359" s="96">
        <f t="shared" si="147"/>
        <v>14</v>
      </c>
      <c r="Z359" s="96">
        <v>0.44800000000000001</v>
      </c>
      <c r="AA359" s="272">
        <f t="shared" si="148"/>
        <v>14</v>
      </c>
      <c r="AB359" s="519">
        <f t="shared" si="149"/>
        <v>11.483952947706452</v>
      </c>
      <c r="AC359" s="272">
        <f t="shared" si="137"/>
        <v>11</v>
      </c>
      <c r="AD359" s="272">
        <f t="shared" si="138"/>
        <v>14.482030260225434</v>
      </c>
      <c r="AE359" s="272">
        <f t="shared" si="150"/>
        <v>12</v>
      </c>
      <c r="AF359" s="272">
        <f t="shared" si="139"/>
        <v>14.191721149012606</v>
      </c>
      <c r="AG359" s="272">
        <f t="shared" si="151"/>
        <v>13</v>
      </c>
      <c r="AH359" s="272">
        <f t="shared" si="140"/>
        <v>13.952465462426705</v>
      </c>
      <c r="AI359" s="272">
        <f t="shared" si="152"/>
        <v>13</v>
      </c>
      <c r="AJ359" s="272">
        <f t="shared" si="141"/>
        <v>13.952465462426705</v>
      </c>
      <c r="AK359" s="272">
        <f t="shared" si="153"/>
        <v>13</v>
      </c>
      <c r="AL359" s="272">
        <f t="shared" si="142"/>
        <v>13.952465462426705</v>
      </c>
      <c r="AM359" s="272">
        <f t="shared" si="154"/>
        <v>13</v>
      </c>
      <c r="AN359" s="272">
        <f t="shared" si="143"/>
        <v>13.952465462426705</v>
      </c>
      <c r="AO359" s="272">
        <f t="shared" si="155"/>
        <v>13</v>
      </c>
      <c r="AP359" s="272">
        <f t="shared" si="144"/>
        <v>13.952465462426705</v>
      </c>
      <c r="AQ359" s="272">
        <f t="shared" si="156"/>
        <v>13</v>
      </c>
      <c r="AR359" s="272">
        <f t="shared" si="145"/>
        <v>13.952465462426705</v>
      </c>
      <c r="AS359" s="272">
        <f t="shared" si="157"/>
        <v>13</v>
      </c>
      <c r="AT359" s="508">
        <f t="shared" si="146"/>
        <v>13.952465462426705</v>
      </c>
    </row>
    <row r="360" spans="1:46" ht="12.75" customHeight="1">
      <c r="A360" s="96">
        <f>IF(MAX($F$93:F360)=$G$88,$G$88,F360)</f>
        <v>3.0465638829059727</v>
      </c>
      <c r="B360" s="481">
        <v>268</v>
      </c>
      <c r="C360" s="96">
        <f t="shared" si="134"/>
        <v>0.4020000000000003</v>
      </c>
      <c r="D360" s="96">
        <f t="shared" si="159"/>
        <v>10.503076047613714</v>
      </c>
      <c r="E360" s="96">
        <f t="shared" si="160"/>
        <v>0.65236897337303257</v>
      </c>
      <c r="F360" s="96">
        <f t="shared" si="158"/>
        <v>3.0465638829059727</v>
      </c>
      <c r="G360" s="96">
        <f t="shared" si="161"/>
        <v>2.9305638829059726</v>
      </c>
      <c r="I360" s="96">
        <f t="shared" si="135"/>
        <v>1</v>
      </c>
      <c r="J360" s="96">
        <f t="shared" si="136"/>
        <v>0.4020000000000003</v>
      </c>
      <c r="Y360" s="96">
        <f t="shared" si="147"/>
        <v>15</v>
      </c>
      <c r="Z360" s="96">
        <v>0.44600000000000001</v>
      </c>
      <c r="AA360" s="272">
        <f t="shared" si="148"/>
        <v>15</v>
      </c>
      <c r="AB360" s="519">
        <f t="shared" si="149"/>
        <v>11.587178972111227</v>
      </c>
      <c r="AC360" s="272">
        <f t="shared" si="137"/>
        <v>11</v>
      </c>
      <c r="AD360" s="272">
        <f t="shared" si="138"/>
        <v>14.612205158701588</v>
      </c>
      <c r="AE360" s="272">
        <f t="shared" si="150"/>
        <v>12</v>
      </c>
      <c r="AF360" s="272">
        <f t="shared" si="139"/>
        <v>14.319286540506674</v>
      </c>
      <c r="AG360" s="272">
        <f t="shared" si="151"/>
        <v>13</v>
      </c>
      <c r="AH360" s="272">
        <f t="shared" si="140"/>
        <v>14.077880251819309</v>
      </c>
      <c r="AI360" s="272">
        <f t="shared" si="152"/>
        <v>14</v>
      </c>
      <c r="AJ360" s="272">
        <f t="shared" si="141"/>
        <v>13.875535124992521</v>
      </c>
      <c r="AK360" s="272">
        <f t="shared" si="153"/>
        <v>13</v>
      </c>
      <c r="AL360" s="272">
        <f t="shared" si="142"/>
        <v>14.077880251819309</v>
      </c>
      <c r="AM360" s="272">
        <f t="shared" si="154"/>
        <v>14</v>
      </c>
      <c r="AN360" s="272">
        <f t="shared" si="143"/>
        <v>13.875535124992521</v>
      </c>
      <c r="AO360" s="272">
        <f t="shared" si="155"/>
        <v>13</v>
      </c>
      <c r="AP360" s="272">
        <f t="shared" si="144"/>
        <v>14.077880251819309</v>
      </c>
      <c r="AQ360" s="272">
        <f t="shared" si="156"/>
        <v>14</v>
      </c>
      <c r="AR360" s="272">
        <f t="shared" si="145"/>
        <v>13.875535124992521</v>
      </c>
      <c r="AS360" s="272">
        <f t="shared" si="157"/>
        <v>13</v>
      </c>
      <c r="AT360" s="508">
        <f t="shared" si="146"/>
        <v>14.077880251819309</v>
      </c>
    </row>
    <row r="361" spans="1:46" ht="12.75" customHeight="1">
      <c r="A361" s="96">
        <f>IF(MAX($F$93:F361)=$G$88,$G$88,F361)</f>
        <v>3.0631476752633553</v>
      </c>
      <c r="B361" s="481">
        <v>269</v>
      </c>
      <c r="C361" s="96">
        <f t="shared" ref="C361:C424" si="162">C360+$C$88</f>
        <v>0.4035000000000003</v>
      </c>
      <c r="D361" s="96">
        <f t="shared" si="159"/>
        <v>10.581603445664067</v>
      </c>
      <c r="E361" s="96">
        <f t="shared" si="160"/>
        <v>0.64582239036344291</v>
      </c>
      <c r="F361" s="96">
        <f t="shared" si="158"/>
        <v>3.0631476752633553</v>
      </c>
      <c r="G361" s="96">
        <f t="shared" si="161"/>
        <v>2.9471476752633552</v>
      </c>
      <c r="I361" s="96">
        <f t="shared" si="135"/>
        <v>1</v>
      </c>
      <c r="J361" s="96">
        <f t="shared" si="136"/>
        <v>0.4035000000000003</v>
      </c>
      <c r="Y361" s="96">
        <f t="shared" si="147"/>
        <v>15</v>
      </c>
      <c r="Z361" s="96">
        <v>0.44400000000000001</v>
      </c>
      <c r="AA361" s="272">
        <f t="shared" si="148"/>
        <v>15</v>
      </c>
      <c r="AB361" s="519">
        <f t="shared" si="149"/>
        <v>11.691803082219769</v>
      </c>
      <c r="AC361" s="272">
        <f t="shared" si="137"/>
        <v>11</v>
      </c>
      <c r="AD361" s="272">
        <f t="shared" si="138"/>
        <v>14.744143136455467</v>
      </c>
      <c r="AE361" s="272">
        <f t="shared" si="150"/>
        <v>12</v>
      </c>
      <c r="AF361" s="272">
        <f t="shared" si="139"/>
        <v>14.448579668307293</v>
      </c>
      <c r="AG361" s="272">
        <f t="shared" si="151"/>
        <v>13</v>
      </c>
      <c r="AH361" s="272">
        <f t="shared" si="140"/>
        <v>14.204993649921324</v>
      </c>
      <c r="AI361" s="272">
        <f t="shared" si="152"/>
        <v>14</v>
      </c>
      <c r="AJ361" s="272">
        <f t="shared" si="141"/>
        <v>14.000821488327915</v>
      </c>
      <c r="AK361" s="272">
        <f t="shared" si="153"/>
        <v>14</v>
      </c>
      <c r="AL361" s="272">
        <f t="shared" si="142"/>
        <v>14.000821488327915</v>
      </c>
      <c r="AM361" s="272">
        <f t="shared" si="154"/>
        <v>14</v>
      </c>
      <c r="AN361" s="272">
        <f t="shared" si="143"/>
        <v>14.000821488327915</v>
      </c>
      <c r="AO361" s="272">
        <f t="shared" si="155"/>
        <v>14</v>
      </c>
      <c r="AP361" s="272">
        <f t="shared" si="144"/>
        <v>14.000821488327915</v>
      </c>
      <c r="AQ361" s="272">
        <f t="shared" si="156"/>
        <v>14</v>
      </c>
      <c r="AR361" s="272">
        <f t="shared" si="145"/>
        <v>14.000821488327915</v>
      </c>
      <c r="AS361" s="272">
        <f t="shared" si="157"/>
        <v>14</v>
      </c>
      <c r="AT361" s="508">
        <f t="shared" si="146"/>
        <v>14.000821488327915</v>
      </c>
    </row>
    <row r="362" spans="1:46" ht="12.75" customHeight="1">
      <c r="A362" s="96">
        <f>IF(MAX($F$93:F362)=$G$88,$G$88,F362)</f>
        <v>3.0788608512488103</v>
      </c>
      <c r="B362" s="481">
        <v>270</v>
      </c>
      <c r="C362" s="96">
        <f t="shared" si="162"/>
        <v>0.4050000000000003</v>
      </c>
      <c r="D362" s="96">
        <f t="shared" si="159"/>
        <v>10.660423310746264</v>
      </c>
      <c r="E362" s="96">
        <f t="shared" si="160"/>
        <v>0.6392411976219039</v>
      </c>
      <c r="F362" s="96">
        <f t="shared" si="158"/>
        <v>3.0788608512488103</v>
      </c>
      <c r="G362" s="96">
        <f t="shared" si="161"/>
        <v>2.9628608512488102</v>
      </c>
      <c r="I362" s="96">
        <f t="shared" si="135"/>
        <v>1</v>
      </c>
      <c r="J362" s="96">
        <f t="shared" si="136"/>
        <v>0.4050000000000003</v>
      </c>
      <c r="Y362" s="96">
        <f t="shared" si="147"/>
        <v>15</v>
      </c>
      <c r="Z362" s="96">
        <v>0.442</v>
      </c>
      <c r="AA362" s="272">
        <f t="shared" si="148"/>
        <v>15</v>
      </c>
      <c r="AB362" s="519">
        <f t="shared" si="149"/>
        <v>11.797850639915628</v>
      </c>
      <c r="AC362" s="272">
        <f t="shared" si="137"/>
        <v>11</v>
      </c>
      <c r="AD362" s="272">
        <f t="shared" si="138"/>
        <v>14.877876176512999</v>
      </c>
      <c r="AE362" s="272">
        <f t="shared" si="150"/>
        <v>12</v>
      </c>
      <c r="AF362" s="272">
        <f t="shared" si="139"/>
        <v>14.579631874303487</v>
      </c>
      <c r="AG362" s="272">
        <f t="shared" si="151"/>
        <v>13</v>
      </c>
      <c r="AH362" s="272">
        <f t="shared" si="140"/>
        <v>14.333836470234484</v>
      </c>
      <c r="AI362" s="272">
        <f t="shared" si="152"/>
        <v>14</v>
      </c>
      <c r="AJ362" s="272">
        <f t="shared" si="141"/>
        <v>14.127812416427858</v>
      </c>
      <c r="AK362" s="272">
        <f t="shared" si="153"/>
        <v>14</v>
      </c>
      <c r="AL362" s="272">
        <f t="shared" si="142"/>
        <v>14.127812416427858</v>
      </c>
      <c r="AM362" s="272">
        <f t="shared" si="154"/>
        <v>14</v>
      </c>
      <c r="AN362" s="272">
        <f t="shared" si="143"/>
        <v>14.127812416427858</v>
      </c>
      <c r="AO362" s="272">
        <f t="shared" si="155"/>
        <v>14</v>
      </c>
      <c r="AP362" s="272">
        <f t="shared" si="144"/>
        <v>14.127812416427858</v>
      </c>
      <c r="AQ362" s="272">
        <f t="shared" si="156"/>
        <v>14</v>
      </c>
      <c r="AR362" s="272">
        <f t="shared" si="145"/>
        <v>14.127812416427858</v>
      </c>
      <c r="AS362" s="272">
        <f t="shared" si="157"/>
        <v>14</v>
      </c>
      <c r="AT362" s="508">
        <f t="shared" si="146"/>
        <v>14.127812416427858</v>
      </c>
    </row>
    <row r="363" spans="1:46" ht="12.75" customHeight="1">
      <c r="A363" s="96">
        <f>IF(MAX($F$93:F363)=$G$88,$G$88,F363)</f>
        <v>3.0936929047057427</v>
      </c>
      <c r="B363" s="481">
        <v>271</v>
      </c>
      <c r="C363" s="96">
        <f t="shared" si="162"/>
        <v>0.40650000000000031</v>
      </c>
      <c r="D363" s="96">
        <f t="shared" si="159"/>
        <v>10.739535642860307</v>
      </c>
      <c r="E363" s="96">
        <f t="shared" si="160"/>
        <v>0.63262727242951944</v>
      </c>
      <c r="F363" s="96">
        <f t="shared" si="158"/>
        <v>3.0936929047057427</v>
      </c>
      <c r="G363" s="96">
        <f t="shared" si="161"/>
        <v>2.9776929047057425</v>
      </c>
      <c r="I363" s="96">
        <f t="shared" si="135"/>
        <v>1</v>
      </c>
      <c r="J363" s="96">
        <f t="shared" si="136"/>
        <v>0.40650000000000031</v>
      </c>
      <c r="Y363" s="96">
        <f t="shared" si="147"/>
        <v>15</v>
      </c>
      <c r="Z363" s="96">
        <v>0.44</v>
      </c>
      <c r="AA363" s="272">
        <f t="shared" si="148"/>
        <v>15</v>
      </c>
      <c r="AB363" s="519">
        <f t="shared" si="149"/>
        <v>11.905347584795848</v>
      </c>
      <c r="AC363" s="272">
        <f t="shared" si="137"/>
        <v>11</v>
      </c>
      <c r="AD363" s="272">
        <f t="shared" si="138"/>
        <v>15.013436990435361</v>
      </c>
      <c r="AE363" s="272">
        <f t="shared" si="150"/>
        <v>12</v>
      </c>
      <c r="AF363" s="272">
        <f t="shared" si="139"/>
        <v>14.712475214315218</v>
      </c>
      <c r="AG363" s="272">
        <f t="shared" si="151"/>
        <v>13</v>
      </c>
      <c r="AH363" s="272">
        <f t="shared" si="140"/>
        <v>14.464440228155425</v>
      </c>
      <c r="AI363" s="272">
        <f t="shared" si="152"/>
        <v>14</v>
      </c>
      <c r="AJ363" s="272">
        <f t="shared" si="141"/>
        <v>14.256538971709773</v>
      </c>
      <c r="AK363" s="272">
        <f t="shared" si="153"/>
        <v>14</v>
      </c>
      <c r="AL363" s="272">
        <f t="shared" si="142"/>
        <v>14.256538971709773</v>
      </c>
      <c r="AM363" s="272">
        <f t="shared" si="154"/>
        <v>14</v>
      </c>
      <c r="AN363" s="272">
        <f t="shared" si="143"/>
        <v>14.256538971709773</v>
      </c>
      <c r="AO363" s="272">
        <f t="shared" si="155"/>
        <v>14</v>
      </c>
      <c r="AP363" s="272">
        <f t="shared" si="144"/>
        <v>14.256538971709773</v>
      </c>
      <c r="AQ363" s="272">
        <f t="shared" si="156"/>
        <v>14</v>
      </c>
      <c r="AR363" s="272">
        <f t="shared" si="145"/>
        <v>14.256538971709773</v>
      </c>
      <c r="AS363" s="272">
        <f t="shared" si="157"/>
        <v>14</v>
      </c>
      <c r="AT363" s="508">
        <f t="shared" si="146"/>
        <v>14.256538971709773</v>
      </c>
    </row>
    <row r="364" spans="1:46" ht="12.75" customHeight="1">
      <c r="A364" s="96">
        <f>IF(MAX($F$93:F364)=$G$88,$G$88,F364)</f>
        <v>3.1076410297148951</v>
      </c>
      <c r="B364" s="481">
        <v>272</v>
      </c>
      <c r="C364" s="96">
        <f t="shared" si="162"/>
        <v>0.40800000000000031</v>
      </c>
      <c r="D364" s="96">
        <f t="shared" si="159"/>
        <v>10.818940442006195</v>
      </c>
      <c r="E364" s="96">
        <f t="shared" si="160"/>
        <v>0.62598251374459357</v>
      </c>
      <c r="F364" s="96">
        <f t="shared" si="158"/>
        <v>3.1076410297148951</v>
      </c>
      <c r="G364" s="96">
        <f t="shared" si="161"/>
        <v>2.991641029714895</v>
      </c>
      <c r="I364" s="96">
        <f t="shared" ref="I364:I427" si="163">IF(F364&gt;$G$87,1,0)</f>
        <v>1</v>
      </c>
      <c r="J364" s="96">
        <f t="shared" ref="J364:J427" si="164">C364</f>
        <v>0.40800000000000031</v>
      </c>
      <c r="Y364" s="96">
        <f t="shared" si="147"/>
        <v>15</v>
      </c>
      <c r="Z364" s="96">
        <v>0.438</v>
      </c>
      <c r="AA364" s="272">
        <f t="shared" si="148"/>
        <v>15</v>
      </c>
      <c r="AB364" s="519">
        <f t="shared" si="149"/>
        <v>12.014320450034802</v>
      </c>
      <c r="AC364" s="272">
        <f t="shared" si="137"/>
        <v>12</v>
      </c>
      <c r="AD364" s="272">
        <f t="shared" si="138"/>
        <v>14.847142477697641</v>
      </c>
      <c r="AE364" s="272">
        <f t="shared" si="150"/>
        <v>13</v>
      </c>
      <c r="AF364" s="272">
        <f t="shared" si="139"/>
        <v>14.596837160249418</v>
      </c>
      <c r="AG364" s="272">
        <f t="shared" si="151"/>
        <v>14</v>
      </c>
      <c r="AH364" s="272">
        <f t="shared" si="140"/>
        <v>14.387032927394193</v>
      </c>
      <c r="AI364" s="272">
        <f t="shared" si="152"/>
        <v>14</v>
      </c>
      <c r="AJ364" s="272">
        <f t="shared" si="141"/>
        <v>14.387032927394193</v>
      </c>
      <c r="AK364" s="272">
        <f t="shared" si="153"/>
        <v>14</v>
      </c>
      <c r="AL364" s="272">
        <f t="shared" si="142"/>
        <v>14.387032927394193</v>
      </c>
      <c r="AM364" s="272">
        <f t="shared" si="154"/>
        <v>14</v>
      </c>
      <c r="AN364" s="272">
        <f t="shared" si="143"/>
        <v>14.387032927394193</v>
      </c>
      <c r="AO364" s="272">
        <f t="shared" si="155"/>
        <v>14</v>
      </c>
      <c r="AP364" s="272">
        <f t="shared" si="144"/>
        <v>14.387032927394193</v>
      </c>
      <c r="AQ364" s="272">
        <f t="shared" si="156"/>
        <v>14</v>
      </c>
      <c r="AR364" s="272">
        <f t="shared" si="145"/>
        <v>14.387032927394193</v>
      </c>
      <c r="AS364" s="272">
        <f t="shared" si="157"/>
        <v>14</v>
      </c>
      <c r="AT364" s="508">
        <f t="shared" si="146"/>
        <v>14.387032927394193</v>
      </c>
    </row>
    <row r="365" spans="1:46" ht="12.75" customHeight="1">
      <c r="A365" s="96">
        <f>IF(MAX($F$93:F365)=$G$88,$G$88,F365)</f>
        <v>3.1206833865949317</v>
      </c>
      <c r="B365" s="481">
        <v>273</v>
      </c>
      <c r="C365" s="96">
        <f t="shared" si="162"/>
        <v>0.40950000000000031</v>
      </c>
      <c r="D365" s="96">
        <f t="shared" si="159"/>
        <v>10.898637708183928</v>
      </c>
      <c r="E365" s="96">
        <f t="shared" si="160"/>
        <v>0.61930881087359846</v>
      </c>
      <c r="F365" s="96">
        <f t="shared" si="158"/>
        <v>3.1206833865949317</v>
      </c>
      <c r="G365" s="96">
        <f t="shared" si="161"/>
        <v>3.0046833865949316</v>
      </c>
      <c r="I365" s="96">
        <f t="shared" si="163"/>
        <v>1</v>
      </c>
      <c r="J365" s="96">
        <f t="shared" si="164"/>
        <v>0.40950000000000031</v>
      </c>
      <c r="Y365" s="96">
        <f t="shared" si="147"/>
        <v>15</v>
      </c>
      <c r="Z365" s="96">
        <v>0.436</v>
      </c>
      <c r="AA365" s="272">
        <f t="shared" si="148"/>
        <v>15</v>
      </c>
      <c r="AB365" s="519">
        <f t="shared" si="149"/>
        <v>12.124796378758502</v>
      </c>
      <c r="AC365" s="272">
        <f t="shared" si="137"/>
        <v>12</v>
      </c>
      <c r="AD365" s="272">
        <f t="shared" si="138"/>
        <v>14.98366720757631</v>
      </c>
      <c r="AE365" s="272">
        <f t="shared" si="150"/>
        <v>13</v>
      </c>
      <c r="AF365" s="272">
        <f t="shared" si="139"/>
        <v>14.731060244144482</v>
      </c>
      <c r="AG365" s="272">
        <f t="shared" si="151"/>
        <v>14</v>
      </c>
      <c r="AH365" s="272">
        <f t="shared" si="140"/>
        <v>14.519326787112888</v>
      </c>
      <c r="AI365" s="272">
        <f t="shared" si="152"/>
        <v>14</v>
      </c>
      <c r="AJ365" s="272">
        <f t="shared" si="141"/>
        <v>14.519326787112888</v>
      </c>
      <c r="AK365" s="272">
        <f t="shared" si="153"/>
        <v>14</v>
      </c>
      <c r="AL365" s="272">
        <f t="shared" si="142"/>
        <v>14.519326787112888</v>
      </c>
      <c r="AM365" s="272">
        <f t="shared" si="154"/>
        <v>14</v>
      </c>
      <c r="AN365" s="272">
        <f t="shared" si="143"/>
        <v>14.519326787112888</v>
      </c>
      <c r="AO365" s="272">
        <f t="shared" si="155"/>
        <v>14</v>
      </c>
      <c r="AP365" s="272">
        <f t="shared" si="144"/>
        <v>14.519326787112888</v>
      </c>
      <c r="AQ365" s="272">
        <f t="shared" si="156"/>
        <v>14</v>
      </c>
      <c r="AR365" s="272">
        <f t="shared" si="145"/>
        <v>14.519326787112888</v>
      </c>
      <c r="AS365" s="272">
        <f t="shared" si="157"/>
        <v>14</v>
      </c>
      <c r="AT365" s="508">
        <f t="shared" si="146"/>
        <v>14.519326787112888</v>
      </c>
    </row>
    <row r="366" spans="1:46" ht="12.75" customHeight="1">
      <c r="A366" s="96">
        <f>IF(MAX($F$93:F366)=$G$88,$G$88,F366)</f>
        <v>3.1328110489791334</v>
      </c>
      <c r="B366" s="481">
        <v>274</v>
      </c>
      <c r="C366" s="96">
        <f t="shared" si="162"/>
        <v>0.41100000000000031</v>
      </c>
      <c r="D366" s="96">
        <f t="shared" si="159"/>
        <v>10.978627441393506</v>
      </c>
      <c r="E366" s="96">
        <f t="shared" si="160"/>
        <v>0.61260815637347243</v>
      </c>
      <c r="F366" s="96">
        <f t="shared" si="158"/>
        <v>3.1328110489791334</v>
      </c>
      <c r="G366" s="96">
        <f t="shared" si="161"/>
        <v>3.0168110489791333</v>
      </c>
      <c r="I366" s="96">
        <f t="shared" si="163"/>
        <v>1</v>
      </c>
      <c r="J366" s="96">
        <f t="shared" si="164"/>
        <v>0.41100000000000031</v>
      </c>
      <c r="Y366" s="96">
        <f t="shared" si="147"/>
        <v>15</v>
      </c>
      <c r="Z366" s="96">
        <v>0.434</v>
      </c>
      <c r="AA366" s="272">
        <f t="shared" si="148"/>
        <v>15</v>
      </c>
      <c r="AB366" s="519">
        <f t="shared" si="149"/>
        <v>12.236803140948398</v>
      </c>
      <c r="AC366" s="272">
        <f t="shared" si="137"/>
        <v>12</v>
      </c>
      <c r="AD366" s="272">
        <f t="shared" si="138"/>
        <v>15.122083721736638</v>
      </c>
      <c r="AE366" s="272">
        <f t="shared" si="150"/>
        <v>13</v>
      </c>
      <c r="AF366" s="272">
        <f t="shared" si="139"/>
        <v>14.867143219068625</v>
      </c>
      <c r="AG366" s="272">
        <f t="shared" si="151"/>
        <v>14</v>
      </c>
      <c r="AH366" s="272">
        <f t="shared" si="140"/>
        <v>14.653453805150946</v>
      </c>
      <c r="AI366" s="272">
        <f t="shared" si="152"/>
        <v>14</v>
      </c>
      <c r="AJ366" s="272">
        <f t="shared" si="141"/>
        <v>14.653453805150946</v>
      </c>
      <c r="AK366" s="272">
        <f t="shared" si="153"/>
        <v>14</v>
      </c>
      <c r="AL366" s="272">
        <f t="shared" si="142"/>
        <v>14.653453805150946</v>
      </c>
      <c r="AM366" s="272">
        <f t="shared" si="154"/>
        <v>14</v>
      </c>
      <c r="AN366" s="272">
        <f t="shared" si="143"/>
        <v>14.653453805150946</v>
      </c>
      <c r="AO366" s="272">
        <f t="shared" si="155"/>
        <v>14</v>
      </c>
      <c r="AP366" s="272">
        <f t="shared" si="144"/>
        <v>14.653453805150946</v>
      </c>
      <c r="AQ366" s="272">
        <f t="shared" si="156"/>
        <v>14</v>
      </c>
      <c r="AR366" s="272">
        <f t="shared" si="145"/>
        <v>14.653453805150946</v>
      </c>
      <c r="AS366" s="272">
        <f t="shared" si="157"/>
        <v>14</v>
      </c>
      <c r="AT366" s="508">
        <f t="shared" si="146"/>
        <v>14.653453805150946</v>
      </c>
    </row>
    <row r="367" spans="1:46" ht="12.75" customHeight="1">
      <c r="A367" s="96">
        <f>IF(MAX($F$93:F367)=$G$88,$G$88,F367)</f>
        <v>3.1440296284054425</v>
      </c>
      <c r="B367" s="481">
        <v>275</v>
      </c>
      <c r="C367" s="96">
        <f t="shared" si="162"/>
        <v>0.41250000000000031</v>
      </c>
      <c r="D367" s="96">
        <f t="shared" si="159"/>
        <v>11.058909641634928</v>
      </c>
      <c r="E367" s="96">
        <f t="shared" si="160"/>
        <v>0.60588247780654503</v>
      </c>
      <c r="F367" s="96">
        <f t="shared" si="158"/>
        <v>3.1440296284054425</v>
      </c>
      <c r="G367" s="96">
        <f t="shared" si="161"/>
        <v>3.0280296284054424</v>
      </c>
      <c r="I367" s="96">
        <f t="shared" si="163"/>
        <v>1</v>
      </c>
      <c r="J367" s="96">
        <f t="shared" si="164"/>
        <v>0.41250000000000031</v>
      </c>
      <c r="Y367" s="96">
        <f t="shared" si="147"/>
        <v>15</v>
      </c>
      <c r="Z367" s="96">
        <v>0.432</v>
      </c>
      <c r="AA367" s="272">
        <f t="shared" si="148"/>
        <v>15</v>
      </c>
      <c r="AB367" s="519">
        <f t="shared" si="149"/>
        <v>12.350369150894185</v>
      </c>
      <c r="AC367" s="272">
        <f t="shared" si="137"/>
        <v>12</v>
      </c>
      <c r="AD367" s="272">
        <f t="shared" si="138"/>
        <v>15.262427134191881</v>
      </c>
      <c r="AE367" s="272">
        <f t="shared" si="150"/>
        <v>13</v>
      </c>
      <c r="AF367" s="272">
        <f t="shared" si="139"/>
        <v>15.005120607054238</v>
      </c>
      <c r="AG367" s="272">
        <f t="shared" si="151"/>
        <v>14</v>
      </c>
      <c r="AH367" s="272">
        <f t="shared" si="140"/>
        <v>14.789448007346385</v>
      </c>
      <c r="AI367" s="272">
        <f t="shared" si="152"/>
        <v>14</v>
      </c>
      <c r="AJ367" s="272">
        <f t="shared" si="141"/>
        <v>14.789448007346385</v>
      </c>
      <c r="AK367" s="272">
        <f t="shared" si="153"/>
        <v>14</v>
      </c>
      <c r="AL367" s="272">
        <f t="shared" si="142"/>
        <v>14.789448007346385</v>
      </c>
      <c r="AM367" s="272">
        <f t="shared" si="154"/>
        <v>14</v>
      </c>
      <c r="AN367" s="272">
        <f t="shared" si="143"/>
        <v>14.789448007346385</v>
      </c>
      <c r="AO367" s="272">
        <f t="shared" si="155"/>
        <v>14</v>
      </c>
      <c r="AP367" s="272">
        <f t="shared" si="144"/>
        <v>14.789448007346385</v>
      </c>
      <c r="AQ367" s="272">
        <f t="shared" si="156"/>
        <v>14</v>
      </c>
      <c r="AR367" s="272">
        <f t="shared" si="145"/>
        <v>14.789448007346385</v>
      </c>
      <c r="AS367" s="272">
        <f t="shared" si="157"/>
        <v>14</v>
      </c>
      <c r="AT367" s="508">
        <f t="shared" si="146"/>
        <v>14.789448007346385</v>
      </c>
    </row>
    <row r="368" spans="1:46" ht="12.75" customHeight="1">
      <c r="A368" s="96">
        <f>IF(MAX($F$93:F368)=$G$88,$G$88,F368)</f>
        <v>3.1543265267216953</v>
      </c>
      <c r="B368" s="481">
        <v>276</v>
      </c>
      <c r="C368" s="96">
        <f t="shared" si="162"/>
        <v>0.41400000000000031</v>
      </c>
      <c r="D368" s="96">
        <f t="shared" si="159"/>
        <v>11.139484308908196</v>
      </c>
      <c r="E368" s="96">
        <f t="shared" si="160"/>
        <v>0.59913374368030625</v>
      </c>
      <c r="F368" s="96">
        <f t="shared" si="158"/>
        <v>3.1543265267216953</v>
      </c>
      <c r="G368" s="96">
        <f t="shared" si="161"/>
        <v>3.0383265267216952</v>
      </c>
      <c r="I368" s="96">
        <f t="shared" si="163"/>
        <v>1</v>
      </c>
      <c r="J368" s="96">
        <f t="shared" si="164"/>
        <v>0.41400000000000031</v>
      </c>
      <c r="Y368" s="96">
        <f t="shared" si="147"/>
        <v>15</v>
      </c>
      <c r="Z368" s="96">
        <v>0.43</v>
      </c>
      <c r="AA368" s="272">
        <f t="shared" si="148"/>
        <v>15</v>
      </c>
      <c r="AB368" s="519">
        <f t="shared" si="149"/>
        <v>12.465523485216206</v>
      </c>
      <c r="AC368" s="272">
        <f t="shared" si="137"/>
        <v>12</v>
      </c>
      <c r="AD368" s="272">
        <f t="shared" si="138"/>
        <v>15.404733377454983</v>
      </c>
      <c r="AE368" s="272">
        <f t="shared" si="150"/>
        <v>13</v>
      </c>
      <c r="AF368" s="272">
        <f t="shared" si="139"/>
        <v>15.14502773483445</v>
      </c>
      <c r="AG368" s="272">
        <f t="shared" si="151"/>
        <v>14</v>
      </c>
      <c r="AH368" s="272">
        <f t="shared" si="140"/>
        <v>14.92734421267178</v>
      </c>
      <c r="AI368" s="272">
        <f t="shared" si="152"/>
        <v>14</v>
      </c>
      <c r="AJ368" s="272">
        <f t="shared" si="141"/>
        <v>14.92734421267178</v>
      </c>
      <c r="AK368" s="272">
        <f t="shared" si="153"/>
        <v>14</v>
      </c>
      <c r="AL368" s="272">
        <f t="shared" si="142"/>
        <v>14.92734421267178</v>
      </c>
      <c r="AM368" s="272">
        <f t="shared" si="154"/>
        <v>14</v>
      </c>
      <c r="AN368" s="272">
        <f t="shared" si="143"/>
        <v>14.92734421267178</v>
      </c>
      <c r="AO368" s="272">
        <f t="shared" si="155"/>
        <v>14</v>
      </c>
      <c r="AP368" s="272">
        <f t="shared" si="144"/>
        <v>14.92734421267178</v>
      </c>
      <c r="AQ368" s="272">
        <f t="shared" si="156"/>
        <v>14</v>
      </c>
      <c r="AR368" s="272">
        <f t="shared" si="145"/>
        <v>14.92734421267178</v>
      </c>
      <c r="AS368" s="272">
        <f t="shared" si="157"/>
        <v>14</v>
      </c>
      <c r="AT368" s="508">
        <f t="shared" si="146"/>
        <v>14.92734421267178</v>
      </c>
    </row>
    <row r="369" spans="1:46" ht="12.75" customHeight="1">
      <c r="A369" s="96">
        <f>IF(MAX($F$93:F369)=$G$88,$G$88,F369)</f>
        <v>3.1636960661191553</v>
      </c>
      <c r="B369" s="481">
        <v>277</v>
      </c>
      <c r="C369" s="96">
        <f t="shared" si="162"/>
        <v>0.41550000000000031</v>
      </c>
      <c r="D369" s="96">
        <f t="shared" si="159"/>
        <v>11.220351443213309</v>
      </c>
      <c r="E369" s="96">
        <f t="shared" si="160"/>
        <v>0.59236393554916633</v>
      </c>
      <c r="F369" s="96">
        <f t="shared" si="158"/>
        <v>3.1636960661191553</v>
      </c>
      <c r="G369" s="96">
        <f t="shared" si="161"/>
        <v>3.0476960661191552</v>
      </c>
      <c r="I369" s="96">
        <f t="shared" si="163"/>
        <v>1</v>
      </c>
      <c r="J369" s="96">
        <f t="shared" si="164"/>
        <v>0.41550000000000031</v>
      </c>
      <c r="Y369" s="96">
        <f t="shared" si="147"/>
        <v>16</v>
      </c>
      <c r="Z369" s="96">
        <v>0.42799999999999999</v>
      </c>
      <c r="AA369" s="272">
        <f t="shared" si="148"/>
        <v>16</v>
      </c>
      <c r="AB369" s="519">
        <f t="shared" si="149"/>
        <v>12.582295901478712</v>
      </c>
      <c r="AC369" s="272">
        <f t="shared" si="137"/>
        <v>12</v>
      </c>
      <c r="AD369" s="272">
        <f t="shared" si="138"/>
        <v>15.549039225540584</v>
      </c>
      <c r="AE369" s="272">
        <f t="shared" si="150"/>
        <v>13</v>
      </c>
      <c r="AF369" s="272">
        <f t="shared" si="139"/>
        <v>15.286900756457387</v>
      </c>
      <c r="AG369" s="272">
        <f t="shared" si="151"/>
        <v>14</v>
      </c>
      <c r="AH369" s="272">
        <f t="shared" si="140"/>
        <v>15.067178055523474</v>
      </c>
      <c r="AI369" s="272">
        <f t="shared" si="152"/>
        <v>15</v>
      </c>
      <c r="AJ369" s="272">
        <f t="shared" si="141"/>
        <v>14.880373143287297</v>
      </c>
      <c r="AK369" s="272">
        <f t="shared" si="153"/>
        <v>14</v>
      </c>
      <c r="AL369" s="272">
        <f t="shared" si="142"/>
        <v>15.067178055523474</v>
      </c>
      <c r="AM369" s="272">
        <f t="shared" si="154"/>
        <v>15</v>
      </c>
      <c r="AN369" s="272">
        <f t="shared" si="143"/>
        <v>14.880373143287297</v>
      </c>
      <c r="AO369" s="272">
        <f t="shared" si="155"/>
        <v>14</v>
      </c>
      <c r="AP369" s="272">
        <f t="shared" si="144"/>
        <v>15.067178055523474</v>
      </c>
      <c r="AQ369" s="272">
        <f t="shared" si="156"/>
        <v>15</v>
      </c>
      <c r="AR369" s="272">
        <f t="shared" si="145"/>
        <v>14.880373143287297</v>
      </c>
      <c r="AS369" s="272">
        <f t="shared" si="157"/>
        <v>14</v>
      </c>
      <c r="AT369" s="508">
        <f t="shared" si="146"/>
        <v>15.067178055523474</v>
      </c>
    </row>
    <row r="370" spans="1:46" ht="12.75" customHeight="1">
      <c r="A370" s="96">
        <f>IF(MAX($F$93:F370)=$G$88,$G$88,F370)</f>
        <v>3.1721333916340537</v>
      </c>
      <c r="B370" s="481">
        <v>278</v>
      </c>
      <c r="C370" s="96">
        <f t="shared" si="162"/>
        <v>0.41700000000000031</v>
      </c>
      <c r="D370" s="96">
        <f t="shared" si="159"/>
        <v>11.301511044550265</v>
      </c>
      <c r="E370" s="96">
        <f t="shared" si="160"/>
        <v>0.5855750462540813</v>
      </c>
      <c r="F370" s="96">
        <f t="shared" si="158"/>
        <v>3.1721333916340537</v>
      </c>
      <c r="G370" s="96">
        <f t="shared" si="161"/>
        <v>3.0561333916340536</v>
      </c>
      <c r="I370" s="96">
        <f t="shared" si="163"/>
        <v>1</v>
      </c>
      <c r="J370" s="96">
        <f t="shared" si="164"/>
        <v>0.41700000000000031</v>
      </c>
      <c r="Y370" s="96">
        <f t="shared" si="147"/>
        <v>16</v>
      </c>
      <c r="Z370" s="96">
        <v>0.42599999999999999</v>
      </c>
      <c r="AA370" s="272">
        <f t="shared" si="148"/>
        <v>16</v>
      </c>
      <c r="AB370" s="519">
        <f t="shared" si="149"/>
        <v>12.700716857416278</v>
      </c>
      <c r="AC370" s="272">
        <f t="shared" si="137"/>
        <v>12</v>
      </c>
      <c r="AD370" s="272">
        <f t="shared" si="138"/>
        <v>15.695382317724803</v>
      </c>
      <c r="AE370" s="272">
        <f t="shared" si="150"/>
        <v>13</v>
      </c>
      <c r="AF370" s="272">
        <f t="shared" si="139"/>
        <v>15.43077667664534</v>
      </c>
      <c r="AG370" s="272">
        <f t="shared" si="151"/>
        <v>14</v>
      </c>
      <c r="AH370" s="272">
        <f t="shared" si="140"/>
        <v>15.208986008745022</v>
      </c>
      <c r="AI370" s="272">
        <f t="shared" si="152"/>
        <v>15</v>
      </c>
      <c r="AJ370" s="272">
        <f t="shared" si="141"/>
        <v>15.020422942317115</v>
      </c>
      <c r="AK370" s="272">
        <f t="shared" si="153"/>
        <v>15</v>
      </c>
      <c r="AL370" s="272">
        <f t="shared" si="142"/>
        <v>15.020422942317115</v>
      </c>
      <c r="AM370" s="272">
        <f t="shared" si="154"/>
        <v>15</v>
      </c>
      <c r="AN370" s="272">
        <f t="shared" si="143"/>
        <v>15.020422942317115</v>
      </c>
      <c r="AO370" s="272">
        <f t="shared" si="155"/>
        <v>15</v>
      </c>
      <c r="AP370" s="272">
        <f t="shared" si="144"/>
        <v>15.020422942317115</v>
      </c>
      <c r="AQ370" s="272">
        <f t="shared" si="156"/>
        <v>15</v>
      </c>
      <c r="AR370" s="272">
        <f t="shared" si="145"/>
        <v>15.020422942317115</v>
      </c>
      <c r="AS370" s="272">
        <f t="shared" si="157"/>
        <v>15</v>
      </c>
      <c r="AT370" s="508">
        <f t="shared" si="146"/>
        <v>15.020422942317115</v>
      </c>
    </row>
    <row r="371" spans="1:46" ht="12.75" customHeight="1">
      <c r="A371" s="96">
        <f>IF(MAX($F$93:F371)=$G$88,$G$88,F371)</f>
        <v>3.1796344732294903</v>
      </c>
      <c r="B371" s="481">
        <v>279</v>
      </c>
      <c r="C371" s="96">
        <f t="shared" si="162"/>
        <v>0.41850000000000032</v>
      </c>
      <c r="D371" s="96">
        <f t="shared" si="159"/>
        <v>11.382963112919068</v>
      </c>
      <c r="E371" s="96">
        <f t="shared" si="160"/>
        <v>0.57876907815644896</v>
      </c>
      <c r="F371" s="96">
        <f t="shared" si="158"/>
        <v>3.1796344732294903</v>
      </c>
      <c r="G371" s="96">
        <f t="shared" si="161"/>
        <v>3.0636344732294902</v>
      </c>
      <c r="I371" s="96">
        <f t="shared" si="163"/>
        <v>1</v>
      </c>
      <c r="J371" s="96">
        <f t="shared" si="164"/>
        <v>0.41850000000000032</v>
      </c>
      <c r="Y371" s="96">
        <f t="shared" si="147"/>
        <v>16</v>
      </c>
      <c r="Z371" s="96">
        <v>0.42399999999999999</v>
      </c>
      <c r="AA371" s="272">
        <f t="shared" si="148"/>
        <v>16</v>
      </c>
      <c r="AB371" s="519">
        <f t="shared" si="149"/>
        <v>12.82081753079653</v>
      </c>
      <c r="AC371" s="272">
        <f t="shared" si="137"/>
        <v>12</v>
      </c>
      <c r="AD371" s="272">
        <f t="shared" si="138"/>
        <v>15.843801183091324</v>
      </c>
      <c r="AE371" s="272">
        <f t="shared" si="150"/>
        <v>13</v>
      </c>
      <c r="AF371" s="272">
        <f t="shared" si="139"/>
        <v>15.576693374927075</v>
      </c>
      <c r="AG371" s="272">
        <f t="shared" si="151"/>
        <v>14</v>
      </c>
      <c r="AH371" s="272">
        <f t="shared" si="140"/>
        <v>15.352805407412625</v>
      </c>
      <c r="AI371" s="272">
        <f t="shared" si="152"/>
        <v>15</v>
      </c>
      <c r="AJ371" s="272">
        <f t="shared" si="141"/>
        <v>15.162459248620173</v>
      </c>
      <c r="AK371" s="272">
        <f t="shared" si="153"/>
        <v>15</v>
      </c>
      <c r="AL371" s="272">
        <f t="shared" si="142"/>
        <v>15.162459248620173</v>
      </c>
      <c r="AM371" s="272">
        <f t="shared" si="154"/>
        <v>15</v>
      </c>
      <c r="AN371" s="272">
        <f t="shared" si="143"/>
        <v>15.162459248620173</v>
      </c>
      <c r="AO371" s="272">
        <f t="shared" si="155"/>
        <v>15</v>
      </c>
      <c r="AP371" s="272">
        <f t="shared" si="144"/>
        <v>15.162459248620173</v>
      </c>
      <c r="AQ371" s="272">
        <f t="shared" si="156"/>
        <v>15</v>
      </c>
      <c r="AR371" s="272">
        <f t="shared" si="145"/>
        <v>15.162459248620173</v>
      </c>
      <c r="AS371" s="272">
        <f t="shared" si="157"/>
        <v>15</v>
      </c>
      <c r="AT371" s="508">
        <f t="shared" si="146"/>
        <v>15.162459248620173</v>
      </c>
    </row>
    <row r="372" spans="1:46" ht="12.75" customHeight="1">
      <c r="A372" s="96">
        <f>IF(MAX($F$93:F372)=$G$88,$G$88,F372)</f>
        <v>3.186196106697373</v>
      </c>
      <c r="B372" s="481">
        <v>280</v>
      </c>
      <c r="C372" s="96">
        <f t="shared" si="162"/>
        <v>0.42000000000000032</v>
      </c>
      <c r="D372" s="96">
        <f t="shared" si="159"/>
        <v>11.464707648319715</v>
      </c>
      <c r="E372" s="96">
        <f t="shared" si="160"/>
        <v>0.57194804136881205</v>
      </c>
      <c r="F372" s="96">
        <f t="shared" si="158"/>
        <v>3.186196106697373</v>
      </c>
      <c r="G372" s="96">
        <f t="shared" si="161"/>
        <v>3.0701961066973729</v>
      </c>
      <c r="I372" s="96">
        <f t="shared" si="163"/>
        <v>1</v>
      </c>
      <c r="J372" s="96">
        <f t="shared" si="164"/>
        <v>0.42000000000000032</v>
      </c>
      <c r="Y372" s="96">
        <f t="shared" si="147"/>
        <v>16</v>
      </c>
      <c r="Z372" s="96">
        <v>0.42199999999999999</v>
      </c>
      <c r="AA372" s="272">
        <f t="shared" si="148"/>
        <v>16</v>
      </c>
      <c r="AB372" s="519">
        <f t="shared" si="149"/>
        <v>12.942629839943381</v>
      </c>
      <c r="AC372" s="272">
        <f t="shared" si="137"/>
        <v>12</v>
      </c>
      <c r="AD372" s="272">
        <f t="shared" si="138"/>
        <v>15.994335265893772</v>
      </c>
      <c r="AE372" s="272">
        <f t="shared" si="150"/>
        <v>13</v>
      </c>
      <c r="AF372" s="272">
        <f t="shared" si="139"/>
        <v>15.724689630572595</v>
      </c>
      <c r="AG372" s="272">
        <f t="shared" si="151"/>
        <v>14</v>
      </c>
      <c r="AH372" s="272">
        <f t="shared" si="140"/>
        <v>15.498674473411494</v>
      </c>
      <c r="AI372" s="272">
        <f t="shared" si="152"/>
        <v>15</v>
      </c>
      <c r="AJ372" s="272">
        <f t="shared" si="141"/>
        <v>15.306519810201593</v>
      </c>
      <c r="AK372" s="272">
        <f t="shared" si="153"/>
        <v>15</v>
      </c>
      <c r="AL372" s="272">
        <f t="shared" si="142"/>
        <v>15.306519810201593</v>
      </c>
      <c r="AM372" s="272">
        <f t="shared" si="154"/>
        <v>15</v>
      </c>
      <c r="AN372" s="272">
        <f t="shared" si="143"/>
        <v>15.306519810201593</v>
      </c>
      <c r="AO372" s="272">
        <f t="shared" si="155"/>
        <v>15</v>
      </c>
      <c r="AP372" s="272">
        <f t="shared" si="144"/>
        <v>15.306519810201593</v>
      </c>
      <c r="AQ372" s="272">
        <f t="shared" si="156"/>
        <v>15</v>
      </c>
      <c r="AR372" s="272">
        <f t="shared" si="145"/>
        <v>15.306519810201593</v>
      </c>
      <c r="AS372" s="272">
        <f t="shared" si="157"/>
        <v>15</v>
      </c>
      <c r="AT372" s="508">
        <f t="shared" si="146"/>
        <v>15.306519810201593</v>
      </c>
    </row>
    <row r="373" spans="1:46" ht="12.75" customHeight="1">
      <c r="A373" s="96">
        <f>IF(MAX($F$93:F373)=$G$88,$G$88,F373)</f>
        <v>3.1918159133834365</v>
      </c>
      <c r="B373" s="481">
        <v>281</v>
      </c>
      <c r="C373" s="96">
        <f t="shared" si="162"/>
        <v>0.42150000000000032</v>
      </c>
      <c r="D373" s="96">
        <f t="shared" si="159"/>
        <v>11.546744650752206</v>
      </c>
      <c r="E373" s="96">
        <f t="shared" si="160"/>
        <v>0.56511395198488878</v>
      </c>
      <c r="F373" s="96">
        <f t="shared" si="158"/>
        <v>3.1918159133834365</v>
      </c>
      <c r="G373" s="96">
        <f t="shared" si="161"/>
        <v>3.0758159133834364</v>
      </c>
      <c r="I373" s="96">
        <f t="shared" si="163"/>
        <v>1</v>
      </c>
      <c r="J373" s="96">
        <f t="shared" si="164"/>
        <v>0.42150000000000032</v>
      </c>
      <c r="Y373" s="96">
        <f t="shared" si="147"/>
        <v>16</v>
      </c>
      <c r="Z373" s="96">
        <v>0.42</v>
      </c>
      <c r="AA373" s="272">
        <f t="shared" si="148"/>
        <v>16</v>
      </c>
      <c r="AB373" s="519">
        <f t="shared" si="149"/>
        <v>13.066186464946014</v>
      </c>
      <c r="AC373" s="272">
        <f t="shared" si="137"/>
        <v>13</v>
      </c>
      <c r="AD373" s="272">
        <f t="shared" si="138"/>
        <v>15.874805148361052</v>
      </c>
      <c r="AE373" s="272">
        <f t="shared" si="150"/>
        <v>14</v>
      </c>
      <c r="AF373" s="272">
        <f t="shared" si="139"/>
        <v>15.646632340833403</v>
      </c>
      <c r="AG373" s="272">
        <f t="shared" si="151"/>
        <v>15</v>
      </c>
      <c r="AH373" s="272">
        <f t="shared" si="140"/>
        <v>15.452643275963382</v>
      </c>
      <c r="AI373" s="272">
        <f t="shared" si="152"/>
        <v>15</v>
      </c>
      <c r="AJ373" s="272">
        <f t="shared" si="141"/>
        <v>15.452643275963382</v>
      </c>
      <c r="AK373" s="272">
        <f t="shared" si="153"/>
        <v>15</v>
      </c>
      <c r="AL373" s="272">
        <f t="shared" si="142"/>
        <v>15.452643275963382</v>
      </c>
      <c r="AM373" s="272">
        <f t="shared" si="154"/>
        <v>15</v>
      </c>
      <c r="AN373" s="272">
        <f t="shared" si="143"/>
        <v>15.452643275963382</v>
      </c>
      <c r="AO373" s="272">
        <f t="shared" si="155"/>
        <v>15</v>
      </c>
      <c r="AP373" s="272">
        <f t="shared" si="144"/>
        <v>15.452643275963382</v>
      </c>
      <c r="AQ373" s="272">
        <f t="shared" si="156"/>
        <v>15</v>
      </c>
      <c r="AR373" s="272">
        <f t="shared" si="145"/>
        <v>15.452643275963382</v>
      </c>
      <c r="AS373" s="272">
        <f t="shared" si="157"/>
        <v>15</v>
      </c>
      <c r="AT373" s="508">
        <f t="shared" si="146"/>
        <v>15.452643275963382</v>
      </c>
    </row>
    <row r="374" spans="1:46" ht="12.75" customHeight="1">
      <c r="A374" s="96">
        <f>IF(MAX($F$93:F374)=$G$88,$G$88,F374)</f>
        <v>3.1964923387438278</v>
      </c>
      <c r="B374" s="481">
        <v>282</v>
      </c>
      <c r="C374" s="96">
        <f t="shared" si="162"/>
        <v>0.42300000000000032</v>
      </c>
      <c r="D374" s="96">
        <f t="shared" si="159"/>
        <v>11.629074120216544</v>
      </c>
      <c r="E374" s="96">
        <f t="shared" si="160"/>
        <v>0.55826883031145447</v>
      </c>
      <c r="F374" s="96">
        <f t="shared" si="158"/>
        <v>3.1964923387438278</v>
      </c>
      <c r="G374" s="96">
        <f t="shared" si="161"/>
        <v>3.0804923387438277</v>
      </c>
      <c r="I374" s="96">
        <f t="shared" si="163"/>
        <v>1</v>
      </c>
      <c r="J374" s="96">
        <f t="shared" si="164"/>
        <v>0.42300000000000032</v>
      </c>
      <c r="Y374" s="96">
        <f t="shared" si="147"/>
        <v>16</v>
      </c>
      <c r="Z374" s="96">
        <v>0.41799999999999998</v>
      </c>
      <c r="AA374" s="272">
        <f t="shared" si="148"/>
        <v>16</v>
      </c>
      <c r="AB374" s="519">
        <f t="shared" si="149"/>
        <v>13.19152086957989</v>
      </c>
      <c r="AC374" s="272">
        <f t="shared" si="137"/>
        <v>13</v>
      </c>
      <c r="AD374" s="272">
        <f t="shared" si="138"/>
        <v>16.027080585213767</v>
      </c>
      <c r="AE374" s="272">
        <f t="shared" si="150"/>
        <v>14</v>
      </c>
      <c r="AF374" s="272">
        <f t="shared" si="139"/>
        <v>15.796719082226897</v>
      </c>
      <c r="AG374" s="272">
        <f t="shared" si="151"/>
        <v>15</v>
      </c>
      <c r="AH374" s="272">
        <f t="shared" si="140"/>
        <v>15.600869221629202</v>
      </c>
      <c r="AI374" s="272">
        <f t="shared" si="152"/>
        <v>15</v>
      </c>
      <c r="AJ374" s="272">
        <f t="shared" si="141"/>
        <v>15.600869221629202</v>
      </c>
      <c r="AK374" s="272">
        <f t="shared" si="153"/>
        <v>15</v>
      </c>
      <c r="AL374" s="272">
        <f t="shared" si="142"/>
        <v>15.600869221629202</v>
      </c>
      <c r="AM374" s="272">
        <f t="shared" si="154"/>
        <v>15</v>
      </c>
      <c r="AN374" s="272">
        <f t="shared" si="143"/>
        <v>15.600869221629202</v>
      </c>
      <c r="AO374" s="272">
        <f t="shared" si="155"/>
        <v>15</v>
      </c>
      <c r="AP374" s="272">
        <f t="shared" si="144"/>
        <v>15.600869221629202</v>
      </c>
      <c r="AQ374" s="272">
        <f t="shared" si="156"/>
        <v>15</v>
      </c>
      <c r="AR374" s="272">
        <f t="shared" si="145"/>
        <v>15.600869221629202</v>
      </c>
      <c r="AS374" s="272">
        <f t="shared" si="157"/>
        <v>15</v>
      </c>
      <c r="AT374" s="508">
        <f t="shared" si="146"/>
        <v>15.600869221629202</v>
      </c>
    </row>
    <row r="375" spans="1:46" ht="12.75" customHeight="1">
      <c r="A375" s="96">
        <f>IF(MAX($F$93:F375)=$G$88,$G$88,F375)</f>
        <v>3.2002246497489391</v>
      </c>
      <c r="B375" s="481">
        <v>283</v>
      </c>
      <c r="C375" s="96">
        <f t="shared" si="162"/>
        <v>0.42450000000000032</v>
      </c>
      <c r="D375" s="96">
        <f t="shared" si="159"/>
        <v>11.711696056712725</v>
      </c>
      <c r="E375" s="96">
        <f t="shared" si="160"/>
        <v>0.55141469910455809</v>
      </c>
      <c r="F375" s="96">
        <f t="shared" si="158"/>
        <v>3.2002246497489391</v>
      </c>
      <c r="G375" s="96">
        <f t="shared" si="161"/>
        <v>3.084224649748939</v>
      </c>
      <c r="I375" s="96">
        <f t="shared" si="163"/>
        <v>1</v>
      </c>
      <c r="J375" s="96">
        <f t="shared" si="164"/>
        <v>0.42450000000000032</v>
      </c>
      <c r="Y375" s="96">
        <f t="shared" si="147"/>
        <v>16</v>
      </c>
      <c r="Z375" s="96">
        <v>0.41599999999999998</v>
      </c>
      <c r="AA375" s="272">
        <f t="shared" si="148"/>
        <v>16</v>
      </c>
      <c r="AB375" s="519">
        <f t="shared" si="149"/>
        <v>13.318667323967251</v>
      </c>
      <c r="AC375" s="272">
        <f t="shared" si="137"/>
        <v>13</v>
      </c>
      <c r="AD375" s="272">
        <f t="shared" si="138"/>
        <v>16.181557577725652</v>
      </c>
      <c r="AE375" s="272">
        <f t="shared" si="150"/>
        <v>14</v>
      </c>
      <c r="AF375" s="272">
        <f t="shared" si="139"/>
        <v>15.948975735733013</v>
      </c>
      <c r="AG375" s="272">
        <f t="shared" si="151"/>
        <v>15</v>
      </c>
      <c r="AH375" s="272">
        <f t="shared" si="140"/>
        <v>15.751238176543662</v>
      </c>
      <c r="AI375" s="272">
        <f t="shared" si="152"/>
        <v>15</v>
      </c>
      <c r="AJ375" s="272">
        <f t="shared" si="141"/>
        <v>15.751238176543662</v>
      </c>
      <c r="AK375" s="272">
        <f t="shared" si="153"/>
        <v>15</v>
      </c>
      <c r="AL375" s="272">
        <f t="shared" si="142"/>
        <v>15.751238176543662</v>
      </c>
      <c r="AM375" s="272">
        <f t="shared" si="154"/>
        <v>15</v>
      </c>
      <c r="AN375" s="272">
        <f t="shared" si="143"/>
        <v>15.751238176543662</v>
      </c>
      <c r="AO375" s="272">
        <f t="shared" si="155"/>
        <v>15</v>
      </c>
      <c r="AP375" s="272">
        <f t="shared" si="144"/>
        <v>15.751238176543662</v>
      </c>
      <c r="AQ375" s="272">
        <f t="shared" si="156"/>
        <v>15</v>
      </c>
      <c r="AR375" s="272">
        <f t="shared" si="145"/>
        <v>15.751238176543662</v>
      </c>
      <c r="AS375" s="272">
        <f t="shared" si="157"/>
        <v>15</v>
      </c>
      <c r="AT375" s="508">
        <f t="shared" si="146"/>
        <v>15.751238176543662</v>
      </c>
    </row>
    <row r="376" spans="1:46" ht="12.75" customHeight="1">
      <c r="A376" s="96">
        <f>IF(MAX($F$93:F376)=$G$88,$G$88,F376)</f>
        <v>3.2030129311461688</v>
      </c>
      <c r="B376" s="481">
        <v>284</v>
      </c>
      <c r="C376" s="96">
        <f t="shared" si="162"/>
        <v>0.42600000000000032</v>
      </c>
      <c r="D376" s="96">
        <f t="shared" si="159"/>
        <v>11.794610460240751</v>
      </c>
      <c r="E376" s="96">
        <f t="shared" si="160"/>
        <v>0.54455358181253044</v>
      </c>
      <c r="F376" s="96">
        <f t="shared" si="158"/>
        <v>3.2030129311461688</v>
      </c>
      <c r="G376" s="96">
        <f t="shared" si="161"/>
        <v>3.0870129311461687</v>
      </c>
      <c r="I376" s="96">
        <f t="shared" si="163"/>
        <v>1</v>
      </c>
      <c r="J376" s="96">
        <f t="shared" si="164"/>
        <v>0.42600000000000032</v>
      </c>
      <c r="Y376" s="96">
        <f t="shared" si="147"/>
        <v>16</v>
      </c>
      <c r="Z376" s="96">
        <v>0.41399999999999998</v>
      </c>
      <c r="AA376" s="272">
        <f t="shared" si="148"/>
        <v>16</v>
      </c>
      <c r="AB376" s="519">
        <f t="shared" si="149"/>
        <v>13.447660928005771</v>
      </c>
      <c r="AC376" s="272">
        <f t="shared" si="137"/>
        <v>13</v>
      </c>
      <c r="AD376" s="272">
        <f t="shared" si="138"/>
        <v>16.338278770629945</v>
      </c>
      <c r="AE376" s="272">
        <f t="shared" si="150"/>
        <v>14</v>
      </c>
      <c r="AF376" s="272">
        <f t="shared" si="139"/>
        <v>16.103444333140871</v>
      </c>
      <c r="AG376" s="272">
        <f t="shared" si="151"/>
        <v>15</v>
      </c>
      <c r="AH376" s="272">
        <f t="shared" si="140"/>
        <v>15.903791651380081</v>
      </c>
      <c r="AI376" s="272">
        <f t="shared" si="152"/>
        <v>15</v>
      </c>
      <c r="AJ376" s="272">
        <f t="shared" si="141"/>
        <v>15.903791651380081</v>
      </c>
      <c r="AK376" s="272">
        <f t="shared" si="153"/>
        <v>15</v>
      </c>
      <c r="AL376" s="272">
        <f t="shared" si="142"/>
        <v>15.903791651380081</v>
      </c>
      <c r="AM376" s="272">
        <f t="shared" si="154"/>
        <v>15</v>
      </c>
      <c r="AN376" s="272">
        <f t="shared" si="143"/>
        <v>15.903791651380081</v>
      </c>
      <c r="AO376" s="272">
        <f t="shared" si="155"/>
        <v>15</v>
      </c>
      <c r="AP376" s="272">
        <f t="shared" si="144"/>
        <v>15.903791651380081</v>
      </c>
      <c r="AQ376" s="272">
        <f t="shared" si="156"/>
        <v>15</v>
      </c>
      <c r="AR376" s="272">
        <f t="shared" si="145"/>
        <v>15.903791651380081</v>
      </c>
      <c r="AS376" s="272">
        <f t="shared" si="157"/>
        <v>15</v>
      </c>
      <c r="AT376" s="508">
        <f t="shared" si="146"/>
        <v>15.903791651380081</v>
      </c>
    </row>
    <row r="377" spans="1:46" ht="12.75" customHeight="1">
      <c r="A377" s="96">
        <f>IF(MAX($F$93:F377)=$G$88,$G$88,F377)</f>
        <v>3.204866472740667</v>
      </c>
      <c r="B377" s="481">
        <v>285</v>
      </c>
      <c r="C377" s="96">
        <f t="shared" si="162"/>
        <v>0.42750000000000032</v>
      </c>
      <c r="D377" s="96">
        <f t="shared" si="159"/>
        <v>11.877817330800623</v>
      </c>
      <c r="E377" s="96">
        <f t="shared" si="160"/>
        <v>0.53768750082821737</v>
      </c>
      <c r="F377" s="96">
        <f t="shared" si="158"/>
        <v>3.204866472740667</v>
      </c>
      <c r="G377" s="96">
        <f t="shared" si="161"/>
        <v>3.0888664727406669</v>
      </c>
      <c r="I377" s="96">
        <f t="shared" si="163"/>
        <v>1</v>
      </c>
      <c r="J377" s="96">
        <f t="shared" si="164"/>
        <v>0.42750000000000032</v>
      </c>
      <c r="Y377" s="96">
        <f t="shared" si="147"/>
        <v>17</v>
      </c>
      <c r="Z377" s="96">
        <v>0.41199999999999998</v>
      </c>
      <c r="AA377" s="272">
        <f t="shared" si="148"/>
        <v>17</v>
      </c>
      <c r="AB377" s="519">
        <f t="shared" si="149"/>
        <v>13.578537635595231</v>
      </c>
      <c r="AC377" s="272">
        <f t="shared" si="137"/>
        <v>13</v>
      </c>
      <c r="AD377" s="272">
        <f t="shared" si="138"/>
        <v>16.497287846232503</v>
      </c>
      <c r="AE377" s="272">
        <f t="shared" si="150"/>
        <v>14</v>
      </c>
      <c r="AF377" s="272">
        <f t="shared" si="139"/>
        <v>16.260167928898884</v>
      </c>
      <c r="AG377" s="272">
        <f t="shared" si="151"/>
        <v>15</v>
      </c>
      <c r="AH377" s="272">
        <f t="shared" si="140"/>
        <v>16.058572166791997</v>
      </c>
      <c r="AI377" s="272">
        <f t="shared" si="152"/>
        <v>16</v>
      </c>
      <c r="AJ377" s="272">
        <f t="shared" si="141"/>
        <v>15.885091966939274</v>
      </c>
      <c r="AK377" s="272">
        <f t="shared" si="153"/>
        <v>15</v>
      </c>
      <c r="AL377" s="272">
        <f t="shared" si="142"/>
        <v>16.058572166791997</v>
      </c>
      <c r="AM377" s="272">
        <f t="shared" si="154"/>
        <v>16</v>
      </c>
      <c r="AN377" s="272">
        <f t="shared" si="143"/>
        <v>15.885091966939274</v>
      </c>
      <c r="AO377" s="272">
        <f t="shared" si="155"/>
        <v>15</v>
      </c>
      <c r="AP377" s="272">
        <f t="shared" si="144"/>
        <v>16.058572166791997</v>
      </c>
      <c r="AQ377" s="272">
        <f t="shared" si="156"/>
        <v>16</v>
      </c>
      <c r="AR377" s="272">
        <f t="shared" si="145"/>
        <v>15.885091966939274</v>
      </c>
      <c r="AS377" s="272">
        <f t="shared" si="157"/>
        <v>15</v>
      </c>
      <c r="AT377" s="508">
        <f t="shared" si="146"/>
        <v>16.058572166791997</v>
      </c>
    </row>
    <row r="378" spans="1:46" ht="12.75" customHeight="1">
      <c r="A378" s="96">
        <f>IF(MAX($F$93:F378)=$G$88,$G$88,F378)</f>
        <v>3.2057712852183653</v>
      </c>
      <c r="B378" s="481">
        <v>286</v>
      </c>
      <c r="C378" s="96">
        <f t="shared" si="162"/>
        <v>0.42900000000000033</v>
      </c>
      <c r="D378" s="96">
        <f t="shared" si="159"/>
        <v>11.961316668392339</v>
      </c>
      <c r="E378" s="96">
        <f t="shared" si="160"/>
        <v>0.53081843978649901</v>
      </c>
      <c r="F378" s="96">
        <f t="shared" si="158"/>
        <v>3.2057712852183653</v>
      </c>
      <c r="G378" s="96">
        <f t="shared" si="161"/>
        <v>3.0897712852183652</v>
      </c>
      <c r="I378" s="96">
        <f t="shared" si="163"/>
        <v>1</v>
      </c>
      <c r="J378" s="96">
        <f t="shared" si="164"/>
        <v>0.42900000000000033</v>
      </c>
      <c r="Y378" s="96">
        <f t="shared" si="147"/>
        <v>17</v>
      </c>
      <c r="Z378" s="96">
        <v>0.41</v>
      </c>
      <c r="AA378" s="272">
        <f t="shared" si="148"/>
        <v>17</v>
      </c>
      <c r="AB378" s="519">
        <f t="shared" si="149"/>
        <v>13.711334279693498</v>
      </c>
      <c r="AC378" s="272">
        <f t="shared" si="137"/>
        <v>13</v>
      </c>
      <c r="AD378" s="272">
        <f t="shared" si="138"/>
        <v>16.658629554853601</v>
      </c>
      <c r="AE378" s="272">
        <f t="shared" si="150"/>
        <v>14</v>
      </c>
      <c r="AF378" s="272">
        <f t="shared" si="139"/>
        <v>16.419190630119051</v>
      </c>
      <c r="AG378" s="272">
        <f t="shared" si="151"/>
        <v>15</v>
      </c>
      <c r="AH378" s="272">
        <f t="shared" si="140"/>
        <v>16.215623283045453</v>
      </c>
      <c r="AI378" s="272">
        <f t="shared" si="152"/>
        <v>16</v>
      </c>
      <c r="AJ378" s="272">
        <f t="shared" si="141"/>
        <v>16.040446465414274</v>
      </c>
      <c r="AK378" s="272">
        <f t="shared" si="153"/>
        <v>16</v>
      </c>
      <c r="AL378" s="272">
        <f t="shared" si="142"/>
        <v>16.040446465414274</v>
      </c>
      <c r="AM378" s="272">
        <f t="shared" si="154"/>
        <v>16</v>
      </c>
      <c r="AN378" s="272">
        <f t="shared" si="143"/>
        <v>16.040446465414274</v>
      </c>
      <c r="AO378" s="272">
        <f t="shared" si="155"/>
        <v>16</v>
      </c>
      <c r="AP378" s="272">
        <f t="shared" si="144"/>
        <v>16.040446465414274</v>
      </c>
      <c r="AQ378" s="272">
        <f t="shared" si="156"/>
        <v>16</v>
      </c>
      <c r="AR378" s="272">
        <f t="shared" si="145"/>
        <v>16.040446465414274</v>
      </c>
      <c r="AS378" s="272">
        <f t="shared" si="157"/>
        <v>16</v>
      </c>
      <c r="AT378" s="508">
        <f t="shared" si="146"/>
        <v>16.040446465414274</v>
      </c>
    </row>
    <row r="379" spans="1:46" ht="12.75" customHeight="1">
      <c r="A379" s="96">
        <f>IF(MAX($F$93:F379)=$G$88,$G$88,F379)</f>
        <v>3.2057712852183653</v>
      </c>
      <c r="B379" s="481">
        <v>287</v>
      </c>
      <c r="C379" s="96">
        <f t="shared" si="162"/>
        <v>0.43050000000000033</v>
      </c>
      <c r="D379" s="96">
        <f t="shared" si="159"/>
        <v>12.045108473015899</v>
      </c>
      <c r="E379" s="96">
        <f t="shared" si="160"/>
        <v>0.52394848103442437</v>
      </c>
      <c r="F379" s="96">
        <f t="shared" si="158"/>
        <v>3.2057289167003087</v>
      </c>
      <c r="G379" s="96">
        <f t="shared" si="161"/>
        <v>3.0897289167003086</v>
      </c>
      <c r="I379" s="96">
        <f t="shared" si="163"/>
        <v>1</v>
      </c>
      <c r="J379" s="96">
        <f t="shared" si="164"/>
        <v>0.43050000000000033</v>
      </c>
      <c r="Y379" s="96">
        <f t="shared" si="147"/>
        <v>17</v>
      </c>
      <c r="Z379" s="96">
        <v>0.40799999999999997</v>
      </c>
      <c r="AA379" s="272">
        <f t="shared" si="148"/>
        <v>17</v>
      </c>
      <c r="AB379" s="519">
        <f t="shared" si="149"/>
        <v>13.846088598234315</v>
      </c>
      <c r="AC379" s="272">
        <f t="shared" si="137"/>
        <v>13</v>
      </c>
      <c r="AD379" s="272">
        <f t="shared" si="138"/>
        <v>16.82234974631686</v>
      </c>
      <c r="AE379" s="272">
        <f t="shared" si="150"/>
        <v>14</v>
      </c>
      <c r="AF379" s="272">
        <f t="shared" si="139"/>
        <v>16.580557627613253</v>
      </c>
      <c r="AG379" s="272">
        <f t="shared" si="151"/>
        <v>15</v>
      </c>
      <c r="AH379" s="272">
        <f t="shared" si="140"/>
        <v>16.374989630670537</v>
      </c>
      <c r="AI379" s="272">
        <f t="shared" si="152"/>
        <v>16</v>
      </c>
      <c r="AJ379" s="272">
        <f t="shared" si="141"/>
        <v>16.198091183896455</v>
      </c>
      <c r="AK379" s="272">
        <f t="shared" si="153"/>
        <v>16</v>
      </c>
      <c r="AL379" s="272">
        <f t="shared" si="142"/>
        <v>16.198091183896455</v>
      </c>
      <c r="AM379" s="272">
        <f t="shared" si="154"/>
        <v>16</v>
      </c>
      <c r="AN379" s="272">
        <f t="shared" si="143"/>
        <v>16.198091183896455</v>
      </c>
      <c r="AO379" s="272">
        <f t="shared" si="155"/>
        <v>16</v>
      </c>
      <c r="AP379" s="272">
        <f t="shared" si="144"/>
        <v>16.198091183896455</v>
      </c>
      <c r="AQ379" s="272">
        <f t="shared" si="156"/>
        <v>16</v>
      </c>
      <c r="AR379" s="272">
        <f t="shared" si="145"/>
        <v>16.198091183896455</v>
      </c>
      <c r="AS379" s="272">
        <f t="shared" si="157"/>
        <v>16</v>
      </c>
      <c r="AT379" s="508">
        <f t="shared" si="146"/>
        <v>16.198091183896455</v>
      </c>
    </row>
    <row r="380" spans="1:46" ht="12.75" customHeight="1">
      <c r="A380" s="96">
        <f>IF(MAX($F$93:F380)=$G$88,$G$88,F380)</f>
        <v>3.2057712852183653</v>
      </c>
      <c r="B380" s="481">
        <v>288</v>
      </c>
      <c r="C380" s="96">
        <f t="shared" si="162"/>
        <v>0.43200000000000033</v>
      </c>
      <c r="D380" s="96">
        <f t="shared" si="159"/>
        <v>12.129192744671306</v>
      </c>
      <c r="E380" s="96">
        <f t="shared" si="160"/>
        <v>0.51707960157206911</v>
      </c>
      <c r="F380" s="96">
        <f t="shared" si="158"/>
        <v>3.204758372854299</v>
      </c>
      <c r="G380" s="96">
        <f t="shared" si="161"/>
        <v>3.0887583728542989</v>
      </c>
      <c r="I380" s="96">
        <f t="shared" si="163"/>
        <v>1</v>
      </c>
      <c r="J380" s="96">
        <f t="shared" si="164"/>
        <v>0.43200000000000033</v>
      </c>
      <c r="Y380" s="96">
        <f t="shared" si="147"/>
        <v>17</v>
      </c>
      <c r="Z380" s="96">
        <v>0.40600000000000003</v>
      </c>
      <c r="AA380" s="272">
        <f t="shared" si="148"/>
        <v>17</v>
      </c>
      <c r="AB380" s="519">
        <f t="shared" si="149"/>
        <v>13.982839260941034</v>
      </c>
      <c r="AC380" s="272">
        <f t="shared" si="137"/>
        <v>13</v>
      </c>
      <c r="AD380" s="272">
        <f t="shared" si="138"/>
        <v>16.988495402526691</v>
      </c>
      <c r="AE380" s="272">
        <f t="shared" si="150"/>
        <v>14</v>
      </c>
      <c r="AF380" s="272">
        <f t="shared" si="139"/>
        <v>16.744315228002449</v>
      </c>
      <c r="AG380" s="272">
        <f t="shared" si="151"/>
        <v>15</v>
      </c>
      <c r="AH380" s="272">
        <f t="shared" si="140"/>
        <v>16.536716942172461</v>
      </c>
      <c r="AI380" s="272">
        <f t="shared" si="152"/>
        <v>16</v>
      </c>
      <c r="AJ380" s="272">
        <f t="shared" si="141"/>
        <v>16.358071360844349</v>
      </c>
      <c r="AK380" s="272">
        <f t="shared" si="153"/>
        <v>16</v>
      </c>
      <c r="AL380" s="272">
        <f t="shared" si="142"/>
        <v>16.358071360844349</v>
      </c>
      <c r="AM380" s="272">
        <f t="shared" si="154"/>
        <v>16</v>
      </c>
      <c r="AN380" s="272">
        <f t="shared" si="143"/>
        <v>16.358071360844349</v>
      </c>
      <c r="AO380" s="272">
        <f t="shared" si="155"/>
        <v>16</v>
      </c>
      <c r="AP380" s="272">
        <f t="shared" si="144"/>
        <v>16.358071360844349</v>
      </c>
      <c r="AQ380" s="272">
        <f t="shared" si="156"/>
        <v>16</v>
      </c>
      <c r="AR380" s="272">
        <f t="shared" si="145"/>
        <v>16.358071360844349</v>
      </c>
      <c r="AS380" s="272">
        <f t="shared" si="157"/>
        <v>16</v>
      </c>
      <c r="AT380" s="508">
        <f t="shared" si="146"/>
        <v>16.358071360844349</v>
      </c>
    </row>
    <row r="381" spans="1:46" ht="12.75" customHeight="1">
      <c r="A381" s="96">
        <f>IF(MAX($F$93:F381)=$G$88,$G$88,F381)</f>
        <v>3.2057712852183653</v>
      </c>
      <c r="B381" s="481">
        <v>289</v>
      </c>
      <c r="C381" s="96">
        <f t="shared" si="162"/>
        <v>0.43350000000000033</v>
      </c>
      <c r="D381" s="96">
        <f t="shared" si="159"/>
        <v>12.213569483358556</v>
      </c>
      <c r="E381" s="96">
        <f t="shared" si="160"/>
        <v>0.51021380229362023</v>
      </c>
      <c r="F381" s="96">
        <f t="shared" si="158"/>
        <v>3.2028563139345096</v>
      </c>
      <c r="G381" s="96">
        <f t="shared" si="161"/>
        <v>3.0868563139345095</v>
      </c>
      <c r="I381" s="96">
        <f t="shared" si="163"/>
        <v>1</v>
      </c>
      <c r="J381" s="96">
        <f t="shared" si="164"/>
        <v>0.43350000000000033</v>
      </c>
      <c r="Y381" s="96">
        <f t="shared" si="147"/>
        <v>17</v>
      </c>
      <c r="Z381" s="96">
        <v>0.40400000000000003</v>
      </c>
      <c r="AA381" s="272">
        <f t="shared" si="148"/>
        <v>17</v>
      </c>
      <c r="AB381" s="519">
        <f t="shared" si="149"/>
        <v>14.121625897071834</v>
      </c>
      <c r="AC381" s="272">
        <f t="shared" si="137"/>
        <v>14</v>
      </c>
      <c r="AD381" s="272">
        <f t="shared" si="138"/>
        <v>16.910510886941307</v>
      </c>
      <c r="AE381" s="272">
        <f t="shared" si="150"/>
        <v>15</v>
      </c>
      <c r="AF381" s="272">
        <f t="shared" si="139"/>
        <v>16.700852084844257</v>
      </c>
      <c r="AG381" s="272">
        <f t="shared" si="151"/>
        <v>16</v>
      </c>
      <c r="AH381" s="272">
        <f t="shared" si="140"/>
        <v>16.520433357245242</v>
      </c>
      <c r="AI381" s="272">
        <f t="shared" si="152"/>
        <v>16</v>
      </c>
      <c r="AJ381" s="272">
        <f t="shared" si="141"/>
        <v>16.520433357245242</v>
      </c>
      <c r="AK381" s="272">
        <f t="shared" si="153"/>
        <v>16</v>
      </c>
      <c r="AL381" s="272">
        <f t="shared" si="142"/>
        <v>16.520433357245242</v>
      </c>
      <c r="AM381" s="272">
        <f t="shared" si="154"/>
        <v>16</v>
      </c>
      <c r="AN381" s="272">
        <f t="shared" si="143"/>
        <v>16.520433357245242</v>
      </c>
      <c r="AO381" s="272">
        <f t="shared" si="155"/>
        <v>16</v>
      </c>
      <c r="AP381" s="272">
        <f t="shared" si="144"/>
        <v>16.520433357245242</v>
      </c>
      <c r="AQ381" s="272">
        <f t="shared" si="156"/>
        <v>16</v>
      </c>
      <c r="AR381" s="272">
        <f t="shared" si="145"/>
        <v>16.520433357245242</v>
      </c>
      <c r="AS381" s="272">
        <f t="shared" si="157"/>
        <v>16</v>
      </c>
      <c r="AT381" s="508">
        <f t="shared" si="146"/>
        <v>16.520433357245242</v>
      </c>
    </row>
    <row r="382" spans="1:46" ht="12.75" customHeight="1">
      <c r="A382" s="96">
        <f>IF(MAX($F$93:F382)=$G$88,$G$88,F382)</f>
        <v>3.2057712852183653</v>
      </c>
      <c r="B382" s="481">
        <v>290</v>
      </c>
      <c r="C382" s="96">
        <f t="shared" si="162"/>
        <v>0.43500000000000033</v>
      </c>
      <c r="D382" s="96">
        <f t="shared" si="159"/>
        <v>12.298238689077651</v>
      </c>
      <c r="E382" s="96">
        <f t="shared" si="160"/>
        <v>0.50335307451234979</v>
      </c>
      <c r="F382" s="96">
        <f t="shared" si="158"/>
        <v>3.2000275947460386</v>
      </c>
      <c r="G382" s="96">
        <f t="shared" si="161"/>
        <v>3.0840275947460385</v>
      </c>
      <c r="I382" s="96">
        <f t="shared" si="163"/>
        <v>1</v>
      </c>
      <c r="J382" s="96">
        <f t="shared" si="164"/>
        <v>0.43500000000000033</v>
      </c>
      <c r="Y382" s="96">
        <f t="shared" si="147"/>
        <v>17</v>
      </c>
      <c r="Z382" s="96">
        <v>0.40200000000000002</v>
      </c>
      <c r="AA382" s="272">
        <f t="shared" si="148"/>
        <v>17</v>
      </c>
      <c r="AB382" s="519">
        <f t="shared" si="149"/>
        <v>14.262489124133539</v>
      </c>
      <c r="AC382" s="272">
        <f t="shared" si="137"/>
        <v>14</v>
      </c>
      <c r="AD382" s="272">
        <f t="shared" si="138"/>
        <v>17.079193243502711</v>
      </c>
      <c r="AE382" s="272">
        <f t="shared" si="150"/>
        <v>15</v>
      </c>
      <c r="AF382" s="272">
        <f t="shared" si="139"/>
        <v>16.867443094725004</v>
      </c>
      <c r="AG382" s="272">
        <f t="shared" si="151"/>
        <v>16</v>
      </c>
      <c r="AH382" s="272">
        <f t="shared" si="140"/>
        <v>16.685224690206546</v>
      </c>
      <c r="AI382" s="272">
        <f t="shared" si="152"/>
        <v>16</v>
      </c>
      <c r="AJ382" s="272">
        <f t="shared" si="141"/>
        <v>16.685224690206546</v>
      </c>
      <c r="AK382" s="272">
        <f t="shared" si="153"/>
        <v>16</v>
      </c>
      <c r="AL382" s="272">
        <f t="shared" si="142"/>
        <v>16.685224690206546</v>
      </c>
      <c r="AM382" s="272">
        <f t="shared" si="154"/>
        <v>16</v>
      </c>
      <c r="AN382" s="272">
        <f t="shared" si="143"/>
        <v>16.685224690206546</v>
      </c>
      <c r="AO382" s="272">
        <f t="shared" si="155"/>
        <v>16</v>
      </c>
      <c r="AP382" s="272">
        <f t="shared" si="144"/>
        <v>16.685224690206546</v>
      </c>
      <c r="AQ382" s="272">
        <f t="shared" si="156"/>
        <v>16</v>
      </c>
      <c r="AR382" s="272">
        <f t="shared" si="145"/>
        <v>16.685224690206546</v>
      </c>
      <c r="AS382" s="272">
        <f t="shared" si="157"/>
        <v>16</v>
      </c>
      <c r="AT382" s="508">
        <f t="shared" si="146"/>
        <v>16.685224690206546</v>
      </c>
    </row>
    <row r="383" spans="1:46" ht="12.75" customHeight="1">
      <c r="A383" s="96">
        <f>IF(MAX($F$93:F383)=$G$88,$G$88,F383)</f>
        <v>3.2057712852183653</v>
      </c>
      <c r="B383" s="481">
        <v>291</v>
      </c>
      <c r="C383" s="96">
        <f t="shared" si="162"/>
        <v>0.43650000000000033</v>
      </c>
      <c r="D383" s="96">
        <f t="shared" si="159"/>
        <v>12.383200361828592</v>
      </c>
      <c r="E383" s="96">
        <f t="shared" si="160"/>
        <v>0.49649939831613721</v>
      </c>
      <c r="F383" s="96">
        <f t="shared" si="158"/>
        <v>3.1962778317002187</v>
      </c>
      <c r="G383" s="96">
        <f t="shared" si="161"/>
        <v>3.0802778317002186</v>
      </c>
      <c r="I383" s="96">
        <f t="shared" si="163"/>
        <v>1</v>
      </c>
      <c r="J383" s="96">
        <f t="shared" si="164"/>
        <v>0.43650000000000033</v>
      </c>
      <c r="Y383" s="96">
        <f t="shared" si="147"/>
        <v>17</v>
      </c>
      <c r="Z383" s="96">
        <v>0.4</v>
      </c>
      <c r="AA383" s="272">
        <f t="shared" si="148"/>
        <v>17</v>
      </c>
      <c r="AB383" s="519">
        <f t="shared" si="149"/>
        <v>14.405470577602975</v>
      </c>
      <c r="AC383" s="272">
        <f t="shared" si="137"/>
        <v>14</v>
      </c>
      <c r="AD383" s="272">
        <f t="shared" si="138"/>
        <v>17.250412155768824</v>
      </c>
      <c r="AE383" s="272">
        <f t="shared" si="150"/>
        <v>15</v>
      </c>
      <c r="AF383" s="272">
        <f t="shared" si="139"/>
        <v>17.036539211749623</v>
      </c>
      <c r="AG383" s="272">
        <f t="shared" si="151"/>
        <v>16</v>
      </c>
      <c r="AH383" s="272">
        <f t="shared" si="140"/>
        <v>16.852494067725871</v>
      </c>
      <c r="AI383" s="272">
        <f t="shared" si="152"/>
        <v>16</v>
      </c>
      <c r="AJ383" s="272">
        <f t="shared" si="141"/>
        <v>16.852494067725871</v>
      </c>
      <c r="AK383" s="272">
        <f t="shared" si="153"/>
        <v>16</v>
      </c>
      <c r="AL383" s="272">
        <f t="shared" si="142"/>
        <v>16.852494067725871</v>
      </c>
      <c r="AM383" s="272">
        <f t="shared" si="154"/>
        <v>16</v>
      </c>
      <c r="AN383" s="272">
        <f t="shared" si="143"/>
        <v>16.852494067725871</v>
      </c>
      <c r="AO383" s="272">
        <f t="shared" si="155"/>
        <v>16</v>
      </c>
      <c r="AP383" s="272">
        <f t="shared" si="144"/>
        <v>16.852494067725871</v>
      </c>
      <c r="AQ383" s="272">
        <f t="shared" si="156"/>
        <v>16</v>
      </c>
      <c r="AR383" s="272">
        <f t="shared" si="145"/>
        <v>16.852494067725871</v>
      </c>
      <c r="AS383" s="272">
        <f t="shared" si="157"/>
        <v>16</v>
      </c>
      <c r="AT383" s="508">
        <f t="shared" si="146"/>
        <v>16.852494067725871</v>
      </c>
    </row>
    <row r="384" spans="1:46" ht="12.75" customHeight="1">
      <c r="A384" s="96">
        <f>IF(MAX($F$93:F384)=$G$88,$G$88,F384)</f>
        <v>3.2057712852183653</v>
      </c>
      <c r="B384" s="481">
        <v>292</v>
      </c>
      <c r="C384" s="96">
        <f t="shared" si="162"/>
        <v>0.43800000000000033</v>
      </c>
      <c r="D384" s="96">
        <f t="shared" si="159"/>
        <v>12.468454501611378</v>
      </c>
      <c r="E384" s="96">
        <f t="shared" si="160"/>
        <v>0.48965474094792028</v>
      </c>
      <c r="F384" s="96">
        <f t="shared" si="158"/>
        <v>3.1916133907162378</v>
      </c>
      <c r="G384" s="96">
        <f t="shared" si="161"/>
        <v>3.0756133907162377</v>
      </c>
      <c r="I384" s="96">
        <f t="shared" si="163"/>
        <v>1</v>
      </c>
      <c r="J384" s="96">
        <f t="shared" si="164"/>
        <v>0.43800000000000033</v>
      </c>
      <c r="Y384" s="96">
        <f t="shared" si="147"/>
        <v>18</v>
      </c>
      <c r="Z384" s="96">
        <v>0.39800000000000002</v>
      </c>
      <c r="AA384" s="272">
        <f t="shared" si="148"/>
        <v>18</v>
      </c>
      <c r="AB384" s="519">
        <f t="shared" si="149"/>
        <v>14.5506129416964</v>
      </c>
      <c r="AC384" s="272">
        <f t="shared" si="137"/>
        <v>14</v>
      </c>
      <c r="AD384" s="272">
        <f t="shared" si="138"/>
        <v>17.424218737677155</v>
      </c>
      <c r="AE384" s="272">
        <f t="shared" si="150"/>
        <v>15</v>
      </c>
      <c r="AF384" s="272">
        <f t="shared" si="139"/>
        <v>17.208190916138104</v>
      </c>
      <c r="AG384" s="272">
        <f t="shared" si="151"/>
        <v>16</v>
      </c>
      <c r="AH384" s="272">
        <f t="shared" si="140"/>
        <v>17.022291424687122</v>
      </c>
      <c r="AI384" s="272">
        <f t="shared" si="152"/>
        <v>17</v>
      </c>
      <c r="AJ384" s="272">
        <f t="shared" si="141"/>
        <v>16.860641238654317</v>
      </c>
      <c r="AK384" s="272">
        <f t="shared" si="153"/>
        <v>16</v>
      </c>
      <c r="AL384" s="272">
        <f t="shared" si="142"/>
        <v>17.022291424687122</v>
      </c>
      <c r="AM384" s="272">
        <f t="shared" si="154"/>
        <v>17</v>
      </c>
      <c r="AN384" s="272">
        <f t="shared" si="143"/>
        <v>16.860641238654317</v>
      </c>
      <c r="AO384" s="272">
        <f t="shared" si="155"/>
        <v>16</v>
      </c>
      <c r="AP384" s="272">
        <f t="shared" si="144"/>
        <v>17.022291424687122</v>
      </c>
      <c r="AQ384" s="272">
        <f t="shared" si="156"/>
        <v>17</v>
      </c>
      <c r="AR384" s="272">
        <f t="shared" si="145"/>
        <v>16.860641238654317</v>
      </c>
      <c r="AS384" s="272">
        <f t="shared" si="157"/>
        <v>16</v>
      </c>
      <c r="AT384" s="508">
        <f t="shared" si="146"/>
        <v>17.022291424687122</v>
      </c>
    </row>
    <row r="385" spans="1:46" ht="12.75" customHeight="1">
      <c r="A385" s="96">
        <f>IF(MAX($F$93:F385)=$G$88,$G$88,F385)</f>
        <v>3.2057712852183653</v>
      </c>
      <c r="B385" s="481">
        <v>293</v>
      </c>
      <c r="C385" s="96">
        <f t="shared" si="162"/>
        <v>0.43950000000000033</v>
      </c>
      <c r="D385" s="96">
        <f t="shared" si="159"/>
        <v>12.554001108426009</v>
      </c>
      <c r="E385" s="96">
        <f t="shared" si="160"/>
        <v>0.48282105521306762</v>
      </c>
      <c r="F385" s="96">
        <f t="shared" si="158"/>
        <v>3.1860413741956659</v>
      </c>
      <c r="G385" s="96">
        <f t="shared" si="161"/>
        <v>3.0700413741956658</v>
      </c>
      <c r="I385" s="96">
        <f t="shared" si="163"/>
        <v>1</v>
      </c>
      <c r="J385" s="96">
        <f t="shared" si="164"/>
        <v>0.43950000000000033</v>
      </c>
      <c r="Y385" s="96">
        <f t="shared" si="147"/>
        <v>18</v>
      </c>
      <c r="Z385" s="96">
        <v>0.39600000000000002</v>
      </c>
      <c r="AA385" s="272">
        <f t="shared" si="148"/>
        <v>18</v>
      </c>
      <c r="AB385" s="519">
        <f t="shared" si="149"/>
        <v>14.697959981229442</v>
      </c>
      <c r="AC385" s="272">
        <f t="shared" si="137"/>
        <v>14</v>
      </c>
      <c r="AD385" s="272">
        <f t="shared" si="138"/>
        <v>17.600665397172556</v>
      </c>
      <c r="AE385" s="272">
        <f t="shared" si="150"/>
        <v>15</v>
      </c>
      <c r="AF385" s="272">
        <f t="shared" si="139"/>
        <v>17.382449966074507</v>
      </c>
      <c r="AG385" s="272">
        <f t="shared" si="151"/>
        <v>16</v>
      </c>
      <c r="AH385" s="272">
        <f t="shared" si="140"/>
        <v>17.194667960132506</v>
      </c>
      <c r="AI385" s="272">
        <f t="shared" si="152"/>
        <v>17</v>
      </c>
      <c r="AJ385" s="272">
        <f t="shared" si="141"/>
        <v>17.031380820629263</v>
      </c>
      <c r="AK385" s="272">
        <f t="shared" si="153"/>
        <v>17</v>
      </c>
      <c r="AL385" s="272">
        <f t="shared" si="142"/>
        <v>17.031380820629263</v>
      </c>
      <c r="AM385" s="272">
        <f t="shared" si="154"/>
        <v>17</v>
      </c>
      <c r="AN385" s="272">
        <f t="shared" si="143"/>
        <v>17.031380820629263</v>
      </c>
      <c r="AO385" s="272">
        <f t="shared" si="155"/>
        <v>17</v>
      </c>
      <c r="AP385" s="272">
        <f t="shared" si="144"/>
        <v>17.031380820629263</v>
      </c>
      <c r="AQ385" s="272">
        <f t="shared" si="156"/>
        <v>17</v>
      </c>
      <c r="AR385" s="272">
        <f t="shared" si="145"/>
        <v>17.031380820629263</v>
      </c>
      <c r="AS385" s="272">
        <f t="shared" si="157"/>
        <v>17</v>
      </c>
      <c r="AT385" s="508">
        <f t="shared" si="146"/>
        <v>17.031380820629263</v>
      </c>
    </row>
    <row r="386" spans="1:46" ht="12.75" customHeight="1">
      <c r="A386" s="96">
        <f>IF(MAX($F$93:F386)=$G$88,$G$88,F386)</f>
        <v>3.2057712852183653</v>
      </c>
      <c r="B386" s="481">
        <v>294</v>
      </c>
      <c r="C386" s="96">
        <f t="shared" si="162"/>
        <v>0.44100000000000034</v>
      </c>
      <c r="D386" s="96">
        <f t="shared" si="159"/>
        <v>12.639840182272485</v>
      </c>
      <c r="E386" s="96">
        <f t="shared" si="160"/>
        <v>0.47600027791565314</v>
      </c>
      <c r="F386" s="96">
        <f t="shared" si="158"/>
        <v>3.179569607096751</v>
      </c>
      <c r="G386" s="96">
        <f t="shared" si="161"/>
        <v>3.0635696070967509</v>
      </c>
      <c r="I386" s="96">
        <f t="shared" si="163"/>
        <v>1</v>
      </c>
      <c r="J386" s="96">
        <f t="shared" si="164"/>
        <v>0.44100000000000034</v>
      </c>
      <c r="Y386" s="96">
        <f t="shared" si="147"/>
        <v>18</v>
      </c>
      <c r="Z386" s="96">
        <v>0.39400000000000002</v>
      </c>
      <c r="AA386" s="272">
        <f t="shared" si="148"/>
        <v>18</v>
      </c>
      <c r="AB386" s="519">
        <f t="shared" si="149"/>
        <v>14.847556574612053</v>
      </c>
      <c r="AC386" s="272">
        <f t="shared" si="137"/>
        <v>14</v>
      </c>
      <c r="AD386" s="272">
        <f t="shared" si="138"/>
        <v>17.779805875718338</v>
      </c>
      <c r="AE386" s="272">
        <f t="shared" si="150"/>
        <v>15</v>
      </c>
      <c r="AF386" s="272">
        <f t="shared" si="139"/>
        <v>17.559369436728208</v>
      </c>
      <c r="AG386" s="272">
        <f t="shared" si="151"/>
        <v>16</v>
      </c>
      <c r="AH386" s="272">
        <f t="shared" si="140"/>
        <v>17.369676175862168</v>
      </c>
      <c r="AI386" s="272">
        <f t="shared" si="152"/>
        <v>17</v>
      </c>
      <c r="AJ386" s="272">
        <f t="shared" si="141"/>
        <v>17.204727091446561</v>
      </c>
      <c r="AK386" s="272">
        <f t="shared" si="153"/>
        <v>17</v>
      </c>
      <c r="AL386" s="272">
        <f t="shared" si="142"/>
        <v>17.204727091446561</v>
      </c>
      <c r="AM386" s="272">
        <f t="shared" si="154"/>
        <v>17</v>
      </c>
      <c r="AN386" s="272">
        <f t="shared" si="143"/>
        <v>17.204727091446561</v>
      </c>
      <c r="AO386" s="272">
        <f t="shared" si="155"/>
        <v>17</v>
      </c>
      <c r="AP386" s="272">
        <f t="shared" si="144"/>
        <v>17.204727091446561</v>
      </c>
      <c r="AQ386" s="272">
        <f t="shared" si="156"/>
        <v>17</v>
      </c>
      <c r="AR386" s="272">
        <f t="shared" si="145"/>
        <v>17.204727091446561</v>
      </c>
      <c r="AS386" s="272">
        <f t="shared" si="157"/>
        <v>17</v>
      </c>
      <c r="AT386" s="508">
        <f t="shared" si="146"/>
        <v>17.204727091446561</v>
      </c>
    </row>
    <row r="387" spans="1:46" ht="12.75" customHeight="1">
      <c r="A387" s="96">
        <f>IF(MAX($F$93:F387)=$G$88,$G$88,F387)</f>
        <v>3.2057712852183653</v>
      </c>
      <c r="B387" s="481">
        <v>295</v>
      </c>
      <c r="C387" s="96">
        <f t="shared" si="162"/>
        <v>0.44250000000000034</v>
      </c>
      <c r="D387" s="96">
        <f t="shared" si="159"/>
        <v>12.725971723150804</v>
      </c>
      <c r="E387" s="96">
        <f t="shared" si="160"/>
        <v>0.46919432832551011</v>
      </c>
      <c r="F387" s="96">
        <f t="shared" si="158"/>
        <v>3.1722066221436873</v>
      </c>
      <c r="G387" s="96">
        <f t="shared" si="161"/>
        <v>3.0562066221436872</v>
      </c>
      <c r="I387" s="96">
        <f t="shared" si="163"/>
        <v>1</v>
      </c>
      <c r="J387" s="96">
        <f t="shared" si="164"/>
        <v>0.44250000000000034</v>
      </c>
      <c r="Y387" s="96">
        <f t="shared" si="147"/>
        <v>18</v>
      </c>
      <c r="Z387" s="96">
        <v>0.39200000000000002</v>
      </c>
      <c r="AA387" s="272">
        <f t="shared" si="148"/>
        <v>18</v>
      </c>
      <c r="AB387" s="519">
        <f t="shared" si="149"/>
        <v>14.999448748024756</v>
      </c>
      <c r="AC387" s="272">
        <f t="shared" si="137"/>
        <v>14</v>
      </c>
      <c r="AD387" s="272">
        <f t="shared" si="138"/>
        <v>17.961695289222014</v>
      </c>
      <c r="AE387" s="272">
        <f t="shared" si="150"/>
        <v>15</v>
      </c>
      <c r="AF387" s="272">
        <f t="shared" si="139"/>
        <v>17.739003760672247</v>
      </c>
      <c r="AG387" s="272">
        <f t="shared" si="151"/>
        <v>16</v>
      </c>
      <c r="AH387" s="272">
        <f t="shared" si="140"/>
        <v>17.547369916415946</v>
      </c>
      <c r="AI387" s="272">
        <f t="shared" si="152"/>
        <v>17</v>
      </c>
      <c r="AJ387" s="272">
        <f t="shared" si="141"/>
        <v>17.380733384317718</v>
      </c>
      <c r="AK387" s="272">
        <f t="shared" si="153"/>
        <v>17</v>
      </c>
      <c r="AL387" s="272">
        <f t="shared" si="142"/>
        <v>17.380733384317718</v>
      </c>
      <c r="AM387" s="272">
        <f t="shared" si="154"/>
        <v>17</v>
      </c>
      <c r="AN387" s="272">
        <f t="shared" si="143"/>
        <v>17.380733384317718</v>
      </c>
      <c r="AO387" s="272">
        <f t="shared" si="155"/>
        <v>17</v>
      </c>
      <c r="AP387" s="272">
        <f t="shared" si="144"/>
        <v>17.380733384317718</v>
      </c>
      <c r="AQ387" s="272">
        <f t="shared" si="156"/>
        <v>17</v>
      </c>
      <c r="AR387" s="272">
        <f t="shared" si="145"/>
        <v>17.380733384317718</v>
      </c>
      <c r="AS387" s="272">
        <f t="shared" si="157"/>
        <v>17</v>
      </c>
      <c r="AT387" s="508">
        <f t="shared" si="146"/>
        <v>17.380733384317718</v>
      </c>
    </row>
    <row r="388" spans="1:46" ht="12.75" customHeight="1">
      <c r="A388" s="96">
        <f>IF(MAX($F$93:F388)=$G$88,$G$88,F388)</f>
        <v>3.2057712852183653</v>
      </c>
      <c r="B388" s="481">
        <v>296</v>
      </c>
      <c r="C388" s="96">
        <f t="shared" si="162"/>
        <v>0.44400000000000034</v>
      </c>
      <c r="D388" s="96">
        <f t="shared" si="159"/>
        <v>12.81239573106097</v>
      </c>
      <c r="E388" s="96">
        <f t="shared" si="160"/>
        <v>0.46240510667789447</v>
      </c>
      <c r="F388" s="96">
        <f t="shared" si="158"/>
        <v>3.1639616442064775</v>
      </c>
      <c r="G388" s="96">
        <f t="shared" si="161"/>
        <v>3.0479616442064774</v>
      </c>
      <c r="I388" s="96">
        <f t="shared" si="163"/>
        <v>1</v>
      </c>
      <c r="J388" s="96">
        <f t="shared" si="164"/>
        <v>0.44400000000000034</v>
      </c>
      <c r="Y388" s="96">
        <f t="shared" si="147"/>
        <v>18</v>
      </c>
      <c r="Z388" s="96">
        <v>0.39</v>
      </c>
      <c r="AA388" s="272">
        <f t="shared" si="148"/>
        <v>18</v>
      </c>
      <c r="AB388" s="519">
        <f t="shared" si="149"/>
        <v>15.153683710824961</v>
      </c>
      <c r="AC388" s="272">
        <f t="shared" si="137"/>
        <v>15</v>
      </c>
      <c r="AD388" s="272">
        <f t="shared" si="138"/>
        <v>17.921408769756347</v>
      </c>
      <c r="AE388" s="272">
        <f t="shared" si="150"/>
        <v>16</v>
      </c>
      <c r="AF388" s="272">
        <f t="shared" si="139"/>
        <v>17.727804410494009</v>
      </c>
      <c r="AG388" s="272">
        <f t="shared" si="151"/>
        <v>17</v>
      </c>
      <c r="AH388" s="272">
        <f t="shared" si="140"/>
        <v>17.559454403470077</v>
      </c>
      <c r="AI388" s="272">
        <f t="shared" si="152"/>
        <v>17</v>
      </c>
      <c r="AJ388" s="272">
        <f t="shared" si="141"/>
        <v>17.559454403470077</v>
      </c>
      <c r="AK388" s="272">
        <f t="shared" si="153"/>
        <v>17</v>
      </c>
      <c r="AL388" s="272">
        <f t="shared" si="142"/>
        <v>17.559454403470077</v>
      </c>
      <c r="AM388" s="272">
        <f t="shared" si="154"/>
        <v>17</v>
      </c>
      <c r="AN388" s="272">
        <f t="shared" si="143"/>
        <v>17.559454403470077</v>
      </c>
      <c r="AO388" s="272">
        <f t="shared" si="155"/>
        <v>17</v>
      </c>
      <c r="AP388" s="272">
        <f t="shared" si="144"/>
        <v>17.559454403470077</v>
      </c>
      <c r="AQ388" s="272">
        <f t="shared" si="156"/>
        <v>17</v>
      </c>
      <c r="AR388" s="272">
        <f t="shared" si="145"/>
        <v>17.559454403470077</v>
      </c>
      <c r="AS388" s="272">
        <f t="shared" si="157"/>
        <v>17</v>
      </c>
      <c r="AT388" s="508">
        <f t="shared" si="146"/>
        <v>17.559454403470077</v>
      </c>
    </row>
    <row r="389" spans="1:46" ht="12.75" customHeight="1">
      <c r="A389" s="96">
        <f>IF(MAX($F$93:F389)=$G$88,$G$88,F389)</f>
        <v>3.2057712852183653</v>
      </c>
      <c r="B389" s="481">
        <v>297</v>
      </c>
      <c r="C389" s="96">
        <f t="shared" si="162"/>
        <v>0.44550000000000034</v>
      </c>
      <c r="D389" s="96">
        <f t="shared" si="159"/>
        <v>12.899112206002979</v>
      </c>
      <c r="E389" s="96">
        <f t="shared" si="160"/>
        <v>0.45563449270748235</v>
      </c>
      <c r="F389" s="96">
        <f t="shared" si="158"/>
        <v>3.1548445738839188</v>
      </c>
      <c r="G389" s="96">
        <f t="shared" si="161"/>
        <v>3.0388445738839187</v>
      </c>
      <c r="I389" s="96">
        <f t="shared" si="163"/>
        <v>1</v>
      </c>
      <c r="J389" s="96">
        <f t="shared" si="164"/>
        <v>0.44550000000000034</v>
      </c>
      <c r="Y389" s="96">
        <f t="shared" si="147"/>
        <v>18</v>
      </c>
      <c r="Z389" s="96">
        <v>0.38800000000000001</v>
      </c>
      <c r="AA389" s="272">
        <f t="shared" si="148"/>
        <v>18</v>
      </c>
      <c r="AB389" s="519">
        <f t="shared" si="149"/>
        <v>15.310309892234006</v>
      </c>
      <c r="AC389" s="272">
        <f t="shared" ref="AC389:AC452" si="165">ROUNDUP(AB389,0)-1</f>
        <v>15</v>
      </c>
      <c r="AD389" s="272">
        <f t="shared" ref="AD389:AD452" si="166">MAX((TINV(1-$C$69/100,AC389)/$Z389)^2*$D$65,$C$68)</f>
        <v>18.106641738494659</v>
      </c>
      <c r="AE389" s="272">
        <f t="shared" si="150"/>
        <v>16</v>
      </c>
      <c r="AF389" s="272">
        <f t="shared" ref="AF389:AF452" si="167">MAX((TINV(1-$C$69/100,AE389)/$Z389)^2*$D$65,$C$68)</f>
        <v>17.91103631387594</v>
      </c>
      <c r="AG389" s="272">
        <f t="shared" si="151"/>
        <v>17</v>
      </c>
      <c r="AH389" s="272">
        <f t="shared" ref="AH389:AH452" si="168">MAX((TINV(1-$C$69/100,AG389)/$Z389)^2*$D$65,$C$68)</f>
        <v>17.740946266658241</v>
      </c>
      <c r="AI389" s="272">
        <f t="shared" si="152"/>
        <v>17</v>
      </c>
      <c r="AJ389" s="272">
        <f t="shared" ref="AJ389:AJ452" si="169">MAX((TINV(1-$C$69/100,AI389)/$Z389)^2*$D$65,$C$68)</f>
        <v>17.740946266658241</v>
      </c>
      <c r="AK389" s="272">
        <f t="shared" si="153"/>
        <v>17</v>
      </c>
      <c r="AL389" s="272">
        <f t="shared" ref="AL389:AL452" si="170">MAX((TINV(1-$C$69/100,AK389)/$Z389)^2*$D$65,$C$68)</f>
        <v>17.740946266658241</v>
      </c>
      <c r="AM389" s="272">
        <f t="shared" si="154"/>
        <v>17</v>
      </c>
      <c r="AN389" s="272">
        <f t="shared" ref="AN389:AN452" si="171">MAX((TINV(1-$C$69/100,AM389)/$Z389)^2*$D$65,$C$68)</f>
        <v>17.740946266658241</v>
      </c>
      <c r="AO389" s="272">
        <f t="shared" si="155"/>
        <v>17</v>
      </c>
      <c r="AP389" s="272">
        <f t="shared" ref="AP389:AP452" si="172">MAX((TINV(1-$C$69/100,AO389)/$Z389)^2*$D$65,$C$68)</f>
        <v>17.740946266658241</v>
      </c>
      <c r="AQ389" s="272">
        <f t="shared" si="156"/>
        <v>17</v>
      </c>
      <c r="AR389" s="272">
        <f t="shared" ref="AR389:AR452" si="173">MAX((TINV(1-$C$69/100,AQ389)/$Z389)^2*$D$65,$C$68)</f>
        <v>17.740946266658241</v>
      </c>
      <c r="AS389" s="272">
        <f t="shared" si="157"/>
        <v>17</v>
      </c>
      <c r="AT389" s="508">
        <f t="shared" ref="AT389:AT452" si="174">MAX((TINV(1-$C$69/100,AS389)/$Z389)^2*$D$65,$C$68)</f>
        <v>17.740946266658241</v>
      </c>
    </row>
    <row r="390" spans="1:46" ht="12.75" customHeight="1">
      <c r="A390" s="96">
        <f>IF(MAX($F$93:F390)=$G$88,$G$88,F390)</f>
        <v>3.2057712852183653</v>
      </c>
      <c r="B390" s="481">
        <v>298</v>
      </c>
      <c r="C390" s="96">
        <f t="shared" si="162"/>
        <v>0.44700000000000034</v>
      </c>
      <c r="D390" s="96">
        <f t="shared" si="159"/>
        <v>12.986121147976835</v>
      </c>
      <c r="E390" s="96">
        <f t="shared" si="160"/>
        <v>0.44888434421839196</v>
      </c>
      <c r="F390" s="96">
        <f t="shared" si="158"/>
        <v>3.1448791185100817</v>
      </c>
      <c r="G390" s="96">
        <f t="shared" si="161"/>
        <v>3.0288791185100816</v>
      </c>
      <c r="I390" s="96">
        <f t="shared" si="163"/>
        <v>1</v>
      </c>
      <c r="J390" s="96">
        <f t="shared" si="164"/>
        <v>0.44700000000000034</v>
      </c>
      <c r="Y390" s="96">
        <f t="shared" ref="Y390:Y453" si="175">AA390</f>
        <v>18</v>
      </c>
      <c r="Z390" s="96">
        <v>0.38600000000000001</v>
      </c>
      <c r="AA390" s="272">
        <f t="shared" si="148"/>
        <v>18</v>
      </c>
      <c r="AB390" s="519">
        <f t="shared" si="149"/>
        <v>15.469376979358348</v>
      </c>
      <c r="AC390" s="272">
        <f t="shared" si="165"/>
        <v>15</v>
      </c>
      <c r="AD390" s="272">
        <f t="shared" si="166"/>
        <v>18.294761429031251</v>
      </c>
      <c r="AE390" s="272">
        <f t="shared" si="150"/>
        <v>16</v>
      </c>
      <c r="AF390" s="272">
        <f t="shared" si="167"/>
        <v>18.09712375390037</v>
      </c>
      <c r="AG390" s="272">
        <f t="shared" si="151"/>
        <v>17</v>
      </c>
      <c r="AH390" s="272">
        <f t="shared" si="168"/>
        <v>17.925266549221444</v>
      </c>
      <c r="AI390" s="272">
        <f t="shared" si="152"/>
        <v>17</v>
      </c>
      <c r="AJ390" s="272">
        <f t="shared" si="169"/>
        <v>17.925266549221444</v>
      </c>
      <c r="AK390" s="272">
        <f t="shared" si="153"/>
        <v>17</v>
      </c>
      <c r="AL390" s="272">
        <f t="shared" si="170"/>
        <v>17.925266549221444</v>
      </c>
      <c r="AM390" s="272">
        <f t="shared" si="154"/>
        <v>17</v>
      </c>
      <c r="AN390" s="272">
        <f t="shared" si="171"/>
        <v>17.925266549221444</v>
      </c>
      <c r="AO390" s="272">
        <f t="shared" si="155"/>
        <v>17</v>
      </c>
      <c r="AP390" s="272">
        <f t="shared" si="172"/>
        <v>17.925266549221444</v>
      </c>
      <c r="AQ390" s="272">
        <f t="shared" si="156"/>
        <v>17</v>
      </c>
      <c r="AR390" s="272">
        <f t="shared" si="173"/>
        <v>17.925266549221444</v>
      </c>
      <c r="AS390" s="272">
        <f t="shared" si="157"/>
        <v>17</v>
      </c>
      <c r="AT390" s="508">
        <f t="shared" si="174"/>
        <v>17.925266549221444</v>
      </c>
    </row>
    <row r="391" spans="1:46" ht="12.75" customHeight="1">
      <c r="A391" s="96">
        <f>IF(MAX($F$93:F391)=$G$88,$G$88,F391)</f>
        <v>3.2057712852183653</v>
      </c>
      <c r="B391" s="481">
        <v>299</v>
      </c>
      <c r="C391" s="96">
        <f t="shared" si="162"/>
        <v>0.44850000000000034</v>
      </c>
      <c r="D391" s="96">
        <f t="shared" si="159"/>
        <v>13.073422556982536</v>
      </c>
      <c r="E391" s="96">
        <f t="shared" si="160"/>
        <v>0.44215643934243914</v>
      </c>
      <c r="F391" s="96">
        <f t="shared" si="158"/>
        <v>3.1340520472070699</v>
      </c>
      <c r="G391" s="96">
        <f t="shared" si="161"/>
        <v>3.0180520472070698</v>
      </c>
      <c r="I391" s="96">
        <f t="shared" si="163"/>
        <v>1</v>
      </c>
      <c r="J391" s="96">
        <f t="shared" si="164"/>
        <v>0.44850000000000034</v>
      </c>
      <c r="Y391" s="96">
        <f t="shared" si="175"/>
        <v>19</v>
      </c>
      <c r="Z391" s="96">
        <v>0.38400000000000001</v>
      </c>
      <c r="AA391" s="272">
        <f t="shared" ref="AA391:AA454" si="176">1+MAX(AQ391,AS391)</f>
        <v>19</v>
      </c>
      <c r="AB391" s="519">
        <f t="shared" ref="AB391:AB454" si="177">MAX(($C$72/Z391)^2*$D$65,$C$68)</f>
        <v>15.63093595660045</v>
      </c>
      <c r="AC391" s="272">
        <f t="shared" si="165"/>
        <v>15</v>
      </c>
      <c r="AD391" s="272">
        <f t="shared" si="166"/>
        <v>18.485828137749163</v>
      </c>
      <c r="AE391" s="272">
        <f t="shared" ref="AE391:AE454" si="178">MAX(MIN(ROUNDUP(AD391,0)-1,AC391+1),AC391-1)</f>
        <v>16</v>
      </c>
      <c r="AF391" s="272">
        <f t="shared" si="167"/>
        <v>18.286126375570607</v>
      </c>
      <c r="AG391" s="272">
        <f t="shared" ref="AG391:AG454" si="179">MAX(MIN(ROUNDUP(AF391,0)-1,AE391+1),AE391-1)</f>
        <v>17</v>
      </c>
      <c r="AH391" s="272">
        <f t="shared" si="168"/>
        <v>18.112474329751233</v>
      </c>
      <c r="AI391" s="272">
        <f t="shared" ref="AI391:AI454" si="180">MAX(MIN(ROUNDUP(AH391,0)-1,AG391+1),AG391-1)</f>
        <v>18</v>
      </c>
      <c r="AJ391" s="272">
        <f t="shared" si="169"/>
        <v>17.96009686266655</v>
      </c>
      <c r="AK391" s="272">
        <f t="shared" ref="AK391:AK454" si="181">MAX(MIN(ROUNDUP(AJ391,0)-1,AI391+1),AI391-1)</f>
        <v>17</v>
      </c>
      <c r="AL391" s="272">
        <f t="shared" si="170"/>
        <v>18.112474329751233</v>
      </c>
      <c r="AM391" s="272">
        <f t="shared" ref="AM391:AM454" si="182">MAX(MIN(ROUNDUP(AL391,0)-1,AK391+1),AK391-1)</f>
        <v>18</v>
      </c>
      <c r="AN391" s="272">
        <f t="shared" si="171"/>
        <v>17.96009686266655</v>
      </c>
      <c r="AO391" s="272">
        <f t="shared" ref="AO391:AO454" si="183">MAX(MIN(ROUNDUP(AN391,0)-1,AM391+1),AM391-1)</f>
        <v>17</v>
      </c>
      <c r="AP391" s="272">
        <f t="shared" si="172"/>
        <v>18.112474329751233</v>
      </c>
      <c r="AQ391" s="272">
        <f t="shared" ref="AQ391:AQ454" si="184">MAX(MIN(ROUNDUP(AP391,0)-1,AO391+1),AO391-1)</f>
        <v>18</v>
      </c>
      <c r="AR391" s="272">
        <f t="shared" si="173"/>
        <v>17.96009686266655</v>
      </c>
      <c r="AS391" s="272">
        <f t="shared" ref="AS391:AS454" si="185">MAX(MIN(ROUNDUP(AR391,0)-1,AQ391+1),AQ391-1)</f>
        <v>17</v>
      </c>
      <c r="AT391" s="508">
        <f t="shared" si="174"/>
        <v>18.112474329751233</v>
      </c>
    </row>
    <row r="392" spans="1:46" ht="12.75" customHeight="1">
      <c r="A392" s="96">
        <f>IF(MAX($F$93:F392)=$G$88,$G$88,F392)</f>
        <v>3.2057712852183653</v>
      </c>
      <c r="B392" s="481">
        <v>300</v>
      </c>
      <c r="C392" s="96">
        <f t="shared" si="162"/>
        <v>0.45000000000000034</v>
      </c>
      <c r="D392" s="96">
        <f t="shared" si="159"/>
        <v>13.16101643302008</v>
      </c>
      <c r="E392" s="96">
        <f t="shared" si="160"/>
        <v>0.43545269258750452</v>
      </c>
      <c r="F392" s="96">
        <f t="shared" si="158"/>
        <v>3.1223735325616024</v>
      </c>
      <c r="G392" s="96">
        <f t="shared" si="161"/>
        <v>3.0063735325616023</v>
      </c>
      <c r="I392" s="96">
        <f t="shared" si="163"/>
        <v>1</v>
      </c>
      <c r="J392" s="96">
        <f t="shared" si="164"/>
        <v>0.45000000000000034</v>
      </c>
      <c r="Y392" s="96">
        <f t="shared" si="175"/>
        <v>19</v>
      </c>
      <c r="Z392" s="96">
        <v>0.38200000000000001</v>
      </c>
      <c r="AA392" s="272">
        <f t="shared" si="176"/>
        <v>19</v>
      </c>
      <c r="AB392" s="519">
        <f t="shared" si="177"/>
        <v>15.79503914651789</v>
      </c>
      <c r="AC392" s="272">
        <f t="shared" si="165"/>
        <v>15</v>
      </c>
      <c r="AD392" s="272">
        <f t="shared" si="166"/>
        <v>18.679903743592142</v>
      </c>
      <c r="AE392" s="272">
        <f t="shared" si="178"/>
        <v>16</v>
      </c>
      <c r="AF392" s="272">
        <f t="shared" si="167"/>
        <v>18.478105389354319</v>
      </c>
      <c r="AG392" s="272">
        <f t="shared" si="179"/>
        <v>17</v>
      </c>
      <c r="AH392" s="272">
        <f t="shared" si="168"/>
        <v>18.302630237437285</v>
      </c>
      <c r="AI392" s="272">
        <f t="shared" si="180"/>
        <v>18</v>
      </c>
      <c r="AJ392" s="272">
        <f t="shared" si="169"/>
        <v>18.148653017881635</v>
      </c>
      <c r="AK392" s="272">
        <f t="shared" si="181"/>
        <v>18</v>
      </c>
      <c r="AL392" s="272">
        <f t="shared" si="170"/>
        <v>18.148653017881635</v>
      </c>
      <c r="AM392" s="272">
        <f t="shared" si="182"/>
        <v>18</v>
      </c>
      <c r="AN392" s="272">
        <f t="shared" si="171"/>
        <v>18.148653017881635</v>
      </c>
      <c r="AO392" s="272">
        <f t="shared" si="183"/>
        <v>18</v>
      </c>
      <c r="AP392" s="272">
        <f t="shared" si="172"/>
        <v>18.148653017881635</v>
      </c>
      <c r="AQ392" s="272">
        <f t="shared" si="184"/>
        <v>18</v>
      </c>
      <c r="AR392" s="272">
        <f t="shared" si="173"/>
        <v>18.148653017881635</v>
      </c>
      <c r="AS392" s="272">
        <f t="shared" si="185"/>
        <v>18</v>
      </c>
      <c r="AT392" s="508">
        <f t="shared" si="174"/>
        <v>18.148653017881635</v>
      </c>
    </row>
    <row r="393" spans="1:46" ht="12.75" customHeight="1">
      <c r="A393" s="96">
        <f>IF(MAX($F$93:F393)=$G$88,$G$88,F393)</f>
        <v>3.2057712852183653</v>
      </c>
      <c r="B393" s="481">
        <v>301</v>
      </c>
      <c r="C393" s="96">
        <f t="shared" si="162"/>
        <v>0.45150000000000035</v>
      </c>
      <c r="D393" s="96">
        <f t="shared" si="159"/>
        <v>13.248902776089469</v>
      </c>
      <c r="E393" s="96">
        <f t="shared" si="160"/>
        <v>0.4287748384886037</v>
      </c>
      <c r="F393" s="96">
        <f t="shared" si="158"/>
        <v>3.1098804562490772</v>
      </c>
      <c r="G393" s="96">
        <f t="shared" si="161"/>
        <v>2.9938804562490771</v>
      </c>
      <c r="I393" s="96">
        <f t="shared" si="163"/>
        <v>1</v>
      </c>
      <c r="J393" s="96">
        <f t="shared" si="164"/>
        <v>0.45150000000000035</v>
      </c>
      <c r="Y393" s="96">
        <f t="shared" si="175"/>
        <v>19</v>
      </c>
      <c r="Z393" s="96">
        <v>0.38</v>
      </c>
      <c r="AA393" s="272">
        <f t="shared" si="176"/>
        <v>19</v>
      </c>
      <c r="AB393" s="519">
        <f t="shared" si="177"/>
        <v>15.961740252191669</v>
      </c>
      <c r="AC393" s="272">
        <f t="shared" si="165"/>
        <v>15</v>
      </c>
      <c r="AD393" s="272">
        <f t="shared" si="166"/>
        <v>18.877051758171334</v>
      </c>
      <c r="AE393" s="272">
        <f t="shared" si="178"/>
        <v>16</v>
      </c>
      <c r="AF393" s="272">
        <f t="shared" si="167"/>
        <v>18.673123620748889</v>
      </c>
      <c r="AG393" s="272">
        <f t="shared" si="179"/>
        <v>17</v>
      </c>
      <c r="AH393" s="272">
        <f t="shared" si="168"/>
        <v>18.495796501162037</v>
      </c>
      <c r="AI393" s="272">
        <f t="shared" si="180"/>
        <v>18</v>
      </c>
      <c r="AJ393" s="272">
        <f t="shared" si="169"/>
        <v>18.340194203472016</v>
      </c>
      <c r="AK393" s="272">
        <f t="shared" si="181"/>
        <v>18</v>
      </c>
      <c r="AL393" s="272">
        <f t="shared" si="170"/>
        <v>18.340194203472016</v>
      </c>
      <c r="AM393" s="272">
        <f t="shared" si="182"/>
        <v>18</v>
      </c>
      <c r="AN393" s="272">
        <f t="shared" si="171"/>
        <v>18.340194203472016</v>
      </c>
      <c r="AO393" s="272">
        <f t="shared" si="183"/>
        <v>18</v>
      </c>
      <c r="AP393" s="272">
        <f t="shared" si="172"/>
        <v>18.340194203472016</v>
      </c>
      <c r="AQ393" s="272">
        <f t="shared" si="184"/>
        <v>18</v>
      </c>
      <c r="AR393" s="272">
        <f t="shared" si="173"/>
        <v>18.340194203472016</v>
      </c>
      <c r="AS393" s="272">
        <f t="shared" si="185"/>
        <v>18</v>
      </c>
      <c r="AT393" s="508">
        <f t="shared" si="174"/>
        <v>18.340194203472016</v>
      </c>
    </row>
    <row r="394" spans="1:46" ht="12.75" customHeight="1">
      <c r="A394" s="96">
        <f>IF(MAX($F$93:F394)=$G$88,$G$88,F394)</f>
        <v>3.2057712852183653</v>
      </c>
      <c r="B394" s="481">
        <v>302</v>
      </c>
      <c r="C394" s="96">
        <f t="shared" si="162"/>
        <v>0.45300000000000035</v>
      </c>
      <c r="D394" s="96">
        <f t="shared" si="159"/>
        <v>13.337081586190704</v>
      </c>
      <c r="E394" s="96">
        <f t="shared" si="160"/>
        <v>0.42212463348929419</v>
      </c>
      <c r="F394" s="96">
        <f t="shared" si="158"/>
        <v>3.0965743561143211</v>
      </c>
      <c r="G394" s="96">
        <f t="shared" si="161"/>
        <v>2.980574356114321</v>
      </c>
      <c r="I394" s="96">
        <f t="shared" si="163"/>
        <v>1</v>
      </c>
      <c r="J394" s="96">
        <f t="shared" si="164"/>
        <v>0.45300000000000035</v>
      </c>
      <c r="Y394" s="96">
        <f t="shared" si="175"/>
        <v>19</v>
      </c>
      <c r="Z394" s="96">
        <v>0.378</v>
      </c>
      <c r="AA394" s="272">
        <f t="shared" si="176"/>
        <v>19</v>
      </c>
      <c r="AB394" s="519">
        <f t="shared" si="177"/>
        <v>16.131094401167914</v>
      </c>
      <c r="AC394" s="272">
        <f t="shared" si="165"/>
        <v>16</v>
      </c>
      <c r="AD394" s="272">
        <f t="shared" si="166"/>
        <v>18.871245561687381</v>
      </c>
      <c r="AE394" s="272">
        <f t="shared" si="178"/>
        <v>17</v>
      </c>
      <c r="AF394" s="272">
        <f t="shared" si="167"/>
        <v>18.692037000418509</v>
      </c>
      <c r="AG394" s="272">
        <f t="shared" si="179"/>
        <v>18</v>
      </c>
      <c r="AH394" s="272">
        <f t="shared" si="168"/>
        <v>18.534783761522348</v>
      </c>
      <c r="AI394" s="272">
        <f t="shared" si="180"/>
        <v>18</v>
      </c>
      <c r="AJ394" s="272">
        <f t="shared" si="169"/>
        <v>18.534783761522348</v>
      </c>
      <c r="AK394" s="272">
        <f t="shared" si="181"/>
        <v>18</v>
      </c>
      <c r="AL394" s="272">
        <f t="shared" si="170"/>
        <v>18.534783761522348</v>
      </c>
      <c r="AM394" s="272">
        <f t="shared" si="182"/>
        <v>18</v>
      </c>
      <c r="AN394" s="272">
        <f t="shared" si="171"/>
        <v>18.534783761522348</v>
      </c>
      <c r="AO394" s="272">
        <f t="shared" si="183"/>
        <v>18</v>
      </c>
      <c r="AP394" s="272">
        <f t="shared" si="172"/>
        <v>18.534783761522348</v>
      </c>
      <c r="AQ394" s="272">
        <f t="shared" si="184"/>
        <v>18</v>
      </c>
      <c r="AR394" s="272">
        <f t="shared" si="173"/>
        <v>18.534783761522348</v>
      </c>
      <c r="AS394" s="272">
        <f t="shared" si="185"/>
        <v>18</v>
      </c>
      <c r="AT394" s="508">
        <f t="shared" si="174"/>
        <v>18.534783761522348</v>
      </c>
    </row>
    <row r="395" spans="1:46" ht="12.75" customHeight="1">
      <c r="A395" s="96">
        <f>IF(MAX($F$93:F395)=$G$88,$G$88,F395)</f>
        <v>3.2057712852183653</v>
      </c>
      <c r="B395" s="481">
        <v>303</v>
      </c>
      <c r="C395" s="96">
        <f t="shared" si="162"/>
        <v>0.45450000000000035</v>
      </c>
      <c r="D395" s="96">
        <f t="shared" si="159"/>
        <v>13.425552863323784</v>
      </c>
      <c r="E395" s="96">
        <f t="shared" si="160"/>
        <v>0.41550380553382804</v>
      </c>
      <c r="F395" s="96">
        <f t="shared" si="158"/>
        <v>3.0824688082424845</v>
      </c>
      <c r="G395" s="96">
        <f t="shared" si="161"/>
        <v>2.9664688082424844</v>
      </c>
      <c r="I395" s="96">
        <f t="shared" si="163"/>
        <v>1</v>
      </c>
      <c r="J395" s="96">
        <f t="shared" si="164"/>
        <v>0.45450000000000035</v>
      </c>
      <c r="Y395" s="96">
        <f t="shared" si="175"/>
        <v>19</v>
      </c>
      <c r="Z395" s="96">
        <v>0.376</v>
      </c>
      <c r="AA395" s="272">
        <f t="shared" si="176"/>
        <v>19</v>
      </c>
      <c r="AB395" s="519">
        <f t="shared" si="177"/>
        <v>16.303158191040037</v>
      </c>
      <c r="AC395" s="272">
        <f t="shared" si="165"/>
        <v>16</v>
      </c>
      <c r="AD395" s="272">
        <f t="shared" si="166"/>
        <v>19.072537423863594</v>
      </c>
      <c r="AE395" s="272">
        <f t="shared" si="178"/>
        <v>17</v>
      </c>
      <c r="AF395" s="272">
        <f t="shared" si="167"/>
        <v>18.891417318128951</v>
      </c>
      <c r="AG395" s="272">
        <f t="shared" si="179"/>
        <v>18</v>
      </c>
      <c r="AH395" s="272">
        <f t="shared" si="168"/>
        <v>18.732486723215814</v>
      </c>
      <c r="AI395" s="272">
        <f t="shared" si="180"/>
        <v>18</v>
      </c>
      <c r="AJ395" s="272">
        <f t="shared" si="169"/>
        <v>18.732486723215814</v>
      </c>
      <c r="AK395" s="272">
        <f t="shared" si="181"/>
        <v>18</v>
      </c>
      <c r="AL395" s="272">
        <f t="shared" si="170"/>
        <v>18.732486723215814</v>
      </c>
      <c r="AM395" s="272">
        <f t="shared" si="182"/>
        <v>18</v>
      </c>
      <c r="AN395" s="272">
        <f t="shared" si="171"/>
        <v>18.732486723215814</v>
      </c>
      <c r="AO395" s="272">
        <f t="shared" si="183"/>
        <v>18</v>
      </c>
      <c r="AP395" s="272">
        <f t="shared" si="172"/>
        <v>18.732486723215814</v>
      </c>
      <c r="AQ395" s="272">
        <f t="shared" si="184"/>
        <v>18</v>
      </c>
      <c r="AR395" s="272">
        <f t="shared" si="173"/>
        <v>18.732486723215814</v>
      </c>
      <c r="AS395" s="272">
        <f t="shared" si="185"/>
        <v>18</v>
      </c>
      <c r="AT395" s="508">
        <f t="shared" si="174"/>
        <v>18.732486723215814</v>
      </c>
    </row>
    <row r="396" spans="1:46" ht="12.75" customHeight="1">
      <c r="A396" s="96">
        <f>IF(MAX($F$93:F396)=$G$88,$G$88,F396)</f>
        <v>3.2057712852183653</v>
      </c>
      <c r="B396" s="481">
        <v>304</v>
      </c>
      <c r="C396" s="96">
        <f t="shared" si="162"/>
        <v>0.45600000000000035</v>
      </c>
      <c r="D396" s="96">
        <f t="shared" si="159"/>
        <v>13.514316607488707</v>
      </c>
      <c r="E396" s="96">
        <f t="shared" si="160"/>
        <v>0.40891405288254068</v>
      </c>
      <c r="F396" s="96">
        <f t="shared" si="158"/>
        <v>3.0675779309651912</v>
      </c>
      <c r="G396" s="96">
        <f t="shared" si="161"/>
        <v>2.9515779309651911</v>
      </c>
      <c r="I396" s="96">
        <f t="shared" si="163"/>
        <v>1</v>
      </c>
      <c r="J396" s="96">
        <f t="shared" si="164"/>
        <v>0.45600000000000035</v>
      </c>
      <c r="Y396" s="96">
        <f t="shared" si="175"/>
        <v>19</v>
      </c>
      <c r="Z396" s="96">
        <v>0.374</v>
      </c>
      <c r="AA396" s="272">
        <f t="shared" si="176"/>
        <v>19</v>
      </c>
      <c r="AB396" s="519">
        <f t="shared" si="177"/>
        <v>16.477989736741662</v>
      </c>
      <c r="AC396" s="272">
        <f t="shared" si="165"/>
        <v>16</v>
      </c>
      <c r="AD396" s="272">
        <f t="shared" si="166"/>
        <v>19.277067194058592</v>
      </c>
      <c r="AE396" s="272">
        <f t="shared" si="178"/>
        <v>17</v>
      </c>
      <c r="AF396" s="272">
        <f t="shared" si="167"/>
        <v>19.094004795445954</v>
      </c>
      <c r="AG396" s="272">
        <f t="shared" si="179"/>
        <v>18</v>
      </c>
      <c r="AH396" s="272">
        <f t="shared" si="168"/>
        <v>18.933369863174235</v>
      </c>
      <c r="AI396" s="272">
        <f t="shared" si="180"/>
        <v>18</v>
      </c>
      <c r="AJ396" s="272">
        <f t="shared" si="169"/>
        <v>18.933369863174235</v>
      </c>
      <c r="AK396" s="272">
        <f t="shared" si="181"/>
        <v>18</v>
      </c>
      <c r="AL396" s="272">
        <f t="shared" si="170"/>
        <v>18.933369863174235</v>
      </c>
      <c r="AM396" s="272">
        <f t="shared" si="182"/>
        <v>18</v>
      </c>
      <c r="AN396" s="272">
        <f t="shared" si="171"/>
        <v>18.933369863174235</v>
      </c>
      <c r="AO396" s="272">
        <f t="shared" si="183"/>
        <v>18</v>
      </c>
      <c r="AP396" s="272">
        <f t="shared" si="172"/>
        <v>18.933369863174235</v>
      </c>
      <c r="AQ396" s="272">
        <f t="shared" si="184"/>
        <v>18</v>
      </c>
      <c r="AR396" s="272">
        <f t="shared" si="173"/>
        <v>18.933369863174235</v>
      </c>
      <c r="AS396" s="272">
        <f t="shared" si="185"/>
        <v>18</v>
      </c>
      <c r="AT396" s="508">
        <f t="shared" si="174"/>
        <v>18.933369863174235</v>
      </c>
    </row>
    <row r="397" spans="1:46" ht="12.75" customHeight="1">
      <c r="A397" s="96">
        <f>IF(MAX($F$93:F397)=$G$88,$G$88,F397)</f>
        <v>3.2057712852183653</v>
      </c>
      <c r="B397" s="481">
        <v>305</v>
      </c>
      <c r="C397" s="96">
        <f t="shared" si="162"/>
        <v>0.45750000000000035</v>
      </c>
      <c r="D397" s="96">
        <f t="shared" si="159"/>
        <v>13.603372818685477</v>
      </c>
      <c r="E397" s="96">
        <f t="shared" si="160"/>
        <v>0.40235704297254865</v>
      </c>
      <c r="F397" s="96">
        <f t="shared" si="158"/>
        <v>3.0519163634874831</v>
      </c>
      <c r="G397" s="96">
        <f t="shared" si="161"/>
        <v>2.935916363487483</v>
      </c>
      <c r="I397" s="96">
        <f t="shared" si="163"/>
        <v>1</v>
      </c>
      <c r="J397" s="96">
        <f t="shared" si="164"/>
        <v>0.45750000000000035</v>
      </c>
      <c r="Y397" s="96">
        <f t="shared" si="175"/>
        <v>20</v>
      </c>
      <c r="Z397" s="96">
        <v>0.372</v>
      </c>
      <c r="AA397" s="272">
        <f t="shared" si="176"/>
        <v>20</v>
      </c>
      <c r="AB397" s="519">
        <f t="shared" si="177"/>
        <v>16.65564871962421</v>
      </c>
      <c r="AC397" s="272">
        <f t="shared" si="165"/>
        <v>16</v>
      </c>
      <c r="AD397" s="272">
        <f t="shared" si="166"/>
        <v>19.484904691554945</v>
      </c>
      <c r="AE397" s="272">
        <f t="shared" si="178"/>
        <v>17</v>
      </c>
      <c r="AF397" s="272">
        <f t="shared" si="167"/>
        <v>19.299868588621507</v>
      </c>
      <c r="AG397" s="272">
        <f t="shared" si="179"/>
        <v>18</v>
      </c>
      <c r="AH397" s="272">
        <f t="shared" si="168"/>
        <v>19.13750175584865</v>
      </c>
      <c r="AI397" s="272">
        <f t="shared" si="180"/>
        <v>19</v>
      </c>
      <c r="AJ397" s="272">
        <f t="shared" si="169"/>
        <v>18.99388515986324</v>
      </c>
      <c r="AK397" s="272">
        <f t="shared" si="181"/>
        <v>18</v>
      </c>
      <c r="AL397" s="272">
        <f t="shared" si="170"/>
        <v>19.13750175584865</v>
      </c>
      <c r="AM397" s="272">
        <f t="shared" si="182"/>
        <v>19</v>
      </c>
      <c r="AN397" s="272">
        <f t="shared" si="171"/>
        <v>18.99388515986324</v>
      </c>
      <c r="AO397" s="272">
        <f t="shared" si="183"/>
        <v>18</v>
      </c>
      <c r="AP397" s="272">
        <f t="shared" si="172"/>
        <v>19.13750175584865</v>
      </c>
      <c r="AQ397" s="272">
        <f t="shared" si="184"/>
        <v>19</v>
      </c>
      <c r="AR397" s="272">
        <f t="shared" si="173"/>
        <v>18.99388515986324</v>
      </c>
      <c r="AS397" s="272">
        <f t="shared" si="185"/>
        <v>18</v>
      </c>
      <c r="AT397" s="508">
        <f t="shared" si="174"/>
        <v>19.13750175584865</v>
      </c>
    </row>
    <row r="398" spans="1:46" ht="12.75" customHeight="1">
      <c r="A398" s="96">
        <f>IF(MAX($F$93:F398)=$G$88,$G$88,F398)</f>
        <v>3.2057712852183653</v>
      </c>
      <c r="B398" s="481">
        <v>306</v>
      </c>
      <c r="C398" s="96">
        <f t="shared" si="162"/>
        <v>0.45900000000000035</v>
      </c>
      <c r="D398" s="96">
        <f t="shared" si="159"/>
        <v>13.692721496914091</v>
      </c>
      <c r="E398" s="96">
        <f t="shared" si="160"/>
        <v>0.39583441132473718</v>
      </c>
      <c r="F398" s="96">
        <f t="shared" si="158"/>
        <v>3.0354992440742872</v>
      </c>
      <c r="G398" s="96">
        <f t="shared" si="161"/>
        <v>2.9194992440742871</v>
      </c>
      <c r="I398" s="96">
        <f t="shared" si="163"/>
        <v>1</v>
      </c>
      <c r="J398" s="96">
        <f t="shared" si="164"/>
        <v>0.45900000000000035</v>
      </c>
      <c r="Y398" s="96">
        <f t="shared" si="175"/>
        <v>20</v>
      </c>
      <c r="Z398" s="96">
        <v>0.37</v>
      </c>
      <c r="AA398" s="272">
        <f t="shared" si="176"/>
        <v>20</v>
      </c>
      <c r="AB398" s="519">
        <f t="shared" si="177"/>
        <v>16.836196438396467</v>
      </c>
      <c r="AC398" s="272">
        <f t="shared" si="165"/>
        <v>16</v>
      </c>
      <c r="AD398" s="272">
        <f t="shared" si="166"/>
        <v>19.696121627729291</v>
      </c>
      <c r="AE398" s="272">
        <f t="shared" si="178"/>
        <v>17</v>
      </c>
      <c r="AF398" s="272">
        <f t="shared" si="167"/>
        <v>19.509079728033587</v>
      </c>
      <c r="AG398" s="272">
        <f t="shared" si="179"/>
        <v>18</v>
      </c>
      <c r="AH398" s="272">
        <f t="shared" si="168"/>
        <v>19.344952834049373</v>
      </c>
      <c r="AI398" s="272">
        <f t="shared" si="180"/>
        <v>19</v>
      </c>
      <c r="AJ398" s="272">
        <f t="shared" si="169"/>
        <v>19.199779429967233</v>
      </c>
      <c r="AK398" s="272">
        <f t="shared" si="181"/>
        <v>19</v>
      </c>
      <c r="AL398" s="272">
        <f t="shared" si="170"/>
        <v>19.199779429967233</v>
      </c>
      <c r="AM398" s="272">
        <f t="shared" si="182"/>
        <v>19</v>
      </c>
      <c r="AN398" s="272">
        <f t="shared" si="171"/>
        <v>19.199779429967233</v>
      </c>
      <c r="AO398" s="272">
        <f t="shared" si="183"/>
        <v>19</v>
      </c>
      <c r="AP398" s="272">
        <f t="shared" si="172"/>
        <v>19.199779429967233</v>
      </c>
      <c r="AQ398" s="272">
        <f t="shared" si="184"/>
        <v>19</v>
      </c>
      <c r="AR398" s="272">
        <f t="shared" si="173"/>
        <v>19.199779429967233</v>
      </c>
      <c r="AS398" s="272">
        <f t="shared" si="185"/>
        <v>19</v>
      </c>
      <c r="AT398" s="508">
        <f t="shared" si="174"/>
        <v>19.199779429967233</v>
      </c>
    </row>
    <row r="399" spans="1:46" ht="12.75" customHeight="1">
      <c r="A399" s="96">
        <f>IF(MAX($F$93:F399)=$G$88,$G$88,F399)</f>
        <v>3.2057712852183653</v>
      </c>
      <c r="B399" s="481">
        <v>307</v>
      </c>
      <c r="C399" s="96">
        <f t="shared" si="162"/>
        <v>0.46050000000000035</v>
      </c>
      <c r="D399" s="96">
        <f t="shared" si="159"/>
        <v>13.782362642174551</v>
      </c>
      <c r="E399" s="96">
        <f t="shared" si="160"/>
        <v>0.38934776049794456</v>
      </c>
      <c r="F399" s="96">
        <f t="shared" si="158"/>
        <v>3.0183421878377064</v>
      </c>
      <c r="G399" s="96">
        <f t="shared" si="161"/>
        <v>2.9023421878377063</v>
      </c>
      <c r="I399" s="96">
        <f t="shared" si="163"/>
        <v>1</v>
      </c>
      <c r="J399" s="96">
        <f t="shared" si="164"/>
        <v>0.46050000000000035</v>
      </c>
      <c r="Y399" s="96">
        <f t="shared" si="175"/>
        <v>20</v>
      </c>
      <c r="Z399" s="96">
        <v>0.36799999999999999</v>
      </c>
      <c r="AA399" s="272">
        <f t="shared" si="176"/>
        <v>20</v>
      </c>
      <c r="AB399" s="519">
        <f t="shared" si="177"/>
        <v>17.019695862007296</v>
      </c>
      <c r="AC399" s="272">
        <f t="shared" si="165"/>
        <v>17</v>
      </c>
      <c r="AD399" s="272">
        <f t="shared" si="166"/>
        <v>19.721711179464489</v>
      </c>
      <c r="AE399" s="272">
        <f t="shared" si="178"/>
        <v>18</v>
      </c>
      <c r="AF399" s="272">
        <f t="shared" si="167"/>
        <v>19.555795449708764</v>
      </c>
      <c r="AG399" s="272">
        <f t="shared" si="179"/>
        <v>19</v>
      </c>
      <c r="AH399" s="272">
        <f t="shared" si="168"/>
        <v>19.409039785876317</v>
      </c>
      <c r="AI399" s="272">
        <f t="shared" si="180"/>
        <v>19</v>
      </c>
      <c r="AJ399" s="272">
        <f t="shared" si="169"/>
        <v>19.409039785876317</v>
      </c>
      <c r="AK399" s="272">
        <f t="shared" si="181"/>
        <v>19</v>
      </c>
      <c r="AL399" s="272">
        <f t="shared" si="170"/>
        <v>19.409039785876317</v>
      </c>
      <c r="AM399" s="272">
        <f t="shared" si="182"/>
        <v>19</v>
      </c>
      <c r="AN399" s="272">
        <f t="shared" si="171"/>
        <v>19.409039785876317</v>
      </c>
      <c r="AO399" s="272">
        <f t="shared" si="183"/>
        <v>19</v>
      </c>
      <c r="AP399" s="272">
        <f t="shared" si="172"/>
        <v>19.409039785876317</v>
      </c>
      <c r="AQ399" s="272">
        <f t="shared" si="184"/>
        <v>19</v>
      </c>
      <c r="AR399" s="272">
        <f t="shared" si="173"/>
        <v>19.409039785876317</v>
      </c>
      <c r="AS399" s="272">
        <f t="shared" si="185"/>
        <v>19</v>
      </c>
      <c r="AT399" s="508">
        <f t="shared" si="174"/>
        <v>19.409039785876317</v>
      </c>
    </row>
    <row r="400" spans="1:46" ht="12.75" customHeight="1">
      <c r="A400" s="96">
        <f>IF(MAX($F$93:F400)=$G$88,$G$88,F400)</f>
        <v>3.2057712852183653</v>
      </c>
      <c r="B400" s="481">
        <v>308</v>
      </c>
      <c r="C400" s="96">
        <f t="shared" si="162"/>
        <v>0.46200000000000035</v>
      </c>
      <c r="D400" s="96">
        <f t="shared" si="159"/>
        <v>13.872296254466853</v>
      </c>
      <c r="E400" s="96">
        <f t="shared" si="160"/>
        <v>0.38289865909114701</v>
      </c>
      <c r="F400" s="96">
        <f t="shared" si="158"/>
        <v>3.0004612641613484</v>
      </c>
      <c r="G400" s="96">
        <f t="shared" si="161"/>
        <v>2.8844612641613483</v>
      </c>
      <c r="I400" s="96">
        <f t="shared" si="163"/>
        <v>1</v>
      </c>
      <c r="J400" s="96">
        <f t="shared" si="164"/>
        <v>0.46200000000000035</v>
      </c>
      <c r="Y400" s="96">
        <f t="shared" si="175"/>
        <v>20</v>
      </c>
      <c r="Z400" s="96">
        <v>0.36599999999999999</v>
      </c>
      <c r="AA400" s="272">
        <f t="shared" si="176"/>
        <v>20</v>
      </c>
      <c r="AB400" s="519">
        <f t="shared" si="177"/>
        <v>17.206211684556699</v>
      </c>
      <c r="AC400" s="272">
        <f t="shared" si="165"/>
        <v>17</v>
      </c>
      <c r="AD400" s="272">
        <f t="shared" si="166"/>
        <v>19.937837907729392</v>
      </c>
      <c r="AE400" s="272">
        <f t="shared" si="178"/>
        <v>18</v>
      </c>
      <c r="AF400" s="272">
        <f t="shared" si="167"/>
        <v>19.770103936974525</v>
      </c>
      <c r="AG400" s="272">
        <f t="shared" si="179"/>
        <v>19</v>
      </c>
      <c r="AH400" s="272">
        <f t="shared" si="168"/>
        <v>19.621740003900641</v>
      </c>
      <c r="AI400" s="272">
        <f t="shared" si="180"/>
        <v>19</v>
      </c>
      <c r="AJ400" s="272">
        <f t="shared" si="169"/>
        <v>19.621740003900641</v>
      </c>
      <c r="AK400" s="272">
        <f t="shared" si="181"/>
        <v>19</v>
      </c>
      <c r="AL400" s="272">
        <f t="shared" si="170"/>
        <v>19.621740003900641</v>
      </c>
      <c r="AM400" s="272">
        <f t="shared" si="182"/>
        <v>19</v>
      </c>
      <c r="AN400" s="272">
        <f t="shared" si="171"/>
        <v>19.621740003900641</v>
      </c>
      <c r="AO400" s="272">
        <f t="shared" si="183"/>
        <v>19</v>
      </c>
      <c r="AP400" s="272">
        <f t="shared" si="172"/>
        <v>19.621740003900641</v>
      </c>
      <c r="AQ400" s="272">
        <f t="shared" si="184"/>
        <v>19</v>
      </c>
      <c r="AR400" s="272">
        <f t="shared" si="173"/>
        <v>19.621740003900641</v>
      </c>
      <c r="AS400" s="272">
        <f t="shared" si="185"/>
        <v>19</v>
      </c>
      <c r="AT400" s="508">
        <f t="shared" si="174"/>
        <v>19.621740003900641</v>
      </c>
    </row>
    <row r="401" spans="1:46" ht="12.75" customHeight="1">
      <c r="A401" s="96">
        <f>IF(MAX($F$93:F401)=$G$88,$G$88,F401)</f>
        <v>3.2057712852183653</v>
      </c>
      <c r="B401" s="481">
        <v>309</v>
      </c>
      <c r="C401" s="96">
        <f t="shared" si="162"/>
        <v>0.46350000000000036</v>
      </c>
      <c r="D401" s="96">
        <f t="shared" si="159"/>
        <v>13.962522333791004</v>
      </c>
      <c r="E401" s="96">
        <f t="shared" si="160"/>
        <v>0.37648864079439592</v>
      </c>
      <c r="F401" s="96">
        <f t="shared" si="158"/>
        <v>2.9818729738078877</v>
      </c>
      <c r="G401" s="96">
        <f t="shared" si="161"/>
        <v>2.8658729738078876</v>
      </c>
      <c r="I401" s="96">
        <f t="shared" si="163"/>
        <v>1</v>
      </c>
      <c r="J401" s="96">
        <f t="shared" si="164"/>
        <v>0.46350000000000036</v>
      </c>
      <c r="Y401" s="96">
        <f t="shared" si="175"/>
        <v>20</v>
      </c>
      <c r="Z401" s="96">
        <v>0.36399999999999999</v>
      </c>
      <c r="AA401" s="272">
        <f t="shared" si="176"/>
        <v>20</v>
      </c>
      <c r="AB401" s="519">
        <f t="shared" si="177"/>
        <v>17.395810382324573</v>
      </c>
      <c r="AC401" s="272">
        <f t="shared" si="165"/>
        <v>17</v>
      </c>
      <c r="AD401" s="272">
        <f t="shared" si="166"/>
        <v>20.157536942759016</v>
      </c>
      <c r="AE401" s="272">
        <f t="shared" si="178"/>
        <v>18</v>
      </c>
      <c r="AF401" s="272">
        <f t="shared" si="167"/>
        <v>19.987954677736383</v>
      </c>
      <c r="AG401" s="272">
        <f t="shared" si="179"/>
        <v>19</v>
      </c>
      <c r="AH401" s="272">
        <f t="shared" si="168"/>
        <v>19.837955892725169</v>
      </c>
      <c r="AI401" s="272">
        <f t="shared" si="180"/>
        <v>19</v>
      </c>
      <c r="AJ401" s="272">
        <f t="shared" si="169"/>
        <v>19.837955892725169</v>
      </c>
      <c r="AK401" s="272">
        <f t="shared" si="181"/>
        <v>19</v>
      </c>
      <c r="AL401" s="272">
        <f t="shared" si="170"/>
        <v>19.837955892725169</v>
      </c>
      <c r="AM401" s="272">
        <f t="shared" si="182"/>
        <v>19</v>
      </c>
      <c r="AN401" s="272">
        <f t="shared" si="171"/>
        <v>19.837955892725169</v>
      </c>
      <c r="AO401" s="272">
        <f t="shared" si="183"/>
        <v>19</v>
      </c>
      <c r="AP401" s="272">
        <f t="shared" si="172"/>
        <v>19.837955892725169</v>
      </c>
      <c r="AQ401" s="272">
        <f t="shared" si="184"/>
        <v>19</v>
      </c>
      <c r="AR401" s="272">
        <f t="shared" si="173"/>
        <v>19.837955892725169</v>
      </c>
      <c r="AS401" s="272">
        <f t="shared" si="185"/>
        <v>19</v>
      </c>
      <c r="AT401" s="508">
        <f t="shared" si="174"/>
        <v>19.837955892725169</v>
      </c>
    </row>
    <row r="402" spans="1:46" ht="12.75" customHeight="1">
      <c r="A402" s="96">
        <f>IF(MAX($F$93:F402)=$G$88,$G$88,F402)</f>
        <v>3.2057712852183653</v>
      </c>
      <c r="B402" s="481">
        <v>310</v>
      </c>
      <c r="C402" s="96">
        <f t="shared" si="162"/>
        <v>0.46500000000000036</v>
      </c>
      <c r="D402" s="96">
        <f t="shared" si="159"/>
        <v>14.053040880146996</v>
      </c>
      <c r="E402" s="96">
        <f t="shared" si="160"/>
        <v>0.3701192034891132</v>
      </c>
      <c r="F402" s="96">
        <f t="shared" si="158"/>
        <v>2.9625942257501974</v>
      </c>
      <c r="G402" s="96">
        <f t="shared" si="161"/>
        <v>2.8465942257501973</v>
      </c>
      <c r="I402" s="96">
        <f t="shared" si="163"/>
        <v>1</v>
      </c>
      <c r="J402" s="96">
        <f t="shared" si="164"/>
        <v>0.46500000000000036</v>
      </c>
      <c r="Y402" s="96">
        <f t="shared" si="175"/>
        <v>21</v>
      </c>
      <c r="Z402" s="96">
        <v>0.36199999999999999</v>
      </c>
      <c r="AA402" s="272">
        <f t="shared" si="176"/>
        <v>21</v>
      </c>
      <c r="AB402" s="519">
        <f t="shared" si="177"/>
        <v>17.588560273011176</v>
      </c>
      <c r="AC402" s="272">
        <f t="shared" si="165"/>
        <v>17</v>
      </c>
      <c r="AD402" s="272">
        <f t="shared" si="166"/>
        <v>20.380887448244852</v>
      </c>
      <c r="AE402" s="272">
        <f t="shared" si="178"/>
        <v>18</v>
      </c>
      <c r="AF402" s="272">
        <f t="shared" si="167"/>
        <v>20.209426169693842</v>
      </c>
      <c r="AG402" s="272">
        <f t="shared" si="179"/>
        <v>19</v>
      </c>
      <c r="AH402" s="272">
        <f t="shared" si="168"/>
        <v>20.057765360966656</v>
      </c>
      <c r="AI402" s="272">
        <f t="shared" si="180"/>
        <v>20</v>
      </c>
      <c r="AJ402" s="272">
        <f t="shared" si="169"/>
        <v>19.922667860054059</v>
      </c>
      <c r="AK402" s="272">
        <f t="shared" si="181"/>
        <v>19</v>
      </c>
      <c r="AL402" s="272">
        <f t="shared" si="170"/>
        <v>20.057765360966656</v>
      </c>
      <c r="AM402" s="272">
        <f t="shared" si="182"/>
        <v>20</v>
      </c>
      <c r="AN402" s="272">
        <f t="shared" si="171"/>
        <v>19.922667860054059</v>
      </c>
      <c r="AO402" s="272">
        <f t="shared" si="183"/>
        <v>19</v>
      </c>
      <c r="AP402" s="272">
        <f t="shared" si="172"/>
        <v>20.057765360966656</v>
      </c>
      <c r="AQ402" s="272">
        <f t="shared" si="184"/>
        <v>20</v>
      </c>
      <c r="AR402" s="272">
        <f t="shared" si="173"/>
        <v>19.922667860054059</v>
      </c>
      <c r="AS402" s="272">
        <f t="shared" si="185"/>
        <v>19</v>
      </c>
      <c r="AT402" s="508">
        <f t="shared" si="174"/>
        <v>20.057765360966656</v>
      </c>
    </row>
    <row r="403" spans="1:46" ht="12.75" customHeight="1">
      <c r="A403" s="96">
        <f>IF(MAX($F$93:F403)=$G$88,$G$88,F403)</f>
        <v>3.2057712852183653</v>
      </c>
      <c r="B403" s="481">
        <v>311</v>
      </c>
      <c r="C403" s="96">
        <f t="shared" si="162"/>
        <v>0.46650000000000036</v>
      </c>
      <c r="D403" s="96">
        <f t="shared" si="159"/>
        <v>14.143851893534833</v>
      </c>
      <c r="E403" s="96">
        <f t="shared" si="160"/>
        <v>0.36379180839832365</v>
      </c>
      <c r="F403" s="96">
        <f t="shared" si="158"/>
        <v>2.9426423137659103</v>
      </c>
      <c r="G403" s="96">
        <f t="shared" si="161"/>
        <v>2.8266423137659102</v>
      </c>
      <c r="I403" s="96">
        <f t="shared" si="163"/>
        <v>1</v>
      </c>
      <c r="J403" s="96">
        <f t="shared" si="164"/>
        <v>0.46650000000000036</v>
      </c>
      <c r="Y403" s="96">
        <f t="shared" si="175"/>
        <v>21</v>
      </c>
      <c r="Z403" s="96">
        <v>0.36</v>
      </c>
      <c r="AA403" s="272">
        <f t="shared" si="176"/>
        <v>21</v>
      </c>
      <c r="AB403" s="519">
        <f t="shared" si="177"/>
        <v>17.78453157728763</v>
      </c>
      <c r="AC403" s="272">
        <f t="shared" si="165"/>
        <v>17</v>
      </c>
      <c r="AD403" s="272">
        <f t="shared" si="166"/>
        <v>20.60797079296141</v>
      </c>
      <c r="AE403" s="272">
        <f t="shared" si="178"/>
        <v>18</v>
      </c>
      <c r="AF403" s="272">
        <f t="shared" si="167"/>
        <v>20.434599097078394</v>
      </c>
      <c r="AG403" s="272">
        <f t="shared" si="179"/>
        <v>19</v>
      </c>
      <c r="AH403" s="272">
        <f t="shared" si="168"/>
        <v>20.28124848736508</v>
      </c>
      <c r="AI403" s="272">
        <f t="shared" si="180"/>
        <v>20</v>
      </c>
      <c r="AJ403" s="272">
        <f t="shared" si="169"/>
        <v>20.144645733433059</v>
      </c>
      <c r="AK403" s="272">
        <f t="shared" si="181"/>
        <v>20</v>
      </c>
      <c r="AL403" s="272">
        <f t="shared" si="170"/>
        <v>20.144645733433059</v>
      </c>
      <c r="AM403" s="272">
        <f t="shared" si="182"/>
        <v>20</v>
      </c>
      <c r="AN403" s="272">
        <f t="shared" si="171"/>
        <v>20.144645733433059</v>
      </c>
      <c r="AO403" s="272">
        <f t="shared" si="183"/>
        <v>20</v>
      </c>
      <c r="AP403" s="272">
        <f t="shared" si="172"/>
        <v>20.144645733433059</v>
      </c>
      <c r="AQ403" s="272">
        <f t="shared" si="184"/>
        <v>20</v>
      </c>
      <c r="AR403" s="272">
        <f t="shared" si="173"/>
        <v>20.144645733433059</v>
      </c>
      <c r="AS403" s="272">
        <f t="shared" si="185"/>
        <v>20</v>
      </c>
      <c r="AT403" s="508">
        <f t="shared" si="174"/>
        <v>20.144645733433059</v>
      </c>
    </row>
    <row r="404" spans="1:46" ht="12.75" customHeight="1">
      <c r="A404" s="96">
        <f>IF(MAX($F$93:F404)=$G$88,$G$88,F404)</f>
        <v>3.2057712852183653</v>
      </c>
      <c r="B404" s="481">
        <v>312</v>
      </c>
      <c r="C404" s="96">
        <f t="shared" si="162"/>
        <v>0.46800000000000036</v>
      </c>
      <c r="D404" s="96">
        <f t="shared" si="159"/>
        <v>14.234955373954518</v>
      </c>
      <c r="E404" s="96">
        <f t="shared" si="160"/>
        <v>0.3575078792872593</v>
      </c>
      <c r="F404" s="96">
        <f t="shared" si="158"/>
        <v>2.9220348928368551</v>
      </c>
      <c r="G404" s="96">
        <f t="shared" si="161"/>
        <v>2.806034892836855</v>
      </c>
      <c r="I404" s="96">
        <f t="shared" si="163"/>
        <v>1</v>
      </c>
      <c r="J404" s="96">
        <f t="shared" si="164"/>
        <v>0.46800000000000036</v>
      </c>
      <c r="Y404" s="96">
        <f t="shared" si="175"/>
        <v>21</v>
      </c>
      <c r="Z404" s="96">
        <v>0.35799999999999998</v>
      </c>
      <c r="AA404" s="272">
        <f t="shared" si="176"/>
        <v>21</v>
      </c>
      <c r="AB404" s="519">
        <f t="shared" si="177"/>
        <v>17.983796482760187</v>
      </c>
      <c r="AC404" s="272">
        <f t="shared" si="165"/>
        <v>17</v>
      </c>
      <c r="AD404" s="272">
        <f t="shared" si="166"/>
        <v>20.838870624885292</v>
      </c>
      <c r="AE404" s="272">
        <f t="shared" si="178"/>
        <v>18</v>
      </c>
      <c r="AF404" s="272">
        <f t="shared" si="167"/>
        <v>20.663556404149055</v>
      </c>
      <c r="AG404" s="272">
        <f t="shared" si="179"/>
        <v>19</v>
      </c>
      <c r="AH404" s="272">
        <f t="shared" si="168"/>
        <v>20.508487593727679</v>
      </c>
      <c r="AI404" s="272">
        <f t="shared" si="180"/>
        <v>20</v>
      </c>
      <c r="AJ404" s="272">
        <f t="shared" si="169"/>
        <v>20.370354288668615</v>
      </c>
      <c r="AK404" s="272">
        <f t="shared" si="181"/>
        <v>20</v>
      </c>
      <c r="AL404" s="272">
        <f t="shared" si="170"/>
        <v>20.370354288668615</v>
      </c>
      <c r="AM404" s="272">
        <f t="shared" si="182"/>
        <v>20</v>
      </c>
      <c r="AN404" s="272">
        <f t="shared" si="171"/>
        <v>20.370354288668615</v>
      </c>
      <c r="AO404" s="272">
        <f t="shared" si="183"/>
        <v>20</v>
      </c>
      <c r="AP404" s="272">
        <f t="shared" si="172"/>
        <v>20.370354288668615</v>
      </c>
      <c r="AQ404" s="272">
        <f t="shared" si="184"/>
        <v>20</v>
      </c>
      <c r="AR404" s="272">
        <f t="shared" si="173"/>
        <v>20.370354288668615</v>
      </c>
      <c r="AS404" s="272">
        <f t="shared" si="185"/>
        <v>20</v>
      </c>
      <c r="AT404" s="508">
        <f t="shared" si="174"/>
        <v>20.370354288668615</v>
      </c>
    </row>
    <row r="405" spans="1:46" ht="12.75" customHeight="1">
      <c r="A405" s="96">
        <f>IF(MAX($F$93:F405)=$G$88,$G$88,F405)</f>
        <v>3.2057712852183653</v>
      </c>
      <c r="B405" s="481">
        <v>313</v>
      </c>
      <c r="C405" s="96">
        <f t="shared" si="162"/>
        <v>0.46950000000000036</v>
      </c>
      <c r="D405" s="96">
        <f t="shared" si="159"/>
        <v>14.326351321406046</v>
      </c>
      <c r="E405" s="96">
        <f t="shared" si="160"/>
        <v>0.35126880171473712</v>
      </c>
      <c r="F405" s="96">
        <f t="shared" si="158"/>
        <v>2.9007899553954273</v>
      </c>
      <c r="G405" s="96">
        <f t="shared" si="161"/>
        <v>2.7847899553954272</v>
      </c>
      <c r="I405" s="96">
        <f t="shared" si="163"/>
        <v>1</v>
      </c>
      <c r="J405" s="96">
        <f t="shared" si="164"/>
        <v>0.46950000000000036</v>
      </c>
      <c r="Y405" s="96">
        <f t="shared" si="175"/>
        <v>21</v>
      </c>
      <c r="Z405" s="96">
        <v>0.35599999999999998</v>
      </c>
      <c r="AA405" s="272">
        <f t="shared" si="176"/>
        <v>21</v>
      </c>
      <c r="AB405" s="519">
        <f t="shared" si="177"/>
        <v>18.186429210456986</v>
      </c>
      <c r="AC405" s="272">
        <f t="shared" si="165"/>
        <v>18</v>
      </c>
      <c r="AD405" s="272">
        <f t="shared" si="166"/>
        <v>20.896383371586289</v>
      </c>
      <c r="AE405" s="272">
        <f t="shared" si="178"/>
        <v>19</v>
      </c>
      <c r="AF405" s="272">
        <f t="shared" si="167"/>
        <v>20.739567320749543</v>
      </c>
      <c r="AG405" s="272">
        <f t="shared" si="179"/>
        <v>20</v>
      </c>
      <c r="AH405" s="272">
        <f t="shared" si="168"/>
        <v>20.599877596365076</v>
      </c>
      <c r="AI405" s="272">
        <f t="shared" si="180"/>
        <v>20</v>
      </c>
      <c r="AJ405" s="272">
        <f t="shared" si="169"/>
        <v>20.599877596365076</v>
      </c>
      <c r="AK405" s="272">
        <f t="shared" si="181"/>
        <v>20</v>
      </c>
      <c r="AL405" s="272">
        <f t="shared" si="170"/>
        <v>20.599877596365076</v>
      </c>
      <c r="AM405" s="272">
        <f t="shared" si="182"/>
        <v>20</v>
      </c>
      <c r="AN405" s="272">
        <f t="shared" si="171"/>
        <v>20.599877596365076</v>
      </c>
      <c r="AO405" s="272">
        <f t="shared" si="183"/>
        <v>20</v>
      </c>
      <c r="AP405" s="272">
        <f t="shared" si="172"/>
        <v>20.599877596365076</v>
      </c>
      <c r="AQ405" s="272">
        <f t="shared" si="184"/>
        <v>20</v>
      </c>
      <c r="AR405" s="272">
        <f t="shared" si="173"/>
        <v>20.599877596365076</v>
      </c>
      <c r="AS405" s="272">
        <f t="shared" si="185"/>
        <v>20</v>
      </c>
      <c r="AT405" s="508">
        <f t="shared" si="174"/>
        <v>20.599877596365076</v>
      </c>
    </row>
    <row r="406" spans="1:46" ht="12.75" customHeight="1">
      <c r="A406" s="96">
        <f>IF(MAX($F$93:F406)=$G$88,$G$88,F406)</f>
        <v>3.2057712852183653</v>
      </c>
      <c r="B406" s="481">
        <v>314</v>
      </c>
      <c r="C406" s="96">
        <f t="shared" si="162"/>
        <v>0.47100000000000036</v>
      </c>
      <c r="D406" s="96">
        <f t="shared" si="159"/>
        <v>14.418039735889421</v>
      </c>
      <c r="E406" s="96">
        <f t="shared" si="160"/>
        <v>0.34507592233556461</v>
      </c>
      <c r="F406" s="96">
        <f t="shared" si="158"/>
        <v>2.8789258074566684</v>
      </c>
      <c r="G406" s="96">
        <f t="shared" si="161"/>
        <v>2.7629258074566683</v>
      </c>
      <c r="I406" s="96">
        <f t="shared" si="163"/>
        <v>1</v>
      </c>
      <c r="J406" s="96">
        <f t="shared" si="164"/>
        <v>0.47100000000000036</v>
      </c>
      <c r="Y406" s="96">
        <f t="shared" si="175"/>
        <v>21</v>
      </c>
      <c r="Z406" s="96">
        <v>0.35399999999999998</v>
      </c>
      <c r="AA406" s="272">
        <f t="shared" si="176"/>
        <v>21</v>
      </c>
      <c r="AB406" s="519">
        <f t="shared" si="177"/>
        <v>18.392506083951588</v>
      </c>
      <c r="AC406" s="272">
        <f t="shared" si="165"/>
        <v>18</v>
      </c>
      <c r="AD406" s="272">
        <f t="shared" si="166"/>
        <v>21.133167695915603</v>
      </c>
      <c r="AE406" s="272">
        <f t="shared" si="178"/>
        <v>19</v>
      </c>
      <c r="AF406" s="272">
        <f t="shared" si="167"/>
        <v>20.974574706841221</v>
      </c>
      <c r="AG406" s="272">
        <f t="shared" si="179"/>
        <v>20</v>
      </c>
      <c r="AH406" s="272">
        <f t="shared" si="168"/>
        <v>20.833302108692621</v>
      </c>
      <c r="AI406" s="272">
        <f t="shared" si="180"/>
        <v>20</v>
      </c>
      <c r="AJ406" s="272">
        <f t="shared" si="169"/>
        <v>20.833302108692621</v>
      </c>
      <c r="AK406" s="272">
        <f t="shared" si="181"/>
        <v>20</v>
      </c>
      <c r="AL406" s="272">
        <f t="shared" si="170"/>
        <v>20.833302108692621</v>
      </c>
      <c r="AM406" s="272">
        <f t="shared" si="182"/>
        <v>20</v>
      </c>
      <c r="AN406" s="272">
        <f t="shared" si="171"/>
        <v>20.833302108692621</v>
      </c>
      <c r="AO406" s="272">
        <f t="shared" si="183"/>
        <v>20</v>
      </c>
      <c r="AP406" s="272">
        <f t="shared" si="172"/>
        <v>20.833302108692621</v>
      </c>
      <c r="AQ406" s="272">
        <f t="shared" si="184"/>
        <v>20</v>
      </c>
      <c r="AR406" s="272">
        <f t="shared" si="173"/>
        <v>20.833302108692621</v>
      </c>
      <c r="AS406" s="272">
        <f t="shared" si="185"/>
        <v>20</v>
      </c>
      <c r="AT406" s="508">
        <f t="shared" si="174"/>
        <v>20.833302108692621</v>
      </c>
    </row>
    <row r="407" spans="1:46" ht="12.75" customHeight="1">
      <c r="A407" s="96">
        <f>IF(MAX($F$93:F407)=$G$88,$G$88,F407)</f>
        <v>3.2057712852183653</v>
      </c>
      <c r="B407" s="481">
        <v>315</v>
      </c>
      <c r="C407" s="96">
        <f t="shared" si="162"/>
        <v>0.47250000000000036</v>
      </c>
      <c r="D407" s="96">
        <f t="shared" si="159"/>
        <v>14.510020617404638</v>
      </c>
      <c r="E407" s="96">
        <f t="shared" si="160"/>
        <v>0.33893054825420854</v>
      </c>
      <c r="F407" s="96">
        <f t="shared" si="158"/>
        <v>2.856461044674544</v>
      </c>
      <c r="G407" s="96">
        <f t="shared" si="161"/>
        <v>2.7404610446745439</v>
      </c>
      <c r="I407" s="96">
        <f t="shared" si="163"/>
        <v>1</v>
      </c>
      <c r="J407" s="96">
        <f t="shared" si="164"/>
        <v>0.47250000000000036</v>
      </c>
      <c r="Y407" s="96">
        <f t="shared" si="175"/>
        <v>22</v>
      </c>
      <c r="Z407" s="96">
        <v>0.35199999999999998</v>
      </c>
      <c r="AA407" s="272">
        <f t="shared" si="176"/>
        <v>22</v>
      </c>
      <c r="AB407" s="519">
        <f t="shared" si="177"/>
        <v>18.602105601243519</v>
      </c>
      <c r="AC407" s="272">
        <f t="shared" si="165"/>
        <v>18</v>
      </c>
      <c r="AD407" s="272">
        <f t="shared" si="166"/>
        <v>21.373999572099041</v>
      </c>
      <c r="AE407" s="272">
        <f t="shared" si="178"/>
        <v>19</v>
      </c>
      <c r="AF407" s="272">
        <f t="shared" si="167"/>
        <v>21.213599270100353</v>
      </c>
      <c r="AG407" s="272">
        <f t="shared" si="179"/>
        <v>20</v>
      </c>
      <c r="AH407" s="272">
        <f t="shared" si="168"/>
        <v>21.070716740806787</v>
      </c>
      <c r="AI407" s="272">
        <f t="shared" si="180"/>
        <v>21</v>
      </c>
      <c r="AJ407" s="272">
        <f t="shared" si="169"/>
        <v>20.942634836902382</v>
      </c>
      <c r="AK407" s="272">
        <f t="shared" si="181"/>
        <v>20</v>
      </c>
      <c r="AL407" s="272">
        <f t="shared" si="170"/>
        <v>21.070716740806787</v>
      </c>
      <c r="AM407" s="272">
        <f t="shared" si="182"/>
        <v>21</v>
      </c>
      <c r="AN407" s="272">
        <f t="shared" si="171"/>
        <v>20.942634836902382</v>
      </c>
      <c r="AO407" s="272">
        <f t="shared" si="183"/>
        <v>20</v>
      </c>
      <c r="AP407" s="272">
        <f t="shared" si="172"/>
        <v>21.070716740806787</v>
      </c>
      <c r="AQ407" s="272">
        <f t="shared" si="184"/>
        <v>21</v>
      </c>
      <c r="AR407" s="272">
        <f t="shared" si="173"/>
        <v>20.942634836902382</v>
      </c>
      <c r="AS407" s="272">
        <f t="shared" si="185"/>
        <v>20</v>
      </c>
      <c r="AT407" s="508">
        <f t="shared" si="174"/>
        <v>21.070716740806787</v>
      </c>
    </row>
    <row r="408" spans="1:46" ht="12.75" customHeight="1">
      <c r="A408" s="96">
        <f>IF(MAX($F$93:F408)=$G$88,$G$88,F408)</f>
        <v>3.2057712852183653</v>
      </c>
      <c r="B408" s="481">
        <v>316</v>
      </c>
      <c r="C408" s="96">
        <f t="shared" si="162"/>
        <v>0.47400000000000037</v>
      </c>
      <c r="D408" s="96">
        <f t="shared" si="159"/>
        <v>14.6022939659517</v>
      </c>
      <c r="E408" s="96">
        <f t="shared" si="160"/>
        <v>0.33283394642981656</v>
      </c>
      <c r="F408" s="96">
        <f t="shared" si="158"/>
        <v>2.8334145283657164</v>
      </c>
      <c r="G408" s="96">
        <f t="shared" si="161"/>
        <v>2.7174145283657163</v>
      </c>
      <c r="I408" s="96">
        <f t="shared" si="163"/>
        <v>1</v>
      </c>
      <c r="J408" s="96">
        <f t="shared" si="164"/>
        <v>0.47400000000000037</v>
      </c>
      <c r="Y408" s="96">
        <f t="shared" si="175"/>
        <v>22</v>
      </c>
      <c r="Z408" s="96">
        <v>0.35</v>
      </c>
      <c r="AA408" s="272">
        <f t="shared" si="176"/>
        <v>22</v>
      </c>
      <c r="AB408" s="519">
        <f t="shared" si="177"/>
        <v>18.815308509522261</v>
      </c>
      <c r="AC408" s="272">
        <f t="shared" si="165"/>
        <v>18</v>
      </c>
      <c r="AD408" s="272">
        <f t="shared" si="166"/>
        <v>21.618971779439672</v>
      </c>
      <c r="AE408" s="272">
        <f t="shared" si="178"/>
        <v>19</v>
      </c>
      <c r="AF408" s="272">
        <f t="shared" si="167"/>
        <v>21.456733093571547</v>
      </c>
      <c r="AG408" s="272">
        <f t="shared" si="179"/>
        <v>20</v>
      </c>
      <c r="AH408" s="272">
        <f t="shared" si="168"/>
        <v>21.312212955534072</v>
      </c>
      <c r="AI408" s="272">
        <f t="shared" si="180"/>
        <v>21</v>
      </c>
      <c r="AJ408" s="272">
        <f t="shared" si="169"/>
        <v>21.182663076175942</v>
      </c>
      <c r="AK408" s="272">
        <f t="shared" si="181"/>
        <v>21</v>
      </c>
      <c r="AL408" s="272">
        <f t="shared" si="170"/>
        <v>21.182663076175942</v>
      </c>
      <c r="AM408" s="272">
        <f t="shared" si="182"/>
        <v>21</v>
      </c>
      <c r="AN408" s="272">
        <f t="shared" si="171"/>
        <v>21.182663076175942</v>
      </c>
      <c r="AO408" s="272">
        <f t="shared" si="183"/>
        <v>21</v>
      </c>
      <c r="AP408" s="272">
        <f t="shared" si="172"/>
        <v>21.182663076175942</v>
      </c>
      <c r="AQ408" s="272">
        <f t="shared" si="184"/>
        <v>21</v>
      </c>
      <c r="AR408" s="272">
        <f t="shared" si="173"/>
        <v>21.182663076175942</v>
      </c>
      <c r="AS408" s="272">
        <f t="shared" si="185"/>
        <v>21</v>
      </c>
      <c r="AT408" s="508">
        <f t="shared" si="174"/>
        <v>21.182663076175942</v>
      </c>
    </row>
    <row r="409" spans="1:46" ht="12.75" customHeight="1">
      <c r="A409" s="96">
        <f>IF(MAX($F$93:F409)=$G$88,$G$88,F409)</f>
        <v>3.2057712852183653</v>
      </c>
      <c r="B409" s="481">
        <v>317</v>
      </c>
      <c r="C409" s="96">
        <f t="shared" si="162"/>
        <v>0.47550000000000037</v>
      </c>
      <c r="D409" s="96">
        <f t="shared" si="159"/>
        <v>14.694859781530608</v>
      </c>
      <c r="E409" s="96">
        <f t="shared" si="160"/>
        <v>0.32678734313264118</v>
      </c>
      <c r="F409" s="96">
        <f t="shared" si="158"/>
        <v>2.8098053615349783</v>
      </c>
      <c r="G409" s="96">
        <f t="shared" si="161"/>
        <v>2.6938053615349782</v>
      </c>
      <c r="I409" s="96">
        <f t="shared" si="163"/>
        <v>1</v>
      </c>
      <c r="J409" s="96">
        <f t="shared" si="164"/>
        <v>0.47550000000000037</v>
      </c>
      <c r="Y409" s="96">
        <f t="shared" si="175"/>
        <v>22</v>
      </c>
      <c r="Z409" s="96">
        <v>0.34799999999999998</v>
      </c>
      <c r="AA409" s="272">
        <f t="shared" si="176"/>
        <v>22</v>
      </c>
      <c r="AB409" s="519">
        <f t="shared" si="177"/>
        <v>19.032197882947521</v>
      </c>
      <c r="AC409" s="272">
        <f t="shared" si="165"/>
        <v>19</v>
      </c>
      <c r="AD409" s="272">
        <f t="shared" si="166"/>
        <v>21.704070913945984</v>
      </c>
      <c r="AE409" s="272">
        <f t="shared" si="178"/>
        <v>20</v>
      </c>
      <c r="AF409" s="272">
        <f t="shared" si="167"/>
        <v>21.557884851474142</v>
      </c>
      <c r="AG409" s="272">
        <f t="shared" si="179"/>
        <v>21</v>
      </c>
      <c r="AH409" s="272">
        <f t="shared" si="168"/>
        <v>21.426841614080068</v>
      </c>
      <c r="AI409" s="272">
        <f t="shared" si="180"/>
        <v>21</v>
      </c>
      <c r="AJ409" s="272">
        <f t="shared" si="169"/>
        <v>21.426841614080068</v>
      </c>
      <c r="AK409" s="272">
        <f t="shared" si="181"/>
        <v>21</v>
      </c>
      <c r="AL409" s="272">
        <f t="shared" si="170"/>
        <v>21.426841614080068</v>
      </c>
      <c r="AM409" s="272">
        <f t="shared" si="182"/>
        <v>21</v>
      </c>
      <c r="AN409" s="272">
        <f t="shared" si="171"/>
        <v>21.426841614080068</v>
      </c>
      <c r="AO409" s="272">
        <f t="shared" si="183"/>
        <v>21</v>
      </c>
      <c r="AP409" s="272">
        <f t="shared" si="172"/>
        <v>21.426841614080068</v>
      </c>
      <c r="AQ409" s="272">
        <f t="shared" si="184"/>
        <v>21</v>
      </c>
      <c r="AR409" s="272">
        <f t="shared" si="173"/>
        <v>21.426841614080068</v>
      </c>
      <c r="AS409" s="272">
        <f t="shared" si="185"/>
        <v>21</v>
      </c>
      <c r="AT409" s="508">
        <f t="shared" si="174"/>
        <v>21.426841614080068</v>
      </c>
    </row>
    <row r="410" spans="1:46" ht="12.75" customHeight="1">
      <c r="A410" s="96">
        <f>IF(MAX($F$93:F410)=$G$88,$G$88,F410)</f>
        <v>3.2057712852183653</v>
      </c>
      <c r="B410" s="481">
        <v>318</v>
      </c>
      <c r="C410" s="96">
        <f t="shared" si="162"/>
        <v>0.47700000000000037</v>
      </c>
      <c r="D410" s="96">
        <f t="shared" si="159"/>
        <v>14.787718064141361</v>
      </c>
      <c r="E410" s="96">
        <f t="shared" si="160"/>
        <v>0.32079192345180951</v>
      </c>
      <c r="F410" s="96">
        <f t="shared" si="158"/>
        <v>2.7856528649426777</v>
      </c>
      <c r="G410" s="96">
        <f t="shared" si="161"/>
        <v>2.6696528649426776</v>
      </c>
      <c r="I410" s="96">
        <f t="shared" si="163"/>
        <v>1</v>
      </c>
      <c r="J410" s="96">
        <f t="shared" si="164"/>
        <v>0.47700000000000037</v>
      </c>
      <c r="Y410" s="96">
        <f t="shared" si="175"/>
        <v>22</v>
      </c>
      <c r="Z410" s="96">
        <v>0.34599999999999997</v>
      </c>
      <c r="AA410" s="272">
        <f t="shared" si="176"/>
        <v>22</v>
      </c>
      <c r="AB410" s="519">
        <f t="shared" si="177"/>
        <v>19.252859203585793</v>
      </c>
      <c r="AC410" s="272">
        <f t="shared" si="165"/>
        <v>19</v>
      </c>
      <c r="AD410" s="272">
        <f t="shared" si="166"/>
        <v>21.955710213860424</v>
      </c>
      <c r="AE410" s="272">
        <f t="shared" si="178"/>
        <v>20</v>
      </c>
      <c r="AF410" s="272">
        <f t="shared" si="167"/>
        <v>21.807829254677106</v>
      </c>
      <c r="AG410" s="272">
        <f t="shared" si="179"/>
        <v>21</v>
      </c>
      <c r="AH410" s="272">
        <f t="shared" si="168"/>
        <v>21.675266688091423</v>
      </c>
      <c r="AI410" s="272">
        <f t="shared" si="180"/>
        <v>21</v>
      </c>
      <c r="AJ410" s="272">
        <f t="shared" si="169"/>
        <v>21.675266688091423</v>
      </c>
      <c r="AK410" s="272">
        <f t="shared" si="181"/>
        <v>21</v>
      </c>
      <c r="AL410" s="272">
        <f t="shared" si="170"/>
        <v>21.675266688091423</v>
      </c>
      <c r="AM410" s="272">
        <f t="shared" si="182"/>
        <v>21</v>
      </c>
      <c r="AN410" s="272">
        <f t="shared" si="171"/>
        <v>21.675266688091423</v>
      </c>
      <c r="AO410" s="272">
        <f t="shared" si="183"/>
        <v>21</v>
      </c>
      <c r="AP410" s="272">
        <f t="shared" si="172"/>
        <v>21.675266688091423</v>
      </c>
      <c r="AQ410" s="272">
        <f t="shared" si="184"/>
        <v>21</v>
      </c>
      <c r="AR410" s="272">
        <f t="shared" si="173"/>
        <v>21.675266688091423</v>
      </c>
      <c r="AS410" s="272">
        <f t="shared" si="185"/>
        <v>21</v>
      </c>
      <c r="AT410" s="508">
        <f t="shared" si="174"/>
        <v>21.675266688091423</v>
      </c>
    </row>
    <row r="411" spans="1:46" ht="12.75" customHeight="1">
      <c r="A411" s="96">
        <f>IF(MAX($F$93:F411)=$G$88,$G$88,F411)</f>
        <v>3.2057712852183653</v>
      </c>
      <c r="B411" s="481">
        <v>319</v>
      </c>
      <c r="C411" s="96">
        <f t="shared" si="162"/>
        <v>0.47850000000000037</v>
      </c>
      <c r="D411" s="96">
        <f t="shared" si="159"/>
        <v>14.880868813783961</v>
      </c>
      <c r="E411" s="96">
        <f t="shared" si="160"/>
        <v>0.31484883085431542</v>
      </c>
      <c r="F411" s="96">
        <f t="shared" si="158"/>
        <v>2.7609765532515462</v>
      </c>
      <c r="G411" s="96">
        <f t="shared" si="161"/>
        <v>2.6449765532515461</v>
      </c>
      <c r="I411" s="96">
        <f t="shared" si="163"/>
        <v>1</v>
      </c>
      <c r="J411" s="96">
        <f t="shared" si="164"/>
        <v>0.47850000000000037</v>
      </c>
      <c r="Y411" s="96">
        <f t="shared" si="175"/>
        <v>22</v>
      </c>
      <c r="Z411" s="96">
        <v>0.34399999999999997</v>
      </c>
      <c r="AA411" s="272">
        <f t="shared" si="176"/>
        <v>22</v>
      </c>
      <c r="AB411" s="519">
        <f t="shared" si="177"/>
        <v>19.477380445650326</v>
      </c>
      <c r="AC411" s="272">
        <f t="shared" si="165"/>
        <v>19</v>
      </c>
      <c r="AD411" s="272">
        <f t="shared" si="166"/>
        <v>22.211751317963383</v>
      </c>
      <c r="AE411" s="272">
        <f t="shared" si="178"/>
        <v>20</v>
      </c>
      <c r="AF411" s="272">
        <f t="shared" si="167"/>
        <v>22.062145814062713</v>
      </c>
      <c r="AG411" s="272">
        <f t="shared" si="179"/>
        <v>21</v>
      </c>
      <c r="AH411" s="272">
        <f t="shared" si="168"/>
        <v>21.928037341396983</v>
      </c>
      <c r="AI411" s="272">
        <f t="shared" si="180"/>
        <v>21</v>
      </c>
      <c r="AJ411" s="272">
        <f t="shared" si="169"/>
        <v>21.928037341396983</v>
      </c>
      <c r="AK411" s="272">
        <f t="shared" si="181"/>
        <v>21</v>
      </c>
      <c r="AL411" s="272">
        <f t="shared" si="170"/>
        <v>21.928037341396983</v>
      </c>
      <c r="AM411" s="272">
        <f t="shared" si="182"/>
        <v>21</v>
      </c>
      <c r="AN411" s="272">
        <f t="shared" si="171"/>
        <v>21.928037341396983</v>
      </c>
      <c r="AO411" s="272">
        <f t="shared" si="183"/>
        <v>21</v>
      </c>
      <c r="AP411" s="272">
        <f t="shared" si="172"/>
        <v>21.928037341396983</v>
      </c>
      <c r="AQ411" s="272">
        <f t="shared" si="184"/>
        <v>21</v>
      </c>
      <c r="AR411" s="272">
        <f t="shared" si="173"/>
        <v>21.928037341396983</v>
      </c>
      <c r="AS411" s="272">
        <f t="shared" si="185"/>
        <v>21</v>
      </c>
      <c r="AT411" s="508">
        <f t="shared" si="174"/>
        <v>21.928037341396983</v>
      </c>
    </row>
    <row r="412" spans="1:46" ht="12.75" customHeight="1">
      <c r="A412" s="96">
        <f>IF(MAX($F$93:F412)=$G$88,$G$88,F412)</f>
        <v>3.2057712852183653</v>
      </c>
      <c r="B412" s="481">
        <v>320</v>
      </c>
      <c r="C412" s="96">
        <f t="shared" si="162"/>
        <v>0.48000000000000037</v>
      </c>
      <c r="D412" s="96">
        <f t="shared" si="159"/>
        <v>14.974312030458401</v>
      </c>
      <c r="E412" s="96">
        <f t="shared" si="160"/>
        <v>0.30895916679501717</v>
      </c>
      <c r="F412" s="96">
        <f t="shared" si="158"/>
        <v>2.7357961112877618</v>
      </c>
      <c r="G412" s="96">
        <f t="shared" si="161"/>
        <v>2.6197961112877617</v>
      </c>
      <c r="I412" s="96">
        <f t="shared" si="163"/>
        <v>1</v>
      </c>
      <c r="J412" s="96">
        <f t="shared" si="164"/>
        <v>0.48000000000000037</v>
      </c>
      <c r="Y412" s="96">
        <f t="shared" si="175"/>
        <v>23</v>
      </c>
      <c r="Z412" s="96">
        <v>0.34200000000000003</v>
      </c>
      <c r="AA412" s="272">
        <f t="shared" si="176"/>
        <v>23</v>
      </c>
      <c r="AB412" s="519">
        <f t="shared" si="177"/>
        <v>19.705852163199584</v>
      </c>
      <c r="AC412" s="272">
        <f t="shared" si="165"/>
        <v>19</v>
      </c>
      <c r="AD412" s="272">
        <f t="shared" si="166"/>
        <v>22.472297492925296</v>
      </c>
      <c r="AE412" s="272">
        <f t="shared" si="178"/>
        <v>20</v>
      </c>
      <c r="AF412" s="272">
        <f t="shared" si="167"/>
        <v>22.320937100756847</v>
      </c>
      <c r="AG412" s="272">
        <f t="shared" si="179"/>
        <v>21</v>
      </c>
      <c r="AH412" s="272">
        <f t="shared" si="168"/>
        <v>22.185255521626761</v>
      </c>
      <c r="AI412" s="272">
        <f t="shared" si="180"/>
        <v>22</v>
      </c>
      <c r="AJ412" s="272">
        <f t="shared" si="169"/>
        <v>22.06293968404292</v>
      </c>
      <c r="AK412" s="272">
        <f t="shared" si="181"/>
        <v>22</v>
      </c>
      <c r="AL412" s="272">
        <f t="shared" si="170"/>
        <v>22.06293968404292</v>
      </c>
      <c r="AM412" s="272">
        <f t="shared" si="182"/>
        <v>22</v>
      </c>
      <c r="AN412" s="272">
        <f t="shared" si="171"/>
        <v>22.06293968404292</v>
      </c>
      <c r="AO412" s="272">
        <f t="shared" si="183"/>
        <v>22</v>
      </c>
      <c r="AP412" s="272">
        <f t="shared" si="172"/>
        <v>22.06293968404292</v>
      </c>
      <c r="AQ412" s="272">
        <f t="shared" si="184"/>
        <v>22</v>
      </c>
      <c r="AR412" s="272">
        <f t="shared" si="173"/>
        <v>22.06293968404292</v>
      </c>
      <c r="AS412" s="272">
        <f t="shared" si="185"/>
        <v>22</v>
      </c>
      <c r="AT412" s="508">
        <f t="shared" si="174"/>
        <v>22.06293968404292</v>
      </c>
    </row>
    <row r="413" spans="1:46" ht="12.75" customHeight="1">
      <c r="A413" s="96">
        <f>IF(MAX($F$93:F413)=$G$88,$G$88,F413)</f>
        <v>3.2057712852183653</v>
      </c>
      <c r="B413" s="481">
        <v>321</v>
      </c>
      <c r="C413" s="96">
        <f t="shared" si="162"/>
        <v>0.48150000000000037</v>
      </c>
      <c r="D413" s="96">
        <f t="shared" si="159"/>
        <v>15.06804771416469</v>
      </c>
      <c r="E413" s="96">
        <f t="shared" si="160"/>
        <v>0.30312399037736787</v>
      </c>
      <c r="F413" s="96">
        <f t="shared" ref="F413:F476" si="186">IF($E$12&lt;$F$90,NA(),$E$87*(E412-E414)/(2*$C$88))</f>
        <v>2.7101313704514256</v>
      </c>
      <c r="G413" s="96">
        <f t="shared" si="161"/>
        <v>2.5941313704514255</v>
      </c>
      <c r="I413" s="96">
        <f t="shared" si="163"/>
        <v>1</v>
      </c>
      <c r="J413" s="96">
        <f t="shared" si="164"/>
        <v>0.48150000000000037</v>
      </c>
      <c r="Y413" s="96">
        <f t="shared" si="175"/>
        <v>23</v>
      </c>
      <c r="Z413" s="96">
        <v>0.34</v>
      </c>
      <c r="AA413" s="272">
        <f t="shared" si="176"/>
        <v>23</v>
      </c>
      <c r="AB413" s="519">
        <f t="shared" si="177"/>
        <v>19.938367581457403</v>
      </c>
      <c r="AC413" s="272">
        <f t="shared" si="165"/>
        <v>19</v>
      </c>
      <c r="AD413" s="272">
        <f t="shared" si="166"/>
        <v>22.737455051578838</v>
      </c>
      <c r="AE413" s="272">
        <f t="shared" si="178"/>
        <v>20</v>
      </c>
      <c r="AF413" s="272">
        <f t="shared" si="167"/>
        <v>22.584308711530486</v>
      </c>
      <c r="AG413" s="272">
        <f t="shared" si="179"/>
        <v>21</v>
      </c>
      <c r="AH413" s="272">
        <f t="shared" si="168"/>
        <v>22.447026183663947</v>
      </c>
      <c r="AI413" s="272">
        <f t="shared" si="180"/>
        <v>22</v>
      </c>
      <c r="AJ413" s="272">
        <f t="shared" si="169"/>
        <v>22.323267103844262</v>
      </c>
      <c r="AK413" s="272">
        <f t="shared" si="181"/>
        <v>22</v>
      </c>
      <c r="AL413" s="272">
        <f t="shared" si="170"/>
        <v>22.323267103844262</v>
      </c>
      <c r="AM413" s="272">
        <f t="shared" si="182"/>
        <v>22</v>
      </c>
      <c r="AN413" s="272">
        <f t="shared" si="171"/>
        <v>22.323267103844262</v>
      </c>
      <c r="AO413" s="272">
        <f t="shared" si="183"/>
        <v>22</v>
      </c>
      <c r="AP413" s="272">
        <f t="shared" si="172"/>
        <v>22.323267103844262</v>
      </c>
      <c r="AQ413" s="272">
        <f t="shared" si="184"/>
        <v>22</v>
      </c>
      <c r="AR413" s="272">
        <f t="shared" si="173"/>
        <v>22.323267103844262</v>
      </c>
      <c r="AS413" s="272">
        <f t="shared" si="185"/>
        <v>22</v>
      </c>
      <c r="AT413" s="508">
        <f t="shared" si="174"/>
        <v>22.323267103844262</v>
      </c>
    </row>
    <row r="414" spans="1:46" ht="12.75" customHeight="1">
      <c r="A414" s="96">
        <f>IF(MAX($F$93:F414)=$G$88,$G$88,F414)</f>
        <v>3.2057712852183653</v>
      </c>
      <c r="B414" s="481">
        <v>322</v>
      </c>
      <c r="C414" s="96">
        <f t="shared" si="162"/>
        <v>0.48300000000000037</v>
      </c>
      <c r="D414" s="96">
        <f t="shared" ref="D414:D477" si="187">C414^2/$C$85</f>
        <v>15.162075864902821</v>
      </c>
      <c r="E414" s="96">
        <f t="shared" ref="E414:E477" si="188">CHIDIST(D414,$E$85)</f>
        <v>0.29734431806451106</v>
      </c>
      <c r="F414" s="96">
        <f t="shared" si="186"/>
        <v>2.6840022853156285</v>
      </c>
      <c r="G414" s="96">
        <f t="shared" ref="G414:G477" si="189">F414-$G$90</f>
        <v>2.5680022853156284</v>
      </c>
      <c r="I414" s="96">
        <f t="shared" si="163"/>
        <v>1</v>
      </c>
      <c r="J414" s="96">
        <f t="shared" si="164"/>
        <v>0.48300000000000037</v>
      </c>
      <c r="Y414" s="96">
        <f t="shared" si="175"/>
        <v>23</v>
      </c>
      <c r="Z414" s="96">
        <v>0.33800000000000002</v>
      </c>
      <c r="AA414" s="272">
        <f t="shared" si="176"/>
        <v>23</v>
      </c>
      <c r="AB414" s="519">
        <f t="shared" si="177"/>
        <v>20.175022691926724</v>
      </c>
      <c r="AC414" s="272">
        <f t="shared" si="165"/>
        <v>20</v>
      </c>
      <c r="AD414" s="272">
        <f t="shared" si="166"/>
        <v>22.852369376535524</v>
      </c>
      <c r="AE414" s="272">
        <f t="shared" si="178"/>
        <v>21</v>
      </c>
      <c r="AF414" s="272">
        <f t="shared" si="167"/>
        <v>22.713457396725889</v>
      </c>
      <c r="AG414" s="272">
        <f t="shared" si="179"/>
        <v>22</v>
      </c>
      <c r="AH414" s="272">
        <f t="shared" si="168"/>
        <v>22.588229379261893</v>
      </c>
      <c r="AI414" s="272">
        <f t="shared" si="180"/>
        <v>22</v>
      </c>
      <c r="AJ414" s="272">
        <f t="shared" si="169"/>
        <v>22.588229379261893</v>
      </c>
      <c r="AK414" s="272">
        <f t="shared" si="181"/>
        <v>22</v>
      </c>
      <c r="AL414" s="272">
        <f t="shared" si="170"/>
        <v>22.588229379261893</v>
      </c>
      <c r="AM414" s="272">
        <f t="shared" si="182"/>
        <v>22</v>
      </c>
      <c r="AN414" s="272">
        <f t="shared" si="171"/>
        <v>22.588229379261893</v>
      </c>
      <c r="AO414" s="272">
        <f t="shared" si="183"/>
        <v>22</v>
      </c>
      <c r="AP414" s="272">
        <f t="shared" si="172"/>
        <v>22.588229379261893</v>
      </c>
      <c r="AQ414" s="272">
        <f t="shared" si="184"/>
        <v>22</v>
      </c>
      <c r="AR414" s="272">
        <f t="shared" si="173"/>
        <v>22.588229379261893</v>
      </c>
      <c r="AS414" s="272">
        <f t="shared" si="185"/>
        <v>22</v>
      </c>
      <c r="AT414" s="508">
        <f t="shared" si="174"/>
        <v>22.588229379261893</v>
      </c>
    </row>
    <row r="415" spans="1:46" ht="12.75" customHeight="1">
      <c r="A415" s="96">
        <f>IF(MAX($F$93:F415)=$G$88,$G$88,F415)</f>
        <v>3.2057712852183653</v>
      </c>
      <c r="B415" s="481">
        <v>323</v>
      </c>
      <c r="C415" s="96">
        <f t="shared" si="162"/>
        <v>0.48450000000000037</v>
      </c>
      <c r="D415" s="96">
        <f t="shared" si="187"/>
        <v>15.2563964826728</v>
      </c>
      <c r="E415" s="96">
        <f t="shared" si="188"/>
        <v>0.29162112344030089</v>
      </c>
      <c r="F415" s="96">
        <f t="shared" si="186"/>
        <v>2.6574289104392705</v>
      </c>
      <c r="G415" s="96">
        <f t="shared" si="189"/>
        <v>2.5414289104392704</v>
      </c>
      <c r="I415" s="96">
        <f t="shared" si="163"/>
        <v>1</v>
      </c>
      <c r="J415" s="96">
        <f t="shared" si="164"/>
        <v>0.48450000000000037</v>
      </c>
      <c r="Y415" s="96">
        <f t="shared" si="175"/>
        <v>23</v>
      </c>
      <c r="Z415" s="96">
        <v>0.33600000000000002</v>
      </c>
      <c r="AA415" s="272">
        <f t="shared" si="176"/>
        <v>23</v>
      </c>
      <c r="AB415" s="519">
        <f t="shared" si="177"/>
        <v>20.415916351478138</v>
      </c>
      <c r="AC415" s="272">
        <f t="shared" si="165"/>
        <v>20</v>
      </c>
      <c r="AD415" s="272">
        <f t="shared" si="166"/>
        <v>23.125231071543048</v>
      </c>
      <c r="AE415" s="272">
        <f t="shared" si="178"/>
        <v>21</v>
      </c>
      <c r="AF415" s="272">
        <f t="shared" si="167"/>
        <v>22.984660455920071</v>
      </c>
      <c r="AG415" s="272">
        <f t="shared" si="179"/>
        <v>22</v>
      </c>
      <c r="AH415" s="272">
        <f t="shared" si="168"/>
        <v>22.857937191790644</v>
      </c>
      <c r="AI415" s="272">
        <f t="shared" si="180"/>
        <v>22</v>
      </c>
      <c r="AJ415" s="272">
        <f t="shared" si="169"/>
        <v>22.857937191790644</v>
      </c>
      <c r="AK415" s="272">
        <f t="shared" si="181"/>
        <v>22</v>
      </c>
      <c r="AL415" s="272">
        <f t="shared" si="170"/>
        <v>22.857937191790644</v>
      </c>
      <c r="AM415" s="272">
        <f t="shared" si="182"/>
        <v>22</v>
      </c>
      <c r="AN415" s="272">
        <f t="shared" si="171"/>
        <v>22.857937191790644</v>
      </c>
      <c r="AO415" s="272">
        <f t="shared" si="183"/>
        <v>22</v>
      </c>
      <c r="AP415" s="272">
        <f t="shared" si="172"/>
        <v>22.857937191790644</v>
      </c>
      <c r="AQ415" s="272">
        <f t="shared" si="184"/>
        <v>22</v>
      </c>
      <c r="AR415" s="272">
        <f t="shared" si="173"/>
        <v>22.857937191790644</v>
      </c>
      <c r="AS415" s="272">
        <f t="shared" si="185"/>
        <v>22</v>
      </c>
      <c r="AT415" s="508">
        <f t="shared" si="174"/>
        <v>22.857937191790644</v>
      </c>
    </row>
    <row r="416" spans="1:46" ht="12.75" customHeight="1">
      <c r="A416" s="96">
        <f>IF(MAX($F$93:F416)=$G$88,$G$88,F416)</f>
        <v>3.2057712852183653</v>
      </c>
      <c r="B416" s="481">
        <v>324</v>
      </c>
      <c r="C416" s="96">
        <f t="shared" si="162"/>
        <v>0.48600000000000038</v>
      </c>
      <c r="D416" s="96">
        <f t="shared" si="187"/>
        <v>15.351009567474621</v>
      </c>
      <c r="E416" s="96">
        <f t="shared" si="188"/>
        <v>0.28595533701977133</v>
      </c>
      <c r="F416" s="96">
        <f t="shared" si="186"/>
        <v>2.6304313774338599</v>
      </c>
      <c r="G416" s="96">
        <f t="shared" si="189"/>
        <v>2.5144313774338598</v>
      </c>
      <c r="I416" s="96">
        <f t="shared" si="163"/>
        <v>1</v>
      </c>
      <c r="J416" s="96">
        <f t="shared" si="164"/>
        <v>0.48600000000000038</v>
      </c>
      <c r="Y416" s="96">
        <f t="shared" si="175"/>
        <v>24</v>
      </c>
      <c r="Z416" s="96">
        <v>0.33400000000000002</v>
      </c>
      <c r="AA416" s="272">
        <f t="shared" si="176"/>
        <v>24</v>
      </c>
      <c r="AB416" s="519">
        <f t="shared" si="177"/>
        <v>20.661150385604326</v>
      </c>
      <c r="AC416" s="272">
        <f t="shared" si="165"/>
        <v>20</v>
      </c>
      <c r="AD416" s="272">
        <f t="shared" si="166"/>
        <v>23.403009134900177</v>
      </c>
      <c r="AE416" s="272">
        <f t="shared" si="178"/>
        <v>21</v>
      </c>
      <c r="AF416" s="272">
        <f t="shared" si="167"/>
        <v>23.26074999849002</v>
      </c>
      <c r="AG416" s="272">
        <f t="shared" si="179"/>
        <v>22</v>
      </c>
      <c r="AH416" s="272">
        <f t="shared" si="168"/>
        <v>23.132504546634838</v>
      </c>
      <c r="AI416" s="272">
        <f t="shared" si="180"/>
        <v>23</v>
      </c>
      <c r="AJ416" s="272">
        <f t="shared" si="169"/>
        <v>23.01630173342064</v>
      </c>
      <c r="AK416" s="272">
        <f t="shared" si="181"/>
        <v>23</v>
      </c>
      <c r="AL416" s="272">
        <f t="shared" si="170"/>
        <v>23.01630173342064</v>
      </c>
      <c r="AM416" s="272">
        <f t="shared" si="182"/>
        <v>23</v>
      </c>
      <c r="AN416" s="272">
        <f t="shared" si="171"/>
        <v>23.01630173342064</v>
      </c>
      <c r="AO416" s="272">
        <f t="shared" si="183"/>
        <v>23</v>
      </c>
      <c r="AP416" s="272">
        <f t="shared" si="172"/>
        <v>23.01630173342064</v>
      </c>
      <c r="AQ416" s="272">
        <f t="shared" si="184"/>
        <v>23</v>
      </c>
      <c r="AR416" s="272">
        <f t="shared" si="173"/>
        <v>23.01630173342064</v>
      </c>
      <c r="AS416" s="272">
        <f t="shared" si="185"/>
        <v>23</v>
      </c>
      <c r="AT416" s="508">
        <f t="shared" si="174"/>
        <v>23.01630173342064</v>
      </c>
    </row>
    <row r="417" spans="1:46" ht="12.75" customHeight="1">
      <c r="A417" s="96">
        <f>IF(MAX($F$93:F417)=$G$88,$G$88,F417)</f>
        <v>3.2057712852183653</v>
      </c>
      <c r="B417" s="481">
        <v>325</v>
      </c>
      <c r="C417" s="96">
        <f t="shared" si="162"/>
        <v>0.48750000000000038</v>
      </c>
      <c r="D417" s="96">
        <f t="shared" si="187"/>
        <v>15.445915119308289</v>
      </c>
      <c r="E417" s="96">
        <f t="shared" si="188"/>
        <v>0.28034784610844149</v>
      </c>
      <c r="F417" s="96">
        <f t="shared" si="186"/>
        <v>2.6030298723143828</v>
      </c>
      <c r="G417" s="96">
        <f t="shared" si="189"/>
        <v>2.4870298723143827</v>
      </c>
      <c r="I417" s="96">
        <f t="shared" si="163"/>
        <v>1</v>
      </c>
      <c r="J417" s="96">
        <f t="shared" si="164"/>
        <v>0.48750000000000038</v>
      </c>
      <c r="Y417" s="96">
        <f t="shared" si="175"/>
        <v>24</v>
      </c>
      <c r="Z417" s="96">
        <v>0.33200000000000002</v>
      </c>
      <c r="AA417" s="272">
        <f t="shared" si="176"/>
        <v>24</v>
      </c>
      <c r="AB417" s="519">
        <f t="shared" si="177"/>
        <v>20.910829696041482</v>
      </c>
      <c r="AC417" s="272">
        <f t="shared" si="165"/>
        <v>20</v>
      </c>
      <c r="AD417" s="272">
        <f t="shared" si="166"/>
        <v>23.68582238943355</v>
      </c>
      <c r="AE417" s="272">
        <f t="shared" si="178"/>
        <v>21</v>
      </c>
      <c r="AF417" s="272">
        <f t="shared" si="167"/>
        <v>23.541844124977793</v>
      </c>
      <c r="AG417" s="272">
        <f t="shared" si="179"/>
        <v>22</v>
      </c>
      <c r="AH417" s="272">
        <f t="shared" si="168"/>
        <v>23.412048893202897</v>
      </c>
      <c r="AI417" s="272">
        <f t="shared" si="180"/>
        <v>23</v>
      </c>
      <c r="AJ417" s="272">
        <f t="shared" si="169"/>
        <v>23.294441829124988</v>
      </c>
      <c r="AK417" s="272">
        <f t="shared" si="181"/>
        <v>23</v>
      </c>
      <c r="AL417" s="272">
        <f t="shared" si="170"/>
        <v>23.294441829124988</v>
      </c>
      <c r="AM417" s="272">
        <f t="shared" si="182"/>
        <v>23</v>
      </c>
      <c r="AN417" s="272">
        <f t="shared" si="171"/>
        <v>23.294441829124988</v>
      </c>
      <c r="AO417" s="272">
        <f t="shared" si="183"/>
        <v>23</v>
      </c>
      <c r="AP417" s="272">
        <f t="shared" si="172"/>
        <v>23.294441829124988</v>
      </c>
      <c r="AQ417" s="272">
        <f t="shared" si="184"/>
        <v>23</v>
      </c>
      <c r="AR417" s="272">
        <f t="shared" si="173"/>
        <v>23.294441829124988</v>
      </c>
      <c r="AS417" s="272">
        <f t="shared" si="185"/>
        <v>23</v>
      </c>
      <c r="AT417" s="508">
        <f t="shared" si="174"/>
        <v>23.294441829124988</v>
      </c>
    </row>
    <row r="418" spans="1:46" ht="12.75" customHeight="1">
      <c r="A418" s="96">
        <f>IF(MAX($F$93:F418)=$G$88,$G$88,F418)</f>
        <v>3.2057712852183653</v>
      </c>
      <c r="B418" s="481">
        <v>326</v>
      </c>
      <c r="C418" s="96">
        <f t="shared" si="162"/>
        <v>0.48900000000000038</v>
      </c>
      <c r="D418" s="96">
        <f t="shared" si="187"/>
        <v>15.541113138173799</v>
      </c>
      <c r="E418" s="96">
        <f t="shared" si="188"/>
        <v>0.27479949470985254</v>
      </c>
      <c r="F418" s="96">
        <f t="shared" si="186"/>
        <v>2.5752446131578952</v>
      </c>
      <c r="G418" s="96">
        <f t="shared" si="189"/>
        <v>2.4592446131578951</v>
      </c>
      <c r="I418" s="96">
        <f t="shared" si="163"/>
        <v>1</v>
      </c>
      <c r="J418" s="96">
        <f t="shared" si="164"/>
        <v>0.48900000000000038</v>
      </c>
      <c r="Y418" s="96">
        <f t="shared" si="175"/>
        <v>24</v>
      </c>
      <c r="Z418" s="96">
        <v>0.33</v>
      </c>
      <c r="AA418" s="272">
        <f t="shared" si="176"/>
        <v>24</v>
      </c>
      <c r="AB418" s="519">
        <f t="shared" si="177"/>
        <v>21.165062372970397</v>
      </c>
      <c r="AC418" s="272">
        <f t="shared" si="165"/>
        <v>21</v>
      </c>
      <c r="AD418" s="272">
        <f t="shared" si="166"/>
        <v>23.828064525542263</v>
      </c>
      <c r="AE418" s="272">
        <f t="shared" si="178"/>
        <v>22</v>
      </c>
      <c r="AF418" s="272">
        <f t="shared" si="167"/>
        <v>23.696691250729074</v>
      </c>
      <c r="AG418" s="272">
        <f t="shared" si="179"/>
        <v>23</v>
      </c>
      <c r="AH418" s="272">
        <f t="shared" si="168"/>
        <v>23.577654326661829</v>
      </c>
      <c r="AI418" s="272">
        <f t="shared" si="180"/>
        <v>23</v>
      </c>
      <c r="AJ418" s="272">
        <f t="shared" si="169"/>
        <v>23.577654326661829</v>
      </c>
      <c r="AK418" s="272">
        <f t="shared" si="181"/>
        <v>23</v>
      </c>
      <c r="AL418" s="272">
        <f t="shared" si="170"/>
        <v>23.577654326661829</v>
      </c>
      <c r="AM418" s="272">
        <f t="shared" si="182"/>
        <v>23</v>
      </c>
      <c r="AN418" s="272">
        <f t="shared" si="171"/>
        <v>23.577654326661829</v>
      </c>
      <c r="AO418" s="272">
        <f t="shared" si="183"/>
        <v>23</v>
      </c>
      <c r="AP418" s="272">
        <f t="shared" si="172"/>
        <v>23.577654326661829</v>
      </c>
      <c r="AQ418" s="272">
        <f t="shared" si="184"/>
        <v>23</v>
      </c>
      <c r="AR418" s="272">
        <f t="shared" si="173"/>
        <v>23.577654326661829</v>
      </c>
      <c r="AS418" s="272">
        <f t="shared" si="185"/>
        <v>23</v>
      </c>
      <c r="AT418" s="508">
        <f t="shared" si="174"/>
        <v>23.577654326661829</v>
      </c>
    </row>
    <row r="419" spans="1:46" ht="12.75" customHeight="1">
      <c r="A419" s="96">
        <f>IF(MAX($F$93:F419)=$G$88,$G$88,F419)</f>
        <v>3.2057712852183653</v>
      </c>
      <c r="B419" s="481">
        <v>327</v>
      </c>
      <c r="C419" s="96">
        <f t="shared" si="162"/>
        <v>0.49050000000000038</v>
      </c>
      <c r="D419" s="96">
        <f t="shared" si="187"/>
        <v>15.636603624071157</v>
      </c>
      <c r="E419" s="96">
        <f t="shared" si="188"/>
        <v>0.26931108348062194</v>
      </c>
      <c r="F419" s="96">
        <f t="shared" si="186"/>
        <v>2.5470958281099758</v>
      </c>
      <c r="G419" s="96">
        <f t="shared" si="189"/>
        <v>2.4310958281099757</v>
      </c>
      <c r="I419" s="96">
        <f t="shared" si="163"/>
        <v>1</v>
      </c>
      <c r="J419" s="96">
        <f t="shared" si="164"/>
        <v>0.49050000000000038</v>
      </c>
      <c r="Y419" s="96">
        <f t="shared" si="175"/>
        <v>24</v>
      </c>
      <c r="Z419" s="96">
        <v>0.32800000000000001</v>
      </c>
      <c r="AA419" s="272">
        <f t="shared" si="176"/>
        <v>24</v>
      </c>
      <c r="AB419" s="519">
        <f t="shared" si="177"/>
        <v>21.423959812021089</v>
      </c>
      <c r="AC419" s="272">
        <f t="shared" si="165"/>
        <v>21</v>
      </c>
      <c r="AD419" s="272">
        <f t="shared" si="166"/>
        <v>24.119536611685312</v>
      </c>
      <c r="AE419" s="272">
        <f t="shared" si="178"/>
        <v>22</v>
      </c>
      <c r="AF419" s="272">
        <f t="shared" si="167"/>
        <v>23.986556339273459</v>
      </c>
      <c r="AG419" s="272">
        <f t="shared" si="179"/>
        <v>23</v>
      </c>
      <c r="AH419" s="272">
        <f t="shared" si="168"/>
        <v>23.86606331957794</v>
      </c>
      <c r="AI419" s="272">
        <f t="shared" si="180"/>
        <v>23</v>
      </c>
      <c r="AJ419" s="272">
        <f t="shared" si="169"/>
        <v>23.86606331957794</v>
      </c>
      <c r="AK419" s="272">
        <f t="shared" si="181"/>
        <v>23</v>
      </c>
      <c r="AL419" s="272">
        <f t="shared" si="170"/>
        <v>23.86606331957794</v>
      </c>
      <c r="AM419" s="272">
        <f t="shared" si="182"/>
        <v>23</v>
      </c>
      <c r="AN419" s="272">
        <f t="shared" si="171"/>
        <v>23.86606331957794</v>
      </c>
      <c r="AO419" s="272">
        <f t="shared" si="183"/>
        <v>23</v>
      </c>
      <c r="AP419" s="272">
        <f t="shared" si="172"/>
        <v>23.86606331957794</v>
      </c>
      <c r="AQ419" s="272">
        <f t="shared" si="184"/>
        <v>23</v>
      </c>
      <c r="AR419" s="272">
        <f t="shared" si="173"/>
        <v>23.86606331957794</v>
      </c>
      <c r="AS419" s="272">
        <f t="shared" si="185"/>
        <v>23</v>
      </c>
      <c r="AT419" s="508">
        <f t="shared" si="174"/>
        <v>23.86606331957794</v>
      </c>
    </row>
    <row r="420" spans="1:46" ht="12.75" customHeight="1">
      <c r="A420" s="96">
        <f>IF(MAX($F$93:F420)=$G$88,$G$88,F420)</f>
        <v>3.2057712852183653</v>
      </c>
      <c r="B420" s="481">
        <v>328</v>
      </c>
      <c r="C420" s="96">
        <f t="shared" si="162"/>
        <v>0.49200000000000038</v>
      </c>
      <c r="D420" s="96">
        <f t="shared" si="187"/>
        <v>15.732386577000359</v>
      </c>
      <c r="E420" s="96">
        <f t="shared" si="188"/>
        <v>0.26388336973223836</v>
      </c>
      <c r="F420" s="96">
        <f t="shared" si="186"/>
        <v>2.5186037337572498</v>
      </c>
      <c r="G420" s="96">
        <f t="shared" si="189"/>
        <v>2.4026037337572497</v>
      </c>
      <c r="I420" s="96">
        <f t="shared" si="163"/>
        <v>1</v>
      </c>
      <c r="J420" s="96">
        <f t="shared" si="164"/>
        <v>0.49200000000000038</v>
      </c>
      <c r="Y420" s="96">
        <f t="shared" si="175"/>
        <v>25</v>
      </c>
      <c r="Z420" s="96">
        <v>0.32600000000000001</v>
      </c>
      <c r="AA420" s="272">
        <f t="shared" si="176"/>
        <v>25</v>
      </c>
      <c r="AB420" s="519">
        <f t="shared" si="177"/>
        <v>21.687636836317477</v>
      </c>
      <c r="AC420" s="272">
        <f t="shared" si="165"/>
        <v>21</v>
      </c>
      <c r="AD420" s="272">
        <f t="shared" si="166"/>
        <v>24.416389653652306</v>
      </c>
      <c r="AE420" s="272">
        <f t="shared" si="178"/>
        <v>22</v>
      </c>
      <c r="AF420" s="272">
        <f t="shared" si="167"/>
        <v>24.281772716364902</v>
      </c>
      <c r="AG420" s="272">
        <f t="shared" si="179"/>
        <v>23</v>
      </c>
      <c r="AH420" s="272">
        <f t="shared" si="168"/>
        <v>24.159796719611887</v>
      </c>
      <c r="AI420" s="272">
        <f t="shared" si="180"/>
        <v>24</v>
      </c>
      <c r="AJ420" s="272">
        <f t="shared" si="169"/>
        <v>24.048762920819183</v>
      </c>
      <c r="AK420" s="272">
        <f t="shared" si="181"/>
        <v>24</v>
      </c>
      <c r="AL420" s="272">
        <f t="shared" si="170"/>
        <v>24.048762920819183</v>
      </c>
      <c r="AM420" s="272">
        <f t="shared" si="182"/>
        <v>24</v>
      </c>
      <c r="AN420" s="272">
        <f t="shared" si="171"/>
        <v>24.048762920819183</v>
      </c>
      <c r="AO420" s="272">
        <f t="shared" si="183"/>
        <v>24</v>
      </c>
      <c r="AP420" s="272">
        <f t="shared" si="172"/>
        <v>24.048762920819183</v>
      </c>
      <c r="AQ420" s="272">
        <f t="shared" si="184"/>
        <v>24</v>
      </c>
      <c r="AR420" s="272">
        <f t="shared" si="173"/>
        <v>24.048762920819183</v>
      </c>
      <c r="AS420" s="272">
        <f t="shared" si="185"/>
        <v>24</v>
      </c>
      <c r="AT420" s="508">
        <f t="shared" si="174"/>
        <v>24.048762920819183</v>
      </c>
    </row>
    <row r="421" spans="1:46" ht="12.75" customHeight="1">
      <c r="A421" s="96">
        <f>IF(MAX($F$93:F421)=$G$88,$G$88,F421)</f>
        <v>3.2057712852183653</v>
      </c>
      <c r="B421" s="481">
        <v>329</v>
      </c>
      <c r="C421" s="96">
        <f t="shared" si="162"/>
        <v>0.49350000000000038</v>
      </c>
      <c r="D421" s="96">
        <f t="shared" si="187"/>
        <v>15.828461996961405</v>
      </c>
      <c r="E421" s="96">
        <f t="shared" si="188"/>
        <v>0.25851706747880515</v>
      </c>
      <c r="F421" s="96">
        <f t="shared" si="186"/>
        <v>2.4897885138977762</v>
      </c>
      <c r="G421" s="96">
        <f t="shared" si="189"/>
        <v>2.3737885138977761</v>
      </c>
      <c r="I421" s="96">
        <f t="shared" si="163"/>
        <v>1</v>
      </c>
      <c r="J421" s="96">
        <f t="shared" si="164"/>
        <v>0.49350000000000038</v>
      </c>
      <c r="Y421" s="96">
        <f t="shared" si="175"/>
        <v>25</v>
      </c>
      <c r="Z421" s="96">
        <v>0.32400000000000001</v>
      </c>
      <c r="AA421" s="272">
        <f t="shared" si="176"/>
        <v>25</v>
      </c>
      <c r="AB421" s="519">
        <f t="shared" si="177"/>
        <v>21.956211823811884</v>
      </c>
      <c r="AC421" s="272">
        <f t="shared" si="165"/>
        <v>21</v>
      </c>
      <c r="AD421" s="272">
        <f t="shared" si="166"/>
        <v>24.718756923787844</v>
      </c>
      <c r="AE421" s="272">
        <f t="shared" si="178"/>
        <v>22</v>
      </c>
      <c r="AF421" s="272">
        <f t="shared" si="167"/>
        <v>24.582472919566342</v>
      </c>
      <c r="AG421" s="272">
        <f t="shared" si="179"/>
        <v>23</v>
      </c>
      <c r="AH421" s="272">
        <f t="shared" si="168"/>
        <v>24.458986398543221</v>
      </c>
      <c r="AI421" s="272">
        <f t="shared" si="180"/>
        <v>24</v>
      </c>
      <c r="AJ421" s="272">
        <f t="shared" si="169"/>
        <v>24.34657758128505</v>
      </c>
      <c r="AK421" s="272">
        <f t="shared" si="181"/>
        <v>24</v>
      </c>
      <c r="AL421" s="272">
        <f t="shared" si="170"/>
        <v>24.34657758128505</v>
      </c>
      <c r="AM421" s="272">
        <f t="shared" si="182"/>
        <v>24</v>
      </c>
      <c r="AN421" s="272">
        <f t="shared" si="171"/>
        <v>24.34657758128505</v>
      </c>
      <c r="AO421" s="272">
        <f t="shared" si="183"/>
        <v>24</v>
      </c>
      <c r="AP421" s="272">
        <f t="shared" si="172"/>
        <v>24.34657758128505</v>
      </c>
      <c r="AQ421" s="272">
        <f t="shared" si="184"/>
        <v>24</v>
      </c>
      <c r="AR421" s="272">
        <f t="shared" si="173"/>
        <v>24.34657758128505</v>
      </c>
      <c r="AS421" s="272">
        <f t="shared" si="185"/>
        <v>24</v>
      </c>
      <c r="AT421" s="508">
        <f t="shared" si="174"/>
        <v>24.34657758128505</v>
      </c>
    </row>
    <row r="422" spans="1:46" ht="12.75" customHeight="1">
      <c r="A422" s="96">
        <f>IF(MAX($F$93:F422)=$G$88,$G$88,F422)</f>
        <v>3.2057712852183653</v>
      </c>
      <c r="B422" s="481">
        <v>330</v>
      </c>
      <c r="C422" s="96">
        <f t="shared" si="162"/>
        <v>0.49500000000000038</v>
      </c>
      <c r="D422" s="96">
        <f t="shared" si="187"/>
        <v>15.924829883954297</v>
      </c>
      <c r="E422" s="96">
        <f t="shared" si="188"/>
        <v>0.25321284752981932</v>
      </c>
      <c r="F422" s="96">
        <f t="shared" si="186"/>
        <v>2.4606702987353408</v>
      </c>
      <c r="G422" s="96">
        <f t="shared" si="189"/>
        <v>2.3446702987353407</v>
      </c>
      <c r="I422" s="96">
        <f t="shared" si="163"/>
        <v>1</v>
      </c>
      <c r="J422" s="96">
        <f t="shared" si="164"/>
        <v>0.49500000000000038</v>
      </c>
      <c r="Y422" s="96">
        <f t="shared" si="175"/>
        <v>25</v>
      </c>
      <c r="Z422" s="96">
        <v>0.32200000000000001</v>
      </c>
      <c r="AA422" s="272">
        <f t="shared" si="176"/>
        <v>25</v>
      </c>
      <c r="AB422" s="519">
        <f t="shared" si="177"/>
        <v>22.229806840172802</v>
      </c>
      <c r="AC422" s="272">
        <f t="shared" si="165"/>
        <v>22</v>
      </c>
      <c r="AD422" s="272">
        <f t="shared" si="166"/>
        <v>24.88879361525786</v>
      </c>
      <c r="AE422" s="272">
        <f t="shared" si="178"/>
        <v>23</v>
      </c>
      <c r="AF422" s="272">
        <f t="shared" si="167"/>
        <v>24.763768336228086</v>
      </c>
      <c r="AG422" s="272">
        <f t="shared" si="179"/>
        <v>24</v>
      </c>
      <c r="AH422" s="272">
        <f t="shared" si="168"/>
        <v>24.64995879955422</v>
      </c>
      <c r="AI422" s="272">
        <f t="shared" si="180"/>
        <v>24</v>
      </c>
      <c r="AJ422" s="272">
        <f t="shared" si="169"/>
        <v>24.64995879955422</v>
      </c>
      <c r="AK422" s="272">
        <f t="shared" si="181"/>
        <v>24</v>
      </c>
      <c r="AL422" s="272">
        <f t="shared" si="170"/>
        <v>24.64995879955422</v>
      </c>
      <c r="AM422" s="272">
        <f t="shared" si="182"/>
        <v>24</v>
      </c>
      <c r="AN422" s="272">
        <f t="shared" si="171"/>
        <v>24.64995879955422</v>
      </c>
      <c r="AO422" s="272">
        <f t="shared" si="183"/>
        <v>24</v>
      </c>
      <c r="AP422" s="272">
        <f t="shared" si="172"/>
        <v>24.64995879955422</v>
      </c>
      <c r="AQ422" s="272">
        <f t="shared" si="184"/>
        <v>24</v>
      </c>
      <c r="AR422" s="272">
        <f t="shared" si="173"/>
        <v>24.64995879955422</v>
      </c>
      <c r="AS422" s="272">
        <f t="shared" si="185"/>
        <v>24</v>
      </c>
      <c r="AT422" s="508">
        <f t="shared" si="174"/>
        <v>24.64995879955422</v>
      </c>
    </row>
    <row r="423" spans="1:46" ht="12.75" customHeight="1">
      <c r="A423" s="96">
        <f>IF(MAX($F$93:F423)=$G$88,$G$88,F423)</f>
        <v>3.2057712852183653</v>
      </c>
      <c r="B423" s="481">
        <v>331</v>
      </c>
      <c r="C423" s="96">
        <f t="shared" si="162"/>
        <v>0.49650000000000039</v>
      </c>
      <c r="D423" s="96">
        <f t="shared" si="187"/>
        <v>16.021490237979034</v>
      </c>
      <c r="E423" s="96">
        <f t="shared" si="188"/>
        <v>0.24797133762708226</v>
      </c>
      <c r="F423" s="96">
        <f t="shared" si="186"/>
        <v>2.4312691445181618</v>
      </c>
      <c r="G423" s="96">
        <f t="shared" si="189"/>
        <v>2.3152691445181617</v>
      </c>
      <c r="I423" s="96">
        <f t="shared" si="163"/>
        <v>1</v>
      </c>
      <c r="J423" s="96">
        <f t="shared" si="164"/>
        <v>0.49650000000000039</v>
      </c>
      <c r="Y423" s="96">
        <f t="shared" si="175"/>
        <v>25</v>
      </c>
      <c r="Z423" s="96">
        <v>0.32</v>
      </c>
      <c r="AA423" s="272">
        <f t="shared" si="176"/>
        <v>25</v>
      </c>
      <c r="AB423" s="519">
        <f t="shared" si="177"/>
        <v>22.508547777504656</v>
      </c>
      <c r="AC423" s="272">
        <f t="shared" si="165"/>
        <v>22</v>
      </c>
      <c r="AD423" s="272">
        <f t="shared" si="166"/>
        <v>25.200875753949184</v>
      </c>
      <c r="AE423" s="272">
        <f t="shared" si="178"/>
        <v>23</v>
      </c>
      <c r="AF423" s="272">
        <f t="shared" si="167"/>
        <v>25.074282775131568</v>
      </c>
      <c r="AG423" s="272">
        <f t="shared" si="179"/>
        <v>24</v>
      </c>
      <c r="AH423" s="272">
        <f t="shared" si="168"/>
        <v>24.959046173564253</v>
      </c>
      <c r="AI423" s="272">
        <f t="shared" si="180"/>
        <v>24</v>
      </c>
      <c r="AJ423" s="272">
        <f t="shared" si="169"/>
        <v>24.959046173564253</v>
      </c>
      <c r="AK423" s="272">
        <f t="shared" si="181"/>
        <v>24</v>
      </c>
      <c r="AL423" s="272">
        <f t="shared" si="170"/>
        <v>24.959046173564253</v>
      </c>
      <c r="AM423" s="272">
        <f t="shared" si="182"/>
        <v>24</v>
      </c>
      <c r="AN423" s="272">
        <f t="shared" si="171"/>
        <v>24.959046173564253</v>
      </c>
      <c r="AO423" s="272">
        <f t="shared" si="183"/>
        <v>24</v>
      </c>
      <c r="AP423" s="272">
        <f t="shared" si="172"/>
        <v>24.959046173564253</v>
      </c>
      <c r="AQ423" s="272">
        <f t="shared" si="184"/>
        <v>24</v>
      </c>
      <c r="AR423" s="272">
        <f t="shared" si="173"/>
        <v>24.959046173564253</v>
      </c>
      <c r="AS423" s="272">
        <f t="shared" si="185"/>
        <v>24</v>
      </c>
      <c r="AT423" s="508">
        <f t="shared" si="174"/>
        <v>24.959046173564253</v>
      </c>
    </row>
    <row r="424" spans="1:46" ht="12.75" customHeight="1">
      <c r="A424" s="96">
        <f>IF(MAX($F$93:F424)=$G$88,$G$88,F424)</f>
        <v>3.2057712852183653</v>
      </c>
      <c r="B424" s="481">
        <v>332</v>
      </c>
      <c r="C424" s="96">
        <f t="shared" si="162"/>
        <v>0.49800000000000039</v>
      </c>
      <c r="D424" s="96">
        <f t="shared" si="187"/>
        <v>16.118443059035616</v>
      </c>
      <c r="E424" s="96">
        <f t="shared" si="188"/>
        <v>0.24279312262474148</v>
      </c>
      <c r="F424" s="96">
        <f t="shared" si="186"/>
        <v>2.4016050136483806</v>
      </c>
      <c r="G424" s="96">
        <f t="shared" si="189"/>
        <v>2.2856050136483805</v>
      </c>
      <c r="I424" s="96">
        <f t="shared" si="163"/>
        <v>1</v>
      </c>
      <c r="J424" s="96">
        <f t="shared" si="164"/>
        <v>0.49800000000000039</v>
      </c>
      <c r="Y424" s="96">
        <f t="shared" si="175"/>
        <v>26</v>
      </c>
      <c r="Z424" s="96">
        <v>0.318</v>
      </c>
      <c r="AA424" s="272">
        <f t="shared" si="176"/>
        <v>26</v>
      </c>
      <c r="AB424" s="519">
        <f t="shared" si="177"/>
        <v>22.792564499193826</v>
      </c>
      <c r="AC424" s="272">
        <f t="shared" si="165"/>
        <v>22</v>
      </c>
      <c r="AD424" s="272">
        <f t="shared" si="166"/>
        <v>25.51886473245121</v>
      </c>
      <c r="AE424" s="272">
        <f t="shared" si="178"/>
        <v>23</v>
      </c>
      <c r="AF424" s="272">
        <f t="shared" si="167"/>
        <v>25.390674381684594</v>
      </c>
      <c r="AG424" s="272">
        <f t="shared" si="179"/>
        <v>24</v>
      </c>
      <c r="AH424" s="272">
        <f t="shared" si="168"/>
        <v>25.273983704886867</v>
      </c>
      <c r="AI424" s="272">
        <f t="shared" si="180"/>
        <v>25</v>
      </c>
      <c r="AJ424" s="272">
        <f t="shared" si="169"/>
        <v>25.167313277932447</v>
      </c>
      <c r="AK424" s="272">
        <f t="shared" si="181"/>
        <v>25</v>
      </c>
      <c r="AL424" s="272">
        <f t="shared" si="170"/>
        <v>25.167313277932447</v>
      </c>
      <c r="AM424" s="272">
        <f t="shared" si="182"/>
        <v>25</v>
      </c>
      <c r="AN424" s="272">
        <f t="shared" si="171"/>
        <v>25.167313277932447</v>
      </c>
      <c r="AO424" s="272">
        <f t="shared" si="183"/>
        <v>25</v>
      </c>
      <c r="AP424" s="272">
        <f t="shared" si="172"/>
        <v>25.167313277932447</v>
      </c>
      <c r="AQ424" s="272">
        <f t="shared" si="184"/>
        <v>25</v>
      </c>
      <c r="AR424" s="272">
        <f t="shared" si="173"/>
        <v>25.167313277932447</v>
      </c>
      <c r="AS424" s="272">
        <f t="shared" si="185"/>
        <v>25</v>
      </c>
      <c r="AT424" s="508">
        <f t="shared" si="174"/>
        <v>25.167313277932447</v>
      </c>
    </row>
    <row r="425" spans="1:46" ht="12.75" customHeight="1">
      <c r="A425" s="96">
        <f>IF(MAX($F$93:F425)=$G$88,$G$88,F425)</f>
        <v>3.2057712852183653</v>
      </c>
      <c r="B425" s="481">
        <v>333</v>
      </c>
      <c r="C425" s="96">
        <f t="shared" ref="C425:C488" si="190">C424+$C$88</f>
        <v>0.49950000000000039</v>
      </c>
      <c r="D425" s="96">
        <f t="shared" si="187"/>
        <v>16.21568834712404</v>
      </c>
      <c r="E425" s="96">
        <f t="shared" si="188"/>
        <v>0.23767874471144634</v>
      </c>
      <c r="F425" s="96">
        <f t="shared" si="186"/>
        <v>2.3716977552815774</v>
      </c>
      <c r="G425" s="96">
        <f t="shared" si="189"/>
        <v>2.2556977552815773</v>
      </c>
      <c r="I425" s="96">
        <f t="shared" si="163"/>
        <v>1</v>
      </c>
      <c r="J425" s="96">
        <f t="shared" si="164"/>
        <v>0.49950000000000039</v>
      </c>
      <c r="Y425" s="96">
        <f t="shared" si="175"/>
        <v>26</v>
      </c>
      <c r="Z425" s="96">
        <v>0.316</v>
      </c>
      <c r="AA425" s="272">
        <f t="shared" si="176"/>
        <v>26</v>
      </c>
      <c r="AB425" s="519">
        <f t="shared" si="177"/>
        <v>23.081990991192082</v>
      </c>
      <c r="AC425" s="272">
        <f t="shared" si="165"/>
        <v>23</v>
      </c>
      <c r="AD425" s="272">
        <f t="shared" si="166"/>
        <v>25.713092414812056</v>
      </c>
      <c r="AE425" s="272">
        <f t="shared" si="178"/>
        <v>24</v>
      </c>
      <c r="AF425" s="272">
        <f t="shared" si="167"/>
        <v>25.59491996648153</v>
      </c>
      <c r="AG425" s="272">
        <f t="shared" si="179"/>
        <v>25</v>
      </c>
      <c r="AH425" s="272">
        <f t="shared" si="168"/>
        <v>25.486895007987908</v>
      </c>
      <c r="AI425" s="272">
        <f t="shared" si="180"/>
        <v>25</v>
      </c>
      <c r="AJ425" s="272">
        <f t="shared" si="169"/>
        <v>25.486895007987908</v>
      </c>
      <c r="AK425" s="272">
        <f t="shared" si="181"/>
        <v>25</v>
      </c>
      <c r="AL425" s="272">
        <f t="shared" si="170"/>
        <v>25.486895007987908</v>
      </c>
      <c r="AM425" s="272">
        <f t="shared" si="182"/>
        <v>25</v>
      </c>
      <c r="AN425" s="272">
        <f t="shared" si="171"/>
        <v>25.486895007987908</v>
      </c>
      <c r="AO425" s="272">
        <f t="shared" si="183"/>
        <v>25</v>
      </c>
      <c r="AP425" s="272">
        <f t="shared" si="172"/>
        <v>25.486895007987908</v>
      </c>
      <c r="AQ425" s="272">
        <f t="shared" si="184"/>
        <v>25</v>
      </c>
      <c r="AR425" s="272">
        <f t="shared" si="173"/>
        <v>25.486895007987908</v>
      </c>
      <c r="AS425" s="272">
        <f t="shared" si="185"/>
        <v>25</v>
      </c>
      <c r="AT425" s="508">
        <f t="shared" si="174"/>
        <v>25.486895007987908</v>
      </c>
    </row>
    <row r="426" spans="1:46" ht="12.75" customHeight="1">
      <c r="A426" s="96">
        <f>IF(MAX($F$93:F426)=$G$88,$G$88,F426)</f>
        <v>3.2057712852183653</v>
      </c>
      <c r="B426" s="481">
        <v>334</v>
      </c>
      <c r="C426" s="96">
        <f t="shared" si="190"/>
        <v>0.50100000000000033</v>
      </c>
      <c r="D426" s="96">
        <f t="shared" si="187"/>
        <v>16.313226102244307</v>
      </c>
      <c r="E426" s="96">
        <f t="shared" si="188"/>
        <v>0.23262870367353472</v>
      </c>
      <c r="F426" s="96">
        <f t="shared" si="186"/>
        <v>2.3415670864388334</v>
      </c>
      <c r="G426" s="96">
        <f t="shared" si="189"/>
        <v>2.2255670864388333</v>
      </c>
      <c r="I426" s="96">
        <f t="shared" si="163"/>
        <v>1</v>
      </c>
      <c r="J426" s="96">
        <f t="shared" si="164"/>
        <v>0.50100000000000033</v>
      </c>
      <c r="Y426" s="96">
        <f t="shared" si="175"/>
        <v>26</v>
      </c>
      <c r="Z426" s="96">
        <v>0.314</v>
      </c>
      <c r="AA426" s="272">
        <f t="shared" si="176"/>
        <v>26</v>
      </c>
      <c r="AB426" s="519">
        <f t="shared" si="177"/>
        <v>23.376965520066495</v>
      </c>
      <c r="AC426" s="272">
        <f t="shared" si="165"/>
        <v>23</v>
      </c>
      <c r="AD426" s="272">
        <f t="shared" si="166"/>
        <v>26.041690901998795</v>
      </c>
      <c r="AE426" s="272">
        <f t="shared" si="178"/>
        <v>24</v>
      </c>
      <c r="AF426" s="272">
        <f t="shared" si="167"/>
        <v>25.922008277952244</v>
      </c>
      <c r="AG426" s="272">
        <f t="shared" si="179"/>
        <v>25</v>
      </c>
      <c r="AH426" s="272">
        <f t="shared" si="168"/>
        <v>25.812602822808639</v>
      </c>
      <c r="AI426" s="272">
        <f t="shared" si="180"/>
        <v>25</v>
      </c>
      <c r="AJ426" s="272">
        <f t="shared" si="169"/>
        <v>25.812602822808639</v>
      </c>
      <c r="AK426" s="272">
        <f t="shared" si="181"/>
        <v>25</v>
      </c>
      <c r="AL426" s="272">
        <f t="shared" si="170"/>
        <v>25.812602822808639</v>
      </c>
      <c r="AM426" s="272">
        <f t="shared" si="182"/>
        <v>25</v>
      </c>
      <c r="AN426" s="272">
        <f t="shared" si="171"/>
        <v>25.812602822808639</v>
      </c>
      <c r="AO426" s="272">
        <f t="shared" si="183"/>
        <v>25</v>
      </c>
      <c r="AP426" s="272">
        <f t="shared" si="172"/>
        <v>25.812602822808639</v>
      </c>
      <c r="AQ426" s="272">
        <f t="shared" si="184"/>
        <v>25</v>
      </c>
      <c r="AR426" s="272">
        <f t="shared" si="173"/>
        <v>25.812602822808639</v>
      </c>
      <c r="AS426" s="272">
        <f t="shared" si="185"/>
        <v>25</v>
      </c>
      <c r="AT426" s="508">
        <f t="shared" si="174"/>
        <v>25.812602822808639</v>
      </c>
    </row>
    <row r="427" spans="1:46" ht="12.75" customHeight="1">
      <c r="A427" s="96">
        <f>IF(MAX($F$93:F427)=$G$88,$G$88,F427)</f>
        <v>3.2057712852183653</v>
      </c>
      <c r="B427" s="481">
        <v>335</v>
      </c>
      <c r="C427" s="96">
        <f t="shared" si="190"/>
        <v>0.50250000000000028</v>
      </c>
      <c r="D427" s="96">
        <f t="shared" si="187"/>
        <v>16.411056324396419</v>
      </c>
      <c r="E427" s="96">
        <f t="shared" si="188"/>
        <v>0.22764345719813706</v>
      </c>
      <c r="F427" s="96">
        <f t="shared" si="186"/>
        <v>2.3112325736490549</v>
      </c>
      <c r="G427" s="96">
        <f t="shared" si="189"/>
        <v>2.1952325736490548</v>
      </c>
      <c r="I427" s="96">
        <f t="shared" si="163"/>
        <v>1</v>
      </c>
      <c r="J427" s="96">
        <f t="shared" si="164"/>
        <v>0.50250000000000028</v>
      </c>
      <c r="Y427" s="96">
        <f t="shared" si="175"/>
        <v>27</v>
      </c>
      <c r="Z427" s="96">
        <v>0.312</v>
      </c>
      <c r="AA427" s="272">
        <f t="shared" si="176"/>
        <v>27</v>
      </c>
      <c r="AB427" s="519">
        <f t="shared" si="177"/>
        <v>23.677630798164</v>
      </c>
      <c r="AC427" s="272">
        <f t="shared" si="165"/>
        <v>23</v>
      </c>
      <c r="AD427" s="272">
        <f t="shared" si="166"/>
        <v>26.376628823281074</v>
      </c>
      <c r="AE427" s="272">
        <f t="shared" si="178"/>
        <v>24</v>
      </c>
      <c r="AF427" s="272">
        <f t="shared" si="167"/>
        <v>26.255406888693496</v>
      </c>
      <c r="AG427" s="272">
        <f t="shared" si="179"/>
        <v>25</v>
      </c>
      <c r="AH427" s="272">
        <f t="shared" si="168"/>
        <v>26.144594303887661</v>
      </c>
      <c r="AI427" s="272">
        <f t="shared" si="180"/>
        <v>26</v>
      </c>
      <c r="AJ427" s="272">
        <f t="shared" si="169"/>
        <v>26.04290674457323</v>
      </c>
      <c r="AK427" s="272">
        <f t="shared" si="181"/>
        <v>26</v>
      </c>
      <c r="AL427" s="272">
        <f t="shared" si="170"/>
        <v>26.04290674457323</v>
      </c>
      <c r="AM427" s="272">
        <f t="shared" si="182"/>
        <v>26</v>
      </c>
      <c r="AN427" s="272">
        <f t="shared" si="171"/>
        <v>26.04290674457323</v>
      </c>
      <c r="AO427" s="272">
        <f t="shared" si="183"/>
        <v>26</v>
      </c>
      <c r="AP427" s="272">
        <f t="shared" si="172"/>
        <v>26.04290674457323</v>
      </c>
      <c r="AQ427" s="272">
        <f t="shared" si="184"/>
        <v>26</v>
      </c>
      <c r="AR427" s="272">
        <f t="shared" si="173"/>
        <v>26.04290674457323</v>
      </c>
      <c r="AS427" s="272">
        <f t="shared" si="185"/>
        <v>26</v>
      </c>
      <c r="AT427" s="508">
        <f t="shared" si="174"/>
        <v>26.04290674457323</v>
      </c>
    </row>
    <row r="428" spans="1:46" ht="12.75" customHeight="1">
      <c r="A428" s="96">
        <f>IF(MAX($F$93:F428)=$G$88,$G$88,F428)</f>
        <v>3.2057712852183653</v>
      </c>
      <c r="B428" s="481">
        <v>336</v>
      </c>
      <c r="C428" s="96">
        <f t="shared" si="190"/>
        <v>0.50400000000000023</v>
      </c>
      <c r="D428" s="96">
        <f t="shared" si="187"/>
        <v>16.509179013580379</v>
      </c>
      <c r="E428" s="96">
        <f t="shared" si="188"/>
        <v>0.22272342121503877</v>
      </c>
      <c r="F428" s="96">
        <f t="shared" si="186"/>
        <v>2.280713615137822</v>
      </c>
      <c r="G428" s="96">
        <f t="shared" si="189"/>
        <v>2.1647136151378219</v>
      </c>
      <c r="I428" s="96">
        <f t="shared" ref="I428:I491" si="191">IF(F428&gt;$G$87,1,0)</f>
        <v>1</v>
      </c>
      <c r="J428" s="96">
        <f t="shared" ref="J428:J491" si="192">C428</f>
        <v>0.50400000000000023</v>
      </c>
      <c r="Y428" s="96">
        <f t="shared" si="175"/>
        <v>27</v>
      </c>
      <c r="Z428" s="96">
        <v>0.31</v>
      </c>
      <c r="AA428" s="272">
        <f t="shared" si="176"/>
        <v>27</v>
      </c>
      <c r="AB428" s="519">
        <f t="shared" si="177"/>
        <v>23.984134156258861</v>
      </c>
      <c r="AC428" s="272">
        <f t="shared" si="165"/>
        <v>23</v>
      </c>
      <c r="AD428" s="272">
        <f t="shared" si="166"/>
        <v>26.718070303574123</v>
      </c>
      <c r="AE428" s="272">
        <f t="shared" si="178"/>
        <v>24</v>
      </c>
      <c r="AF428" s="272">
        <f t="shared" si="167"/>
        <v>26.595279169333814</v>
      </c>
      <c r="AG428" s="272">
        <f t="shared" si="179"/>
        <v>25</v>
      </c>
      <c r="AH428" s="272">
        <f t="shared" si="168"/>
        <v>26.483032132337573</v>
      </c>
      <c r="AI428" s="272">
        <f t="shared" si="180"/>
        <v>26</v>
      </c>
      <c r="AJ428" s="272">
        <f t="shared" si="169"/>
        <v>26.380028242910889</v>
      </c>
      <c r="AK428" s="272">
        <f t="shared" si="181"/>
        <v>26</v>
      </c>
      <c r="AL428" s="272">
        <f t="shared" si="170"/>
        <v>26.380028242910889</v>
      </c>
      <c r="AM428" s="272">
        <f t="shared" si="182"/>
        <v>26</v>
      </c>
      <c r="AN428" s="272">
        <f t="shared" si="171"/>
        <v>26.380028242910889</v>
      </c>
      <c r="AO428" s="272">
        <f t="shared" si="183"/>
        <v>26</v>
      </c>
      <c r="AP428" s="272">
        <f t="shared" si="172"/>
        <v>26.380028242910889</v>
      </c>
      <c r="AQ428" s="272">
        <f t="shared" si="184"/>
        <v>26</v>
      </c>
      <c r="AR428" s="272">
        <f t="shared" si="173"/>
        <v>26.380028242910889</v>
      </c>
      <c r="AS428" s="272">
        <f t="shared" si="185"/>
        <v>26</v>
      </c>
      <c r="AT428" s="508">
        <f t="shared" si="174"/>
        <v>26.380028242910889</v>
      </c>
    </row>
    <row r="429" spans="1:46" ht="12.75" customHeight="1">
      <c r="A429" s="96">
        <f>IF(MAX($F$93:F429)=$G$88,$G$88,F429)</f>
        <v>3.2057712852183653</v>
      </c>
      <c r="B429" s="481">
        <v>337</v>
      </c>
      <c r="C429" s="96">
        <f t="shared" si="190"/>
        <v>0.50550000000000017</v>
      </c>
      <c r="D429" s="96">
        <f t="shared" si="187"/>
        <v>16.60759416979618</v>
      </c>
      <c r="E429" s="96">
        <f t="shared" si="188"/>
        <v>0.21786897027611782</v>
      </c>
      <c r="F429" s="96">
        <f t="shared" si="186"/>
        <v>2.2500294235818554</v>
      </c>
      <c r="G429" s="96">
        <f t="shared" si="189"/>
        <v>2.1340294235818553</v>
      </c>
      <c r="I429" s="96">
        <f t="shared" si="191"/>
        <v>1</v>
      </c>
      <c r="J429" s="96">
        <f t="shared" si="192"/>
        <v>0.50550000000000017</v>
      </c>
      <c r="Y429" s="96">
        <f t="shared" si="175"/>
        <v>27</v>
      </c>
      <c r="Z429" s="96">
        <v>0.308</v>
      </c>
      <c r="AA429" s="272">
        <f t="shared" si="176"/>
        <v>27</v>
      </c>
      <c r="AB429" s="519">
        <f t="shared" si="177"/>
        <v>24.296627724073165</v>
      </c>
      <c r="AC429" s="272">
        <f t="shared" si="165"/>
        <v>24</v>
      </c>
      <c r="AD429" s="272">
        <f t="shared" si="166"/>
        <v>26.94179381190947</v>
      </c>
      <c r="AE429" s="272">
        <f t="shared" si="178"/>
        <v>25</v>
      </c>
      <c r="AF429" s="272">
        <f t="shared" si="167"/>
        <v>26.828084288219355</v>
      </c>
      <c r="AG429" s="272">
        <f t="shared" si="179"/>
        <v>26</v>
      </c>
      <c r="AH429" s="272">
        <f t="shared" si="168"/>
        <v>26.723738342719436</v>
      </c>
      <c r="AI429" s="272">
        <f t="shared" si="180"/>
        <v>26</v>
      </c>
      <c r="AJ429" s="272">
        <f t="shared" si="169"/>
        <v>26.723738342719436</v>
      </c>
      <c r="AK429" s="272">
        <f t="shared" si="181"/>
        <v>26</v>
      </c>
      <c r="AL429" s="272">
        <f t="shared" si="170"/>
        <v>26.723738342719436</v>
      </c>
      <c r="AM429" s="272">
        <f t="shared" si="182"/>
        <v>26</v>
      </c>
      <c r="AN429" s="272">
        <f t="shared" si="171"/>
        <v>26.723738342719436</v>
      </c>
      <c r="AO429" s="272">
        <f t="shared" si="183"/>
        <v>26</v>
      </c>
      <c r="AP429" s="272">
        <f t="shared" si="172"/>
        <v>26.723738342719436</v>
      </c>
      <c r="AQ429" s="272">
        <f t="shared" si="184"/>
        <v>26</v>
      </c>
      <c r="AR429" s="272">
        <f t="shared" si="173"/>
        <v>26.723738342719436</v>
      </c>
      <c r="AS429" s="272">
        <f t="shared" si="185"/>
        <v>26</v>
      </c>
      <c r="AT429" s="508">
        <f t="shared" si="174"/>
        <v>26.723738342719436</v>
      </c>
    </row>
    <row r="430" spans="1:46" ht="12.75" customHeight="1">
      <c r="A430" s="96">
        <f>IF(MAX($F$93:F430)=$G$88,$G$88,F430)</f>
        <v>3.2057712852183653</v>
      </c>
      <c r="B430" s="481">
        <v>338</v>
      </c>
      <c r="C430" s="96">
        <f t="shared" si="190"/>
        <v>0.50700000000000012</v>
      </c>
      <c r="D430" s="96">
        <f t="shared" si="187"/>
        <v>16.706301793043828</v>
      </c>
      <c r="E430" s="96">
        <f t="shared" si="188"/>
        <v>0.21308043797111653</v>
      </c>
      <c r="F430" s="96">
        <f t="shared" si="186"/>
        <v>2.2191990094418217</v>
      </c>
      <c r="G430" s="96">
        <f t="shared" si="189"/>
        <v>2.1031990094418216</v>
      </c>
      <c r="I430" s="96">
        <f t="shared" si="191"/>
        <v>1</v>
      </c>
      <c r="J430" s="96">
        <f t="shared" si="192"/>
        <v>0.50700000000000012</v>
      </c>
      <c r="Y430" s="96">
        <f t="shared" si="175"/>
        <v>28</v>
      </c>
      <c r="Z430" s="96">
        <v>0.30599999999999999</v>
      </c>
      <c r="AA430" s="272">
        <f t="shared" si="176"/>
        <v>28</v>
      </c>
      <c r="AB430" s="519">
        <f t="shared" si="177"/>
        <v>24.615268619083221</v>
      </c>
      <c r="AC430" s="272">
        <f t="shared" si="165"/>
        <v>24</v>
      </c>
      <c r="AD430" s="272">
        <f t="shared" si="166"/>
        <v>27.29512503922615</v>
      </c>
      <c r="AE430" s="272">
        <f t="shared" si="178"/>
        <v>25</v>
      </c>
      <c r="AF430" s="272">
        <f t="shared" si="167"/>
        <v>27.179924259020467</v>
      </c>
      <c r="AG430" s="272">
        <f t="shared" si="179"/>
        <v>26</v>
      </c>
      <c r="AH430" s="272">
        <f t="shared" si="168"/>
        <v>27.074209856718955</v>
      </c>
      <c r="AI430" s="272">
        <f t="shared" si="180"/>
        <v>27</v>
      </c>
      <c r="AJ430" s="272">
        <f t="shared" si="169"/>
        <v>26.97685743870478</v>
      </c>
      <c r="AK430" s="272">
        <f t="shared" si="181"/>
        <v>26</v>
      </c>
      <c r="AL430" s="272">
        <f t="shared" si="170"/>
        <v>27.074209856718955</v>
      </c>
      <c r="AM430" s="272">
        <f t="shared" si="182"/>
        <v>27</v>
      </c>
      <c r="AN430" s="272">
        <f t="shared" si="171"/>
        <v>26.97685743870478</v>
      </c>
      <c r="AO430" s="272">
        <f t="shared" si="183"/>
        <v>26</v>
      </c>
      <c r="AP430" s="272">
        <f t="shared" si="172"/>
        <v>27.074209856718955</v>
      </c>
      <c r="AQ430" s="272">
        <f t="shared" si="184"/>
        <v>27</v>
      </c>
      <c r="AR430" s="272">
        <f t="shared" si="173"/>
        <v>26.97685743870478</v>
      </c>
      <c r="AS430" s="272">
        <f t="shared" si="185"/>
        <v>26</v>
      </c>
      <c r="AT430" s="508">
        <f t="shared" si="174"/>
        <v>27.074209856718955</v>
      </c>
    </row>
    <row r="431" spans="1:46" ht="12.75" customHeight="1">
      <c r="A431" s="96">
        <f>IF(MAX($F$93:F431)=$G$88,$G$88,F431)</f>
        <v>3.2057712852183653</v>
      </c>
      <c r="B431" s="481">
        <v>339</v>
      </c>
      <c r="C431" s="96">
        <f t="shared" si="190"/>
        <v>0.50850000000000006</v>
      </c>
      <c r="D431" s="96">
        <f t="shared" si="187"/>
        <v>16.805301883323317</v>
      </c>
      <c r="E431" s="96">
        <f t="shared" si="188"/>
        <v>0.20835811737851001</v>
      </c>
      <c r="F431" s="96">
        <f t="shared" si="186"/>
        <v>2.1882411648876561</v>
      </c>
      <c r="G431" s="96">
        <f t="shared" si="189"/>
        <v>2.072241164887656</v>
      </c>
      <c r="I431" s="96">
        <f t="shared" si="191"/>
        <v>1</v>
      </c>
      <c r="J431" s="96">
        <f t="shared" si="192"/>
        <v>0.50850000000000006</v>
      </c>
      <c r="Y431" s="96">
        <f t="shared" si="175"/>
        <v>28</v>
      </c>
      <c r="Z431" s="96">
        <v>0.30399999999999999</v>
      </c>
      <c r="AA431" s="272">
        <f t="shared" si="176"/>
        <v>28</v>
      </c>
      <c r="AB431" s="519">
        <f t="shared" si="177"/>
        <v>24.940219144049482</v>
      </c>
      <c r="AC431" s="272">
        <f t="shared" si="165"/>
        <v>24</v>
      </c>
      <c r="AD431" s="272">
        <f t="shared" si="166"/>
        <v>27.65545282389391</v>
      </c>
      <c r="AE431" s="272">
        <f t="shared" si="178"/>
        <v>25</v>
      </c>
      <c r="AF431" s="272">
        <f t="shared" si="167"/>
        <v>27.538731257765331</v>
      </c>
      <c r="AG431" s="272">
        <f t="shared" si="179"/>
        <v>26</v>
      </c>
      <c r="AH431" s="272">
        <f t="shared" si="168"/>
        <v>27.431621300897429</v>
      </c>
      <c r="AI431" s="272">
        <f t="shared" si="180"/>
        <v>27</v>
      </c>
      <c r="AJ431" s="272">
        <f t="shared" si="169"/>
        <v>27.332983716353894</v>
      </c>
      <c r="AK431" s="272">
        <f t="shared" si="181"/>
        <v>27</v>
      </c>
      <c r="AL431" s="272">
        <f t="shared" si="170"/>
        <v>27.332983716353894</v>
      </c>
      <c r="AM431" s="272">
        <f t="shared" si="182"/>
        <v>27</v>
      </c>
      <c r="AN431" s="272">
        <f t="shared" si="171"/>
        <v>27.332983716353894</v>
      </c>
      <c r="AO431" s="272">
        <f t="shared" si="183"/>
        <v>27</v>
      </c>
      <c r="AP431" s="272">
        <f t="shared" si="172"/>
        <v>27.332983716353894</v>
      </c>
      <c r="AQ431" s="272">
        <f t="shared" si="184"/>
        <v>27</v>
      </c>
      <c r="AR431" s="272">
        <f t="shared" si="173"/>
        <v>27.332983716353894</v>
      </c>
      <c r="AS431" s="272">
        <f t="shared" si="185"/>
        <v>27</v>
      </c>
      <c r="AT431" s="508">
        <f t="shared" si="174"/>
        <v>27.332983716353894</v>
      </c>
    </row>
    <row r="432" spans="1:46" ht="12.75" customHeight="1">
      <c r="A432" s="96">
        <f>IF(MAX($F$93:F432)=$G$88,$G$88,F432)</f>
        <v>3.2057712852183653</v>
      </c>
      <c r="B432" s="481">
        <v>340</v>
      </c>
      <c r="C432" s="96">
        <f t="shared" si="190"/>
        <v>0.51</v>
      </c>
      <c r="D432" s="96">
        <f t="shared" si="187"/>
        <v>16.904594440634654</v>
      </c>
      <c r="E432" s="96">
        <f t="shared" si="188"/>
        <v>0.20370226155016943</v>
      </c>
      <c r="F432" s="96">
        <f t="shared" si="186"/>
        <v>2.1571744483296129</v>
      </c>
      <c r="G432" s="96">
        <f t="shared" si="189"/>
        <v>2.0411744483296128</v>
      </c>
      <c r="I432" s="96">
        <f t="shared" si="191"/>
        <v>1</v>
      </c>
      <c r="J432" s="96">
        <f t="shared" si="192"/>
        <v>0.51</v>
      </c>
      <c r="Y432" s="96">
        <f t="shared" si="175"/>
        <v>28</v>
      </c>
      <c r="Z432" s="96">
        <v>0.30199999999999999</v>
      </c>
      <c r="AA432" s="272">
        <f t="shared" si="176"/>
        <v>28</v>
      </c>
      <c r="AB432" s="519">
        <f t="shared" si="177"/>
        <v>25.271646993733569</v>
      </c>
      <c r="AC432" s="272">
        <f t="shared" si="165"/>
        <v>25</v>
      </c>
      <c r="AD432" s="272">
        <f t="shared" si="166"/>
        <v>27.904690451270127</v>
      </c>
      <c r="AE432" s="272">
        <f t="shared" si="178"/>
        <v>26</v>
      </c>
      <c r="AF432" s="272">
        <f t="shared" si="167"/>
        <v>27.796157121877734</v>
      </c>
      <c r="AG432" s="272">
        <f t="shared" si="179"/>
        <v>27</v>
      </c>
      <c r="AH432" s="272">
        <f t="shared" si="168"/>
        <v>27.696208753240658</v>
      </c>
      <c r="AI432" s="272">
        <f t="shared" si="180"/>
        <v>27</v>
      </c>
      <c r="AJ432" s="272">
        <f t="shared" si="169"/>
        <v>27.696208753240658</v>
      </c>
      <c r="AK432" s="272">
        <f t="shared" si="181"/>
        <v>27</v>
      </c>
      <c r="AL432" s="272">
        <f t="shared" si="170"/>
        <v>27.696208753240658</v>
      </c>
      <c r="AM432" s="272">
        <f t="shared" si="182"/>
        <v>27</v>
      </c>
      <c r="AN432" s="272">
        <f t="shared" si="171"/>
        <v>27.696208753240658</v>
      </c>
      <c r="AO432" s="272">
        <f t="shared" si="183"/>
        <v>27</v>
      </c>
      <c r="AP432" s="272">
        <f t="shared" si="172"/>
        <v>27.696208753240658</v>
      </c>
      <c r="AQ432" s="272">
        <f t="shared" si="184"/>
        <v>27</v>
      </c>
      <c r="AR432" s="272">
        <f t="shared" si="173"/>
        <v>27.696208753240658</v>
      </c>
      <c r="AS432" s="272">
        <f t="shared" si="185"/>
        <v>27</v>
      </c>
      <c r="AT432" s="508">
        <f t="shared" si="174"/>
        <v>27.696208753240658</v>
      </c>
    </row>
    <row r="433" spans="1:46" ht="12.75" customHeight="1">
      <c r="A433" s="96">
        <f>IF(MAX($F$93:F433)=$G$88,$G$88,F433)</f>
        <v>3.2057712852183653</v>
      </c>
      <c r="B433" s="481">
        <v>341</v>
      </c>
      <c r="C433" s="96">
        <f t="shared" si="190"/>
        <v>0.51149999999999995</v>
      </c>
      <c r="D433" s="96">
        <f t="shared" si="187"/>
        <v>17.004179464977838</v>
      </c>
      <c r="E433" s="96">
        <f t="shared" si="188"/>
        <v>0.19911308402852596</v>
      </c>
      <c r="F433" s="96">
        <f t="shared" si="186"/>
        <v>2.1260171695623877</v>
      </c>
      <c r="G433" s="96">
        <f t="shared" si="189"/>
        <v>2.0100171695623876</v>
      </c>
      <c r="I433" s="96">
        <f t="shared" si="191"/>
        <v>1</v>
      </c>
      <c r="J433" s="96">
        <f t="shared" si="192"/>
        <v>0.51149999999999995</v>
      </c>
      <c r="Y433" s="96">
        <f t="shared" si="175"/>
        <v>29</v>
      </c>
      <c r="Z433" s="96">
        <v>0.3</v>
      </c>
      <c r="AA433" s="272">
        <f t="shared" si="176"/>
        <v>29</v>
      </c>
      <c r="AB433" s="519">
        <f t="shared" si="177"/>
        <v>25.60972547129419</v>
      </c>
      <c r="AC433" s="272">
        <f t="shared" si="165"/>
        <v>25</v>
      </c>
      <c r="AD433" s="272">
        <f t="shared" si="166"/>
        <v>28.277993199084897</v>
      </c>
      <c r="AE433" s="272">
        <f t="shared" si="178"/>
        <v>26</v>
      </c>
      <c r="AF433" s="272">
        <f t="shared" si="167"/>
        <v>28.168007934930408</v>
      </c>
      <c r="AG433" s="272">
        <f t="shared" si="179"/>
        <v>27</v>
      </c>
      <c r="AH433" s="272">
        <f t="shared" si="168"/>
        <v>28.06672247922846</v>
      </c>
      <c r="AI433" s="272">
        <f t="shared" si="180"/>
        <v>28</v>
      </c>
      <c r="AJ433" s="272">
        <f t="shared" si="169"/>
        <v>27.973144716010214</v>
      </c>
      <c r="AK433" s="272">
        <f t="shared" si="181"/>
        <v>27</v>
      </c>
      <c r="AL433" s="272">
        <f t="shared" si="170"/>
        <v>28.06672247922846</v>
      </c>
      <c r="AM433" s="272">
        <f t="shared" si="182"/>
        <v>28</v>
      </c>
      <c r="AN433" s="272">
        <f t="shared" si="171"/>
        <v>27.973144716010214</v>
      </c>
      <c r="AO433" s="272">
        <f t="shared" si="183"/>
        <v>27</v>
      </c>
      <c r="AP433" s="272">
        <f t="shared" si="172"/>
        <v>28.06672247922846</v>
      </c>
      <c r="AQ433" s="272">
        <f t="shared" si="184"/>
        <v>28</v>
      </c>
      <c r="AR433" s="272">
        <f t="shared" si="173"/>
        <v>27.973144716010214</v>
      </c>
      <c r="AS433" s="272">
        <f t="shared" si="185"/>
        <v>27</v>
      </c>
      <c r="AT433" s="508">
        <f t="shared" si="174"/>
        <v>28.06672247922846</v>
      </c>
    </row>
    <row r="434" spans="1:46" ht="12.75" customHeight="1">
      <c r="A434" s="96">
        <f>IF(MAX($F$93:F434)=$G$88,$G$88,F434)</f>
        <v>3.2057712852183653</v>
      </c>
      <c r="B434" s="481">
        <v>342</v>
      </c>
      <c r="C434" s="96">
        <f t="shared" si="190"/>
        <v>0.5129999999999999</v>
      </c>
      <c r="D434" s="96">
        <f t="shared" si="187"/>
        <v>17.10405695635286</v>
      </c>
      <c r="E434" s="96">
        <f t="shared" si="188"/>
        <v>0.19459075939490206</v>
      </c>
      <c r="F434" s="96">
        <f t="shared" si="186"/>
        <v>2.0947873755366597</v>
      </c>
      <c r="G434" s="96">
        <f t="shared" si="189"/>
        <v>1.9787873755366596</v>
      </c>
      <c r="I434" s="96">
        <f t="shared" si="191"/>
        <v>1</v>
      </c>
      <c r="J434" s="96">
        <f t="shared" si="192"/>
        <v>0.5129999999999999</v>
      </c>
      <c r="Y434" s="96">
        <f t="shared" si="175"/>
        <v>29</v>
      </c>
      <c r="Z434" s="96">
        <v>0.29799999999999999</v>
      </c>
      <c r="AA434" s="272">
        <f t="shared" si="176"/>
        <v>29</v>
      </c>
      <c r="AB434" s="519">
        <f t="shared" si="177"/>
        <v>25.954633714883073</v>
      </c>
      <c r="AC434" s="272">
        <f t="shared" si="165"/>
        <v>25</v>
      </c>
      <c r="AD434" s="272">
        <f t="shared" si="166"/>
        <v>28.658837303698498</v>
      </c>
      <c r="AE434" s="272">
        <f t="shared" si="178"/>
        <v>26</v>
      </c>
      <c r="AF434" s="272">
        <f t="shared" si="167"/>
        <v>28.547370773205447</v>
      </c>
      <c r="AG434" s="272">
        <f t="shared" si="179"/>
        <v>27</v>
      </c>
      <c r="AH434" s="272">
        <f t="shared" si="168"/>
        <v>28.444721218982945</v>
      </c>
      <c r="AI434" s="272">
        <f t="shared" si="180"/>
        <v>28</v>
      </c>
      <c r="AJ434" s="272">
        <f t="shared" si="169"/>
        <v>28.349883163381378</v>
      </c>
      <c r="AK434" s="272">
        <f t="shared" si="181"/>
        <v>28</v>
      </c>
      <c r="AL434" s="272">
        <f t="shared" si="170"/>
        <v>28.349883163381378</v>
      </c>
      <c r="AM434" s="272">
        <f t="shared" si="182"/>
        <v>28</v>
      </c>
      <c r="AN434" s="272">
        <f t="shared" si="171"/>
        <v>28.349883163381378</v>
      </c>
      <c r="AO434" s="272">
        <f t="shared" si="183"/>
        <v>28</v>
      </c>
      <c r="AP434" s="272">
        <f t="shared" si="172"/>
        <v>28.349883163381378</v>
      </c>
      <c r="AQ434" s="272">
        <f t="shared" si="184"/>
        <v>28</v>
      </c>
      <c r="AR434" s="272">
        <f t="shared" si="173"/>
        <v>28.349883163381378</v>
      </c>
      <c r="AS434" s="272">
        <f t="shared" si="185"/>
        <v>28</v>
      </c>
      <c r="AT434" s="508">
        <f t="shared" si="174"/>
        <v>28.349883163381378</v>
      </c>
    </row>
    <row r="435" spans="1:46" ht="12.75" customHeight="1">
      <c r="A435" s="96">
        <f>IF(MAX($F$93:F435)=$G$88,$G$88,F435)</f>
        <v>3.2057712852183653</v>
      </c>
      <c r="B435" s="481">
        <v>343</v>
      </c>
      <c r="C435" s="96">
        <f t="shared" si="190"/>
        <v>0.51449999999999985</v>
      </c>
      <c r="D435" s="96">
        <f t="shared" si="187"/>
        <v>17.204226914759737</v>
      </c>
      <c r="E435" s="96">
        <f t="shared" si="188"/>
        <v>0.19013542384765456</v>
      </c>
      <c r="F435" s="96">
        <f t="shared" si="186"/>
        <v>2.0635028367623116</v>
      </c>
      <c r="G435" s="96">
        <f t="shared" si="189"/>
        <v>1.9475028367623115</v>
      </c>
      <c r="I435" s="96">
        <f t="shared" si="191"/>
        <v>1</v>
      </c>
      <c r="J435" s="96">
        <f t="shared" si="192"/>
        <v>0.51449999999999985</v>
      </c>
      <c r="Y435" s="96">
        <f t="shared" si="175"/>
        <v>29</v>
      </c>
      <c r="Z435" s="96">
        <v>0.29599999999999999</v>
      </c>
      <c r="AA435" s="272">
        <f t="shared" si="176"/>
        <v>29</v>
      </c>
      <c r="AB435" s="519">
        <f t="shared" si="177"/>
        <v>26.306556934994489</v>
      </c>
      <c r="AC435" s="272">
        <f t="shared" si="165"/>
        <v>26</v>
      </c>
      <c r="AD435" s="272">
        <f t="shared" si="166"/>
        <v>28.934449348791734</v>
      </c>
      <c r="AE435" s="272">
        <f t="shared" si="178"/>
        <v>27</v>
      </c>
      <c r="AF435" s="272">
        <f t="shared" si="167"/>
        <v>28.830407952092781</v>
      </c>
      <c r="AG435" s="272">
        <f t="shared" si="179"/>
        <v>28</v>
      </c>
      <c r="AH435" s="272">
        <f t="shared" si="168"/>
        <v>28.734283971431239</v>
      </c>
      <c r="AI435" s="272">
        <f t="shared" si="180"/>
        <v>28</v>
      </c>
      <c r="AJ435" s="272">
        <f t="shared" si="169"/>
        <v>28.734283971431239</v>
      </c>
      <c r="AK435" s="272">
        <f t="shared" si="181"/>
        <v>28</v>
      </c>
      <c r="AL435" s="272">
        <f t="shared" si="170"/>
        <v>28.734283971431239</v>
      </c>
      <c r="AM435" s="272">
        <f t="shared" si="182"/>
        <v>28</v>
      </c>
      <c r="AN435" s="272">
        <f t="shared" si="171"/>
        <v>28.734283971431239</v>
      </c>
      <c r="AO435" s="272">
        <f t="shared" si="183"/>
        <v>28</v>
      </c>
      <c r="AP435" s="272">
        <f t="shared" si="172"/>
        <v>28.734283971431239</v>
      </c>
      <c r="AQ435" s="272">
        <f t="shared" si="184"/>
        <v>28</v>
      </c>
      <c r="AR435" s="272">
        <f t="shared" si="173"/>
        <v>28.734283971431239</v>
      </c>
      <c r="AS435" s="272">
        <f t="shared" si="185"/>
        <v>28</v>
      </c>
      <c r="AT435" s="508">
        <f t="shared" si="174"/>
        <v>28.734283971431239</v>
      </c>
    </row>
    <row r="436" spans="1:46" ht="12.75" customHeight="1">
      <c r="A436" s="96">
        <f>IF(MAX($F$93:F436)=$G$88,$G$88,F436)</f>
        <v>3.2057712852183653</v>
      </c>
      <c r="B436" s="481">
        <v>344</v>
      </c>
      <c r="C436" s="96">
        <f t="shared" si="190"/>
        <v>0.51599999999999979</v>
      </c>
      <c r="D436" s="96">
        <f t="shared" si="187"/>
        <v>17.304689340198451</v>
      </c>
      <c r="E436" s="96">
        <f t="shared" si="188"/>
        <v>0.18574717580877786</v>
      </c>
      <c r="F436" s="96">
        <f t="shared" si="186"/>
        <v>2.0321810343529245</v>
      </c>
      <c r="G436" s="96">
        <f t="shared" si="189"/>
        <v>1.9161810343529244</v>
      </c>
      <c r="I436" s="96">
        <f t="shared" si="191"/>
        <v>1</v>
      </c>
      <c r="J436" s="96">
        <f t="shared" si="192"/>
        <v>0.51599999999999979</v>
      </c>
      <c r="Y436" s="96">
        <f t="shared" si="175"/>
        <v>30</v>
      </c>
      <c r="Z436" s="96">
        <v>0.29399999999999998</v>
      </c>
      <c r="AA436" s="272">
        <f t="shared" si="176"/>
        <v>30</v>
      </c>
      <c r="AB436" s="519">
        <f t="shared" si="177"/>
        <v>26.665686663155125</v>
      </c>
      <c r="AC436" s="272">
        <f t="shared" si="165"/>
        <v>26</v>
      </c>
      <c r="AD436" s="272">
        <f t="shared" si="166"/>
        <v>29.329454326249905</v>
      </c>
      <c r="AE436" s="272">
        <f t="shared" si="178"/>
        <v>27</v>
      </c>
      <c r="AF436" s="272">
        <f t="shared" si="167"/>
        <v>29.223992585618969</v>
      </c>
      <c r="AG436" s="272">
        <f t="shared" si="179"/>
        <v>28</v>
      </c>
      <c r="AH436" s="272">
        <f t="shared" si="168"/>
        <v>29.126556347365906</v>
      </c>
      <c r="AI436" s="272">
        <f t="shared" si="180"/>
        <v>29</v>
      </c>
      <c r="AJ436" s="272">
        <f t="shared" si="169"/>
        <v>29.036263793941568</v>
      </c>
      <c r="AK436" s="272">
        <f t="shared" si="181"/>
        <v>29</v>
      </c>
      <c r="AL436" s="272">
        <f t="shared" si="170"/>
        <v>29.036263793941568</v>
      </c>
      <c r="AM436" s="272">
        <f t="shared" si="182"/>
        <v>29</v>
      </c>
      <c r="AN436" s="272">
        <f t="shared" si="171"/>
        <v>29.036263793941568</v>
      </c>
      <c r="AO436" s="272">
        <f t="shared" si="183"/>
        <v>29</v>
      </c>
      <c r="AP436" s="272">
        <f t="shared" si="172"/>
        <v>29.036263793941568</v>
      </c>
      <c r="AQ436" s="272">
        <f t="shared" si="184"/>
        <v>29</v>
      </c>
      <c r="AR436" s="272">
        <f t="shared" si="173"/>
        <v>29.036263793941568</v>
      </c>
      <c r="AS436" s="272">
        <f t="shared" si="185"/>
        <v>29</v>
      </c>
      <c r="AT436" s="508">
        <f t="shared" si="174"/>
        <v>29.036263793941568</v>
      </c>
    </row>
    <row r="437" spans="1:46" ht="12.75" customHeight="1">
      <c r="A437" s="96">
        <f>IF(MAX($F$93:F437)=$G$88,$G$88,F437)</f>
        <v>3.2057712852183653</v>
      </c>
      <c r="B437" s="481">
        <v>345</v>
      </c>
      <c r="C437" s="96">
        <f t="shared" si="190"/>
        <v>0.51749999999999974</v>
      </c>
      <c r="D437" s="96">
        <f t="shared" si="187"/>
        <v>17.405444232669012</v>
      </c>
      <c r="E437" s="96">
        <f t="shared" si="188"/>
        <v>0.18142607655757059</v>
      </c>
      <c r="F437" s="96">
        <f t="shared" si="186"/>
        <v>2.000839147713827</v>
      </c>
      <c r="G437" s="96">
        <f t="shared" si="189"/>
        <v>1.8848391477138269</v>
      </c>
      <c r="I437" s="96">
        <f t="shared" si="191"/>
        <v>1</v>
      </c>
      <c r="J437" s="96">
        <f t="shared" si="192"/>
        <v>0.51749999999999974</v>
      </c>
      <c r="Y437" s="96">
        <f t="shared" si="175"/>
        <v>30</v>
      </c>
      <c r="Z437" s="96">
        <v>0.29199999999999998</v>
      </c>
      <c r="AA437" s="272">
        <f t="shared" si="176"/>
        <v>30</v>
      </c>
      <c r="AB437" s="519">
        <f t="shared" si="177"/>
        <v>27.032221012578312</v>
      </c>
      <c r="AC437" s="272">
        <f t="shared" si="165"/>
        <v>27</v>
      </c>
      <c r="AD437" s="272">
        <f t="shared" si="166"/>
        <v>29.625692239756063</v>
      </c>
      <c r="AE437" s="272">
        <f t="shared" si="178"/>
        <v>28</v>
      </c>
      <c r="AF437" s="272">
        <f t="shared" si="167"/>
        <v>29.526916687475602</v>
      </c>
      <c r="AG437" s="272">
        <f t="shared" si="179"/>
        <v>29</v>
      </c>
      <c r="AH437" s="272">
        <f t="shared" si="168"/>
        <v>29.435383013852665</v>
      </c>
      <c r="AI437" s="272">
        <f t="shared" si="180"/>
        <v>29</v>
      </c>
      <c r="AJ437" s="272">
        <f t="shared" si="169"/>
        <v>29.435383013852665</v>
      </c>
      <c r="AK437" s="272">
        <f t="shared" si="181"/>
        <v>29</v>
      </c>
      <c r="AL437" s="272">
        <f t="shared" si="170"/>
        <v>29.435383013852665</v>
      </c>
      <c r="AM437" s="272">
        <f t="shared" si="182"/>
        <v>29</v>
      </c>
      <c r="AN437" s="272">
        <f t="shared" si="171"/>
        <v>29.435383013852665</v>
      </c>
      <c r="AO437" s="272">
        <f t="shared" si="183"/>
        <v>29</v>
      </c>
      <c r="AP437" s="272">
        <f t="shared" si="172"/>
        <v>29.435383013852665</v>
      </c>
      <c r="AQ437" s="272">
        <f t="shared" si="184"/>
        <v>29</v>
      </c>
      <c r="AR437" s="272">
        <f t="shared" si="173"/>
        <v>29.435383013852665</v>
      </c>
      <c r="AS437" s="272">
        <f t="shared" si="185"/>
        <v>29</v>
      </c>
      <c r="AT437" s="508">
        <f t="shared" si="174"/>
        <v>29.435383013852665</v>
      </c>
    </row>
    <row r="438" spans="1:46" ht="12.75" customHeight="1">
      <c r="A438" s="96">
        <f>IF(MAX($F$93:F438)=$G$88,$G$88,F438)</f>
        <v>3.2057712852183653</v>
      </c>
      <c r="B438" s="481">
        <v>346</v>
      </c>
      <c r="C438" s="96">
        <f t="shared" si="190"/>
        <v>0.51899999999999968</v>
      </c>
      <c r="D438" s="96">
        <f t="shared" si="187"/>
        <v>17.506491592171418</v>
      </c>
      <c r="E438" s="96">
        <f t="shared" si="188"/>
        <v>0.17717215089000432</v>
      </c>
      <c r="F438" s="96">
        <f t="shared" si="186"/>
        <v>1.9694940428816743</v>
      </c>
      <c r="G438" s="96">
        <f t="shared" si="189"/>
        <v>1.8534940428816742</v>
      </c>
      <c r="I438" s="96">
        <f t="shared" si="191"/>
        <v>1</v>
      </c>
      <c r="J438" s="96">
        <f t="shared" si="192"/>
        <v>0.51899999999999968</v>
      </c>
      <c r="Y438" s="96">
        <f t="shared" si="175"/>
        <v>30</v>
      </c>
      <c r="Z438" s="96">
        <v>0.28999999999999998</v>
      </c>
      <c r="AA438" s="272">
        <f t="shared" si="176"/>
        <v>30</v>
      </c>
      <c r="AB438" s="519">
        <f t="shared" si="177"/>
        <v>27.406364951444431</v>
      </c>
      <c r="AC438" s="272">
        <f t="shared" si="165"/>
        <v>27</v>
      </c>
      <c r="AD438" s="272">
        <f t="shared" si="166"/>
        <v>30.035731547331288</v>
      </c>
      <c r="AE438" s="272">
        <f t="shared" si="178"/>
        <v>28</v>
      </c>
      <c r="AF438" s="272">
        <f t="shared" si="167"/>
        <v>29.93558887563519</v>
      </c>
      <c r="AG438" s="272">
        <f t="shared" si="179"/>
        <v>29</v>
      </c>
      <c r="AH438" s="272">
        <f t="shared" si="168"/>
        <v>29.842788315019423</v>
      </c>
      <c r="AI438" s="272">
        <f t="shared" si="180"/>
        <v>29</v>
      </c>
      <c r="AJ438" s="272">
        <f t="shared" si="169"/>
        <v>29.842788315019423</v>
      </c>
      <c r="AK438" s="272">
        <f t="shared" si="181"/>
        <v>29</v>
      </c>
      <c r="AL438" s="272">
        <f t="shared" si="170"/>
        <v>29.842788315019423</v>
      </c>
      <c r="AM438" s="272">
        <f t="shared" si="182"/>
        <v>29</v>
      </c>
      <c r="AN438" s="272">
        <f t="shared" si="171"/>
        <v>29.842788315019423</v>
      </c>
      <c r="AO438" s="272">
        <f t="shared" si="183"/>
        <v>29</v>
      </c>
      <c r="AP438" s="272">
        <f t="shared" si="172"/>
        <v>29.842788315019423</v>
      </c>
      <c r="AQ438" s="272">
        <f t="shared" si="184"/>
        <v>29</v>
      </c>
      <c r="AR438" s="272">
        <f t="shared" si="173"/>
        <v>29.842788315019423</v>
      </c>
      <c r="AS438" s="272">
        <f t="shared" si="185"/>
        <v>29</v>
      </c>
      <c r="AT438" s="508">
        <f t="shared" si="174"/>
        <v>29.842788315019423</v>
      </c>
    </row>
    <row r="439" spans="1:46" ht="12.75" customHeight="1">
      <c r="A439" s="96">
        <f>IF(MAX($F$93:F439)=$G$88,$G$88,F439)</f>
        <v>3.2057712852183653</v>
      </c>
      <c r="B439" s="481">
        <v>347</v>
      </c>
      <c r="C439" s="96">
        <f t="shared" si="190"/>
        <v>0.52049999999999963</v>
      </c>
      <c r="D439" s="96">
        <f t="shared" si="187"/>
        <v>17.607831418705668</v>
      </c>
      <c r="E439" s="96">
        <f t="shared" si="188"/>
        <v>0.17298538780236342</v>
      </c>
      <c r="F439" s="96">
        <f t="shared" si="186"/>
        <v>1.9381622615169807</v>
      </c>
      <c r="G439" s="96">
        <f t="shared" si="189"/>
        <v>1.8221622615169806</v>
      </c>
      <c r="I439" s="96">
        <f t="shared" si="191"/>
        <v>1</v>
      </c>
      <c r="J439" s="96">
        <f t="shared" si="192"/>
        <v>0.52049999999999963</v>
      </c>
      <c r="Y439" s="96">
        <f t="shared" si="175"/>
        <v>31</v>
      </c>
      <c r="Z439" s="96">
        <v>0.28799999999999998</v>
      </c>
      <c r="AA439" s="272">
        <f t="shared" si="176"/>
        <v>31</v>
      </c>
      <c r="AB439" s="519">
        <f t="shared" si="177"/>
        <v>27.788330589511922</v>
      </c>
      <c r="AC439" s="272">
        <f t="shared" si="165"/>
        <v>27</v>
      </c>
      <c r="AD439" s="272">
        <f t="shared" si="166"/>
        <v>30.454342967912826</v>
      </c>
      <c r="AE439" s="272">
        <f t="shared" si="178"/>
        <v>28</v>
      </c>
      <c r="AF439" s="272">
        <f t="shared" si="167"/>
        <v>30.352804596365253</v>
      </c>
      <c r="AG439" s="272">
        <f t="shared" si="179"/>
        <v>29</v>
      </c>
      <c r="AH439" s="272">
        <f t="shared" si="168"/>
        <v>30.258710663738587</v>
      </c>
      <c r="AI439" s="272">
        <f t="shared" si="180"/>
        <v>30</v>
      </c>
      <c r="AJ439" s="272">
        <f t="shared" si="169"/>
        <v>30.171272840296862</v>
      </c>
      <c r="AK439" s="272">
        <f t="shared" si="181"/>
        <v>30</v>
      </c>
      <c r="AL439" s="272">
        <f t="shared" si="170"/>
        <v>30.171272840296862</v>
      </c>
      <c r="AM439" s="272">
        <f t="shared" si="182"/>
        <v>30</v>
      </c>
      <c r="AN439" s="272">
        <f t="shared" si="171"/>
        <v>30.171272840296862</v>
      </c>
      <c r="AO439" s="272">
        <f t="shared" si="183"/>
        <v>30</v>
      </c>
      <c r="AP439" s="272">
        <f t="shared" si="172"/>
        <v>30.171272840296862</v>
      </c>
      <c r="AQ439" s="272">
        <f t="shared" si="184"/>
        <v>30</v>
      </c>
      <c r="AR439" s="272">
        <f t="shared" si="173"/>
        <v>30.171272840296862</v>
      </c>
      <c r="AS439" s="272">
        <f t="shared" si="185"/>
        <v>30</v>
      </c>
      <c r="AT439" s="508">
        <f t="shared" si="174"/>
        <v>30.171272840296862</v>
      </c>
    </row>
    <row r="440" spans="1:46" ht="12.75" customHeight="1">
      <c r="A440" s="96">
        <f>IF(MAX($F$93:F440)=$G$88,$G$88,F440)</f>
        <v>3.2057712852183653</v>
      </c>
      <c r="B440" s="481">
        <v>348</v>
      </c>
      <c r="C440" s="96">
        <f t="shared" si="190"/>
        <v>0.52199999999999958</v>
      </c>
      <c r="D440" s="96">
        <f t="shared" si="187"/>
        <v>17.709463712271763</v>
      </c>
      <c r="E440" s="96">
        <f t="shared" si="188"/>
        <v>0.16886574119778869</v>
      </c>
      <c r="F440" s="96">
        <f t="shared" si="186"/>
        <v>1.9068600105489588</v>
      </c>
      <c r="G440" s="96">
        <f t="shared" si="189"/>
        <v>1.7908600105489587</v>
      </c>
      <c r="I440" s="96">
        <f t="shared" si="191"/>
        <v>1</v>
      </c>
      <c r="J440" s="96">
        <f t="shared" si="192"/>
        <v>0.52199999999999958</v>
      </c>
      <c r="Y440" s="96">
        <f t="shared" si="175"/>
        <v>31</v>
      </c>
      <c r="Z440" s="96">
        <v>0.28599999999999998</v>
      </c>
      <c r="AA440" s="272">
        <f t="shared" si="176"/>
        <v>31</v>
      </c>
      <c r="AB440" s="519">
        <f t="shared" si="177"/>
        <v>28.17833747880675</v>
      </c>
      <c r="AC440" s="272">
        <f t="shared" si="165"/>
        <v>28</v>
      </c>
      <c r="AD440" s="272">
        <f t="shared" si="166"/>
        <v>30.778803663271063</v>
      </c>
      <c r="AE440" s="272">
        <f t="shared" si="178"/>
        <v>29</v>
      </c>
      <c r="AF440" s="272">
        <f t="shared" si="167"/>
        <v>30.683389130191376</v>
      </c>
      <c r="AG440" s="272">
        <f t="shared" si="179"/>
        <v>30</v>
      </c>
      <c r="AH440" s="272">
        <f t="shared" si="168"/>
        <v>30.594724124230808</v>
      </c>
      <c r="AI440" s="272">
        <f t="shared" si="180"/>
        <v>30</v>
      </c>
      <c r="AJ440" s="272">
        <f t="shared" si="169"/>
        <v>30.594724124230808</v>
      </c>
      <c r="AK440" s="272">
        <f t="shared" si="181"/>
        <v>30</v>
      </c>
      <c r="AL440" s="272">
        <f t="shared" si="170"/>
        <v>30.594724124230808</v>
      </c>
      <c r="AM440" s="272">
        <f t="shared" si="182"/>
        <v>30</v>
      </c>
      <c r="AN440" s="272">
        <f t="shared" si="171"/>
        <v>30.594724124230808</v>
      </c>
      <c r="AO440" s="272">
        <f t="shared" si="183"/>
        <v>30</v>
      </c>
      <c r="AP440" s="272">
        <f t="shared" si="172"/>
        <v>30.594724124230808</v>
      </c>
      <c r="AQ440" s="272">
        <f t="shared" si="184"/>
        <v>30</v>
      </c>
      <c r="AR440" s="272">
        <f t="shared" si="173"/>
        <v>30.594724124230808</v>
      </c>
      <c r="AS440" s="272">
        <f t="shared" si="185"/>
        <v>30</v>
      </c>
      <c r="AT440" s="508">
        <f t="shared" si="174"/>
        <v>30.594724124230808</v>
      </c>
    </row>
    <row r="441" spans="1:46" ht="12.75" customHeight="1">
      <c r="A441" s="96">
        <f>IF(MAX($F$93:F441)=$G$88,$G$88,F441)</f>
        <v>3.2057712852183653</v>
      </c>
      <c r="B441" s="481">
        <v>349</v>
      </c>
      <c r="C441" s="96">
        <f t="shared" si="190"/>
        <v>0.52349999999999952</v>
      </c>
      <c r="D441" s="96">
        <f t="shared" si="187"/>
        <v>17.811388472869705</v>
      </c>
      <c r="E441" s="96">
        <f t="shared" si="188"/>
        <v>0.16481313061429645</v>
      </c>
      <c r="F441" s="96">
        <f t="shared" si="186"/>
        <v>1.8756031524790855</v>
      </c>
      <c r="G441" s="96">
        <f t="shared" si="189"/>
        <v>1.7596031524790854</v>
      </c>
      <c r="I441" s="96">
        <f t="shared" si="191"/>
        <v>1</v>
      </c>
      <c r="J441" s="96">
        <f t="shared" si="192"/>
        <v>0.52349999999999952</v>
      </c>
      <c r="Y441" s="96">
        <f t="shared" si="175"/>
        <v>32</v>
      </c>
      <c r="Z441" s="96">
        <v>0.28399999999999997</v>
      </c>
      <c r="AA441" s="272">
        <f t="shared" si="176"/>
        <v>32</v>
      </c>
      <c r="AB441" s="519">
        <f t="shared" si="177"/>
        <v>28.576612929186631</v>
      </c>
      <c r="AC441" s="272">
        <f t="shared" si="165"/>
        <v>28</v>
      </c>
      <c r="AD441" s="272">
        <f t="shared" si="166"/>
        <v>31.213834363728914</v>
      </c>
      <c r="AE441" s="272">
        <f t="shared" si="178"/>
        <v>29</v>
      </c>
      <c r="AF441" s="272">
        <f t="shared" si="167"/>
        <v>31.117071232061264</v>
      </c>
      <c r="AG441" s="272">
        <f t="shared" si="179"/>
        <v>30</v>
      </c>
      <c r="AH441" s="272">
        <f t="shared" si="168"/>
        <v>31.027153026006534</v>
      </c>
      <c r="AI441" s="272">
        <f t="shared" si="180"/>
        <v>31</v>
      </c>
      <c r="AJ441" s="272">
        <f t="shared" si="169"/>
        <v>30.943377298032424</v>
      </c>
      <c r="AK441" s="272">
        <f t="shared" si="181"/>
        <v>30</v>
      </c>
      <c r="AL441" s="272">
        <f t="shared" si="170"/>
        <v>31.027153026006534</v>
      </c>
      <c r="AM441" s="272">
        <f t="shared" si="182"/>
        <v>31</v>
      </c>
      <c r="AN441" s="272">
        <f t="shared" si="171"/>
        <v>30.943377298032424</v>
      </c>
      <c r="AO441" s="272">
        <f t="shared" si="183"/>
        <v>30</v>
      </c>
      <c r="AP441" s="272">
        <f t="shared" si="172"/>
        <v>31.027153026006534</v>
      </c>
      <c r="AQ441" s="272">
        <f t="shared" si="184"/>
        <v>31</v>
      </c>
      <c r="AR441" s="272">
        <f t="shared" si="173"/>
        <v>30.943377298032424</v>
      </c>
      <c r="AS441" s="272">
        <f t="shared" si="185"/>
        <v>30</v>
      </c>
      <c r="AT441" s="508">
        <f t="shared" si="174"/>
        <v>31.027153026006534</v>
      </c>
    </row>
    <row r="442" spans="1:46" ht="12.75" customHeight="1">
      <c r="A442" s="96">
        <f>IF(MAX($F$93:F442)=$G$88,$G$88,F442)</f>
        <v>3.2057712852183653</v>
      </c>
      <c r="B442" s="481">
        <v>350</v>
      </c>
      <c r="C442" s="96">
        <f t="shared" si="190"/>
        <v>0.52499999999999947</v>
      </c>
      <c r="D442" s="96">
        <f t="shared" si="187"/>
        <v>17.913605700499492</v>
      </c>
      <c r="E442" s="96">
        <f t="shared" si="188"/>
        <v>0.16082744197287832</v>
      </c>
      <c r="F442" s="96">
        <f t="shared" si="186"/>
        <v>1.8444070640701127</v>
      </c>
      <c r="G442" s="96">
        <f t="shared" si="189"/>
        <v>1.7284070640701126</v>
      </c>
      <c r="I442" s="96">
        <f t="shared" si="191"/>
        <v>1</v>
      </c>
      <c r="J442" s="96">
        <f t="shared" si="192"/>
        <v>0.52499999999999947</v>
      </c>
      <c r="Y442" s="96">
        <f t="shared" si="175"/>
        <v>32</v>
      </c>
      <c r="Z442" s="96">
        <v>0.28199999999999997</v>
      </c>
      <c r="AA442" s="272">
        <f t="shared" si="176"/>
        <v>32</v>
      </c>
      <c r="AB442" s="519">
        <f t="shared" si="177"/>
        <v>28.983392339626739</v>
      </c>
      <c r="AC442" s="272">
        <f t="shared" si="165"/>
        <v>28</v>
      </c>
      <c r="AD442" s="272">
        <f t="shared" si="166"/>
        <v>31.658153820744932</v>
      </c>
      <c r="AE442" s="272">
        <f t="shared" si="178"/>
        <v>29</v>
      </c>
      <c r="AF442" s="272">
        <f t="shared" si="167"/>
        <v>31.560013295271037</v>
      </c>
      <c r="AG442" s="272">
        <f t="shared" si="179"/>
        <v>30</v>
      </c>
      <c r="AH442" s="272">
        <f t="shared" si="168"/>
        <v>31.468815130848338</v>
      </c>
      <c r="AI442" s="272">
        <f t="shared" si="180"/>
        <v>31</v>
      </c>
      <c r="AJ442" s="272">
        <f t="shared" si="169"/>
        <v>31.383846880817156</v>
      </c>
      <c r="AK442" s="272">
        <f t="shared" si="181"/>
        <v>31</v>
      </c>
      <c r="AL442" s="272">
        <f t="shared" si="170"/>
        <v>31.383846880817156</v>
      </c>
      <c r="AM442" s="272">
        <f t="shared" si="182"/>
        <v>31</v>
      </c>
      <c r="AN442" s="272">
        <f t="shared" si="171"/>
        <v>31.383846880817156</v>
      </c>
      <c r="AO442" s="272">
        <f t="shared" si="183"/>
        <v>31</v>
      </c>
      <c r="AP442" s="272">
        <f t="shared" si="172"/>
        <v>31.383846880817156</v>
      </c>
      <c r="AQ442" s="272">
        <f t="shared" si="184"/>
        <v>31</v>
      </c>
      <c r="AR442" s="272">
        <f t="shared" si="173"/>
        <v>31.383846880817156</v>
      </c>
      <c r="AS442" s="272">
        <f t="shared" si="185"/>
        <v>31</v>
      </c>
      <c r="AT442" s="508">
        <f t="shared" si="174"/>
        <v>31.383846880817156</v>
      </c>
    </row>
    <row r="443" spans="1:46" ht="12.75" customHeight="1">
      <c r="A443" s="96">
        <f>IF(MAX($F$93:F443)=$G$88,$G$88,F443)</f>
        <v>3.2057712852183653</v>
      </c>
      <c r="B443" s="481">
        <v>351</v>
      </c>
      <c r="C443" s="96">
        <f t="shared" si="190"/>
        <v>0.52649999999999941</v>
      </c>
      <c r="D443" s="96">
        <f t="shared" si="187"/>
        <v>18.016115395161119</v>
      </c>
      <c r="E443" s="96">
        <f t="shared" si="188"/>
        <v>0.15690852891113882</v>
      </c>
      <c r="F443" s="96">
        <f t="shared" si="186"/>
        <v>1.8132871683175962</v>
      </c>
      <c r="G443" s="96">
        <f t="shared" si="189"/>
        <v>1.6972871683175961</v>
      </c>
      <c r="I443" s="96">
        <f t="shared" si="191"/>
        <v>1</v>
      </c>
      <c r="J443" s="96">
        <f t="shared" si="192"/>
        <v>0.52649999999999941</v>
      </c>
      <c r="Y443" s="96">
        <f t="shared" si="175"/>
        <v>32</v>
      </c>
      <c r="Z443" s="96">
        <v>0.28000000000000003</v>
      </c>
      <c r="AA443" s="272">
        <f t="shared" si="176"/>
        <v>32</v>
      </c>
      <c r="AB443" s="519">
        <f t="shared" si="177"/>
        <v>29.398919546128518</v>
      </c>
      <c r="AC443" s="272">
        <f t="shared" si="165"/>
        <v>29</v>
      </c>
      <c r="AD443" s="272">
        <f t="shared" si="166"/>
        <v>32.012480832820572</v>
      </c>
      <c r="AE443" s="272">
        <f t="shared" si="178"/>
        <v>30</v>
      </c>
      <c r="AF443" s="272">
        <f t="shared" si="167"/>
        <v>31.91997518450998</v>
      </c>
      <c r="AG443" s="272">
        <f t="shared" si="179"/>
        <v>31</v>
      </c>
      <c r="AH443" s="272">
        <f t="shared" si="168"/>
        <v>31.833788767220696</v>
      </c>
      <c r="AI443" s="272">
        <f t="shared" si="180"/>
        <v>31</v>
      </c>
      <c r="AJ443" s="272">
        <f t="shared" si="169"/>
        <v>31.833788767220696</v>
      </c>
      <c r="AK443" s="272">
        <f t="shared" si="181"/>
        <v>31</v>
      </c>
      <c r="AL443" s="272">
        <f t="shared" si="170"/>
        <v>31.833788767220696</v>
      </c>
      <c r="AM443" s="272">
        <f t="shared" si="182"/>
        <v>31</v>
      </c>
      <c r="AN443" s="272">
        <f t="shared" si="171"/>
        <v>31.833788767220696</v>
      </c>
      <c r="AO443" s="272">
        <f t="shared" si="183"/>
        <v>31</v>
      </c>
      <c r="AP443" s="272">
        <f t="shared" si="172"/>
        <v>31.833788767220696</v>
      </c>
      <c r="AQ443" s="272">
        <f t="shared" si="184"/>
        <v>31</v>
      </c>
      <c r="AR443" s="272">
        <f t="shared" si="173"/>
        <v>31.833788767220696</v>
      </c>
      <c r="AS443" s="272">
        <f t="shared" si="185"/>
        <v>31</v>
      </c>
      <c r="AT443" s="508">
        <f t="shared" si="174"/>
        <v>31.833788767220696</v>
      </c>
    </row>
    <row r="444" spans="1:46" ht="12.75" customHeight="1">
      <c r="A444" s="96">
        <f>IF(MAX($F$93:F444)=$G$88,$G$88,F444)</f>
        <v>3.2057712852183653</v>
      </c>
      <c r="B444" s="481">
        <v>352</v>
      </c>
      <c r="C444" s="96">
        <f t="shared" si="190"/>
        <v>0.52799999999999936</v>
      </c>
      <c r="D444" s="96">
        <f t="shared" si="187"/>
        <v>18.118917556854594</v>
      </c>
      <c r="E444" s="96">
        <f t="shared" si="188"/>
        <v>0.15305621125151719</v>
      </c>
      <c r="F444" s="96">
        <f t="shared" si="186"/>
        <v>1.7822582305346157</v>
      </c>
      <c r="G444" s="96">
        <f t="shared" si="189"/>
        <v>1.6662582305346156</v>
      </c>
      <c r="I444" s="96">
        <f t="shared" si="191"/>
        <v>1</v>
      </c>
      <c r="J444" s="96">
        <f t="shared" si="192"/>
        <v>0.52799999999999936</v>
      </c>
      <c r="Y444" s="96">
        <f t="shared" si="175"/>
        <v>33</v>
      </c>
      <c r="Z444" s="96">
        <v>0.27800000000000002</v>
      </c>
      <c r="AA444" s="272">
        <f t="shared" si="176"/>
        <v>33</v>
      </c>
      <c r="AB444" s="519">
        <f t="shared" si="177"/>
        <v>29.823447187211791</v>
      </c>
      <c r="AC444" s="272">
        <f t="shared" si="165"/>
        <v>29</v>
      </c>
      <c r="AD444" s="272">
        <f t="shared" si="166"/>
        <v>32.474748942771242</v>
      </c>
      <c r="AE444" s="272">
        <f t="shared" si="178"/>
        <v>30</v>
      </c>
      <c r="AF444" s="272">
        <f t="shared" si="167"/>
        <v>32.380907490108974</v>
      </c>
      <c r="AG444" s="272">
        <f t="shared" si="179"/>
        <v>31</v>
      </c>
      <c r="AH444" s="272">
        <f t="shared" si="168"/>
        <v>32.293476519720798</v>
      </c>
      <c r="AI444" s="272">
        <f t="shared" si="180"/>
        <v>32</v>
      </c>
      <c r="AJ444" s="272">
        <f t="shared" si="169"/>
        <v>32.211821920334508</v>
      </c>
      <c r="AK444" s="272">
        <f t="shared" si="181"/>
        <v>32</v>
      </c>
      <c r="AL444" s="272">
        <f t="shared" si="170"/>
        <v>32.211821920334508</v>
      </c>
      <c r="AM444" s="272">
        <f t="shared" si="182"/>
        <v>32</v>
      </c>
      <c r="AN444" s="272">
        <f t="shared" si="171"/>
        <v>32.211821920334508</v>
      </c>
      <c r="AO444" s="272">
        <f t="shared" si="183"/>
        <v>32</v>
      </c>
      <c r="AP444" s="272">
        <f t="shared" si="172"/>
        <v>32.211821920334508</v>
      </c>
      <c r="AQ444" s="272">
        <f t="shared" si="184"/>
        <v>32</v>
      </c>
      <c r="AR444" s="272">
        <f t="shared" si="173"/>
        <v>32.211821920334508</v>
      </c>
      <c r="AS444" s="272">
        <f t="shared" si="185"/>
        <v>32</v>
      </c>
      <c r="AT444" s="508">
        <f t="shared" si="174"/>
        <v>32.211821920334508</v>
      </c>
    </row>
    <row r="445" spans="1:46" ht="12.75" customHeight="1">
      <c r="A445" s="96">
        <f>IF(MAX($F$93:F445)=$G$88,$G$88,F445)</f>
        <v>3.2057712852183653</v>
      </c>
      <c r="B445" s="481">
        <v>353</v>
      </c>
      <c r="C445" s="96">
        <f t="shared" si="190"/>
        <v>0.5294999999999993</v>
      </c>
      <c r="D445" s="96">
        <f t="shared" si="187"/>
        <v>18.222012185579914</v>
      </c>
      <c r="E445" s="96">
        <f t="shared" si="188"/>
        <v>0.14927027935170475</v>
      </c>
      <c r="F445" s="96">
        <f t="shared" si="186"/>
        <v>1.7513343758445421</v>
      </c>
      <c r="G445" s="96">
        <f t="shared" si="189"/>
        <v>1.635334375844542</v>
      </c>
      <c r="I445" s="96">
        <f t="shared" si="191"/>
        <v>1</v>
      </c>
      <c r="J445" s="96">
        <f t="shared" si="192"/>
        <v>0.5294999999999993</v>
      </c>
      <c r="Y445" s="96">
        <f t="shared" si="175"/>
        <v>33</v>
      </c>
      <c r="Z445" s="96">
        <v>0.27600000000000002</v>
      </c>
      <c r="AA445" s="272">
        <f t="shared" si="176"/>
        <v>33</v>
      </c>
      <c r="AB445" s="519">
        <f t="shared" si="177"/>
        <v>30.257237088012975</v>
      </c>
      <c r="AC445" s="272">
        <f t="shared" si="165"/>
        <v>30</v>
      </c>
      <c r="AD445" s="272">
        <f t="shared" si="166"/>
        <v>32.851896325162549</v>
      </c>
      <c r="AE445" s="272">
        <f t="shared" si="178"/>
        <v>31</v>
      </c>
      <c r="AF445" s="272">
        <f t="shared" si="167"/>
        <v>32.763193648263261</v>
      </c>
      <c r="AG445" s="272">
        <f t="shared" si="179"/>
        <v>32</v>
      </c>
      <c r="AH445" s="272">
        <f t="shared" si="168"/>
        <v>32.680351361204742</v>
      </c>
      <c r="AI445" s="272">
        <f t="shared" si="180"/>
        <v>32</v>
      </c>
      <c r="AJ445" s="272">
        <f t="shared" si="169"/>
        <v>32.680351361204742</v>
      </c>
      <c r="AK445" s="272">
        <f t="shared" si="181"/>
        <v>32</v>
      </c>
      <c r="AL445" s="272">
        <f t="shared" si="170"/>
        <v>32.680351361204742</v>
      </c>
      <c r="AM445" s="272">
        <f t="shared" si="182"/>
        <v>32</v>
      </c>
      <c r="AN445" s="272">
        <f t="shared" si="171"/>
        <v>32.680351361204742</v>
      </c>
      <c r="AO445" s="272">
        <f t="shared" si="183"/>
        <v>32</v>
      </c>
      <c r="AP445" s="272">
        <f t="shared" si="172"/>
        <v>32.680351361204742</v>
      </c>
      <c r="AQ445" s="272">
        <f t="shared" si="184"/>
        <v>32</v>
      </c>
      <c r="AR445" s="272">
        <f t="shared" si="173"/>
        <v>32.680351361204742</v>
      </c>
      <c r="AS445" s="272">
        <f t="shared" si="185"/>
        <v>32</v>
      </c>
      <c r="AT445" s="508">
        <f t="shared" si="174"/>
        <v>32.680351361204742</v>
      </c>
    </row>
    <row r="446" spans="1:46" ht="12.75" customHeight="1">
      <c r="A446" s="96">
        <f>IF(MAX($F$93:F446)=$G$88,$G$88,F446)</f>
        <v>3.2057712852183653</v>
      </c>
      <c r="B446" s="481">
        <v>354</v>
      </c>
      <c r="C446" s="96">
        <f t="shared" si="190"/>
        <v>0.53099999999999925</v>
      </c>
      <c r="D446" s="96">
        <f t="shared" si="187"/>
        <v>18.325399281337077</v>
      </c>
      <c r="E446" s="96">
        <f t="shared" si="188"/>
        <v>0.14555049249789773</v>
      </c>
      <c r="F446" s="96">
        <f t="shared" si="186"/>
        <v>1.7205297665647061</v>
      </c>
      <c r="G446" s="96">
        <f t="shared" si="189"/>
        <v>1.604529766564706</v>
      </c>
      <c r="I446" s="96">
        <f t="shared" si="191"/>
        <v>1</v>
      </c>
      <c r="J446" s="96">
        <f t="shared" si="192"/>
        <v>0.53099999999999925</v>
      </c>
      <c r="Y446" s="96">
        <f t="shared" si="175"/>
        <v>34</v>
      </c>
      <c r="Z446" s="96">
        <v>0.27400000000000002</v>
      </c>
      <c r="AA446" s="272">
        <f t="shared" si="176"/>
        <v>34</v>
      </c>
      <c r="AB446" s="519">
        <f t="shared" si="177"/>
        <v>30.700560664080079</v>
      </c>
      <c r="AC446" s="272">
        <f t="shared" si="165"/>
        <v>30</v>
      </c>
      <c r="AD446" s="272">
        <f t="shared" si="166"/>
        <v>33.333236380009353</v>
      </c>
      <c r="AE446" s="272">
        <f t="shared" si="178"/>
        <v>31</v>
      </c>
      <c r="AF446" s="272">
        <f t="shared" si="167"/>
        <v>33.243234047499897</v>
      </c>
      <c r="AG446" s="272">
        <f t="shared" si="179"/>
        <v>32</v>
      </c>
      <c r="AH446" s="272">
        <f t="shared" si="168"/>
        <v>33.159177970205292</v>
      </c>
      <c r="AI446" s="272">
        <f t="shared" si="180"/>
        <v>33</v>
      </c>
      <c r="AJ446" s="272">
        <f t="shared" si="169"/>
        <v>33.080498060133252</v>
      </c>
      <c r="AK446" s="272">
        <f t="shared" si="181"/>
        <v>33</v>
      </c>
      <c r="AL446" s="272">
        <f t="shared" si="170"/>
        <v>33.080498060133252</v>
      </c>
      <c r="AM446" s="272">
        <f t="shared" si="182"/>
        <v>33</v>
      </c>
      <c r="AN446" s="272">
        <f t="shared" si="171"/>
        <v>33.080498060133252</v>
      </c>
      <c r="AO446" s="272">
        <f t="shared" si="183"/>
        <v>33</v>
      </c>
      <c r="AP446" s="272">
        <f t="shared" si="172"/>
        <v>33.080498060133252</v>
      </c>
      <c r="AQ446" s="272">
        <f t="shared" si="184"/>
        <v>33</v>
      </c>
      <c r="AR446" s="272">
        <f t="shared" si="173"/>
        <v>33.080498060133252</v>
      </c>
      <c r="AS446" s="272">
        <f t="shared" si="185"/>
        <v>33</v>
      </c>
      <c r="AT446" s="508">
        <f t="shared" si="174"/>
        <v>33.080498060133252</v>
      </c>
    </row>
    <row r="447" spans="1:46" ht="12.75" customHeight="1">
      <c r="A447" s="96">
        <f>IF(MAX($F$93:F447)=$G$88,$G$88,F447)</f>
        <v>3.2057712852183653</v>
      </c>
      <c r="B447" s="481">
        <v>355</v>
      </c>
      <c r="C447" s="96">
        <f t="shared" si="190"/>
        <v>0.5324999999999992</v>
      </c>
      <c r="D447" s="96">
        <f t="shared" si="187"/>
        <v>18.429078844126089</v>
      </c>
      <c r="E447" s="96">
        <f t="shared" si="188"/>
        <v>0.14189658035214173</v>
      </c>
      <c r="F447" s="96">
        <f t="shared" si="186"/>
        <v>1.6898580314427469</v>
      </c>
      <c r="G447" s="96">
        <f t="shared" si="189"/>
        <v>1.5738580314427468</v>
      </c>
      <c r="I447" s="96">
        <f t="shared" si="191"/>
        <v>1</v>
      </c>
      <c r="J447" s="96">
        <f t="shared" si="192"/>
        <v>0.5324999999999992</v>
      </c>
      <c r="Y447" s="96">
        <f t="shared" si="175"/>
        <v>34</v>
      </c>
      <c r="Z447" s="96">
        <v>0.27200000000000002</v>
      </c>
      <c r="AA447" s="272">
        <f t="shared" si="176"/>
        <v>34</v>
      </c>
      <c r="AB447" s="519">
        <f t="shared" si="177"/>
        <v>31.153699346027199</v>
      </c>
      <c r="AC447" s="272">
        <f t="shared" si="165"/>
        <v>31</v>
      </c>
      <c r="AD447" s="272">
        <f t="shared" si="166"/>
        <v>33.733902456613627</v>
      </c>
      <c r="AE447" s="272">
        <f t="shared" si="178"/>
        <v>32</v>
      </c>
      <c r="AF447" s="272">
        <f t="shared" si="167"/>
        <v>33.648605715980921</v>
      </c>
      <c r="AG447" s="272">
        <f t="shared" si="179"/>
        <v>33</v>
      </c>
      <c r="AH447" s="272">
        <f t="shared" si="168"/>
        <v>33.568764494519939</v>
      </c>
      <c r="AI447" s="272">
        <f t="shared" si="180"/>
        <v>33</v>
      </c>
      <c r="AJ447" s="272">
        <f t="shared" si="169"/>
        <v>33.568764494519939</v>
      </c>
      <c r="AK447" s="272">
        <f t="shared" si="181"/>
        <v>33</v>
      </c>
      <c r="AL447" s="272">
        <f t="shared" si="170"/>
        <v>33.568764494519939</v>
      </c>
      <c r="AM447" s="272">
        <f t="shared" si="182"/>
        <v>33</v>
      </c>
      <c r="AN447" s="272">
        <f t="shared" si="171"/>
        <v>33.568764494519939</v>
      </c>
      <c r="AO447" s="272">
        <f t="shared" si="183"/>
        <v>33</v>
      </c>
      <c r="AP447" s="272">
        <f t="shared" si="172"/>
        <v>33.568764494519939</v>
      </c>
      <c r="AQ447" s="272">
        <f t="shared" si="184"/>
        <v>33</v>
      </c>
      <c r="AR447" s="272">
        <f t="shared" si="173"/>
        <v>33.568764494519939</v>
      </c>
      <c r="AS447" s="272">
        <f t="shared" si="185"/>
        <v>33</v>
      </c>
      <c r="AT447" s="508">
        <f t="shared" si="174"/>
        <v>33.568764494519939</v>
      </c>
    </row>
    <row r="448" spans="1:46" ht="12.75" customHeight="1">
      <c r="A448" s="96">
        <f>IF(MAX($F$93:F448)=$G$88,$G$88,F448)</f>
        <v>3.2057712852183653</v>
      </c>
      <c r="B448" s="481">
        <v>356</v>
      </c>
      <c r="C448" s="96">
        <f t="shared" si="190"/>
        <v>0.53399999999999914</v>
      </c>
      <c r="D448" s="96">
        <f t="shared" si="187"/>
        <v>18.533050873946944</v>
      </c>
      <c r="E448" s="96">
        <f t="shared" si="188"/>
        <v>0.13830824379171452</v>
      </c>
      <c r="F448" s="96">
        <f t="shared" si="186"/>
        <v>1.6593324050772784</v>
      </c>
      <c r="G448" s="96">
        <f t="shared" si="189"/>
        <v>1.5433324050772783</v>
      </c>
      <c r="I448" s="96">
        <f t="shared" si="191"/>
        <v>1</v>
      </c>
      <c r="J448" s="96">
        <f t="shared" si="192"/>
        <v>0.53399999999999914</v>
      </c>
      <c r="Y448" s="96">
        <f t="shared" si="175"/>
        <v>35</v>
      </c>
      <c r="Z448" s="96">
        <v>0.27</v>
      </c>
      <c r="AA448" s="272">
        <f t="shared" si="176"/>
        <v>35</v>
      </c>
      <c r="AB448" s="519">
        <f t="shared" si="177"/>
        <v>31.616945026289113</v>
      </c>
      <c r="AC448" s="272">
        <f t="shared" si="165"/>
        <v>31</v>
      </c>
      <c r="AD448" s="272">
        <f t="shared" si="166"/>
        <v>34.235514943074108</v>
      </c>
      <c r="AE448" s="272">
        <f t="shared" si="178"/>
        <v>32</v>
      </c>
      <c r="AF448" s="272">
        <f t="shared" si="167"/>
        <v>34.148949866819379</v>
      </c>
      <c r="AG448" s="272">
        <f t="shared" si="179"/>
        <v>33</v>
      </c>
      <c r="AH448" s="272">
        <f t="shared" si="168"/>
        <v>34.067921431585233</v>
      </c>
      <c r="AI448" s="272">
        <f t="shared" si="180"/>
        <v>34</v>
      </c>
      <c r="AJ448" s="272">
        <f t="shared" si="169"/>
        <v>33.99191521810117</v>
      </c>
      <c r="AK448" s="272">
        <f t="shared" si="181"/>
        <v>33</v>
      </c>
      <c r="AL448" s="272">
        <f t="shared" si="170"/>
        <v>34.067921431585233</v>
      </c>
      <c r="AM448" s="272">
        <f t="shared" si="182"/>
        <v>34</v>
      </c>
      <c r="AN448" s="272">
        <f t="shared" si="171"/>
        <v>33.99191521810117</v>
      </c>
      <c r="AO448" s="272">
        <f t="shared" si="183"/>
        <v>33</v>
      </c>
      <c r="AP448" s="272">
        <f t="shared" si="172"/>
        <v>34.067921431585233</v>
      </c>
      <c r="AQ448" s="272">
        <f t="shared" si="184"/>
        <v>34</v>
      </c>
      <c r="AR448" s="272">
        <f t="shared" si="173"/>
        <v>33.99191521810117</v>
      </c>
      <c r="AS448" s="272">
        <f t="shared" si="185"/>
        <v>33</v>
      </c>
      <c r="AT448" s="508">
        <f t="shared" si="174"/>
        <v>34.067921431585233</v>
      </c>
    </row>
    <row r="449" spans="1:46" ht="12.75" customHeight="1">
      <c r="A449" s="96">
        <f>IF(MAX($F$93:F449)=$G$88,$G$88,F449)</f>
        <v>3.2057712852183653</v>
      </c>
      <c r="B449" s="481">
        <v>357</v>
      </c>
      <c r="C449" s="96">
        <f t="shared" si="190"/>
        <v>0.53549999999999909</v>
      </c>
      <c r="D449" s="96">
        <f t="shared" si="187"/>
        <v>18.637315370799644</v>
      </c>
      <c r="E449" s="96">
        <f t="shared" si="188"/>
        <v>0.13478515575895339</v>
      </c>
      <c r="F449" s="96">
        <f t="shared" si="186"/>
        <v>1.6289657233525323</v>
      </c>
      <c r="G449" s="96">
        <f t="shared" si="189"/>
        <v>1.5129657233525322</v>
      </c>
      <c r="I449" s="96">
        <f t="shared" si="191"/>
        <v>1</v>
      </c>
      <c r="J449" s="96">
        <f t="shared" si="192"/>
        <v>0.53549999999999909</v>
      </c>
      <c r="Y449" s="96">
        <f t="shared" si="175"/>
        <v>35</v>
      </c>
      <c r="Z449" s="96">
        <v>0.26800000000000002</v>
      </c>
      <c r="AA449" s="272">
        <f t="shared" si="176"/>
        <v>35</v>
      </c>
      <c r="AB449" s="519">
        <f t="shared" si="177"/>
        <v>32.09060052930046</v>
      </c>
      <c r="AC449" s="272">
        <f t="shared" si="165"/>
        <v>32</v>
      </c>
      <c r="AD449" s="272">
        <f t="shared" si="166"/>
        <v>34.660537498484253</v>
      </c>
      <c r="AE449" s="272">
        <f t="shared" si="178"/>
        <v>33</v>
      </c>
      <c r="AF449" s="272">
        <f t="shared" si="167"/>
        <v>34.578295171009188</v>
      </c>
      <c r="AG449" s="272">
        <f t="shared" si="179"/>
        <v>34</v>
      </c>
      <c r="AH449" s="272">
        <f t="shared" si="168"/>
        <v>34.501150303513811</v>
      </c>
      <c r="AI449" s="272">
        <f t="shared" si="180"/>
        <v>34</v>
      </c>
      <c r="AJ449" s="272">
        <f t="shared" si="169"/>
        <v>34.501150303513811</v>
      </c>
      <c r="AK449" s="272">
        <f t="shared" si="181"/>
        <v>34</v>
      </c>
      <c r="AL449" s="272">
        <f t="shared" si="170"/>
        <v>34.501150303513811</v>
      </c>
      <c r="AM449" s="272">
        <f t="shared" si="182"/>
        <v>34</v>
      </c>
      <c r="AN449" s="272">
        <f t="shared" si="171"/>
        <v>34.501150303513811</v>
      </c>
      <c r="AO449" s="272">
        <f t="shared" si="183"/>
        <v>34</v>
      </c>
      <c r="AP449" s="272">
        <f t="shared" si="172"/>
        <v>34.501150303513811</v>
      </c>
      <c r="AQ449" s="272">
        <f t="shared" si="184"/>
        <v>34</v>
      </c>
      <c r="AR449" s="272">
        <f t="shared" si="173"/>
        <v>34.501150303513811</v>
      </c>
      <c r="AS449" s="272">
        <f t="shared" si="185"/>
        <v>34</v>
      </c>
      <c r="AT449" s="508">
        <f t="shared" si="174"/>
        <v>34.501150303513811</v>
      </c>
    </row>
    <row r="450" spans="1:46" ht="12.75" customHeight="1">
      <c r="A450" s="96">
        <f>IF(MAX($F$93:F450)=$G$88,$G$88,F450)</f>
        <v>3.2057712852183653</v>
      </c>
      <c r="B450" s="481">
        <v>358</v>
      </c>
      <c r="C450" s="96">
        <f t="shared" si="190"/>
        <v>0.53699999999999903</v>
      </c>
      <c r="D450" s="96">
        <f t="shared" si="187"/>
        <v>18.741872334684189</v>
      </c>
      <c r="E450" s="96">
        <f t="shared" si="188"/>
        <v>0.13132696212020367</v>
      </c>
      <c r="F450" s="96">
        <f t="shared" si="186"/>
        <v>1.598770419484536</v>
      </c>
      <c r="G450" s="96">
        <f t="shared" si="189"/>
        <v>1.4827704194845359</v>
      </c>
      <c r="I450" s="96">
        <f t="shared" si="191"/>
        <v>0</v>
      </c>
      <c r="J450" s="96">
        <f t="shared" si="192"/>
        <v>0.53699999999999903</v>
      </c>
      <c r="Y450" s="96">
        <f t="shared" si="175"/>
        <v>36</v>
      </c>
      <c r="Z450" s="96">
        <v>0.26600000000000001</v>
      </c>
      <c r="AA450" s="272">
        <f t="shared" si="176"/>
        <v>36</v>
      </c>
      <c r="AB450" s="519">
        <f t="shared" si="177"/>
        <v>32.5749801065136</v>
      </c>
      <c r="AC450" s="272">
        <f t="shared" si="165"/>
        <v>32</v>
      </c>
      <c r="AD450" s="272">
        <f t="shared" si="166"/>
        <v>35.183708028875749</v>
      </c>
      <c r="AE450" s="272">
        <f t="shared" si="178"/>
        <v>33</v>
      </c>
      <c r="AF450" s="272">
        <f t="shared" si="167"/>
        <v>35.100224325323133</v>
      </c>
      <c r="AG450" s="272">
        <f t="shared" si="179"/>
        <v>34</v>
      </c>
      <c r="AH450" s="272">
        <f t="shared" si="168"/>
        <v>35.021915023454909</v>
      </c>
      <c r="AI450" s="272">
        <f t="shared" si="180"/>
        <v>35</v>
      </c>
      <c r="AJ450" s="272">
        <f t="shared" si="169"/>
        <v>34.948313768719743</v>
      </c>
      <c r="AK450" s="272">
        <f t="shared" si="181"/>
        <v>34</v>
      </c>
      <c r="AL450" s="272">
        <f t="shared" si="170"/>
        <v>35.021915023454909</v>
      </c>
      <c r="AM450" s="272">
        <f t="shared" si="182"/>
        <v>35</v>
      </c>
      <c r="AN450" s="272">
        <f t="shared" si="171"/>
        <v>34.948313768719743</v>
      </c>
      <c r="AO450" s="272">
        <f t="shared" si="183"/>
        <v>34</v>
      </c>
      <c r="AP450" s="272">
        <f t="shared" si="172"/>
        <v>35.021915023454909</v>
      </c>
      <c r="AQ450" s="272">
        <f t="shared" si="184"/>
        <v>35</v>
      </c>
      <c r="AR450" s="272">
        <f t="shared" si="173"/>
        <v>34.948313768719743</v>
      </c>
      <c r="AS450" s="272">
        <f t="shared" si="185"/>
        <v>34</v>
      </c>
      <c r="AT450" s="508">
        <f t="shared" si="174"/>
        <v>35.021915023454909</v>
      </c>
    </row>
    <row r="451" spans="1:46" ht="12.75" customHeight="1">
      <c r="A451" s="96">
        <f>IF(MAX($F$93:F451)=$G$88,$G$88,F451)</f>
        <v>3.2057712852183653</v>
      </c>
      <c r="B451" s="481">
        <v>359</v>
      </c>
      <c r="C451" s="96">
        <f t="shared" si="190"/>
        <v>0.53849999999999898</v>
      </c>
      <c r="D451" s="96">
        <f t="shared" si="187"/>
        <v>18.846721765600574</v>
      </c>
      <c r="E451" s="96">
        <f t="shared" si="188"/>
        <v>0.12793328253259109</v>
      </c>
      <c r="F451" s="96">
        <f t="shared" si="186"/>
        <v>1.5687585206713259</v>
      </c>
      <c r="G451" s="96">
        <f t="shared" si="189"/>
        <v>1.4527585206713258</v>
      </c>
      <c r="I451" s="96">
        <f t="shared" si="191"/>
        <v>0</v>
      </c>
      <c r="J451" s="96">
        <f t="shared" si="192"/>
        <v>0.53849999999999898</v>
      </c>
      <c r="Y451" s="96">
        <f t="shared" si="175"/>
        <v>36</v>
      </c>
      <c r="Z451" s="96">
        <v>0.26400000000000001</v>
      </c>
      <c r="AA451" s="272">
        <f t="shared" si="176"/>
        <v>36</v>
      </c>
      <c r="AB451" s="519">
        <f t="shared" si="177"/>
        <v>33.070409957766245</v>
      </c>
      <c r="AC451" s="272">
        <f t="shared" si="165"/>
        <v>33</v>
      </c>
      <c r="AD451" s="272">
        <f t="shared" si="166"/>
        <v>35.634060381694269</v>
      </c>
      <c r="AE451" s="272">
        <f t="shared" si="178"/>
        <v>34</v>
      </c>
      <c r="AF451" s="272">
        <f t="shared" si="167"/>
        <v>35.554560080916779</v>
      </c>
      <c r="AG451" s="272">
        <f t="shared" si="179"/>
        <v>35</v>
      </c>
      <c r="AH451" s="272">
        <f t="shared" si="168"/>
        <v>35.479839431524546</v>
      </c>
      <c r="AI451" s="272">
        <f t="shared" si="180"/>
        <v>35</v>
      </c>
      <c r="AJ451" s="272">
        <f t="shared" si="169"/>
        <v>35.479839431524546</v>
      </c>
      <c r="AK451" s="272">
        <f t="shared" si="181"/>
        <v>35</v>
      </c>
      <c r="AL451" s="272">
        <f t="shared" si="170"/>
        <v>35.479839431524546</v>
      </c>
      <c r="AM451" s="272">
        <f t="shared" si="182"/>
        <v>35</v>
      </c>
      <c r="AN451" s="272">
        <f t="shared" si="171"/>
        <v>35.479839431524546</v>
      </c>
      <c r="AO451" s="272">
        <f t="shared" si="183"/>
        <v>35</v>
      </c>
      <c r="AP451" s="272">
        <f t="shared" si="172"/>
        <v>35.479839431524546</v>
      </c>
      <c r="AQ451" s="272">
        <f t="shared" si="184"/>
        <v>35</v>
      </c>
      <c r="AR451" s="272">
        <f t="shared" si="173"/>
        <v>35.479839431524546</v>
      </c>
      <c r="AS451" s="272">
        <f t="shared" si="185"/>
        <v>35</v>
      </c>
      <c r="AT451" s="508">
        <f t="shared" si="174"/>
        <v>35.479839431524546</v>
      </c>
    </row>
    <row r="452" spans="1:46" ht="12.75" customHeight="1">
      <c r="A452" s="96">
        <f>IF(MAX($F$93:F452)=$G$88,$G$88,F452)</f>
        <v>3.2057712852183653</v>
      </c>
      <c r="B452" s="481">
        <v>360</v>
      </c>
      <c r="C452" s="96">
        <f t="shared" si="190"/>
        <v>0.53999999999999893</v>
      </c>
      <c r="D452" s="96">
        <f t="shared" si="187"/>
        <v>18.95186366354881</v>
      </c>
      <c r="E452" s="96">
        <f t="shared" si="188"/>
        <v>0.12460371131732656</v>
      </c>
      <c r="F452" s="96">
        <f t="shared" si="186"/>
        <v>1.538941645335252</v>
      </c>
      <c r="G452" s="96">
        <f t="shared" si="189"/>
        <v>1.4229416453352519</v>
      </c>
      <c r="I452" s="96">
        <f t="shared" si="191"/>
        <v>0</v>
      </c>
      <c r="J452" s="96">
        <f t="shared" si="192"/>
        <v>0.53999999999999893</v>
      </c>
      <c r="Y452" s="96">
        <f t="shared" si="175"/>
        <v>37</v>
      </c>
      <c r="Z452" s="96">
        <v>0.26200000000000001</v>
      </c>
      <c r="AA452" s="272">
        <f t="shared" si="176"/>
        <v>37</v>
      </c>
      <c r="AB452" s="519">
        <f t="shared" si="177"/>
        <v>33.577228780614135</v>
      </c>
      <c r="AC452" s="272">
        <f t="shared" si="165"/>
        <v>33</v>
      </c>
      <c r="AD452" s="272">
        <f t="shared" si="166"/>
        <v>36.180168293843067</v>
      </c>
      <c r="AE452" s="272">
        <f t="shared" si="178"/>
        <v>34</v>
      </c>
      <c r="AF452" s="272">
        <f t="shared" si="167"/>
        <v>36.09944961540085</v>
      </c>
      <c r="AG452" s="272">
        <f t="shared" si="179"/>
        <v>35</v>
      </c>
      <c r="AH452" s="272">
        <f t="shared" si="168"/>
        <v>36.023583838638984</v>
      </c>
      <c r="AI452" s="272">
        <f t="shared" si="180"/>
        <v>36</v>
      </c>
      <c r="AJ452" s="272">
        <f t="shared" si="169"/>
        <v>35.9521463133621</v>
      </c>
      <c r="AK452" s="272">
        <f t="shared" si="181"/>
        <v>35</v>
      </c>
      <c r="AL452" s="272">
        <f t="shared" si="170"/>
        <v>36.023583838638984</v>
      </c>
      <c r="AM452" s="272">
        <f t="shared" si="182"/>
        <v>36</v>
      </c>
      <c r="AN452" s="272">
        <f t="shared" si="171"/>
        <v>35.9521463133621</v>
      </c>
      <c r="AO452" s="272">
        <f t="shared" si="183"/>
        <v>35</v>
      </c>
      <c r="AP452" s="272">
        <f t="shared" si="172"/>
        <v>36.023583838638984</v>
      </c>
      <c r="AQ452" s="272">
        <f t="shared" si="184"/>
        <v>36</v>
      </c>
      <c r="AR452" s="272">
        <f t="shared" si="173"/>
        <v>35.9521463133621</v>
      </c>
      <c r="AS452" s="272">
        <f t="shared" si="185"/>
        <v>35</v>
      </c>
      <c r="AT452" s="508">
        <f t="shared" si="174"/>
        <v>36.023583838638984</v>
      </c>
    </row>
    <row r="453" spans="1:46" ht="12.75" customHeight="1">
      <c r="A453" s="96">
        <f>IF(MAX($F$93:F453)=$G$88,$G$88,F453)</f>
        <v>3.2057712852183653</v>
      </c>
      <c r="B453" s="481">
        <v>361</v>
      </c>
      <c r="C453" s="96">
        <f t="shared" si="190"/>
        <v>0.54149999999999887</v>
      </c>
      <c r="D453" s="96">
        <f t="shared" si="187"/>
        <v>19.057298028528891</v>
      </c>
      <c r="E453" s="96">
        <f t="shared" si="188"/>
        <v>0.12133781833829715</v>
      </c>
      <c r="F453" s="96">
        <f t="shared" si="186"/>
        <v>1.5093310009475629</v>
      </c>
      <c r="G453" s="96">
        <f t="shared" si="189"/>
        <v>1.3933310009475628</v>
      </c>
      <c r="I453" s="96">
        <f t="shared" si="191"/>
        <v>0</v>
      </c>
      <c r="J453" s="96">
        <f t="shared" si="192"/>
        <v>0.54149999999999887</v>
      </c>
      <c r="Y453" s="96">
        <f t="shared" si="175"/>
        <v>37</v>
      </c>
      <c r="Z453" s="96">
        <v>0.26</v>
      </c>
      <c r="AA453" s="272">
        <f t="shared" si="176"/>
        <v>37</v>
      </c>
      <c r="AB453" s="519">
        <f t="shared" si="177"/>
        <v>34.095788349356155</v>
      </c>
      <c r="AC453" s="272">
        <f t="shared" ref="AC453:AC516" si="193">ROUNDUP(AB453,0)-1</f>
        <v>34</v>
      </c>
      <c r="AD453" s="272">
        <f t="shared" ref="AD453:AD516" si="194">MAX((TINV(1-$C$69/100,AC453)/$Z453)^2*$D$65,$C$68)</f>
        <v>36.656961825437513</v>
      </c>
      <c r="AE453" s="272">
        <f t="shared" si="178"/>
        <v>35</v>
      </c>
      <c r="AF453" s="272">
        <f t="shared" ref="AF453:AF516" si="195">MAX((TINV(1-$C$69/100,AE453)/$Z453)^2*$D$65,$C$68)</f>
        <v>36.579924393780097</v>
      </c>
      <c r="AG453" s="272">
        <f t="shared" si="179"/>
        <v>36</v>
      </c>
      <c r="AH453" s="272">
        <f t="shared" ref="AH453:AH516" si="196">MAX((TINV(1-$C$69/100,AG453)/$Z453)^2*$D$65,$C$68)</f>
        <v>36.50738360258029</v>
      </c>
      <c r="AI453" s="272">
        <f t="shared" si="180"/>
        <v>36</v>
      </c>
      <c r="AJ453" s="272">
        <f t="shared" ref="AJ453:AJ516" si="197">MAX((TINV(1-$C$69/100,AI453)/$Z453)^2*$D$65,$C$68)</f>
        <v>36.50738360258029</v>
      </c>
      <c r="AK453" s="272">
        <f t="shared" si="181"/>
        <v>36</v>
      </c>
      <c r="AL453" s="272">
        <f t="shared" ref="AL453:AL516" si="198">MAX((TINV(1-$C$69/100,AK453)/$Z453)^2*$D$65,$C$68)</f>
        <v>36.50738360258029</v>
      </c>
      <c r="AM453" s="272">
        <f t="shared" si="182"/>
        <v>36</v>
      </c>
      <c r="AN453" s="272">
        <f t="shared" ref="AN453:AN516" si="199">MAX((TINV(1-$C$69/100,AM453)/$Z453)^2*$D$65,$C$68)</f>
        <v>36.50738360258029</v>
      </c>
      <c r="AO453" s="272">
        <f t="shared" si="183"/>
        <v>36</v>
      </c>
      <c r="AP453" s="272">
        <f t="shared" ref="AP453:AP516" si="200">MAX((TINV(1-$C$69/100,AO453)/$Z453)^2*$D$65,$C$68)</f>
        <v>36.50738360258029</v>
      </c>
      <c r="AQ453" s="272">
        <f t="shared" si="184"/>
        <v>36</v>
      </c>
      <c r="AR453" s="272">
        <f t="shared" ref="AR453:AR516" si="201">MAX((TINV(1-$C$69/100,AQ453)/$Z453)^2*$D$65,$C$68)</f>
        <v>36.50738360258029</v>
      </c>
      <c r="AS453" s="272">
        <f t="shared" si="185"/>
        <v>36</v>
      </c>
      <c r="AT453" s="508">
        <f t="shared" ref="AT453:AT516" si="202">MAX((TINV(1-$C$69/100,AS453)/$Z453)^2*$D$65,$C$68)</f>
        <v>36.50738360258029</v>
      </c>
    </row>
    <row r="454" spans="1:46" ht="12.75" customHeight="1">
      <c r="A454" s="96">
        <f>IF(MAX($F$93:F454)=$G$88,$G$88,F454)</f>
        <v>3.2057712852183653</v>
      </c>
      <c r="B454" s="481">
        <v>362</v>
      </c>
      <c r="C454" s="96">
        <f t="shared" si="190"/>
        <v>0.54299999999999882</v>
      </c>
      <c r="D454" s="96">
        <f t="shared" si="187"/>
        <v>19.163024860540812</v>
      </c>
      <c r="E454" s="96">
        <f t="shared" si="188"/>
        <v>0.11813514988469415</v>
      </c>
      <c r="F454" s="96">
        <f t="shared" si="186"/>
        <v>1.4799373824239335</v>
      </c>
      <c r="G454" s="96">
        <f t="shared" si="189"/>
        <v>1.3639373824239334</v>
      </c>
      <c r="I454" s="96">
        <f t="shared" si="191"/>
        <v>0</v>
      </c>
      <c r="J454" s="96">
        <f t="shared" si="192"/>
        <v>0.54299999999999882</v>
      </c>
      <c r="Y454" s="96">
        <f t="shared" ref="Y454:Y517" si="203">AA454</f>
        <v>38</v>
      </c>
      <c r="Z454" s="96">
        <v>0.25800000000000001</v>
      </c>
      <c r="AA454" s="272">
        <f t="shared" si="176"/>
        <v>38</v>
      </c>
      <c r="AB454" s="519">
        <f t="shared" si="177"/>
        <v>34.626454125600567</v>
      </c>
      <c r="AC454" s="272">
        <f t="shared" si="193"/>
        <v>34</v>
      </c>
      <c r="AD454" s="272">
        <f t="shared" si="194"/>
        <v>37.227489625016162</v>
      </c>
      <c r="AE454" s="272">
        <f t="shared" si="178"/>
        <v>35</v>
      </c>
      <c r="AF454" s="272">
        <f t="shared" si="195"/>
        <v>37.149253185198226</v>
      </c>
      <c r="AG454" s="272">
        <f t="shared" si="179"/>
        <v>36</v>
      </c>
      <c r="AH454" s="272">
        <f t="shared" si="196"/>
        <v>37.075583371408385</v>
      </c>
      <c r="AI454" s="272">
        <f t="shared" si="180"/>
        <v>37</v>
      </c>
      <c r="AJ454" s="272">
        <f t="shared" si="197"/>
        <v>37.006091885363531</v>
      </c>
      <c r="AK454" s="272">
        <f t="shared" si="181"/>
        <v>37</v>
      </c>
      <c r="AL454" s="272">
        <f t="shared" si="198"/>
        <v>37.006091885363531</v>
      </c>
      <c r="AM454" s="272">
        <f t="shared" si="182"/>
        <v>37</v>
      </c>
      <c r="AN454" s="272">
        <f t="shared" si="199"/>
        <v>37.006091885363531</v>
      </c>
      <c r="AO454" s="272">
        <f t="shared" si="183"/>
        <v>37</v>
      </c>
      <c r="AP454" s="272">
        <f t="shared" si="200"/>
        <v>37.006091885363531</v>
      </c>
      <c r="AQ454" s="272">
        <f t="shared" si="184"/>
        <v>37</v>
      </c>
      <c r="AR454" s="272">
        <f t="shared" si="201"/>
        <v>37.006091885363531</v>
      </c>
      <c r="AS454" s="272">
        <f t="shared" si="185"/>
        <v>37</v>
      </c>
      <c r="AT454" s="508">
        <f t="shared" si="202"/>
        <v>37.006091885363531</v>
      </c>
    </row>
    <row r="455" spans="1:46" ht="12.75" customHeight="1">
      <c r="A455" s="96">
        <f>IF(MAX($F$93:F455)=$G$88,$G$88,F455)</f>
        <v>3.2057712852183653</v>
      </c>
      <c r="B455" s="481">
        <v>363</v>
      </c>
      <c r="C455" s="96">
        <f t="shared" si="190"/>
        <v>0.54449999999999876</v>
      </c>
      <c r="D455" s="96">
        <f t="shared" si="187"/>
        <v>19.269044159584581</v>
      </c>
      <c r="E455" s="96">
        <f t="shared" si="188"/>
        <v>0.1149952295564803</v>
      </c>
      <c r="F455" s="96">
        <f t="shared" si="186"/>
        <v>1.4507711710759772</v>
      </c>
      <c r="G455" s="96">
        <f t="shared" si="189"/>
        <v>1.3347711710759771</v>
      </c>
      <c r="I455" s="96">
        <f t="shared" si="191"/>
        <v>0</v>
      </c>
      <c r="J455" s="96">
        <f t="shared" si="192"/>
        <v>0.54449999999999876</v>
      </c>
      <c r="Y455" s="96">
        <f t="shared" si="203"/>
        <v>38</v>
      </c>
      <c r="Z455" s="96">
        <v>0.25600000000000001</v>
      </c>
      <c r="AA455" s="272">
        <f t="shared" ref="AA455:AA518" si="204">1+MAX(AQ455,AS455)</f>
        <v>38</v>
      </c>
      <c r="AB455" s="519">
        <f t="shared" ref="AB455:AB518" si="205">MAX(($C$72/Z455)^2*$D$65,$C$68)</f>
        <v>35.169605902351023</v>
      </c>
      <c r="AC455" s="272">
        <f t="shared" si="193"/>
        <v>35</v>
      </c>
      <c r="AD455" s="272">
        <f t="shared" si="194"/>
        <v>37.731977676689674</v>
      </c>
      <c r="AE455" s="272">
        <f t="shared" ref="AE455:AE518" si="206">MAX(MIN(ROUNDUP(AD455,0)-1,AC455+1),AC455-1)</f>
        <v>36</v>
      </c>
      <c r="AF455" s="272">
        <f t="shared" si="195"/>
        <v>37.657152275610784</v>
      </c>
      <c r="AG455" s="272">
        <f t="shared" ref="AG455:AG518" si="207">MAX(MIN(ROUNDUP(AF455,0)-1,AE455+1),AE455-1)</f>
        <v>37</v>
      </c>
      <c r="AH455" s="272">
        <f t="shared" si="196"/>
        <v>37.586570743672766</v>
      </c>
      <c r="AI455" s="272">
        <f t="shared" ref="AI455:AI518" si="208">MAX(MIN(ROUNDUP(AH455,0)-1,AG455+1),AG455-1)</f>
        <v>37</v>
      </c>
      <c r="AJ455" s="272">
        <f t="shared" si="197"/>
        <v>37.586570743672766</v>
      </c>
      <c r="AK455" s="272">
        <f t="shared" ref="AK455:AK518" si="209">MAX(MIN(ROUNDUP(AJ455,0)-1,AI455+1),AI455-1)</f>
        <v>37</v>
      </c>
      <c r="AL455" s="272">
        <f t="shared" si="198"/>
        <v>37.586570743672766</v>
      </c>
      <c r="AM455" s="272">
        <f t="shared" ref="AM455:AM518" si="210">MAX(MIN(ROUNDUP(AL455,0)-1,AK455+1),AK455-1)</f>
        <v>37</v>
      </c>
      <c r="AN455" s="272">
        <f t="shared" si="199"/>
        <v>37.586570743672766</v>
      </c>
      <c r="AO455" s="272">
        <f t="shared" ref="AO455:AO518" si="211">MAX(MIN(ROUNDUP(AN455,0)-1,AM455+1),AM455-1)</f>
        <v>37</v>
      </c>
      <c r="AP455" s="272">
        <f t="shared" si="200"/>
        <v>37.586570743672766</v>
      </c>
      <c r="AQ455" s="272">
        <f t="shared" ref="AQ455:AQ518" si="212">MAX(MIN(ROUNDUP(AP455,0)-1,AO455+1),AO455-1)</f>
        <v>37</v>
      </c>
      <c r="AR455" s="272">
        <f t="shared" si="201"/>
        <v>37.586570743672766</v>
      </c>
      <c r="AS455" s="272">
        <f t="shared" ref="AS455:AS518" si="213">MAX(MIN(ROUNDUP(AR455,0)-1,AQ455+1),AQ455-1)</f>
        <v>37</v>
      </c>
      <c r="AT455" s="508">
        <f t="shared" si="202"/>
        <v>37.586570743672766</v>
      </c>
    </row>
    <row r="456" spans="1:46" ht="12.75" customHeight="1">
      <c r="A456" s="96">
        <f>IF(MAX($F$93:F456)=$G$88,$G$88,F456)</f>
        <v>3.2057712852183653</v>
      </c>
      <c r="B456" s="481">
        <v>364</v>
      </c>
      <c r="C456" s="96">
        <f t="shared" si="190"/>
        <v>0.54599999999999871</v>
      </c>
      <c r="D456" s="96">
        <f t="shared" si="187"/>
        <v>19.375355925660195</v>
      </c>
      <c r="E456" s="96">
        <f t="shared" si="188"/>
        <v>0.11191755915151139</v>
      </c>
      <c r="F456" s="96">
        <f t="shared" si="186"/>
        <v>1.4218423341088475</v>
      </c>
      <c r="G456" s="96">
        <f t="shared" si="189"/>
        <v>1.3058423341088474</v>
      </c>
      <c r="I456" s="96">
        <f t="shared" si="191"/>
        <v>0</v>
      </c>
      <c r="J456" s="96">
        <f t="shared" si="192"/>
        <v>0.54599999999999871</v>
      </c>
      <c r="Y456" s="96">
        <f t="shared" si="203"/>
        <v>39</v>
      </c>
      <c r="Z456" s="96">
        <v>0.254</v>
      </c>
      <c r="AA456" s="272">
        <f t="shared" si="204"/>
        <v>39</v>
      </c>
      <c r="AB456" s="519">
        <f t="shared" si="205"/>
        <v>35.725638483732354</v>
      </c>
      <c r="AC456" s="272">
        <f t="shared" si="193"/>
        <v>35</v>
      </c>
      <c r="AD456" s="272">
        <f t="shared" si="194"/>
        <v>38.328521436845655</v>
      </c>
      <c r="AE456" s="272">
        <f t="shared" si="206"/>
        <v>36</v>
      </c>
      <c r="AF456" s="272">
        <f t="shared" si="195"/>
        <v>38.252513043809721</v>
      </c>
      <c r="AG456" s="272">
        <f t="shared" si="207"/>
        <v>37</v>
      </c>
      <c r="AH456" s="272">
        <f t="shared" si="196"/>
        <v>38.18081561561997</v>
      </c>
      <c r="AI456" s="272">
        <f t="shared" si="208"/>
        <v>38</v>
      </c>
      <c r="AJ456" s="272">
        <f t="shared" si="197"/>
        <v>38.113072675828526</v>
      </c>
      <c r="AK456" s="272">
        <f t="shared" si="209"/>
        <v>38</v>
      </c>
      <c r="AL456" s="272">
        <f t="shared" si="198"/>
        <v>38.113072675828526</v>
      </c>
      <c r="AM456" s="272">
        <f t="shared" si="210"/>
        <v>38</v>
      </c>
      <c r="AN456" s="272">
        <f t="shared" si="199"/>
        <v>38.113072675828526</v>
      </c>
      <c r="AO456" s="272">
        <f t="shared" si="211"/>
        <v>38</v>
      </c>
      <c r="AP456" s="272">
        <f t="shared" si="200"/>
        <v>38.113072675828526</v>
      </c>
      <c r="AQ456" s="272">
        <f t="shared" si="212"/>
        <v>38</v>
      </c>
      <c r="AR456" s="272">
        <f t="shared" si="201"/>
        <v>38.113072675828526</v>
      </c>
      <c r="AS456" s="272">
        <f t="shared" si="213"/>
        <v>38</v>
      </c>
      <c r="AT456" s="508">
        <f t="shared" si="202"/>
        <v>38.113072675828526</v>
      </c>
    </row>
    <row r="457" spans="1:46" ht="12.75" customHeight="1">
      <c r="A457" s="96">
        <f>IF(MAX($F$93:F457)=$G$88,$G$88,F457)</f>
        <v>3.2057712852183653</v>
      </c>
      <c r="B457" s="481">
        <v>365</v>
      </c>
      <c r="C457" s="96">
        <f t="shared" si="190"/>
        <v>0.54749999999999865</v>
      </c>
      <c r="D457" s="96">
        <f t="shared" si="187"/>
        <v>19.481960158767652</v>
      </c>
      <c r="E457" s="96">
        <f t="shared" si="188"/>
        <v>0.10890161955315666</v>
      </c>
      <c r="F457" s="96">
        <f t="shared" si="186"/>
        <v>1.3931604246496794</v>
      </c>
      <c r="G457" s="96">
        <f t="shared" si="189"/>
        <v>1.2771604246496793</v>
      </c>
      <c r="I457" s="96">
        <f t="shared" si="191"/>
        <v>0</v>
      </c>
      <c r="J457" s="96">
        <f t="shared" si="192"/>
        <v>0.54749999999999865</v>
      </c>
      <c r="Y457" s="96">
        <f t="shared" si="203"/>
        <v>39</v>
      </c>
      <c r="Z457" s="96">
        <v>0.252</v>
      </c>
      <c r="AA457" s="272">
        <f t="shared" si="204"/>
        <v>39</v>
      </c>
      <c r="AB457" s="519">
        <f t="shared" si="205"/>
        <v>36.29496240262781</v>
      </c>
      <c r="AC457" s="272">
        <f t="shared" si="193"/>
        <v>36</v>
      </c>
      <c r="AD457" s="272">
        <f t="shared" si="194"/>
        <v>38.862105245881025</v>
      </c>
      <c r="AE457" s="272">
        <f t="shared" si="206"/>
        <v>37</v>
      </c>
      <c r="AF457" s="272">
        <f t="shared" si="195"/>
        <v>38.789265247186599</v>
      </c>
      <c r="AG457" s="272">
        <f t="shared" si="207"/>
        <v>38</v>
      </c>
      <c r="AH457" s="272">
        <f t="shared" si="196"/>
        <v>38.720442755633556</v>
      </c>
      <c r="AI457" s="272">
        <f t="shared" si="208"/>
        <v>38</v>
      </c>
      <c r="AJ457" s="272">
        <f t="shared" si="197"/>
        <v>38.720442755633556</v>
      </c>
      <c r="AK457" s="272">
        <f t="shared" si="209"/>
        <v>38</v>
      </c>
      <c r="AL457" s="272">
        <f t="shared" si="198"/>
        <v>38.720442755633556</v>
      </c>
      <c r="AM457" s="272">
        <f t="shared" si="210"/>
        <v>38</v>
      </c>
      <c r="AN457" s="272">
        <f t="shared" si="199"/>
        <v>38.720442755633556</v>
      </c>
      <c r="AO457" s="272">
        <f t="shared" si="211"/>
        <v>38</v>
      </c>
      <c r="AP457" s="272">
        <f t="shared" si="200"/>
        <v>38.720442755633556</v>
      </c>
      <c r="AQ457" s="272">
        <f t="shared" si="212"/>
        <v>38</v>
      </c>
      <c r="AR457" s="272">
        <f t="shared" si="201"/>
        <v>38.720442755633556</v>
      </c>
      <c r="AS457" s="272">
        <f t="shared" si="213"/>
        <v>38</v>
      </c>
      <c r="AT457" s="508">
        <f t="shared" si="202"/>
        <v>38.720442755633556</v>
      </c>
    </row>
    <row r="458" spans="1:46" ht="12.75" customHeight="1">
      <c r="A458" s="96">
        <f>IF(MAX($F$93:F458)=$G$88,$G$88,F458)</f>
        <v>3.2057712852183653</v>
      </c>
      <c r="B458" s="481">
        <v>366</v>
      </c>
      <c r="C458" s="96">
        <f t="shared" si="190"/>
        <v>0.5489999999999986</v>
      </c>
      <c r="D458" s="96">
        <f t="shared" si="187"/>
        <v>19.588856858906958</v>
      </c>
      <c r="E458" s="96">
        <f t="shared" si="188"/>
        <v>0.10594687161729847</v>
      </c>
      <c r="F458" s="96">
        <f t="shared" si="186"/>
        <v>1.36473458229318</v>
      </c>
      <c r="G458" s="96">
        <f t="shared" si="189"/>
        <v>1.2487345822931799</v>
      </c>
      <c r="I458" s="96">
        <f t="shared" si="191"/>
        <v>0</v>
      </c>
      <c r="J458" s="96">
        <f t="shared" si="192"/>
        <v>0.5489999999999986</v>
      </c>
      <c r="Y458" s="96">
        <f t="shared" si="203"/>
        <v>40</v>
      </c>
      <c r="Z458" s="96">
        <v>0.25</v>
      </c>
      <c r="AA458" s="272">
        <f t="shared" si="204"/>
        <v>40</v>
      </c>
      <c r="AB458" s="519">
        <f t="shared" si="205"/>
        <v>36.878004678663629</v>
      </c>
      <c r="AC458" s="272">
        <f t="shared" si="193"/>
        <v>36</v>
      </c>
      <c r="AD458" s="272">
        <f t="shared" si="194"/>
        <v>39.486386104550853</v>
      </c>
      <c r="AE458" s="272">
        <f t="shared" si="206"/>
        <v>37</v>
      </c>
      <c r="AF458" s="272">
        <f t="shared" si="195"/>
        <v>39.412376004117412</v>
      </c>
      <c r="AG458" s="272">
        <f t="shared" si="207"/>
        <v>38</v>
      </c>
      <c r="AH458" s="272">
        <f t="shared" si="196"/>
        <v>39.342447948060055</v>
      </c>
      <c r="AI458" s="272">
        <f t="shared" si="208"/>
        <v>39</v>
      </c>
      <c r="AJ458" s="272">
        <f t="shared" si="197"/>
        <v>39.276273426886469</v>
      </c>
      <c r="AK458" s="272">
        <f t="shared" si="209"/>
        <v>39</v>
      </c>
      <c r="AL458" s="272">
        <f t="shared" si="198"/>
        <v>39.276273426886469</v>
      </c>
      <c r="AM458" s="272">
        <f t="shared" si="210"/>
        <v>39</v>
      </c>
      <c r="AN458" s="272">
        <f t="shared" si="199"/>
        <v>39.276273426886469</v>
      </c>
      <c r="AO458" s="272">
        <f t="shared" si="211"/>
        <v>39</v>
      </c>
      <c r="AP458" s="272">
        <f t="shared" si="200"/>
        <v>39.276273426886469</v>
      </c>
      <c r="AQ458" s="272">
        <f t="shared" si="212"/>
        <v>39</v>
      </c>
      <c r="AR458" s="272">
        <f t="shared" si="201"/>
        <v>39.276273426886469</v>
      </c>
      <c r="AS458" s="272">
        <f t="shared" si="213"/>
        <v>39</v>
      </c>
      <c r="AT458" s="508">
        <f t="shared" si="202"/>
        <v>39.276273426886469</v>
      </c>
    </row>
    <row r="459" spans="1:46" ht="12.75" customHeight="1">
      <c r="A459" s="96">
        <f>IF(MAX($F$93:F459)=$G$88,$G$88,F459)</f>
        <v>3.2057712852183653</v>
      </c>
      <c r="B459" s="481">
        <v>367</v>
      </c>
      <c r="C459" s="96">
        <f t="shared" si="190"/>
        <v>0.55049999999999855</v>
      </c>
      <c r="D459" s="96">
        <f t="shared" si="187"/>
        <v>19.696046026078104</v>
      </c>
      <c r="E459" s="96">
        <f t="shared" si="188"/>
        <v>0.10305275705761446</v>
      </c>
      <c r="F459" s="96">
        <f t="shared" si="186"/>
        <v>1.3365735341488754</v>
      </c>
      <c r="G459" s="96">
        <f t="shared" si="189"/>
        <v>1.2205735341488753</v>
      </c>
      <c r="I459" s="96">
        <f t="shared" si="191"/>
        <v>0</v>
      </c>
      <c r="J459" s="96">
        <f t="shared" si="192"/>
        <v>0.55049999999999855</v>
      </c>
      <c r="Y459" s="96">
        <f t="shared" si="203"/>
        <v>40</v>
      </c>
      <c r="Z459" s="96">
        <v>0.248</v>
      </c>
      <c r="AA459" s="272">
        <f t="shared" si="204"/>
        <v>40</v>
      </c>
      <c r="AB459" s="519">
        <f t="shared" si="205"/>
        <v>37.475209619154469</v>
      </c>
      <c r="AC459" s="272">
        <f t="shared" si="193"/>
        <v>37</v>
      </c>
      <c r="AD459" s="272">
        <f t="shared" si="194"/>
        <v>40.050622727909371</v>
      </c>
      <c r="AE459" s="272">
        <f t="shared" si="206"/>
        <v>38</v>
      </c>
      <c r="AF459" s="272">
        <f t="shared" si="195"/>
        <v>39.979562252109673</v>
      </c>
      <c r="AG459" s="272">
        <f t="shared" si="207"/>
        <v>39</v>
      </c>
      <c r="AH459" s="272">
        <f t="shared" si="196"/>
        <v>39.912316096195433</v>
      </c>
      <c r="AI459" s="272">
        <f t="shared" si="208"/>
        <v>39</v>
      </c>
      <c r="AJ459" s="272">
        <f t="shared" si="197"/>
        <v>39.912316096195433</v>
      </c>
      <c r="AK459" s="272">
        <f t="shared" si="209"/>
        <v>39</v>
      </c>
      <c r="AL459" s="272">
        <f t="shared" si="198"/>
        <v>39.912316096195433</v>
      </c>
      <c r="AM459" s="272">
        <f t="shared" si="210"/>
        <v>39</v>
      </c>
      <c r="AN459" s="272">
        <f t="shared" si="199"/>
        <v>39.912316096195433</v>
      </c>
      <c r="AO459" s="272">
        <f t="shared" si="211"/>
        <v>39</v>
      </c>
      <c r="AP459" s="272">
        <f t="shared" si="200"/>
        <v>39.912316096195433</v>
      </c>
      <c r="AQ459" s="272">
        <f t="shared" si="212"/>
        <v>39</v>
      </c>
      <c r="AR459" s="272">
        <f t="shared" si="201"/>
        <v>39.912316096195433</v>
      </c>
      <c r="AS459" s="272">
        <f t="shared" si="213"/>
        <v>39</v>
      </c>
      <c r="AT459" s="508">
        <f t="shared" si="202"/>
        <v>39.912316096195433</v>
      </c>
    </row>
    <row r="460" spans="1:46" ht="12.75" customHeight="1">
      <c r="A460" s="96">
        <f>IF(MAX($F$93:F460)=$G$88,$G$88,F460)</f>
        <v>3.2057712852183653</v>
      </c>
      <c r="B460" s="481">
        <v>368</v>
      </c>
      <c r="C460" s="96">
        <f t="shared" si="190"/>
        <v>0.55199999999999849</v>
      </c>
      <c r="D460" s="96">
        <f t="shared" si="187"/>
        <v>19.803527660281095</v>
      </c>
      <c r="E460" s="96">
        <f t="shared" si="188"/>
        <v>0.10021869932808901</v>
      </c>
      <c r="F460" s="96">
        <f t="shared" si="186"/>
        <v>1.3086855963760575</v>
      </c>
      <c r="G460" s="96">
        <f t="shared" si="189"/>
        <v>1.1926855963760574</v>
      </c>
      <c r="I460" s="96">
        <f t="shared" si="191"/>
        <v>0</v>
      </c>
      <c r="J460" s="96">
        <f t="shared" si="192"/>
        <v>0.55199999999999849</v>
      </c>
      <c r="Y460" s="96">
        <f t="shared" si="203"/>
        <v>41</v>
      </c>
      <c r="Z460" s="96">
        <v>0.246</v>
      </c>
      <c r="AA460" s="272">
        <f t="shared" si="204"/>
        <v>41</v>
      </c>
      <c r="AB460" s="519">
        <f t="shared" si="205"/>
        <v>38.087039665815269</v>
      </c>
      <c r="AC460" s="272">
        <f t="shared" si="193"/>
        <v>38</v>
      </c>
      <c r="AD460" s="272">
        <f t="shared" si="194"/>
        <v>40.632279013050322</v>
      </c>
      <c r="AE460" s="272">
        <f t="shared" si="206"/>
        <v>39</v>
      </c>
      <c r="AF460" s="272">
        <f t="shared" si="195"/>
        <v>40.563934978855237</v>
      </c>
      <c r="AG460" s="272">
        <f t="shared" si="207"/>
        <v>40</v>
      </c>
      <c r="AH460" s="272">
        <f t="shared" si="196"/>
        <v>40.499163698355403</v>
      </c>
      <c r="AI460" s="272">
        <f t="shared" si="208"/>
        <v>40</v>
      </c>
      <c r="AJ460" s="272">
        <f t="shared" si="197"/>
        <v>40.499163698355403</v>
      </c>
      <c r="AK460" s="272">
        <f t="shared" si="209"/>
        <v>40</v>
      </c>
      <c r="AL460" s="272">
        <f t="shared" si="198"/>
        <v>40.499163698355403</v>
      </c>
      <c r="AM460" s="272">
        <f t="shared" si="210"/>
        <v>40</v>
      </c>
      <c r="AN460" s="272">
        <f t="shared" si="199"/>
        <v>40.499163698355403</v>
      </c>
      <c r="AO460" s="272">
        <f t="shared" si="211"/>
        <v>40</v>
      </c>
      <c r="AP460" s="272">
        <f t="shared" si="200"/>
        <v>40.499163698355403</v>
      </c>
      <c r="AQ460" s="272">
        <f t="shared" si="212"/>
        <v>40</v>
      </c>
      <c r="AR460" s="272">
        <f t="shared" si="201"/>
        <v>40.499163698355403</v>
      </c>
      <c r="AS460" s="272">
        <f t="shared" si="213"/>
        <v>40</v>
      </c>
      <c r="AT460" s="508">
        <f t="shared" si="202"/>
        <v>40.499163698355403</v>
      </c>
    </row>
    <row r="461" spans="1:46" ht="12.75" customHeight="1">
      <c r="A461" s="96">
        <f>IF(MAX($F$93:F461)=$G$88,$G$88,F461)</f>
        <v>3.2057712852183653</v>
      </c>
      <c r="B461" s="481">
        <v>369</v>
      </c>
      <c r="C461" s="96">
        <f t="shared" si="190"/>
        <v>0.55349999999999844</v>
      </c>
      <c r="D461" s="96">
        <f t="shared" si="187"/>
        <v>19.911301761515936</v>
      </c>
      <c r="E461" s="96">
        <f t="shared" si="188"/>
        <v>9.7444104501717074E-2</v>
      </c>
      <c r="F461" s="96">
        <f t="shared" si="186"/>
        <v>1.2810786761908568</v>
      </c>
      <c r="G461" s="96">
        <f t="shared" si="189"/>
        <v>1.1650786761908567</v>
      </c>
      <c r="I461" s="96">
        <f t="shared" si="191"/>
        <v>0</v>
      </c>
      <c r="J461" s="96">
        <f t="shared" si="192"/>
        <v>0.55349999999999844</v>
      </c>
      <c r="Y461" s="96">
        <f t="shared" si="203"/>
        <v>42</v>
      </c>
      <c r="Z461" s="96">
        <v>0.24399999999999999</v>
      </c>
      <c r="AA461" s="272">
        <f t="shared" si="204"/>
        <v>42</v>
      </c>
      <c r="AB461" s="519">
        <f t="shared" si="205"/>
        <v>38.713976290252567</v>
      </c>
      <c r="AC461" s="272">
        <f t="shared" si="193"/>
        <v>38</v>
      </c>
      <c r="AD461" s="272">
        <f t="shared" si="194"/>
        <v>41.301111877750493</v>
      </c>
      <c r="AE461" s="272">
        <f t="shared" si="206"/>
        <v>39</v>
      </c>
      <c r="AF461" s="272">
        <f t="shared" si="195"/>
        <v>41.231642857773515</v>
      </c>
      <c r="AG461" s="272">
        <f t="shared" si="207"/>
        <v>40</v>
      </c>
      <c r="AH461" s="272">
        <f t="shared" si="196"/>
        <v>41.165805401264357</v>
      </c>
      <c r="AI461" s="272">
        <f t="shared" si="208"/>
        <v>41</v>
      </c>
      <c r="AJ461" s="272">
        <f t="shared" si="197"/>
        <v>41.103322108127685</v>
      </c>
      <c r="AK461" s="272">
        <f t="shared" si="209"/>
        <v>41</v>
      </c>
      <c r="AL461" s="272">
        <f t="shared" si="198"/>
        <v>41.103322108127685</v>
      </c>
      <c r="AM461" s="272">
        <f t="shared" si="210"/>
        <v>41</v>
      </c>
      <c r="AN461" s="272">
        <f t="shared" si="199"/>
        <v>41.103322108127685</v>
      </c>
      <c r="AO461" s="272">
        <f t="shared" si="211"/>
        <v>41</v>
      </c>
      <c r="AP461" s="272">
        <f t="shared" si="200"/>
        <v>41.103322108127685</v>
      </c>
      <c r="AQ461" s="272">
        <f t="shared" si="212"/>
        <v>41</v>
      </c>
      <c r="AR461" s="272">
        <f t="shared" si="201"/>
        <v>41.103322108127685</v>
      </c>
      <c r="AS461" s="272">
        <f t="shared" si="213"/>
        <v>41</v>
      </c>
      <c r="AT461" s="508">
        <f t="shared" si="202"/>
        <v>41.103322108127685</v>
      </c>
    </row>
    <row r="462" spans="1:46" ht="12.75" customHeight="1">
      <c r="A462" s="96">
        <f>IF(MAX($F$93:F462)=$G$88,$G$88,F462)</f>
        <v>3.2057712852183653</v>
      </c>
      <c r="B462" s="481">
        <v>370</v>
      </c>
      <c r="C462" s="96">
        <f t="shared" si="190"/>
        <v>0.55499999999999838</v>
      </c>
      <c r="D462" s="96">
        <f t="shared" si="187"/>
        <v>20.019368329782619</v>
      </c>
      <c r="E462" s="96">
        <f t="shared" si="188"/>
        <v>9.4728362144413908E-2</v>
      </c>
      <c r="F462" s="96">
        <f t="shared" si="186"/>
        <v>1.2537602743288896</v>
      </c>
      <c r="G462" s="96">
        <f t="shared" si="189"/>
        <v>1.1377602743288895</v>
      </c>
      <c r="I462" s="96">
        <f t="shared" si="191"/>
        <v>0</v>
      </c>
      <c r="J462" s="96">
        <f t="shared" si="192"/>
        <v>0.55499999999999838</v>
      </c>
      <c r="Y462" s="96">
        <f t="shared" si="203"/>
        <v>42</v>
      </c>
      <c r="Z462" s="96">
        <v>0.24199999999999999</v>
      </c>
      <c r="AA462" s="272">
        <f t="shared" si="204"/>
        <v>42</v>
      </c>
      <c r="AB462" s="519">
        <f t="shared" si="205"/>
        <v>39.356520941473882</v>
      </c>
      <c r="AC462" s="272">
        <f t="shared" si="193"/>
        <v>39</v>
      </c>
      <c r="AD462" s="272">
        <f t="shared" si="194"/>
        <v>41.915973792439118</v>
      </c>
      <c r="AE462" s="272">
        <f t="shared" si="206"/>
        <v>40</v>
      </c>
      <c r="AF462" s="272">
        <f t="shared" si="195"/>
        <v>41.849043616721453</v>
      </c>
      <c r="AG462" s="272">
        <f t="shared" si="207"/>
        <v>41</v>
      </c>
      <c r="AH462" s="272">
        <f t="shared" si="196"/>
        <v>41.785523274187042</v>
      </c>
      <c r="AI462" s="272">
        <f t="shared" si="208"/>
        <v>41</v>
      </c>
      <c r="AJ462" s="272">
        <f t="shared" si="197"/>
        <v>41.785523274187042</v>
      </c>
      <c r="AK462" s="272">
        <f t="shared" si="209"/>
        <v>41</v>
      </c>
      <c r="AL462" s="272">
        <f t="shared" si="198"/>
        <v>41.785523274187042</v>
      </c>
      <c r="AM462" s="272">
        <f t="shared" si="210"/>
        <v>41</v>
      </c>
      <c r="AN462" s="272">
        <f t="shared" si="199"/>
        <v>41.785523274187042</v>
      </c>
      <c r="AO462" s="272">
        <f t="shared" si="211"/>
        <v>41</v>
      </c>
      <c r="AP462" s="272">
        <f t="shared" si="200"/>
        <v>41.785523274187042</v>
      </c>
      <c r="AQ462" s="272">
        <f t="shared" si="212"/>
        <v>41</v>
      </c>
      <c r="AR462" s="272">
        <f t="shared" si="201"/>
        <v>41.785523274187042</v>
      </c>
      <c r="AS462" s="272">
        <f t="shared" si="213"/>
        <v>41</v>
      </c>
      <c r="AT462" s="508">
        <f t="shared" si="202"/>
        <v>41.785523274187042</v>
      </c>
    </row>
    <row r="463" spans="1:46" ht="12.75" customHeight="1">
      <c r="A463" s="96">
        <f>IF(MAX($F$93:F463)=$G$88,$G$88,F463)</f>
        <v>3.2057712852183653</v>
      </c>
      <c r="B463" s="481">
        <v>371</v>
      </c>
      <c r="C463" s="96">
        <f t="shared" si="190"/>
        <v>0.55649999999999833</v>
      </c>
      <c r="D463" s="96">
        <f t="shared" si="187"/>
        <v>20.127727365081146</v>
      </c>
      <c r="E463" s="96">
        <f t="shared" si="188"/>
        <v>9.207084618316469E-2</v>
      </c>
      <c r="F463" s="96">
        <f t="shared" si="186"/>
        <v>1.2267374879474189</v>
      </c>
      <c r="G463" s="96">
        <f t="shared" si="189"/>
        <v>1.1107374879474188</v>
      </c>
      <c r="I463" s="96">
        <f t="shared" si="191"/>
        <v>0</v>
      </c>
      <c r="J463" s="96">
        <f t="shared" si="192"/>
        <v>0.55649999999999833</v>
      </c>
      <c r="Y463" s="96">
        <f t="shared" si="203"/>
        <v>43</v>
      </c>
      <c r="Z463" s="96">
        <v>0.24</v>
      </c>
      <c r="AA463" s="272">
        <f t="shared" si="204"/>
        <v>43</v>
      </c>
      <c r="AB463" s="519">
        <f t="shared" si="205"/>
        <v>40.015196048897174</v>
      </c>
      <c r="AC463" s="272">
        <f t="shared" si="193"/>
        <v>40</v>
      </c>
      <c r="AD463" s="272">
        <f t="shared" si="194"/>
        <v>42.549433860584649</v>
      </c>
      <c r="AE463" s="272">
        <f t="shared" si="206"/>
        <v>41</v>
      </c>
      <c r="AF463" s="272">
        <f t="shared" si="195"/>
        <v>42.484850434539773</v>
      </c>
      <c r="AG463" s="272">
        <f t="shared" si="207"/>
        <v>42</v>
      </c>
      <c r="AH463" s="272">
        <f t="shared" si="196"/>
        <v>42.423475651658137</v>
      </c>
      <c r="AI463" s="272">
        <f t="shared" si="208"/>
        <v>42</v>
      </c>
      <c r="AJ463" s="272">
        <f t="shared" si="197"/>
        <v>42.423475651658137</v>
      </c>
      <c r="AK463" s="272">
        <f t="shared" si="209"/>
        <v>42</v>
      </c>
      <c r="AL463" s="272">
        <f t="shared" si="198"/>
        <v>42.423475651658137</v>
      </c>
      <c r="AM463" s="272">
        <f t="shared" si="210"/>
        <v>42</v>
      </c>
      <c r="AN463" s="272">
        <f t="shared" si="199"/>
        <v>42.423475651658137</v>
      </c>
      <c r="AO463" s="272">
        <f t="shared" si="211"/>
        <v>42</v>
      </c>
      <c r="AP463" s="272">
        <f t="shared" si="200"/>
        <v>42.423475651658137</v>
      </c>
      <c r="AQ463" s="272">
        <f t="shared" si="212"/>
        <v>42</v>
      </c>
      <c r="AR463" s="272">
        <f t="shared" si="201"/>
        <v>42.423475651658137</v>
      </c>
      <c r="AS463" s="272">
        <f t="shared" si="213"/>
        <v>42</v>
      </c>
      <c r="AT463" s="508">
        <f t="shared" si="202"/>
        <v>42.423475651658137</v>
      </c>
    </row>
    <row r="464" spans="1:46" ht="12.75" customHeight="1">
      <c r="A464" s="96">
        <f>IF(MAX($F$93:F464)=$G$88,$G$88,F464)</f>
        <v>3.2057712852183653</v>
      </c>
      <c r="B464" s="481">
        <v>372</v>
      </c>
      <c r="C464" s="96">
        <f t="shared" si="190"/>
        <v>0.55799999999999828</v>
      </c>
      <c r="D464" s="96">
        <f t="shared" si="187"/>
        <v>20.236378867411521</v>
      </c>
      <c r="E464" s="96">
        <f t="shared" si="188"/>
        <v>8.9470915767496398E-2</v>
      </c>
      <c r="F464" s="96">
        <f t="shared" si="186"/>
        <v>1.200017013950293</v>
      </c>
      <c r="G464" s="96">
        <f t="shared" si="189"/>
        <v>1.0840170139502929</v>
      </c>
      <c r="I464" s="96">
        <f t="shared" si="191"/>
        <v>0</v>
      </c>
      <c r="J464" s="96">
        <f t="shared" si="192"/>
        <v>0.55799999999999828</v>
      </c>
      <c r="Y464" s="96">
        <f t="shared" si="203"/>
        <v>44</v>
      </c>
      <c r="Z464" s="96">
        <v>0.23799999999999999</v>
      </c>
      <c r="AA464" s="272">
        <f t="shared" si="204"/>
        <v>44</v>
      </c>
      <c r="AB464" s="519">
        <f t="shared" si="205"/>
        <v>40.690546084606957</v>
      </c>
      <c r="AC464" s="272">
        <f t="shared" si="193"/>
        <v>40</v>
      </c>
      <c r="AD464" s="272">
        <f t="shared" si="194"/>
        <v>43.267555087382163</v>
      </c>
      <c r="AE464" s="272">
        <f t="shared" si="206"/>
        <v>41</v>
      </c>
      <c r="AF464" s="272">
        <f t="shared" si="195"/>
        <v>43.201881664951102</v>
      </c>
      <c r="AG464" s="272">
        <f t="shared" si="207"/>
        <v>42</v>
      </c>
      <c r="AH464" s="272">
        <f t="shared" si="196"/>
        <v>43.13947103904227</v>
      </c>
      <c r="AI464" s="272">
        <f t="shared" si="208"/>
        <v>43</v>
      </c>
      <c r="AJ464" s="272">
        <f t="shared" si="197"/>
        <v>43.080086036333363</v>
      </c>
      <c r="AK464" s="272">
        <f t="shared" si="209"/>
        <v>43</v>
      </c>
      <c r="AL464" s="272">
        <f t="shared" si="198"/>
        <v>43.080086036333363</v>
      </c>
      <c r="AM464" s="272">
        <f t="shared" si="210"/>
        <v>43</v>
      </c>
      <c r="AN464" s="272">
        <f t="shared" si="199"/>
        <v>43.080086036333363</v>
      </c>
      <c r="AO464" s="272">
        <f t="shared" si="211"/>
        <v>43</v>
      </c>
      <c r="AP464" s="272">
        <f t="shared" si="200"/>
        <v>43.080086036333363</v>
      </c>
      <c r="AQ464" s="272">
        <f t="shared" si="212"/>
        <v>43</v>
      </c>
      <c r="AR464" s="272">
        <f t="shared" si="201"/>
        <v>43.080086036333363</v>
      </c>
      <c r="AS464" s="272">
        <f t="shared" si="213"/>
        <v>43</v>
      </c>
      <c r="AT464" s="508">
        <f t="shared" si="202"/>
        <v>43.080086036333363</v>
      </c>
    </row>
    <row r="465" spans="1:46" ht="12.75" customHeight="1">
      <c r="A465" s="96">
        <f>IF(MAX($F$93:F465)=$G$88,$G$88,F465)</f>
        <v>3.2057712852183653</v>
      </c>
      <c r="B465" s="481">
        <v>373</v>
      </c>
      <c r="C465" s="96">
        <f t="shared" si="190"/>
        <v>0.55949999999999822</v>
      </c>
      <c r="D465" s="96">
        <f t="shared" si="187"/>
        <v>20.345322836773736</v>
      </c>
      <c r="E465" s="96">
        <f t="shared" si="188"/>
        <v>8.6927916123377719E-2</v>
      </c>
      <c r="F465" s="96">
        <f t="shared" si="186"/>
        <v>1.1736051527207116</v>
      </c>
      <c r="G465" s="96">
        <f t="shared" si="189"/>
        <v>1.0576051527207115</v>
      </c>
      <c r="I465" s="96">
        <f t="shared" si="191"/>
        <v>0</v>
      </c>
      <c r="J465" s="96">
        <f t="shared" si="192"/>
        <v>0.55949999999999822</v>
      </c>
      <c r="Y465" s="96">
        <f t="shared" si="203"/>
        <v>44</v>
      </c>
      <c r="Z465" s="96">
        <v>0.23599999999999999</v>
      </c>
      <c r="AA465" s="272">
        <f t="shared" si="204"/>
        <v>44</v>
      </c>
      <c r="AB465" s="519">
        <f t="shared" si="205"/>
        <v>41.383138688891073</v>
      </c>
      <c r="AC465" s="272">
        <f t="shared" si="193"/>
        <v>41</v>
      </c>
      <c r="AD465" s="272">
        <f t="shared" si="194"/>
        <v>43.937219639282731</v>
      </c>
      <c r="AE465" s="272">
        <f t="shared" si="206"/>
        <v>42</v>
      </c>
      <c r="AF465" s="272">
        <f t="shared" si="195"/>
        <v>43.873746723921094</v>
      </c>
      <c r="AG465" s="272">
        <f t="shared" si="207"/>
        <v>43</v>
      </c>
      <c r="AH465" s="272">
        <f t="shared" si="196"/>
        <v>43.813350930804141</v>
      </c>
      <c r="AI465" s="272">
        <f t="shared" si="208"/>
        <v>43</v>
      </c>
      <c r="AJ465" s="272">
        <f t="shared" si="197"/>
        <v>43.813350930804141</v>
      </c>
      <c r="AK465" s="272">
        <f t="shared" si="209"/>
        <v>43</v>
      </c>
      <c r="AL465" s="272">
        <f t="shared" si="198"/>
        <v>43.813350930804141</v>
      </c>
      <c r="AM465" s="272">
        <f t="shared" si="210"/>
        <v>43</v>
      </c>
      <c r="AN465" s="272">
        <f t="shared" si="199"/>
        <v>43.813350930804141</v>
      </c>
      <c r="AO465" s="272">
        <f t="shared" si="211"/>
        <v>43</v>
      </c>
      <c r="AP465" s="272">
        <f t="shared" si="200"/>
        <v>43.813350930804141</v>
      </c>
      <c r="AQ465" s="272">
        <f t="shared" si="212"/>
        <v>43</v>
      </c>
      <c r="AR465" s="272">
        <f t="shared" si="201"/>
        <v>43.813350930804141</v>
      </c>
      <c r="AS465" s="272">
        <f t="shared" si="213"/>
        <v>43</v>
      </c>
      <c r="AT465" s="508">
        <f t="shared" si="202"/>
        <v>43.813350930804141</v>
      </c>
    </row>
    <row r="466" spans="1:46" ht="12.75" customHeight="1">
      <c r="A466" s="96">
        <f>IF(MAX($F$93:F466)=$G$88,$G$88,F466)</f>
        <v>3.2057712852183653</v>
      </c>
      <c r="B466" s="481">
        <v>374</v>
      </c>
      <c r="C466" s="96">
        <f t="shared" si="190"/>
        <v>0.56099999999999817</v>
      </c>
      <c r="D466" s="96">
        <f t="shared" si="187"/>
        <v>20.454559273167796</v>
      </c>
      <c r="E466" s="96">
        <f t="shared" si="188"/>
        <v>8.4441179398693347E-2</v>
      </c>
      <c r="F466" s="96">
        <f t="shared" si="186"/>
        <v>1.1475078122424449</v>
      </c>
      <c r="G466" s="96">
        <f t="shared" si="189"/>
        <v>1.0315078122424448</v>
      </c>
      <c r="I466" s="96">
        <f t="shared" si="191"/>
        <v>0</v>
      </c>
      <c r="J466" s="96">
        <f t="shared" si="192"/>
        <v>0.56099999999999817</v>
      </c>
      <c r="Y466" s="96">
        <f t="shared" si="203"/>
        <v>45</v>
      </c>
      <c r="Z466" s="96">
        <v>0.23400000000000001</v>
      </c>
      <c r="AA466" s="272">
        <f t="shared" si="204"/>
        <v>45</v>
      </c>
      <c r="AB466" s="519">
        <f t="shared" si="205"/>
        <v>42.093565863402674</v>
      </c>
      <c r="AC466" s="272">
        <f t="shared" si="193"/>
        <v>42</v>
      </c>
      <c r="AD466" s="272">
        <f t="shared" si="194"/>
        <v>44.626930337049977</v>
      </c>
      <c r="AE466" s="272">
        <f t="shared" si="206"/>
        <v>43</v>
      </c>
      <c r="AF466" s="272">
        <f t="shared" si="195"/>
        <v>44.565497725218542</v>
      </c>
      <c r="AG466" s="272">
        <f t="shared" si="207"/>
        <v>44</v>
      </c>
      <c r="AH466" s="272">
        <f t="shared" si="196"/>
        <v>44.506972918691972</v>
      </c>
      <c r="AI466" s="272">
        <f t="shared" si="208"/>
        <v>44</v>
      </c>
      <c r="AJ466" s="272">
        <f t="shared" si="197"/>
        <v>44.506972918691972</v>
      </c>
      <c r="AK466" s="272">
        <f t="shared" si="209"/>
        <v>44</v>
      </c>
      <c r="AL466" s="272">
        <f t="shared" si="198"/>
        <v>44.506972918691972</v>
      </c>
      <c r="AM466" s="272">
        <f t="shared" si="210"/>
        <v>44</v>
      </c>
      <c r="AN466" s="272">
        <f t="shared" si="199"/>
        <v>44.506972918691972</v>
      </c>
      <c r="AO466" s="272">
        <f t="shared" si="211"/>
        <v>44</v>
      </c>
      <c r="AP466" s="272">
        <f t="shared" si="200"/>
        <v>44.506972918691972</v>
      </c>
      <c r="AQ466" s="272">
        <f t="shared" si="212"/>
        <v>44</v>
      </c>
      <c r="AR466" s="272">
        <f t="shared" si="201"/>
        <v>44.506972918691972</v>
      </c>
      <c r="AS466" s="272">
        <f t="shared" si="213"/>
        <v>44</v>
      </c>
      <c r="AT466" s="508">
        <f t="shared" si="202"/>
        <v>44.506972918691972</v>
      </c>
    </row>
    <row r="467" spans="1:46" ht="12.75" customHeight="1">
      <c r="A467" s="96">
        <f>IF(MAX($F$93:F467)=$G$88,$G$88,F467)</f>
        <v>3.2057712852183653</v>
      </c>
      <c r="B467" s="481">
        <v>375</v>
      </c>
      <c r="C467" s="96">
        <f t="shared" si="190"/>
        <v>0.56249999999999811</v>
      </c>
      <c r="D467" s="96">
        <f t="shared" si="187"/>
        <v>20.564088176593707</v>
      </c>
      <c r="E467" s="96">
        <f t="shared" si="188"/>
        <v>8.2010025499481526E-2</v>
      </c>
      <c r="F467" s="96">
        <f t="shared" si="186"/>
        <v>1.1217305125932147</v>
      </c>
      <c r="G467" s="96">
        <f t="shared" si="189"/>
        <v>1.0057305125932146</v>
      </c>
      <c r="I467" s="96">
        <f t="shared" si="191"/>
        <v>0</v>
      </c>
      <c r="J467" s="96">
        <f t="shared" si="192"/>
        <v>0.56249999999999811</v>
      </c>
      <c r="Y467" s="96">
        <f t="shared" si="203"/>
        <v>46</v>
      </c>
      <c r="Z467" s="96">
        <v>0.23200000000000001</v>
      </c>
      <c r="AA467" s="272">
        <f t="shared" si="204"/>
        <v>46</v>
      </c>
      <c r="AB467" s="519">
        <f t="shared" si="205"/>
        <v>42.822445236631914</v>
      </c>
      <c r="AC467" s="272">
        <f t="shared" si="193"/>
        <v>42</v>
      </c>
      <c r="AD467" s="272">
        <f t="shared" si="194"/>
        <v>45.399676678349984</v>
      </c>
      <c r="AE467" s="272">
        <f t="shared" si="206"/>
        <v>43</v>
      </c>
      <c r="AF467" s="272">
        <f t="shared" si="195"/>
        <v>45.337180318112097</v>
      </c>
      <c r="AG467" s="272">
        <f t="shared" si="207"/>
        <v>44</v>
      </c>
      <c r="AH467" s="272">
        <f t="shared" si="196"/>
        <v>45.277642113850639</v>
      </c>
      <c r="AI467" s="272">
        <f t="shared" si="208"/>
        <v>45</v>
      </c>
      <c r="AJ467" s="272">
        <f t="shared" si="197"/>
        <v>45.220856961323818</v>
      </c>
      <c r="AK467" s="272">
        <f t="shared" si="209"/>
        <v>45</v>
      </c>
      <c r="AL467" s="272">
        <f t="shared" si="198"/>
        <v>45.220856961323818</v>
      </c>
      <c r="AM467" s="272">
        <f t="shared" si="210"/>
        <v>45</v>
      </c>
      <c r="AN467" s="272">
        <f t="shared" si="199"/>
        <v>45.220856961323818</v>
      </c>
      <c r="AO467" s="272">
        <f t="shared" si="211"/>
        <v>45</v>
      </c>
      <c r="AP467" s="272">
        <f t="shared" si="200"/>
        <v>45.220856961323818</v>
      </c>
      <c r="AQ467" s="272">
        <f t="shared" si="212"/>
        <v>45</v>
      </c>
      <c r="AR467" s="272">
        <f t="shared" si="201"/>
        <v>45.220856961323818</v>
      </c>
      <c r="AS467" s="272">
        <f t="shared" si="213"/>
        <v>45</v>
      </c>
      <c r="AT467" s="508">
        <f t="shared" si="202"/>
        <v>45.220856961323818</v>
      </c>
    </row>
    <row r="468" spans="1:46" ht="12.75" customHeight="1">
      <c r="A468" s="96">
        <f>IF(MAX($F$93:F468)=$G$88,$G$88,F468)</f>
        <v>3.2057712852183653</v>
      </c>
      <c r="B468" s="481">
        <v>376</v>
      </c>
      <c r="C468" s="96">
        <f t="shared" si="190"/>
        <v>0.56399999999999806</v>
      </c>
      <c r="D468" s="96">
        <f t="shared" si="187"/>
        <v>20.673909547051458</v>
      </c>
      <c r="E468" s="96">
        <f t="shared" si="188"/>
        <v>7.9633762916150999E-2</v>
      </c>
      <c r="F468" s="96">
        <f t="shared" si="186"/>
        <v>1.0962783907940572</v>
      </c>
      <c r="G468" s="96">
        <f t="shared" si="189"/>
        <v>0.98027839079405721</v>
      </c>
      <c r="I468" s="96">
        <f t="shared" si="191"/>
        <v>0</v>
      </c>
      <c r="J468" s="96">
        <f t="shared" si="192"/>
        <v>0.56399999999999806</v>
      </c>
      <c r="Y468" s="96">
        <f t="shared" si="203"/>
        <v>47</v>
      </c>
      <c r="Z468" s="96">
        <v>0.23</v>
      </c>
      <c r="AA468" s="272">
        <f t="shared" si="204"/>
        <v>47</v>
      </c>
      <c r="AB468" s="519">
        <f t="shared" si="205"/>
        <v>43.570421406738689</v>
      </c>
      <c r="AC468" s="272">
        <f t="shared" si="193"/>
        <v>43</v>
      </c>
      <c r="AD468" s="272">
        <f t="shared" si="194"/>
        <v>46.129081161475732</v>
      </c>
      <c r="AE468" s="272">
        <f t="shared" si="206"/>
        <v>44</v>
      </c>
      <c r="AF468" s="272">
        <f t="shared" si="195"/>
        <v>46.068503008240015</v>
      </c>
      <c r="AG468" s="272">
        <f t="shared" si="207"/>
        <v>45</v>
      </c>
      <c r="AH468" s="272">
        <f t="shared" si="196"/>
        <v>46.010725994069809</v>
      </c>
      <c r="AI468" s="272">
        <f t="shared" si="208"/>
        <v>46</v>
      </c>
      <c r="AJ468" s="272">
        <f t="shared" si="197"/>
        <v>45.95556028290229</v>
      </c>
      <c r="AK468" s="272">
        <f t="shared" si="209"/>
        <v>45</v>
      </c>
      <c r="AL468" s="272">
        <f t="shared" si="198"/>
        <v>46.010725994069809</v>
      </c>
      <c r="AM468" s="272">
        <f t="shared" si="210"/>
        <v>46</v>
      </c>
      <c r="AN468" s="272">
        <f t="shared" si="199"/>
        <v>45.95556028290229</v>
      </c>
      <c r="AO468" s="272">
        <f t="shared" si="211"/>
        <v>45</v>
      </c>
      <c r="AP468" s="272">
        <f t="shared" si="200"/>
        <v>46.010725994069809</v>
      </c>
      <c r="AQ468" s="272">
        <f t="shared" si="212"/>
        <v>46</v>
      </c>
      <c r="AR468" s="272">
        <f t="shared" si="201"/>
        <v>45.95556028290229</v>
      </c>
      <c r="AS468" s="272">
        <f t="shared" si="213"/>
        <v>45</v>
      </c>
      <c r="AT468" s="508">
        <f t="shared" si="202"/>
        <v>46.010725994069809</v>
      </c>
    </row>
    <row r="469" spans="1:46" ht="12.75" customHeight="1">
      <c r="A469" s="96">
        <f>IF(MAX($F$93:F469)=$G$88,$G$88,F469)</f>
        <v>3.2057712852183653</v>
      </c>
      <c r="B469" s="481">
        <v>377</v>
      </c>
      <c r="C469" s="96">
        <f t="shared" si="190"/>
        <v>0.565499999999998</v>
      </c>
      <c r="D469" s="96">
        <f t="shared" si="187"/>
        <v>20.784023384541051</v>
      </c>
      <c r="E469" s="96">
        <f t="shared" si="188"/>
        <v>7.7311689538935566E-2</v>
      </c>
      <c r="F469" s="96">
        <f t="shared" si="186"/>
        <v>1.0711562059961428</v>
      </c>
      <c r="G469" s="96">
        <f t="shared" si="189"/>
        <v>0.95515620599614282</v>
      </c>
      <c r="I469" s="96">
        <f t="shared" si="191"/>
        <v>0</v>
      </c>
      <c r="J469" s="96">
        <f t="shared" si="192"/>
        <v>0.565499999999998</v>
      </c>
      <c r="Y469" s="96">
        <f t="shared" si="203"/>
        <v>47</v>
      </c>
      <c r="Z469" s="96">
        <v>0.22800000000000001</v>
      </c>
      <c r="AA469" s="272">
        <f t="shared" si="204"/>
        <v>47</v>
      </c>
      <c r="AB469" s="519">
        <f t="shared" si="205"/>
        <v>44.338167367199077</v>
      </c>
      <c r="AC469" s="272">
        <f t="shared" si="193"/>
        <v>44</v>
      </c>
      <c r="AD469" s="272">
        <f t="shared" si="194"/>
        <v>46.88026718097678</v>
      </c>
      <c r="AE469" s="272">
        <f t="shared" si="206"/>
        <v>45</v>
      </c>
      <c r="AF469" s="272">
        <f t="shared" si="195"/>
        <v>46.821472089225402</v>
      </c>
      <c r="AG469" s="272">
        <f t="shared" si="207"/>
        <v>46</v>
      </c>
      <c r="AH469" s="272">
        <f t="shared" si="196"/>
        <v>46.76533431374137</v>
      </c>
      <c r="AI469" s="272">
        <f t="shared" si="208"/>
        <v>46</v>
      </c>
      <c r="AJ469" s="272">
        <f t="shared" si="197"/>
        <v>46.76533431374137</v>
      </c>
      <c r="AK469" s="272">
        <f t="shared" si="209"/>
        <v>46</v>
      </c>
      <c r="AL469" s="272">
        <f t="shared" si="198"/>
        <v>46.76533431374137</v>
      </c>
      <c r="AM469" s="272">
        <f t="shared" si="210"/>
        <v>46</v>
      </c>
      <c r="AN469" s="272">
        <f t="shared" si="199"/>
        <v>46.76533431374137</v>
      </c>
      <c r="AO469" s="272">
        <f t="shared" si="211"/>
        <v>46</v>
      </c>
      <c r="AP469" s="272">
        <f t="shared" si="200"/>
        <v>46.76533431374137</v>
      </c>
      <c r="AQ469" s="272">
        <f t="shared" si="212"/>
        <v>46</v>
      </c>
      <c r="AR469" s="272">
        <f t="shared" si="201"/>
        <v>46.76533431374137</v>
      </c>
      <c r="AS469" s="272">
        <f t="shared" si="213"/>
        <v>46</v>
      </c>
      <c r="AT469" s="508">
        <f t="shared" si="202"/>
        <v>46.76533431374137</v>
      </c>
    </row>
    <row r="470" spans="1:46" ht="12.75" customHeight="1">
      <c r="A470" s="96">
        <f>IF(MAX($F$93:F470)=$G$88,$G$88,F470)</f>
        <v>3.2057712852183653</v>
      </c>
      <c r="B470" s="481">
        <v>378</v>
      </c>
      <c r="C470" s="96">
        <f t="shared" si="190"/>
        <v>0.56699999999999795</v>
      </c>
      <c r="D470" s="96">
        <f t="shared" si="187"/>
        <v>20.894429689062498</v>
      </c>
      <c r="E470" s="96">
        <f t="shared" si="188"/>
        <v>7.5043093461881816E-2</v>
      </c>
      <c r="F470" s="96">
        <f t="shared" si="186"/>
        <v>1.0463683449875523</v>
      </c>
      <c r="G470" s="96">
        <f t="shared" si="189"/>
        <v>0.93036834498755228</v>
      </c>
      <c r="I470" s="96">
        <f t="shared" si="191"/>
        <v>0</v>
      </c>
      <c r="J470" s="96">
        <f t="shared" si="192"/>
        <v>0.56699999999999795</v>
      </c>
      <c r="Y470" s="96">
        <f t="shared" si="203"/>
        <v>48</v>
      </c>
      <c r="Z470" s="96">
        <v>0.22600000000000001</v>
      </c>
      <c r="AA470" s="272">
        <f t="shared" si="204"/>
        <v>48</v>
      </c>
      <c r="AB470" s="519">
        <f t="shared" si="205"/>
        <v>45.126386021154282</v>
      </c>
      <c r="AC470" s="272">
        <f t="shared" si="193"/>
        <v>45</v>
      </c>
      <c r="AD470" s="272">
        <f t="shared" si="194"/>
        <v>47.653837518331365</v>
      </c>
      <c r="AE470" s="272">
        <f t="shared" si="206"/>
        <v>46</v>
      </c>
      <c r="AF470" s="272">
        <f t="shared" si="195"/>
        <v>47.596701757489448</v>
      </c>
      <c r="AG470" s="272">
        <f t="shared" si="207"/>
        <v>47</v>
      </c>
      <c r="AH470" s="272">
        <f t="shared" si="196"/>
        <v>47.542091306504396</v>
      </c>
      <c r="AI470" s="272">
        <f t="shared" si="208"/>
        <v>47</v>
      </c>
      <c r="AJ470" s="272">
        <f t="shared" si="197"/>
        <v>47.542091306504396</v>
      </c>
      <c r="AK470" s="272">
        <f t="shared" si="209"/>
        <v>47</v>
      </c>
      <c r="AL470" s="272">
        <f t="shared" si="198"/>
        <v>47.542091306504396</v>
      </c>
      <c r="AM470" s="272">
        <f t="shared" si="210"/>
        <v>47</v>
      </c>
      <c r="AN470" s="272">
        <f t="shared" si="199"/>
        <v>47.542091306504396</v>
      </c>
      <c r="AO470" s="272">
        <f t="shared" si="211"/>
        <v>47</v>
      </c>
      <c r="AP470" s="272">
        <f t="shared" si="200"/>
        <v>47.542091306504396</v>
      </c>
      <c r="AQ470" s="272">
        <f t="shared" si="212"/>
        <v>47</v>
      </c>
      <c r="AR470" s="272">
        <f t="shared" si="201"/>
        <v>47.542091306504396</v>
      </c>
      <c r="AS470" s="272">
        <f t="shared" si="213"/>
        <v>47</v>
      </c>
      <c r="AT470" s="508">
        <f t="shared" si="202"/>
        <v>47.542091306504396</v>
      </c>
    </row>
    <row r="471" spans="1:46" ht="12.75" customHeight="1">
      <c r="A471" s="96">
        <f>IF(MAX($F$93:F471)=$G$88,$G$88,F471)</f>
        <v>3.2057712852183653</v>
      </c>
      <c r="B471" s="481">
        <v>379</v>
      </c>
      <c r="C471" s="96">
        <f t="shared" si="190"/>
        <v>0.5684999999999979</v>
      </c>
      <c r="D471" s="96">
        <f t="shared" si="187"/>
        <v>21.005128460615783</v>
      </c>
      <c r="E471" s="96">
        <f t="shared" si="188"/>
        <v>7.2827253774703199E-2</v>
      </c>
      <c r="F471" s="96">
        <f t="shared" si="186"/>
        <v>1.0219188280039166</v>
      </c>
      <c r="G471" s="96">
        <f t="shared" si="189"/>
        <v>0.90591882800391665</v>
      </c>
      <c r="I471" s="96">
        <f t="shared" si="191"/>
        <v>0</v>
      </c>
      <c r="J471" s="96">
        <f t="shared" si="192"/>
        <v>0.5684999999999979</v>
      </c>
      <c r="Y471" s="96">
        <f t="shared" si="203"/>
        <v>49</v>
      </c>
      <c r="Z471" s="96">
        <v>0.224</v>
      </c>
      <c r="AA471" s="272">
        <f t="shared" si="204"/>
        <v>49</v>
      </c>
      <c r="AB471" s="519">
        <f t="shared" si="205"/>
        <v>45.935811790825809</v>
      </c>
      <c r="AC471" s="272">
        <f t="shared" si="193"/>
        <v>45</v>
      </c>
      <c r="AD471" s="272">
        <f t="shared" si="194"/>
        <v>48.508597837338435</v>
      </c>
      <c r="AE471" s="272">
        <f t="shared" si="206"/>
        <v>46</v>
      </c>
      <c r="AF471" s="272">
        <f t="shared" si="195"/>
        <v>48.450437240225035</v>
      </c>
      <c r="AG471" s="272">
        <f t="shared" si="207"/>
        <v>47</v>
      </c>
      <c r="AH471" s="272">
        <f t="shared" si="196"/>
        <v>48.394847249103528</v>
      </c>
      <c r="AI471" s="272">
        <f t="shared" si="208"/>
        <v>48</v>
      </c>
      <c r="AJ471" s="272">
        <f t="shared" si="197"/>
        <v>48.341661172858203</v>
      </c>
      <c r="AK471" s="272">
        <f t="shared" si="209"/>
        <v>48</v>
      </c>
      <c r="AL471" s="272">
        <f t="shared" si="198"/>
        <v>48.341661172858203</v>
      </c>
      <c r="AM471" s="272">
        <f t="shared" si="210"/>
        <v>48</v>
      </c>
      <c r="AN471" s="272">
        <f t="shared" si="199"/>
        <v>48.341661172858203</v>
      </c>
      <c r="AO471" s="272">
        <f t="shared" si="211"/>
        <v>48</v>
      </c>
      <c r="AP471" s="272">
        <f t="shared" si="200"/>
        <v>48.341661172858203</v>
      </c>
      <c r="AQ471" s="272">
        <f t="shared" si="212"/>
        <v>48</v>
      </c>
      <c r="AR471" s="272">
        <f t="shared" si="201"/>
        <v>48.341661172858203</v>
      </c>
      <c r="AS471" s="272">
        <f t="shared" si="213"/>
        <v>48</v>
      </c>
      <c r="AT471" s="508">
        <f t="shared" si="202"/>
        <v>48.341661172858203</v>
      </c>
    </row>
    <row r="472" spans="1:46" ht="12.75" customHeight="1">
      <c r="A472" s="96">
        <f>IF(MAX($F$93:F472)=$G$88,$G$88,F472)</f>
        <v>3.2057712852183653</v>
      </c>
      <c r="B472" s="481">
        <v>380</v>
      </c>
      <c r="C472" s="96">
        <f t="shared" si="190"/>
        <v>0.56999999999999784</v>
      </c>
      <c r="D472" s="96">
        <f t="shared" si="187"/>
        <v>21.116119699200912</v>
      </c>
      <c r="E472" s="96">
        <f t="shared" si="188"/>
        <v>7.066344134186503E-2</v>
      </c>
      <c r="F472" s="96">
        <f t="shared" si="186"/>
        <v>0.99781131482457819</v>
      </c>
      <c r="G472" s="96">
        <f t="shared" si="189"/>
        <v>0.8818113148245782</v>
      </c>
      <c r="I472" s="96">
        <f t="shared" si="191"/>
        <v>0</v>
      </c>
      <c r="J472" s="96">
        <f t="shared" si="192"/>
        <v>0.56999999999999784</v>
      </c>
      <c r="Y472" s="96">
        <f t="shared" si="203"/>
        <v>50</v>
      </c>
      <c r="Z472" s="96">
        <v>0.222</v>
      </c>
      <c r="AA472" s="272">
        <f t="shared" si="204"/>
        <v>50</v>
      </c>
      <c r="AB472" s="519">
        <f t="shared" si="205"/>
        <v>46.767212328879076</v>
      </c>
      <c r="AC472" s="272">
        <f t="shared" si="193"/>
        <v>46</v>
      </c>
      <c r="AD472" s="272">
        <f t="shared" si="194"/>
        <v>49.327350437576733</v>
      </c>
      <c r="AE472" s="272">
        <f t="shared" si="206"/>
        <v>47</v>
      </c>
      <c r="AF472" s="272">
        <f t="shared" si="195"/>
        <v>49.270754313185172</v>
      </c>
      <c r="AG472" s="272">
        <f t="shared" si="207"/>
        <v>48</v>
      </c>
      <c r="AH472" s="272">
        <f t="shared" si="196"/>
        <v>49.21660561255851</v>
      </c>
      <c r="AI472" s="272">
        <f t="shared" si="208"/>
        <v>49</v>
      </c>
      <c r="AJ472" s="272">
        <f t="shared" si="197"/>
        <v>49.164748986157676</v>
      </c>
      <c r="AK472" s="272">
        <f t="shared" si="209"/>
        <v>49</v>
      </c>
      <c r="AL472" s="272">
        <f t="shared" si="198"/>
        <v>49.164748986157676</v>
      </c>
      <c r="AM472" s="272">
        <f t="shared" si="210"/>
        <v>49</v>
      </c>
      <c r="AN472" s="272">
        <f t="shared" si="199"/>
        <v>49.164748986157676</v>
      </c>
      <c r="AO472" s="272">
        <f t="shared" si="211"/>
        <v>49</v>
      </c>
      <c r="AP472" s="272">
        <f t="shared" si="200"/>
        <v>49.164748986157676</v>
      </c>
      <c r="AQ472" s="272">
        <f t="shared" si="212"/>
        <v>49</v>
      </c>
      <c r="AR472" s="272">
        <f t="shared" si="201"/>
        <v>49.164748986157676</v>
      </c>
      <c r="AS472" s="272">
        <f t="shared" si="213"/>
        <v>49</v>
      </c>
      <c r="AT472" s="508">
        <f t="shared" si="202"/>
        <v>49.164748986157676</v>
      </c>
    </row>
    <row r="473" spans="1:46" ht="12.75" customHeight="1">
      <c r="A473" s="96">
        <f>IF(MAX($F$93:F473)=$G$88,$G$88,F473)</f>
        <v>3.2057712852183653</v>
      </c>
      <c r="B473" s="481">
        <v>381</v>
      </c>
      <c r="C473" s="96">
        <f t="shared" si="190"/>
        <v>0.57149999999999779</v>
      </c>
      <c r="D473" s="96">
        <f t="shared" si="187"/>
        <v>21.227403404817892</v>
      </c>
      <c r="E473" s="96">
        <f t="shared" si="188"/>
        <v>6.8550919568312149E-2</v>
      </c>
      <c r="F473" s="96">
        <f t="shared" si="186"/>
        <v>0.97404911113577275</v>
      </c>
      <c r="G473" s="96">
        <f t="shared" si="189"/>
        <v>0.85804911113577276</v>
      </c>
      <c r="I473" s="96">
        <f t="shared" si="191"/>
        <v>0</v>
      </c>
      <c r="J473" s="96">
        <f t="shared" si="192"/>
        <v>0.57149999999999779</v>
      </c>
      <c r="Y473" s="96">
        <f t="shared" si="203"/>
        <v>51</v>
      </c>
      <c r="Z473" s="96">
        <v>0.22</v>
      </c>
      <c r="AA473" s="272">
        <f t="shared" si="204"/>
        <v>51</v>
      </c>
      <c r="AB473" s="519">
        <f t="shared" si="205"/>
        <v>47.621390339183392</v>
      </c>
      <c r="AC473" s="272">
        <f t="shared" si="193"/>
        <v>47</v>
      </c>
      <c r="AD473" s="272">
        <f t="shared" si="194"/>
        <v>50.170658172954923</v>
      </c>
      <c r="AE473" s="272">
        <f t="shared" si="206"/>
        <v>48</v>
      </c>
      <c r="AF473" s="272">
        <f t="shared" si="195"/>
        <v>50.115520475399443</v>
      </c>
      <c r="AG473" s="272">
        <f t="shared" si="207"/>
        <v>49</v>
      </c>
      <c r="AH473" s="272">
        <f t="shared" si="196"/>
        <v>50.062716715574268</v>
      </c>
      <c r="AI473" s="272">
        <f t="shared" si="208"/>
        <v>50</v>
      </c>
      <c r="AJ473" s="272">
        <f t="shared" si="197"/>
        <v>50.012101813499797</v>
      </c>
      <c r="AK473" s="272">
        <f t="shared" si="209"/>
        <v>50</v>
      </c>
      <c r="AL473" s="272">
        <f t="shared" si="198"/>
        <v>50.012101813499797</v>
      </c>
      <c r="AM473" s="272">
        <f t="shared" si="210"/>
        <v>50</v>
      </c>
      <c r="AN473" s="272">
        <f t="shared" si="199"/>
        <v>50.012101813499797</v>
      </c>
      <c r="AO473" s="272">
        <f t="shared" si="211"/>
        <v>50</v>
      </c>
      <c r="AP473" s="272">
        <f t="shared" si="200"/>
        <v>50.012101813499797</v>
      </c>
      <c r="AQ473" s="272">
        <f t="shared" si="212"/>
        <v>50</v>
      </c>
      <c r="AR473" s="272">
        <f t="shared" si="201"/>
        <v>50.012101813499797</v>
      </c>
      <c r="AS473" s="272">
        <f t="shared" si="213"/>
        <v>50</v>
      </c>
      <c r="AT473" s="508">
        <f t="shared" si="202"/>
        <v>50.012101813499797</v>
      </c>
    </row>
    <row r="474" spans="1:46" ht="12.75" customHeight="1">
      <c r="A474" s="96">
        <f>IF(MAX($F$93:F474)=$G$88,$G$88,F474)</f>
        <v>3.2057712852183653</v>
      </c>
      <c r="B474" s="481">
        <v>382</v>
      </c>
      <c r="C474" s="96">
        <f t="shared" si="190"/>
        <v>0.57299999999999773</v>
      </c>
      <c r="D474" s="96">
        <f t="shared" si="187"/>
        <v>21.338979577466713</v>
      </c>
      <c r="E474" s="96">
        <f t="shared" si="188"/>
        <v>6.6488945151283146E-2</v>
      </c>
      <c r="F474" s="96">
        <f t="shared" si="186"/>
        <v>0.95063517514632667</v>
      </c>
      <c r="G474" s="96">
        <f t="shared" si="189"/>
        <v>0.83463517514632668</v>
      </c>
      <c r="I474" s="96">
        <f t="shared" si="191"/>
        <v>0</v>
      </c>
      <c r="J474" s="96">
        <f t="shared" si="192"/>
        <v>0.57299999999999773</v>
      </c>
      <c r="Y474" s="96">
        <f t="shared" si="203"/>
        <v>51</v>
      </c>
      <c r="Z474" s="96">
        <v>0.218</v>
      </c>
      <c r="AA474" s="272">
        <f t="shared" si="204"/>
        <v>51</v>
      </c>
      <c r="AB474" s="519">
        <f t="shared" si="205"/>
        <v>48.499185515034007</v>
      </c>
      <c r="AC474" s="272">
        <f t="shared" si="193"/>
        <v>48</v>
      </c>
      <c r="AD474" s="272">
        <f t="shared" si="194"/>
        <v>51.039289432904091</v>
      </c>
      <c r="AE474" s="272">
        <f t="shared" si="206"/>
        <v>49</v>
      </c>
      <c r="AF474" s="272">
        <f t="shared" si="195"/>
        <v>50.985512352365006</v>
      </c>
      <c r="AG474" s="272">
        <f t="shared" si="207"/>
        <v>50</v>
      </c>
      <c r="AH474" s="272">
        <f t="shared" si="196"/>
        <v>50.933964476335973</v>
      </c>
      <c r="AI474" s="272">
        <f t="shared" si="208"/>
        <v>50</v>
      </c>
      <c r="AJ474" s="272">
        <f t="shared" si="197"/>
        <v>50.933964476335973</v>
      </c>
      <c r="AK474" s="272">
        <f t="shared" si="209"/>
        <v>50</v>
      </c>
      <c r="AL474" s="272">
        <f t="shared" si="198"/>
        <v>50.933964476335973</v>
      </c>
      <c r="AM474" s="272">
        <f t="shared" si="210"/>
        <v>50</v>
      </c>
      <c r="AN474" s="272">
        <f t="shared" si="199"/>
        <v>50.933964476335973</v>
      </c>
      <c r="AO474" s="272">
        <f t="shared" si="211"/>
        <v>50</v>
      </c>
      <c r="AP474" s="272">
        <f t="shared" si="200"/>
        <v>50.933964476335973</v>
      </c>
      <c r="AQ474" s="272">
        <f t="shared" si="212"/>
        <v>50</v>
      </c>
      <c r="AR474" s="272">
        <f t="shared" si="201"/>
        <v>50.933964476335973</v>
      </c>
      <c r="AS474" s="272">
        <f t="shared" si="213"/>
        <v>50</v>
      </c>
      <c r="AT474" s="508">
        <f t="shared" si="202"/>
        <v>50.933964476335973</v>
      </c>
    </row>
    <row r="475" spans="1:46" ht="12.75" customHeight="1">
      <c r="A475" s="96">
        <f>IF(MAX($F$93:F475)=$G$88,$G$88,F475)</f>
        <v>3.2057712852183653</v>
      </c>
      <c r="B475" s="481">
        <v>383</v>
      </c>
      <c r="C475" s="96">
        <f t="shared" si="190"/>
        <v>0.57449999999999768</v>
      </c>
      <c r="D475" s="96">
        <f t="shared" si="187"/>
        <v>21.450848217147378</v>
      </c>
      <c r="E475" s="96">
        <f t="shared" si="188"/>
        <v>6.4476768817685035E-2</v>
      </c>
      <c r="F475" s="96">
        <f t="shared" si="186"/>
        <v>0.9275721244367503</v>
      </c>
      <c r="G475" s="96">
        <f t="shared" si="189"/>
        <v>0.81157212443675031</v>
      </c>
      <c r="I475" s="96">
        <f t="shared" si="191"/>
        <v>0</v>
      </c>
      <c r="J475" s="96">
        <f t="shared" si="192"/>
        <v>0.57449999999999768</v>
      </c>
      <c r="Y475" s="96">
        <f t="shared" si="203"/>
        <v>52</v>
      </c>
      <c r="Z475" s="96">
        <v>0.216</v>
      </c>
      <c r="AA475" s="272">
        <f t="shared" si="204"/>
        <v>52</v>
      </c>
      <c r="AB475" s="519">
        <f t="shared" si="205"/>
        <v>49.401476603576739</v>
      </c>
      <c r="AC475" s="272">
        <f t="shared" si="193"/>
        <v>49</v>
      </c>
      <c r="AD475" s="272">
        <f t="shared" si="194"/>
        <v>51.934059692939705</v>
      </c>
      <c r="AE475" s="272">
        <f t="shared" si="206"/>
        <v>50</v>
      </c>
      <c r="AF475" s="272">
        <f t="shared" si="195"/>
        <v>51.881552807214312</v>
      </c>
      <c r="AG475" s="272">
        <f t="shared" si="207"/>
        <v>51</v>
      </c>
      <c r="AH475" s="272">
        <f t="shared" si="196"/>
        <v>51.831178313166639</v>
      </c>
      <c r="AI475" s="272">
        <f t="shared" si="208"/>
        <v>51</v>
      </c>
      <c r="AJ475" s="272">
        <f t="shared" si="197"/>
        <v>51.831178313166639</v>
      </c>
      <c r="AK475" s="272">
        <f t="shared" si="209"/>
        <v>51</v>
      </c>
      <c r="AL475" s="272">
        <f t="shared" si="198"/>
        <v>51.831178313166639</v>
      </c>
      <c r="AM475" s="272">
        <f t="shared" si="210"/>
        <v>51</v>
      </c>
      <c r="AN475" s="272">
        <f t="shared" si="199"/>
        <v>51.831178313166639</v>
      </c>
      <c r="AO475" s="272">
        <f t="shared" si="211"/>
        <v>51</v>
      </c>
      <c r="AP475" s="272">
        <f t="shared" si="200"/>
        <v>51.831178313166639</v>
      </c>
      <c r="AQ475" s="272">
        <f t="shared" si="212"/>
        <v>51</v>
      </c>
      <c r="AR475" s="272">
        <f t="shared" si="201"/>
        <v>51.831178313166639</v>
      </c>
      <c r="AS475" s="272">
        <f t="shared" si="213"/>
        <v>51</v>
      </c>
      <c r="AT475" s="508">
        <f t="shared" si="202"/>
        <v>51.831178313166639</v>
      </c>
    </row>
    <row r="476" spans="1:46" ht="12.75" customHeight="1">
      <c r="A476" s="96">
        <f>IF(MAX($F$93:F476)=$G$88,$G$88,F476)</f>
        <v>3.2057712852183653</v>
      </c>
      <c r="B476" s="481">
        <v>384</v>
      </c>
      <c r="C476" s="96">
        <f t="shared" si="190"/>
        <v>0.57599999999999763</v>
      </c>
      <c r="D476" s="96">
        <f t="shared" si="187"/>
        <v>21.563009323859887</v>
      </c>
      <c r="E476" s="96">
        <f t="shared" si="188"/>
        <v>6.2513636046554216E-2</v>
      </c>
      <c r="F476" s="96">
        <f t="shared" si="186"/>
        <v>0.90486224302456941</v>
      </c>
      <c r="G476" s="96">
        <f t="shared" si="189"/>
        <v>0.78886224302456942</v>
      </c>
      <c r="I476" s="96">
        <f t="shared" si="191"/>
        <v>0</v>
      </c>
      <c r="J476" s="96">
        <f t="shared" si="192"/>
        <v>0.57599999999999763</v>
      </c>
      <c r="Y476" s="96">
        <f t="shared" si="203"/>
        <v>53</v>
      </c>
      <c r="Z476" s="96">
        <v>0.214</v>
      </c>
      <c r="AA476" s="272">
        <f t="shared" si="204"/>
        <v>53</v>
      </c>
      <c r="AB476" s="519">
        <f t="shared" si="205"/>
        <v>50.329183605914849</v>
      </c>
      <c r="AC476" s="272">
        <f t="shared" si="193"/>
        <v>50</v>
      </c>
      <c r="AD476" s="272">
        <f t="shared" si="194"/>
        <v>52.855832993566928</v>
      </c>
      <c r="AE476" s="272">
        <f t="shared" si="206"/>
        <v>51</v>
      </c>
      <c r="AF476" s="272">
        <f t="shared" si="195"/>
        <v>52.804512520287844</v>
      </c>
      <c r="AG476" s="272">
        <f t="shared" si="207"/>
        <v>52</v>
      </c>
      <c r="AH476" s="272">
        <f t="shared" si="196"/>
        <v>52.755234809732777</v>
      </c>
      <c r="AI476" s="272">
        <f t="shared" si="208"/>
        <v>52</v>
      </c>
      <c r="AJ476" s="272">
        <f t="shared" si="197"/>
        <v>52.755234809732777</v>
      </c>
      <c r="AK476" s="272">
        <f t="shared" si="209"/>
        <v>52</v>
      </c>
      <c r="AL476" s="272">
        <f t="shared" si="198"/>
        <v>52.755234809732777</v>
      </c>
      <c r="AM476" s="272">
        <f t="shared" si="210"/>
        <v>52</v>
      </c>
      <c r="AN476" s="272">
        <f t="shared" si="199"/>
        <v>52.755234809732777</v>
      </c>
      <c r="AO476" s="272">
        <f t="shared" si="211"/>
        <v>52</v>
      </c>
      <c r="AP476" s="272">
        <f t="shared" si="200"/>
        <v>52.755234809732777</v>
      </c>
      <c r="AQ476" s="272">
        <f t="shared" si="212"/>
        <v>52</v>
      </c>
      <c r="AR476" s="272">
        <f t="shared" si="201"/>
        <v>52.755234809732777</v>
      </c>
      <c r="AS476" s="272">
        <f t="shared" si="213"/>
        <v>52</v>
      </c>
      <c r="AT476" s="508">
        <f t="shared" si="202"/>
        <v>52.755234809732777</v>
      </c>
    </row>
    <row r="477" spans="1:46" ht="12.75" customHeight="1">
      <c r="A477" s="96">
        <f>IF(MAX($F$93:F477)=$G$88,$G$88,F477)</f>
        <v>3.2057712852183653</v>
      </c>
      <c r="B477" s="481">
        <v>385</v>
      </c>
      <c r="C477" s="96">
        <f t="shared" si="190"/>
        <v>0.57749999999999757</v>
      </c>
      <c r="D477" s="96">
        <f t="shared" si="187"/>
        <v>21.675462897604241</v>
      </c>
      <c r="E477" s="96">
        <f t="shared" si="188"/>
        <v>6.0598787776151165E-2</v>
      </c>
      <c r="F477" s="96">
        <f t="shared" ref="F477:F540" si="214">IF($E$12&lt;$F$90,NA(),$E$87*(E476-E478)/(2*$C$88))</f>
        <v>0.88250748862997253</v>
      </c>
      <c r="G477" s="96">
        <f t="shared" si="189"/>
        <v>0.76650748862997253</v>
      </c>
      <c r="I477" s="96">
        <f t="shared" si="191"/>
        <v>0</v>
      </c>
      <c r="J477" s="96">
        <f t="shared" si="192"/>
        <v>0.57749999999999757</v>
      </c>
      <c r="Y477" s="96">
        <f t="shared" si="203"/>
        <v>54</v>
      </c>
      <c r="Z477" s="96">
        <v>0.21199999999999999</v>
      </c>
      <c r="AA477" s="272">
        <f t="shared" si="204"/>
        <v>54</v>
      </c>
      <c r="AB477" s="519">
        <f t="shared" si="205"/>
        <v>51.283270123186121</v>
      </c>
      <c r="AC477" s="272">
        <f t="shared" si="193"/>
        <v>51</v>
      </c>
      <c r="AD477" s="272">
        <f t="shared" si="194"/>
        <v>53.805523660090387</v>
      </c>
      <c r="AE477" s="272">
        <f t="shared" si="206"/>
        <v>52</v>
      </c>
      <c r="AF477" s="272">
        <f t="shared" si="195"/>
        <v>53.755311795712942</v>
      </c>
      <c r="AG477" s="272">
        <f t="shared" si="207"/>
        <v>53</v>
      </c>
      <c r="AH477" s="272">
        <f t="shared" si="196"/>
        <v>53.707059595664703</v>
      </c>
      <c r="AI477" s="272">
        <f t="shared" si="208"/>
        <v>53</v>
      </c>
      <c r="AJ477" s="272">
        <f t="shared" si="197"/>
        <v>53.707059595664703</v>
      </c>
      <c r="AK477" s="272">
        <f t="shared" si="209"/>
        <v>53</v>
      </c>
      <c r="AL477" s="272">
        <f t="shared" si="198"/>
        <v>53.707059595664703</v>
      </c>
      <c r="AM477" s="272">
        <f t="shared" si="210"/>
        <v>53</v>
      </c>
      <c r="AN477" s="272">
        <f t="shared" si="199"/>
        <v>53.707059595664703</v>
      </c>
      <c r="AO477" s="272">
        <f t="shared" si="211"/>
        <v>53</v>
      </c>
      <c r="AP477" s="272">
        <f t="shared" si="200"/>
        <v>53.707059595664703</v>
      </c>
      <c r="AQ477" s="272">
        <f t="shared" si="212"/>
        <v>53</v>
      </c>
      <c r="AR477" s="272">
        <f t="shared" si="201"/>
        <v>53.707059595664703</v>
      </c>
      <c r="AS477" s="272">
        <f t="shared" si="213"/>
        <v>53</v>
      </c>
      <c r="AT477" s="508">
        <f t="shared" si="202"/>
        <v>53.707059595664703</v>
      </c>
    </row>
    <row r="478" spans="1:46" ht="12.75" customHeight="1">
      <c r="A478" s="96">
        <f>IF(MAX($F$93:F478)=$G$88,$G$88,F478)</f>
        <v>3.2057712852183653</v>
      </c>
      <c r="B478" s="481">
        <v>386</v>
      </c>
      <c r="C478" s="96">
        <f t="shared" si="190"/>
        <v>0.57899999999999752</v>
      </c>
      <c r="D478" s="96">
        <f t="shared" ref="D478:D541" si="215">C478^2/$C$85</f>
        <v>21.788208938380443</v>
      </c>
      <c r="E478" s="96">
        <f t="shared" ref="E478:E541" si="216">CHIDIST(D478,$E$85)</f>
        <v>5.8731461095282905E-2</v>
      </c>
      <c r="F478" s="96">
        <f t="shared" si="214"/>
        <v>0.86050950012485217</v>
      </c>
      <c r="G478" s="96">
        <f t="shared" ref="G478:G541" si="217">F478-$G$90</f>
        <v>0.74450950012485217</v>
      </c>
      <c r="I478" s="96">
        <f t="shared" si="191"/>
        <v>0</v>
      </c>
      <c r="J478" s="96">
        <f t="shared" si="192"/>
        <v>0.57899999999999752</v>
      </c>
      <c r="Y478" s="96">
        <f t="shared" si="203"/>
        <v>55</v>
      </c>
      <c r="Z478" s="96">
        <v>0.21</v>
      </c>
      <c r="AA478" s="272">
        <f t="shared" si="204"/>
        <v>55</v>
      </c>
      <c r="AB478" s="519">
        <f t="shared" si="205"/>
        <v>52.264745859784057</v>
      </c>
      <c r="AC478" s="272">
        <f t="shared" si="193"/>
        <v>52</v>
      </c>
      <c r="AD478" s="272">
        <f t="shared" si="194"/>
        <v>54.784098261825889</v>
      </c>
      <c r="AE478" s="272">
        <f t="shared" si="206"/>
        <v>53</v>
      </c>
      <c r="AF478" s="272">
        <f t="shared" si="195"/>
        <v>54.734922595636149</v>
      </c>
      <c r="AG478" s="272">
        <f t="shared" si="207"/>
        <v>54</v>
      </c>
      <c r="AH478" s="272">
        <f t="shared" si="196"/>
        <v>54.68763139191902</v>
      </c>
      <c r="AI478" s="272">
        <f t="shared" si="208"/>
        <v>54</v>
      </c>
      <c r="AJ478" s="272">
        <f t="shared" si="197"/>
        <v>54.68763139191902</v>
      </c>
      <c r="AK478" s="272">
        <f t="shared" si="209"/>
        <v>54</v>
      </c>
      <c r="AL478" s="272">
        <f t="shared" si="198"/>
        <v>54.68763139191902</v>
      </c>
      <c r="AM478" s="272">
        <f t="shared" si="210"/>
        <v>54</v>
      </c>
      <c r="AN478" s="272">
        <f t="shared" si="199"/>
        <v>54.68763139191902</v>
      </c>
      <c r="AO478" s="272">
        <f t="shared" si="211"/>
        <v>54</v>
      </c>
      <c r="AP478" s="272">
        <f t="shared" si="200"/>
        <v>54.68763139191902</v>
      </c>
      <c r="AQ478" s="272">
        <f t="shared" si="212"/>
        <v>54</v>
      </c>
      <c r="AR478" s="272">
        <f t="shared" si="201"/>
        <v>54.68763139191902</v>
      </c>
      <c r="AS478" s="272">
        <f t="shared" si="213"/>
        <v>54</v>
      </c>
      <c r="AT478" s="508">
        <f t="shared" si="202"/>
        <v>54.68763139191902</v>
      </c>
    </row>
    <row r="479" spans="1:46" ht="12.75" customHeight="1">
      <c r="A479" s="96">
        <f>IF(MAX($F$93:F479)=$G$88,$G$88,F479)</f>
        <v>3.2057712852183653</v>
      </c>
      <c r="B479" s="481">
        <v>387</v>
      </c>
      <c r="C479" s="96">
        <f t="shared" si="190"/>
        <v>0.58049999999999746</v>
      </c>
      <c r="D479" s="96">
        <f t="shared" si="215"/>
        <v>21.901247446188489</v>
      </c>
      <c r="E479" s="96">
        <f t="shared" si="216"/>
        <v>5.6910889918473227E-2</v>
      </c>
      <c r="F479" s="96">
        <f t="shared" si="214"/>
        <v>0.83886960514869535</v>
      </c>
      <c r="G479" s="96">
        <f t="shared" si="217"/>
        <v>0.72286960514869536</v>
      </c>
      <c r="I479" s="96">
        <f t="shared" si="191"/>
        <v>0</v>
      </c>
      <c r="J479" s="96">
        <f t="shared" si="192"/>
        <v>0.58049999999999746</v>
      </c>
      <c r="Y479" s="96">
        <f t="shared" si="203"/>
        <v>56</v>
      </c>
      <c r="Z479" s="96">
        <v>0.20799999999999999</v>
      </c>
      <c r="AA479" s="272">
        <f t="shared" si="204"/>
        <v>56</v>
      </c>
      <c r="AB479" s="519">
        <f t="shared" si="205"/>
        <v>53.274669295869003</v>
      </c>
      <c r="AC479" s="272">
        <f t="shared" si="193"/>
        <v>53</v>
      </c>
      <c r="AD479" s="272">
        <f t="shared" si="194"/>
        <v>55.792577812212336</v>
      </c>
      <c r="AE479" s="272">
        <f t="shared" si="206"/>
        <v>54</v>
      </c>
      <c r="AF479" s="272">
        <f t="shared" si="195"/>
        <v>55.744372789932257</v>
      </c>
      <c r="AG479" s="272">
        <f t="shared" si="207"/>
        <v>55</v>
      </c>
      <c r="AH479" s="272">
        <f t="shared" si="196"/>
        <v>55.697976668880031</v>
      </c>
      <c r="AI479" s="272">
        <f t="shared" si="208"/>
        <v>55</v>
      </c>
      <c r="AJ479" s="272">
        <f t="shared" si="197"/>
        <v>55.697976668880031</v>
      </c>
      <c r="AK479" s="272">
        <f t="shared" si="209"/>
        <v>55</v>
      </c>
      <c r="AL479" s="272">
        <f t="shared" si="198"/>
        <v>55.697976668880031</v>
      </c>
      <c r="AM479" s="272">
        <f t="shared" si="210"/>
        <v>55</v>
      </c>
      <c r="AN479" s="272">
        <f t="shared" si="199"/>
        <v>55.697976668880031</v>
      </c>
      <c r="AO479" s="272">
        <f t="shared" si="211"/>
        <v>55</v>
      </c>
      <c r="AP479" s="272">
        <f t="shared" si="200"/>
        <v>55.697976668880031</v>
      </c>
      <c r="AQ479" s="272">
        <f t="shared" si="212"/>
        <v>55</v>
      </c>
      <c r="AR479" s="272">
        <f t="shared" si="201"/>
        <v>55.697976668880031</v>
      </c>
      <c r="AS479" s="272">
        <f t="shared" si="213"/>
        <v>55</v>
      </c>
      <c r="AT479" s="508">
        <f t="shared" si="202"/>
        <v>55.697976668880031</v>
      </c>
    </row>
    <row r="480" spans="1:46" ht="12.75" customHeight="1">
      <c r="A480" s="96">
        <f>IF(MAX($F$93:F480)=$G$88,$G$88,F480)</f>
        <v>3.2057712852183653</v>
      </c>
      <c r="B480" s="481">
        <v>388</v>
      </c>
      <c r="C480" s="96">
        <f t="shared" si="190"/>
        <v>0.58199999999999741</v>
      </c>
      <c r="D480" s="96">
        <f t="shared" si="215"/>
        <v>22.014578421028379</v>
      </c>
      <c r="E480" s="96">
        <f t="shared" si="216"/>
        <v>5.5136305644645639E-2</v>
      </c>
      <c r="F480" s="96">
        <f t="shared" si="214"/>
        <v>0.81758882787446185</v>
      </c>
      <c r="G480" s="96">
        <f t="shared" si="217"/>
        <v>0.70158882787446186</v>
      </c>
      <c r="I480" s="96">
        <f t="shared" si="191"/>
        <v>0</v>
      </c>
      <c r="J480" s="96">
        <f t="shared" si="192"/>
        <v>0.58199999999999741</v>
      </c>
      <c r="Y480" s="96">
        <f t="shared" si="203"/>
        <v>57</v>
      </c>
      <c r="Z480" s="96">
        <v>0.20599999999999999</v>
      </c>
      <c r="AA480" s="272">
        <f t="shared" si="204"/>
        <v>57</v>
      </c>
      <c r="AB480" s="519">
        <f t="shared" si="205"/>
        <v>54.314150542380922</v>
      </c>
      <c r="AC480" s="272">
        <f t="shared" si="193"/>
        <v>54</v>
      </c>
      <c r="AD480" s="272">
        <f t="shared" si="194"/>
        <v>56.832042237336907</v>
      </c>
      <c r="AE480" s="272">
        <f t="shared" si="206"/>
        <v>55</v>
      </c>
      <c r="AF480" s="272">
        <f t="shared" si="195"/>
        <v>56.784740847450884</v>
      </c>
      <c r="AG480" s="272">
        <f t="shared" si="207"/>
        <v>56</v>
      </c>
      <c r="AH480" s="272">
        <f t="shared" si="196"/>
        <v>56.739183509059622</v>
      </c>
      <c r="AI480" s="272">
        <f t="shared" si="208"/>
        <v>56</v>
      </c>
      <c r="AJ480" s="272">
        <f t="shared" si="197"/>
        <v>56.739183509059622</v>
      </c>
      <c r="AK480" s="272">
        <f t="shared" si="209"/>
        <v>56</v>
      </c>
      <c r="AL480" s="272">
        <f t="shared" si="198"/>
        <v>56.739183509059622</v>
      </c>
      <c r="AM480" s="272">
        <f t="shared" si="210"/>
        <v>56</v>
      </c>
      <c r="AN480" s="272">
        <f t="shared" si="199"/>
        <v>56.739183509059622</v>
      </c>
      <c r="AO480" s="272">
        <f t="shared" si="211"/>
        <v>56</v>
      </c>
      <c r="AP480" s="272">
        <f t="shared" si="200"/>
        <v>56.739183509059622</v>
      </c>
      <c r="AQ480" s="272">
        <f t="shared" si="212"/>
        <v>56</v>
      </c>
      <c r="AR480" s="272">
        <f t="shared" si="201"/>
        <v>56.739183509059622</v>
      </c>
      <c r="AS480" s="272">
        <f t="shared" si="213"/>
        <v>56</v>
      </c>
      <c r="AT480" s="508">
        <f t="shared" si="202"/>
        <v>56.739183509059622</v>
      </c>
    </row>
    <row r="481" spans="1:46" ht="12.75" customHeight="1">
      <c r="A481" s="96">
        <f>IF(MAX($F$93:F481)=$G$88,$G$88,F481)</f>
        <v>3.2057712852183653</v>
      </c>
      <c r="B481" s="481">
        <v>389</v>
      </c>
      <c r="C481" s="96">
        <f t="shared" si="190"/>
        <v>0.58349999999999735</v>
      </c>
      <c r="D481" s="96">
        <f t="shared" si="215"/>
        <v>22.128201862900116</v>
      </c>
      <c r="E481" s="96">
        <f t="shared" si="216"/>
        <v>5.3406937799011248E-2</v>
      </c>
      <c r="F481" s="96">
        <f t="shared" si="214"/>
        <v>0.79666789690975515</v>
      </c>
      <c r="G481" s="96">
        <f t="shared" si="217"/>
        <v>0.68066789690975515</v>
      </c>
      <c r="I481" s="96">
        <f t="shared" si="191"/>
        <v>0</v>
      </c>
      <c r="J481" s="96">
        <f t="shared" si="192"/>
        <v>0.58349999999999735</v>
      </c>
      <c r="Y481" s="96">
        <f t="shared" si="203"/>
        <v>58</v>
      </c>
      <c r="Z481" s="96">
        <v>0.20399999999999999</v>
      </c>
      <c r="AA481" s="272">
        <f t="shared" si="204"/>
        <v>58</v>
      </c>
      <c r="AB481" s="519">
        <f t="shared" si="205"/>
        <v>55.384354392937261</v>
      </c>
      <c r="AC481" s="272">
        <f t="shared" si="193"/>
        <v>55</v>
      </c>
      <c r="AD481" s="272">
        <f t="shared" si="194"/>
        <v>57.903625110592699</v>
      </c>
      <c r="AE481" s="272">
        <f t="shared" si="206"/>
        <v>56</v>
      </c>
      <c r="AF481" s="272">
        <f t="shared" si="195"/>
        <v>57.857170112227365</v>
      </c>
      <c r="AG481" s="272">
        <f t="shared" si="207"/>
        <v>57</v>
      </c>
      <c r="AH481" s="272">
        <f t="shared" si="196"/>
        <v>57.812396972776043</v>
      </c>
      <c r="AI481" s="272">
        <f t="shared" si="208"/>
        <v>57</v>
      </c>
      <c r="AJ481" s="272">
        <f t="shared" si="197"/>
        <v>57.812396972776043</v>
      </c>
      <c r="AK481" s="272">
        <f t="shared" si="209"/>
        <v>57</v>
      </c>
      <c r="AL481" s="272">
        <f t="shared" si="198"/>
        <v>57.812396972776043</v>
      </c>
      <c r="AM481" s="272">
        <f t="shared" si="210"/>
        <v>57</v>
      </c>
      <c r="AN481" s="272">
        <f t="shared" si="199"/>
        <v>57.812396972776043</v>
      </c>
      <c r="AO481" s="272">
        <f t="shared" si="211"/>
        <v>57</v>
      </c>
      <c r="AP481" s="272">
        <f t="shared" si="200"/>
        <v>57.812396972776043</v>
      </c>
      <c r="AQ481" s="272">
        <f t="shared" si="212"/>
        <v>57</v>
      </c>
      <c r="AR481" s="272">
        <f t="shared" si="201"/>
        <v>57.812396972776043</v>
      </c>
      <c r="AS481" s="272">
        <f t="shared" si="213"/>
        <v>57</v>
      </c>
      <c r="AT481" s="508">
        <f t="shared" si="202"/>
        <v>57.812396972776043</v>
      </c>
    </row>
    <row r="482" spans="1:46" ht="12.75" customHeight="1">
      <c r="A482" s="96">
        <f>IF(MAX($F$93:F482)=$G$88,$G$88,F482)</f>
        <v>3.2057712852183653</v>
      </c>
      <c r="B482" s="481">
        <v>390</v>
      </c>
      <c r="C482" s="96">
        <f t="shared" si="190"/>
        <v>0.5849999999999973</v>
      </c>
      <c r="D482" s="96">
        <f t="shared" si="215"/>
        <v>22.242117771803695</v>
      </c>
      <c r="E482" s="96">
        <f t="shared" si="216"/>
        <v>5.1722014657889545E-2</v>
      </c>
      <c r="F482" s="96">
        <f t="shared" si="214"/>
        <v>0.77610725331684904</v>
      </c>
      <c r="G482" s="96">
        <f t="shared" si="217"/>
        <v>0.66010725331684905</v>
      </c>
      <c r="I482" s="96">
        <f t="shared" si="191"/>
        <v>0</v>
      </c>
      <c r="J482" s="96">
        <f t="shared" si="192"/>
        <v>0.5849999999999973</v>
      </c>
      <c r="Y482" s="96">
        <f t="shared" si="203"/>
        <v>59</v>
      </c>
      <c r="Z482" s="96">
        <v>0.20200000000000001</v>
      </c>
      <c r="AA482" s="272">
        <f t="shared" si="204"/>
        <v>59</v>
      </c>
      <c r="AB482" s="519">
        <f t="shared" si="205"/>
        <v>56.486503588287334</v>
      </c>
      <c r="AC482" s="272">
        <f t="shared" si="193"/>
        <v>56</v>
      </c>
      <c r="AD482" s="272">
        <f t="shared" si="194"/>
        <v>59.008528364632241</v>
      </c>
      <c r="AE482" s="272">
        <f t="shared" si="206"/>
        <v>57</v>
      </c>
      <c r="AF482" s="272">
        <f t="shared" si="195"/>
        <v>58.962864239266906</v>
      </c>
      <c r="AG482" s="272">
        <f t="shared" si="207"/>
        <v>58</v>
      </c>
      <c r="AH482" s="272">
        <f t="shared" si="196"/>
        <v>58.918823963975974</v>
      </c>
      <c r="AI482" s="272">
        <f t="shared" si="208"/>
        <v>58</v>
      </c>
      <c r="AJ482" s="272">
        <f t="shared" si="197"/>
        <v>58.918823963975974</v>
      </c>
      <c r="AK482" s="272">
        <f t="shared" si="209"/>
        <v>58</v>
      </c>
      <c r="AL482" s="272">
        <f t="shared" si="198"/>
        <v>58.918823963975974</v>
      </c>
      <c r="AM482" s="272">
        <f t="shared" si="210"/>
        <v>58</v>
      </c>
      <c r="AN482" s="272">
        <f t="shared" si="199"/>
        <v>58.918823963975974</v>
      </c>
      <c r="AO482" s="272">
        <f t="shared" si="211"/>
        <v>58</v>
      </c>
      <c r="AP482" s="272">
        <f t="shared" si="200"/>
        <v>58.918823963975974</v>
      </c>
      <c r="AQ482" s="272">
        <f t="shared" si="212"/>
        <v>58</v>
      </c>
      <c r="AR482" s="272">
        <f t="shared" si="201"/>
        <v>58.918823963975974</v>
      </c>
      <c r="AS482" s="272">
        <f t="shared" si="213"/>
        <v>58</v>
      </c>
      <c r="AT482" s="508">
        <f t="shared" si="202"/>
        <v>58.918823963975974</v>
      </c>
    </row>
    <row r="483" spans="1:46" ht="12.75" customHeight="1">
      <c r="A483" s="96">
        <f>IF(MAX($F$93:F483)=$G$88,$G$88,F483)</f>
        <v>3.2057712852183653</v>
      </c>
      <c r="B483" s="481">
        <v>391</v>
      </c>
      <c r="C483" s="96">
        <f t="shared" si="190"/>
        <v>0.58649999999999725</v>
      </c>
      <c r="D483" s="96">
        <f t="shared" si="215"/>
        <v>22.356326147739122</v>
      </c>
      <c r="E483" s="96">
        <f t="shared" si="216"/>
        <v>5.0080763856224751E-2</v>
      </c>
      <c r="F483" s="96">
        <f t="shared" si="214"/>
        <v>0.75590705873603004</v>
      </c>
      <c r="G483" s="96">
        <f t="shared" si="217"/>
        <v>0.63990705873603004</v>
      </c>
      <c r="I483" s="96">
        <f t="shared" si="191"/>
        <v>0</v>
      </c>
      <c r="J483" s="96">
        <f t="shared" si="192"/>
        <v>0.58649999999999725</v>
      </c>
      <c r="Y483" s="96">
        <f t="shared" si="203"/>
        <v>61</v>
      </c>
      <c r="Z483" s="96">
        <v>0.2</v>
      </c>
      <c r="AA483" s="272">
        <f t="shared" si="204"/>
        <v>61</v>
      </c>
      <c r="AB483" s="519">
        <f t="shared" si="205"/>
        <v>57.621882310411898</v>
      </c>
      <c r="AC483" s="272">
        <f t="shared" si="193"/>
        <v>57</v>
      </c>
      <c r="AD483" s="272">
        <f t="shared" si="194"/>
        <v>60.148017810476183</v>
      </c>
      <c r="AE483" s="272">
        <f t="shared" si="206"/>
        <v>58</v>
      </c>
      <c r="AF483" s="272">
        <f t="shared" si="195"/>
        <v>60.1030923256519</v>
      </c>
      <c r="AG483" s="272">
        <f t="shared" si="207"/>
        <v>59</v>
      </c>
      <c r="AH483" s="272">
        <f t="shared" si="196"/>
        <v>60.059736531970131</v>
      </c>
      <c r="AI483" s="272">
        <f t="shared" si="208"/>
        <v>60</v>
      </c>
      <c r="AJ483" s="272">
        <f t="shared" si="197"/>
        <v>60.017869590083393</v>
      </c>
      <c r="AK483" s="272">
        <f t="shared" si="209"/>
        <v>60</v>
      </c>
      <c r="AL483" s="272">
        <f t="shared" si="198"/>
        <v>60.017869590083393</v>
      </c>
      <c r="AM483" s="272">
        <f t="shared" si="210"/>
        <v>60</v>
      </c>
      <c r="AN483" s="272">
        <f t="shared" si="199"/>
        <v>60.017869590083393</v>
      </c>
      <c r="AO483" s="272">
        <f t="shared" si="211"/>
        <v>60</v>
      </c>
      <c r="AP483" s="272">
        <f t="shared" si="200"/>
        <v>60.017869590083393</v>
      </c>
      <c r="AQ483" s="272">
        <f t="shared" si="212"/>
        <v>60</v>
      </c>
      <c r="AR483" s="272">
        <f t="shared" si="201"/>
        <v>60.017869590083393</v>
      </c>
      <c r="AS483" s="272">
        <f t="shared" si="213"/>
        <v>60</v>
      </c>
      <c r="AT483" s="508">
        <f t="shared" si="202"/>
        <v>60.017869590083393</v>
      </c>
    </row>
    <row r="484" spans="1:46" ht="12.75" customHeight="1">
      <c r="A484" s="96">
        <f>IF(MAX($F$93:F484)=$G$88,$G$88,F484)</f>
        <v>3.2057712852183653</v>
      </c>
      <c r="B484" s="481">
        <v>392</v>
      </c>
      <c r="C484" s="96">
        <f t="shared" si="190"/>
        <v>0.58799999999999719</v>
      </c>
      <c r="D484" s="96">
        <f t="shared" si="215"/>
        <v>22.470826990706392</v>
      </c>
      <c r="E484" s="96">
        <f t="shared" si="216"/>
        <v>4.8482412977592274E-2</v>
      </c>
      <c r="F484" s="96">
        <f t="shared" si="214"/>
        <v>0.73606720359800937</v>
      </c>
      <c r="G484" s="96">
        <f t="shared" si="217"/>
        <v>0.62006720359800938</v>
      </c>
      <c r="I484" s="96">
        <f t="shared" si="191"/>
        <v>0</v>
      </c>
      <c r="J484" s="96">
        <f t="shared" si="192"/>
        <v>0.58799999999999719</v>
      </c>
      <c r="Y484" s="96">
        <f t="shared" si="203"/>
        <v>62</v>
      </c>
      <c r="Z484" s="96">
        <v>0.19800000000000001</v>
      </c>
      <c r="AA484" s="272">
        <f t="shared" si="204"/>
        <v>62</v>
      </c>
      <c r="AB484" s="519">
        <f t="shared" si="205"/>
        <v>58.791839924917767</v>
      </c>
      <c r="AC484" s="272">
        <f t="shared" si="193"/>
        <v>58</v>
      </c>
      <c r="AD484" s="272">
        <f t="shared" si="194"/>
        <v>61.323428553873988</v>
      </c>
      <c r="AE484" s="272">
        <f t="shared" si="206"/>
        <v>59</v>
      </c>
      <c r="AF484" s="272">
        <f t="shared" si="195"/>
        <v>61.279192461963213</v>
      </c>
      <c r="AG484" s="272">
        <f t="shared" si="207"/>
        <v>60</v>
      </c>
      <c r="AH484" s="272">
        <f t="shared" si="196"/>
        <v>61.236475451569625</v>
      </c>
      <c r="AI484" s="272">
        <f t="shared" si="208"/>
        <v>61</v>
      </c>
      <c r="AJ484" s="272">
        <f t="shared" si="197"/>
        <v>61.195200609078263</v>
      </c>
      <c r="AK484" s="272">
        <f t="shared" si="209"/>
        <v>61</v>
      </c>
      <c r="AL484" s="272">
        <f t="shared" si="198"/>
        <v>61.195200609078263</v>
      </c>
      <c r="AM484" s="272">
        <f t="shared" si="210"/>
        <v>61</v>
      </c>
      <c r="AN484" s="272">
        <f t="shared" si="199"/>
        <v>61.195200609078263</v>
      </c>
      <c r="AO484" s="272">
        <f t="shared" si="211"/>
        <v>61</v>
      </c>
      <c r="AP484" s="272">
        <f t="shared" si="200"/>
        <v>61.195200609078263</v>
      </c>
      <c r="AQ484" s="272">
        <f t="shared" si="212"/>
        <v>61</v>
      </c>
      <c r="AR484" s="272">
        <f t="shared" si="201"/>
        <v>61.195200609078263</v>
      </c>
      <c r="AS484" s="272">
        <f t="shared" si="213"/>
        <v>61</v>
      </c>
      <c r="AT484" s="508">
        <f t="shared" si="202"/>
        <v>61.195200609078263</v>
      </c>
    </row>
    <row r="485" spans="1:46" ht="12.75" customHeight="1">
      <c r="A485" s="96">
        <f>IF(MAX($F$93:F485)=$G$88,$G$88,F485)</f>
        <v>3.2057712852183653</v>
      </c>
      <c r="B485" s="481">
        <v>393</v>
      </c>
      <c r="C485" s="96">
        <f t="shared" si="190"/>
        <v>0.58949999999999714</v>
      </c>
      <c r="D485" s="96">
        <f t="shared" si="215"/>
        <v>22.585620300705507</v>
      </c>
      <c r="E485" s="96">
        <f t="shared" si="216"/>
        <v>4.6926190126518996E-2</v>
      </c>
      <c r="F485" s="96">
        <f t="shared" si="214"/>
        <v>0.71658731540998877</v>
      </c>
      <c r="G485" s="96">
        <f t="shared" si="217"/>
        <v>0.60058731540998878</v>
      </c>
      <c r="I485" s="96">
        <f t="shared" si="191"/>
        <v>0</v>
      </c>
      <c r="J485" s="96">
        <f t="shared" si="192"/>
        <v>0.58949999999999714</v>
      </c>
      <c r="Y485" s="96">
        <f t="shared" si="203"/>
        <v>63</v>
      </c>
      <c r="Z485" s="96">
        <v>0.19600000000000001</v>
      </c>
      <c r="AA485" s="272">
        <f t="shared" si="204"/>
        <v>63</v>
      </c>
      <c r="AB485" s="519">
        <f t="shared" si="205"/>
        <v>59.997794992099024</v>
      </c>
      <c r="AC485" s="272">
        <f t="shared" si="193"/>
        <v>59</v>
      </c>
      <c r="AD485" s="272">
        <f t="shared" si="194"/>
        <v>62.536168817128434</v>
      </c>
      <c r="AE485" s="272">
        <f t="shared" si="206"/>
        <v>60</v>
      </c>
      <c r="AF485" s="272">
        <f t="shared" si="195"/>
        <v>62.492575583177214</v>
      </c>
      <c r="AG485" s="272">
        <f t="shared" si="207"/>
        <v>61</v>
      </c>
      <c r="AH485" s="272">
        <f t="shared" si="196"/>
        <v>62.45045409928948</v>
      </c>
      <c r="AI485" s="272">
        <f t="shared" si="208"/>
        <v>62</v>
      </c>
      <c r="AJ485" s="272">
        <f t="shared" si="197"/>
        <v>62.409731084176009</v>
      </c>
      <c r="AK485" s="272">
        <f t="shared" si="209"/>
        <v>62</v>
      </c>
      <c r="AL485" s="272">
        <f t="shared" si="198"/>
        <v>62.409731084176009</v>
      </c>
      <c r="AM485" s="272">
        <f t="shared" si="210"/>
        <v>62</v>
      </c>
      <c r="AN485" s="272">
        <f t="shared" si="199"/>
        <v>62.409731084176009</v>
      </c>
      <c r="AO485" s="272">
        <f t="shared" si="211"/>
        <v>62</v>
      </c>
      <c r="AP485" s="272">
        <f t="shared" si="200"/>
        <v>62.409731084176009</v>
      </c>
      <c r="AQ485" s="272">
        <f t="shared" si="212"/>
        <v>62</v>
      </c>
      <c r="AR485" s="272">
        <f t="shared" si="201"/>
        <v>62.409731084176009</v>
      </c>
      <c r="AS485" s="272">
        <f t="shared" si="213"/>
        <v>62</v>
      </c>
      <c r="AT485" s="508">
        <f t="shared" si="202"/>
        <v>62.409731084176009</v>
      </c>
    </row>
    <row r="486" spans="1:46" ht="12.75" customHeight="1">
      <c r="A486" s="96">
        <f>IF(MAX($F$93:F486)=$G$88,$G$88,F486)</f>
        <v>3.2057712852183653</v>
      </c>
      <c r="B486" s="481">
        <v>394</v>
      </c>
      <c r="C486" s="96">
        <f t="shared" si="190"/>
        <v>0.59099999999999708</v>
      </c>
      <c r="D486" s="96">
        <f t="shared" si="215"/>
        <v>22.700706077736466</v>
      </c>
      <c r="E486" s="96">
        <f t="shared" si="216"/>
        <v>4.5411324482978035E-2</v>
      </c>
      <c r="F486" s="96">
        <f t="shared" si="214"/>
        <v>0.69746676710134126</v>
      </c>
      <c r="G486" s="96">
        <f t="shared" si="217"/>
        <v>0.58146676710134126</v>
      </c>
      <c r="I486" s="96">
        <f t="shared" si="191"/>
        <v>0</v>
      </c>
      <c r="J486" s="96">
        <f t="shared" si="192"/>
        <v>0.59099999999999708</v>
      </c>
      <c r="Y486" s="96">
        <f t="shared" si="203"/>
        <v>64</v>
      </c>
      <c r="Z486" s="96">
        <v>0.19400000000000001</v>
      </c>
      <c r="AA486" s="272">
        <f t="shared" si="204"/>
        <v>64</v>
      </c>
      <c r="AB486" s="519">
        <f t="shared" si="205"/>
        <v>61.241239568936024</v>
      </c>
      <c r="AC486" s="272">
        <f t="shared" si="193"/>
        <v>61</v>
      </c>
      <c r="AD486" s="272">
        <f t="shared" si="194"/>
        <v>63.744729638598805</v>
      </c>
      <c r="AE486" s="272">
        <f t="shared" si="206"/>
        <v>62</v>
      </c>
      <c r="AF486" s="272">
        <f t="shared" si="195"/>
        <v>63.703162645597445</v>
      </c>
      <c r="AG486" s="272">
        <f t="shared" si="207"/>
        <v>63</v>
      </c>
      <c r="AH486" s="272">
        <f t="shared" si="196"/>
        <v>63.662953188390517</v>
      </c>
      <c r="AI486" s="272">
        <f t="shared" si="208"/>
        <v>63</v>
      </c>
      <c r="AJ486" s="272">
        <f t="shared" si="197"/>
        <v>63.662953188390517</v>
      </c>
      <c r="AK486" s="272">
        <f t="shared" si="209"/>
        <v>63</v>
      </c>
      <c r="AL486" s="272">
        <f t="shared" si="198"/>
        <v>63.662953188390517</v>
      </c>
      <c r="AM486" s="272">
        <f t="shared" si="210"/>
        <v>63</v>
      </c>
      <c r="AN486" s="272">
        <f t="shared" si="199"/>
        <v>63.662953188390517</v>
      </c>
      <c r="AO486" s="272">
        <f t="shared" si="211"/>
        <v>63</v>
      </c>
      <c r="AP486" s="272">
        <f t="shared" si="200"/>
        <v>63.662953188390517</v>
      </c>
      <c r="AQ486" s="272">
        <f t="shared" si="212"/>
        <v>63</v>
      </c>
      <c r="AR486" s="272">
        <f t="shared" si="201"/>
        <v>63.662953188390517</v>
      </c>
      <c r="AS486" s="272">
        <f t="shared" si="213"/>
        <v>63</v>
      </c>
      <c r="AT486" s="508">
        <f t="shared" si="202"/>
        <v>63.662953188390517</v>
      </c>
    </row>
    <row r="487" spans="1:46" ht="12.75" customHeight="1">
      <c r="A487" s="96">
        <f>IF(MAX($F$93:F487)=$G$88,$G$88,F487)</f>
        <v>3.2057712852183653</v>
      </c>
      <c r="B487" s="481">
        <v>395</v>
      </c>
      <c r="C487" s="96">
        <f t="shared" si="190"/>
        <v>0.59249999999999703</v>
      </c>
      <c r="D487" s="96">
        <f t="shared" si="215"/>
        <v>22.816084321799266</v>
      </c>
      <c r="E487" s="96">
        <f t="shared" si="216"/>
        <v>4.3937046838941819E-2</v>
      </c>
      <c r="F487" s="96">
        <f t="shared" si="214"/>
        <v>0.67870468541519602</v>
      </c>
      <c r="G487" s="96">
        <f t="shared" si="217"/>
        <v>0.56270468541519603</v>
      </c>
      <c r="I487" s="96">
        <f t="shared" si="191"/>
        <v>0</v>
      </c>
      <c r="J487" s="96">
        <f t="shared" si="192"/>
        <v>0.59249999999999703</v>
      </c>
      <c r="Y487" s="96">
        <f t="shared" si="203"/>
        <v>65</v>
      </c>
      <c r="Z487" s="96">
        <v>0.192</v>
      </c>
      <c r="AA487" s="272">
        <f t="shared" si="204"/>
        <v>65</v>
      </c>
      <c r="AB487" s="519">
        <f t="shared" si="205"/>
        <v>62.523743826401798</v>
      </c>
      <c r="AC487" s="272">
        <f t="shared" si="193"/>
        <v>62</v>
      </c>
      <c r="AD487" s="272">
        <f t="shared" si="194"/>
        <v>65.037224102910855</v>
      </c>
      <c r="AE487" s="272">
        <f t="shared" si="206"/>
        <v>63</v>
      </c>
      <c r="AF487" s="272">
        <f t="shared" si="195"/>
        <v>64.996172585673435</v>
      </c>
      <c r="AG487" s="272">
        <f t="shared" si="207"/>
        <v>64</v>
      </c>
      <c r="AH487" s="272">
        <f t="shared" si="196"/>
        <v>64.956440239259535</v>
      </c>
      <c r="AI487" s="272">
        <f t="shared" si="208"/>
        <v>64</v>
      </c>
      <c r="AJ487" s="272">
        <f t="shared" si="197"/>
        <v>64.956440239259535</v>
      </c>
      <c r="AK487" s="272">
        <f t="shared" si="209"/>
        <v>64</v>
      </c>
      <c r="AL487" s="272">
        <f t="shared" si="198"/>
        <v>64.956440239259535</v>
      </c>
      <c r="AM487" s="272">
        <f t="shared" si="210"/>
        <v>64</v>
      </c>
      <c r="AN487" s="272">
        <f t="shared" si="199"/>
        <v>64.956440239259535</v>
      </c>
      <c r="AO487" s="272">
        <f t="shared" si="211"/>
        <v>64</v>
      </c>
      <c r="AP487" s="272">
        <f t="shared" si="200"/>
        <v>64.956440239259535</v>
      </c>
      <c r="AQ487" s="272">
        <f t="shared" si="212"/>
        <v>64</v>
      </c>
      <c r="AR487" s="272">
        <f t="shared" si="201"/>
        <v>64.956440239259535</v>
      </c>
      <c r="AS487" s="272">
        <f t="shared" si="213"/>
        <v>64</v>
      </c>
      <c r="AT487" s="508">
        <f t="shared" si="202"/>
        <v>64.956440239259535</v>
      </c>
    </row>
    <row r="488" spans="1:46" ht="12.75" customHeight="1">
      <c r="A488" s="96">
        <f>IF(MAX($F$93:F488)=$G$88,$G$88,F488)</f>
        <v>3.2057712852183653</v>
      </c>
      <c r="B488" s="481">
        <v>396</v>
      </c>
      <c r="C488" s="96">
        <f t="shared" si="190"/>
        <v>0.59399999999999697</v>
      </c>
      <c r="D488" s="96">
        <f t="shared" si="215"/>
        <v>22.931755032893921</v>
      </c>
      <c r="E488" s="96">
        <f t="shared" si="216"/>
        <v>4.250259011691291E-2</v>
      </c>
      <c r="F488" s="96">
        <f t="shared" si="214"/>
        <v>0.66029995933172747</v>
      </c>
      <c r="G488" s="96">
        <f t="shared" si="217"/>
        <v>0.54429995933172748</v>
      </c>
      <c r="I488" s="96">
        <f t="shared" si="191"/>
        <v>0</v>
      </c>
      <c r="J488" s="96">
        <f t="shared" si="192"/>
        <v>0.59399999999999697</v>
      </c>
      <c r="Y488" s="96">
        <f t="shared" si="203"/>
        <v>67</v>
      </c>
      <c r="Z488" s="96">
        <v>0.19</v>
      </c>
      <c r="AA488" s="272">
        <f t="shared" si="204"/>
        <v>67</v>
      </c>
      <c r="AB488" s="519">
        <f t="shared" si="205"/>
        <v>63.846961008766677</v>
      </c>
      <c r="AC488" s="272">
        <f t="shared" si="193"/>
        <v>63</v>
      </c>
      <c r="AD488" s="272">
        <f t="shared" si="194"/>
        <v>66.371714853137547</v>
      </c>
      <c r="AE488" s="272">
        <f t="shared" si="206"/>
        <v>64</v>
      </c>
      <c r="AF488" s="272">
        <f t="shared" si="195"/>
        <v>66.33114163379679</v>
      </c>
      <c r="AG488" s="272">
        <f t="shared" si="207"/>
        <v>65</v>
      </c>
      <c r="AH488" s="272">
        <f t="shared" si="196"/>
        <v>66.291851608507201</v>
      </c>
      <c r="AI488" s="272">
        <f t="shared" si="208"/>
        <v>66</v>
      </c>
      <c r="AJ488" s="272">
        <f t="shared" si="197"/>
        <v>66.253784859670404</v>
      </c>
      <c r="AK488" s="272">
        <f t="shared" si="209"/>
        <v>66</v>
      </c>
      <c r="AL488" s="272">
        <f t="shared" si="198"/>
        <v>66.253784859670404</v>
      </c>
      <c r="AM488" s="272">
        <f t="shared" si="210"/>
        <v>66</v>
      </c>
      <c r="AN488" s="272">
        <f t="shared" si="199"/>
        <v>66.253784859670404</v>
      </c>
      <c r="AO488" s="272">
        <f t="shared" si="211"/>
        <v>66</v>
      </c>
      <c r="AP488" s="272">
        <f t="shared" si="200"/>
        <v>66.253784859670404</v>
      </c>
      <c r="AQ488" s="272">
        <f t="shared" si="212"/>
        <v>66</v>
      </c>
      <c r="AR488" s="272">
        <f t="shared" si="201"/>
        <v>66.253784859670404</v>
      </c>
      <c r="AS488" s="272">
        <f t="shared" si="213"/>
        <v>66</v>
      </c>
      <c r="AT488" s="508">
        <f t="shared" si="202"/>
        <v>66.253784859670404</v>
      </c>
    </row>
    <row r="489" spans="1:46" ht="12.75" customHeight="1">
      <c r="A489" s="96">
        <f>IF(MAX($F$93:F489)=$G$88,$G$88,F489)</f>
        <v>3.2057712852183653</v>
      </c>
      <c r="B489" s="481">
        <v>397</v>
      </c>
      <c r="C489" s="96">
        <f t="shared" ref="C489:C552" si="218">C488+$C$88</f>
        <v>0.59549999999999692</v>
      </c>
      <c r="D489" s="96">
        <f t="shared" si="215"/>
        <v>23.04771821102041</v>
      </c>
      <c r="E489" s="96">
        <f t="shared" si="216"/>
        <v>4.1107189870377273E-2</v>
      </c>
      <c r="F489" s="96">
        <f t="shared" si="214"/>
        <v>0.64225124851075399</v>
      </c>
      <c r="G489" s="96">
        <f t="shared" si="217"/>
        <v>0.526251248510754</v>
      </c>
      <c r="I489" s="96">
        <f t="shared" si="191"/>
        <v>0</v>
      </c>
      <c r="J489" s="96">
        <f t="shared" si="192"/>
        <v>0.59549999999999692</v>
      </c>
      <c r="Y489" s="96">
        <f t="shared" si="203"/>
        <v>68</v>
      </c>
      <c r="Z489" s="96">
        <v>0.188</v>
      </c>
      <c r="AA489" s="272">
        <f t="shared" si="204"/>
        <v>68</v>
      </c>
      <c r="AB489" s="519">
        <f t="shared" si="205"/>
        <v>65.212632764160148</v>
      </c>
      <c r="AC489" s="272">
        <f t="shared" si="193"/>
        <v>65</v>
      </c>
      <c r="AD489" s="272">
        <f t="shared" si="194"/>
        <v>67.709819009368218</v>
      </c>
      <c r="AE489" s="272">
        <f t="shared" si="206"/>
        <v>66</v>
      </c>
      <c r="AF489" s="272">
        <f t="shared" si="195"/>
        <v>67.670938021562407</v>
      </c>
      <c r="AG489" s="272">
        <f t="shared" si="207"/>
        <v>67</v>
      </c>
      <c r="AH489" s="272">
        <f t="shared" si="196"/>
        <v>67.633249027822714</v>
      </c>
      <c r="AI489" s="272">
        <f t="shared" si="208"/>
        <v>67</v>
      </c>
      <c r="AJ489" s="272">
        <f t="shared" si="197"/>
        <v>67.633249027822714</v>
      </c>
      <c r="AK489" s="272">
        <f t="shared" si="209"/>
        <v>67</v>
      </c>
      <c r="AL489" s="272">
        <f t="shared" si="198"/>
        <v>67.633249027822714</v>
      </c>
      <c r="AM489" s="272">
        <f t="shared" si="210"/>
        <v>67</v>
      </c>
      <c r="AN489" s="272">
        <f t="shared" si="199"/>
        <v>67.633249027822714</v>
      </c>
      <c r="AO489" s="272">
        <f t="shared" si="211"/>
        <v>67</v>
      </c>
      <c r="AP489" s="272">
        <f t="shared" si="200"/>
        <v>67.633249027822714</v>
      </c>
      <c r="AQ489" s="272">
        <f t="shared" si="212"/>
        <v>67</v>
      </c>
      <c r="AR489" s="272">
        <f t="shared" si="201"/>
        <v>67.633249027822714</v>
      </c>
      <c r="AS489" s="272">
        <f t="shared" si="213"/>
        <v>67</v>
      </c>
      <c r="AT489" s="508">
        <f t="shared" si="202"/>
        <v>67.633249027822714</v>
      </c>
    </row>
    <row r="490" spans="1:46" ht="12.75" customHeight="1">
      <c r="A490" s="96">
        <f>IF(MAX($F$93:F490)=$G$88,$G$88,F490)</f>
        <v>3.2057712852183653</v>
      </c>
      <c r="B490" s="481">
        <v>398</v>
      </c>
      <c r="C490" s="96">
        <f t="shared" si="218"/>
        <v>0.59699999999999687</v>
      </c>
      <c r="D490" s="96">
        <f t="shared" si="215"/>
        <v>23.16397385617875</v>
      </c>
      <c r="E490" s="96">
        <f t="shared" si="216"/>
        <v>3.9750084766152535E-2</v>
      </c>
      <c r="F490" s="96">
        <f t="shared" si="214"/>
        <v>0.62455699174059143</v>
      </c>
      <c r="G490" s="96">
        <f t="shared" si="217"/>
        <v>0.50855699174059144</v>
      </c>
      <c r="I490" s="96">
        <f t="shared" si="191"/>
        <v>0</v>
      </c>
      <c r="J490" s="96">
        <f t="shared" si="192"/>
        <v>0.59699999999999687</v>
      </c>
      <c r="Y490" s="96">
        <f t="shared" si="203"/>
        <v>70</v>
      </c>
      <c r="Z490" s="96">
        <v>0.186</v>
      </c>
      <c r="AA490" s="272">
        <f t="shared" si="204"/>
        <v>70</v>
      </c>
      <c r="AB490" s="519">
        <f t="shared" si="205"/>
        <v>66.622594878496841</v>
      </c>
      <c r="AC490" s="272">
        <f t="shared" si="193"/>
        <v>66</v>
      </c>
      <c r="AD490" s="272">
        <f t="shared" si="194"/>
        <v>69.134051145626728</v>
      </c>
      <c r="AE490" s="272">
        <f t="shared" si="206"/>
        <v>67</v>
      </c>
      <c r="AF490" s="272">
        <f t="shared" si="195"/>
        <v>69.095547278279753</v>
      </c>
      <c r="AG490" s="272">
        <f t="shared" si="207"/>
        <v>68</v>
      </c>
      <c r="AH490" s="272">
        <f t="shared" si="196"/>
        <v>69.058206030201205</v>
      </c>
      <c r="AI490" s="272">
        <f t="shared" si="208"/>
        <v>69</v>
      </c>
      <c r="AJ490" s="272">
        <f t="shared" si="197"/>
        <v>69.021975534309348</v>
      </c>
      <c r="AK490" s="272">
        <f t="shared" si="209"/>
        <v>69</v>
      </c>
      <c r="AL490" s="272">
        <f t="shared" si="198"/>
        <v>69.021975534309348</v>
      </c>
      <c r="AM490" s="272">
        <f t="shared" si="210"/>
        <v>69</v>
      </c>
      <c r="AN490" s="272">
        <f t="shared" si="199"/>
        <v>69.021975534309348</v>
      </c>
      <c r="AO490" s="272">
        <f t="shared" si="211"/>
        <v>69</v>
      </c>
      <c r="AP490" s="272">
        <f t="shared" si="200"/>
        <v>69.021975534309348</v>
      </c>
      <c r="AQ490" s="272">
        <f t="shared" si="212"/>
        <v>69</v>
      </c>
      <c r="AR490" s="272">
        <f t="shared" si="201"/>
        <v>69.021975534309348</v>
      </c>
      <c r="AS490" s="272">
        <f t="shared" si="213"/>
        <v>69</v>
      </c>
      <c r="AT490" s="508">
        <f t="shared" si="202"/>
        <v>69.021975534309348</v>
      </c>
    </row>
    <row r="491" spans="1:46" ht="12.75" customHeight="1">
      <c r="A491" s="96">
        <f>IF(MAX($F$93:F491)=$G$88,$G$88,F491)</f>
        <v>3.2057712852183653</v>
      </c>
      <c r="B491" s="481">
        <v>399</v>
      </c>
      <c r="C491" s="96">
        <f t="shared" si="218"/>
        <v>0.59849999999999681</v>
      </c>
      <c r="D491" s="96">
        <f t="shared" si="215"/>
        <v>23.280521968368934</v>
      </c>
      <c r="E491" s="96">
        <f t="shared" si="216"/>
        <v>3.8430517048631881E-2</v>
      </c>
      <c r="F491" s="96">
        <f t="shared" si="214"/>
        <v>0.6072154153803524</v>
      </c>
      <c r="G491" s="96">
        <f t="shared" si="217"/>
        <v>0.4912154153803524</v>
      </c>
      <c r="I491" s="96">
        <f t="shared" si="191"/>
        <v>0</v>
      </c>
      <c r="J491" s="96">
        <f t="shared" si="192"/>
        <v>0.59849999999999681</v>
      </c>
      <c r="Y491" s="96">
        <f t="shared" si="203"/>
        <v>71</v>
      </c>
      <c r="Z491" s="96">
        <v>0.184</v>
      </c>
      <c r="AA491" s="272">
        <f t="shared" si="204"/>
        <v>71</v>
      </c>
      <c r="AB491" s="519">
        <f t="shared" si="205"/>
        <v>68.078783448029185</v>
      </c>
      <c r="AC491" s="272">
        <f t="shared" si="193"/>
        <v>68</v>
      </c>
      <c r="AD491" s="272">
        <f t="shared" si="194"/>
        <v>70.567630429490791</v>
      </c>
      <c r="AE491" s="272">
        <f t="shared" si="206"/>
        <v>69</v>
      </c>
      <c r="AF491" s="272">
        <f t="shared" si="195"/>
        <v>70.530608033582411</v>
      </c>
      <c r="AG491" s="272">
        <f t="shared" si="207"/>
        <v>70</v>
      </c>
      <c r="AH491" s="272">
        <f t="shared" si="196"/>
        <v>70.494670773139291</v>
      </c>
      <c r="AI491" s="272">
        <f t="shared" si="208"/>
        <v>70</v>
      </c>
      <c r="AJ491" s="272">
        <f t="shared" si="197"/>
        <v>70.494670773139291</v>
      </c>
      <c r="AK491" s="272">
        <f t="shared" si="209"/>
        <v>70</v>
      </c>
      <c r="AL491" s="272">
        <f t="shared" si="198"/>
        <v>70.494670773139291</v>
      </c>
      <c r="AM491" s="272">
        <f t="shared" si="210"/>
        <v>70</v>
      </c>
      <c r="AN491" s="272">
        <f t="shared" si="199"/>
        <v>70.494670773139291</v>
      </c>
      <c r="AO491" s="272">
        <f t="shared" si="211"/>
        <v>70</v>
      </c>
      <c r="AP491" s="272">
        <f t="shared" si="200"/>
        <v>70.494670773139291</v>
      </c>
      <c r="AQ491" s="272">
        <f t="shared" si="212"/>
        <v>70</v>
      </c>
      <c r="AR491" s="272">
        <f t="shared" si="201"/>
        <v>70.494670773139291</v>
      </c>
      <c r="AS491" s="272">
        <f t="shared" si="213"/>
        <v>70</v>
      </c>
      <c r="AT491" s="508">
        <f t="shared" si="202"/>
        <v>70.494670773139291</v>
      </c>
    </row>
    <row r="492" spans="1:46" ht="12.75" customHeight="1">
      <c r="A492" s="96">
        <f>IF(MAX($F$93:F492)=$G$88,$G$88,F492)</f>
        <v>3.2057712852183653</v>
      </c>
      <c r="B492" s="481">
        <v>400</v>
      </c>
      <c r="C492" s="96">
        <f t="shared" si="218"/>
        <v>0.59999999999999676</v>
      </c>
      <c r="D492" s="96">
        <f t="shared" si="215"/>
        <v>23.397362547590962</v>
      </c>
      <c r="E492" s="96">
        <f t="shared" si="216"/>
        <v>3.7147732985951025E-2</v>
      </c>
      <c r="F492" s="96">
        <f t="shared" si="214"/>
        <v>0.59022454178454664</v>
      </c>
      <c r="G492" s="96">
        <f t="shared" si="217"/>
        <v>0.47422454178454665</v>
      </c>
      <c r="I492" s="96">
        <f t="shared" ref="I492:I555" si="219">IF(F492&gt;$G$87,1,0)</f>
        <v>0</v>
      </c>
      <c r="J492" s="96">
        <f t="shared" ref="J492:J555" si="220">C492</f>
        <v>0.59999999999999676</v>
      </c>
      <c r="Y492" s="96">
        <f t="shared" si="203"/>
        <v>73</v>
      </c>
      <c r="Z492" s="96">
        <v>0.182</v>
      </c>
      <c r="AA492" s="272">
        <f t="shared" si="204"/>
        <v>73</v>
      </c>
      <c r="AB492" s="519">
        <f t="shared" si="205"/>
        <v>69.583241529298292</v>
      </c>
      <c r="AC492" s="272">
        <f t="shared" si="193"/>
        <v>69</v>
      </c>
      <c r="AD492" s="272">
        <f t="shared" si="194"/>
        <v>72.089248447801182</v>
      </c>
      <c r="AE492" s="272">
        <f t="shared" si="206"/>
        <v>70</v>
      </c>
      <c r="AF492" s="272">
        <f t="shared" si="195"/>
        <v>72.052517017733479</v>
      </c>
      <c r="AG492" s="272">
        <f t="shared" si="207"/>
        <v>71</v>
      </c>
      <c r="AH492" s="272">
        <f t="shared" si="196"/>
        <v>72.016846651444624</v>
      </c>
      <c r="AI492" s="272">
        <f t="shared" si="208"/>
        <v>72</v>
      </c>
      <c r="AJ492" s="272">
        <f t="shared" si="197"/>
        <v>71.982192032965813</v>
      </c>
      <c r="AK492" s="272">
        <f t="shared" si="209"/>
        <v>71</v>
      </c>
      <c r="AL492" s="272">
        <f t="shared" si="198"/>
        <v>72.016846651444624</v>
      </c>
      <c r="AM492" s="272">
        <f t="shared" si="210"/>
        <v>72</v>
      </c>
      <c r="AN492" s="272">
        <f t="shared" si="199"/>
        <v>71.982192032965813</v>
      </c>
      <c r="AO492" s="272">
        <f t="shared" si="211"/>
        <v>71</v>
      </c>
      <c r="AP492" s="272">
        <f t="shared" si="200"/>
        <v>72.016846651444624</v>
      </c>
      <c r="AQ492" s="272">
        <f t="shared" si="212"/>
        <v>72</v>
      </c>
      <c r="AR492" s="272">
        <f t="shared" si="201"/>
        <v>71.982192032965813</v>
      </c>
      <c r="AS492" s="272">
        <f t="shared" si="213"/>
        <v>71</v>
      </c>
      <c r="AT492" s="508">
        <f t="shared" si="202"/>
        <v>72.016846651444624</v>
      </c>
    </row>
    <row r="493" spans="1:46" ht="12.75" customHeight="1">
      <c r="A493" s="96">
        <f>IF(MAX($F$93:F493)=$G$88,$G$88,F493)</f>
        <v>3.2057712852183653</v>
      </c>
      <c r="B493" s="481">
        <v>401</v>
      </c>
      <c r="C493" s="96">
        <f t="shared" si="218"/>
        <v>0.6014999999999967</v>
      </c>
      <c r="D493" s="96">
        <f t="shared" si="215"/>
        <v>23.514495593844838</v>
      </c>
      <c r="E493" s="96">
        <f t="shared" si="216"/>
        <v>3.590098329812668E-2</v>
      </c>
      <c r="F493" s="96">
        <f t="shared" si="214"/>
        <v>0.5735821976982487</v>
      </c>
      <c r="G493" s="96">
        <f t="shared" si="217"/>
        <v>0.4575821976982487</v>
      </c>
      <c r="I493" s="96">
        <f t="shared" si="219"/>
        <v>0</v>
      </c>
      <c r="J493" s="96">
        <f t="shared" si="220"/>
        <v>0.6014999999999967</v>
      </c>
      <c r="Y493" s="96">
        <f t="shared" si="203"/>
        <v>74</v>
      </c>
      <c r="Z493" s="96">
        <v>0.18</v>
      </c>
      <c r="AA493" s="272">
        <f t="shared" si="204"/>
        <v>74</v>
      </c>
      <c r="AB493" s="519">
        <f t="shared" si="205"/>
        <v>71.138126309150522</v>
      </c>
      <c r="AC493" s="272">
        <f t="shared" si="193"/>
        <v>71</v>
      </c>
      <c r="AD493" s="272">
        <f t="shared" si="194"/>
        <v>73.626111990199135</v>
      </c>
      <c r="AE493" s="272">
        <f t="shared" si="206"/>
        <v>72</v>
      </c>
      <c r="AF493" s="272">
        <f t="shared" si="195"/>
        <v>73.590682990739495</v>
      </c>
      <c r="AG493" s="272">
        <f t="shared" si="207"/>
        <v>73</v>
      </c>
      <c r="AH493" s="272">
        <f t="shared" si="196"/>
        <v>73.556248708856074</v>
      </c>
      <c r="AI493" s="272">
        <f t="shared" si="208"/>
        <v>73</v>
      </c>
      <c r="AJ493" s="272">
        <f t="shared" si="197"/>
        <v>73.556248708856074</v>
      </c>
      <c r="AK493" s="272">
        <f t="shared" si="209"/>
        <v>73</v>
      </c>
      <c r="AL493" s="272">
        <f t="shared" si="198"/>
        <v>73.556248708856074</v>
      </c>
      <c r="AM493" s="272">
        <f t="shared" si="210"/>
        <v>73</v>
      </c>
      <c r="AN493" s="272">
        <f t="shared" si="199"/>
        <v>73.556248708856074</v>
      </c>
      <c r="AO493" s="272">
        <f t="shared" si="211"/>
        <v>73</v>
      </c>
      <c r="AP493" s="272">
        <f t="shared" si="200"/>
        <v>73.556248708856074</v>
      </c>
      <c r="AQ493" s="272">
        <f t="shared" si="212"/>
        <v>73</v>
      </c>
      <c r="AR493" s="272">
        <f t="shared" si="201"/>
        <v>73.556248708856074</v>
      </c>
      <c r="AS493" s="272">
        <f t="shared" si="213"/>
        <v>73</v>
      </c>
      <c r="AT493" s="508">
        <f t="shared" si="202"/>
        <v>73.556248708856074</v>
      </c>
    </row>
    <row r="494" spans="1:46" ht="12.75" customHeight="1">
      <c r="A494" s="96">
        <f>IF(MAX($F$93:F494)=$G$88,$G$88,F494)</f>
        <v>3.2057712852183653</v>
      </c>
      <c r="B494" s="481">
        <v>402</v>
      </c>
      <c r="C494" s="96">
        <f t="shared" si="218"/>
        <v>0.60299999999999665</v>
      </c>
      <c r="D494" s="96">
        <f t="shared" si="215"/>
        <v>23.631921107130555</v>
      </c>
      <c r="E494" s="96">
        <f t="shared" si="216"/>
        <v>3.4689523567244245E-2</v>
      </c>
      <c r="F494" s="96">
        <f t="shared" si="214"/>
        <v>0.557286022611717</v>
      </c>
      <c r="G494" s="96">
        <f t="shared" si="217"/>
        <v>0.44128602261171701</v>
      </c>
      <c r="I494" s="96">
        <f t="shared" si="219"/>
        <v>0</v>
      </c>
      <c r="J494" s="96">
        <f t="shared" si="220"/>
        <v>0.60299999999999665</v>
      </c>
      <c r="Y494" s="96">
        <f t="shared" si="203"/>
        <v>76</v>
      </c>
      <c r="Z494" s="96">
        <v>0.17799999999999999</v>
      </c>
      <c r="AA494" s="272">
        <f t="shared" si="204"/>
        <v>76</v>
      </c>
      <c r="AB494" s="519">
        <f t="shared" si="205"/>
        <v>72.745716841827942</v>
      </c>
      <c r="AC494" s="272">
        <f t="shared" si="193"/>
        <v>72</v>
      </c>
      <c r="AD494" s="272">
        <f t="shared" si="194"/>
        <v>75.253696783864413</v>
      </c>
      <c r="AE494" s="272">
        <f t="shared" si="206"/>
        <v>73</v>
      </c>
      <c r="AF494" s="272">
        <f t="shared" si="195"/>
        <v>75.218484350679745</v>
      </c>
      <c r="AG494" s="272">
        <f t="shared" si="207"/>
        <v>74</v>
      </c>
      <c r="AH494" s="272">
        <f t="shared" si="196"/>
        <v>75.184246873413073</v>
      </c>
      <c r="AI494" s="272">
        <f t="shared" si="208"/>
        <v>75</v>
      </c>
      <c r="AJ494" s="272">
        <f t="shared" si="197"/>
        <v>75.150944418195579</v>
      </c>
      <c r="AK494" s="272">
        <f t="shared" si="209"/>
        <v>75</v>
      </c>
      <c r="AL494" s="272">
        <f t="shared" si="198"/>
        <v>75.150944418195579</v>
      </c>
      <c r="AM494" s="272">
        <f t="shared" si="210"/>
        <v>75</v>
      </c>
      <c r="AN494" s="272">
        <f t="shared" si="199"/>
        <v>75.150944418195579</v>
      </c>
      <c r="AO494" s="272">
        <f t="shared" si="211"/>
        <v>75</v>
      </c>
      <c r="AP494" s="272">
        <f t="shared" si="200"/>
        <v>75.150944418195579</v>
      </c>
      <c r="AQ494" s="272">
        <f t="shared" si="212"/>
        <v>75</v>
      </c>
      <c r="AR494" s="272">
        <f t="shared" si="201"/>
        <v>75.150944418195579</v>
      </c>
      <c r="AS494" s="272">
        <f t="shared" si="213"/>
        <v>75</v>
      </c>
      <c r="AT494" s="508">
        <f t="shared" si="202"/>
        <v>75.150944418195579</v>
      </c>
    </row>
    <row r="495" spans="1:46" ht="12.75" customHeight="1">
      <c r="A495" s="96">
        <f>IF(MAX($F$93:F495)=$G$88,$G$88,F495)</f>
        <v>3.2057712852183653</v>
      </c>
      <c r="B495" s="481">
        <v>403</v>
      </c>
      <c r="C495" s="96">
        <f t="shared" si="218"/>
        <v>0.6044999999999966</v>
      </c>
      <c r="D495" s="96">
        <f t="shared" si="215"/>
        <v>23.74963908744812</v>
      </c>
      <c r="E495" s="96">
        <f t="shared" si="216"/>
        <v>3.351261462979075E-2</v>
      </c>
      <c r="F495" s="96">
        <f t="shared" si="214"/>
        <v>0.54133347706375157</v>
      </c>
      <c r="G495" s="96">
        <f t="shared" si="217"/>
        <v>0.42533347706375157</v>
      </c>
      <c r="I495" s="96">
        <f t="shared" si="219"/>
        <v>0</v>
      </c>
      <c r="J495" s="96">
        <f t="shared" si="220"/>
        <v>0.6044999999999966</v>
      </c>
      <c r="Y495" s="96">
        <f t="shared" si="203"/>
        <v>77</v>
      </c>
      <c r="Z495" s="96">
        <v>0.17599999999999999</v>
      </c>
      <c r="AA495" s="272">
        <f t="shared" si="204"/>
        <v>77</v>
      </c>
      <c r="AB495" s="519">
        <f t="shared" si="205"/>
        <v>74.408422404974075</v>
      </c>
      <c r="AC495" s="272">
        <f t="shared" si="193"/>
        <v>74</v>
      </c>
      <c r="AD495" s="272">
        <f t="shared" si="194"/>
        <v>76.90268846646498</v>
      </c>
      <c r="AE495" s="272">
        <f t="shared" si="206"/>
        <v>75</v>
      </c>
      <c r="AF495" s="272">
        <f t="shared" si="195"/>
        <v>76.868624836844944</v>
      </c>
      <c r="AG495" s="272">
        <f t="shared" si="207"/>
        <v>76</v>
      </c>
      <c r="AH495" s="272">
        <f t="shared" si="196"/>
        <v>76.835478954355835</v>
      </c>
      <c r="AI495" s="272">
        <f t="shared" si="208"/>
        <v>76</v>
      </c>
      <c r="AJ495" s="272">
        <f t="shared" si="197"/>
        <v>76.835478954355835</v>
      </c>
      <c r="AK495" s="272">
        <f t="shared" si="209"/>
        <v>76</v>
      </c>
      <c r="AL495" s="272">
        <f t="shared" si="198"/>
        <v>76.835478954355835</v>
      </c>
      <c r="AM495" s="272">
        <f t="shared" si="210"/>
        <v>76</v>
      </c>
      <c r="AN495" s="272">
        <f t="shared" si="199"/>
        <v>76.835478954355835</v>
      </c>
      <c r="AO495" s="272">
        <f t="shared" si="211"/>
        <v>76</v>
      </c>
      <c r="AP495" s="272">
        <f t="shared" si="200"/>
        <v>76.835478954355835</v>
      </c>
      <c r="AQ495" s="272">
        <f t="shared" si="212"/>
        <v>76</v>
      </c>
      <c r="AR495" s="272">
        <f t="shared" si="201"/>
        <v>76.835478954355835</v>
      </c>
      <c r="AS495" s="272">
        <f t="shared" si="213"/>
        <v>76</v>
      </c>
      <c r="AT495" s="508">
        <f t="shared" si="202"/>
        <v>76.835478954355835</v>
      </c>
    </row>
    <row r="496" spans="1:46" ht="12.75" customHeight="1">
      <c r="A496" s="96">
        <f>IF(MAX($F$93:F496)=$G$88,$G$88,F496)</f>
        <v>3.2057712852183653</v>
      </c>
      <c r="B496" s="481">
        <v>404</v>
      </c>
      <c r="C496" s="96">
        <f t="shared" si="218"/>
        <v>0.60599999999999654</v>
      </c>
      <c r="D496" s="96">
        <f t="shared" si="215"/>
        <v>23.867649534797525</v>
      </c>
      <c r="E496" s="96">
        <f t="shared" si="216"/>
        <v>3.2369522951256738E-2</v>
      </c>
      <c r="F496" s="96">
        <f t="shared" si="214"/>
        <v>0.52572185088419254</v>
      </c>
      <c r="G496" s="96">
        <f t="shared" si="217"/>
        <v>0.40972185088419255</v>
      </c>
      <c r="I496" s="96">
        <f t="shared" si="219"/>
        <v>0</v>
      </c>
      <c r="J496" s="96">
        <f t="shared" si="220"/>
        <v>0.60599999999999654</v>
      </c>
      <c r="Y496" s="96">
        <f t="shared" si="203"/>
        <v>79</v>
      </c>
      <c r="Z496" s="96">
        <v>0.17399999999999999</v>
      </c>
      <c r="AA496" s="272">
        <f t="shared" si="204"/>
        <v>79</v>
      </c>
      <c r="AB496" s="519">
        <f t="shared" si="205"/>
        <v>76.128791531790085</v>
      </c>
      <c r="AC496" s="272">
        <f t="shared" si="193"/>
        <v>76</v>
      </c>
      <c r="AD496" s="272">
        <f t="shared" si="194"/>
        <v>78.611963142096926</v>
      </c>
      <c r="AE496" s="272">
        <f t="shared" si="206"/>
        <v>77</v>
      </c>
      <c r="AF496" s="272">
        <f t="shared" si="195"/>
        <v>78.578952434216433</v>
      </c>
      <c r="AG496" s="272">
        <f t="shared" si="207"/>
        <v>78</v>
      </c>
      <c r="AH496" s="272">
        <f t="shared" si="196"/>
        <v>78.546807780430427</v>
      </c>
      <c r="AI496" s="272">
        <f t="shared" si="208"/>
        <v>78</v>
      </c>
      <c r="AJ496" s="272">
        <f t="shared" si="197"/>
        <v>78.546807780430427</v>
      </c>
      <c r="AK496" s="272">
        <f t="shared" si="209"/>
        <v>78</v>
      </c>
      <c r="AL496" s="272">
        <f t="shared" si="198"/>
        <v>78.546807780430427</v>
      </c>
      <c r="AM496" s="272">
        <f t="shared" si="210"/>
        <v>78</v>
      </c>
      <c r="AN496" s="272">
        <f t="shared" si="199"/>
        <v>78.546807780430427</v>
      </c>
      <c r="AO496" s="272">
        <f t="shared" si="211"/>
        <v>78</v>
      </c>
      <c r="AP496" s="272">
        <f t="shared" si="200"/>
        <v>78.546807780430427</v>
      </c>
      <c r="AQ496" s="272">
        <f t="shared" si="212"/>
        <v>78</v>
      </c>
      <c r="AR496" s="272">
        <f t="shared" si="201"/>
        <v>78.546807780430427</v>
      </c>
      <c r="AS496" s="272">
        <f t="shared" si="213"/>
        <v>78</v>
      </c>
      <c r="AT496" s="508">
        <f t="shared" si="202"/>
        <v>78.546807780430427</v>
      </c>
    </row>
    <row r="497" spans="1:46" ht="12.75" customHeight="1">
      <c r="A497" s="96">
        <f>IF(MAX($F$93:F497)=$G$88,$G$88,F497)</f>
        <v>3.2057712852183653</v>
      </c>
      <c r="B497" s="481">
        <v>405</v>
      </c>
      <c r="C497" s="96">
        <f t="shared" si="218"/>
        <v>0.60749999999999649</v>
      </c>
      <c r="D497" s="96">
        <f t="shared" si="215"/>
        <v>23.985952449178782</v>
      </c>
      <c r="E497" s="96">
        <f t="shared" si="216"/>
        <v>3.1259520983144211E-2</v>
      </c>
      <c r="F497" s="96">
        <f t="shared" si="214"/>
        <v>0.51044827136542292</v>
      </c>
      <c r="G497" s="96">
        <f t="shared" si="217"/>
        <v>0.39444827136542293</v>
      </c>
      <c r="I497" s="96">
        <f t="shared" si="219"/>
        <v>0</v>
      </c>
      <c r="J497" s="96">
        <f t="shared" si="220"/>
        <v>0.60749999999999649</v>
      </c>
      <c r="Y497" s="96">
        <f t="shared" si="203"/>
        <v>81</v>
      </c>
      <c r="Z497" s="96">
        <v>0.17199999999999999</v>
      </c>
      <c r="AA497" s="272">
        <f t="shared" si="204"/>
        <v>81</v>
      </c>
      <c r="AB497" s="519">
        <f t="shared" si="205"/>
        <v>77.909521782601303</v>
      </c>
      <c r="AC497" s="272">
        <f t="shared" si="193"/>
        <v>77</v>
      </c>
      <c r="AD497" s="272">
        <f t="shared" si="194"/>
        <v>80.416994453026547</v>
      </c>
      <c r="AE497" s="272">
        <f t="shared" si="206"/>
        <v>78</v>
      </c>
      <c r="AF497" s="272">
        <f t="shared" si="195"/>
        <v>80.384097902931046</v>
      </c>
      <c r="AG497" s="272">
        <f t="shared" si="207"/>
        <v>79</v>
      </c>
      <c r="AH497" s="272">
        <f t="shared" si="196"/>
        <v>80.352053240875975</v>
      </c>
      <c r="AI497" s="272">
        <f t="shared" si="208"/>
        <v>80</v>
      </c>
      <c r="AJ497" s="272">
        <f t="shared" si="197"/>
        <v>80.320827802622148</v>
      </c>
      <c r="AK497" s="272">
        <f t="shared" si="209"/>
        <v>80</v>
      </c>
      <c r="AL497" s="272">
        <f t="shared" si="198"/>
        <v>80.320827802622148</v>
      </c>
      <c r="AM497" s="272">
        <f t="shared" si="210"/>
        <v>80</v>
      </c>
      <c r="AN497" s="272">
        <f t="shared" si="199"/>
        <v>80.320827802622148</v>
      </c>
      <c r="AO497" s="272">
        <f t="shared" si="211"/>
        <v>80</v>
      </c>
      <c r="AP497" s="272">
        <f t="shared" si="200"/>
        <v>80.320827802622148</v>
      </c>
      <c r="AQ497" s="272">
        <f t="shared" si="212"/>
        <v>80</v>
      </c>
      <c r="AR497" s="272">
        <f t="shared" si="201"/>
        <v>80.320827802622148</v>
      </c>
      <c r="AS497" s="272">
        <f t="shared" si="213"/>
        <v>80</v>
      </c>
      <c r="AT497" s="508">
        <f t="shared" si="202"/>
        <v>80.320827802622148</v>
      </c>
    </row>
    <row r="498" spans="1:46" ht="12.75" customHeight="1">
      <c r="A498" s="96">
        <f>IF(MAX($F$93:F498)=$G$88,$G$88,F498)</f>
        <v>3.2057712852183653</v>
      </c>
      <c r="B498" s="481">
        <v>406</v>
      </c>
      <c r="C498" s="96">
        <f t="shared" si="218"/>
        <v>0.60899999999999643</v>
      </c>
      <c r="D498" s="96">
        <f t="shared" si="215"/>
        <v>24.104547830591876</v>
      </c>
      <c r="E498" s="96">
        <f t="shared" si="216"/>
        <v>3.0181887502547782E-2</v>
      </c>
      <c r="F498" s="96">
        <f t="shared" si="214"/>
        <v>0.49550971135378613</v>
      </c>
      <c r="G498" s="96">
        <f t="shared" si="217"/>
        <v>0.37950971135378614</v>
      </c>
      <c r="I498" s="96">
        <f t="shared" si="219"/>
        <v>0</v>
      </c>
      <c r="J498" s="96">
        <f t="shared" si="220"/>
        <v>0.60899999999999643</v>
      </c>
      <c r="Y498" s="96">
        <f t="shared" si="203"/>
        <v>83</v>
      </c>
      <c r="Z498" s="96">
        <v>0.17</v>
      </c>
      <c r="AA498" s="272">
        <f t="shared" si="204"/>
        <v>83</v>
      </c>
      <c r="AB498" s="519">
        <f t="shared" si="205"/>
        <v>79.75347032582961</v>
      </c>
      <c r="AC498" s="272">
        <f t="shared" si="193"/>
        <v>79</v>
      </c>
      <c r="AD498" s="272">
        <f t="shared" si="194"/>
        <v>82.253811179172132</v>
      </c>
      <c r="AE498" s="272">
        <f t="shared" si="206"/>
        <v>80</v>
      </c>
      <c r="AF498" s="272">
        <f t="shared" si="195"/>
        <v>82.221846702864127</v>
      </c>
      <c r="AG498" s="272">
        <f t="shared" si="207"/>
        <v>81</v>
      </c>
      <c r="AH498" s="272">
        <f t="shared" si="196"/>
        <v>82.190689089995772</v>
      </c>
      <c r="AI498" s="272">
        <f t="shared" si="208"/>
        <v>82</v>
      </c>
      <c r="AJ498" s="272">
        <f t="shared" si="197"/>
        <v>82.160308173519468</v>
      </c>
      <c r="AK498" s="272">
        <f t="shared" si="209"/>
        <v>82</v>
      </c>
      <c r="AL498" s="272">
        <f t="shared" si="198"/>
        <v>82.160308173519468</v>
      </c>
      <c r="AM498" s="272">
        <f t="shared" si="210"/>
        <v>82</v>
      </c>
      <c r="AN498" s="272">
        <f t="shared" si="199"/>
        <v>82.160308173519468</v>
      </c>
      <c r="AO498" s="272">
        <f t="shared" si="211"/>
        <v>82</v>
      </c>
      <c r="AP498" s="272">
        <f t="shared" si="200"/>
        <v>82.160308173519468</v>
      </c>
      <c r="AQ498" s="272">
        <f t="shared" si="212"/>
        <v>82</v>
      </c>
      <c r="AR498" s="272">
        <f t="shared" si="201"/>
        <v>82.160308173519468</v>
      </c>
      <c r="AS498" s="272">
        <f t="shared" si="213"/>
        <v>82</v>
      </c>
      <c r="AT498" s="508">
        <f t="shared" si="202"/>
        <v>82.160308173519468</v>
      </c>
    </row>
    <row r="499" spans="1:46" ht="12.75" customHeight="1">
      <c r="A499" s="96">
        <f>IF(MAX($F$93:F499)=$G$88,$G$88,F499)</f>
        <v>3.2057712852183653</v>
      </c>
      <c r="B499" s="481">
        <v>407</v>
      </c>
      <c r="C499" s="96">
        <f t="shared" si="218"/>
        <v>0.61049999999999638</v>
      </c>
      <c r="D499" s="96">
        <f t="shared" si="215"/>
        <v>24.223435679036822</v>
      </c>
      <c r="E499" s="96">
        <f t="shared" si="216"/>
        <v>2.9135907934485127E-2</v>
      </c>
      <c r="F499" s="96">
        <f t="shared" si="214"/>
        <v>0.48090299725244318</v>
      </c>
      <c r="G499" s="96">
        <f t="shared" si="217"/>
        <v>0.36490299725244318</v>
      </c>
      <c r="I499" s="96">
        <f t="shared" si="219"/>
        <v>0</v>
      </c>
      <c r="J499" s="96">
        <f t="shared" si="220"/>
        <v>0.61049999999999638</v>
      </c>
      <c r="Y499" s="96">
        <f t="shared" si="203"/>
        <v>85</v>
      </c>
      <c r="Z499" s="96">
        <v>0.16800000000000001</v>
      </c>
      <c r="AA499" s="272">
        <f t="shared" si="204"/>
        <v>85</v>
      </c>
      <c r="AB499" s="519">
        <f t="shared" si="205"/>
        <v>81.663665405912553</v>
      </c>
      <c r="AC499" s="272">
        <f t="shared" si="193"/>
        <v>81</v>
      </c>
      <c r="AD499" s="272">
        <f t="shared" si="194"/>
        <v>84.159258599095722</v>
      </c>
      <c r="AE499" s="272">
        <f t="shared" si="206"/>
        <v>82</v>
      </c>
      <c r="AF499" s="272">
        <f t="shared" si="195"/>
        <v>84.12815002177976</v>
      </c>
      <c r="AG499" s="272">
        <f t="shared" si="207"/>
        <v>83</v>
      </c>
      <c r="AH499" s="272">
        <f t="shared" si="196"/>
        <v>84.097807374899133</v>
      </c>
      <c r="AI499" s="272">
        <f t="shared" si="208"/>
        <v>84</v>
      </c>
      <c r="AJ499" s="272">
        <f t="shared" si="197"/>
        <v>84.068202717958229</v>
      </c>
      <c r="AK499" s="272">
        <f t="shared" si="209"/>
        <v>84</v>
      </c>
      <c r="AL499" s="272">
        <f t="shared" si="198"/>
        <v>84.068202717958229</v>
      </c>
      <c r="AM499" s="272">
        <f t="shared" si="210"/>
        <v>84</v>
      </c>
      <c r="AN499" s="272">
        <f t="shared" si="199"/>
        <v>84.068202717958229</v>
      </c>
      <c r="AO499" s="272">
        <f t="shared" si="211"/>
        <v>84</v>
      </c>
      <c r="AP499" s="272">
        <f t="shared" si="200"/>
        <v>84.068202717958229</v>
      </c>
      <c r="AQ499" s="272">
        <f t="shared" si="212"/>
        <v>84</v>
      </c>
      <c r="AR499" s="272">
        <f t="shared" si="201"/>
        <v>84.068202717958229</v>
      </c>
      <c r="AS499" s="272">
        <f t="shared" si="213"/>
        <v>84</v>
      </c>
      <c r="AT499" s="508">
        <f t="shared" si="202"/>
        <v>84.068202717958229</v>
      </c>
    </row>
    <row r="500" spans="1:46" ht="12.75" customHeight="1">
      <c r="A500" s="96">
        <f>IF(MAX($F$93:F500)=$G$88,$G$88,F500)</f>
        <v>3.2057712852183653</v>
      </c>
      <c r="B500" s="481">
        <v>408</v>
      </c>
      <c r="C500" s="96">
        <f t="shared" si="218"/>
        <v>0.61199999999999632</v>
      </c>
      <c r="D500" s="96">
        <f t="shared" si="215"/>
        <v>24.342615994513608</v>
      </c>
      <c r="E500" s="96">
        <f t="shared" si="216"/>
        <v>2.8120874657180168E-2</v>
      </c>
      <c r="F500" s="96">
        <f t="shared" si="214"/>
        <v>0.46662481692697161</v>
      </c>
      <c r="G500" s="96">
        <f t="shared" si="217"/>
        <v>0.35062481692697162</v>
      </c>
      <c r="I500" s="96">
        <f t="shared" si="219"/>
        <v>0</v>
      </c>
      <c r="J500" s="96">
        <f t="shared" si="220"/>
        <v>0.61199999999999632</v>
      </c>
      <c r="Y500" s="96">
        <f t="shared" si="203"/>
        <v>87</v>
      </c>
      <c r="Z500" s="96">
        <v>0.16600000000000001</v>
      </c>
      <c r="AA500" s="272">
        <f t="shared" si="204"/>
        <v>87</v>
      </c>
      <c r="AB500" s="519">
        <f t="shared" si="205"/>
        <v>83.643318784165928</v>
      </c>
      <c r="AC500" s="272">
        <f t="shared" si="193"/>
        <v>83</v>
      </c>
      <c r="AD500" s="272">
        <f t="shared" si="194"/>
        <v>86.136468113991612</v>
      </c>
      <c r="AE500" s="272">
        <f t="shared" si="206"/>
        <v>84</v>
      </c>
      <c r="AF500" s="272">
        <f t="shared" si="195"/>
        <v>86.106145794442341</v>
      </c>
      <c r="AG500" s="272">
        <f t="shared" si="207"/>
        <v>85</v>
      </c>
      <c r="AH500" s="272">
        <f t="shared" si="196"/>
        <v>86.07655211212483</v>
      </c>
      <c r="AI500" s="272">
        <f t="shared" si="208"/>
        <v>86</v>
      </c>
      <c r="AJ500" s="272">
        <f t="shared" si="197"/>
        <v>86.047661117797787</v>
      </c>
      <c r="AK500" s="272">
        <f t="shared" si="209"/>
        <v>86</v>
      </c>
      <c r="AL500" s="272">
        <f t="shared" si="198"/>
        <v>86.047661117797787</v>
      </c>
      <c r="AM500" s="272">
        <f t="shared" si="210"/>
        <v>86</v>
      </c>
      <c r="AN500" s="272">
        <f t="shared" si="199"/>
        <v>86.047661117797787</v>
      </c>
      <c r="AO500" s="272">
        <f t="shared" si="211"/>
        <v>86</v>
      </c>
      <c r="AP500" s="272">
        <f t="shared" si="200"/>
        <v>86.047661117797787</v>
      </c>
      <c r="AQ500" s="272">
        <f t="shared" si="212"/>
        <v>86</v>
      </c>
      <c r="AR500" s="272">
        <f t="shared" si="201"/>
        <v>86.047661117797787</v>
      </c>
      <c r="AS500" s="272">
        <f t="shared" si="213"/>
        <v>86</v>
      </c>
      <c r="AT500" s="508">
        <f t="shared" si="202"/>
        <v>86.047661117797787</v>
      </c>
    </row>
    <row r="501" spans="1:46" ht="12.75" customHeight="1">
      <c r="A501" s="96">
        <f>IF(MAX($F$93:F501)=$G$88,$G$88,F501)</f>
        <v>3.2057712852183653</v>
      </c>
      <c r="B501" s="481">
        <v>409</v>
      </c>
      <c r="C501" s="96">
        <f t="shared" si="218"/>
        <v>0.61349999999999627</v>
      </c>
      <c r="D501" s="96">
        <f t="shared" si="215"/>
        <v>24.462088777022242</v>
      </c>
      <c r="E501" s="96">
        <f t="shared" si="216"/>
        <v>2.7136087290512392E-2</v>
      </c>
      <c r="F501" s="96">
        <f t="shared" si="214"/>
        <v>0.45267172750609119</v>
      </c>
      <c r="G501" s="96">
        <f t="shared" si="217"/>
        <v>0.3366717275060912</v>
      </c>
      <c r="I501" s="96">
        <f t="shared" si="219"/>
        <v>0</v>
      </c>
      <c r="J501" s="96">
        <f t="shared" si="220"/>
        <v>0.61349999999999627</v>
      </c>
      <c r="Y501" s="96">
        <f t="shared" si="203"/>
        <v>89</v>
      </c>
      <c r="Z501" s="96">
        <v>0.16400000000000001</v>
      </c>
      <c r="AA501" s="272">
        <f t="shared" si="204"/>
        <v>89</v>
      </c>
      <c r="AB501" s="519">
        <f t="shared" si="205"/>
        <v>85.695839248084354</v>
      </c>
      <c r="AC501" s="272">
        <f t="shared" si="193"/>
        <v>85</v>
      </c>
      <c r="AD501" s="272">
        <f t="shared" si="194"/>
        <v>88.188781603276013</v>
      </c>
      <c r="AE501" s="272">
        <f t="shared" si="206"/>
        <v>86</v>
      </c>
      <c r="AF501" s="272">
        <f t="shared" si="195"/>
        <v>88.159181653853238</v>
      </c>
      <c r="AG501" s="272">
        <f t="shared" si="207"/>
        <v>87</v>
      </c>
      <c r="AH501" s="272">
        <f t="shared" si="196"/>
        <v>88.130276297143254</v>
      </c>
      <c r="AI501" s="272">
        <f t="shared" si="208"/>
        <v>88</v>
      </c>
      <c r="AJ501" s="272">
        <f t="shared" si="197"/>
        <v>88.102041369832051</v>
      </c>
      <c r="AK501" s="272">
        <f t="shared" si="209"/>
        <v>88</v>
      </c>
      <c r="AL501" s="272">
        <f t="shared" si="198"/>
        <v>88.102041369832051</v>
      </c>
      <c r="AM501" s="272">
        <f t="shared" si="210"/>
        <v>88</v>
      </c>
      <c r="AN501" s="272">
        <f t="shared" si="199"/>
        <v>88.102041369832051</v>
      </c>
      <c r="AO501" s="272">
        <f t="shared" si="211"/>
        <v>88</v>
      </c>
      <c r="AP501" s="272">
        <f t="shared" si="200"/>
        <v>88.102041369832051</v>
      </c>
      <c r="AQ501" s="272">
        <f t="shared" si="212"/>
        <v>88</v>
      </c>
      <c r="AR501" s="272">
        <f t="shared" si="201"/>
        <v>88.102041369832051</v>
      </c>
      <c r="AS501" s="272">
        <f t="shared" si="213"/>
        <v>88</v>
      </c>
      <c r="AT501" s="508">
        <f t="shared" si="202"/>
        <v>88.102041369832051</v>
      </c>
    </row>
    <row r="502" spans="1:46" ht="12.75" customHeight="1">
      <c r="A502" s="96">
        <f>IF(MAX($F$93:F502)=$G$88,$G$88,F502)</f>
        <v>3.2057712852183653</v>
      </c>
      <c r="B502" s="481">
        <v>410</v>
      </c>
      <c r="C502" s="96">
        <f t="shared" si="218"/>
        <v>0.61499999999999622</v>
      </c>
      <c r="D502" s="96">
        <f t="shared" si="215"/>
        <v>24.58185402656272</v>
      </c>
      <c r="E502" s="96">
        <f t="shared" si="216"/>
        <v>2.6180852967868349E-2</v>
      </c>
      <c r="F502" s="96">
        <f t="shared" si="214"/>
        <v>0.4390401630700424</v>
      </c>
      <c r="G502" s="96">
        <f t="shared" si="217"/>
        <v>0.32304016307004241</v>
      </c>
      <c r="I502" s="96">
        <f t="shared" si="219"/>
        <v>0</v>
      </c>
      <c r="J502" s="96">
        <f t="shared" si="220"/>
        <v>0.61499999999999622</v>
      </c>
      <c r="Y502" s="96">
        <f t="shared" si="203"/>
        <v>91</v>
      </c>
      <c r="Z502" s="96">
        <v>0.16200000000000001</v>
      </c>
      <c r="AA502" s="272">
        <f t="shared" si="204"/>
        <v>91</v>
      </c>
      <c r="AB502" s="519">
        <f t="shared" si="205"/>
        <v>87.824847295247537</v>
      </c>
      <c r="AC502" s="272">
        <f t="shared" si="193"/>
        <v>87</v>
      </c>
      <c r="AD502" s="272">
        <f t="shared" si="194"/>
        <v>90.319764947720032</v>
      </c>
      <c r="AE502" s="272">
        <f t="shared" si="206"/>
        <v>88</v>
      </c>
      <c r="AF502" s="272">
        <f t="shared" si="195"/>
        <v>90.29082855826104</v>
      </c>
      <c r="AG502" s="272">
        <f t="shared" si="207"/>
        <v>89</v>
      </c>
      <c r="AH502" s="272">
        <f t="shared" si="196"/>
        <v>90.262555625921792</v>
      </c>
      <c r="AI502" s="272">
        <f t="shared" si="208"/>
        <v>90</v>
      </c>
      <c r="AJ502" s="272">
        <f t="shared" si="197"/>
        <v>90.234923593480445</v>
      </c>
      <c r="AK502" s="272">
        <f t="shared" si="209"/>
        <v>90</v>
      </c>
      <c r="AL502" s="272">
        <f t="shared" si="198"/>
        <v>90.234923593480445</v>
      </c>
      <c r="AM502" s="272">
        <f t="shared" si="210"/>
        <v>90</v>
      </c>
      <c r="AN502" s="272">
        <f t="shared" si="199"/>
        <v>90.234923593480445</v>
      </c>
      <c r="AO502" s="272">
        <f t="shared" si="211"/>
        <v>90</v>
      </c>
      <c r="AP502" s="272">
        <f t="shared" si="200"/>
        <v>90.234923593480445</v>
      </c>
      <c r="AQ502" s="272">
        <f t="shared" si="212"/>
        <v>90</v>
      </c>
      <c r="AR502" s="272">
        <f t="shared" si="201"/>
        <v>90.234923593480445</v>
      </c>
      <c r="AS502" s="272">
        <f t="shared" si="213"/>
        <v>90</v>
      </c>
      <c r="AT502" s="508">
        <f t="shared" si="202"/>
        <v>90.234923593480445</v>
      </c>
    </row>
    <row r="503" spans="1:46" ht="12.75" customHeight="1">
      <c r="A503" s="96">
        <f>IF(MAX($F$93:F503)=$G$88,$G$88,F503)</f>
        <v>3.2057712852183653</v>
      </c>
      <c r="B503" s="481">
        <v>411</v>
      </c>
      <c r="C503" s="96">
        <f t="shared" si="218"/>
        <v>0.61649999999999616</v>
      </c>
      <c r="D503" s="96">
        <f t="shared" si="215"/>
        <v>24.701911743135042</v>
      </c>
      <c r="E503" s="96">
        <f t="shared" si="216"/>
        <v>2.5254486591640781E-2</v>
      </c>
      <c r="F503" s="96">
        <f t="shared" si="214"/>
        <v>0.42572644222006939</v>
      </c>
      <c r="G503" s="96">
        <f t="shared" si="217"/>
        <v>0.3097264422200694</v>
      </c>
      <c r="I503" s="96">
        <f t="shared" si="219"/>
        <v>0</v>
      </c>
      <c r="J503" s="96">
        <f t="shared" si="220"/>
        <v>0.61649999999999616</v>
      </c>
      <c r="Y503" s="96">
        <f t="shared" si="203"/>
        <v>93</v>
      </c>
      <c r="Z503" s="96">
        <v>0.16</v>
      </c>
      <c r="AA503" s="272">
        <f t="shared" si="204"/>
        <v>93</v>
      </c>
      <c r="AB503" s="519">
        <f t="shared" si="205"/>
        <v>90.034191110018625</v>
      </c>
      <c r="AC503" s="272">
        <f t="shared" si="193"/>
        <v>90</v>
      </c>
      <c r="AD503" s="272">
        <f t="shared" si="194"/>
        <v>92.504895890128935</v>
      </c>
      <c r="AE503" s="272">
        <f t="shared" si="206"/>
        <v>91</v>
      </c>
      <c r="AF503" s="272">
        <f t="shared" si="195"/>
        <v>92.477203673693666</v>
      </c>
      <c r="AG503" s="272">
        <f t="shared" si="207"/>
        <v>92</v>
      </c>
      <c r="AH503" s="272">
        <f t="shared" si="196"/>
        <v>92.450125282419776</v>
      </c>
      <c r="AI503" s="272">
        <f t="shared" si="208"/>
        <v>92</v>
      </c>
      <c r="AJ503" s="272">
        <f t="shared" si="197"/>
        <v>92.450125282419776</v>
      </c>
      <c r="AK503" s="272">
        <f t="shared" si="209"/>
        <v>92</v>
      </c>
      <c r="AL503" s="272">
        <f t="shared" si="198"/>
        <v>92.450125282419776</v>
      </c>
      <c r="AM503" s="272">
        <f t="shared" si="210"/>
        <v>92</v>
      </c>
      <c r="AN503" s="272">
        <f t="shared" si="199"/>
        <v>92.450125282419776</v>
      </c>
      <c r="AO503" s="272">
        <f t="shared" si="211"/>
        <v>92</v>
      </c>
      <c r="AP503" s="272">
        <f t="shared" si="200"/>
        <v>92.450125282419776</v>
      </c>
      <c r="AQ503" s="272">
        <f t="shared" si="212"/>
        <v>92</v>
      </c>
      <c r="AR503" s="272">
        <f t="shared" si="201"/>
        <v>92.450125282419776</v>
      </c>
      <c r="AS503" s="272">
        <f t="shared" si="213"/>
        <v>92</v>
      </c>
      <c r="AT503" s="508">
        <f t="shared" si="202"/>
        <v>92.450125282419776</v>
      </c>
    </row>
    <row r="504" spans="1:46" ht="12.75" customHeight="1">
      <c r="A504" s="96">
        <f>IF(MAX($F$93:F504)=$G$88,$G$88,F504)</f>
        <v>3.2057712852183653</v>
      </c>
      <c r="B504" s="481">
        <v>412</v>
      </c>
      <c r="C504" s="96">
        <f t="shared" si="218"/>
        <v>0.61799999999999611</v>
      </c>
      <c r="D504" s="96">
        <f t="shared" si="215"/>
        <v>24.822261926739213</v>
      </c>
      <c r="E504" s="96">
        <f t="shared" si="216"/>
        <v>2.435631107263948E-2</v>
      </c>
      <c r="F504" s="96">
        <f t="shared" si="214"/>
        <v>0.41272677552184567</v>
      </c>
      <c r="G504" s="96">
        <f t="shared" si="217"/>
        <v>0.29672677552184568</v>
      </c>
      <c r="I504" s="96">
        <f t="shared" si="219"/>
        <v>0</v>
      </c>
      <c r="J504" s="96">
        <f t="shared" si="220"/>
        <v>0.61799999999999611</v>
      </c>
      <c r="Y504" s="96">
        <f t="shared" si="203"/>
        <v>95</v>
      </c>
      <c r="Z504" s="96">
        <v>0.158</v>
      </c>
      <c r="AA504" s="272">
        <f t="shared" si="204"/>
        <v>95</v>
      </c>
      <c r="AB504" s="519">
        <f t="shared" si="205"/>
        <v>92.32796396476833</v>
      </c>
      <c r="AC504" s="272">
        <f t="shared" si="193"/>
        <v>92</v>
      </c>
      <c r="AD504" s="272">
        <f t="shared" si="194"/>
        <v>94.805448134511536</v>
      </c>
      <c r="AE504" s="272">
        <f t="shared" si="206"/>
        <v>93</v>
      </c>
      <c r="AF504" s="272">
        <f t="shared" si="195"/>
        <v>94.778288640978516</v>
      </c>
      <c r="AG504" s="272">
        <f t="shared" si="207"/>
        <v>94</v>
      </c>
      <c r="AH504" s="272">
        <f t="shared" si="196"/>
        <v>94.751718112438425</v>
      </c>
      <c r="AI504" s="272">
        <f t="shared" si="208"/>
        <v>94</v>
      </c>
      <c r="AJ504" s="272">
        <f t="shared" si="197"/>
        <v>94.751718112438425</v>
      </c>
      <c r="AK504" s="272">
        <f t="shared" si="209"/>
        <v>94</v>
      </c>
      <c r="AL504" s="272">
        <f t="shared" si="198"/>
        <v>94.751718112438425</v>
      </c>
      <c r="AM504" s="272">
        <f t="shared" si="210"/>
        <v>94</v>
      </c>
      <c r="AN504" s="272">
        <f t="shared" si="199"/>
        <v>94.751718112438425</v>
      </c>
      <c r="AO504" s="272">
        <f t="shared" si="211"/>
        <v>94</v>
      </c>
      <c r="AP504" s="272">
        <f t="shared" si="200"/>
        <v>94.751718112438425</v>
      </c>
      <c r="AQ504" s="272">
        <f t="shared" si="212"/>
        <v>94</v>
      </c>
      <c r="AR504" s="272">
        <f t="shared" si="201"/>
        <v>94.751718112438425</v>
      </c>
      <c r="AS504" s="272">
        <f t="shared" si="213"/>
        <v>94</v>
      </c>
      <c r="AT504" s="508">
        <f t="shared" si="202"/>
        <v>94.751718112438425</v>
      </c>
    </row>
    <row r="505" spans="1:46" ht="12.75" customHeight="1">
      <c r="A505" s="96">
        <f>IF(MAX($F$93:F505)=$G$88,$G$88,F505)</f>
        <v>3.2057712852183653</v>
      </c>
      <c r="B505" s="481">
        <v>413</v>
      </c>
      <c r="C505" s="96">
        <f t="shared" si="218"/>
        <v>0.61949999999999605</v>
      </c>
      <c r="D505" s="96">
        <f t="shared" si="215"/>
        <v>24.94290457737522</v>
      </c>
      <c r="E505" s="96">
        <f t="shared" si="216"/>
        <v>2.3485657553690014E-2</v>
      </c>
      <c r="F505" s="96">
        <f t="shared" si="214"/>
        <v>0.40003727281737761</v>
      </c>
      <c r="G505" s="96">
        <f t="shared" si="217"/>
        <v>0.28403727281737762</v>
      </c>
      <c r="I505" s="96">
        <f t="shared" si="219"/>
        <v>0</v>
      </c>
      <c r="J505" s="96">
        <f t="shared" si="220"/>
        <v>0.61949999999999605</v>
      </c>
      <c r="Y505" s="96">
        <f t="shared" si="203"/>
        <v>98</v>
      </c>
      <c r="Z505" s="96">
        <v>0.156</v>
      </c>
      <c r="AA505" s="272">
        <f t="shared" si="204"/>
        <v>98</v>
      </c>
      <c r="AB505" s="519">
        <f t="shared" si="205"/>
        <v>94.710523192655998</v>
      </c>
      <c r="AC505" s="272">
        <f t="shared" si="193"/>
        <v>94</v>
      </c>
      <c r="AD505" s="272">
        <f t="shared" si="194"/>
        <v>97.196823264255144</v>
      </c>
      <c r="AE505" s="272">
        <f t="shared" si="206"/>
        <v>95</v>
      </c>
      <c r="AF505" s="272">
        <f t="shared" si="195"/>
        <v>97.170151796252412</v>
      </c>
      <c r="AG505" s="272">
        <f t="shared" si="207"/>
        <v>96</v>
      </c>
      <c r="AH505" s="272">
        <f t="shared" si="196"/>
        <v>97.144046436737668</v>
      </c>
      <c r="AI505" s="272">
        <f t="shared" si="208"/>
        <v>97</v>
      </c>
      <c r="AJ505" s="272">
        <f t="shared" si="197"/>
        <v>97.118489352580781</v>
      </c>
      <c r="AK505" s="272">
        <f t="shared" si="209"/>
        <v>97</v>
      </c>
      <c r="AL505" s="272">
        <f t="shared" si="198"/>
        <v>97.118489352580781</v>
      </c>
      <c r="AM505" s="272">
        <f t="shared" si="210"/>
        <v>97</v>
      </c>
      <c r="AN505" s="272">
        <f t="shared" si="199"/>
        <v>97.118489352580781</v>
      </c>
      <c r="AO505" s="272">
        <f t="shared" si="211"/>
        <v>97</v>
      </c>
      <c r="AP505" s="272">
        <f t="shared" si="200"/>
        <v>97.118489352580781</v>
      </c>
      <c r="AQ505" s="272">
        <f t="shared" si="212"/>
        <v>97</v>
      </c>
      <c r="AR505" s="272">
        <f t="shared" si="201"/>
        <v>97.118489352580781</v>
      </c>
      <c r="AS505" s="272">
        <f t="shared" si="213"/>
        <v>97</v>
      </c>
      <c r="AT505" s="508">
        <f t="shared" si="202"/>
        <v>97.118489352580781</v>
      </c>
    </row>
    <row r="506" spans="1:46" ht="12.75" customHeight="1">
      <c r="A506" s="96">
        <f>IF(MAX($F$93:F506)=$G$88,$G$88,F506)</f>
        <v>3.2057712852183653</v>
      </c>
      <c r="B506" s="481">
        <v>414</v>
      </c>
      <c r="C506" s="96">
        <f t="shared" si="218"/>
        <v>0.620999999999996</v>
      </c>
      <c r="D506" s="96">
        <f t="shared" si="215"/>
        <v>25.063839695043079</v>
      </c>
      <c r="E506" s="96">
        <f t="shared" si="216"/>
        <v>2.2641865617707861E-2</v>
      </c>
      <c r="F506" s="96">
        <f t="shared" si="214"/>
        <v>0.3876539503993684</v>
      </c>
      <c r="G506" s="96">
        <f t="shared" si="217"/>
        <v>0.2716539503993684</v>
      </c>
      <c r="I506" s="96">
        <f t="shared" si="219"/>
        <v>0</v>
      </c>
      <c r="J506" s="96">
        <f t="shared" si="220"/>
        <v>0.620999999999996</v>
      </c>
      <c r="Y506" s="96">
        <f t="shared" si="203"/>
        <v>100</v>
      </c>
      <c r="Z506" s="96">
        <v>0.154</v>
      </c>
      <c r="AA506" s="272">
        <f t="shared" si="204"/>
        <v>100</v>
      </c>
      <c r="AB506" s="519">
        <f t="shared" si="205"/>
        <v>97.18651089629266</v>
      </c>
      <c r="AC506" s="272">
        <f t="shared" si="193"/>
        <v>97</v>
      </c>
      <c r="AD506" s="272">
        <f t="shared" si="194"/>
        <v>99.65742776540759</v>
      </c>
      <c r="AE506" s="272">
        <f t="shared" si="206"/>
        <v>98</v>
      </c>
      <c r="AF506" s="272">
        <f t="shared" si="195"/>
        <v>99.631747620330671</v>
      </c>
      <c r="AG506" s="272">
        <f t="shared" si="207"/>
        <v>99</v>
      </c>
      <c r="AH506" s="272">
        <f t="shared" si="196"/>
        <v>99.606595727908896</v>
      </c>
      <c r="AI506" s="272">
        <f t="shared" si="208"/>
        <v>99</v>
      </c>
      <c r="AJ506" s="272">
        <f t="shared" si="197"/>
        <v>99.606595727908896</v>
      </c>
      <c r="AK506" s="272">
        <f t="shared" si="209"/>
        <v>99</v>
      </c>
      <c r="AL506" s="272">
        <f t="shared" si="198"/>
        <v>99.606595727908896</v>
      </c>
      <c r="AM506" s="272">
        <f t="shared" si="210"/>
        <v>99</v>
      </c>
      <c r="AN506" s="272">
        <f t="shared" si="199"/>
        <v>99.606595727908896</v>
      </c>
      <c r="AO506" s="272">
        <f t="shared" si="211"/>
        <v>99</v>
      </c>
      <c r="AP506" s="272">
        <f t="shared" si="200"/>
        <v>99.606595727908896</v>
      </c>
      <c r="AQ506" s="272">
        <f t="shared" si="212"/>
        <v>99</v>
      </c>
      <c r="AR506" s="272">
        <f t="shared" si="201"/>
        <v>99.606595727908896</v>
      </c>
      <c r="AS506" s="272">
        <f t="shared" si="213"/>
        <v>99</v>
      </c>
      <c r="AT506" s="508">
        <f t="shared" si="202"/>
        <v>99.606595727908896</v>
      </c>
    </row>
    <row r="507" spans="1:46" ht="12.75" customHeight="1">
      <c r="A507" s="96">
        <f>IF(MAX($F$93:F507)=$G$88,$G$88,F507)</f>
        <v>3.2057712852183653</v>
      </c>
      <c r="B507" s="481">
        <v>415</v>
      </c>
      <c r="C507" s="96">
        <f t="shared" si="218"/>
        <v>0.62249999999999595</v>
      </c>
      <c r="D507" s="96">
        <f t="shared" si="215"/>
        <v>25.185067279742778</v>
      </c>
      <c r="E507" s="96">
        <f t="shared" si="216"/>
        <v>2.1824283480549864E-2</v>
      </c>
      <c r="F507" s="96">
        <f t="shared" si="214"/>
        <v>0.37557273804343461</v>
      </c>
      <c r="G507" s="96">
        <f t="shared" si="217"/>
        <v>0.25957273804343461</v>
      </c>
      <c r="I507" s="96">
        <f t="shared" si="219"/>
        <v>0</v>
      </c>
      <c r="J507" s="96">
        <f t="shared" si="220"/>
        <v>0.62249999999999595</v>
      </c>
      <c r="Y507" s="96">
        <f t="shared" si="203"/>
        <v>103</v>
      </c>
      <c r="Z507" s="96">
        <v>0.152</v>
      </c>
      <c r="AA507" s="272">
        <f t="shared" si="204"/>
        <v>103</v>
      </c>
      <c r="AB507" s="519">
        <f t="shared" si="205"/>
        <v>99.76087657619793</v>
      </c>
      <c r="AC507" s="272">
        <f t="shared" si="193"/>
        <v>99</v>
      </c>
      <c r="AD507" s="272">
        <f t="shared" si="194"/>
        <v>102.2450668405076</v>
      </c>
      <c r="AE507" s="272">
        <f t="shared" si="206"/>
        <v>100</v>
      </c>
      <c r="AF507" s="272">
        <f t="shared" si="195"/>
        <v>102.2197743872117</v>
      </c>
      <c r="AG507" s="272">
        <f t="shared" si="207"/>
        <v>101</v>
      </c>
      <c r="AH507" s="272">
        <f t="shared" si="196"/>
        <v>102.19499172705571</v>
      </c>
      <c r="AI507" s="272">
        <f t="shared" si="208"/>
        <v>102</v>
      </c>
      <c r="AJ507" s="272">
        <f t="shared" si="197"/>
        <v>102.17070360178663</v>
      </c>
      <c r="AK507" s="272">
        <f t="shared" si="209"/>
        <v>102</v>
      </c>
      <c r="AL507" s="272">
        <f t="shared" si="198"/>
        <v>102.17070360178663</v>
      </c>
      <c r="AM507" s="272">
        <f t="shared" si="210"/>
        <v>102</v>
      </c>
      <c r="AN507" s="272">
        <f t="shared" si="199"/>
        <v>102.17070360178663</v>
      </c>
      <c r="AO507" s="272">
        <f t="shared" si="211"/>
        <v>102</v>
      </c>
      <c r="AP507" s="272">
        <f t="shared" si="200"/>
        <v>102.17070360178663</v>
      </c>
      <c r="AQ507" s="272">
        <f t="shared" si="212"/>
        <v>102</v>
      </c>
      <c r="AR507" s="272">
        <f t="shared" si="201"/>
        <v>102.17070360178663</v>
      </c>
      <c r="AS507" s="272">
        <f t="shared" si="213"/>
        <v>102</v>
      </c>
      <c r="AT507" s="508">
        <f t="shared" si="202"/>
        <v>102.17070360178663</v>
      </c>
    </row>
    <row r="508" spans="1:46" ht="12.75" customHeight="1">
      <c r="A508" s="96">
        <f>IF(MAX($F$93:F508)=$G$88,$G$88,F508)</f>
        <v>3.2057712852183653</v>
      </c>
      <c r="B508" s="481">
        <v>416</v>
      </c>
      <c r="C508" s="96">
        <f t="shared" si="218"/>
        <v>0.62399999999999589</v>
      </c>
      <c r="D508" s="96">
        <f t="shared" si="215"/>
        <v>25.306587331474329</v>
      </c>
      <c r="E508" s="96">
        <f t="shared" si="216"/>
        <v>2.1032268168950284E-2</v>
      </c>
      <c r="F508" s="96">
        <f t="shared" si="214"/>
        <v>0.36378948589278493</v>
      </c>
      <c r="G508" s="96">
        <f t="shared" si="217"/>
        <v>0.24778948589278493</v>
      </c>
      <c r="I508" s="96">
        <f t="shared" si="219"/>
        <v>0</v>
      </c>
      <c r="J508" s="96">
        <f t="shared" si="220"/>
        <v>0.62399999999999589</v>
      </c>
      <c r="Y508" s="96">
        <f t="shared" si="203"/>
        <v>105</v>
      </c>
      <c r="Z508" s="96">
        <v>0.15</v>
      </c>
      <c r="AA508" s="272">
        <f t="shared" si="204"/>
        <v>105</v>
      </c>
      <c r="AB508" s="519">
        <f t="shared" si="205"/>
        <v>102.43890188517676</v>
      </c>
      <c r="AC508" s="272">
        <f t="shared" si="193"/>
        <v>102</v>
      </c>
      <c r="AD508" s="272">
        <f t="shared" si="194"/>
        <v>104.91341937847459</v>
      </c>
      <c r="AE508" s="272">
        <f t="shared" si="206"/>
        <v>103</v>
      </c>
      <c r="AF508" s="272">
        <f t="shared" si="195"/>
        <v>104.88897201353802</v>
      </c>
      <c r="AG508" s="272">
        <f t="shared" si="207"/>
        <v>104</v>
      </c>
      <c r="AH508" s="272">
        <f t="shared" si="196"/>
        <v>104.86500295013136</v>
      </c>
      <c r="AI508" s="272">
        <f t="shared" si="208"/>
        <v>104</v>
      </c>
      <c r="AJ508" s="272">
        <f t="shared" si="197"/>
        <v>104.86500295013136</v>
      </c>
      <c r="AK508" s="272">
        <f t="shared" si="209"/>
        <v>104</v>
      </c>
      <c r="AL508" s="272">
        <f t="shared" si="198"/>
        <v>104.86500295013136</v>
      </c>
      <c r="AM508" s="272">
        <f t="shared" si="210"/>
        <v>104</v>
      </c>
      <c r="AN508" s="272">
        <f t="shared" si="199"/>
        <v>104.86500295013136</v>
      </c>
      <c r="AO508" s="272">
        <f t="shared" si="211"/>
        <v>104</v>
      </c>
      <c r="AP508" s="272">
        <f t="shared" si="200"/>
        <v>104.86500295013136</v>
      </c>
      <c r="AQ508" s="272">
        <f t="shared" si="212"/>
        <v>104</v>
      </c>
      <c r="AR508" s="272">
        <f t="shared" si="201"/>
        <v>104.86500295013136</v>
      </c>
      <c r="AS508" s="272">
        <f t="shared" si="213"/>
        <v>104</v>
      </c>
      <c r="AT508" s="508">
        <f t="shared" si="202"/>
        <v>104.86500295013136</v>
      </c>
    </row>
    <row r="509" spans="1:46" ht="12.75" customHeight="1">
      <c r="A509" s="96">
        <f>IF(MAX($F$93:F509)=$G$88,$G$88,F509)</f>
        <v>3.2057712852183653</v>
      </c>
      <c r="B509" s="481">
        <v>417</v>
      </c>
      <c r="C509" s="96">
        <f t="shared" si="218"/>
        <v>0.62549999999999584</v>
      </c>
      <c r="D509" s="96">
        <f t="shared" si="215"/>
        <v>25.428399850237721</v>
      </c>
      <c r="E509" s="96">
        <f t="shared" si="216"/>
        <v>2.02651856838665E-2</v>
      </c>
      <c r="F509" s="96">
        <f t="shared" si="214"/>
        <v>0.3522999711912444</v>
      </c>
      <c r="G509" s="96">
        <f t="shared" si="217"/>
        <v>0.23629997119124441</v>
      </c>
      <c r="I509" s="96">
        <f t="shared" si="219"/>
        <v>0</v>
      </c>
      <c r="J509" s="96">
        <f t="shared" si="220"/>
        <v>0.62549999999999584</v>
      </c>
      <c r="Y509" s="96">
        <f t="shared" si="203"/>
        <v>108</v>
      </c>
      <c r="Z509" s="96">
        <v>0.14799999999999999</v>
      </c>
      <c r="AA509" s="272">
        <f t="shared" si="204"/>
        <v>108</v>
      </c>
      <c r="AB509" s="519">
        <f t="shared" si="205"/>
        <v>105.22622773997796</v>
      </c>
      <c r="AC509" s="272">
        <f t="shared" si="193"/>
        <v>105</v>
      </c>
      <c r="AD509" s="272">
        <f t="shared" si="194"/>
        <v>107.69419793143123</v>
      </c>
      <c r="AE509" s="272">
        <f t="shared" si="206"/>
        <v>106</v>
      </c>
      <c r="AF509" s="272">
        <f t="shared" si="195"/>
        <v>107.67051702414805</v>
      </c>
      <c r="AG509" s="272">
        <f t="shared" si="207"/>
        <v>107</v>
      </c>
      <c r="AH509" s="272">
        <f t="shared" si="196"/>
        <v>107.64728621645847</v>
      </c>
      <c r="AI509" s="272">
        <f t="shared" si="208"/>
        <v>107</v>
      </c>
      <c r="AJ509" s="272">
        <f t="shared" si="197"/>
        <v>107.64728621645847</v>
      </c>
      <c r="AK509" s="272">
        <f t="shared" si="209"/>
        <v>107</v>
      </c>
      <c r="AL509" s="272">
        <f t="shared" si="198"/>
        <v>107.64728621645847</v>
      </c>
      <c r="AM509" s="272">
        <f t="shared" si="210"/>
        <v>107</v>
      </c>
      <c r="AN509" s="272">
        <f t="shared" si="199"/>
        <v>107.64728621645847</v>
      </c>
      <c r="AO509" s="272">
        <f t="shared" si="211"/>
        <v>107</v>
      </c>
      <c r="AP509" s="272">
        <f t="shared" si="200"/>
        <v>107.64728621645847</v>
      </c>
      <c r="AQ509" s="272">
        <f t="shared" si="212"/>
        <v>107</v>
      </c>
      <c r="AR509" s="272">
        <f t="shared" si="201"/>
        <v>107.64728621645847</v>
      </c>
      <c r="AS509" s="272">
        <f t="shared" si="213"/>
        <v>107</v>
      </c>
      <c r="AT509" s="508">
        <f t="shared" si="202"/>
        <v>107.64728621645847</v>
      </c>
    </row>
    <row r="510" spans="1:46" ht="12.75" customHeight="1">
      <c r="A510" s="96">
        <f>IF(MAX($F$93:F510)=$G$88,$G$88,F510)</f>
        <v>3.2057712852183653</v>
      </c>
      <c r="B510" s="481">
        <v>418</v>
      </c>
      <c r="C510" s="96">
        <f t="shared" si="218"/>
        <v>0.62699999999999578</v>
      </c>
      <c r="D510" s="96">
        <f t="shared" si="215"/>
        <v>25.550504836032957</v>
      </c>
      <c r="E510" s="96">
        <f t="shared" si="216"/>
        <v>1.9522411149559236E-2</v>
      </c>
      <c r="F510" s="96">
        <f t="shared" si="214"/>
        <v>0.34109990486122821</v>
      </c>
      <c r="G510" s="96">
        <f t="shared" si="217"/>
        <v>0.22509990486122822</v>
      </c>
      <c r="I510" s="96">
        <f t="shared" si="219"/>
        <v>0</v>
      </c>
      <c r="J510" s="96">
        <f t="shared" si="220"/>
        <v>0.62699999999999578</v>
      </c>
      <c r="Y510" s="96">
        <f t="shared" si="203"/>
        <v>111</v>
      </c>
      <c r="Z510" s="96">
        <v>0.14599999999999999</v>
      </c>
      <c r="AA510" s="272">
        <f t="shared" si="204"/>
        <v>111</v>
      </c>
      <c r="AB510" s="519">
        <f t="shared" si="205"/>
        <v>108.12888405031325</v>
      </c>
      <c r="AC510" s="272">
        <f t="shared" si="193"/>
        <v>108</v>
      </c>
      <c r="AD510" s="272">
        <f t="shared" si="194"/>
        <v>110.59330504011314</v>
      </c>
      <c r="AE510" s="272">
        <f t="shared" si="206"/>
        <v>109</v>
      </c>
      <c r="AF510" s="272">
        <f t="shared" si="195"/>
        <v>110.57031974625629</v>
      </c>
      <c r="AG510" s="272">
        <f t="shared" si="207"/>
        <v>110</v>
      </c>
      <c r="AH510" s="272">
        <f t="shared" si="196"/>
        <v>110.54775922237675</v>
      </c>
      <c r="AI510" s="272">
        <f t="shared" si="208"/>
        <v>110</v>
      </c>
      <c r="AJ510" s="272">
        <f t="shared" si="197"/>
        <v>110.54775922237675</v>
      </c>
      <c r="AK510" s="272">
        <f t="shared" si="209"/>
        <v>110</v>
      </c>
      <c r="AL510" s="272">
        <f t="shared" si="198"/>
        <v>110.54775922237675</v>
      </c>
      <c r="AM510" s="272">
        <f t="shared" si="210"/>
        <v>110</v>
      </c>
      <c r="AN510" s="272">
        <f t="shared" si="199"/>
        <v>110.54775922237675</v>
      </c>
      <c r="AO510" s="272">
        <f t="shared" si="211"/>
        <v>110</v>
      </c>
      <c r="AP510" s="272">
        <f t="shared" si="200"/>
        <v>110.54775922237675</v>
      </c>
      <c r="AQ510" s="272">
        <f t="shared" si="212"/>
        <v>110</v>
      </c>
      <c r="AR510" s="272">
        <f t="shared" si="201"/>
        <v>110.54775922237675</v>
      </c>
      <c r="AS510" s="272">
        <f t="shared" si="213"/>
        <v>110</v>
      </c>
      <c r="AT510" s="508">
        <f t="shared" si="202"/>
        <v>110.54775922237675</v>
      </c>
    </row>
    <row r="511" spans="1:46" ht="12.75" customHeight="1">
      <c r="A511" s="96">
        <f>IF(MAX($F$93:F511)=$G$88,$G$88,F511)</f>
        <v>3.2057712852183653</v>
      </c>
      <c r="B511" s="481">
        <v>419</v>
      </c>
      <c r="C511" s="96">
        <f t="shared" si="218"/>
        <v>0.62849999999999573</v>
      </c>
      <c r="D511" s="96">
        <f t="shared" si="215"/>
        <v>25.672902288860037</v>
      </c>
      <c r="E511" s="96">
        <f t="shared" si="216"/>
        <v>1.880332894874695E-2</v>
      </c>
      <c r="F511" s="96">
        <f t="shared" si="214"/>
        <v>0.3301849379221431</v>
      </c>
      <c r="G511" s="96">
        <f t="shared" si="217"/>
        <v>0.2141849379221431</v>
      </c>
      <c r="I511" s="96">
        <f t="shared" si="219"/>
        <v>0</v>
      </c>
      <c r="J511" s="96">
        <f t="shared" si="220"/>
        <v>0.62849999999999573</v>
      </c>
      <c r="Y511" s="96">
        <f t="shared" si="203"/>
        <v>114</v>
      </c>
      <c r="Z511" s="96">
        <v>0.14399999999999999</v>
      </c>
      <c r="AA511" s="272">
        <f t="shared" si="204"/>
        <v>114</v>
      </c>
      <c r="AB511" s="519">
        <f t="shared" si="205"/>
        <v>111.15332235804769</v>
      </c>
      <c r="AC511" s="272">
        <f t="shared" si="193"/>
        <v>111</v>
      </c>
      <c r="AD511" s="272">
        <f t="shared" si="194"/>
        <v>113.61708821261773</v>
      </c>
      <c r="AE511" s="272">
        <f t="shared" si="206"/>
        <v>112</v>
      </c>
      <c r="AF511" s="272">
        <f t="shared" si="195"/>
        <v>113.59473441526627</v>
      </c>
      <c r="AG511" s="272">
        <f t="shared" si="207"/>
        <v>113</v>
      </c>
      <c r="AH511" s="272">
        <f t="shared" si="196"/>
        <v>113.57278257728103</v>
      </c>
      <c r="AI511" s="272">
        <f t="shared" si="208"/>
        <v>113</v>
      </c>
      <c r="AJ511" s="272">
        <f t="shared" si="197"/>
        <v>113.57278257728103</v>
      </c>
      <c r="AK511" s="272">
        <f t="shared" si="209"/>
        <v>113</v>
      </c>
      <c r="AL511" s="272">
        <f t="shared" si="198"/>
        <v>113.57278257728103</v>
      </c>
      <c r="AM511" s="272">
        <f t="shared" si="210"/>
        <v>113</v>
      </c>
      <c r="AN511" s="272">
        <f t="shared" si="199"/>
        <v>113.57278257728103</v>
      </c>
      <c r="AO511" s="272">
        <f t="shared" si="211"/>
        <v>113</v>
      </c>
      <c r="AP511" s="272">
        <f t="shared" si="200"/>
        <v>113.57278257728103</v>
      </c>
      <c r="AQ511" s="272">
        <f t="shared" si="212"/>
        <v>113</v>
      </c>
      <c r="AR511" s="272">
        <f t="shared" si="201"/>
        <v>113.57278257728103</v>
      </c>
      <c r="AS511" s="272">
        <f t="shared" si="213"/>
        <v>113</v>
      </c>
      <c r="AT511" s="508">
        <f t="shared" si="202"/>
        <v>113.57278257728103</v>
      </c>
    </row>
    <row r="512" spans="1:46" ht="12.75" customHeight="1">
      <c r="A512" s="96">
        <f>IF(MAX($F$93:F512)=$G$88,$G$88,F512)</f>
        <v>3.2057712852183653</v>
      </c>
      <c r="B512" s="481">
        <v>420</v>
      </c>
      <c r="C512" s="96">
        <f t="shared" si="218"/>
        <v>0.62999999999999567</v>
      </c>
      <c r="D512" s="96">
        <f t="shared" si="215"/>
        <v>25.795592208718961</v>
      </c>
      <c r="E512" s="96">
        <f t="shared" si="216"/>
        <v>1.8107332844178623E-2</v>
      </c>
      <c r="F512" s="96">
        <f t="shared" si="214"/>
        <v>0.31955066774692042</v>
      </c>
      <c r="G512" s="96">
        <f t="shared" si="217"/>
        <v>0.20355066774692043</v>
      </c>
      <c r="I512" s="96">
        <f t="shared" si="219"/>
        <v>0</v>
      </c>
      <c r="J512" s="96">
        <f t="shared" si="220"/>
        <v>0.62999999999999567</v>
      </c>
      <c r="Y512" s="96">
        <f t="shared" si="203"/>
        <v>117</v>
      </c>
      <c r="Z512" s="96">
        <v>0.14199999999999999</v>
      </c>
      <c r="AA512" s="272">
        <f t="shared" si="204"/>
        <v>117</v>
      </c>
      <c r="AB512" s="519">
        <f t="shared" si="205"/>
        <v>114.30645171674652</v>
      </c>
      <c r="AC512" s="272">
        <f t="shared" si="193"/>
        <v>114</v>
      </c>
      <c r="AD512" s="272">
        <f t="shared" si="194"/>
        <v>116.77237345949428</v>
      </c>
      <c r="AE512" s="272">
        <f t="shared" si="206"/>
        <v>115</v>
      </c>
      <c r="AF512" s="272">
        <f t="shared" si="195"/>
        <v>116.75059287082777</v>
      </c>
      <c r="AG512" s="272">
        <f t="shared" si="207"/>
        <v>116</v>
      </c>
      <c r="AH512" s="272">
        <f t="shared" si="196"/>
        <v>116.72919364941995</v>
      </c>
      <c r="AI512" s="272">
        <f t="shared" si="208"/>
        <v>116</v>
      </c>
      <c r="AJ512" s="272">
        <f t="shared" si="197"/>
        <v>116.72919364941995</v>
      </c>
      <c r="AK512" s="272">
        <f t="shared" si="209"/>
        <v>116</v>
      </c>
      <c r="AL512" s="272">
        <f t="shared" si="198"/>
        <v>116.72919364941995</v>
      </c>
      <c r="AM512" s="272">
        <f t="shared" si="210"/>
        <v>116</v>
      </c>
      <c r="AN512" s="272">
        <f t="shared" si="199"/>
        <v>116.72919364941995</v>
      </c>
      <c r="AO512" s="272">
        <f t="shared" si="211"/>
        <v>116</v>
      </c>
      <c r="AP512" s="272">
        <f t="shared" si="200"/>
        <v>116.72919364941995</v>
      </c>
      <c r="AQ512" s="272">
        <f t="shared" si="212"/>
        <v>116</v>
      </c>
      <c r="AR512" s="272">
        <f t="shared" si="201"/>
        <v>116.72919364941995</v>
      </c>
      <c r="AS512" s="272">
        <f t="shared" si="213"/>
        <v>116</v>
      </c>
      <c r="AT512" s="508">
        <f t="shared" si="202"/>
        <v>116.72919364941995</v>
      </c>
    </row>
    <row r="513" spans="1:46" ht="12.75" customHeight="1">
      <c r="A513" s="96">
        <f>IF(MAX($F$93:F513)=$G$88,$G$88,F513)</f>
        <v>3.2057712852183653</v>
      </c>
      <c r="B513" s="481">
        <v>421</v>
      </c>
      <c r="C513" s="96">
        <f t="shared" si="218"/>
        <v>0.63149999999999562</v>
      </c>
      <c r="D513" s="96">
        <f t="shared" si="215"/>
        <v>25.918574595609734</v>
      </c>
      <c r="E513" s="96">
        <f t="shared" si="216"/>
        <v>1.7433826086974434E-2</v>
      </c>
      <c r="F513" s="96">
        <f t="shared" si="214"/>
        <v>0.30919264415372655</v>
      </c>
      <c r="G513" s="96">
        <f t="shared" si="217"/>
        <v>0.19319264415372656</v>
      </c>
      <c r="I513" s="96">
        <f t="shared" si="219"/>
        <v>0</v>
      </c>
      <c r="J513" s="96">
        <f t="shared" si="220"/>
        <v>0.63149999999999562</v>
      </c>
      <c r="Y513" s="96">
        <f t="shared" si="203"/>
        <v>121</v>
      </c>
      <c r="Z513" s="96">
        <v>0.14000000000000001</v>
      </c>
      <c r="AA513" s="272">
        <f t="shared" si="204"/>
        <v>121</v>
      </c>
      <c r="AB513" s="519">
        <f t="shared" si="205"/>
        <v>117.59567818451407</v>
      </c>
      <c r="AC513" s="272">
        <f t="shared" si="193"/>
        <v>117</v>
      </c>
      <c r="AD513" s="272">
        <f t="shared" si="194"/>
        <v>120.06650288415588</v>
      </c>
      <c r="AE513" s="272">
        <f t="shared" si="206"/>
        <v>118</v>
      </c>
      <c r="AF513" s="272">
        <f t="shared" si="195"/>
        <v>120.04524760483118</v>
      </c>
      <c r="AG513" s="272">
        <f t="shared" si="207"/>
        <v>119</v>
      </c>
      <c r="AH513" s="272">
        <f t="shared" si="196"/>
        <v>120.02434979573866</v>
      </c>
      <c r="AI513" s="272">
        <f t="shared" si="208"/>
        <v>120</v>
      </c>
      <c r="AJ513" s="272">
        <f t="shared" si="197"/>
        <v>120.00380551902482</v>
      </c>
      <c r="AK513" s="272">
        <f t="shared" si="209"/>
        <v>120</v>
      </c>
      <c r="AL513" s="272">
        <f t="shared" si="198"/>
        <v>120.00380551902482</v>
      </c>
      <c r="AM513" s="272">
        <f t="shared" si="210"/>
        <v>120</v>
      </c>
      <c r="AN513" s="272">
        <f t="shared" si="199"/>
        <v>120.00380551902482</v>
      </c>
      <c r="AO513" s="272">
        <f t="shared" si="211"/>
        <v>120</v>
      </c>
      <c r="AP513" s="272">
        <f t="shared" si="200"/>
        <v>120.00380551902482</v>
      </c>
      <c r="AQ513" s="272">
        <f t="shared" si="212"/>
        <v>120</v>
      </c>
      <c r="AR513" s="272">
        <f t="shared" si="201"/>
        <v>120.00380551902482</v>
      </c>
      <c r="AS513" s="272">
        <f t="shared" si="213"/>
        <v>120</v>
      </c>
      <c r="AT513" s="508">
        <f t="shared" si="202"/>
        <v>120.00380551902482</v>
      </c>
    </row>
    <row r="514" spans="1:46" ht="12.75" customHeight="1">
      <c r="A514" s="96">
        <f>IF(MAX($F$93:F514)=$G$88,$G$88,F514)</f>
        <v>3.2057712852183653</v>
      </c>
      <c r="B514" s="481">
        <v>422</v>
      </c>
      <c r="C514" s="96">
        <f t="shared" si="218"/>
        <v>0.63299999999999557</v>
      </c>
      <c r="D514" s="96">
        <f t="shared" si="215"/>
        <v>26.04184944953235</v>
      </c>
      <c r="E514" s="96">
        <f t="shared" si="216"/>
        <v>1.6782221512091224E-2</v>
      </c>
      <c r="F514" s="96">
        <f t="shared" si="214"/>
        <v>0.2991063753302452</v>
      </c>
      <c r="G514" s="96">
        <f t="shared" si="217"/>
        <v>0.18310637533024521</v>
      </c>
      <c r="I514" s="96">
        <f t="shared" si="219"/>
        <v>0</v>
      </c>
      <c r="J514" s="96">
        <f t="shared" si="220"/>
        <v>0.63299999999999557</v>
      </c>
      <c r="Y514" s="96">
        <f t="shared" si="203"/>
        <v>124</v>
      </c>
      <c r="Z514" s="96">
        <v>0.13800000000000001</v>
      </c>
      <c r="AA514" s="272">
        <f t="shared" si="204"/>
        <v>124</v>
      </c>
      <c r="AB514" s="519">
        <f t="shared" si="205"/>
        <v>121.0289483520519</v>
      </c>
      <c r="AC514" s="272">
        <f t="shared" si="193"/>
        <v>121</v>
      </c>
      <c r="AD514" s="272">
        <f t="shared" si="194"/>
        <v>123.48659290234556</v>
      </c>
      <c r="AE514" s="272">
        <f t="shared" si="206"/>
        <v>122</v>
      </c>
      <c r="AF514" s="272">
        <f t="shared" si="195"/>
        <v>123.46614937107965</v>
      </c>
      <c r="AG514" s="272">
        <f t="shared" si="207"/>
        <v>123</v>
      </c>
      <c r="AH514" s="272">
        <f t="shared" si="196"/>
        <v>123.44604312932303</v>
      </c>
      <c r="AI514" s="272">
        <f t="shared" si="208"/>
        <v>123</v>
      </c>
      <c r="AJ514" s="272">
        <f t="shared" si="197"/>
        <v>123.44604312932303</v>
      </c>
      <c r="AK514" s="272">
        <f t="shared" si="209"/>
        <v>123</v>
      </c>
      <c r="AL514" s="272">
        <f t="shared" si="198"/>
        <v>123.44604312932303</v>
      </c>
      <c r="AM514" s="272">
        <f t="shared" si="210"/>
        <v>123</v>
      </c>
      <c r="AN514" s="272">
        <f t="shared" si="199"/>
        <v>123.44604312932303</v>
      </c>
      <c r="AO514" s="272">
        <f t="shared" si="211"/>
        <v>123</v>
      </c>
      <c r="AP514" s="272">
        <f t="shared" si="200"/>
        <v>123.44604312932303</v>
      </c>
      <c r="AQ514" s="272">
        <f t="shared" si="212"/>
        <v>123</v>
      </c>
      <c r="AR514" s="272">
        <f t="shared" si="201"/>
        <v>123.44604312932303</v>
      </c>
      <c r="AS514" s="272">
        <f t="shared" si="213"/>
        <v>123</v>
      </c>
      <c r="AT514" s="508">
        <f t="shared" si="202"/>
        <v>123.44604312932303</v>
      </c>
    </row>
    <row r="515" spans="1:46" ht="12.75" customHeight="1">
      <c r="A515" s="96">
        <f>IF(MAX($F$93:F515)=$G$88,$G$88,F515)</f>
        <v>3.2057712852183653</v>
      </c>
      <c r="B515" s="481">
        <v>423</v>
      </c>
      <c r="C515" s="96">
        <f t="shared" si="218"/>
        <v>0.63449999999999551</v>
      </c>
      <c r="D515" s="96">
        <f t="shared" si="215"/>
        <v>26.165416770486811</v>
      </c>
      <c r="E515" s="96">
        <f t="shared" si="216"/>
        <v>1.6151941621273383E-2</v>
      </c>
      <c r="F515" s="96">
        <f t="shared" si="214"/>
        <v>0.289287333588648</v>
      </c>
      <c r="G515" s="96">
        <f t="shared" si="217"/>
        <v>0.17328733358864801</v>
      </c>
      <c r="I515" s="96">
        <f t="shared" si="219"/>
        <v>0</v>
      </c>
      <c r="J515" s="96">
        <f t="shared" si="220"/>
        <v>0.63449999999999551</v>
      </c>
      <c r="Y515" s="96">
        <f t="shared" si="203"/>
        <v>128</v>
      </c>
      <c r="Z515" s="96">
        <v>0.13600000000000001</v>
      </c>
      <c r="AA515" s="272">
        <f t="shared" si="204"/>
        <v>128</v>
      </c>
      <c r="AB515" s="519">
        <f t="shared" si="205"/>
        <v>124.6147973841088</v>
      </c>
      <c r="AC515" s="272">
        <f t="shared" si="193"/>
        <v>124</v>
      </c>
      <c r="AD515" s="272">
        <f t="shared" si="194"/>
        <v>127.08314272119698</v>
      </c>
      <c r="AE515" s="272">
        <f t="shared" si="206"/>
        <v>125</v>
      </c>
      <c r="AF515" s="272">
        <f t="shared" si="195"/>
        <v>127.06311004180553</v>
      </c>
      <c r="AG515" s="272">
        <f t="shared" si="207"/>
        <v>126</v>
      </c>
      <c r="AH515" s="272">
        <f t="shared" si="196"/>
        <v>127.04339989256412</v>
      </c>
      <c r="AI515" s="272">
        <f t="shared" si="208"/>
        <v>127</v>
      </c>
      <c r="AJ515" s="272">
        <f t="shared" si="197"/>
        <v>127.02400454680559</v>
      </c>
      <c r="AK515" s="272">
        <f t="shared" si="209"/>
        <v>127</v>
      </c>
      <c r="AL515" s="272">
        <f t="shared" si="198"/>
        <v>127.02400454680559</v>
      </c>
      <c r="AM515" s="272">
        <f t="shared" si="210"/>
        <v>127</v>
      </c>
      <c r="AN515" s="272">
        <f t="shared" si="199"/>
        <v>127.02400454680559</v>
      </c>
      <c r="AO515" s="272">
        <f t="shared" si="211"/>
        <v>127</v>
      </c>
      <c r="AP515" s="272">
        <f t="shared" si="200"/>
        <v>127.02400454680559</v>
      </c>
      <c r="AQ515" s="272">
        <f t="shared" si="212"/>
        <v>127</v>
      </c>
      <c r="AR515" s="272">
        <f t="shared" si="201"/>
        <v>127.02400454680559</v>
      </c>
      <c r="AS515" s="272">
        <f t="shared" si="213"/>
        <v>127</v>
      </c>
      <c r="AT515" s="508">
        <f t="shared" si="202"/>
        <v>127.02400454680559</v>
      </c>
    </row>
    <row r="516" spans="1:46" ht="12.75" customHeight="1">
      <c r="A516" s="96">
        <f>IF(MAX($F$93:F516)=$G$88,$G$88,F516)</f>
        <v>3.2057712852183653</v>
      </c>
      <c r="B516" s="481">
        <v>424</v>
      </c>
      <c r="C516" s="96">
        <f t="shared" si="218"/>
        <v>0.63599999999999546</v>
      </c>
      <c r="D516" s="96">
        <f t="shared" si="215"/>
        <v>26.289276558473119</v>
      </c>
      <c r="E516" s="96">
        <f t="shared" si="216"/>
        <v>1.5542418653854161E-2</v>
      </c>
      <c r="F516" s="96">
        <f t="shared" si="214"/>
        <v>0.27973096094979721</v>
      </c>
      <c r="G516" s="96">
        <f t="shared" si="217"/>
        <v>0.16373096094979722</v>
      </c>
      <c r="I516" s="96">
        <f t="shared" si="219"/>
        <v>0</v>
      </c>
      <c r="J516" s="96">
        <f t="shared" si="220"/>
        <v>0.63599999999999546</v>
      </c>
      <c r="Y516" s="96">
        <f t="shared" si="203"/>
        <v>131</v>
      </c>
      <c r="Z516" s="96">
        <v>0.13400000000000001</v>
      </c>
      <c r="AA516" s="272">
        <f t="shared" si="204"/>
        <v>131</v>
      </c>
      <c r="AB516" s="519">
        <f t="shared" si="205"/>
        <v>128.36240211720184</v>
      </c>
      <c r="AC516" s="272">
        <f t="shared" si="193"/>
        <v>128</v>
      </c>
      <c r="AD516" s="272">
        <f t="shared" si="194"/>
        <v>130.8244005348526</v>
      </c>
      <c r="AE516" s="272">
        <f t="shared" si="206"/>
        <v>129</v>
      </c>
      <c r="AF516" s="272">
        <f t="shared" si="195"/>
        <v>130.80504756614894</v>
      </c>
      <c r="AG516" s="272">
        <f t="shared" si="207"/>
        <v>130</v>
      </c>
      <c r="AH516" s="272">
        <f t="shared" si="196"/>
        <v>130.78599646510145</v>
      </c>
      <c r="AI516" s="272">
        <f t="shared" si="208"/>
        <v>130</v>
      </c>
      <c r="AJ516" s="272">
        <f t="shared" si="197"/>
        <v>130.78599646510145</v>
      </c>
      <c r="AK516" s="272">
        <f t="shared" si="209"/>
        <v>130</v>
      </c>
      <c r="AL516" s="272">
        <f t="shared" si="198"/>
        <v>130.78599646510145</v>
      </c>
      <c r="AM516" s="272">
        <f t="shared" si="210"/>
        <v>130</v>
      </c>
      <c r="AN516" s="272">
        <f t="shared" si="199"/>
        <v>130.78599646510145</v>
      </c>
      <c r="AO516" s="272">
        <f t="shared" si="211"/>
        <v>130</v>
      </c>
      <c r="AP516" s="272">
        <f t="shared" si="200"/>
        <v>130.78599646510145</v>
      </c>
      <c r="AQ516" s="272">
        <f t="shared" si="212"/>
        <v>130</v>
      </c>
      <c r="AR516" s="272">
        <f t="shared" si="201"/>
        <v>130.78599646510145</v>
      </c>
      <c r="AS516" s="272">
        <f t="shared" si="213"/>
        <v>130</v>
      </c>
      <c r="AT516" s="508">
        <f t="shared" si="202"/>
        <v>130.78599646510145</v>
      </c>
    </row>
    <row r="517" spans="1:46" ht="12.75" customHeight="1">
      <c r="A517" s="96">
        <f>IF(MAX($F$93:F517)=$G$88,$G$88,F517)</f>
        <v>3.2057712852183653</v>
      </c>
      <c r="B517" s="481">
        <v>425</v>
      </c>
      <c r="C517" s="96">
        <f t="shared" si="218"/>
        <v>0.6374999999999954</v>
      </c>
      <c r="D517" s="96">
        <f t="shared" si="215"/>
        <v>26.413428813491265</v>
      </c>
      <c r="E517" s="96">
        <f t="shared" si="216"/>
        <v>1.4953094645774252E-2</v>
      </c>
      <c r="F517" s="96">
        <f t="shared" si="214"/>
        <v>0.27043267455510323</v>
      </c>
      <c r="G517" s="96">
        <f t="shared" si="217"/>
        <v>0.15443267455510323</v>
      </c>
      <c r="I517" s="96">
        <f t="shared" si="219"/>
        <v>0</v>
      </c>
      <c r="J517" s="96">
        <f t="shared" si="220"/>
        <v>0.6374999999999954</v>
      </c>
      <c r="Y517" s="96">
        <f t="shared" si="203"/>
        <v>135</v>
      </c>
      <c r="Z517" s="96">
        <v>0.13200000000000001</v>
      </c>
      <c r="AA517" s="272">
        <f t="shared" si="204"/>
        <v>135</v>
      </c>
      <c r="AB517" s="519">
        <f t="shared" si="205"/>
        <v>132.28163983106498</v>
      </c>
      <c r="AC517" s="272">
        <f t="shared" ref="AC517:AC533" si="221">ROUNDUP(AB517,0)-1</f>
        <v>132</v>
      </c>
      <c r="AD517" s="272">
        <f t="shared" ref="AD517:AD533" si="222">MAX((TINV(1-$C$69/100,AC517)/$Z517)^2*$D$65,$C$68)</f>
        <v>134.7408718391284</v>
      </c>
      <c r="AE517" s="272">
        <f t="shared" si="206"/>
        <v>133</v>
      </c>
      <c r="AF517" s="272">
        <f t="shared" ref="AF517:AF533" si="223">MAX((TINV(1-$C$69/100,AE517)/$Z517)^2*$D$65,$C$68)</f>
        <v>134.72212985963043</v>
      </c>
      <c r="AG517" s="272">
        <f t="shared" si="207"/>
        <v>134</v>
      </c>
      <c r="AH517" s="272">
        <f t="shared" ref="AH517:AH533" si="224">MAX((TINV(1-$C$69/100,AG517)/$Z517)^2*$D$65,$C$68)</f>
        <v>134.70367137472815</v>
      </c>
      <c r="AI517" s="272">
        <f t="shared" si="208"/>
        <v>134</v>
      </c>
      <c r="AJ517" s="272">
        <f t="shared" ref="AJ517:AJ533" si="225">MAX((TINV(1-$C$69/100,AI517)/$Z517)^2*$D$65,$C$68)</f>
        <v>134.70367137472815</v>
      </c>
      <c r="AK517" s="272">
        <f t="shared" si="209"/>
        <v>134</v>
      </c>
      <c r="AL517" s="272">
        <f t="shared" ref="AL517:AL533" si="226">MAX((TINV(1-$C$69/100,AK517)/$Z517)^2*$D$65,$C$68)</f>
        <v>134.70367137472815</v>
      </c>
      <c r="AM517" s="272">
        <f t="shared" si="210"/>
        <v>134</v>
      </c>
      <c r="AN517" s="272">
        <f t="shared" ref="AN517:AN533" si="227">MAX((TINV(1-$C$69/100,AM517)/$Z517)^2*$D$65,$C$68)</f>
        <v>134.70367137472815</v>
      </c>
      <c r="AO517" s="272">
        <f t="shared" si="211"/>
        <v>134</v>
      </c>
      <c r="AP517" s="272">
        <f t="shared" ref="AP517:AP533" si="228">MAX((TINV(1-$C$69/100,AO517)/$Z517)^2*$D$65,$C$68)</f>
        <v>134.70367137472815</v>
      </c>
      <c r="AQ517" s="272">
        <f t="shared" si="212"/>
        <v>134</v>
      </c>
      <c r="AR517" s="272">
        <f t="shared" ref="AR517:AR533" si="229">MAX((TINV(1-$C$69/100,AQ517)/$Z517)^2*$D$65,$C$68)</f>
        <v>134.70367137472815</v>
      </c>
      <c r="AS517" s="272">
        <f t="shared" si="213"/>
        <v>134</v>
      </c>
      <c r="AT517" s="508">
        <f t="shared" ref="AT517:AT533" si="230">MAX((TINV(1-$C$69/100,AS517)/$Z517)^2*$D$65,$C$68)</f>
        <v>134.70367137472815</v>
      </c>
    </row>
    <row r="518" spans="1:46" ht="12.75" customHeight="1">
      <c r="A518" s="96">
        <f>IF(MAX($F$93:F518)=$G$88,$G$88,F518)</f>
        <v>3.2057712852183653</v>
      </c>
      <c r="B518" s="481">
        <v>426</v>
      </c>
      <c r="C518" s="96">
        <f t="shared" si="218"/>
        <v>0.63899999999999535</v>
      </c>
      <c r="D518" s="96">
        <f t="shared" si="215"/>
        <v>26.537873535541262</v>
      </c>
      <c r="E518" s="96">
        <f t="shared" si="216"/>
        <v>1.4383421477189432E-2</v>
      </c>
      <c r="F518" s="96">
        <f t="shared" si="214"/>
        <v>0.26138787190499951</v>
      </c>
      <c r="G518" s="96">
        <f t="shared" si="217"/>
        <v>0.14538787190499952</v>
      </c>
      <c r="I518" s="96">
        <f t="shared" si="219"/>
        <v>0</v>
      </c>
      <c r="J518" s="96">
        <f t="shared" si="220"/>
        <v>0.63899999999999535</v>
      </c>
      <c r="Y518" s="96">
        <f t="shared" ref="Y518:Y533" si="231">AA518</f>
        <v>139</v>
      </c>
      <c r="Z518" s="96">
        <v>0.13</v>
      </c>
      <c r="AA518" s="272">
        <f t="shared" si="204"/>
        <v>139</v>
      </c>
      <c r="AB518" s="519">
        <f t="shared" si="205"/>
        <v>136.38315339742462</v>
      </c>
      <c r="AC518" s="272">
        <f t="shared" si="221"/>
        <v>136</v>
      </c>
      <c r="AD518" s="272">
        <f t="shared" si="222"/>
        <v>138.84307135932355</v>
      </c>
      <c r="AE518" s="272">
        <f t="shared" si="206"/>
        <v>137</v>
      </c>
      <c r="AF518" s="272">
        <f t="shared" si="223"/>
        <v>138.82487869306013</v>
      </c>
      <c r="AG518" s="272">
        <f t="shared" si="207"/>
        <v>138</v>
      </c>
      <c r="AH518" s="272">
        <f t="shared" si="224"/>
        <v>138.80695313270678</v>
      </c>
      <c r="AI518" s="272">
        <f t="shared" si="208"/>
        <v>138</v>
      </c>
      <c r="AJ518" s="272">
        <f t="shared" si="225"/>
        <v>138.80695313270678</v>
      </c>
      <c r="AK518" s="272">
        <f t="shared" si="209"/>
        <v>138</v>
      </c>
      <c r="AL518" s="272">
        <f t="shared" si="226"/>
        <v>138.80695313270678</v>
      </c>
      <c r="AM518" s="272">
        <f t="shared" si="210"/>
        <v>138</v>
      </c>
      <c r="AN518" s="272">
        <f t="shared" si="227"/>
        <v>138.80695313270678</v>
      </c>
      <c r="AO518" s="272">
        <f t="shared" si="211"/>
        <v>138</v>
      </c>
      <c r="AP518" s="272">
        <f t="shared" si="228"/>
        <v>138.80695313270678</v>
      </c>
      <c r="AQ518" s="272">
        <f t="shared" si="212"/>
        <v>138</v>
      </c>
      <c r="AR518" s="272">
        <f t="shared" si="229"/>
        <v>138.80695313270678</v>
      </c>
      <c r="AS518" s="272">
        <f t="shared" si="213"/>
        <v>138</v>
      </c>
      <c r="AT518" s="508">
        <f t="shared" si="230"/>
        <v>138.80695313270678</v>
      </c>
    </row>
    <row r="519" spans="1:46" ht="12.75" customHeight="1">
      <c r="A519" s="96">
        <f>IF(MAX($F$93:F519)=$G$88,$G$88,F519)</f>
        <v>3.2057712852183653</v>
      </c>
      <c r="B519" s="481">
        <v>427</v>
      </c>
      <c r="C519" s="96">
        <f t="shared" si="218"/>
        <v>0.6404999999999953</v>
      </c>
      <c r="D519" s="96">
        <f t="shared" si="215"/>
        <v>26.662610724623104</v>
      </c>
      <c r="E519" s="96">
        <f t="shared" si="216"/>
        <v>1.383286090903854E-2</v>
      </c>
      <c r="F519" s="96">
        <f t="shared" si="214"/>
        <v>0.25259193592372658</v>
      </c>
      <c r="G519" s="96">
        <f t="shared" si="217"/>
        <v>0.13659193592372659</v>
      </c>
      <c r="I519" s="96">
        <f t="shared" si="219"/>
        <v>0</v>
      </c>
      <c r="J519" s="96">
        <f t="shared" si="220"/>
        <v>0.6404999999999953</v>
      </c>
      <c r="Y519" s="96">
        <f t="shared" si="231"/>
        <v>144</v>
      </c>
      <c r="Z519" s="96">
        <v>0.128</v>
      </c>
      <c r="AA519" s="272">
        <f t="shared" ref="AA519:AA533" si="232">1+MAX(AQ519,AS519)</f>
        <v>144</v>
      </c>
      <c r="AB519" s="519">
        <f t="shared" ref="AB519:AB533" si="233">MAX(($C$72/Z519)^2*$D$65,$C$68)</f>
        <v>140.67842360940409</v>
      </c>
      <c r="AC519" s="272">
        <f t="shared" si="221"/>
        <v>140</v>
      </c>
      <c r="AD519" s="272">
        <f t="shared" si="222"/>
        <v>143.14238124893325</v>
      </c>
      <c r="AE519" s="272">
        <f t="shared" ref="AE519:AE533" si="234">MAX(MIN(ROUNDUP(AD519,0)-1,AC519+1),AC519-1)</f>
        <v>141</v>
      </c>
      <c r="AF519" s="272">
        <f t="shared" si="223"/>
        <v>143.12468224392791</v>
      </c>
      <c r="AG519" s="272">
        <f t="shared" ref="AG519:AG533" si="235">MAX(MIN(ROUNDUP(AF519,0)-1,AE519+1),AE519-1)</f>
        <v>142</v>
      </c>
      <c r="AH519" s="272">
        <f t="shared" si="224"/>
        <v>143.10723568479511</v>
      </c>
      <c r="AI519" s="272">
        <f t="shared" ref="AI519:AI533" si="236">MAX(MIN(ROUNDUP(AH519,0)-1,AG519+1),AG519-1)</f>
        <v>143</v>
      </c>
      <c r="AJ519" s="272">
        <f t="shared" si="225"/>
        <v>143.0900362088891</v>
      </c>
      <c r="AK519" s="272">
        <f t="shared" ref="AK519:AK533" si="237">MAX(MIN(ROUNDUP(AJ519,0)-1,AI519+1),AI519-1)</f>
        <v>143</v>
      </c>
      <c r="AL519" s="272">
        <f t="shared" si="226"/>
        <v>143.0900362088891</v>
      </c>
      <c r="AM519" s="272">
        <f t="shared" ref="AM519:AM533" si="238">MAX(MIN(ROUNDUP(AL519,0)-1,AK519+1),AK519-1)</f>
        <v>143</v>
      </c>
      <c r="AN519" s="272">
        <f t="shared" si="227"/>
        <v>143.0900362088891</v>
      </c>
      <c r="AO519" s="272">
        <f t="shared" ref="AO519:AO533" si="239">MAX(MIN(ROUNDUP(AN519,0)-1,AM519+1),AM519-1)</f>
        <v>143</v>
      </c>
      <c r="AP519" s="272">
        <f t="shared" si="228"/>
        <v>143.0900362088891</v>
      </c>
      <c r="AQ519" s="272">
        <f t="shared" ref="AQ519:AQ533" si="240">MAX(MIN(ROUNDUP(AP519,0)-1,AO519+1),AO519-1)</f>
        <v>143</v>
      </c>
      <c r="AR519" s="272">
        <f t="shared" si="229"/>
        <v>143.0900362088891</v>
      </c>
      <c r="AS519" s="272">
        <f t="shared" ref="AS519:AS533" si="241">MAX(MIN(ROUNDUP(AR519,0)-1,AQ519+1),AQ519-1)</f>
        <v>143</v>
      </c>
      <c r="AT519" s="508">
        <f t="shared" si="230"/>
        <v>143.0900362088891</v>
      </c>
    </row>
    <row r="520" spans="1:46" ht="12.75" customHeight="1">
      <c r="A520" s="96">
        <f>IF(MAX($F$93:F520)=$G$88,$G$88,F520)</f>
        <v>3.2057712852183653</v>
      </c>
      <c r="B520" s="481">
        <v>428</v>
      </c>
      <c r="C520" s="96">
        <f t="shared" si="218"/>
        <v>0.64199999999999524</v>
      </c>
      <c r="D520" s="96">
        <f t="shared" si="215"/>
        <v>26.787640380736786</v>
      </c>
      <c r="E520" s="96">
        <f t="shared" si="216"/>
        <v>1.330088460894489E-2</v>
      </c>
      <c r="F520" s="96">
        <f t="shared" si="214"/>
        <v>0.24404023984970857</v>
      </c>
      <c r="G520" s="96">
        <f t="shared" si="217"/>
        <v>0.12804023984970858</v>
      </c>
      <c r="I520" s="96">
        <f t="shared" si="219"/>
        <v>0</v>
      </c>
      <c r="J520" s="96">
        <f t="shared" si="220"/>
        <v>0.64199999999999524</v>
      </c>
      <c r="Y520" s="96">
        <f t="shared" si="231"/>
        <v>148</v>
      </c>
      <c r="Z520" s="96">
        <v>0.126</v>
      </c>
      <c r="AA520" s="272">
        <f t="shared" si="232"/>
        <v>148</v>
      </c>
      <c r="AB520" s="519">
        <f t="shared" si="233"/>
        <v>145.17984961051124</v>
      </c>
      <c r="AC520" s="272">
        <f t="shared" si="221"/>
        <v>145</v>
      </c>
      <c r="AD520" s="272">
        <f t="shared" si="222"/>
        <v>147.63387290742122</v>
      </c>
      <c r="AE520" s="272">
        <f t="shared" si="234"/>
        <v>146</v>
      </c>
      <c r="AF520" s="272">
        <f t="shared" si="223"/>
        <v>147.61685637527228</v>
      </c>
      <c r="AG520" s="272">
        <f t="shared" si="235"/>
        <v>147</v>
      </c>
      <c r="AH520" s="272">
        <f t="shared" si="224"/>
        <v>147.60007419881836</v>
      </c>
      <c r="AI520" s="272">
        <f t="shared" si="236"/>
        <v>147</v>
      </c>
      <c r="AJ520" s="272">
        <f t="shared" si="225"/>
        <v>147.60007419881836</v>
      </c>
      <c r="AK520" s="272">
        <f t="shared" si="237"/>
        <v>147</v>
      </c>
      <c r="AL520" s="272">
        <f t="shared" si="226"/>
        <v>147.60007419881836</v>
      </c>
      <c r="AM520" s="272">
        <f t="shared" si="238"/>
        <v>147</v>
      </c>
      <c r="AN520" s="272">
        <f t="shared" si="227"/>
        <v>147.60007419881836</v>
      </c>
      <c r="AO520" s="272">
        <f t="shared" si="239"/>
        <v>147</v>
      </c>
      <c r="AP520" s="272">
        <f t="shared" si="228"/>
        <v>147.60007419881836</v>
      </c>
      <c r="AQ520" s="272">
        <f t="shared" si="240"/>
        <v>147</v>
      </c>
      <c r="AR520" s="272">
        <f t="shared" si="229"/>
        <v>147.60007419881836</v>
      </c>
      <c r="AS520" s="272">
        <f t="shared" si="241"/>
        <v>147</v>
      </c>
      <c r="AT520" s="508">
        <f t="shared" si="230"/>
        <v>147.60007419881836</v>
      </c>
    </row>
    <row r="521" spans="1:46" ht="12.75" customHeight="1">
      <c r="A521" s="96">
        <f>IF(MAX($F$93:F521)=$G$88,$G$88,F521)</f>
        <v>3.2057712852183653</v>
      </c>
      <c r="B521" s="481">
        <v>429</v>
      </c>
      <c r="C521" s="96">
        <f t="shared" si="218"/>
        <v>0.64349999999999519</v>
      </c>
      <c r="D521" s="96">
        <f t="shared" si="215"/>
        <v>26.912962503882319</v>
      </c>
      <c r="E521" s="96">
        <f t="shared" si="216"/>
        <v>1.2786974166825503E-2</v>
      </c>
      <c r="F521" s="96">
        <f t="shared" si="214"/>
        <v>0.23572815195156704</v>
      </c>
      <c r="G521" s="96">
        <f t="shared" si="217"/>
        <v>0.11972815195156704</v>
      </c>
      <c r="I521" s="96">
        <f t="shared" si="219"/>
        <v>0</v>
      </c>
      <c r="J521" s="96">
        <f t="shared" si="220"/>
        <v>0.64349999999999519</v>
      </c>
      <c r="Y521" s="96">
        <f t="shared" si="231"/>
        <v>153</v>
      </c>
      <c r="Z521" s="96">
        <v>0.124</v>
      </c>
      <c r="AA521" s="272">
        <f t="shared" si="232"/>
        <v>153</v>
      </c>
      <c r="AB521" s="519">
        <f t="shared" si="233"/>
        <v>149.90083847661788</v>
      </c>
      <c r="AC521" s="272">
        <f t="shared" si="221"/>
        <v>149</v>
      </c>
      <c r="AD521" s="272">
        <f t="shared" si="222"/>
        <v>152.36581483767873</v>
      </c>
      <c r="AE521" s="272">
        <f t="shared" si="234"/>
        <v>150</v>
      </c>
      <c r="AF521" s="272">
        <f t="shared" si="223"/>
        <v>152.34918361244044</v>
      </c>
      <c r="AG521" s="272">
        <f t="shared" si="235"/>
        <v>151</v>
      </c>
      <c r="AH521" s="272">
        <f t="shared" si="224"/>
        <v>152.33277529699814</v>
      </c>
      <c r="AI521" s="272">
        <f t="shared" si="236"/>
        <v>152</v>
      </c>
      <c r="AJ521" s="272">
        <f t="shared" si="225"/>
        <v>152.31658543980248</v>
      </c>
      <c r="AK521" s="272">
        <f t="shared" si="237"/>
        <v>152</v>
      </c>
      <c r="AL521" s="272">
        <f t="shared" si="226"/>
        <v>152.31658543980248</v>
      </c>
      <c r="AM521" s="272">
        <f t="shared" si="238"/>
        <v>152</v>
      </c>
      <c r="AN521" s="272">
        <f t="shared" si="227"/>
        <v>152.31658543980248</v>
      </c>
      <c r="AO521" s="272">
        <f t="shared" si="239"/>
        <v>152</v>
      </c>
      <c r="AP521" s="272">
        <f t="shared" si="228"/>
        <v>152.31658543980248</v>
      </c>
      <c r="AQ521" s="272">
        <f t="shared" si="240"/>
        <v>152</v>
      </c>
      <c r="AR521" s="272">
        <f t="shared" si="229"/>
        <v>152.31658543980248</v>
      </c>
      <c r="AS521" s="272">
        <f t="shared" si="241"/>
        <v>152</v>
      </c>
      <c r="AT521" s="508">
        <f t="shared" si="230"/>
        <v>152.31658543980248</v>
      </c>
    </row>
    <row r="522" spans="1:46" ht="12.75" customHeight="1">
      <c r="A522" s="96">
        <f>IF(MAX($F$93:F522)=$G$88,$G$88,F522)</f>
        <v>3.2057712852183653</v>
      </c>
      <c r="B522" s="481">
        <v>430</v>
      </c>
      <c r="C522" s="96">
        <f t="shared" si="218"/>
        <v>0.64499999999999513</v>
      </c>
      <c r="D522" s="96">
        <f t="shared" si="215"/>
        <v>27.03857709405969</v>
      </c>
      <c r="E522" s="96">
        <f t="shared" si="216"/>
        <v>1.2290621100581031E-2</v>
      </c>
      <c r="F522" s="96">
        <f t="shared" si="214"/>
        <v>0.22765104007004908</v>
      </c>
      <c r="G522" s="96">
        <f t="shared" si="217"/>
        <v>0.11165104007004907</v>
      </c>
      <c r="I522" s="96">
        <f t="shared" si="219"/>
        <v>0</v>
      </c>
      <c r="J522" s="96">
        <f t="shared" si="220"/>
        <v>0.64499999999999513</v>
      </c>
      <c r="Y522" s="96">
        <f t="shared" si="231"/>
        <v>158</v>
      </c>
      <c r="Z522" s="96">
        <v>0.122</v>
      </c>
      <c r="AA522" s="272">
        <f t="shared" si="232"/>
        <v>158</v>
      </c>
      <c r="AB522" s="519">
        <f t="shared" si="233"/>
        <v>154.85590516101027</v>
      </c>
      <c r="AC522" s="272">
        <f t="shared" si="221"/>
        <v>154</v>
      </c>
      <c r="AD522" s="272">
        <f t="shared" si="222"/>
        <v>157.31871536413092</v>
      </c>
      <c r="AE522" s="272">
        <f t="shared" si="234"/>
        <v>155</v>
      </c>
      <c r="AF522" s="272">
        <f t="shared" si="223"/>
        <v>157.30264098384967</v>
      </c>
      <c r="AG522" s="272">
        <f t="shared" si="235"/>
        <v>156</v>
      </c>
      <c r="AH522" s="272">
        <f t="shared" si="224"/>
        <v>157.28677506547109</v>
      </c>
      <c r="AI522" s="272">
        <f t="shared" si="236"/>
        <v>157</v>
      </c>
      <c r="AJ522" s="272">
        <f t="shared" si="225"/>
        <v>157.27111358001775</v>
      </c>
      <c r="AK522" s="272">
        <f t="shared" si="237"/>
        <v>157</v>
      </c>
      <c r="AL522" s="272">
        <f t="shared" si="226"/>
        <v>157.27111358001775</v>
      </c>
      <c r="AM522" s="272">
        <f t="shared" si="238"/>
        <v>157</v>
      </c>
      <c r="AN522" s="272">
        <f t="shared" si="227"/>
        <v>157.27111358001775</v>
      </c>
      <c r="AO522" s="272">
        <f t="shared" si="239"/>
        <v>157</v>
      </c>
      <c r="AP522" s="272">
        <f t="shared" si="228"/>
        <v>157.27111358001775</v>
      </c>
      <c r="AQ522" s="272">
        <f t="shared" si="240"/>
        <v>157</v>
      </c>
      <c r="AR522" s="272">
        <f t="shared" si="229"/>
        <v>157.27111358001775</v>
      </c>
      <c r="AS522" s="272">
        <f t="shared" si="241"/>
        <v>157</v>
      </c>
      <c r="AT522" s="508">
        <f t="shared" si="230"/>
        <v>157.27111358001775</v>
      </c>
    </row>
    <row r="523" spans="1:46" ht="12.75" customHeight="1">
      <c r="A523" s="96">
        <f>IF(MAX($F$93:F523)=$G$88,$G$88,F523)</f>
        <v>3.2057712852183653</v>
      </c>
      <c r="B523" s="481">
        <v>431</v>
      </c>
      <c r="C523" s="96">
        <f t="shared" si="218"/>
        <v>0.64649999999999508</v>
      </c>
      <c r="D523" s="96">
        <f t="shared" si="215"/>
        <v>27.164484151268912</v>
      </c>
      <c r="E523" s="96">
        <f t="shared" si="216"/>
        <v>1.1811326852239578E-2</v>
      </c>
      <c r="F523" s="96">
        <f t="shared" si="214"/>
        <v>0.21980427598634772</v>
      </c>
      <c r="G523" s="96">
        <f t="shared" si="217"/>
        <v>0.10380427598634771</v>
      </c>
      <c r="I523" s="96">
        <f t="shared" si="219"/>
        <v>0</v>
      </c>
      <c r="J523" s="96">
        <f t="shared" si="220"/>
        <v>0.64649999999999508</v>
      </c>
      <c r="Y523" s="96">
        <f t="shared" si="231"/>
        <v>163</v>
      </c>
      <c r="Z523" s="96">
        <v>0.12</v>
      </c>
      <c r="AA523" s="272">
        <f t="shared" si="232"/>
        <v>163</v>
      </c>
      <c r="AB523" s="519">
        <f t="shared" si="233"/>
        <v>160.0607841955887</v>
      </c>
      <c r="AC523" s="272">
        <f t="shared" si="221"/>
        <v>160</v>
      </c>
      <c r="AD523" s="272">
        <f t="shared" si="222"/>
        <v>162.50983455742406</v>
      </c>
      <c r="AE523" s="272">
        <f t="shared" si="234"/>
        <v>161</v>
      </c>
      <c r="AF523" s="272">
        <f t="shared" si="223"/>
        <v>162.49445232741226</v>
      </c>
      <c r="AG523" s="272">
        <f t="shared" si="235"/>
        <v>162</v>
      </c>
      <c r="AH523" s="272">
        <f t="shared" si="224"/>
        <v>162.47926211316434</v>
      </c>
      <c r="AI523" s="272">
        <f t="shared" si="236"/>
        <v>162</v>
      </c>
      <c r="AJ523" s="272">
        <f t="shared" si="225"/>
        <v>162.47926211316434</v>
      </c>
      <c r="AK523" s="272">
        <f t="shared" si="237"/>
        <v>162</v>
      </c>
      <c r="AL523" s="272">
        <f t="shared" si="226"/>
        <v>162.47926211316434</v>
      </c>
      <c r="AM523" s="272">
        <f t="shared" si="238"/>
        <v>162</v>
      </c>
      <c r="AN523" s="272">
        <f t="shared" si="227"/>
        <v>162.47926211316434</v>
      </c>
      <c r="AO523" s="272">
        <f t="shared" si="239"/>
        <v>162</v>
      </c>
      <c r="AP523" s="272">
        <f t="shared" si="228"/>
        <v>162.47926211316434</v>
      </c>
      <c r="AQ523" s="272">
        <f t="shared" si="240"/>
        <v>162</v>
      </c>
      <c r="AR523" s="272">
        <f t="shared" si="229"/>
        <v>162.47926211316434</v>
      </c>
      <c r="AS523" s="272">
        <f t="shared" si="241"/>
        <v>162</v>
      </c>
      <c r="AT523" s="508">
        <f t="shared" si="230"/>
        <v>162.47926211316434</v>
      </c>
    </row>
    <row r="524" spans="1:46" ht="12.75" customHeight="1">
      <c r="A524" s="96">
        <f>IF(MAX($F$93:F524)=$G$88,$G$88,F524)</f>
        <v>3.2057712852183653</v>
      </c>
      <c r="B524" s="481">
        <v>432</v>
      </c>
      <c r="C524" s="96">
        <f t="shared" si="218"/>
        <v>0.64799999999999502</v>
      </c>
      <c r="D524" s="96">
        <f t="shared" si="215"/>
        <v>27.290683675509978</v>
      </c>
      <c r="E524" s="96">
        <f t="shared" si="216"/>
        <v>1.1348602774925255E-2</v>
      </c>
      <c r="F524" s="96">
        <f t="shared" si="214"/>
        <v>0.21218323961739208</v>
      </c>
      <c r="G524" s="96">
        <f t="shared" si="217"/>
        <v>9.6183239617392072E-2</v>
      </c>
      <c r="I524" s="96">
        <f t="shared" si="219"/>
        <v>0</v>
      </c>
      <c r="J524" s="96">
        <f t="shared" si="220"/>
        <v>0.64799999999999502</v>
      </c>
      <c r="Y524" s="96">
        <f t="shared" si="231"/>
        <v>168</v>
      </c>
      <c r="Z524" s="96">
        <v>0.11799999999999999</v>
      </c>
      <c r="AA524" s="272">
        <f t="shared" si="232"/>
        <v>168</v>
      </c>
      <c r="AB524" s="519">
        <f t="shared" si="233"/>
        <v>165.53255475556429</v>
      </c>
      <c r="AC524" s="272">
        <f t="shared" si="221"/>
        <v>165</v>
      </c>
      <c r="AD524" s="272">
        <f t="shared" si="222"/>
        <v>167.98773622018339</v>
      </c>
      <c r="AE524" s="272">
        <f t="shared" si="234"/>
        <v>166</v>
      </c>
      <c r="AF524" s="272">
        <f t="shared" si="223"/>
        <v>167.97278498528595</v>
      </c>
      <c r="AG524" s="272">
        <f t="shared" si="235"/>
        <v>167</v>
      </c>
      <c r="AH524" s="272">
        <f t="shared" si="224"/>
        <v>167.95801473833097</v>
      </c>
      <c r="AI524" s="272">
        <f t="shared" si="236"/>
        <v>167</v>
      </c>
      <c r="AJ524" s="272">
        <f t="shared" si="225"/>
        <v>167.95801473833097</v>
      </c>
      <c r="AK524" s="272">
        <f t="shared" si="237"/>
        <v>167</v>
      </c>
      <c r="AL524" s="272">
        <f t="shared" si="226"/>
        <v>167.95801473833097</v>
      </c>
      <c r="AM524" s="272">
        <f t="shared" si="238"/>
        <v>167</v>
      </c>
      <c r="AN524" s="272">
        <f t="shared" si="227"/>
        <v>167.95801473833097</v>
      </c>
      <c r="AO524" s="272">
        <f t="shared" si="239"/>
        <v>167</v>
      </c>
      <c r="AP524" s="272">
        <f t="shared" si="228"/>
        <v>167.95801473833097</v>
      </c>
      <c r="AQ524" s="272">
        <f t="shared" si="240"/>
        <v>167</v>
      </c>
      <c r="AR524" s="272">
        <f t="shared" si="229"/>
        <v>167.95801473833097</v>
      </c>
      <c r="AS524" s="272">
        <f t="shared" si="241"/>
        <v>167</v>
      </c>
      <c r="AT524" s="508">
        <f t="shared" si="230"/>
        <v>167.95801473833097</v>
      </c>
    </row>
    <row r="525" spans="1:46" ht="12.75" customHeight="1">
      <c r="A525" s="96">
        <f>IF(MAX($F$93:F525)=$G$88,$G$88,F525)</f>
        <v>3.2057712852183653</v>
      </c>
      <c r="B525" s="481">
        <v>433</v>
      </c>
      <c r="C525" s="96">
        <f t="shared" si="218"/>
        <v>0.64949999999999497</v>
      </c>
      <c r="D525" s="96">
        <f t="shared" si="215"/>
        <v>27.417175666782889</v>
      </c>
      <c r="E525" s="96">
        <f t="shared" si="216"/>
        <v>1.0901970111022183E-2</v>
      </c>
      <c r="F525" s="96">
        <f t="shared" si="214"/>
        <v>0.20478332303934746</v>
      </c>
      <c r="G525" s="96">
        <f t="shared" si="217"/>
        <v>8.8783323039347453E-2</v>
      </c>
      <c r="I525" s="96">
        <f t="shared" si="219"/>
        <v>0</v>
      </c>
      <c r="J525" s="96">
        <f t="shared" si="220"/>
        <v>0.64949999999999497</v>
      </c>
      <c r="Y525" s="96">
        <f t="shared" si="231"/>
        <v>174</v>
      </c>
      <c r="Z525" s="96">
        <v>0.11600000000000001</v>
      </c>
      <c r="AA525" s="272">
        <f t="shared" si="232"/>
        <v>174</v>
      </c>
      <c r="AB525" s="519">
        <f t="shared" si="233"/>
        <v>171.28978094652766</v>
      </c>
      <c r="AC525" s="272">
        <f t="shared" si="221"/>
        <v>171</v>
      </c>
      <c r="AD525" s="272">
        <f t="shared" si="222"/>
        <v>173.74026908258125</v>
      </c>
      <c r="AE525" s="272">
        <f t="shared" si="234"/>
        <v>172</v>
      </c>
      <c r="AF525" s="272">
        <f t="shared" si="223"/>
        <v>173.7258724194954</v>
      </c>
      <c r="AG525" s="272">
        <f t="shared" si="235"/>
        <v>173</v>
      </c>
      <c r="AH525" s="272">
        <f t="shared" si="224"/>
        <v>173.711643924475</v>
      </c>
      <c r="AI525" s="272">
        <f t="shared" si="236"/>
        <v>173</v>
      </c>
      <c r="AJ525" s="272">
        <f t="shared" si="225"/>
        <v>173.711643924475</v>
      </c>
      <c r="AK525" s="272">
        <f t="shared" si="237"/>
        <v>173</v>
      </c>
      <c r="AL525" s="272">
        <f t="shared" si="226"/>
        <v>173.711643924475</v>
      </c>
      <c r="AM525" s="272">
        <f t="shared" si="238"/>
        <v>173</v>
      </c>
      <c r="AN525" s="272">
        <f t="shared" si="227"/>
        <v>173.711643924475</v>
      </c>
      <c r="AO525" s="272">
        <f t="shared" si="239"/>
        <v>173</v>
      </c>
      <c r="AP525" s="272">
        <f t="shared" si="228"/>
        <v>173.711643924475</v>
      </c>
      <c r="AQ525" s="272">
        <f t="shared" si="240"/>
        <v>173</v>
      </c>
      <c r="AR525" s="272">
        <f t="shared" si="229"/>
        <v>173.711643924475</v>
      </c>
      <c r="AS525" s="272">
        <f t="shared" si="241"/>
        <v>173</v>
      </c>
      <c r="AT525" s="508">
        <f t="shared" si="230"/>
        <v>173.711643924475</v>
      </c>
    </row>
    <row r="526" spans="1:46" ht="12.75" customHeight="1">
      <c r="A526" s="96">
        <f>IF(MAX($F$93:F526)=$G$88,$G$88,F526)</f>
        <v>3.2057712852183653</v>
      </c>
      <c r="B526" s="481">
        <v>434</v>
      </c>
      <c r="C526" s="96">
        <f t="shared" si="218"/>
        <v>0.65099999999999492</v>
      </c>
      <c r="D526" s="96">
        <f t="shared" si="215"/>
        <v>27.54396012508764</v>
      </c>
      <c r="E526" s="96">
        <f t="shared" si="216"/>
        <v>1.047095996189948E-2</v>
      </c>
      <c r="F526" s="96">
        <f t="shared" si="214"/>
        <v>0.19759993434051903</v>
      </c>
      <c r="G526" s="96">
        <f t="shared" si="217"/>
        <v>8.1599934340519029E-2</v>
      </c>
      <c r="I526" s="96">
        <f t="shared" si="219"/>
        <v>0</v>
      </c>
      <c r="J526" s="96">
        <f t="shared" si="220"/>
        <v>0.65099999999999492</v>
      </c>
      <c r="Y526" s="96">
        <f t="shared" si="231"/>
        <v>180</v>
      </c>
      <c r="Z526" s="96">
        <v>0.114</v>
      </c>
      <c r="AA526" s="272">
        <f t="shared" si="232"/>
        <v>180</v>
      </c>
      <c r="AB526" s="519">
        <f t="shared" si="233"/>
        <v>177.35266946879631</v>
      </c>
      <c r="AC526" s="272">
        <f t="shared" si="221"/>
        <v>177</v>
      </c>
      <c r="AD526" s="272">
        <f t="shared" si="222"/>
        <v>179.8030086149912</v>
      </c>
      <c r="AE526" s="272">
        <f t="shared" si="234"/>
        <v>178</v>
      </c>
      <c r="AF526" s="272">
        <f t="shared" si="223"/>
        <v>179.78910297213017</v>
      </c>
      <c r="AG526" s="272">
        <f t="shared" si="235"/>
        <v>179</v>
      </c>
      <c r="AH526" s="272">
        <f t="shared" si="224"/>
        <v>179.77535426259303</v>
      </c>
      <c r="AI526" s="272">
        <f t="shared" si="236"/>
        <v>179</v>
      </c>
      <c r="AJ526" s="272">
        <f t="shared" si="225"/>
        <v>179.77535426259303</v>
      </c>
      <c r="AK526" s="272">
        <f t="shared" si="237"/>
        <v>179</v>
      </c>
      <c r="AL526" s="272">
        <f t="shared" si="226"/>
        <v>179.77535426259303</v>
      </c>
      <c r="AM526" s="272">
        <f t="shared" si="238"/>
        <v>179</v>
      </c>
      <c r="AN526" s="272">
        <f t="shared" si="227"/>
        <v>179.77535426259303</v>
      </c>
      <c r="AO526" s="272">
        <f t="shared" si="239"/>
        <v>179</v>
      </c>
      <c r="AP526" s="272">
        <f t="shared" si="228"/>
        <v>179.77535426259303</v>
      </c>
      <c r="AQ526" s="272">
        <f t="shared" si="240"/>
        <v>179</v>
      </c>
      <c r="AR526" s="272">
        <f t="shared" si="229"/>
        <v>179.77535426259303</v>
      </c>
      <c r="AS526" s="272">
        <f t="shared" si="241"/>
        <v>179</v>
      </c>
      <c r="AT526" s="508">
        <f t="shared" si="230"/>
        <v>179.77535426259303</v>
      </c>
    </row>
    <row r="527" spans="1:46" ht="12.75" customHeight="1">
      <c r="A527" s="96">
        <f>IF(MAX($F$93:F527)=$G$88,$G$88,F527)</f>
        <v>3.2057712852183653</v>
      </c>
      <c r="B527" s="481">
        <v>435</v>
      </c>
      <c r="C527" s="96">
        <f t="shared" si="218"/>
        <v>0.65249999999999486</v>
      </c>
      <c r="D527" s="96">
        <f t="shared" si="215"/>
        <v>27.671037050424239</v>
      </c>
      <c r="E527" s="96">
        <f t="shared" si="216"/>
        <v>1.0055113249562816E-2</v>
      </c>
      <c r="F527" s="96">
        <f t="shared" si="214"/>
        <v>0.19062850130484196</v>
      </c>
      <c r="G527" s="96">
        <f t="shared" si="217"/>
        <v>7.4628501304841957E-2</v>
      </c>
      <c r="I527" s="96">
        <f t="shared" si="219"/>
        <v>0</v>
      </c>
      <c r="J527" s="96">
        <f t="shared" si="220"/>
        <v>0.65249999999999486</v>
      </c>
      <c r="Y527" s="96">
        <f t="shared" si="231"/>
        <v>187</v>
      </c>
      <c r="Z527" s="96">
        <v>0.112</v>
      </c>
      <c r="AA527" s="272">
        <f t="shared" si="232"/>
        <v>187</v>
      </c>
      <c r="AB527" s="519">
        <f t="shared" si="233"/>
        <v>183.74324716330324</v>
      </c>
      <c r="AC527" s="272">
        <f t="shared" si="221"/>
        <v>183</v>
      </c>
      <c r="AD527" s="272">
        <f t="shared" si="222"/>
        <v>186.1978245281326</v>
      </c>
      <c r="AE527" s="272">
        <f t="shared" si="234"/>
        <v>184</v>
      </c>
      <c r="AF527" s="272">
        <f t="shared" si="223"/>
        <v>186.18435349356176</v>
      </c>
      <c r="AG527" s="272">
        <f t="shared" si="235"/>
        <v>185</v>
      </c>
      <c r="AH527" s="272">
        <f t="shared" si="224"/>
        <v>186.17102950917928</v>
      </c>
      <c r="AI527" s="272">
        <f t="shared" si="236"/>
        <v>186</v>
      </c>
      <c r="AJ527" s="272">
        <f t="shared" si="225"/>
        <v>186.15785018029521</v>
      </c>
      <c r="AK527" s="272">
        <f t="shared" si="237"/>
        <v>186</v>
      </c>
      <c r="AL527" s="272">
        <f t="shared" si="226"/>
        <v>186.15785018029521</v>
      </c>
      <c r="AM527" s="272">
        <f t="shared" si="238"/>
        <v>186</v>
      </c>
      <c r="AN527" s="272">
        <f t="shared" si="227"/>
        <v>186.15785018029521</v>
      </c>
      <c r="AO527" s="272">
        <f t="shared" si="239"/>
        <v>186</v>
      </c>
      <c r="AP527" s="272">
        <f t="shared" si="228"/>
        <v>186.15785018029521</v>
      </c>
      <c r="AQ527" s="272">
        <f t="shared" si="240"/>
        <v>186</v>
      </c>
      <c r="AR527" s="272">
        <f t="shared" si="229"/>
        <v>186.15785018029521</v>
      </c>
      <c r="AS527" s="272">
        <f t="shared" si="241"/>
        <v>186</v>
      </c>
      <c r="AT527" s="508">
        <f t="shared" si="230"/>
        <v>186.15785018029521</v>
      </c>
    </row>
    <row r="528" spans="1:46" ht="12.75" customHeight="1">
      <c r="A528" s="96">
        <f>IF(MAX($F$93:F528)=$G$88,$G$88,F528)</f>
        <v>3.2057712852183653</v>
      </c>
      <c r="B528" s="481">
        <v>436</v>
      </c>
      <c r="C528" s="96">
        <f t="shared" si="218"/>
        <v>0.65399999999999481</v>
      </c>
      <c r="D528" s="96">
        <f t="shared" si="215"/>
        <v>27.798406442792682</v>
      </c>
      <c r="E528" s="96">
        <f t="shared" si="216"/>
        <v>9.6539806705930147E-3</v>
      </c>
      <c r="F528" s="96">
        <f t="shared" si="214"/>
        <v>0.18386447492799735</v>
      </c>
      <c r="G528" s="96">
        <f t="shared" si="217"/>
        <v>6.786447492799734E-2</v>
      </c>
      <c r="I528" s="96">
        <f t="shared" si="219"/>
        <v>0</v>
      </c>
      <c r="J528" s="96">
        <f t="shared" si="220"/>
        <v>0.65399999999999481</v>
      </c>
      <c r="Y528" s="96">
        <f t="shared" si="231"/>
        <v>193</v>
      </c>
      <c r="Z528" s="96">
        <v>0.11</v>
      </c>
      <c r="AA528" s="272">
        <f t="shared" si="232"/>
        <v>193</v>
      </c>
      <c r="AB528" s="519">
        <f t="shared" si="233"/>
        <v>190.48556135673357</v>
      </c>
      <c r="AC528" s="272">
        <f t="shared" si="221"/>
        <v>190</v>
      </c>
      <c r="AD528" s="272">
        <f t="shared" si="222"/>
        <v>192.93556643016447</v>
      </c>
      <c r="AE528" s="272">
        <f t="shared" si="234"/>
        <v>191</v>
      </c>
      <c r="AF528" s="272">
        <f t="shared" si="223"/>
        <v>192.92261790234389</v>
      </c>
      <c r="AG528" s="272">
        <f t="shared" si="235"/>
        <v>192</v>
      </c>
      <c r="AH528" s="272">
        <f t="shared" si="224"/>
        <v>192.90980551975235</v>
      </c>
      <c r="AI528" s="272">
        <f t="shared" si="236"/>
        <v>192</v>
      </c>
      <c r="AJ528" s="272">
        <f t="shared" si="225"/>
        <v>192.90980551975235</v>
      </c>
      <c r="AK528" s="272">
        <f t="shared" si="237"/>
        <v>192</v>
      </c>
      <c r="AL528" s="272">
        <f t="shared" si="226"/>
        <v>192.90980551975235</v>
      </c>
      <c r="AM528" s="272">
        <f t="shared" si="238"/>
        <v>192</v>
      </c>
      <c r="AN528" s="272">
        <f t="shared" si="227"/>
        <v>192.90980551975235</v>
      </c>
      <c r="AO528" s="272">
        <f t="shared" si="239"/>
        <v>192</v>
      </c>
      <c r="AP528" s="272">
        <f t="shared" si="228"/>
        <v>192.90980551975235</v>
      </c>
      <c r="AQ528" s="272">
        <f t="shared" si="240"/>
        <v>192</v>
      </c>
      <c r="AR528" s="272">
        <f t="shared" si="229"/>
        <v>192.90980551975235</v>
      </c>
      <c r="AS528" s="272">
        <f t="shared" si="241"/>
        <v>192</v>
      </c>
      <c r="AT528" s="508">
        <f t="shared" si="230"/>
        <v>192.90980551975235</v>
      </c>
    </row>
    <row r="529" spans="1:46" ht="12.75" customHeight="1">
      <c r="A529" s="96">
        <f>IF(MAX($F$93:F529)=$G$88,$G$88,F529)</f>
        <v>3.2057712852183653</v>
      </c>
      <c r="B529" s="481">
        <v>437</v>
      </c>
      <c r="C529" s="96">
        <f t="shared" si="218"/>
        <v>0.65549999999999475</v>
      </c>
      <c r="D529" s="96">
        <f t="shared" si="215"/>
        <v>27.92606830219297</v>
      </c>
      <c r="E529" s="96">
        <f t="shared" si="216"/>
        <v>9.2671226427285414E-3</v>
      </c>
      <c r="F529" s="96">
        <f t="shared" si="214"/>
        <v>0.17730333276775884</v>
      </c>
      <c r="G529" s="96">
        <f t="shared" si="217"/>
        <v>6.1303332767758831E-2</v>
      </c>
      <c r="I529" s="96">
        <f t="shared" si="219"/>
        <v>0</v>
      </c>
      <c r="J529" s="96">
        <f t="shared" si="220"/>
        <v>0.65549999999999475</v>
      </c>
      <c r="Y529" s="96">
        <f t="shared" si="231"/>
        <v>201</v>
      </c>
      <c r="Z529" s="96">
        <v>0.108</v>
      </c>
      <c r="AA529" s="272">
        <f t="shared" si="232"/>
        <v>201</v>
      </c>
      <c r="AB529" s="519">
        <f t="shared" si="233"/>
        <v>197.60590641430696</v>
      </c>
      <c r="AC529" s="272">
        <f t="shared" si="221"/>
        <v>197</v>
      </c>
      <c r="AD529" s="272">
        <f t="shared" si="222"/>
        <v>200.05635476325804</v>
      </c>
      <c r="AE529" s="272">
        <f t="shared" si="234"/>
        <v>198</v>
      </c>
      <c r="AF529" s="272">
        <f t="shared" si="223"/>
        <v>200.04386590129266</v>
      </c>
      <c r="AG529" s="272">
        <f t="shared" si="235"/>
        <v>199</v>
      </c>
      <c r="AH529" s="272">
        <f t="shared" si="224"/>
        <v>200.03150369090895</v>
      </c>
      <c r="AI529" s="272">
        <f t="shared" si="236"/>
        <v>200</v>
      </c>
      <c r="AJ529" s="272">
        <f t="shared" si="225"/>
        <v>200.0192662152572</v>
      </c>
      <c r="AK529" s="272">
        <f t="shared" si="237"/>
        <v>200</v>
      </c>
      <c r="AL529" s="272">
        <f t="shared" si="226"/>
        <v>200.0192662152572</v>
      </c>
      <c r="AM529" s="272">
        <f t="shared" si="238"/>
        <v>200</v>
      </c>
      <c r="AN529" s="272">
        <f t="shared" si="227"/>
        <v>200.0192662152572</v>
      </c>
      <c r="AO529" s="272">
        <f t="shared" si="239"/>
        <v>200</v>
      </c>
      <c r="AP529" s="272">
        <f t="shared" si="228"/>
        <v>200.0192662152572</v>
      </c>
      <c r="AQ529" s="272">
        <f t="shared" si="240"/>
        <v>200</v>
      </c>
      <c r="AR529" s="272">
        <f t="shared" si="229"/>
        <v>200.0192662152572</v>
      </c>
      <c r="AS529" s="272">
        <f t="shared" si="241"/>
        <v>200</v>
      </c>
      <c r="AT529" s="508">
        <f t="shared" si="230"/>
        <v>200.0192662152572</v>
      </c>
    </row>
    <row r="530" spans="1:46" ht="12.75" customHeight="1">
      <c r="A530" s="96">
        <f>IF(MAX($F$93:F530)=$G$88,$G$88,F530)</f>
        <v>3.2057712852183653</v>
      </c>
      <c r="B530" s="481">
        <v>438</v>
      </c>
      <c r="C530" s="96">
        <f t="shared" si="218"/>
        <v>0.6569999999999947</v>
      </c>
      <c r="D530" s="96">
        <f t="shared" si="215"/>
        <v>28.054022628625106</v>
      </c>
      <c r="E530" s="96">
        <f t="shared" si="216"/>
        <v>8.8941092444454768E-3</v>
      </c>
      <c r="F530" s="96">
        <f t="shared" si="214"/>
        <v>0.17094058213081545</v>
      </c>
      <c r="G530" s="96">
        <f t="shared" si="217"/>
        <v>5.4940582130815444E-2</v>
      </c>
      <c r="I530" s="96">
        <f t="shared" si="219"/>
        <v>0</v>
      </c>
      <c r="J530" s="96">
        <f t="shared" si="220"/>
        <v>0.6569999999999947</v>
      </c>
      <c r="Y530" s="96">
        <f t="shared" si="231"/>
        <v>208</v>
      </c>
      <c r="Z530" s="96">
        <v>0.106</v>
      </c>
      <c r="AA530" s="272">
        <f t="shared" si="232"/>
        <v>208</v>
      </c>
      <c r="AB530" s="519">
        <f t="shared" si="233"/>
        <v>205.13308049274448</v>
      </c>
      <c r="AC530" s="272">
        <f t="shared" si="221"/>
        <v>205</v>
      </c>
      <c r="AD530" s="272">
        <f t="shared" si="222"/>
        <v>207.57672689739206</v>
      </c>
      <c r="AE530" s="272">
        <f t="shared" si="234"/>
        <v>206</v>
      </c>
      <c r="AF530" s="272">
        <f t="shared" si="223"/>
        <v>207.56476057253545</v>
      </c>
      <c r="AG530" s="272">
        <f t="shared" si="235"/>
        <v>207</v>
      </c>
      <c r="AH530" s="272">
        <f t="shared" si="224"/>
        <v>207.5529108696409</v>
      </c>
      <c r="AI530" s="272">
        <f t="shared" si="236"/>
        <v>207</v>
      </c>
      <c r="AJ530" s="272">
        <f t="shared" si="225"/>
        <v>207.5529108696409</v>
      </c>
      <c r="AK530" s="272">
        <f t="shared" si="237"/>
        <v>207</v>
      </c>
      <c r="AL530" s="272">
        <f t="shared" si="226"/>
        <v>207.5529108696409</v>
      </c>
      <c r="AM530" s="272">
        <f t="shared" si="238"/>
        <v>207</v>
      </c>
      <c r="AN530" s="272">
        <f t="shared" si="227"/>
        <v>207.5529108696409</v>
      </c>
      <c r="AO530" s="272">
        <f t="shared" si="239"/>
        <v>207</v>
      </c>
      <c r="AP530" s="272">
        <f t="shared" si="228"/>
        <v>207.5529108696409</v>
      </c>
      <c r="AQ530" s="272">
        <f t="shared" si="240"/>
        <v>207</v>
      </c>
      <c r="AR530" s="272">
        <f t="shared" si="229"/>
        <v>207.5529108696409</v>
      </c>
      <c r="AS530" s="272">
        <f t="shared" si="241"/>
        <v>207</v>
      </c>
      <c r="AT530" s="508">
        <f t="shared" si="230"/>
        <v>207.5529108696409</v>
      </c>
    </row>
    <row r="531" spans="1:46" ht="12.75" customHeight="1">
      <c r="A531" s="96">
        <f>IF(MAX($F$93:F531)=$G$88,$G$88,F531)</f>
        <v>3.2057712852183653</v>
      </c>
      <c r="B531" s="481">
        <v>439</v>
      </c>
      <c r="C531" s="96">
        <f t="shared" si="218"/>
        <v>0.65849999999999465</v>
      </c>
      <c r="D531" s="96">
        <f t="shared" si="215"/>
        <v>28.182269422089085</v>
      </c>
      <c r="E531" s="96">
        <f t="shared" si="216"/>
        <v>8.5345201478821894E-3</v>
      </c>
      <c r="F531" s="96">
        <f t="shared" si="214"/>
        <v>0.16477176309816172</v>
      </c>
      <c r="G531" s="96">
        <f t="shared" si="217"/>
        <v>4.8771763098161711E-2</v>
      </c>
      <c r="I531" s="96">
        <f t="shared" si="219"/>
        <v>0</v>
      </c>
      <c r="J531" s="96">
        <f t="shared" si="220"/>
        <v>0.65849999999999465</v>
      </c>
      <c r="Y531" s="96">
        <f t="shared" si="231"/>
        <v>216</v>
      </c>
      <c r="Z531" s="96">
        <v>0.104</v>
      </c>
      <c r="AA531" s="272">
        <f t="shared" si="232"/>
        <v>216</v>
      </c>
      <c r="AB531" s="519">
        <f t="shared" si="233"/>
        <v>213.09867718347601</v>
      </c>
      <c r="AC531" s="272">
        <f t="shared" si="221"/>
        <v>213</v>
      </c>
      <c r="AD531" s="272">
        <f t="shared" si="222"/>
        <v>215.54106160935336</v>
      </c>
      <c r="AE531" s="272">
        <f t="shared" si="234"/>
        <v>214</v>
      </c>
      <c r="AF531" s="272">
        <f t="shared" si="223"/>
        <v>215.52955232062175</v>
      </c>
      <c r="AG531" s="272">
        <f t="shared" si="235"/>
        <v>215</v>
      </c>
      <c r="AH531" s="272">
        <f t="shared" si="224"/>
        <v>215.51815099122794</v>
      </c>
      <c r="AI531" s="272">
        <f t="shared" si="236"/>
        <v>215</v>
      </c>
      <c r="AJ531" s="272">
        <f t="shared" si="225"/>
        <v>215.51815099122794</v>
      </c>
      <c r="AK531" s="272">
        <f t="shared" si="237"/>
        <v>215</v>
      </c>
      <c r="AL531" s="272">
        <f t="shared" si="226"/>
        <v>215.51815099122794</v>
      </c>
      <c r="AM531" s="272">
        <f t="shared" si="238"/>
        <v>215</v>
      </c>
      <c r="AN531" s="272">
        <f t="shared" si="227"/>
        <v>215.51815099122794</v>
      </c>
      <c r="AO531" s="272">
        <f t="shared" si="239"/>
        <v>215</v>
      </c>
      <c r="AP531" s="272">
        <f t="shared" si="228"/>
        <v>215.51815099122794</v>
      </c>
      <c r="AQ531" s="272">
        <f t="shared" si="240"/>
        <v>215</v>
      </c>
      <c r="AR531" s="272">
        <f t="shared" si="229"/>
        <v>215.51815099122794</v>
      </c>
      <c r="AS531" s="272">
        <f t="shared" si="241"/>
        <v>215</v>
      </c>
      <c r="AT531" s="508">
        <f t="shared" si="230"/>
        <v>215.51815099122794</v>
      </c>
    </row>
    <row r="532" spans="1:46" ht="12.75" customHeight="1">
      <c r="A532" s="96">
        <f>IF(MAX($F$93:F532)=$G$88,$G$88,F532)</f>
        <v>3.2057712852183653</v>
      </c>
      <c r="B532" s="481">
        <v>440</v>
      </c>
      <c r="C532" s="96">
        <f t="shared" si="218"/>
        <v>0.65999999999999459</v>
      </c>
      <c r="D532" s="96">
        <f t="shared" si="215"/>
        <v>28.310808682584909</v>
      </c>
      <c r="E532" s="96">
        <f t="shared" si="216"/>
        <v>8.1879445454533552E-3</v>
      </c>
      <c r="F532" s="96">
        <f t="shared" si="214"/>
        <v>0.15879245139146947</v>
      </c>
      <c r="G532" s="96">
        <f t="shared" si="217"/>
        <v>4.2792451391469463E-2</v>
      </c>
      <c r="I532" s="96">
        <f t="shared" si="219"/>
        <v>0</v>
      </c>
      <c r="J532" s="96">
        <f t="shared" si="220"/>
        <v>0.65999999999999459</v>
      </c>
      <c r="Y532" s="96">
        <f t="shared" si="231"/>
        <v>224</v>
      </c>
      <c r="Z532" s="96">
        <v>0.10199999999999999</v>
      </c>
      <c r="AA532" s="272">
        <f t="shared" si="232"/>
        <v>224</v>
      </c>
      <c r="AB532" s="519">
        <f t="shared" si="233"/>
        <v>221.53741757174905</v>
      </c>
      <c r="AC532" s="272">
        <f t="shared" si="221"/>
        <v>221</v>
      </c>
      <c r="AD532" s="272">
        <f t="shared" si="222"/>
        <v>223.98385688458367</v>
      </c>
      <c r="AE532" s="272">
        <f t="shared" si="234"/>
        <v>222</v>
      </c>
      <c r="AF532" s="272">
        <f t="shared" si="223"/>
        <v>223.97274728231642</v>
      </c>
      <c r="AG532" s="272">
        <f t="shared" si="235"/>
        <v>223</v>
      </c>
      <c r="AH532" s="272">
        <f t="shared" si="224"/>
        <v>223.96173812174251</v>
      </c>
      <c r="AI532" s="272">
        <f t="shared" si="236"/>
        <v>223</v>
      </c>
      <c r="AJ532" s="272">
        <f t="shared" si="225"/>
        <v>223.96173812174251</v>
      </c>
      <c r="AK532" s="272">
        <f t="shared" si="237"/>
        <v>223</v>
      </c>
      <c r="AL532" s="272">
        <f t="shared" si="226"/>
        <v>223.96173812174251</v>
      </c>
      <c r="AM532" s="272">
        <f t="shared" si="238"/>
        <v>223</v>
      </c>
      <c r="AN532" s="272">
        <f t="shared" si="227"/>
        <v>223.96173812174251</v>
      </c>
      <c r="AO532" s="272">
        <f t="shared" si="239"/>
        <v>223</v>
      </c>
      <c r="AP532" s="272">
        <f t="shared" si="228"/>
        <v>223.96173812174251</v>
      </c>
      <c r="AQ532" s="272">
        <f t="shared" si="240"/>
        <v>223</v>
      </c>
      <c r="AR532" s="272">
        <f t="shared" si="229"/>
        <v>223.96173812174251</v>
      </c>
      <c r="AS532" s="272">
        <f t="shared" si="241"/>
        <v>223</v>
      </c>
      <c r="AT532" s="508">
        <f t="shared" si="230"/>
        <v>223.96173812174251</v>
      </c>
    </row>
    <row r="533" spans="1:46" ht="12.75" customHeight="1">
      <c r="A533" s="96">
        <f>IF(MAX($F$93:F533)=$G$88,$G$88,F533)</f>
        <v>3.2057712852183653</v>
      </c>
      <c r="B533" s="481">
        <v>441</v>
      </c>
      <c r="C533" s="96">
        <f t="shared" si="218"/>
        <v>0.66149999999999454</v>
      </c>
      <c r="D533" s="96">
        <f t="shared" si="215"/>
        <v>28.439640410112577</v>
      </c>
      <c r="E533" s="96">
        <f t="shared" si="216"/>
        <v>7.8539810704901774E-3</v>
      </c>
      <c r="F533" s="96">
        <f t="shared" si="214"/>
        <v>0.15299826108312786</v>
      </c>
      <c r="G533" s="96">
        <f t="shared" si="217"/>
        <v>3.6998261083127856E-2</v>
      </c>
      <c r="I533" s="96">
        <f t="shared" si="219"/>
        <v>0</v>
      </c>
      <c r="J533" s="96">
        <f t="shared" si="220"/>
        <v>0.66149999999999454</v>
      </c>
      <c r="Y533" s="96">
        <f t="shared" si="231"/>
        <v>233</v>
      </c>
      <c r="Z533" s="96">
        <v>0.1</v>
      </c>
      <c r="AA533" s="272">
        <f t="shared" si="232"/>
        <v>233</v>
      </c>
      <c r="AB533" s="519">
        <f t="shared" si="233"/>
        <v>230.48752924164759</v>
      </c>
      <c r="AC533" s="272">
        <f t="shared" si="221"/>
        <v>230</v>
      </c>
      <c r="AD533" s="272">
        <f t="shared" si="222"/>
        <v>232.93242542508125</v>
      </c>
      <c r="AE533" s="272">
        <f t="shared" si="234"/>
        <v>231</v>
      </c>
      <c r="AF533" s="272">
        <f t="shared" si="223"/>
        <v>232.9217587573325</v>
      </c>
      <c r="AG533" s="272">
        <f t="shared" si="235"/>
        <v>232</v>
      </c>
      <c r="AH533" s="272">
        <f t="shared" si="224"/>
        <v>232.91118475676708</v>
      </c>
      <c r="AI533" s="272">
        <f t="shared" si="236"/>
        <v>232</v>
      </c>
      <c r="AJ533" s="272">
        <f t="shared" si="225"/>
        <v>232.91118475676708</v>
      </c>
      <c r="AK533" s="272">
        <f t="shared" si="237"/>
        <v>232</v>
      </c>
      <c r="AL533" s="272">
        <f t="shared" si="226"/>
        <v>232.91118475676708</v>
      </c>
      <c r="AM533" s="272">
        <f t="shared" si="238"/>
        <v>232</v>
      </c>
      <c r="AN533" s="272">
        <f t="shared" si="227"/>
        <v>232.91118475676708</v>
      </c>
      <c r="AO533" s="272">
        <f t="shared" si="239"/>
        <v>232</v>
      </c>
      <c r="AP533" s="272">
        <f t="shared" si="228"/>
        <v>232.91118475676708</v>
      </c>
      <c r="AQ533" s="272">
        <f t="shared" si="240"/>
        <v>232</v>
      </c>
      <c r="AR533" s="272">
        <f t="shared" si="229"/>
        <v>232.91118475676708</v>
      </c>
      <c r="AS533" s="272">
        <f t="shared" si="241"/>
        <v>232</v>
      </c>
      <c r="AT533" s="508">
        <f t="shared" si="230"/>
        <v>232.91118475676708</v>
      </c>
    </row>
    <row r="534" spans="1:46" ht="12.75" customHeight="1">
      <c r="A534" s="96">
        <f>IF(MAX($F$93:F534)=$G$88,$G$88,F534)</f>
        <v>3.2057712852183653</v>
      </c>
      <c r="B534" s="481">
        <v>442</v>
      </c>
      <c r="C534" s="96">
        <f t="shared" si="218"/>
        <v>0.66299999999999448</v>
      </c>
      <c r="D534" s="96">
        <f t="shared" si="215"/>
        <v>28.56876460467209</v>
      </c>
      <c r="E534" s="96">
        <f t="shared" si="216"/>
        <v>7.53223771223995E-3</v>
      </c>
      <c r="F534" s="96">
        <f t="shared" si="214"/>
        <v>0.14738484715242925</v>
      </c>
      <c r="G534" s="96">
        <f t="shared" si="217"/>
        <v>3.1384847152429243E-2</v>
      </c>
      <c r="I534" s="96">
        <f t="shared" si="219"/>
        <v>0</v>
      </c>
      <c r="J534" s="96">
        <f t="shared" si="220"/>
        <v>0.66299999999999448</v>
      </c>
    </row>
    <row r="535" spans="1:46" ht="12.75" customHeight="1">
      <c r="A535" s="96">
        <f>IF(MAX($F$93:F535)=$G$88,$G$88,F535)</f>
        <v>3.2057712852183653</v>
      </c>
      <c r="B535" s="481">
        <v>443</v>
      </c>
      <c r="C535" s="96">
        <f t="shared" si="218"/>
        <v>0.66449999999999443</v>
      </c>
      <c r="D535" s="96">
        <f t="shared" si="215"/>
        <v>28.69818126626345</v>
      </c>
      <c r="E535" s="96">
        <f t="shared" si="216"/>
        <v>7.2223317255511949E-3</v>
      </c>
      <c r="F535" s="96">
        <f t="shared" si="214"/>
        <v>0.14194790789096062</v>
      </c>
      <c r="G535" s="96">
        <f t="shared" si="217"/>
        <v>2.5947907890960617E-2</v>
      </c>
      <c r="I535" s="96">
        <f t="shared" si="219"/>
        <v>0</v>
      </c>
      <c r="J535" s="96">
        <f t="shared" si="220"/>
        <v>0.66449999999999443</v>
      </c>
    </row>
    <row r="536" spans="1:46" ht="12.75" customHeight="1">
      <c r="A536" s="96">
        <f>IF(MAX($F$93:F536)=$G$88,$G$88,F536)</f>
        <v>3.2057712852183653</v>
      </c>
      <c r="B536" s="481">
        <v>444</v>
      </c>
      <c r="C536" s="96">
        <f t="shared" si="218"/>
        <v>0.66599999999999437</v>
      </c>
      <c r="D536" s="96">
        <f t="shared" si="215"/>
        <v>28.827890394886651</v>
      </c>
      <c r="E536" s="96">
        <f t="shared" si="216"/>
        <v>6.9238895355644044E-3</v>
      </c>
      <c r="F536" s="96">
        <f t="shared" si="214"/>
        <v>0.13668318716003469</v>
      </c>
      <c r="G536" s="96">
        <f t="shared" si="217"/>
        <v>2.0683187160034686E-2</v>
      </c>
      <c r="I536" s="96">
        <f t="shared" si="219"/>
        <v>0</v>
      </c>
      <c r="J536" s="96">
        <f t="shared" si="220"/>
        <v>0.66599999999999437</v>
      </c>
    </row>
    <row r="537" spans="1:46" ht="12.75" customHeight="1">
      <c r="A537" s="96">
        <f>IF(MAX($F$93:F537)=$G$88,$G$88,F537)</f>
        <v>3.2057712852183653</v>
      </c>
      <c r="B537" s="481">
        <v>445</v>
      </c>
      <c r="C537" s="96">
        <f t="shared" si="218"/>
        <v>0.66749999999999432</v>
      </c>
      <c r="D537" s="96">
        <f t="shared" si="215"/>
        <v>28.9578919905417</v>
      </c>
      <c r="E537" s="96">
        <f t="shared" si="216"/>
        <v>6.6365466377224748E-3</v>
      </c>
      <c r="F537" s="96">
        <f t="shared" si="214"/>
        <v>0.13158647650310118</v>
      </c>
      <c r="G537" s="96">
        <f t="shared" si="217"/>
        <v>1.5586476503101174E-2</v>
      </c>
      <c r="I537" s="96">
        <f t="shared" si="219"/>
        <v>0</v>
      </c>
      <c r="J537" s="96">
        <f t="shared" si="220"/>
        <v>0.66749999999999432</v>
      </c>
    </row>
    <row r="538" spans="1:46" ht="12.75" customHeight="1">
      <c r="A538" s="96">
        <f>IF(MAX($F$93:F538)=$G$88,$G$88,F538)</f>
        <v>3.2057712852183653</v>
      </c>
      <c r="B538" s="481">
        <v>446</v>
      </c>
      <c r="C538" s="96">
        <f t="shared" si="218"/>
        <v>0.66899999999999427</v>
      </c>
      <c r="D538" s="96">
        <f t="shared" si="215"/>
        <v>29.088186053228593</v>
      </c>
      <c r="E538" s="96">
        <f t="shared" si="216"/>
        <v>6.3599474934082564E-3</v>
      </c>
      <c r="F538" s="96">
        <f t="shared" si="214"/>
        <v>0.12665361436876835</v>
      </c>
      <c r="G538" s="96">
        <f t="shared" si="217"/>
        <v>1.0653614368768341E-2</v>
      </c>
      <c r="I538" s="96">
        <f t="shared" si="219"/>
        <v>0</v>
      </c>
      <c r="J538" s="96">
        <f t="shared" si="220"/>
        <v>0.66899999999999427</v>
      </c>
    </row>
    <row r="539" spans="1:46" ht="12.75" customHeight="1">
      <c r="A539" s="96">
        <f>IF(MAX($F$93:F539)=$G$88,$G$88,F539)</f>
        <v>3.2057712852183653</v>
      </c>
      <c r="B539" s="481">
        <v>447</v>
      </c>
      <c r="C539" s="96">
        <f t="shared" si="218"/>
        <v>0.67049999999999421</v>
      </c>
      <c r="D539" s="96">
        <f t="shared" si="215"/>
        <v>29.218772582947331</v>
      </c>
      <c r="E539" s="96">
        <f t="shared" si="216"/>
        <v>6.093745433284896E-3</v>
      </c>
      <c r="F539" s="96">
        <f t="shared" si="214"/>
        <v>0.1218804991707986</v>
      </c>
      <c r="G539" s="96">
        <f t="shared" si="217"/>
        <v>5.8804991707985949E-3</v>
      </c>
      <c r="I539" s="96">
        <f t="shared" si="219"/>
        <v>0</v>
      </c>
      <c r="J539" s="96">
        <f t="shared" si="220"/>
        <v>0.67049999999999421</v>
      </c>
    </row>
    <row r="540" spans="1:46" ht="12.75" customHeight="1">
      <c r="A540" s="96">
        <f>IF(MAX($F$93:F540)=$G$88,$G$88,F540)</f>
        <v>3.2057712852183653</v>
      </c>
      <c r="B540" s="481">
        <v>448</v>
      </c>
      <c r="C540" s="96">
        <f t="shared" si="218"/>
        <v>0.67199999999999416</v>
      </c>
      <c r="D540" s="96">
        <f t="shared" si="215"/>
        <v>29.349651579697912</v>
      </c>
      <c r="E540" s="96">
        <f t="shared" si="216"/>
        <v>5.8376024969619767E-3</v>
      </c>
      <c r="F540" s="96">
        <f t="shared" si="214"/>
        <v>0.11726307651670523</v>
      </c>
      <c r="G540" s="96">
        <f t="shared" si="217"/>
        <v>1.2630765167052221E-3</v>
      </c>
      <c r="I540" s="96">
        <f t="shared" si="219"/>
        <v>0</v>
      </c>
      <c r="J540" s="96">
        <f t="shared" si="220"/>
        <v>0.67199999999999416</v>
      </c>
    </row>
    <row r="541" spans="1:46" ht="12.75" customHeight="1">
      <c r="A541" s="96">
        <f>IF(MAX($F$93:F541)=$G$88,$G$88,F541)</f>
        <v>3.2057712852183653</v>
      </c>
      <c r="B541" s="481">
        <v>449</v>
      </c>
      <c r="C541" s="96">
        <f t="shared" si="218"/>
        <v>0.6734999999999941</v>
      </c>
      <c r="D541" s="96">
        <f t="shared" si="215"/>
        <v>29.480823043480338</v>
      </c>
      <c r="E541" s="96">
        <f t="shared" si="216"/>
        <v>5.591189391070445E-3</v>
      </c>
      <c r="F541" s="96">
        <f t="shared" ref="F541:F604" si="242">IF($E$12&lt;$F$90,NA(),$E$87*(E540-E542)/(2*$C$88))</f>
        <v>0.11279734128798151</v>
      </c>
      <c r="G541" s="96">
        <f t="shared" si="217"/>
        <v>-3.2026587120184968E-3</v>
      </c>
      <c r="I541" s="96">
        <f t="shared" si="219"/>
        <v>0</v>
      </c>
      <c r="J541" s="96">
        <f t="shared" si="220"/>
        <v>0.6734999999999941</v>
      </c>
    </row>
    <row r="542" spans="1:46" ht="12.75" customHeight="1">
      <c r="A542" s="96">
        <f>IF(MAX($F$93:F542)=$G$88,$G$88,F542)</f>
        <v>3.2057712852183653</v>
      </c>
      <c r="B542" s="481">
        <v>450</v>
      </c>
      <c r="C542" s="96">
        <f t="shared" si="218"/>
        <v>0.67499999999999405</v>
      </c>
      <c r="D542" s="96">
        <f t="shared" ref="D542:D605" si="243">C542^2/$C$85</f>
        <v>29.612286974294612</v>
      </c>
      <c r="E542" s="96">
        <f t="shared" ref="E542:E605" si="244">CHIDIST(D542,$E$85)</f>
        <v>5.3541853200134845E-3</v>
      </c>
      <c r="F542" s="96">
        <f t="shared" si="242"/>
        <v>0.10847935328726975</v>
      </c>
      <c r="G542" s="96">
        <f t="shared" ref="G542:G605" si="245">F542-$G$90</f>
        <v>-7.5206467127302556E-3</v>
      </c>
      <c r="I542" s="96">
        <f t="shared" si="219"/>
        <v>0</v>
      </c>
      <c r="J542" s="96">
        <f t="shared" si="220"/>
        <v>0.67499999999999405</v>
      </c>
    </row>
    <row r="543" spans="1:46" ht="12.75" customHeight="1">
      <c r="A543" s="96">
        <f>IF(MAX($F$93:F543)=$G$88,$G$88,F543)</f>
        <v>3.2057712852183653</v>
      </c>
      <c r="B543" s="481">
        <v>451</v>
      </c>
      <c r="C543" s="96">
        <f t="shared" si="218"/>
        <v>0.676499999999994</v>
      </c>
      <c r="D543" s="96">
        <f t="shared" si="243"/>
        <v>29.74404337214073</v>
      </c>
      <c r="E543" s="96">
        <f t="shared" si="244"/>
        <v>5.126277876982146E-3</v>
      </c>
      <c r="F543" s="96">
        <f t="shared" si="242"/>
        <v>0.10430522680824572</v>
      </c>
      <c r="G543" s="96">
        <f t="shared" si="245"/>
        <v>-1.1694773191754285E-2</v>
      </c>
      <c r="I543" s="96">
        <f t="shared" si="219"/>
        <v>0</v>
      </c>
      <c r="J543" s="96">
        <f t="shared" si="220"/>
        <v>0.676499999999994</v>
      </c>
    </row>
    <row r="544" spans="1:46" ht="12.75" customHeight="1">
      <c r="A544" s="96">
        <f>IF(MAX($F$93:F544)=$G$88,$G$88,F544)</f>
        <v>3.2057712852183653</v>
      </c>
      <c r="B544" s="481">
        <v>452</v>
      </c>
      <c r="C544" s="96">
        <f t="shared" si="218"/>
        <v>0.67799999999999394</v>
      </c>
      <c r="D544" s="96">
        <f t="shared" si="243"/>
        <v>29.876092237018689</v>
      </c>
      <c r="E544" s="96">
        <f t="shared" si="244"/>
        <v>4.9071629194067171E-3</v>
      </c>
      <c r="F544" s="96">
        <f t="shared" si="242"/>
        <v>0.10027113483297415</v>
      </c>
      <c r="G544" s="96">
        <f t="shared" si="245"/>
        <v>-1.572886516702586E-2</v>
      </c>
      <c r="I544" s="96">
        <f t="shared" si="219"/>
        <v>0</v>
      </c>
      <c r="J544" s="96">
        <f t="shared" si="220"/>
        <v>0.67799999999999394</v>
      </c>
    </row>
    <row r="545" spans="1:10" ht="12.75" customHeight="1">
      <c r="A545" s="96">
        <f>IF(MAX($F$93:F545)=$G$88,$G$88,F545)</f>
        <v>3.2057712852183653</v>
      </c>
      <c r="B545" s="481">
        <v>453</v>
      </c>
      <c r="C545" s="96">
        <f t="shared" si="218"/>
        <v>0.67949999999999389</v>
      </c>
      <c r="D545" s="96">
        <f t="shared" si="243"/>
        <v>30.008433568928496</v>
      </c>
      <c r="E545" s="96">
        <f t="shared" si="244"/>
        <v>4.6965444419836853E-3</v>
      </c>
      <c r="F545" s="96">
        <f t="shared" si="242"/>
        <v>9.6373310105403662E-2</v>
      </c>
      <c r="G545" s="96">
        <f t="shared" si="245"/>
        <v>-1.9626689894596344E-2</v>
      </c>
      <c r="I545" s="96">
        <f t="shared" si="219"/>
        <v>0</v>
      </c>
      <c r="J545" s="96">
        <f t="shared" si="220"/>
        <v>0.67949999999999389</v>
      </c>
    </row>
    <row r="546" spans="1:10" ht="12.75" customHeight="1">
      <c r="A546" s="96">
        <f>IF(MAX($F$93:F546)=$G$88,$G$88,F546)</f>
        <v>3.2057712852183653</v>
      </c>
      <c r="B546" s="481">
        <v>454</v>
      </c>
      <c r="C546" s="96">
        <f t="shared" si="218"/>
        <v>0.68099999999999383</v>
      </c>
      <c r="D546" s="96">
        <f t="shared" si="243"/>
        <v>30.14106736787015</v>
      </c>
      <c r="E546" s="96">
        <f t="shared" si="244"/>
        <v>4.4941344475264156E-3</v>
      </c>
      <c r="F546" s="96">
        <f t="shared" si="242"/>
        <v>9.2608046090914331E-2</v>
      </c>
      <c r="G546" s="96">
        <f t="shared" si="245"/>
        <v>-2.3391953909085675E-2</v>
      </c>
      <c r="I546" s="96">
        <f t="shared" si="219"/>
        <v>0</v>
      </c>
      <c r="J546" s="96">
        <f t="shared" si="220"/>
        <v>0.68099999999999383</v>
      </c>
    </row>
    <row r="547" spans="1:10" ht="12.75" customHeight="1">
      <c r="A547" s="96">
        <f>IF(MAX($F$93:F547)=$G$88,$G$88,F547)</f>
        <v>3.2057712852183653</v>
      </c>
      <c r="B547" s="481">
        <v>455</v>
      </c>
      <c r="C547" s="96">
        <f t="shared" si="218"/>
        <v>0.68249999999999378</v>
      </c>
      <c r="D547" s="96">
        <f t="shared" si="243"/>
        <v>30.273993633843645</v>
      </c>
      <c r="E547" s="96">
        <f t="shared" si="244"/>
        <v>4.2996528158797667E-3</v>
      </c>
      <c r="F547" s="96">
        <f t="shared" si="242"/>
        <v>8.8971697825520377E-2</v>
      </c>
      <c r="G547" s="96">
        <f t="shared" si="245"/>
        <v>-2.7028302174479629E-2</v>
      </c>
      <c r="I547" s="96">
        <f t="shared" si="219"/>
        <v>0</v>
      </c>
      <c r="J547" s="96">
        <f t="shared" si="220"/>
        <v>0.68249999999999378</v>
      </c>
    </row>
    <row r="548" spans="1:10" ht="12.75" customHeight="1">
      <c r="A548" s="96">
        <f>IF(MAX($F$93:F548)=$G$88,$G$88,F548)</f>
        <v>3.2057712852183653</v>
      </c>
      <c r="B548" s="481">
        <v>456</v>
      </c>
      <c r="C548" s="96">
        <f t="shared" si="218"/>
        <v>0.68399999999999372</v>
      </c>
      <c r="D548" s="96">
        <f t="shared" si="243"/>
        <v>30.407212366848984</v>
      </c>
      <c r="E548" s="96">
        <f t="shared" si="244"/>
        <v>4.1128271711313282E-3</v>
      </c>
      <c r="F548" s="96">
        <f t="shared" si="242"/>
        <v>8.5460682658374296E-2</v>
      </c>
      <c r="G548" s="96">
        <f t="shared" si="245"/>
        <v>-3.053931734162571E-2</v>
      </c>
      <c r="I548" s="96">
        <f t="shared" si="219"/>
        <v>0</v>
      </c>
      <c r="J548" s="96">
        <f t="shared" si="220"/>
        <v>0.68399999999999372</v>
      </c>
    </row>
    <row r="549" spans="1:10" ht="12.75" customHeight="1">
      <c r="A549" s="96">
        <f>IF(MAX($F$93:F549)=$G$88,$G$88,F549)</f>
        <v>3.2057712852183653</v>
      </c>
      <c r="B549" s="481">
        <v>457</v>
      </c>
      <c r="C549" s="96">
        <f t="shared" si="218"/>
        <v>0.68549999999999367</v>
      </c>
      <c r="D549" s="96">
        <f t="shared" si="243"/>
        <v>30.540723566886175</v>
      </c>
      <c r="E549" s="96">
        <f t="shared" si="244"/>
        <v>3.9333927473438769E-3</v>
      </c>
      <c r="F549" s="96">
        <f t="shared" si="242"/>
        <v>8.2071480891258708E-2</v>
      </c>
      <c r="G549" s="96">
        <f t="shared" si="245"/>
        <v>-3.3928519108741298E-2</v>
      </c>
      <c r="I549" s="96">
        <f t="shared" si="219"/>
        <v>0</v>
      </c>
      <c r="J549" s="96">
        <f t="shared" si="220"/>
        <v>0.68549999999999367</v>
      </c>
    </row>
    <row r="550" spans="1:10" ht="12.75" customHeight="1">
      <c r="A550" s="96">
        <f>IF(MAX($F$93:F550)=$G$88,$G$88,F550)</f>
        <v>3.2057712852183653</v>
      </c>
      <c r="B550" s="481">
        <v>458</v>
      </c>
      <c r="C550" s="96">
        <f t="shared" si="218"/>
        <v>0.68699999999999362</v>
      </c>
      <c r="D550" s="96">
        <f t="shared" si="243"/>
        <v>30.674527233955203</v>
      </c>
      <c r="E550" s="96">
        <f t="shared" si="244"/>
        <v>3.7610922530259337E-3</v>
      </c>
      <c r="F550" s="96">
        <f t="shared" si="242"/>
        <v>7.8800636318751727E-2</v>
      </c>
      <c r="G550" s="96">
        <f t="shared" si="245"/>
        <v>-3.7199363681248279E-2</v>
      </c>
      <c r="I550" s="96">
        <f t="shared" si="219"/>
        <v>0</v>
      </c>
      <c r="J550" s="96">
        <f t="shared" si="220"/>
        <v>0.68699999999999362</v>
      </c>
    </row>
    <row r="551" spans="1:10" ht="12.75" customHeight="1">
      <c r="A551" s="96">
        <f>IF(MAX($F$93:F551)=$G$88,$G$88,F551)</f>
        <v>3.2057712852183653</v>
      </c>
      <c r="B551" s="481">
        <v>459</v>
      </c>
      <c r="C551" s="96">
        <f t="shared" si="218"/>
        <v>0.68849999999999356</v>
      </c>
      <c r="D551" s="96">
        <f t="shared" si="243"/>
        <v>30.808623368056082</v>
      </c>
      <c r="E551" s="96">
        <f t="shared" si="244"/>
        <v>3.5956757345492266E-3</v>
      </c>
      <c r="F551" s="96">
        <f t="shared" si="242"/>
        <v>7.564475667262674E-2</v>
      </c>
      <c r="G551" s="96">
        <f t="shared" si="245"/>
        <v>-4.0355243327373266E-2</v>
      </c>
      <c r="I551" s="96">
        <f t="shared" si="219"/>
        <v>0</v>
      </c>
      <c r="J551" s="96">
        <f t="shared" si="220"/>
        <v>0.68849999999999356</v>
      </c>
    </row>
    <row r="552" spans="1:10" ht="12.75" customHeight="1">
      <c r="A552" s="96">
        <f>IF(MAX($F$93:F552)=$G$88,$G$88,F552)</f>
        <v>3.2057712852183653</v>
      </c>
      <c r="B552" s="481">
        <v>460</v>
      </c>
      <c r="C552" s="96">
        <f t="shared" si="218"/>
        <v>0.68999999999999351</v>
      </c>
      <c r="D552" s="96">
        <f t="shared" si="243"/>
        <v>30.943011969188802</v>
      </c>
      <c r="E552" s="96">
        <f t="shared" si="244"/>
        <v>3.4369004387146762E-3</v>
      </c>
      <c r="F552" s="96">
        <f t="shared" si="242"/>
        <v>7.2600513974217698E-2</v>
      </c>
      <c r="G552" s="96">
        <f t="shared" si="245"/>
        <v>-4.3399486025782308E-2</v>
      </c>
      <c r="I552" s="96">
        <f t="shared" si="219"/>
        <v>0</v>
      </c>
      <c r="J552" s="96">
        <f t="shared" si="220"/>
        <v>0.68999999999999351</v>
      </c>
    </row>
    <row r="553" spans="1:10" ht="12.75" customHeight="1">
      <c r="A553" s="96">
        <f>IF(MAX($F$93:F553)=$G$88,$G$88,F553)</f>
        <v>3.2057712852183653</v>
      </c>
      <c r="B553" s="481">
        <v>461</v>
      </c>
      <c r="C553" s="96">
        <f t="shared" ref="C553:C616" si="246">C552+$C$88</f>
        <v>0.69149999999999345</v>
      </c>
      <c r="D553" s="96">
        <f t="shared" si="243"/>
        <v>31.07769303735337</v>
      </c>
      <c r="E553" s="96">
        <f t="shared" si="244"/>
        <v>3.2845306746597221E-3</v>
      </c>
      <c r="F553" s="96">
        <f t="shared" si="242"/>
        <v>6.9664644798375114E-2</v>
      </c>
      <c r="G553" s="96">
        <f t="shared" si="245"/>
        <v>-4.6335355201624892E-2</v>
      </c>
      <c r="I553" s="96">
        <f t="shared" si="219"/>
        <v>0</v>
      </c>
      <c r="J553" s="96">
        <f t="shared" si="220"/>
        <v>0.69149999999999345</v>
      </c>
    </row>
    <row r="554" spans="1:10" ht="12.75" customHeight="1">
      <c r="A554" s="96">
        <f>IF(MAX($F$93:F554)=$G$88,$G$88,F554)</f>
        <v>3.2057712852183653</v>
      </c>
      <c r="B554" s="481">
        <v>462</v>
      </c>
      <c r="C554" s="96">
        <f t="shared" si="246"/>
        <v>0.6929999999999934</v>
      </c>
      <c r="D554" s="96">
        <f t="shared" si="243"/>
        <v>31.212666572549779</v>
      </c>
      <c r="E554" s="96">
        <f t="shared" si="244"/>
        <v>3.1383376752930686E-3</v>
      </c>
      <c r="F554" s="96">
        <f t="shared" si="242"/>
        <v>6.6833950452515556E-2</v>
      </c>
      <c r="G554" s="96">
        <f t="shared" si="245"/>
        <v>-4.916604954748445E-2</v>
      </c>
      <c r="I554" s="96">
        <f t="shared" si="219"/>
        <v>0</v>
      </c>
      <c r="J554" s="96">
        <f t="shared" si="220"/>
        <v>0.6929999999999934</v>
      </c>
    </row>
    <row r="555" spans="1:10" ht="12.75" customHeight="1">
      <c r="A555" s="96">
        <f>IF(MAX($F$93:F555)=$G$88,$G$88,F555)</f>
        <v>3.2057712852183653</v>
      </c>
      <c r="B555" s="481">
        <v>463</v>
      </c>
      <c r="C555" s="96">
        <f t="shared" si="246"/>
        <v>0.69449999999999334</v>
      </c>
      <c r="D555" s="96">
        <f t="shared" si="243"/>
        <v>31.347932574778035</v>
      </c>
      <c r="E555" s="96">
        <f t="shared" si="244"/>
        <v>2.9980994584346554E-3</v>
      </c>
      <c r="F555" s="96">
        <f t="shared" si="242"/>
        <v>6.4105297074420822E-2</v>
      </c>
      <c r="G555" s="96">
        <f t="shared" si="245"/>
        <v>-5.1894702925579184E-2</v>
      </c>
      <c r="I555" s="96">
        <f t="shared" si="219"/>
        <v>0</v>
      </c>
      <c r="J555" s="96">
        <f t="shared" si="220"/>
        <v>0.69449999999999334</v>
      </c>
    </row>
    <row r="556" spans="1:10" ht="12.75" customHeight="1">
      <c r="A556" s="96">
        <f>IF(MAX($F$93:F556)=$G$88,$G$88,F556)</f>
        <v>3.2057712852183653</v>
      </c>
      <c r="B556" s="481">
        <v>464</v>
      </c>
      <c r="C556" s="96">
        <f t="shared" si="246"/>
        <v>0.69599999999999329</v>
      </c>
      <c r="D556" s="96">
        <f t="shared" si="243"/>
        <v>31.483491044038136</v>
      </c>
      <c r="E556" s="96">
        <f t="shared" si="244"/>
        <v>2.863600687831265E-3</v>
      </c>
      <c r="F556" s="96">
        <f t="shared" si="242"/>
        <v>6.147561565227623E-2</v>
      </c>
      <c r="G556" s="96">
        <f t="shared" si="245"/>
        <v>-5.4524384347723776E-2</v>
      </c>
      <c r="I556" s="96">
        <f t="shared" ref="I556:I619" si="247">IF(F556&gt;$G$87,1,0)</f>
        <v>0</v>
      </c>
      <c r="J556" s="96">
        <f t="shared" ref="J556:J619" si="248">C556</f>
        <v>0.69599999999999329</v>
      </c>
    </row>
    <row r="557" spans="1:10" ht="12.75" customHeight="1">
      <c r="A557" s="96">
        <f>IF(MAX($F$93:F557)=$G$88,$G$88,F557)</f>
        <v>3.2057712852183653</v>
      </c>
      <c r="B557" s="481">
        <v>465</v>
      </c>
      <c r="C557" s="96">
        <f t="shared" si="246"/>
        <v>0.69749999999999324</v>
      </c>
      <c r="D557" s="96">
        <f t="shared" si="243"/>
        <v>31.619341980330081</v>
      </c>
      <c r="E557" s="96">
        <f t="shared" si="244"/>
        <v>2.7346325342106144E-3</v>
      </c>
      <c r="F557" s="96">
        <f t="shared" si="242"/>
        <v>5.894190197042995E-2</v>
      </c>
      <c r="G557" s="96">
        <f t="shared" si="245"/>
        <v>-5.7058098029570056E-2</v>
      </c>
      <c r="I557" s="96">
        <f t="shared" si="247"/>
        <v>0</v>
      </c>
      <c r="J557" s="96">
        <f t="shared" si="248"/>
        <v>0.69749999999999324</v>
      </c>
    </row>
    <row r="558" spans="1:10" ht="12.75" customHeight="1">
      <c r="A558" s="96">
        <f>IF(MAX($F$93:F558)=$G$88,$G$88,F558)</f>
        <v>3.2057712852183653</v>
      </c>
      <c r="B558" s="481">
        <v>466</v>
      </c>
      <c r="C558" s="96">
        <f t="shared" si="246"/>
        <v>0.69899999999999318</v>
      </c>
      <c r="D558" s="96">
        <f t="shared" si="243"/>
        <v>31.75548538365387</v>
      </c>
      <c r="E558" s="96">
        <f t="shared" si="244"/>
        <v>2.6109925365294224E-3</v>
      </c>
      <c r="F558" s="96">
        <f t="shared" si="242"/>
        <v>5.6501216484341518E-2</v>
      </c>
      <c r="G558" s="96">
        <f t="shared" si="245"/>
        <v>-5.9498783515658488E-2</v>
      </c>
      <c r="I558" s="96">
        <f t="shared" si="247"/>
        <v>0</v>
      </c>
      <c r="J558" s="96">
        <f t="shared" si="248"/>
        <v>0.69899999999999318</v>
      </c>
    </row>
    <row r="559" spans="1:10" ht="12.75" customHeight="1">
      <c r="A559" s="96">
        <f>IF(MAX($F$93:F559)=$G$88,$G$88,F559)</f>
        <v>3.2057712852183653</v>
      </c>
      <c r="B559" s="481">
        <v>467</v>
      </c>
      <c r="C559" s="96">
        <f t="shared" si="246"/>
        <v>0.70049999999999313</v>
      </c>
      <c r="D559" s="96">
        <f t="shared" si="243"/>
        <v>31.891921254009503</v>
      </c>
      <c r="E559" s="96">
        <f t="shared" si="244"/>
        <v>2.4924844635634364E-3</v>
      </c>
      <c r="F559" s="96">
        <f t="shared" si="242"/>
        <v>5.4150684128090085E-2</v>
      </c>
      <c r="G559" s="96">
        <f t="shared" si="245"/>
        <v>-6.1849315871909921E-2</v>
      </c>
      <c r="I559" s="96">
        <f t="shared" si="247"/>
        <v>0</v>
      </c>
      <c r="J559" s="96">
        <f t="shared" si="248"/>
        <v>0.70049999999999313</v>
      </c>
    </row>
    <row r="560" spans="1:10" ht="12.75" customHeight="1">
      <c r="A560" s="96">
        <f>IF(MAX($F$93:F560)=$G$88,$G$88,F560)</f>
        <v>3.2057712852183653</v>
      </c>
      <c r="B560" s="481">
        <v>468</v>
      </c>
      <c r="C560" s="96">
        <f t="shared" si="246"/>
        <v>0.70199999999999307</v>
      </c>
      <c r="D560" s="96">
        <f t="shared" si="243"/>
        <v>32.028649591396984</v>
      </c>
      <c r="E560" s="96">
        <f t="shared" si="244"/>
        <v>2.3789181759804648E-3</v>
      </c>
      <c r="F560" s="96">
        <f t="shared" si="242"/>
        <v>5.1887494057823932E-2</v>
      </c>
      <c r="G560" s="96">
        <f t="shared" si="245"/>
        <v>-6.4112505942176073E-2</v>
      </c>
      <c r="I560" s="96">
        <f t="shared" si="247"/>
        <v>0</v>
      </c>
      <c r="J560" s="96">
        <f t="shared" si="248"/>
        <v>0.70199999999999307</v>
      </c>
    </row>
    <row r="561" spans="1:10" ht="12.75" customHeight="1">
      <c r="A561" s="96">
        <f>IF(MAX($F$93:F561)=$G$88,$G$88,F561)</f>
        <v>3.2057712852183653</v>
      </c>
      <c r="B561" s="481">
        <v>469</v>
      </c>
      <c r="C561" s="96">
        <f t="shared" si="246"/>
        <v>0.70349999999999302</v>
      </c>
      <c r="D561" s="96">
        <f t="shared" si="243"/>
        <v>32.165670395816306</v>
      </c>
      <c r="E561" s="96">
        <f t="shared" si="244"/>
        <v>2.2701094890299053E-3</v>
      </c>
      <c r="F561" s="96">
        <f t="shared" si="242"/>
        <v>4.9708899334392487E-2</v>
      </c>
      <c r="G561" s="96">
        <f t="shared" si="245"/>
        <v>-6.6291100665607519E-2</v>
      </c>
      <c r="I561" s="96">
        <f t="shared" si="247"/>
        <v>0</v>
      </c>
      <c r="J561" s="96">
        <f t="shared" si="248"/>
        <v>0.70349999999999302</v>
      </c>
    </row>
    <row r="562" spans="1:10" ht="12.75" customHeight="1">
      <c r="A562" s="96">
        <f>IF(MAX($F$93:F562)=$G$88,$G$88,F562)</f>
        <v>3.2057712852183653</v>
      </c>
      <c r="B562" s="481">
        <v>470</v>
      </c>
      <c r="C562" s="96">
        <f t="shared" si="246"/>
        <v>0.70499999999999297</v>
      </c>
      <c r="D562" s="96">
        <f t="shared" si="243"/>
        <v>32.302983667267476</v>
      </c>
      <c r="E562" s="96">
        <f t="shared" si="244"/>
        <v>2.1658800359759256E-3</v>
      </c>
      <c r="F562" s="96">
        <f t="shared" si="242"/>
        <v>4.7612216548409997E-2</v>
      </c>
      <c r="G562" s="96">
        <f t="shared" si="245"/>
        <v>-6.8387783451590009E-2</v>
      </c>
      <c r="I562" s="96">
        <f t="shared" si="247"/>
        <v>0</v>
      </c>
      <c r="J562" s="96">
        <f t="shared" si="248"/>
        <v>0.70499999999999297</v>
      </c>
    </row>
    <row r="563" spans="1:10" ht="12.75" customHeight="1">
      <c r="A563" s="96">
        <f>IF(MAX($F$93:F563)=$G$88,$G$88,F563)</f>
        <v>3.2057712852183653</v>
      </c>
      <c r="B563" s="481">
        <v>471</v>
      </c>
      <c r="C563" s="96">
        <f t="shared" si="246"/>
        <v>0.70649999999999291</v>
      </c>
      <c r="D563" s="96">
        <f t="shared" si="243"/>
        <v>32.440589405750494</v>
      </c>
      <c r="E563" s="96">
        <f t="shared" si="244"/>
        <v>2.0660571323938624E-3</v>
      </c>
      <c r="F563" s="96">
        <f t="shared" si="242"/>
        <v>4.559482539094508E-2</v>
      </c>
      <c r="G563" s="96">
        <f t="shared" si="245"/>
        <v>-7.0405174609054932E-2</v>
      </c>
      <c r="I563" s="96">
        <f t="shared" si="247"/>
        <v>0</v>
      </c>
      <c r="J563" s="96">
        <f t="shared" si="248"/>
        <v>0.70649999999999291</v>
      </c>
    </row>
    <row r="564" spans="1:10" ht="12.75" customHeight="1">
      <c r="A564" s="96">
        <f>IF(MAX($F$93:F564)=$G$88,$G$88,F564)</f>
        <v>3.2057712852183653</v>
      </c>
      <c r="B564" s="481">
        <v>472</v>
      </c>
      <c r="C564" s="96">
        <f t="shared" si="246"/>
        <v>0.70799999999999286</v>
      </c>
      <c r="D564" s="96">
        <f t="shared" si="243"/>
        <v>32.578487611265359</v>
      </c>
      <c r="E564" s="96">
        <f t="shared" si="244"/>
        <v>1.9704736414433038E-3</v>
      </c>
      <c r="F564" s="96">
        <f t="shared" si="242"/>
        <v>4.3654168172882535E-2</v>
      </c>
      <c r="G564" s="96">
        <f t="shared" si="245"/>
        <v>-7.2345831827117471E-2</v>
      </c>
      <c r="I564" s="96">
        <f t="shared" si="247"/>
        <v>0</v>
      </c>
      <c r="J564" s="96">
        <f t="shared" si="248"/>
        <v>0.70799999999999286</v>
      </c>
    </row>
    <row r="565" spans="1:10" ht="12.75" customHeight="1">
      <c r="A565" s="96">
        <f>IF(MAX($F$93:F565)=$G$88,$G$88,F565)</f>
        <v>3.2057712852183653</v>
      </c>
      <c r="B565" s="481">
        <v>473</v>
      </c>
      <c r="C565" s="96">
        <f t="shared" si="246"/>
        <v>0.7094999999999928</v>
      </c>
      <c r="D565" s="96">
        <f t="shared" si="243"/>
        <v>32.716678283812058</v>
      </c>
      <c r="E565" s="96">
        <f t="shared" si="244"/>
        <v>1.8789678402243658E-3</v>
      </c>
      <c r="F565" s="96">
        <f t="shared" si="242"/>
        <v>4.1787749296052348E-2</v>
      </c>
      <c r="G565" s="96">
        <f t="shared" si="245"/>
        <v>-7.4212250703947658E-2</v>
      </c>
      <c r="I565" s="96">
        <f t="shared" si="247"/>
        <v>0</v>
      </c>
      <c r="J565" s="96">
        <f t="shared" si="248"/>
        <v>0.7094999999999928</v>
      </c>
    </row>
    <row r="566" spans="1:10" ht="12.75" customHeight="1">
      <c r="A566" s="96">
        <f>IF(MAX($F$93:F566)=$G$88,$G$88,F566)</f>
        <v>3.2057712852183653</v>
      </c>
      <c r="B566" s="481">
        <v>474</v>
      </c>
      <c r="C566" s="96">
        <f t="shared" si="246"/>
        <v>0.71099999999999275</v>
      </c>
      <c r="D566" s="96">
        <f t="shared" si="243"/>
        <v>32.855161423390605</v>
      </c>
      <c r="E566" s="96">
        <f t="shared" si="244"/>
        <v>1.7913832873173651E-3</v>
      </c>
      <c r="F566" s="96">
        <f t="shared" si="242"/>
        <v>3.9993134679058365E-2</v>
      </c>
      <c r="G566" s="96">
        <f t="shared" si="245"/>
        <v>-7.6006865320941641E-2</v>
      </c>
      <c r="I566" s="96">
        <f t="shared" si="247"/>
        <v>0</v>
      </c>
      <c r="J566" s="96">
        <f t="shared" si="248"/>
        <v>0.71099999999999275</v>
      </c>
    </row>
    <row r="567" spans="1:10" ht="12.75" customHeight="1">
      <c r="A567" s="96">
        <f>IF(MAX($F$93:F567)=$G$88,$G$88,F567)</f>
        <v>3.2057712852183653</v>
      </c>
      <c r="B567" s="481">
        <v>475</v>
      </c>
      <c r="C567" s="96">
        <f t="shared" si="246"/>
        <v>0.71249999999999269</v>
      </c>
      <c r="D567" s="96">
        <f t="shared" si="243"/>
        <v>32.993937030001</v>
      </c>
      <c r="E567" s="96">
        <f t="shared" si="244"/>
        <v>1.7075686915998299E-3</v>
      </c>
      <c r="F567" s="96">
        <f t="shared" si="242"/>
        <v>3.8267951140700078E-2</v>
      </c>
      <c r="G567" s="96">
        <f t="shared" si="245"/>
        <v>-7.7732048859299935E-2</v>
      </c>
      <c r="I567" s="96">
        <f t="shared" si="247"/>
        <v>0</v>
      </c>
      <c r="J567" s="96">
        <f t="shared" si="248"/>
        <v>0.71249999999999269</v>
      </c>
    </row>
    <row r="568" spans="1:10" ht="12.75" customHeight="1">
      <c r="A568" s="96">
        <f>IF(MAX($F$93:F568)=$G$88,$G$88,F568)</f>
        <v>3.2057712852183653</v>
      </c>
      <c r="B568" s="481">
        <v>476</v>
      </c>
      <c r="C568" s="96">
        <f t="shared" si="246"/>
        <v>0.71399999999999264</v>
      </c>
      <c r="D568" s="96">
        <f t="shared" si="243"/>
        <v>33.133005103643242</v>
      </c>
      <c r="E568" s="96">
        <f t="shared" si="244"/>
        <v>1.6273777824286505E-3</v>
      </c>
      <c r="F568" s="96">
        <f t="shared" si="242"/>
        <v>3.6609885743829805E-2</v>
      </c>
      <c r="G568" s="96">
        <f t="shared" si="245"/>
        <v>-7.9390114256170208E-2</v>
      </c>
      <c r="I568" s="96">
        <f t="shared" si="247"/>
        <v>0</v>
      </c>
      <c r="J568" s="96">
        <f t="shared" si="248"/>
        <v>0.71399999999999264</v>
      </c>
    </row>
    <row r="569" spans="1:10" ht="12.75" customHeight="1">
      <c r="A569" s="96">
        <f>IF(MAX($F$93:F569)=$G$88,$G$88,F569)</f>
        <v>3.2057712852183653</v>
      </c>
      <c r="B569" s="481">
        <v>477</v>
      </c>
      <c r="C569" s="96">
        <f t="shared" si="246"/>
        <v>0.71549999999999259</v>
      </c>
      <c r="D569" s="96">
        <f t="shared" si="243"/>
        <v>33.272365644317325</v>
      </c>
      <c r="E569" s="96">
        <f t="shared" si="244"/>
        <v>1.5506691812691307E-3</v>
      </c>
      <c r="F569" s="96">
        <f t="shared" si="242"/>
        <v>3.5016685102398096E-2</v>
      </c>
      <c r="G569" s="96">
        <f t="shared" si="245"/>
        <v>-8.098331489760191E-2</v>
      </c>
      <c r="I569" s="96">
        <f t="shared" si="247"/>
        <v>0</v>
      </c>
      <c r="J569" s="96">
        <f t="shared" si="248"/>
        <v>0.71549999999999259</v>
      </c>
    </row>
    <row r="570" spans="1:10" ht="12.75" customHeight="1">
      <c r="A570" s="96">
        <f>IF(MAX($F$93:F570)=$G$88,$G$88,F570)</f>
        <v>3.2057712852183653</v>
      </c>
      <c r="B570" s="481">
        <v>478</v>
      </c>
      <c r="C570" s="96">
        <f t="shared" si="246"/>
        <v>0.71699999999999253</v>
      </c>
      <c r="D570" s="96">
        <f t="shared" si="243"/>
        <v>33.412018652023249</v>
      </c>
      <c r="E570" s="96">
        <f t="shared" si="244"/>
        <v>1.4773062748469443E-3</v>
      </c>
      <c r="F570" s="96">
        <f t="shared" si="242"/>
        <v>3.3486154654344749E-2</v>
      </c>
      <c r="G570" s="96">
        <f t="shared" si="245"/>
        <v>-8.2513845345655257E-2</v>
      </c>
      <c r="I570" s="96">
        <f t="shared" si="247"/>
        <v>0</v>
      </c>
      <c r="J570" s="96">
        <f t="shared" si="248"/>
        <v>0.71699999999999253</v>
      </c>
    </row>
    <row r="571" spans="1:10" ht="12.75" customHeight="1">
      <c r="A571" s="96">
        <f>IF(MAX($F$93:F571)=$G$88,$G$88,F571)</f>
        <v>3.2057712852183653</v>
      </c>
      <c r="B571" s="481">
        <v>479</v>
      </c>
      <c r="C571" s="96">
        <f t="shared" si="246"/>
        <v>0.71849999999999248</v>
      </c>
      <c r="D571" s="96">
        <f t="shared" si="243"/>
        <v>33.551964126761028</v>
      </c>
      <c r="E571" s="96">
        <f t="shared" si="244"/>
        <v>1.4071570898933675E-3</v>
      </c>
      <c r="F571" s="96">
        <f t="shared" si="242"/>
        <v>3.2016157902920242E-2</v>
      </c>
      <c r="G571" s="96">
        <f t="shared" si="245"/>
        <v>-8.3983842097079764E-2</v>
      </c>
      <c r="I571" s="96">
        <f t="shared" si="247"/>
        <v>0</v>
      </c>
      <c r="J571" s="96">
        <f t="shared" si="248"/>
        <v>0.71849999999999248</v>
      </c>
    </row>
    <row r="572" spans="1:10" ht="12.75" customHeight="1">
      <c r="A572" s="96">
        <f>IF(MAX($F$93:F572)=$G$88,$G$88,F572)</f>
        <v>3.2057712852183653</v>
      </c>
      <c r="B572" s="481">
        <v>480</v>
      </c>
      <c r="C572" s="96">
        <f t="shared" si="246"/>
        <v>0.71999999999999242</v>
      </c>
      <c r="D572" s="96">
        <f t="shared" si="243"/>
        <v>33.692202068530641</v>
      </c>
      <c r="E572" s="96">
        <f t="shared" si="244"/>
        <v>1.3400941695487147E-3</v>
      </c>
      <c r="F572" s="96">
        <f t="shared" si="242"/>
        <v>3.0604615629011529E-2</v>
      </c>
      <c r="G572" s="96">
        <f t="shared" si="245"/>
        <v>-8.5395384370988481E-2</v>
      </c>
      <c r="I572" s="96">
        <f t="shared" si="247"/>
        <v>0</v>
      </c>
      <c r="J572" s="96">
        <f t="shared" si="248"/>
        <v>0.71999999999999242</v>
      </c>
    </row>
    <row r="573" spans="1:10" ht="12.75" customHeight="1">
      <c r="A573" s="96">
        <f>IF(MAX($F$93:F573)=$G$88,$G$88,F573)</f>
        <v>3.2057712852183653</v>
      </c>
      <c r="B573" s="481">
        <v>481</v>
      </c>
      <c r="C573" s="96">
        <f t="shared" si="246"/>
        <v>0.72149999999999237</v>
      </c>
      <c r="D573" s="96">
        <f t="shared" si="243"/>
        <v>33.832732477332108</v>
      </c>
      <c r="E573" s="96">
        <f t="shared" si="244"/>
        <v>1.2759944514833181E-3</v>
      </c>
      <c r="F573" s="96">
        <f t="shared" si="242"/>
        <v>2.9249505076863597E-2</v>
      </c>
      <c r="G573" s="96">
        <f t="shared" si="245"/>
        <v>-8.6750494923136412E-2</v>
      </c>
      <c r="I573" s="96">
        <f t="shared" si="247"/>
        <v>0</v>
      </c>
      <c r="J573" s="96">
        <f t="shared" si="248"/>
        <v>0.72149999999999237</v>
      </c>
    </row>
    <row r="574" spans="1:10" ht="12.75" customHeight="1">
      <c r="A574" s="96">
        <f>IF(MAX($F$93:F574)=$G$88,$G$88,F574)</f>
        <v>3.2057712852183653</v>
      </c>
      <c r="B574" s="481">
        <v>482</v>
      </c>
      <c r="C574" s="96">
        <f t="shared" si="246"/>
        <v>0.72299999999999232</v>
      </c>
      <c r="D574" s="96">
        <f t="shared" si="243"/>
        <v>33.973555353165416</v>
      </c>
      <c r="E574" s="96">
        <f t="shared" si="244"/>
        <v>1.2147391477907278E-3</v>
      </c>
      <c r="F574" s="96">
        <f t="shared" si="242"/>
        <v>2.7948859115581669E-2</v>
      </c>
      <c r="G574" s="96">
        <f t="shared" si="245"/>
        <v>-8.8051140884418344E-2</v>
      </c>
      <c r="I574" s="96">
        <f t="shared" si="247"/>
        <v>0</v>
      </c>
      <c r="J574" s="96">
        <f t="shared" si="248"/>
        <v>0.72299999999999232</v>
      </c>
    </row>
    <row r="575" spans="1:10" ht="12.75" customHeight="1">
      <c r="A575" s="96">
        <f>IF(MAX($F$93:F575)=$G$88,$G$88,F575)</f>
        <v>3.2057712852183653</v>
      </c>
      <c r="B575" s="481">
        <v>483</v>
      </c>
      <c r="C575" s="96">
        <f t="shared" si="246"/>
        <v>0.72449999999999226</v>
      </c>
      <c r="D575" s="96">
        <f t="shared" si="243"/>
        <v>34.114670696030565</v>
      </c>
      <c r="E575" s="96">
        <f t="shared" si="244"/>
        <v>1.1562136267022538E-3</v>
      </c>
      <c r="F575" s="96">
        <f t="shared" si="242"/>
        <v>2.6700765378718645E-2</v>
      </c>
      <c r="G575" s="96">
        <f t="shared" si="245"/>
        <v>-8.9299234621281365E-2</v>
      </c>
      <c r="I575" s="96">
        <f t="shared" si="247"/>
        <v>0</v>
      </c>
      <c r="J575" s="96">
        <f t="shared" si="248"/>
        <v>0.72449999999999226</v>
      </c>
    </row>
    <row r="576" spans="1:10" ht="12.75" customHeight="1">
      <c r="A576" s="96">
        <f>IF(MAX($F$93:F576)=$G$88,$G$88,F576)</f>
        <v>3.2057712852183653</v>
      </c>
      <c r="B576" s="481">
        <v>484</v>
      </c>
      <c r="C576" s="96">
        <f t="shared" si="246"/>
        <v>0.72599999999999221</v>
      </c>
      <c r="D576" s="96">
        <f t="shared" si="243"/>
        <v>34.256078505927562</v>
      </c>
      <c r="E576" s="96">
        <f t="shared" si="244"/>
        <v>1.1003072961676479E-3</v>
      </c>
      <c r="F576" s="96">
        <f t="shared" si="242"/>
        <v>2.5503365384110552E-2</v>
      </c>
      <c r="G576" s="96">
        <f t="shared" si="245"/>
        <v>-9.0496634615889457E-2</v>
      </c>
      <c r="I576" s="96">
        <f t="shared" si="247"/>
        <v>0</v>
      </c>
      <c r="J576" s="96">
        <f t="shared" si="248"/>
        <v>0.72599999999999221</v>
      </c>
    </row>
    <row r="577" spans="1:10" ht="12.75" customHeight="1">
      <c r="A577" s="96">
        <f>IF(MAX($F$93:F577)=$G$88,$G$88,F577)</f>
        <v>3.2057712852183653</v>
      </c>
      <c r="B577" s="481">
        <v>485</v>
      </c>
      <c r="C577" s="96">
        <f t="shared" si="246"/>
        <v>0.72749999999999215</v>
      </c>
      <c r="D577" s="96">
        <f t="shared" si="243"/>
        <v>34.397778782856406</v>
      </c>
      <c r="E577" s="96">
        <f t="shared" si="244"/>
        <v>1.04691348934178E-3</v>
      </c>
      <c r="F577" s="96">
        <f t="shared" si="242"/>
        <v>2.4354853636135994E-2</v>
      </c>
      <c r="G577" s="96">
        <f t="shared" si="245"/>
        <v>-9.1645146363864005E-2</v>
      </c>
      <c r="I577" s="96">
        <f t="shared" si="247"/>
        <v>0</v>
      </c>
      <c r="J577" s="96">
        <f t="shared" si="248"/>
        <v>0.72749999999999215</v>
      </c>
    </row>
    <row r="578" spans="1:10" ht="12.75" customHeight="1">
      <c r="A578" s="96">
        <f>IF(MAX($F$93:F578)=$G$88,$G$88,F578)</f>
        <v>3.2057712852183653</v>
      </c>
      <c r="B578" s="481">
        <v>486</v>
      </c>
      <c r="C578" s="96">
        <f t="shared" si="246"/>
        <v>0.7289999999999921</v>
      </c>
      <c r="D578" s="96">
        <f t="shared" si="243"/>
        <v>34.539771526817098</v>
      </c>
      <c r="E578" s="96">
        <f t="shared" si="244"/>
        <v>9.9592935201277938E-4</v>
      </c>
      <c r="F578" s="96">
        <f t="shared" si="242"/>
        <v>2.3253476712428941E-2</v>
      </c>
      <c r="G578" s="96">
        <f t="shared" si="245"/>
        <v>-9.2746523287571062E-2</v>
      </c>
      <c r="I578" s="96">
        <f t="shared" si="247"/>
        <v>0</v>
      </c>
      <c r="J578" s="96">
        <f t="shared" si="248"/>
        <v>0.7289999999999921</v>
      </c>
    </row>
    <row r="579" spans="1:10" ht="12.75" customHeight="1">
      <c r="A579" s="96">
        <f>IF(MAX($F$93:F579)=$G$88,$G$88,F579)</f>
        <v>3.2057712852183653</v>
      </c>
      <c r="B579" s="481">
        <v>487</v>
      </c>
      <c r="C579" s="96">
        <f t="shared" si="246"/>
        <v>0.73049999999999204</v>
      </c>
      <c r="D579" s="96">
        <f t="shared" si="243"/>
        <v>34.682056737809631</v>
      </c>
      <c r="E579" s="96">
        <f t="shared" si="244"/>
        <v>9.472557320027988E-4</v>
      </c>
      <c r="F579" s="96">
        <f t="shared" si="242"/>
        <v>2.2197532337024328E-2</v>
      </c>
      <c r="G579" s="96">
        <f t="shared" si="245"/>
        <v>-9.3802467662975675E-2</v>
      </c>
      <c r="I579" s="96">
        <f t="shared" si="247"/>
        <v>0</v>
      </c>
      <c r="J579" s="96">
        <f t="shared" si="248"/>
        <v>0.73049999999999204</v>
      </c>
    </row>
    <row r="580" spans="1:10" ht="12.75" customHeight="1">
      <c r="A580" s="96">
        <f>IF(MAX($F$93:F580)=$G$88,$G$88,F580)</f>
        <v>3.2057712852183653</v>
      </c>
      <c r="B580" s="481">
        <v>488</v>
      </c>
      <c r="C580" s="96">
        <f t="shared" si="246"/>
        <v>0.73199999999999199</v>
      </c>
      <c r="D580" s="96">
        <f t="shared" si="243"/>
        <v>34.824634415834005</v>
      </c>
      <c r="E580" s="96">
        <f t="shared" si="244"/>
        <v>9.007970705683894E-4</v>
      </c>
      <c r="F580" s="96">
        <f t="shared" si="242"/>
        <v>2.1185368441828212E-2</v>
      </c>
      <c r="G580" s="96">
        <f t="shared" si="245"/>
        <v>-9.4814631558171797E-2</v>
      </c>
      <c r="I580" s="96">
        <f t="shared" si="247"/>
        <v>0</v>
      </c>
      <c r="J580" s="96">
        <f t="shared" si="248"/>
        <v>0.73199999999999199</v>
      </c>
    </row>
    <row r="581" spans="1:10" ht="12.75" customHeight="1">
      <c r="A581" s="96">
        <f>IF(MAX($F$93:F581)=$G$88,$G$88,F581)</f>
        <v>3.2057712852183653</v>
      </c>
      <c r="B581" s="481">
        <v>489</v>
      </c>
      <c r="C581" s="96">
        <f t="shared" si="246"/>
        <v>0.73349999999999194</v>
      </c>
      <c r="D581" s="96">
        <f t="shared" si="243"/>
        <v>34.967504560890227</v>
      </c>
      <c r="E581" s="96">
        <f t="shared" si="244"/>
        <v>8.5646129582353503E-4</v>
      </c>
      <c r="F581" s="96">
        <f t="shared" si="242"/>
        <v>2.021538221822812E-2</v>
      </c>
      <c r="G581" s="96">
        <f t="shared" si="245"/>
        <v>-9.5784617781771886E-2</v>
      </c>
      <c r="I581" s="96">
        <f t="shared" si="247"/>
        <v>0</v>
      </c>
      <c r="J581" s="96">
        <f t="shared" si="248"/>
        <v>0.73349999999999194</v>
      </c>
    </row>
    <row r="582" spans="1:10" ht="12.75" customHeight="1">
      <c r="A582" s="96">
        <f>IF(MAX($F$93:F582)=$G$88,$G$88,F582)</f>
        <v>3.2057712852183653</v>
      </c>
      <c r="B582" s="481">
        <v>490</v>
      </c>
      <c r="C582" s="96">
        <f t="shared" si="246"/>
        <v>0.73499999999999188</v>
      </c>
      <c r="D582" s="96">
        <f t="shared" si="243"/>
        <v>35.110667172978296</v>
      </c>
      <c r="E582" s="96">
        <f t="shared" si="244"/>
        <v>8.1415971820455459E-4</v>
      </c>
      <c r="F582" s="96">
        <f t="shared" si="242"/>
        <v>1.9286019160597447E-2</v>
      </c>
      <c r="G582" s="96">
        <f t="shared" si="245"/>
        <v>-9.6713980839402552E-2</v>
      </c>
      <c r="I582" s="96">
        <f t="shared" si="247"/>
        <v>0</v>
      </c>
      <c r="J582" s="96">
        <f t="shared" si="248"/>
        <v>0.73499999999999188</v>
      </c>
    </row>
    <row r="583" spans="1:10" ht="12.75" customHeight="1">
      <c r="A583" s="96">
        <f>IF(MAX($F$93:F583)=$G$88,$G$88,F583)</f>
        <v>3.2057712852183653</v>
      </c>
      <c r="B583" s="481">
        <v>491</v>
      </c>
      <c r="C583" s="96">
        <f t="shared" si="246"/>
        <v>0.73649999999999183</v>
      </c>
      <c r="D583" s="96">
        <f t="shared" si="243"/>
        <v>35.254122252098206</v>
      </c>
      <c r="E583" s="96">
        <f t="shared" si="244"/>
        <v>7.7380692799240312E-4</v>
      </c>
      <c r="F583" s="96">
        <f t="shared" si="242"/>
        <v>1.8395772103361914E-2</v>
      </c>
      <c r="G583" s="96">
        <f t="shared" si="245"/>
        <v>-9.7604227896638085E-2</v>
      </c>
      <c r="I583" s="96">
        <f t="shared" si="247"/>
        <v>0</v>
      </c>
      <c r="J583" s="96">
        <f t="shared" si="248"/>
        <v>0.73649999999999183</v>
      </c>
    </row>
    <row r="584" spans="1:10" ht="12.75" customHeight="1">
      <c r="A584" s="96">
        <f>IF(MAX($F$93:F584)=$G$88,$G$88,F584)</f>
        <v>3.2057712852183653</v>
      </c>
      <c r="B584" s="481">
        <v>492</v>
      </c>
      <c r="C584" s="96">
        <f t="shared" si="246"/>
        <v>0.73799999999999177</v>
      </c>
      <c r="D584" s="96">
        <f t="shared" si="243"/>
        <v>35.397869798249957</v>
      </c>
      <c r="E584" s="96">
        <f t="shared" si="244"/>
        <v>7.3532069490443209E-4</v>
      </c>
      <c r="F584" s="96">
        <f t="shared" si="242"/>
        <v>1.7543180253212592E-2</v>
      </c>
      <c r="G584" s="96">
        <f t="shared" si="245"/>
        <v>-9.8456819746787411E-2</v>
      </c>
      <c r="I584" s="96">
        <f t="shared" si="247"/>
        <v>0</v>
      </c>
      <c r="J584" s="96">
        <f t="shared" si="248"/>
        <v>0.73799999999999177</v>
      </c>
    </row>
    <row r="585" spans="1:10" ht="12.75" customHeight="1">
      <c r="A585" s="96">
        <f>IF(MAX($F$93:F585)=$G$88,$G$88,F585)</f>
        <v>3.2057712852183653</v>
      </c>
      <c r="B585" s="481">
        <v>493</v>
      </c>
      <c r="C585" s="96">
        <f t="shared" si="246"/>
        <v>0.73949999999999172</v>
      </c>
      <c r="D585" s="96">
        <f t="shared" si="243"/>
        <v>35.541909811433563</v>
      </c>
      <c r="E585" s="96">
        <f t="shared" si="244"/>
        <v>6.9862186976434916E-4</v>
      </c>
      <c r="F585" s="96">
        <f t="shared" si="242"/>
        <v>1.6726828217980872E-2</v>
      </c>
      <c r="G585" s="96">
        <f t="shared" si="245"/>
        <v>-9.9273171782019137E-2</v>
      </c>
      <c r="I585" s="96">
        <f t="shared" si="247"/>
        <v>0</v>
      </c>
      <c r="J585" s="96">
        <f t="shared" si="248"/>
        <v>0.73949999999999172</v>
      </c>
    </row>
    <row r="586" spans="1:10" ht="12.75" customHeight="1">
      <c r="A586" s="96">
        <f>IF(MAX($F$93:F586)=$G$88,$G$88,F586)</f>
        <v>3.2057712852183653</v>
      </c>
      <c r="B586" s="481">
        <v>494</v>
      </c>
      <c r="C586" s="96">
        <f t="shared" si="246"/>
        <v>0.74099999999999167</v>
      </c>
      <c r="D586" s="96">
        <f t="shared" si="243"/>
        <v>35.686242291649009</v>
      </c>
      <c r="E586" s="96">
        <f t="shared" si="244"/>
        <v>6.6363428825594263E-4</v>
      </c>
      <c r="F586" s="96">
        <f t="shared" si="242"/>
        <v>1.5945345033639542E-2</v>
      </c>
      <c r="G586" s="96">
        <f t="shared" si="245"/>
        <v>-0.10005465496636046</v>
      </c>
      <c r="I586" s="96">
        <f t="shared" si="247"/>
        <v>0</v>
      </c>
      <c r="J586" s="96">
        <f t="shared" si="248"/>
        <v>0.74099999999999167</v>
      </c>
    </row>
    <row r="587" spans="1:10" ht="12.75" customHeight="1">
      <c r="A587" s="96">
        <f>IF(MAX($F$93:F587)=$G$88,$G$88,F587)</f>
        <v>3.2057712852183653</v>
      </c>
      <c r="B587" s="481">
        <v>495</v>
      </c>
      <c r="C587" s="96">
        <f t="shared" si="246"/>
        <v>0.74249999999999161</v>
      </c>
      <c r="D587" s="96">
        <f t="shared" si="243"/>
        <v>35.830867238896303</v>
      </c>
      <c r="E587" s="96">
        <f t="shared" si="244"/>
        <v>6.3028467676303683E-4</v>
      </c>
      <c r="F587" s="96">
        <f t="shared" si="242"/>
        <v>1.5197403190807212E-2</v>
      </c>
      <c r="G587" s="96">
        <f t="shared" si="245"/>
        <v>-0.10080259680919279</v>
      </c>
      <c r="I587" s="96">
        <f t="shared" si="247"/>
        <v>0</v>
      </c>
      <c r="J587" s="96">
        <f t="shared" si="248"/>
        <v>0.74249999999999161</v>
      </c>
    </row>
    <row r="588" spans="1:10" ht="12.75" customHeight="1">
      <c r="A588" s="96">
        <f>IF(MAX($F$93:F588)=$G$88,$G$88,F588)</f>
        <v>3.2057712852183653</v>
      </c>
      <c r="B588" s="481">
        <v>496</v>
      </c>
      <c r="C588" s="96">
        <f t="shared" si="246"/>
        <v>0.74399999999999156</v>
      </c>
      <c r="D588" s="96">
        <f t="shared" si="243"/>
        <v>35.975784653175445</v>
      </c>
      <c r="E588" s="96">
        <f t="shared" si="244"/>
        <v>5.9850256029534029E-4</v>
      </c>
      <c r="F588" s="96">
        <f t="shared" si="242"/>
        <v>1.4481717662035744E-2</v>
      </c>
      <c r="G588" s="96">
        <f t="shared" si="245"/>
        <v>-0.10151828233796426</v>
      </c>
      <c r="I588" s="96">
        <f t="shared" si="247"/>
        <v>0</v>
      </c>
      <c r="J588" s="96">
        <f t="shared" si="248"/>
        <v>0.74399999999999156</v>
      </c>
    </row>
    <row r="589" spans="1:10" ht="12.75" customHeight="1">
      <c r="A589" s="96">
        <f>IF(MAX($F$93:F589)=$G$88,$G$88,F589)</f>
        <v>3.2057712852183653</v>
      </c>
      <c r="B589" s="481">
        <v>497</v>
      </c>
      <c r="C589" s="96">
        <f t="shared" si="246"/>
        <v>0.7454999999999915</v>
      </c>
      <c r="D589" s="96">
        <f t="shared" si="243"/>
        <v>36.120994534486421</v>
      </c>
      <c r="E589" s="96">
        <f t="shared" si="244"/>
        <v>5.6822017249716936E-4</v>
      </c>
      <c r="F589" s="96">
        <f t="shared" si="242"/>
        <v>1.3797044931155543E-2</v>
      </c>
      <c r="G589" s="96">
        <f t="shared" si="245"/>
        <v>-0.10220295506884447</v>
      </c>
      <c r="I589" s="96">
        <f t="shared" si="247"/>
        <v>0</v>
      </c>
      <c r="J589" s="96">
        <f t="shared" si="248"/>
        <v>0.7454999999999915</v>
      </c>
    </row>
    <row r="590" spans="1:10" ht="12.75" customHeight="1">
      <c r="A590" s="96">
        <f>IF(MAX($F$93:F590)=$G$88,$G$88,F590)</f>
        <v>3.2057712852183653</v>
      </c>
      <c r="B590" s="481">
        <v>498</v>
      </c>
      <c r="C590" s="96">
        <f t="shared" si="246"/>
        <v>0.74699999999999145</v>
      </c>
      <c r="D590" s="96">
        <f t="shared" si="243"/>
        <v>36.266496882829244</v>
      </c>
      <c r="E590" s="96">
        <f t="shared" si="244"/>
        <v>5.393723677332451E-4</v>
      </c>
      <c r="F590" s="96">
        <f t="shared" si="242"/>
        <v>1.3142182025828713E-2</v>
      </c>
      <c r="G590" s="96">
        <f t="shared" si="245"/>
        <v>-0.10285781797417129</v>
      </c>
      <c r="I590" s="96">
        <f t="shared" si="247"/>
        <v>0</v>
      </c>
      <c r="J590" s="96">
        <f t="shared" si="248"/>
        <v>0.74699999999999145</v>
      </c>
    </row>
    <row r="591" spans="1:10" ht="12.75" customHeight="1">
      <c r="A591" s="96">
        <f>IF(MAX($F$93:F591)=$G$88,$G$88,F591)</f>
        <v>3.2057712852183653</v>
      </c>
      <c r="B591" s="481">
        <v>499</v>
      </c>
      <c r="C591" s="96">
        <f t="shared" si="246"/>
        <v>0.74849999999999139</v>
      </c>
      <c r="D591" s="96">
        <f t="shared" si="243"/>
        <v>36.412291698203916</v>
      </c>
      <c r="E591" s="96">
        <f t="shared" si="244"/>
        <v>5.1189653524361773E-4</v>
      </c>
      <c r="F591" s="96">
        <f t="shared" si="242"/>
        <v>1.2515965554416237E-2</v>
      </c>
      <c r="G591" s="96">
        <f t="shared" si="245"/>
        <v>-0.10348403444558377</v>
      </c>
      <c r="I591" s="96">
        <f t="shared" si="247"/>
        <v>0</v>
      </c>
      <c r="J591" s="96">
        <f t="shared" si="248"/>
        <v>0.74849999999999139</v>
      </c>
    </row>
    <row r="592" spans="1:10" ht="12.75" customHeight="1">
      <c r="A592" s="96">
        <f>IF(MAX($F$93:F592)=$G$88,$G$88,F592)</f>
        <v>3.2057712852183653</v>
      </c>
      <c r="B592" s="481">
        <v>500</v>
      </c>
      <c r="C592" s="96">
        <f t="shared" si="246"/>
        <v>0.74999999999999134</v>
      </c>
      <c r="D592" s="96">
        <f t="shared" si="243"/>
        <v>36.558378980610435</v>
      </c>
      <c r="E592" s="96">
        <f t="shared" si="244"/>
        <v>4.857325153571755E-4</v>
      </c>
      <c r="F592" s="96">
        <f t="shared" si="242"/>
        <v>1.1917270748218106E-2</v>
      </c>
      <c r="G592" s="96">
        <f t="shared" si="245"/>
        <v>-0.1040827292517819</v>
      </c>
      <c r="I592" s="96">
        <f t="shared" si="247"/>
        <v>0</v>
      </c>
      <c r="J592" s="96">
        <f t="shared" si="248"/>
        <v>0.74999999999999134</v>
      </c>
    </row>
    <row r="593" spans="1:10" ht="12.75" customHeight="1">
      <c r="A593" s="96">
        <f>IF(MAX($F$93:F593)=$G$88,$G$88,F593)</f>
        <v>3.2057712852183653</v>
      </c>
      <c r="B593" s="481">
        <v>501</v>
      </c>
      <c r="C593" s="96">
        <f t="shared" si="246"/>
        <v>0.75149999999999129</v>
      </c>
      <c r="D593" s="96">
        <f t="shared" si="243"/>
        <v>36.704758730048788</v>
      </c>
      <c r="E593" s="96">
        <f t="shared" si="244"/>
        <v>4.6082251775125441E-4</v>
      </c>
      <c r="F593" s="96">
        <f t="shared" si="242"/>
        <v>1.134501051004729E-2</v>
      </c>
      <c r="G593" s="96">
        <f t="shared" si="245"/>
        <v>-0.10465498948995272</v>
      </c>
      <c r="I593" s="96">
        <f t="shared" si="247"/>
        <v>0</v>
      </c>
      <c r="J593" s="96">
        <f t="shared" si="248"/>
        <v>0.75149999999999129</v>
      </c>
    </row>
    <row r="594" spans="1:10" ht="12.75" customHeight="1">
      <c r="A594" s="96">
        <f>IF(MAX($F$93:F594)=$G$88,$G$88,F594)</f>
        <v>3.2057712852183653</v>
      </c>
      <c r="B594" s="481">
        <v>502</v>
      </c>
      <c r="C594" s="96">
        <f t="shared" si="246"/>
        <v>0.75299999999999123</v>
      </c>
      <c r="D594" s="96">
        <f t="shared" si="243"/>
        <v>36.851430946518995</v>
      </c>
      <c r="E594" s="96">
        <f t="shared" si="244"/>
        <v>4.3711104174268712E-4</v>
      </c>
      <c r="F594" s="96">
        <f t="shared" si="242"/>
        <v>1.0798134470069127E-2</v>
      </c>
      <c r="G594" s="96">
        <f t="shared" si="245"/>
        <v>-0.10520186552993088</v>
      </c>
      <c r="I594" s="96">
        <f t="shared" si="247"/>
        <v>0</v>
      </c>
      <c r="J594" s="96">
        <f t="shared" si="248"/>
        <v>0.75299999999999123</v>
      </c>
    </row>
    <row r="595" spans="1:10" ht="12.75" customHeight="1">
      <c r="A595" s="96">
        <f>IF(MAX($F$93:F595)=$G$88,$G$88,F595)</f>
        <v>3.2057712852183653</v>
      </c>
      <c r="B595" s="481">
        <v>503</v>
      </c>
      <c r="C595" s="96">
        <f t="shared" si="246"/>
        <v>0.75449999999999118</v>
      </c>
      <c r="D595" s="96">
        <f t="shared" si="243"/>
        <v>36.998395630021044</v>
      </c>
      <c r="E595" s="96">
        <f t="shared" si="244"/>
        <v>4.145447985938153E-4</v>
      </c>
      <c r="F595" s="96">
        <f t="shared" si="242"/>
        <v>1.0275628049760066E-2</v>
      </c>
      <c r="G595" s="96">
        <f t="shared" si="245"/>
        <v>-0.10572437195023994</v>
      </c>
      <c r="I595" s="96">
        <f t="shared" si="247"/>
        <v>0</v>
      </c>
      <c r="J595" s="96">
        <f t="shared" si="248"/>
        <v>0.75449999999999118</v>
      </c>
    </row>
    <row r="596" spans="1:10" ht="12.75" customHeight="1">
      <c r="A596" s="96">
        <f>IF(MAX($F$93:F596)=$G$88,$G$88,F596)</f>
        <v>3.2057712852183653</v>
      </c>
      <c r="B596" s="481">
        <v>504</v>
      </c>
      <c r="C596" s="96">
        <f t="shared" si="246"/>
        <v>0.75599999999999112</v>
      </c>
      <c r="D596" s="96">
        <f t="shared" si="243"/>
        <v>37.145652780554947</v>
      </c>
      <c r="E596" s="96">
        <f t="shared" si="244"/>
        <v>3.9307263581514398E-4</v>
      </c>
      <c r="F596" s="96">
        <f t="shared" si="242"/>
        <v>9.7765115347937352E-3</v>
      </c>
      <c r="G596" s="96">
        <f t="shared" si="245"/>
        <v>-0.10622348846520627</v>
      </c>
      <c r="I596" s="96">
        <f t="shared" si="247"/>
        <v>0</v>
      </c>
      <c r="J596" s="96">
        <f t="shared" si="248"/>
        <v>0.75599999999999112</v>
      </c>
    </row>
    <row r="597" spans="1:10" ht="12.75" customHeight="1">
      <c r="A597" s="96">
        <f>IF(MAX($F$93:F597)=$G$88,$G$88,F597)</f>
        <v>3.2057712852183653</v>
      </c>
      <c r="B597" s="481">
        <v>505</v>
      </c>
      <c r="C597" s="96">
        <f t="shared" si="246"/>
        <v>0.75749999999999107</v>
      </c>
      <c r="D597" s="96">
        <f t="shared" si="243"/>
        <v>37.293202398120684</v>
      </c>
      <c r="E597" s="96">
        <f t="shared" si="244"/>
        <v>3.7264546344469929E-4</v>
      </c>
      <c r="F597" s="96">
        <f t="shared" si="242"/>
        <v>9.2998391575956213E-3</v>
      </c>
      <c r="G597" s="96">
        <f t="shared" si="245"/>
        <v>-0.10670016084240438</v>
      </c>
      <c r="I597" s="96">
        <f t="shared" si="247"/>
        <v>0</v>
      </c>
      <c r="J597" s="96">
        <f t="shared" si="248"/>
        <v>0.75749999999999107</v>
      </c>
    </row>
    <row r="598" spans="1:10" ht="12.75" customHeight="1">
      <c r="A598" s="96">
        <f>IF(MAX($F$93:F598)=$G$88,$G$88,F598)</f>
        <v>3.2057712852183653</v>
      </c>
      <c r="B598" s="481">
        <v>506</v>
      </c>
      <c r="C598" s="96">
        <f t="shared" si="246"/>
        <v>0.75899999999999102</v>
      </c>
      <c r="D598" s="96">
        <f t="shared" si="243"/>
        <v>37.441044482718269</v>
      </c>
      <c r="E598" s="96">
        <f t="shared" si="244"/>
        <v>3.5321618228259131E-4</v>
      </c>
      <c r="F598" s="96">
        <f t="shared" si="242"/>
        <v>8.8446981902613551E-3</v>
      </c>
      <c r="G598" s="96">
        <f t="shared" si="245"/>
        <v>-0.10715530180973865</v>
      </c>
      <c r="I598" s="96">
        <f t="shared" si="247"/>
        <v>0</v>
      </c>
      <c r="J598" s="96">
        <f t="shared" si="248"/>
        <v>0.75899999999999102</v>
      </c>
    </row>
    <row r="599" spans="1:10" ht="12.75" customHeight="1">
      <c r="A599" s="96">
        <f>IF(MAX($F$93:F599)=$G$88,$G$88,F599)</f>
        <v>3.2057712852183653</v>
      </c>
      <c r="B599" s="481">
        <v>507</v>
      </c>
      <c r="C599" s="96">
        <f t="shared" si="246"/>
        <v>0.76049999999999096</v>
      </c>
      <c r="D599" s="96">
        <f t="shared" si="243"/>
        <v>37.589179034347701</v>
      </c>
      <c r="E599" s="96">
        <f t="shared" si="244"/>
        <v>3.3473961405786491E-4</v>
      </c>
      <c r="F599" s="96">
        <f t="shared" si="242"/>
        <v>8.4102080484799047E-3</v>
      </c>
      <c r="G599" s="96">
        <f t="shared" si="245"/>
        <v>-0.1075897919515201</v>
      </c>
      <c r="I599" s="96">
        <f t="shared" si="247"/>
        <v>0</v>
      </c>
      <c r="J599" s="96">
        <f t="shared" si="248"/>
        <v>0.76049999999999096</v>
      </c>
    </row>
    <row r="600" spans="1:10" ht="12.75" customHeight="1">
      <c r="A600" s="96">
        <f>IF(MAX($F$93:F600)=$G$88,$G$88,F600)</f>
        <v>3.2057712852183653</v>
      </c>
      <c r="B600" s="481">
        <v>508</v>
      </c>
      <c r="C600" s="96">
        <f t="shared" si="246"/>
        <v>0.76199999999999091</v>
      </c>
      <c r="D600" s="96">
        <f t="shared" si="243"/>
        <v>37.737606053008975</v>
      </c>
      <c r="E600" s="96">
        <f t="shared" si="244"/>
        <v>3.1717243350339172E-4</v>
      </c>
      <c r="F600" s="96">
        <f t="shared" si="242"/>
        <v>7.9955194070481257E-3</v>
      </c>
      <c r="G600" s="96">
        <f t="shared" si="245"/>
        <v>-0.10800448059295188</v>
      </c>
      <c r="I600" s="96">
        <f t="shared" si="247"/>
        <v>0</v>
      </c>
      <c r="J600" s="96">
        <f t="shared" si="248"/>
        <v>0.76199999999999091</v>
      </c>
    </row>
    <row r="601" spans="1:10" ht="12.75" customHeight="1">
      <c r="A601" s="96">
        <f>IF(MAX($F$93:F601)=$G$88,$G$88,F601)</f>
        <v>3.2057712852183653</v>
      </c>
      <c r="B601" s="481">
        <v>509</v>
      </c>
      <c r="C601" s="96">
        <f t="shared" si="246"/>
        <v>0.76349999999999085</v>
      </c>
      <c r="D601" s="96">
        <f t="shared" si="243"/>
        <v>37.886325538702096</v>
      </c>
      <c r="E601" s="96">
        <f t="shared" si="244"/>
        <v>3.0047310231337294E-4</v>
      </c>
      <c r="F601" s="96">
        <f t="shared" si="242"/>
        <v>7.5998133275213334E-3</v>
      </c>
      <c r="G601" s="96">
        <f t="shared" si="245"/>
        <v>-0.10840018667247867</v>
      </c>
      <c r="I601" s="96">
        <f t="shared" si="247"/>
        <v>0</v>
      </c>
      <c r="J601" s="96">
        <f t="shared" si="248"/>
        <v>0.76349999999999085</v>
      </c>
    </row>
    <row r="602" spans="1:10" ht="12.75" customHeight="1">
      <c r="A602" s="96">
        <f>IF(MAX($F$93:F602)=$G$88,$G$88,F602)</f>
        <v>3.2057712852183653</v>
      </c>
      <c r="B602" s="481">
        <v>510</v>
      </c>
      <c r="C602" s="96">
        <f t="shared" si="246"/>
        <v>0.7649999999999908</v>
      </c>
      <c r="D602" s="96">
        <f t="shared" si="243"/>
        <v>38.035337491427057</v>
      </c>
      <c r="E602" s="96">
        <f t="shared" si="244"/>
        <v>2.8460180495687172E-4</v>
      </c>
      <c r="F602" s="96">
        <f t="shared" si="242"/>
        <v>7.2223003984881523E-3</v>
      </c>
      <c r="G602" s="96">
        <f t="shared" si="245"/>
        <v>-0.10877769960151186</v>
      </c>
      <c r="I602" s="96">
        <f t="shared" si="247"/>
        <v>0</v>
      </c>
      <c r="J602" s="96">
        <f t="shared" si="248"/>
        <v>0.7649999999999908</v>
      </c>
    </row>
    <row r="603" spans="1:10" ht="12.75" customHeight="1">
      <c r="A603" s="96">
        <f>IF(MAX($F$93:F603)=$G$88,$G$88,F603)</f>
        <v>3.2057712852183653</v>
      </c>
      <c r="B603" s="481">
        <v>511</v>
      </c>
      <c r="C603" s="96">
        <f t="shared" si="246"/>
        <v>0.76649999999999074</v>
      </c>
      <c r="D603" s="96">
        <f t="shared" si="243"/>
        <v>38.184641911183867</v>
      </c>
      <c r="E603" s="96">
        <f t="shared" si="244"/>
        <v>2.6952038631985228E-4</v>
      </c>
      <c r="F603" s="96">
        <f t="shared" si="242"/>
        <v>6.8622198889202127E-3</v>
      </c>
      <c r="G603" s="96">
        <f t="shared" si="245"/>
        <v>-0.10913778011107979</v>
      </c>
      <c r="I603" s="96">
        <f t="shared" si="247"/>
        <v>0</v>
      </c>
      <c r="J603" s="96">
        <f t="shared" si="248"/>
        <v>0.76649999999999074</v>
      </c>
    </row>
    <row r="604" spans="1:10" ht="12.75" customHeight="1">
      <c r="A604" s="96">
        <f>IF(MAX($F$93:F604)=$G$88,$G$88,F604)</f>
        <v>3.2057712852183653</v>
      </c>
      <c r="B604" s="481">
        <v>512</v>
      </c>
      <c r="C604" s="96">
        <f t="shared" si="246"/>
        <v>0.76799999999999069</v>
      </c>
      <c r="D604" s="96">
        <f t="shared" si="243"/>
        <v>38.334238797972517</v>
      </c>
      <c r="E604" s="96">
        <f t="shared" si="244"/>
        <v>2.5519229114721366E-4</v>
      </c>
      <c r="F604" s="96">
        <f t="shared" si="242"/>
        <v>6.5188389150011728E-3</v>
      </c>
      <c r="G604" s="96">
        <f t="shared" si="245"/>
        <v>-0.10948116108499883</v>
      </c>
      <c r="I604" s="96">
        <f t="shared" si="247"/>
        <v>0</v>
      </c>
      <c r="J604" s="96">
        <f t="shared" si="248"/>
        <v>0.76799999999999069</v>
      </c>
    </row>
    <row r="605" spans="1:10" ht="12.75" customHeight="1">
      <c r="A605" s="96">
        <f>IF(MAX($F$93:F605)=$G$88,$G$88,F605)</f>
        <v>3.2057712852183653</v>
      </c>
      <c r="B605" s="481">
        <v>513</v>
      </c>
      <c r="C605" s="96">
        <f t="shared" si="246"/>
        <v>0.76949999999999064</v>
      </c>
      <c r="D605" s="96">
        <f t="shared" si="243"/>
        <v>38.484128151793016</v>
      </c>
      <c r="E605" s="96">
        <f t="shared" si="244"/>
        <v>2.4158250525556154E-4</v>
      </c>
      <c r="F605" s="96">
        <f t="shared" ref="F605:F668" si="249">IF($E$12&lt;$F$90,NA(),$E$87*(E604-E606)/(2*$C$88))</f>
        <v>6.1914516207922871E-3</v>
      </c>
      <c r="G605" s="96">
        <f t="shared" si="245"/>
        <v>-0.10980854837920771</v>
      </c>
      <c r="I605" s="96">
        <f t="shared" si="247"/>
        <v>0</v>
      </c>
      <c r="J605" s="96">
        <f t="shared" si="248"/>
        <v>0.76949999999999064</v>
      </c>
    </row>
    <row r="606" spans="1:10" ht="12.75" customHeight="1">
      <c r="A606" s="96">
        <f>IF(MAX($F$93:F606)=$G$88,$G$88,F606)</f>
        <v>3.2057712852183653</v>
      </c>
      <c r="B606" s="481">
        <v>514</v>
      </c>
      <c r="C606" s="96">
        <f t="shared" si="246"/>
        <v>0.77099999999999058</v>
      </c>
      <c r="D606" s="96">
        <f t="shared" ref="D606:D669" si="250">C606^2/$C$85</f>
        <v>38.634309972645362</v>
      </c>
      <c r="E606" s="96">
        <f t="shared" ref="E606:E669" si="251">CHIDIST(D606,$E$85)</f>
        <v>2.2865749848667528E-4</v>
      </c>
      <c r="F606" s="96">
        <f t="shared" si="249"/>
        <v>5.8793783730619661E-3</v>
      </c>
      <c r="G606" s="96">
        <f t="shared" ref="G606:G669" si="252">F606-$G$90</f>
        <v>-0.11012062162693805</v>
      </c>
      <c r="I606" s="96">
        <f t="shared" si="247"/>
        <v>0</v>
      </c>
      <c r="J606" s="96">
        <f t="shared" si="248"/>
        <v>0.77099999999999058</v>
      </c>
    </row>
    <row r="607" spans="1:10" ht="12.75" customHeight="1">
      <c r="A607" s="96">
        <f>IF(MAX($F$93:F607)=$G$88,$G$88,F607)</f>
        <v>3.2057712852183653</v>
      </c>
      <c r="B607" s="481">
        <v>515</v>
      </c>
      <c r="C607" s="96">
        <f t="shared" si="246"/>
        <v>0.77249999999999053</v>
      </c>
      <c r="D607" s="96">
        <f t="shared" si="250"/>
        <v>38.784784260529548</v>
      </c>
      <c r="E607" s="96">
        <f t="shared" si="251"/>
        <v>2.1638516937101025E-4</v>
      </c>
      <c r="F607" s="96">
        <f t="shared" si="249"/>
        <v>5.5819649705551285E-3</v>
      </c>
      <c r="G607" s="96">
        <f t="shared" si="252"/>
        <v>-0.11041803502944487</v>
      </c>
      <c r="I607" s="96">
        <f t="shared" si="247"/>
        <v>0</v>
      </c>
      <c r="J607" s="96">
        <f t="shared" si="248"/>
        <v>0.77249999999999053</v>
      </c>
    </row>
    <row r="608" spans="1:10" ht="12.75" customHeight="1">
      <c r="A608" s="96">
        <f>IF(MAX($F$93:F608)=$G$88,$G$88,F608)</f>
        <v>3.2057712852183653</v>
      </c>
      <c r="B608" s="481">
        <v>516</v>
      </c>
      <c r="C608" s="96">
        <f t="shared" si="246"/>
        <v>0.77399999999999047</v>
      </c>
      <c r="D608" s="96">
        <f t="shared" si="250"/>
        <v>38.93555101544559</v>
      </c>
      <c r="E608" s="96">
        <f t="shared" si="251"/>
        <v>2.0473479147001044E-4</v>
      </c>
      <c r="F608" s="96">
        <f t="shared" si="249"/>
        <v>5.2985818679517471E-3</v>
      </c>
      <c r="G608" s="96">
        <f t="shared" si="252"/>
        <v>-0.11070141813204826</v>
      </c>
      <c r="I608" s="96">
        <f t="shared" si="247"/>
        <v>0</v>
      </c>
      <c r="J608" s="96">
        <f t="shared" si="248"/>
        <v>0.77399999999999047</v>
      </c>
    </row>
    <row r="609" spans="1:10" ht="12.75" customHeight="1">
      <c r="A609" s="96">
        <f>IF(MAX($F$93:F609)=$G$88,$G$88,F609)</f>
        <v>3.2057712852183653</v>
      </c>
      <c r="B609" s="481">
        <v>517</v>
      </c>
      <c r="C609" s="96">
        <f t="shared" si="246"/>
        <v>0.77549999999999042</v>
      </c>
      <c r="D609" s="96">
        <f t="shared" si="250"/>
        <v>39.086610237393458</v>
      </c>
      <c r="E609" s="96">
        <f t="shared" si="251"/>
        <v>1.9367696136550277E-4</v>
      </c>
      <c r="F609" s="96">
        <f t="shared" si="249"/>
        <v>5.028623414724571E-3</v>
      </c>
      <c r="G609" s="96">
        <f t="shared" si="252"/>
        <v>-0.11097137658527544</v>
      </c>
      <c r="I609" s="96">
        <f t="shared" si="247"/>
        <v>0</v>
      </c>
      <c r="J609" s="96">
        <f t="shared" si="248"/>
        <v>0.77549999999999042</v>
      </c>
    </row>
    <row r="610" spans="1:10" ht="12.75" customHeight="1">
      <c r="A610" s="96">
        <f>IF(MAX($F$93:F610)=$G$88,$G$88,F610)</f>
        <v>3.2057712852183653</v>
      </c>
      <c r="B610" s="481">
        <v>518</v>
      </c>
      <c r="C610" s="96">
        <f t="shared" si="246"/>
        <v>0.77699999999999037</v>
      </c>
      <c r="D610" s="96">
        <f t="shared" si="250"/>
        <v>39.237961926373181</v>
      </c>
      <c r="E610" s="96">
        <f t="shared" si="251"/>
        <v>1.83183548264048E-4</v>
      </c>
      <c r="F610" s="96">
        <f t="shared" si="249"/>
        <v>4.7715071090669156E-3</v>
      </c>
      <c r="G610" s="96">
        <f t="shared" si="252"/>
        <v>-0.11122849289093309</v>
      </c>
      <c r="I610" s="96">
        <f t="shared" si="247"/>
        <v>0</v>
      </c>
      <c r="J610" s="96">
        <f t="shared" si="248"/>
        <v>0.77699999999999037</v>
      </c>
    </row>
    <row r="611" spans="1:10" ht="12.75" customHeight="1">
      <c r="A611" s="96">
        <f>IF(MAX($F$93:F611)=$G$88,$G$88,F611)</f>
        <v>3.2057712852183653</v>
      </c>
      <c r="B611" s="481">
        <v>519</v>
      </c>
      <c r="C611" s="96">
        <f t="shared" si="246"/>
        <v>0.77849999999999031</v>
      </c>
      <c r="D611" s="96">
        <f t="shared" si="250"/>
        <v>39.389606082384759</v>
      </c>
      <c r="E611" s="96">
        <f t="shared" si="251"/>
        <v>1.7322764518378742E-4</v>
      </c>
      <c r="F611" s="96">
        <f t="shared" si="249"/>
        <v>4.5266728670384417E-3</v>
      </c>
      <c r="G611" s="96">
        <f t="shared" si="252"/>
        <v>-0.11147332713296157</v>
      </c>
      <c r="I611" s="96">
        <f t="shared" si="247"/>
        <v>0</v>
      </c>
      <c r="J611" s="96">
        <f t="shared" si="248"/>
        <v>0.77849999999999031</v>
      </c>
    </row>
    <row r="612" spans="1:10" ht="12.75" customHeight="1">
      <c r="A612" s="96">
        <f>IF(MAX($F$93:F612)=$G$88,$G$88,F612)</f>
        <v>3.2057712852183653</v>
      </c>
      <c r="B612" s="481">
        <v>520</v>
      </c>
      <c r="C612" s="96">
        <f t="shared" si="246"/>
        <v>0.77999999999999026</v>
      </c>
      <c r="D612" s="96">
        <f t="shared" si="250"/>
        <v>39.541542705428171</v>
      </c>
      <c r="E612" s="96">
        <f t="shared" si="251"/>
        <v>1.637835216910261E-4</v>
      </c>
      <c r="F612" s="96">
        <f t="shared" si="249"/>
        <v>4.2935823070420799E-3</v>
      </c>
      <c r="G612" s="96">
        <f t="shared" si="252"/>
        <v>-0.11170641769295793</v>
      </c>
      <c r="I612" s="96">
        <f t="shared" si="247"/>
        <v>0</v>
      </c>
      <c r="J612" s="96">
        <f t="shared" si="248"/>
        <v>0.77999999999999026</v>
      </c>
    </row>
    <row r="613" spans="1:10" ht="12.75" customHeight="1">
      <c r="A613" s="96">
        <f>IF(MAX($F$93:F613)=$G$88,$G$88,F613)</f>
        <v>3.2057712852183653</v>
      </c>
      <c r="B613" s="481">
        <v>521</v>
      </c>
      <c r="C613" s="96">
        <f t="shared" si="246"/>
        <v>0.7814999999999902</v>
      </c>
      <c r="D613" s="96">
        <f t="shared" si="250"/>
        <v>39.69377179550343</v>
      </c>
      <c r="E613" s="96">
        <f t="shared" si="251"/>
        <v>1.5482657815360707E-4</v>
      </c>
      <c r="F613" s="96">
        <f t="shared" si="249"/>
        <v>4.071718049711512E-3</v>
      </c>
      <c r="G613" s="96">
        <f t="shared" si="252"/>
        <v>-0.11192828195028849</v>
      </c>
      <c r="I613" s="96">
        <f t="shared" si="247"/>
        <v>0</v>
      </c>
      <c r="J613" s="96">
        <f t="shared" si="248"/>
        <v>0.7814999999999902</v>
      </c>
    </row>
    <row r="614" spans="1:10" ht="12.75" customHeight="1">
      <c r="A614" s="96">
        <f>IF(MAX($F$93:F614)=$G$88,$G$88,F614)</f>
        <v>3.2057712852183653</v>
      </c>
      <c r="B614" s="481">
        <v>522</v>
      </c>
      <c r="C614" s="96">
        <f t="shared" si="246"/>
        <v>0.78299999999999015</v>
      </c>
      <c r="D614" s="96">
        <f t="shared" si="250"/>
        <v>39.84629335261053</v>
      </c>
      <c r="E614" s="96">
        <f t="shared" si="251"/>
        <v>1.4633330147797676E-4</v>
      </c>
      <c r="F614" s="96">
        <f t="shared" si="249"/>
        <v>3.8605830332677903E-3</v>
      </c>
      <c r="G614" s="96">
        <f t="shared" si="252"/>
        <v>-0.11213941696673221</v>
      </c>
      <c r="I614" s="96">
        <f t="shared" si="247"/>
        <v>0</v>
      </c>
      <c r="J614" s="96">
        <f t="shared" si="248"/>
        <v>0.78299999999999015</v>
      </c>
    </row>
    <row r="615" spans="1:10" ht="12.75" customHeight="1">
      <c r="A615" s="96">
        <f>IF(MAX($F$93:F615)=$G$88,$G$88,F615)</f>
        <v>3.2057712852183653</v>
      </c>
      <c r="B615" s="481">
        <v>523</v>
      </c>
      <c r="C615" s="96">
        <f t="shared" si="246"/>
        <v>0.78449999999999009</v>
      </c>
      <c r="D615" s="96">
        <f t="shared" si="250"/>
        <v>39.999107376749478</v>
      </c>
      <c r="E615" s="96">
        <f t="shared" si="251"/>
        <v>1.3828122229674511E-4</v>
      </c>
      <c r="F615" s="96">
        <f t="shared" si="249"/>
        <v>3.6596998443738007E-3</v>
      </c>
      <c r="G615" s="96">
        <f t="shared" si="252"/>
        <v>-0.11234030015562621</v>
      </c>
      <c r="I615" s="96">
        <f t="shared" si="247"/>
        <v>0</v>
      </c>
      <c r="J615" s="96">
        <f t="shared" si="248"/>
        <v>0.78449999999999009</v>
      </c>
    </row>
    <row r="616" spans="1:10" ht="12.75" customHeight="1">
      <c r="A616" s="96">
        <f>IF(MAX($F$93:F616)=$G$88,$G$88,F616)</f>
        <v>3.2057712852183653</v>
      </c>
      <c r="B616" s="481">
        <v>524</v>
      </c>
      <c r="C616" s="96">
        <f t="shared" si="246"/>
        <v>0.78599999999999004</v>
      </c>
      <c r="D616" s="96">
        <f t="shared" si="250"/>
        <v>40.152213867920274</v>
      </c>
      <c r="E616" s="96">
        <f t="shared" si="251"/>
        <v>1.3064887357351761E-4</v>
      </c>
      <c r="F616" s="96">
        <f t="shared" si="249"/>
        <v>3.4686100644900921E-3</v>
      </c>
      <c r="G616" s="96">
        <f t="shared" si="252"/>
        <v>-0.11253138993550992</v>
      </c>
      <c r="I616" s="96">
        <f t="shared" si="247"/>
        <v>0</v>
      </c>
      <c r="J616" s="96">
        <f t="shared" si="248"/>
        <v>0.78599999999999004</v>
      </c>
    </row>
    <row r="617" spans="1:10" ht="12.75" customHeight="1">
      <c r="A617" s="96">
        <f>IF(MAX($F$93:F617)=$G$88,$G$88,F617)</f>
        <v>3.2057712852183653</v>
      </c>
      <c r="B617" s="481">
        <v>525</v>
      </c>
      <c r="C617" s="96">
        <f t="shared" ref="C617:C680" si="253">C616+$C$88</f>
        <v>0.78749999999998999</v>
      </c>
      <c r="D617" s="96">
        <f t="shared" si="250"/>
        <v>40.305612826122903</v>
      </c>
      <c r="E617" s="96">
        <f t="shared" si="251"/>
        <v>1.2341575059178757E-4</v>
      </c>
      <c r="F617" s="96">
        <f t="shared" si="249"/>
        <v>3.2868736317166283E-3</v>
      </c>
      <c r="G617" s="96">
        <f t="shared" si="252"/>
        <v>-0.11271312636828337</v>
      </c>
      <c r="I617" s="96">
        <f t="shared" si="247"/>
        <v>0</v>
      </c>
      <c r="J617" s="96">
        <f t="shared" si="248"/>
        <v>0.78749999999998999</v>
      </c>
    </row>
    <row r="618" spans="1:10" ht="12.75" customHeight="1">
      <c r="A618" s="96">
        <f>IF(MAX($F$93:F618)=$G$88,$G$88,F618)</f>
        <v>3.2057712852183653</v>
      </c>
      <c r="B618" s="481">
        <v>526</v>
      </c>
      <c r="C618" s="96">
        <f t="shared" si="253"/>
        <v>0.78899999999998993</v>
      </c>
      <c r="D618" s="96">
        <f t="shared" si="250"/>
        <v>40.459304251357388</v>
      </c>
      <c r="E618" s="96">
        <f t="shared" si="251"/>
        <v>1.1656227229473206E-4</v>
      </c>
      <c r="F618" s="96">
        <f t="shared" si="249"/>
        <v>3.1140682180748691E-3</v>
      </c>
      <c r="G618" s="96">
        <f t="shared" si="252"/>
        <v>-0.11288593178192513</v>
      </c>
      <c r="I618" s="96">
        <f t="shared" si="247"/>
        <v>0</v>
      </c>
      <c r="J618" s="96">
        <f t="shared" si="248"/>
        <v>0.78899999999998993</v>
      </c>
    </row>
    <row r="619" spans="1:10" ht="12.75" customHeight="1">
      <c r="A619" s="96">
        <f>IF(MAX($F$93:F619)=$G$88,$G$88,F619)</f>
        <v>3.2057712852183653</v>
      </c>
      <c r="B619" s="481">
        <v>527</v>
      </c>
      <c r="C619" s="96">
        <f t="shared" si="253"/>
        <v>0.79049999999998988</v>
      </c>
      <c r="D619" s="96">
        <f t="shared" si="250"/>
        <v>40.61328814362372</v>
      </c>
      <c r="E619" s="96">
        <f t="shared" si="251"/>
        <v>1.1006974394289528E-4</v>
      </c>
      <c r="F619" s="96">
        <f t="shared" si="249"/>
        <v>2.9497886221696305E-3</v>
      </c>
      <c r="G619" s="96">
        <f t="shared" si="252"/>
        <v>-0.11305021137783038</v>
      </c>
      <c r="I619" s="96">
        <f t="shared" si="247"/>
        <v>0</v>
      </c>
      <c r="J619" s="96">
        <f t="shared" si="248"/>
        <v>0.79049999999998988</v>
      </c>
    </row>
    <row r="620" spans="1:10" ht="12.75" customHeight="1">
      <c r="A620" s="96">
        <f>IF(MAX($F$93:F620)=$G$88,$G$88,F620)</f>
        <v>3.2057712852183653</v>
      </c>
      <c r="B620" s="481">
        <v>528</v>
      </c>
      <c r="C620" s="96">
        <f t="shared" si="253"/>
        <v>0.79199999999998982</v>
      </c>
      <c r="D620" s="96">
        <f t="shared" si="250"/>
        <v>40.767564502921886</v>
      </c>
      <c r="E620" s="96">
        <f t="shared" si="251"/>
        <v>1.0392032105686222E-4</v>
      </c>
      <c r="F620" s="96">
        <f t="shared" si="249"/>
        <v>2.793646177154223E-3</v>
      </c>
      <c r="G620" s="96">
        <f t="shared" si="252"/>
        <v>-0.11320635382284579</v>
      </c>
      <c r="I620" s="96">
        <f t="shared" ref="I620:I683" si="254">IF(F620&gt;$G$87,1,0)</f>
        <v>0</v>
      </c>
      <c r="J620" s="96">
        <f t="shared" ref="J620:J683" si="255">C620</f>
        <v>0.79199999999998982</v>
      </c>
    </row>
    <row r="621" spans="1:10" ht="12.75" customHeight="1">
      <c r="A621" s="96">
        <f>IF(MAX($F$93:F621)=$G$88,$G$88,F621)</f>
        <v>3.2057712852183653</v>
      </c>
      <c r="B621" s="481">
        <v>529</v>
      </c>
      <c r="C621" s="96">
        <f t="shared" si="253"/>
        <v>0.79349999999998977</v>
      </c>
      <c r="D621" s="96">
        <f t="shared" si="250"/>
        <v>40.922133329251906</v>
      </c>
      <c r="E621" s="96">
        <f t="shared" si="251"/>
        <v>9.8096974612234318E-5</v>
      </c>
      <c r="F621" s="96">
        <f t="shared" si="249"/>
        <v>2.6452681738917774E-3</v>
      </c>
      <c r="G621" s="96">
        <f t="shared" si="252"/>
        <v>-0.11335473182610822</v>
      </c>
      <c r="I621" s="96">
        <f t="shared" si="254"/>
        <v>0</v>
      </c>
      <c r="J621" s="96">
        <f t="shared" si="255"/>
        <v>0.79349999999998977</v>
      </c>
    </row>
    <row r="622" spans="1:10" ht="12.75" customHeight="1">
      <c r="A622" s="96">
        <f>IF(MAX($F$93:F622)=$G$88,$G$88,F622)</f>
        <v>3.2057712852183653</v>
      </c>
      <c r="B622" s="481">
        <v>530</v>
      </c>
      <c r="C622" s="96">
        <f t="shared" si="253"/>
        <v>0.79499999999998971</v>
      </c>
      <c r="D622" s="96">
        <f t="shared" si="250"/>
        <v>41.076994622613768</v>
      </c>
      <c r="E622" s="96">
        <f t="shared" si="251"/>
        <v>9.2583457454468882E-5</v>
      </c>
      <c r="F622" s="96">
        <f t="shared" si="249"/>
        <v>2.5042972992021604E-3</v>
      </c>
      <c r="G622" s="96">
        <f t="shared" si="252"/>
        <v>-0.11349570270079784</v>
      </c>
      <c r="I622" s="96">
        <f t="shared" si="254"/>
        <v>0</v>
      </c>
      <c r="J622" s="96">
        <f t="shared" si="255"/>
        <v>0.79499999999998971</v>
      </c>
    </row>
    <row r="623" spans="1:10" ht="12.75" customHeight="1">
      <c r="A623" s="96">
        <f>IF(MAX($F$93:F623)=$G$88,$G$88,F623)</f>
        <v>3.2057712852183653</v>
      </c>
      <c r="B623" s="481">
        <v>531</v>
      </c>
      <c r="C623" s="96">
        <f t="shared" si="253"/>
        <v>0.79649999999998966</v>
      </c>
      <c r="D623" s="96">
        <f t="shared" si="250"/>
        <v>41.232148383007477</v>
      </c>
      <c r="E623" s="96">
        <f t="shared" si="251"/>
        <v>8.7364271901367916E-5</v>
      </c>
      <c r="F623" s="96">
        <f t="shared" si="249"/>
        <v>2.3703910890601645E-3</v>
      </c>
      <c r="G623" s="96">
        <f t="shared" si="252"/>
        <v>-0.11362960891093984</v>
      </c>
      <c r="I623" s="96">
        <f t="shared" si="254"/>
        <v>0</v>
      </c>
      <c r="J623" s="96">
        <f t="shared" si="255"/>
        <v>0.79649999999998966</v>
      </c>
    </row>
    <row r="624" spans="1:10" ht="12.75" customHeight="1">
      <c r="A624" s="96">
        <f>IF(MAX($F$93:F624)=$G$88,$G$88,F624)</f>
        <v>3.2057712852183653</v>
      </c>
      <c r="B624" s="481">
        <v>532</v>
      </c>
      <c r="C624" s="96">
        <f t="shared" si="253"/>
        <v>0.79799999999998961</v>
      </c>
      <c r="D624" s="96">
        <f t="shared" si="250"/>
        <v>41.387594610433027</v>
      </c>
      <c r="E624" s="96">
        <f t="shared" si="251"/>
        <v>8.242463850135389E-5</v>
      </c>
      <c r="F624" s="96">
        <f t="shared" si="249"/>
        <v>2.2432213965969208E-3</v>
      </c>
      <c r="G624" s="96">
        <f t="shared" si="252"/>
        <v>-0.11375677860340308</v>
      </c>
      <c r="I624" s="96">
        <f t="shared" si="254"/>
        <v>0</v>
      </c>
      <c r="J624" s="96">
        <f t="shared" si="255"/>
        <v>0.79799999999998961</v>
      </c>
    </row>
    <row r="625" spans="1:10" ht="12.75" customHeight="1">
      <c r="A625" s="96">
        <f>IF(MAX($F$93:F625)=$G$88,$G$88,F625)</f>
        <v>3.2057712852183653</v>
      </c>
      <c r="B625" s="481">
        <v>533</v>
      </c>
      <c r="C625" s="96">
        <f t="shared" si="253"/>
        <v>0.79949999999998955</v>
      </c>
      <c r="D625" s="96">
        <f t="shared" si="250"/>
        <v>41.543333304890417</v>
      </c>
      <c r="E625" s="96">
        <f t="shared" si="251"/>
        <v>7.775046591595254E-5</v>
      </c>
      <c r="F625" s="96">
        <f t="shared" si="249"/>
        <v>2.1224738747470792E-3</v>
      </c>
      <c r="G625" s="96">
        <f t="shared" si="252"/>
        <v>-0.11387752612525293</v>
      </c>
      <c r="I625" s="96">
        <f t="shared" si="254"/>
        <v>0</v>
      </c>
      <c r="J625" s="96">
        <f t="shared" si="255"/>
        <v>0.79949999999998955</v>
      </c>
    </row>
    <row r="626" spans="1:10" ht="12.75" customHeight="1">
      <c r="A626" s="96">
        <f>IF(MAX($F$93:F626)=$G$88,$G$88,F626)</f>
        <v>3.2057712852183653</v>
      </c>
      <c r="B626" s="481">
        <v>534</v>
      </c>
      <c r="C626" s="96">
        <f t="shared" si="253"/>
        <v>0.8009999999999895</v>
      </c>
      <c r="D626" s="96">
        <f t="shared" si="250"/>
        <v>41.699364466379663</v>
      </c>
      <c r="E626" s="96">
        <f t="shared" si="251"/>
        <v>7.3328321895294978E-5</v>
      </c>
      <c r="F626" s="96">
        <f t="shared" si="249"/>
        <v>2.0078474733643318E-3</v>
      </c>
      <c r="G626" s="96">
        <f t="shared" si="252"/>
        <v>-0.11399215252663568</v>
      </c>
      <c r="I626" s="96">
        <f t="shared" si="254"/>
        <v>0</v>
      </c>
      <c r="J626" s="96">
        <f t="shared" si="255"/>
        <v>0.8009999999999895</v>
      </c>
    </row>
    <row r="627" spans="1:10" ht="12.75" customHeight="1">
      <c r="A627" s="96">
        <f>IF(MAX($F$93:F627)=$G$88,$G$88,F627)</f>
        <v>3.2057712852183653</v>
      </c>
      <c r="B627" s="481">
        <v>535</v>
      </c>
      <c r="C627" s="96">
        <f t="shared" si="253"/>
        <v>0.80249999999998944</v>
      </c>
      <c r="D627" s="96">
        <f t="shared" si="250"/>
        <v>41.855688094900749</v>
      </c>
      <c r="E627" s="96">
        <f t="shared" si="251"/>
        <v>6.9145405315819688E-5</v>
      </c>
      <c r="F627" s="96">
        <f t="shared" si="249"/>
        <v>1.8990539506252488E-3</v>
      </c>
      <c r="G627" s="96">
        <f t="shared" si="252"/>
        <v>-0.11410094604937476</v>
      </c>
      <c r="I627" s="96">
        <f t="shared" si="254"/>
        <v>0</v>
      </c>
      <c r="J627" s="96">
        <f t="shared" si="255"/>
        <v>0.80249999999998944</v>
      </c>
    </row>
    <row r="628" spans="1:10" ht="12.75" customHeight="1">
      <c r="A628" s="96">
        <f>IF(MAX($F$93:F628)=$G$88,$G$88,F628)</f>
        <v>3.2057712852183653</v>
      </c>
      <c r="B628" s="481">
        <v>536</v>
      </c>
      <c r="C628" s="96">
        <f t="shared" si="253"/>
        <v>0.80399999999998939</v>
      </c>
      <c r="D628" s="96">
        <f t="shared" si="250"/>
        <v>42.012304190453676</v>
      </c>
      <c r="E628" s="96">
        <f t="shared" si="251"/>
        <v>6.5189519249758197E-5</v>
      </c>
      <c r="F628" s="96">
        <f t="shared" si="249"/>
        <v>1.7958173985233869E-3</v>
      </c>
      <c r="G628" s="96">
        <f t="shared" si="252"/>
        <v>-0.11420418260147662</v>
      </c>
      <c r="I628" s="96">
        <f t="shared" si="254"/>
        <v>0</v>
      </c>
      <c r="J628" s="96">
        <f t="shared" si="255"/>
        <v>0.80399999999998939</v>
      </c>
    </row>
    <row r="629" spans="1:10" ht="12.75" customHeight="1">
      <c r="A629" s="96">
        <f>IF(MAX($F$93:F629)=$G$88,$G$88,F629)</f>
        <v>3.2057712852183653</v>
      </c>
      <c r="B629" s="481">
        <v>537</v>
      </c>
      <c r="C629" s="96">
        <f t="shared" si="253"/>
        <v>0.80549999999998934</v>
      </c>
      <c r="D629" s="96">
        <f t="shared" si="250"/>
        <v>42.169212753038458</v>
      </c>
      <c r="E629" s="96">
        <f t="shared" si="251"/>
        <v>6.1449045036433744E-5</v>
      </c>
      <c r="F629" s="96">
        <f t="shared" si="249"/>
        <v>1.6978737822485957E-3</v>
      </c>
      <c r="G629" s="96">
        <f t="shared" si="252"/>
        <v>-0.1143021262177514</v>
      </c>
      <c r="I629" s="96">
        <f t="shared" si="254"/>
        <v>0</v>
      </c>
      <c r="J629" s="96">
        <f t="shared" si="255"/>
        <v>0.80549999999998934</v>
      </c>
    </row>
    <row r="630" spans="1:10" ht="12.75" customHeight="1">
      <c r="A630" s="96">
        <f>IF(MAX($F$93:F630)=$G$88,$G$88,F630)</f>
        <v>3.2057712852183653</v>
      </c>
      <c r="B630" s="481">
        <v>538</v>
      </c>
      <c r="C630" s="96">
        <f t="shared" si="253"/>
        <v>0.80699999999998928</v>
      </c>
      <c r="D630" s="96">
        <f t="shared" si="250"/>
        <v>42.326413782655074</v>
      </c>
      <c r="E630" s="96">
        <f t="shared" si="251"/>
        <v>5.7912917325835644E-5</v>
      </c>
      <c r="F630" s="96">
        <f t="shared" si="249"/>
        <v>1.6049704932408939E-3</v>
      </c>
      <c r="G630" s="96">
        <f t="shared" si="252"/>
        <v>-0.11439502950675912</v>
      </c>
      <c r="I630" s="96">
        <f t="shared" si="254"/>
        <v>0</v>
      </c>
      <c r="J630" s="96">
        <f t="shared" si="255"/>
        <v>0.80699999999998928</v>
      </c>
    </row>
    <row r="631" spans="1:10" ht="12.75" customHeight="1">
      <c r="A631" s="96">
        <f>IF(MAX($F$93:F631)=$G$88,$G$88,F631)</f>
        <v>3.2057712852183653</v>
      </c>
      <c r="B631" s="481">
        <v>539</v>
      </c>
      <c r="C631" s="96">
        <f t="shared" si="253"/>
        <v>0.80849999999998923</v>
      </c>
      <c r="D631" s="96">
        <f t="shared" si="250"/>
        <v>42.483907279303544</v>
      </c>
      <c r="E631" s="96">
        <f t="shared" si="251"/>
        <v>5.4570600065401341E-5</v>
      </c>
      <c r="F631" s="96">
        <f t="shared" si="249"/>
        <v>1.5168659156950908E-3</v>
      </c>
      <c r="G631" s="96">
        <f t="shared" si="252"/>
        <v>-0.11448313408430491</v>
      </c>
      <c r="I631" s="96">
        <f t="shared" si="254"/>
        <v>0</v>
      </c>
      <c r="J631" s="96">
        <f t="shared" si="255"/>
        <v>0.80849999999998923</v>
      </c>
    </row>
    <row r="632" spans="1:10" ht="12.75" customHeight="1">
      <c r="A632" s="96">
        <f>IF(MAX($F$93:F632)=$G$88,$G$88,F632)</f>
        <v>3.2057712852183653</v>
      </c>
      <c r="B632" s="481">
        <v>540</v>
      </c>
      <c r="C632" s="96">
        <f t="shared" si="253"/>
        <v>0.80999999999998917</v>
      </c>
      <c r="D632" s="96">
        <f t="shared" si="250"/>
        <v>42.641693242983855</v>
      </c>
      <c r="E632" s="96">
        <f t="shared" si="251"/>
        <v>5.1412063401428112E-5</v>
      </c>
      <c r="F632" s="96">
        <f t="shared" si="249"/>
        <v>1.4333290062891243E-3</v>
      </c>
      <c r="G632" s="96">
        <f t="shared" si="252"/>
        <v>-0.11456667099371089</v>
      </c>
      <c r="I632" s="96">
        <f t="shared" si="254"/>
        <v>0</v>
      </c>
      <c r="J632" s="96">
        <f t="shared" si="255"/>
        <v>0.80999999999998917</v>
      </c>
    </row>
    <row r="633" spans="1:10" ht="12.75" customHeight="1">
      <c r="A633" s="96">
        <f>IF(MAX($F$93:F633)=$G$88,$G$88,F633)</f>
        <v>3.2057712852183653</v>
      </c>
      <c r="B633" s="481">
        <v>541</v>
      </c>
      <c r="C633" s="96">
        <f t="shared" si="253"/>
        <v>0.81149999999998912</v>
      </c>
      <c r="D633" s="96">
        <f t="shared" si="250"/>
        <v>42.799771673696014</v>
      </c>
      <c r="E633" s="96">
        <f t="shared" si="251"/>
        <v>4.8427761467019378E-5</v>
      </c>
      <c r="F633" s="96">
        <f t="shared" si="249"/>
        <v>1.3541388869017894E-3</v>
      </c>
      <c r="G633" s="96">
        <f t="shared" si="252"/>
        <v>-0.11464586111309821</v>
      </c>
      <c r="I633" s="96">
        <f t="shared" si="254"/>
        <v>0</v>
      </c>
      <c r="J633" s="96">
        <f t="shared" si="255"/>
        <v>0.81149999999998912</v>
      </c>
    </row>
    <row r="634" spans="1:10" ht="12.75" customHeight="1">
      <c r="A634" s="96">
        <f>IF(MAX($F$93:F634)=$G$88,$G$88,F634)</f>
        <v>3.2057712852183653</v>
      </c>
      <c r="B634" s="481">
        <v>542</v>
      </c>
      <c r="C634" s="96">
        <f t="shared" si="253"/>
        <v>0.81299999999998906</v>
      </c>
      <c r="D634" s="96">
        <f t="shared" si="250"/>
        <v>42.958142571440014</v>
      </c>
      <c r="E634" s="96">
        <f t="shared" si="251"/>
        <v>4.560861102899187E-5</v>
      </c>
      <c r="F634" s="96">
        <f t="shared" si="249"/>
        <v>1.2790844500795851E-3</v>
      </c>
      <c r="G634" s="96">
        <f t="shared" si="252"/>
        <v>-0.11472091554992042</v>
      </c>
      <c r="I634" s="96">
        <f t="shared" si="254"/>
        <v>0</v>
      </c>
      <c r="J634" s="96">
        <f t="shared" si="255"/>
        <v>0.81299999999998906</v>
      </c>
    </row>
    <row r="635" spans="1:10" ht="12.75" customHeight="1">
      <c r="A635" s="96">
        <f>IF(MAX($F$93:F635)=$G$88,$G$88,F635)</f>
        <v>3.2057712852183653</v>
      </c>
      <c r="B635" s="481">
        <v>543</v>
      </c>
      <c r="C635" s="96">
        <f t="shared" si="253"/>
        <v>0.81449999999998901</v>
      </c>
      <c r="D635" s="96">
        <f t="shared" si="250"/>
        <v>43.116805936215854</v>
      </c>
      <c r="E635" s="96">
        <f t="shared" si="251"/>
        <v>4.2945970966678299E-5</v>
      </c>
      <c r="F635" s="96">
        <f t="shared" si="249"/>
        <v>1.2079639770090197E-3</v>
      </c>
      <c r="G635" s="96">
        <f t="shared" si="252"/>
        <v>-0.11479203602299098</v>
      </c>
      <c r="I635" s="96">
        <f t="shared" si="254"/>
        <v>0</v>
      </c>
      <c r="J635" s="96">
        <f t="shared" si="255"/>
        <v>0.81449999999998901</v>
      </c>
    </row>
    <row r="636" spans="1:10" ht="12.75" customHeight="1">
      <c r="A636" s="96">
        <f>IF(MAX($F$93:F636)=$G$88,$G$88,F636)</f>
        <v>3.2057712852183653</v>
      </c>
      <c r="B636" s="481">
        <v>544</v>
      </c>
      <c r="C636" s="96">
        <f t="shared" si="253"/>
        <v>0.81599999999998896</v>
      </c>
      <c r="D636" s="96">
        <f t="shared" si="250"/>
        <v>43.27576176802355</v>
      </c>
      <c r="E636" s="96">
        <f t="shared" si="251"/>
        <v>4.0431622556096071E-5</v>
      </c>
      <c r="F636" s="96">
        <f t="shared" si="249"/>
        <v>1.1405847677445995E-3</v>
      </c>
      <c r="G636" s="96">
        <f t="shared" si="252"/>
        <v>-0.1148594152322554</v>
      </c>
      <c r="I636" s="96">
        <f t="shared" si="254"/>
        <v>0</v>
      </c>
      <c r="J636" s="96">
        <f t="shared" si="255"/>
        <v>0.81599999999998896</v>
      </c>
    </row>
    <row r="637" spans="1:10" ht="12.75" customHeight="1">
      <c r="A637" s="96">
        <f>IF(MAX($F$93:F637)=$G$88,$G$88,F637)</f>
        <v>3.2057712852183653</v>
      </c>
      <c r="B637" s="481">
        <v>545</v>
      </c>
      <c r="C637" s="96">
        <f t="shared" si="253"/>
        <v>0.8174999999999889</v>
      </c>
      <c r="D637" s="96">
        <f t="shared" si="250"/>
        <v>43.435010066863079</v>
      </c>
      <c r="E637" s="96">
        <f t="shared" si="251"/>
        <v>3.8057750533487158E-5</v>
      </c>
      <c r="F637" s="96">
        <f t="shared" si="249"/>
        <v>1.0767627834425853E-3</v>
      </c>
      <c r="G637" s="96">
        <f t="shared" si="252"/>
        <v>-0.11492323721655742</v>
      </c>
      <c r="I637" s="96">
        <f t="shared" si="254"/>
        <v>0</v>
      </c>
      <c r="J637" s="96">
        <f t="shared" si="255"/>
        <v>0.8174999999999889</v>
      </c>
    </row>
    <row r="638" spans="1:10" ht="12.75" customHeight="1">
      <c r="A638" s="96">
        <f>IF(MAX($F$93:F638)=$G$88,$G$88,F638)</f>
        <v>3.2057712852183653</v>
      </c>
      <c r="B638" s="481">
        <v>546</v>
      </c>
      <c r="C638" s="96">
        <f t="shared" si="253"/>
        <v>0.81899999999998885</v>
      </c>
      <c r="D638" s="96">
        <f t="shared" si="250"/>
        <v>43.594550832734456</v>
      </c>
      <c r="E638" s="96">
        <f t="shared" si="251"/>
        <v>3.5816924912770705E-5</v>
      </c>
      <c r="F638" s="96">
        <f t="shared" si="249"/>
        <v>1.016322300344526E-3</v>
      </c>
      <c r="G638" s="96">
        <f t="shared" si="252"/>
        <v>-0.11498367769965548</v>
      </c>
      <c r="I638" s="96">
        <f t="shared" si="254"/>
        <v>0</v>
      </c>
      <c r="J638" s="96">
        <f t="shared" si="255"/>
        <v>0.81899999999998885</v>
      </c>
    </row>
    <row r="639" spans="1:10" ht="12.75" customHeight="1">
      <c r="A639" s="96">
        <f>IF(MAX($F$93:F639)=$G$88,$G$88,F639)</f>
        <v>3.2057712852183653</v>
      </c>
      <c r="B639" s="481">
        <v>547</v>
      </c>
      <c r="C639" s="96">
        <f t="shared" si="253"/>
        <v>0.82049999999998879</v>
      </c>
      <c r="D639" s="96">
        <f t="shared" si="250"/>
        <v>43.754384065637687</v>
      </c>
      <c r="E639" s="96">
        <f t="shared" si="251"/>
        <v>3.3702083532010617E-5</v>
      </c>
      <c r="F639" s="96">
        <f t="shared" si="249"/>
        <v>9.590955752537655E-4</v>
      </c>
      <c r="G639" s="96">
        <f t="shared" si="252"/>
        <v>-0.11504090442474624</v>
      </c>
      <c r="I639" s="96">
        <f t="shared" si="254"/>
        <v>0</v>
      </c>
      <c r="J639" s="96">
        <f t="shared" si="255"/>
        <v>0.82049999999998879</v>
      </c>
    </row>
    <row r="640" spans="1:10" ht="12.75" customHeight="1">
      <c r="A640" s="96">
        <f>IF(MAX($F$93:F640)=$G$88,$G$88,F640)</f>
        <v>3.2057712852183653</v>
      </c>
      <c r="B640" s="481">
        <v>548</v>
      </c>
      <c r="C640" s="96">
        <f t="shared" si="253"/>
        <v>0.82199999999998874</v>
      </c>
      <c r="D640" s="96">
        <f t="shared" si="250"/>
        <v>43.914509765572753</v>
      </c>
      <c r="E640" s="96">
        <f t="shared" si="251"/>
        <v>3.1706515304540281E-5</v>
      </c>
      <c r="F640" s="96">
        <f t="shared" si="249"/>
        <v>9.0492252224857453E-4</v>
      </c>
      <c r="G640" s="96">
        <f t="shared" si="252"/>
        <v>-0.11509507747775143</v>
      </c>
      <c r="I640" s="96">
        <f t="shared" si="254"/>
        <v>0</v>
      </c>
      <c r="J640" s="96">
        <f t="shared" si="255"/>
        <v>0.82199999999998874</v>
      </c>
    </row>
    <row r="641" spans="1:10" ht="12.75" customHeight="1">
      <c r="A641" s="96">
        <f>IF(MAX($F$93:F641)=$G$88,$G$88,F641)</f>
        <v>3.2057712852183653</v>
      </c>
      <c r="B641" s="481">
        <v>549</v>
      </c>
      <c r="C641" s="96">
        <f t="shared" si="253"/>
        <v>0.82349999999998869</v>
      </c>
      <c r="D641" s="96">
        <f t="shared" si="250"/>
        <v>44.074927932539666</v>
      </c>
      <c r="E641" s="96">
        <f t="shared" si="251"/>
        <v>2.9823844150945297E-5</v>
      </c>
      <c r="F641" s="96">
        <f t="shared" si="249"/>
        <v>8.5365040037031455E-4</v>
      </c>
      <c r="G641" s="96">
        <f t="shared" si="252"/>
        <v>-0.11514634959962969</v>
      </c>
      <c r="I641" s="96">
        <f t="shared" si="254"/>
        <v>0</v>
      </c>
      <c r="J641" s="96">
        <f t="shared" si="255"/>
        <v>0.82349999999998869</v>
      </c>
    </row>
    <row r="642" spans="1:10" ht="12.75" customHeight="1">
      <c r="A642" s="96">
        <f>IF(MAX($F$93:F642)=$G$88,$G$88,F642)</f>
        <v>3.2057712852183653</v>
      </c>
      <c r="B642" s="481">
        <v>550</v>
      </c>
      <c r="C642" s="96">
        <f t="shared" si="253"/>
        <v>0.82499999999998863</v>
      </c>
      <c r="D642" s="96">
        <f t="shared" si="250"/>
        <v>44.235638566538427</v>
      </c>
      <c r="E642" s="96">
        <f t="shared" si="251"/>
        <v>2.8048013588667504E-5</v>
      </c>
      <c r="F642" s="96">
        <f t="shared" si="249"/>
        <v>8.0513351202818469E-4</v>
      </c>
      <c r="G642" s="96">
        <f t="shared" si="252"/>
        <v>-0.11519486648797182</v>
      </c>
      <c r="I642" s="96">
        <f t="shared" si="254"/>
        <v>0</v>
      </c>
      <c r="J642" s="96">
        <f t="shared" si="255"/>
        <v>0.82499999999998863</v>
      </c>
    </row>
    <row r="643" spans="1:10" ht="12.75" customHeight="1">
      <c r="A643" s="96">
        <f>IF(MAX($F$93:F643)=$G$88,$G$88,F643)</f>
        <v>3.2057712852183653</v>
      </c>
      <c r="B643" s="481">
        <v>551</v>
      </c>
      <c r="C643" s="96">
        <f t="shared" si="253"/>
        <v>0.82649999999998858</v>
      </c>
      <c r="D643" s="96">
        <f t="shared" si="250"/>
        <v>44.396641667569028</v>
      </c>
      <c r="E643" s="96">
        <f t="shared" si="251"/>
        <v>2.6373271956538791E-5</v>
      </c>
      <c r="F643" s="96">
        <f t="shared" si="249"/>
        <v>7.5923291186078391E-4</v>
      </c>
      <c r="G643" s="96">
        <f t="shared" si="252"/>
        <v>-0.11524076708813923</v>
      </c>
      <c r="I643" s="96">
        <f t="shared" si="254"/>
        <v>0</v>
      </c>
      <c r="J643" s="96">
        <f t="shared" si="255"/>
        <v>0.82649999999998858</v>
      </c>
    </row>
    <row r="644" spans="1:10" ht="12.75" customHeight="1">
      <c r="A644" s="96">
        <f>IF(MAX($F$93:F644)=$G$88,$G$88,F644)</f>
        <v>3.2057712852183653</v>
      </c>
      <c r="B644" s="481">
        <v>552</v>
      </c>
      <c r="C644" s="96">
        <f t="shared" si="253"/>
        <v>0.82799999999998852</v>
      </c>
      <c r="D644" s="96">
        <f t="shared" si="250"/>
        <v>44.557937235631478</v>
      </c>
      <c r="E644" s="96">
        <f t="shared" si="251"/>
        <v>2.4794158252121287E-5</v>
      </c>
      <c r="F644" s="96">
        <f t="shared" si="249"/>
        <v>7.1581612579390381E-4</v>
      </c>
      <c r="G644" s="96">
        <f t="shared" si="252"/>
        <v>-0.11528418387420611</v>
      </c>
      <c r="I644" s="96">
        <f t="shared" si="254"/>
        <v>0</v>
      </c>
      <c r="J644" s="96">
        <f t="shared" si="255"/>
        <v>0.82799999999998852</v>
      </c>
    </row>
    <row r="645" spans="1:10" ht="12.75" customHeight="1">
      <c r="A645" s="96">
        <f>IF(MAX($F$93:F645)=$G$88,$G$88,F645)</f>
        <v>3.2057712852183653</v>
      </c>
      <c r="B645" s="481">
        <v>553</v>
      </c>
      <c r="C645" s="96">
        <f t="shared" si="253"/>
        <v>0.82949999999998847</v>
      </c>
      <c r="D645" s="96">
        <f t="shared" si="250"/>
        <v>44.719525270725775</v>
      </c>
      <c r="E645" s="96">
        <f t="shared" si="251"/>
        <v>2.3305488560279202E-5</v>
      </c>
      <c r="F645" s="96">
        <f t="shared" si="249"/>
        <v>6.7475688003688829E-4</v>
      </c>
      <c r="G645" s="96">
        <f t="shared" si="252"/>
        <v>-0.11532524311996312</v>
      </c>
      <c r="I645" s="96">
        <f t="shared" si="254"/>
        <v>0</v>
      </c>
      <c r="J645" s="96">
        <f t="shared" si="255"/>
        <v>0.82949999999998847</v>
      </c>
    </row>
    <row r="646" spans="1:10" ht="12.75" customHeight="1">
      <c r="A646" s="96">
        <f>IF(MAX($F$93:F646)=$G$88,$G$88,F646)</f>
        <v>3.2057712852183653</v>
      </c>
      <c r="B646" s="481">
        <v>554</v>
      </c>
      <c r="C646" s="96">
        <f t="shared" si="253"/>
        <v>0.83099999999998841</v>
      </c>
      <c r="D646" s="96">
        <f t="shared" si="250"/>
        <v>44.881405772851913</v>
      </c>
      <c r="E646" s="96">
        <f t="shared" si="251"/>
        <v>2.1902343051963194E-5</v>
      </c>
      <c r="F646" s="96">
        <f t="shared" si="249"/>
        <v>6.3593483975932479E-4</v>
      </c>
      <c r="G646" s="96">
        <f t="shared" si="252"/>
        <v>-0.11536406516024068</v>
      </c>
      <c r="I646" s="96">
        <f t="shared" si="254"/>
        <v>0</v>
      </c>
      <c r="J646" s="96">
        <f t="shared" si="255"/>
        <v>0.83099999999998841</v>
      </c>
    </row>
    <row r="647" spans="1:10" ht="12.75" customHeight="1">
      <c r="A647" s="96">
        <f>IF(MAX($F$93:F647)=$G$88,$G$88,F647)</f>
        <v>3.2057712852183653</v>
      </c>
      <c r="B647" s="481">
        <v>555</v>
      </c>
      <c r="C647" s="96">
        <f t="shared" si="253"/>
        <v>0.83249999999998836</v>
      </c>
      <c r="D647" s="96">
        <f t="shared" si="250"/>
        <v>45.043578742009892</v>
      </c>
      <c r="E647" s="96">
        <f t="shared" si="251"/>
        <v>2.0580053532739239E-5</v>
      </c>
      <c r="F647" s="96">
        <f t="shared" si="249"/>
        <v>5.992353571922178E-4</v>
      </c>
      <c r="G647" s="96">
        <f t="shared" si="252"/>
        <v>-0.11540076464280778</v>
      </c>
      <c r="I647" s="96">
        <f t="shared" si="254"/>
        <v>0</v>
      </c>
      <c r="J647" s="96">
        <f t="shared" si="255"/>
        <v>0.83249999999998836</v>
      </c>
    </row>
    <row r="648" spans="1:10" ht="12.75" customHeight="1">
      <c r="A648" s="96">
        <f>IF(MAX($F$93:F648)=$G$88,$G$88,F648)</f>
        <v>3.2057712852183653</v>
      </c>
      <c r="B648" s="481">
        <v>556</v>
      </c>
      <c r="C648" s="96">
        <f t="shared" si="253"/>
        <v>0.83399999999998831</v>
      </c>
      <c r="D648" s="96">
        <f t="shared" si="250"/>
        <v>45.206044178199726</v>
      </c>
      <c r="E648" s="96">
        <f t="shared" si="251"/>
        <v>1.9334191521139403E-5</v>
      </c>
      <c r="F648" s="96">
        <f t="shared" si="249"/>
        <v>5.6454922889923108E-4</v>
      </c>
      <c r="G648" s="96">
        <f t="shared" si="252"/>
        <v>-0.11543545077110078</v>
      </c>
      <c r="I648" s="96">
        <f t="shared" si="254"/>
        <v>0</v>
      </c>
      <c r="J648" s="96">
        <f t="shared" si="255"/>
        <v>0.83399999999998831</v>
      </c>
    </row>
    <row r="649" spans="1:10" ht="12.75" customHeight="1">
      <c r="A649" s="96">
        <f>IF(MAX($F$93:F649)=$G$88,$G$88,F649)</f>
        <v>3.2057712852183653</v>
      </c>
      <c r="B649" s="481">
        <v>557</v>
      </c>
      <c r="C649" s="96">
        <f t="shared" si="253"/>
        <v>0.83549999999998825</v>
      </c>
      <c r="D649" s="96">
        <f t="shared" si="250"/>
        <v>45.3688020814214</v>
      </c>
      <c r="E649" s="96">
        <f t="shared" si="251"/>
        <v>1.816055683745682E-5</v>
      </c>
      <c r="F649" s="96">
        <f t="shared" si="249"/>
        <v>5.3177246196610764E-4</v>
      </c>
      <c r="G649" s="96">
        <f t="shared" si="252"/>
        <v>-0.1154682275380339</v>
      </c>
      <c r="I649" s="96">
        <f t="shared" si="254"/>
        <v>0</v>
      </c>
      <c r="J649" s="96">
        <f t="shared" si="255"/>
        <v>0.83549999999998825</v>
      </c>
    </row>
    <row r="650" spans="1:10" ht="12.75" customHeight="1">
      <c r="A650" s="96">
        <f>IF(MAX($F$93:F650)=$G$88,$G$88,F650)</f>
        <v>3.2057712852183653</v>
      </c>
      <c r="B650" s="481">
        <v>558</v>
      </c>
      <c r="C650" s="96">
        <f t="shared" si="253"/>
        <v>0.8369999999999882</v>
      </c>
      <c r="D650" s="96">
        <f t="shared" si="250"/>
        <v>45.531852451674915</v>
      </c>
      <c r="E650" s="96">
        <f t="shared" si="251"/>
        <v>1.7055166684141799E-5</v>
      </c>
      <c r="F650" s="96">
        <f t="shared" si="249"/>
        <v>5.0080604885872513E-4</v>
      </c>
      <c r="G650" s="96">
        <f t="shared" si="252"/>
        <v>-0.11549919395114128</v>
      </c>
      <c r="I650" s="96">
        <f t="shared" si="254"/>
        <v>0</v>
      </c>
      <c r="J650" s="96">
        <f t="shared" si="255"/>
        <v>0.8369999999999882</v>
      </c>
    </row>
    <row r="651" spans="1:10" ht="12.75" customHeight="1">
      <c r="A651" s="96">
        <f>IF(MAX($F$93:F651)=$G$88,$G$88,F651)</f>
        <v>3.2057712852183653</v>
      </c>
      <c r="B651" s="481">
        <v>559</v>
      </c>
      <c r="C651" s="96">
        <f t="shared" si="253"/>
        <v>0.83849999999998814</v>
      </c>
      <c r="D651" s="96">
        <f t="shared" si="250"/>
        <v>45.695195288960278</v>
      </c>
      <c r="E651" s="96">
        <f t="shared" si="251"/>
        <v>1.6014245199490855E-5</v>
      </c>
      <c r="F651" s="96">
        <f t="shared" si="249"/>
        <v>4.7155575070235658E-4</v>
      </c>
      <c r="G651" s="96">
        <f t="shared" si="252"/>
        <v>-0.11552844424929765</v>
      </c>
      <c r="I651" s="96">
        <f t="shared" si="254"/>
        <v>0</v>
      </c>
      <c r="J651" s="96">
        <f t="shared" si="255"/>
        <v>0.83849999999998814</v>
      </c>
    </row>
    <row r="652" spans="1:10" ht="12.75" customHeight="1">
      <c r="A652" s="96">
        <f>IF(MAX($F$93:F652)=$G$88,$G$88,F652)</f>
        <v>3.2057712852183653</v>
      </c>
      <c r="B652" s="481">
        <v>560</v>
      </c>
      <c r="C652" s="96">
        <f t="shared" si="253"/>
        <v>0.83999999999998809</v>
      </c>
      <c r="D652" s="96">
        <f t="shared" si="250"/>
        <v>45.858830593277489</v>
      </c>
      <c r="E652" s="96">
        <f t="shared" si="251"/>
        <v>1.5034213466845985E-5</v>
      </c>
      <c r="F652" s="96">
        <f t="shared" si="249"/>
        <v>4.4393188873859856E-4</v>
      </c>
      <c r="G652" s="96">
        <f t="shared" si="252"/>
        <v>-0.1155560681112614</v>
      </c>
      <c r="I652" s="96">
        <f t="shared" si="254"/>
        <v>0</v>
      </c>
      <c r="J652" s="96">
        <f t="shared" si="255"/>
        <v>0.83999999999998809</v>
      </c>
    </row>
    <row r="653" spans="1:10" ht="12.75" customHeight="1">
      <c r="A653" s="96">
        <f>IF(MAX($F$93:F653)=$G$88,$G$88,F653)</f>
        <v>3.2057712852183653</v>
      </c>
      <c r="B653" s="481">
        <v>561</v>
      </c>
      <c r="C653" s="96">
        <f t="shared" si="253"/>
        <v>0.84149999999998804</v>
      </c>
      <c r="D653" s="96">
        <f t="shared" si="250"/>
        <v>46.02275836462654</v>
      </c>
      <c r="E653" s="96">
        <f t="shared" si="251"/>
        <v>1.4111679962039718E-5</v>
      </c>
      <c r="F653" s="96">
        <f t="shared" si="249"/>
        <v>4.1784914371914534E-4</v>
      </c>
      <c r="G653" s="96">
        <f t="shared" si="252"/>
        <v>-0.11558215085628086</v>
      </c>
      <c r="I653" s="96">
        <f t="shared" si="254"/>
        <v>0</v>
      </c>
      <c r="J653" s="96">
        <f t="shared" si="255"/>
        <v>0.84149999999998804</v>
      </c>
    </row>
    <row r="654" spans="1:10" ht="12.75" customHeight="1">
      <c r="A654" s="96">
        <f>IF(MAX($F$93:F654)=$G$88,$G$88,F654)</f>
        <v>3.2057712852183653</v>
      </c>
      <c r="B654" s="481">
        <v>562</v>
      </c>
      <c r="C654" s="96">
        <f t="shared" si="253"/>
        <v>0.84299999999998798</v>
      </c>
      <c r="D654" s="96">
        <f t="shared" si="250"/>
        <v>46.186978603007439</v>
      </c>
      <c r="E654" s="96">
        <f t="shared" si="251"/>
        <v>1.3243431422335361E-5</v>
      </c>
      <c r="F654" s="96">
        <f t="shared" si="249"/>
        <v>3.9322636299881454E-4</v>
      </c>
      <c r="G654" s="96">
        <f t="shared" si="252"/>
        <v>-0.1156067736370012</v>
      </c>
      <c r="I654" s="96">
        <f t="shared" si="254"/>
        <v>0</v>
      </c>
      <c r="J654" s="96">
        <f t="shared" si="255"/>
        <v>0.84299999999998798</v>
      </c>
    </row>
    <row r="655" spans="1:10" ht="12.75" customHeight="1">
      <c r="A655" s="96">
        <f>IF(MAX($F$93:F655)=$G$88,$G$88,F655)</f>
        <v>3.2057712852183653</v>
      </c>
      <c r="B655" s="481">
        <v>563</v>
      </c>
      <c r="C655" s="96">
        <f t="shared" si="253"/>
        <v>0.84449999999998793</v>
      </c>
      <c r="D655" s="96">
        <f t="shared" si="250"/>
        <v>46.351491308420179</v>
      </c>
      <c r="E655" s="96">
        <f t="shared" si="251"/>
        <v>1.2426424120616227E-5</v>
      </c>
      <c r="F655" s="96">
        <f t="shared" si="249"/>
        <v>3.6998637509389403E-4</v>
      </c>
      <c r="G655" s="96">
        <f t="shared" si="252"/>
        <v>-0.11563001362490612</v>
      </c>
      <c r="I655" s="96">
        <f t="shared" si="254"/>
        <v>0</v>
      </c>
      <c r="J655" s="96">
        <f t="shared" si="255"/>
        <v>0.84449999999998793</v>
      </c>
    </row>
    <row r="656" spans="1:10" ht="12.75" customHeight="1">
      <c r="A656" s="96">
        <f>IF(MAX($F$93:F656)=$G$88,$G$88,F656)</f>
        <v>3.2057712852183653</v>
      </c>
      <c r="B656" s="481">
        <v>564</v>
      </c>
      <c r="C656" s="96">
        <f t="shared" si="253"/>
        <v>0.84599999999998787</v>
      </c>
      <c r="D656" s="96">
        <f t="shared" si="250"/>
        <v>46.516296480864767</v>
      </c>
      <c r="E656" s="96">
        <f t="shared" si="251"/>
        <v>1.1657775529075815E-5</v>
      </c>
      <c r="F656" s="96">
        <f t="shared" si="249"/>
        <v>3.4805581147580528E-4</v>
      </c>
      <c r="G656" s="96">
        <f t="shared" si="252"/>
        <v>-0.1156519441885242</v>
      </c>
      <c r="I656" s="96">
        <f t="shared" si="254"/>
        <v>0</v>
      </c>
      <c r="J656" s="96">
        <f t="shared" si="255"/>
        <v>0.84599999999998787</v>
      </c>
    </row>
    <row r="657" spans="1:10" ht="12.75" customHeight="1">
      <c r="A657" s="96">
        <f>IF(MAX($F$93:F657)=$G$88,$G$88,F657)</f>
        <v>3.2057712852183653</v>
      </c>
      <c r="B657" s="481">
        <v>565</v>
      </c>
      <c r="C657" s="96">
        <f t="shared" si="253"/>
        <v>0.84749999999998782</v>
      </c>
      <c r="D657" s="96">
        <f t="shared" si="250"/>
        <v>46.681394120341203</v>
      </c>
      <c r="E657" s="96">
        <f t="shared" si="251"/>
        <v>1.093475635714849E-5</v>
      </c>
      <c r="F657" s="96">
        <f t="shared" si="249"/>
        <v>3.2736493537377574E-4</v>
      </c>
      <c r="G657" s="96">
        <f t="shared" si="252"/>
        <v>-0.11567263506462623</v>
      </c>
      <c r="I657" s="96">
        <f t="shared" si="254"/>
        <v>0</v>
      </c>
      <c r="J657" s="96">
        <f t="shared" si="255"/>
        <v>0.84749999999998782</v>
      </c>
    </row>
    <row r="658" spans="1:10" ht="12.75" customHeight="1">
      <c r="A658" s="96">
        <f>IF(MAX($F$93:F658)=$G$88,$G$88,F658)</f>
        <v>3.2057712852183653</v>
      </c>
      <c r="B658" s="481">
        <v>566</v>
      </c>
      <c r="C658" s="96">
        <f t="shared" si="253"/>
        <v>0.84899999999998776</v>
      </c>
      <c r="D658" s="96">
        <f t="shared" si="250"/>
        <v>46.846784226849479</v>
      </c>
      <c r="E658" s="96">
        <f t="shared" si="251"/>
        <v>1.0254782948902491E-5</v>
      </c>
      <c r="F658" s="96">
        <f t="shared" si="249"/>
        <v>3.0784747736411708E-4</v>
      </c>
      <c r="G658" s="96">
        <f t="shared" si="252"/>
        <v>-0.11569215252263589</v>
      </c>
      <c r="I658" s="96">
        <f t="shared" si="254"/>
        <v>0</v>
      </c>
      <c r="J658" s="96">
        <f t="shared" si="255"/>
        <v>0.84899999999998776</v>
      </c>
    </row>
    <row r="659" spans="1:10" ht="12.75" customHeight="1">
      <c r="A659" s="96">
        <f>IF(MAX($F$93:F659)=$G$88,$G$88,F659)</f>
        <v>3.2057712852183653</v>
      </c>
      <c r="B659" s="481">
        <v>567</v>
      </c>
      <c r="C659" s="96">
        <f t="shared" si="253"/>
        <v>0.85049999999998771</v>
      </c>
      <c r="D659" s="96">
        <f t="shared" si="250"/>
        <v>47.012466800389596</v>
      </c>
      <c r="E659" s="96">
        <f t="shared" si="251"/>
        <v>9.615410025587988E-6</v>
      </c>
      <c r="F659" s="96">
        <f t="shared" si="249"/>
        <v>2.8944047752795324E-4</v>
      </c>
      <c r="G659" s="96">
        <f t="shared" si="252"/>
        <v>-0.11571055952247206</v>
      </c>
      <c r="I659" s="96">
        <f t="shared" si="254"/>
        <v>0</v>
      </c>
      <c r="J659" s="96">
        <f t="shared" si="255"/>
        <v>0.85049999999998771</v>
      </c>
    </row>
    <row r="660" spans="1:10" ht="12.75" customHeight="1">
      <c r="A660" s="96">
        <f>IF(MAX($F$93:F660)=$G$88,$G$88,F660)</f>
        <v>3.2057712852183653</v>
      </c>
      <c r="B660" s="481">
        <v>568</v>
      </c>
      <c r="C660" s="96">
        <f t="shared" si="253"/>
        <v>0.85199999999998766</v>
      </c>
      <c r="D660" s="96">
        <f t="shared" si="250"/>
        <v>47.178441840961568</v>
      </c>
      <c r="E660" s="96">
        <f t="shared" si="251"/>
        <v>9.0143237594969768E-6</v>
      </c>
      <c r="F660" s="96">
        <f t="shared" si="249"/>
        <v>2.7208413396348491E-4</v>
      </c>
      <c r="G660" s="96">
        <f t="shared" si="252"/>
        <v>-0.11572791586603652</v>
      </c>
      <c r="I660" s="96">
        <f t="shared" si="254"/>
        <v>0</v>
      </c>
      <c r="J660" s="96">
        <f t="shared" si="255"/>
        <v>0.85199999999998766</v>
      </c>
    </row>
    <row r="661" spans="1:10" ht="12.75" customHeight="1">
      <c r="A661" s="96">
        <f>IF(MAX($F$93:F661)=$G$88,$G$88,F661)</f>
        <v>3.2057712852183653</v>
      </c>
      <c r="B661" s="481">
        <v>569</v>
      </c>
      <c r="C661" s="96">
        <f t="shared" si="253"/>
        <v>0.8534999999999876</v>
      </c>
      <c r="D661" s="96">
        <f t="shared" si="250"/>
        <v>47.344709348565381</v>
      </c>
      <c r="E661" s="96">
        <f t="shared" si="251"/>
        <v>8.4493351657444811E-6</v>
      </c>
      <c r="F661" s="96">
        <f t="shared" si="249"/>
        <v>2.5572165744312998E-4</v>
      </c>
      <c r="G661" s="96">
        <f t="shared" si="252"/>
        <v>-0.11574427834255688</v>
      </c>
      <c r="I661" s="96">
        <f t="shared" si="254"/>
        <v>0</v>
      </c>
      <c r="J661" s="96">
        <f t="shared" si="255"/>
        <v>0.8534999999999876</v>
      </c>
    </row>
    <row r="662" spans="1:10" ht="12.75" customHeight="1">
      <c r="A662" s="96">
        <f>IF(MAX($F$93:F662)=$G$88,$G$88,F662)</f>
        <v>3.2057712852183653</v>
      </c>
      <c r="B662" s="481">
        <v>570</v>
      </c>
      <c r="C662" s="96">
        <f t="shared" si="253"/>
        <v>0.85499999999998755</v>
      </c>
      <c r="D662" s="96">
        <f t="shared" si="250"/>
        <v>47.511269323201034</v>
      </c>
      <c r="E662" s="96">
        <f t="shared" si="251"/>
        <v>7.9183737990264196E-6</v>
      </c>
      <c r="F662" s="96">
        <f t="shared" si="249"/>
        <v>2.4029913201005284E-4</v>
      </c>
      <c r="G662" s="96">
        <f t="shared" si="252"/>
        <v>-0.11575970086798995</v>
      </c>
      <c r="I662" s="96">
        <f t="shared" si="254"/>
        <v>0</v>
      </c>
      <c r="J662" s="96">
        <f t="shared" si="255"/>
        <v>0.85499999999998755</v>
      </c>
    </row>
    <row r="663" spans="1:10" ht="12.75" customHeight="1">
      <c r="A663" s="96">
        <f>IF(MAX($F$93:F663)=$G$88,$G$88,F663)</f>
        <v>3.2057712852183653</v>
      </c>
      <c r="B663" s="481">
        <v>571</v>
      </c>
      <c r="C663" s="96">
        <f t="shared" si="253"/>
        <v>0.85649999999998749</v>
      </c>
      <c r="D663" s="96">
        <f t="shared" si="250"/>
        <v>47.678121764868536</v>
      </c>
      <c r="E663" s="96">
        <f t="shared" si="251"/>
        <v>7.4194817428442546E-6</v>
      </c>
      <c r="F663" s="96">
        <f t="shared" si="249"/>
        <v>2.2576538131346166E-4</v>
      </c>
      <c r="G663" s="96">
        <f t="shared" si="252"/>
        <v>-0.11577423461868655</v>
      </c>
      <c r="I663" s="96">
        <f t="shared" si="254"/>
        <v>0</v>
      </c>
      <c r="J663" s="96">
        <f t="shared" si="255"/>
        <v>0.85649999999998749</v>
      </c>
    </row>
    <row r="664" spans="1:10" ht="12.75" customHeight="1">
      <c r="A664" s="96">
        <f>IF(MAX($F$93:F664)=$G$88,$G$88,F664)</f>
        <v>3.2057712852183653</v>
      </c>
      <c r="B664" s="481">
        <v>572</v>
      </c>
      <c r="C664" s="96">
        <f t="shared" si="253"/>
        <v>0.85799999999998744</v>
      </c>
      <c r="D664" s="96">
        <f t="shared" si="250"/>
        <v>47.845266673567878</v>
      </c>
      <c r="E664" s="96">
        <f t="shared" si="251"/>
        <v>6.9508078791115838E-6</v>
      </c>
      <c r="F664" s="96">
        <f t="shared" si="249"/>
        <v>2.1207184048611472E-4</v>
      </c>
      <c r="G664" s="96">
        <f t="shared" si="252"/>
        <v>-0.11578792815951389</v>
      </c>
      <c r="I664" s="96">
        <f t="shared" si="254"/>
        <v>0</v>
      </c>
      <c r="J664" s="96">
        <f t="shared" si="255"/>
        <v>0.85799999999998744</v>
      </c>
    </row>
    <row r="665" spans="1:10" ht="12.75" customHeight="1">
      <c r="A665" s="96">
        <f>IF(MAX($F$93:F665)=$G$88,$G$88,F665)</f>
        <v>3.2057712852183653</v>
      </c>
      <c r="B665" s="481">
        <v>573</v>
      </c>
      <c r="C665" s="96">
        <f t="shared" si="253"/>
        <v>0.85949999999998739</v>
      </c>
      <c r="D665" s="96">
        <f t="shared" si="250"/>
        <v>48.012704049299074</v>
      </c>
      <c r="E665" s="96">
        <f t="shared" si="251"/>
        <v>6.5106024264751915E-6</v>
      </c>
      <c r="F665" s="96">
        <f t="shared" si="249"/>
        <v>1.9917243337209519E-4</v>
      </c>
      <c r="G665" s="96">
        <f t="shared" si="252"/>
        <v>-0.11580082756662791</v>
      </c>
      <c r="I665" s="96">
        <f t="shared" si="254"/>
        <v>0</v>
      </c>
      <c r="J665" s="96">
        <f t="shared" si="255"/>
        <v>0.85949999999998739</v>
      </c>
    </row>
    <row r="666" spans="1:10" ht="12.75" customHeight="1">
      <c r="A666" s="96">
        <f>IF(MAX($F$93:F666)=$G$88,$G$88,F666)</f>
        <v>3.2057712852183653</v>
      </c>
      <c r="B666" s="481">
        <v>574</v>
      </c>
      <c r="C666" s="96">
        <f t="shared" si="253"/>
        <v>0.86099999999998733</v>
      </c>
      <c r="D666" s="96">
        <f t="shared" si="250"/>
        <v>48.180433892062105</v>
      </c>
      <c r="E666" s="96">
        <f t="shared" si="251"/>
        <v>6.0972117360883185E-6</v>
      </c>
      <c r="F666" s="96">
        <f t="shared" si="249"/>
        <v>1.8702345491774638E-4</v>
      </c>
      <c r="G666" s="96">
        <f t="shared" si="252"/>
        <v>-0.11581297654508226</v>
      </c>
      <c r="I666" s="96">
        <f t="shared" si="254"/>
        <v>0</v>
      </c>
      <c r="J666" s="96">
        <f t="shared" si="255"/>
        <v>0.86099999999998733</v>
      </c>
    </row>
    <row r="667" spans="1:10" ht="12.75" customHeight="1">
      <c r="A667" s="96">
        <f>IF(MAX($F$93:F667)=$G$88,$G$88,F667)</f>
        <v>3.2057712852183653</v>
      </c>
      <c r="B667" s="481">
        <v>575</v>
      </c>
      <c r="C667" s="96">
        <f t="shared" si="253"/>
        <v>0.86249999999998728</v>
      </c>
      <c r="D667" s="96">
        <f t="shared" si="250"/>
        <v>48.348456201856983</v>
      </c>
      <c r="E667" s="96">
        <f t="shared" si="251"/>
        <v>5.7090733339705641E-6</v>
      </c>
      <c r="F667" s="96">
        <f t="shared" si="249"/>
        <v>1.7558345854275538E-4</v>
      </c>
      <c r="G667" s="96">
        <f t="shared" si="252"/>
        <v>-0.11582441654145725</v>
      </c>
      <c r="I667" s="96">
        <f t="shared" si="254"/>
        <v>0</v>
      </c>
      <c r="J667" s="96">
        <f t="shared" si="255"/>
        <v>0.86249999999998728</v>
      </c>
    </row>
    <row r="668" spans="1:10" ht="12.75" customHeight="1">
      <c r="A668" s="96">
        <f>IF(MAX($F$93:F668)=$G$88,$G$88,F668)</f>
        <v>3.2057712852183653</v>
      </c>
      <c r="B668" s="481">
        <v>576</v>
      </c>
      <c r="C668" s="96">
        <f t="shared" si="253"/>
        <v>0.86399999999998722</v>
      </c>
      <c r="D668" s="96">
        <f t="shared" si="250"/>
        <v>48.516770978683716</v>
      </c>
      <c r="E668" s="96">
        <f t="shared" si="251"/>
        <v>5.3447111994765097E-6</v>
      </c>
      <c r="F668" s="96">
        <f t="shared" si="249"/>
        <v>1.6481314831312267E-4</v>
      </c>
      <c r="G668" s="96">
        <f t="shared" si="252"/>
        <v>-0.11583518685168688</v>
      </c>
      <c r="I668" s="96">
        <f t="shared" si="254"/>
        <v>0</v>
      </c>
      <c r="J668" s="96">
        <f t="shared" si="255"/>
        <v>0.86399999999998722</v>
      </c>
    </row>
    <row r="669" spans="1:10" ht="12.75" customHeight="1">
      <c r="A669" s="96">
        <f>IF(MAX($F$93:F669)=$G$88,$G$88,F669)</f>
        <v>3.2057712852183653</v>
      </c>
      <c r="B669" s="481">
        <v>577</v>
      </c>
      <c r="C669" s="96">
        <f t="shared" si="253"/>
        <v>0.86549999999998717</v>
      </c>
      <c r="D669" s="96">
        <f t="shared" si="250"/>
        <v>48.685378222542283</v>
      </c>
      <c r="E669" s="96">
        <f t="shared" si="251"/>
        <v>5.0027312697714668E-6</v>
      </c>
      <c r="F669" s="96">
        <f t="shared" ref="F669:F732" si="256">IF($E$12&lt;$F$90,NA(),$E$87*(E668-E670)/(2*$C$88))</f>
        <v>1.5467527574263828E-4</v>
      </c>
      <c r="G669" s="96">
        <f t="shared" si="252"/>
        <v>-0.11584532472425736</v>
      </c>
      <c r="I669" s="96">
        <f t="shared" si="254"/>
        <v>0</v>
      </c>
      <c r="J669" s="96">
        <f t="shared" si="255"/>
        <v>0.86549999999998717</v>
      </c>
    </row>
    <row r="670" spans="1:10" ht="12.75" customHeight="1">
      <c r="A670" s="96">
        <f>IF(MAX($F$93:F670)=$G$88,$G$88,F670)</f>
        <v>3.2057712852183653</v>
      </c>
      <c r="B670" s="481">
        <v>578</v>
      </c>
      <c r="C670" s="96">
        <f t="shared" si="253"/>
        <v>0.86699999999998711</v>
      </c>
      <c r="D670" s="96">
        <f t="shared" ref="D670:D733" si="257">C670^2/$C$85</f>
        <v>48.854277933432698</v>
      </c>
      <c r="E670" s="96">
        <f t="shared" ref="E670:E733" si="258">CHIDIST(D670,$E$85)</f>
        <v>4.6818171605794885E-6</v>
      </c>
      <c r="F670" s="96">
        <f t="shared" si="256"/>
        <v>1.4513454105340303E-4</v>
      </c>
      <c r="G670" s="96">
        <f t="shared" ref="G670:G733" si="259">F670-$G$90</f>
        <v>-0.1158548654589466</v>
      </c>
      <c r="I670" s="96">
        <f t="shared" si="254"/>
        <v>0</v>
      </c>
      <c r="J670" s="96">
        <f t="shared" si="255"/>
        <v>0.86699999999998711</v>
      </c>
    </row>
    <row r="671" spans="1:10" ht="12.75" customHeight="1">
      <c r="A671" s="96">
        <f>IF(MAX($F$93:F671)=$G$88,$G$88,F671)</f>
        <v>3.2057712852183653</v>
      </c>
      <c r="B671" s="481">
        <v>579</v>
      </c>
      <c r="C671" s="96">
        <f t="shared" si="253"/>
        <v>0.86849999999998706</v>
      </c>
      <c r="D671" s="96">
        <f t="shared" si="257"/>
        <v>49.02347011135496</v>
      </c>
      <c r="E671" s="96">
        <f t="shared" si="258"/>
        <v>4.3807260938283109E-6</v>
      </c>
      <c r="F671" s="96">
        <f t="shared" si="256"/>
        <v>1.3615749873091451E-4</v>
      </c>
      <c r="G671" s="96">
        <f t="shared" si="259"/>
        <v>-0.11586384250126909</v>
      </c>
      <c r="I671" s="96">
        <f t="shared" si="254"/>
        <v>0</v>
      </c>
      <c r="J671" s="96">
        <f t="shared" si="255"/>
        <v>0.86849999999998706</v>
      </c>
    </row>
    <row r="672" spans="1:10" ht="12.75" customHeight="1">
      <c r="A672" s="96">
        <f>IF(MAX($F$93:F672)=$G$88,$G$88,F672)</f>
        <v>3.2057712852183653</v>
      </c>
      <c r="B672" s="481">
        <v>580</v>
      </c>
      <c r="C672" s="96">
        <f t="shared" si="253"/>
        <v>0.86999999999998701</v>
      </c>
      <c r="D672" s="96">
        <f t="shared" si="257"/>
        <v>49.192954756309064</v>
      </c>
      <c r="E672" s="96">
        <f t="shared" si="258"/>
        <v>4.0982850231612833E-6</v>
      </c>
      <c r="F672" s="96">
        <f t="shared" si="256"/>
        <v>1.2771246721374156E-4</v>
      </c>
      <c r="G672" s="96">
        <f t="shared" si="259"/>
        <v>-0.11587228753278626</v>
      </c>
      <c r="I672" s="96">
        <f t="shared" si="254"/>
        <v>0</v>
      </c>
      <c r="J672" s="96">
        <f t="shared" si="255"/>
        <v>0.86999999999998701</v>
      </c>
    </row>
    <row r="673" spans="1:10" ht="12.75" customHeight="1">
      <c r="A673" s="96">
        <f>IF(MAX($F$93:F673)=$G$88,$G$88,F673)</f>
        <v>3.2057712852183653</v>
      </c>
      <c r="B673" s="481">
        <v>581</v>
      </c>
      <c r="C673" s="96">
        <f t="shared" si="253"/>
        <v>0.87149999999998695</v>
      </c>
      <c r="D673" s="96">
        <f t="shared" si="257"/>
        <v>49.362731868295015</v>
      </c>
      <c r="E673" s="96">
        <f t="shared" si="258"/>
        <v>3.8333869486265614E-6</v>
      </c>
      <c r="F673" s="96">
        <f t="shared" si="256"/>
        <v>1.1976944256191787E-4</v>
      </c>
      <c r="G673" s="96">
        <f t="shared" si="259"/>
        <v>-0.11588023055743808</v>
      </c>
      <c r="I673" s="96">
        <f t="shared" si="254"/>
        <v>0</v>
      </c>
      <c r="J673" s="96">
        <f t="shared" si="255"/>
        <v>0.87149999999998695</v>
      </c>
    </row>
    <row r="674" spans="1:10" ht="12.75" customHeight="1">
      <c r="A674" s="96">
        <f>IF(MAX($F$93:F674)=$G$88,$G$88,F674)</f>
        <v>3.2057712852183653</v>
      </c>
      <c r="B674" s="481">
        <v>582</v>
      </c>
      <c r="C674" s="96">
        <f t="shared" si="253"/>
        <v>0.8729999999999869</v>
      </c>
      <c r="D674" s="96">
        <f t="shared" si="257"/>
        <v>49.532801447312806</v>
      </c>
      <c r="E674" s="96">
        <f t="shared" si="258"/>
        <v>3.5849874121816353E-6</v>
      </c>
      <c r="F674" s="96">
        <f t="shared" si="256"/>
        <v>1.1230001779887592E-4</v>
      </c>
      <c r="G674" s="96">
        <f t="shared" si="259"/>
        <v>-0.11588769998220114</v>
      </c>
      <c r="I674" s="96">
        <f t="shared" si="254"/>
        <v>0</v>
      </c>
      <c r="J674" s="96">
        <f t="shared" si="255"/>
        <v>0.8729999999999869</v>
      </c>
    </row>
    <row r="675" spans="1:10" ht="12.75" customHeight="1">
      <c r="A675" s="96">
        <f>IF(MAX($F$93:F675)=$G$88,$G$88,F675)</f>
        <v>3.2057712852183653</v>
      </c>
      <c r="B675" s="481">
        <v>583</v>
      </c>
      <c r="C675" s="96">
        <f t="shared" si="253"/>
        <v>0.87449999999998684</v>
      </c>
      <c r="D675" s="96">
        <f t="shared" si="257"/>
        <v>49.703163493362446</v>
      </c>
      <c r="E675" s="96">
        <f t="shared" si="258"/>
        <v>3.3521011580599503E-6</v>
      </c>
      <c r="F675" s="96">
        <f t="shared" si="256"/>
        <v>1.0527729653219533E-4</v>
      </c>
      <c r="G675" s="96">
        <f t="shared" si="259"/>
        <v>-0.11589472270346782</v>
      </c>
      <c r="I675" s="96">
        <f t="shared" si="254"/>
        <v>0</v>
      </c>
      <c r="J675" s="96">
        <f t="shared" si="255"/>
        <v>0.87449999999998684</v>
      </c>
    </row>
    <row r="676" spans="1:10" ht="12.75" customHeight="1">
      <c r="A676" s="96">
        <f>IF(MAX($F$93:F676)=$G$88,$G$88,F676)</f>
        <v>3.2057712852183653</v>
      </c>
      <c r="B676" s="481">
        <v>584</v>
      </c>
      <c r="C676" s="96">
        <f t="shared" si="253"/>
        <v>0.87599999999998679</v>
      </c>
      <c r="D676" s="96">
        <f t="shared" si="257"/>
        <v>49.873818006443933</v>
      </c>
      <c r="E676" s="96">
        <f t="shared" si="258"/>
        <v>3.1337989984722267E-6</v>
      </c>
      <c r="F676" s="96">
        <f t="shared" si="256"/>
        <v>9.8675827432810379E-5</v>
      </c>
      <c r="G676" s="96">
        <f t="shared" si="259"/>
        <v>-0.1159013241725672</v>
      </c>
      <c r="I676" s="96">
        <f t="shared" si="254"/>
        <v>0</v>
      </c>
      <c r="J676" s="96">
        <f t="shared" si="255"/>
        <v>0.87599999999998679</v>
      </c>
    </row>
    <row r="677" spans="1:10" ht="12.75" customHeight="1">
      <c r="A677" s="96">
        <f>IF(MAX($F$93:F677)=$G$88,$G$88,F677)</f>
        <v>3.2057712852183653</v>
      </c>
      <c r="B677" s="481">
        <v>585</v>
      </c>
      <c r="C677" s="96">
        <f t="shared" si="253"/>
        <v>0.87749999999998674</v>
      </c>
      <c r="D677" s="96">
        <f t="shared" si="257"/>
        <v>50.044764986557261</v>
      </c>
      <c r="E677" s="96">
        <f t="shared" si="258"/>
        <v>2.9292047547764772E-6</v>
      </c>
      <c r="F677" s="96">
        <f t="shared" si="256"/>
        <v>9.2471531971049666E-5</v>
      </c>
      <c r="G677" s="96">
        <f t="shared" si="259"/>
        <v>-0.11590752846802896</v>
      </c>
      <c r="I677" s="96">
        <f t="shared" si="254"/>
        <v>0</v>
      </c>
      <c r="J677" s="96">
        <f t="shared" si="255"/>
        <v>0.87749999999998674</v>
      </c>
    </row>
    <row r="678" spans="1:10" ht="12.75" customHeight="1">
      <c r="A678" s="96">
        <f>IF(MAX($F$93:F678)=$G$88,$G$88,F678)</f>
        <v>3.2057712852183653</v>
      </c>
      <c r="B678" s="481">
        <v>586</v>
      </c>
      <c r="C678" s="96">
        <f t="shared" si="253"/>
        <v>0.87899999999998668</v>
      </c>
      <c r="D678" s="96">
        <f t="shared" si="257"/>
        <v>50.216004433702437</v>
      </c>
      <c r="E678" s="96">
        <f t="shared" si="258"/>
        <v>2.7374924328820138E-6</v>
      </c>
      <c r="F678" s="96">
        <f t="shared" si="256"/>
        <v>8.6641626224931109E-5</v>
      </c>
      <c r="G678" s="96">
        <f t="shared" si="259"/>
        <v>-0.11591335837377507</v>
      </c>
      <c r="I678" s="96">
        <f t="shared" si="254"/>
        <v>0</v>
      </c>
      <c r="J678" s="96">
        <f t="shared" si="255"/>
        <v>0.87899999999998668</v>
      </c>
    </row>
    <row r="679" spans="1:10" ht="12.75" customHeight="1">
      <c r="A679" s="96">
        <f>IF(MAX($F$93:F679)=$G$88,$G$88,F679)</f>
        <v>3.2057712852183653</v>
      </c>
      <c r="B679" s="481">
        <v>587</v>
      </c>
      <c r="C679" s="96">
        <f t="shared" si="253"/>
        <v>0.88049999999998663</v>
      </c>
      <c r="D679" s="96">
        <f t="shared" si="257"/>
        <v>50.387536347879461</v>
      </c>
      <c r="E679" s="96">
        <f t="shared" si="258"/>
        <v>2.5578834995267724E-6</v>
      </c>
      <c r="F679" s="96">
        <f t="shared" si="256"/>
        <v>8.1164563333846243E-5</v>
      </c>
      <c r="G679" s="96">
        <f t="shared" si="259"/>
        <v>-0.11591883543666616</v>
      </c>
      <c r="I679" s="96">
        <f t="shared" si="254"/>
        <v>0</v>
      </c>
      <c r="J679" s="96">
        <f t="shared" si="255"/>
        <v>0.88049999999998663</v>
      </c>
    </row>
    <row r="680" spans="1:10" ht="12.75" customHeight="1">
      <c r="A680" s="96">
        <f>IF(MAX($F$93:F680)=$G$88,$G$88,F680)</f>
        <v>3.2057712852183653</v>
      </c>
      <c r="B680" s="481">
        <v>588</v>
      </c>
      <c r="C680" s="96">
        <f t="shared" si="253"/>
        <v>0.88199999999998657</v>
      </c>
      <c r="D680" s="96">
        <f t="shared" si="257"/>
        <v>50.559360729088318</v>
      </c>
      <c r="E680" s="96">
        <f t="shared" si="258"/>
        <v>2.3896443043083871E-6</v>
      </c>
      <c r="F680" s="96">
        <f t="shared" si="256"/>
        <v>7.6019968990933802E-5</v>
      </c>
      <c r="G680" s="96">
        <f t="shared" si="259"/>
        <v>-0.11592398003100907</v>
      </c>
      <c r="I680" s="96">
        <f t="shared" si="254"/>
        <v>0</v>
      </c>
      <c r="J680" s="96">
        <f t="shared" si="255"/>
        <v>0.88199999999998657</v>
      </c>
    </row>
    <row r="681" spans="1:10" ht="12.75" customHeight="1">
      <c r="A681" s="96">
        <f>IF(MAX($F$93:F681)=$G$88,$G$88,F681)</f>
        <v>3.2057712852183653</v>
      </c>
      <c r="B681" s="481">
        <v>589</v>
      </c>
      <c r="C681" s="96">
        <f t="shared" ref="C681:C744" si="260">C680+$C$88</f>
        <v>0.88349999999998652</v>
      </c>
      <c r="D681" s="96">
        <f t="shared" si="257"/>
        <v>50.731477577329031</v>
      </c>
      <c r="E681" s="96">
        <f t="shared" si="258"/>
        <v>2.2320836324227703E-6</v>
      </c>
      <c r="F681" s="96">
        <f t="shared" si="256"/>
        <v>7.1188581860850012E-5</v>
      </c>
      <c r="G681" s="96">
        <f t="shared" si="259"/>
        <v>-0.11592881141813915</v>
      </c>
      <c r="I681" s="96">
        <f t="shared" si="254"/>
        <v>0</v>
      </c>
      <c r="J681" s="96">
        <f t="shared" si="255"/>
        <v>0.88349999999998652</v>
      </c>
    </row>
    <row r="682" spans="1:10" ht="12.75" customHeight="1">
      <c r="A682" s="96">
        <f>IF(MAX($F$93:F682)=$G$88,$G$88,F682)</f>
        <v>3.2057712852183653</v>
      </c>
      <c r="B682" s="481">
        <v>590</v>
      </c>
      <c r="C682" s="96">
        <f t="shared" si="260"/>
        <v>0.88499999999998646</v>
      </c>
      <c r="D682" s="96">
        <f t="shared" si="257"/>
        <v>50.903886892601584</v>
      </c>
      <c r="E682" s="96">
        <f t="shared" si="258"/>
        <v>2.0845503820476013E-6</v>
      </c>
      <c r="F682" s="96">
        <f t="shared" si="256"/>
        <v>6.6652196768899431E-5</v>
      </c>
      <c r="G682" s="96">
        <f t="shared" si="259"/>
        <v>-0.11593334780323111</v>
      </c>
      <c r="I682" s="96">
        <f t="shared" si="254"/>
        <v>0</v>
      </c>
      <c r="J682" s="96">
        <f t="shared" si="255"/>
        <v>0.88499999999998646</v>
      </c>
    </row>
    <row r="683" spans="1:10" ht="12.75" customHeight="1">
      <c r="A683" s="96">
        <f>IF(MAX($F$93:F683)=$G$88,$G$88,F683)</f>
        <v>3.2057712852183653</v>
      </c>
      <c r="B683" s="481">
        <v>591</v>
      </c>
      <c r="C683" s="96">
        <f t="shared" si="260"/>
        <v>0.88649999999998641</v>
      </c>
      <c r="D683" s="96">
        <f t="shared" si="257"/>
        <v>51.076588674905985</v>
      </c>
      <c r="E683" s="96">
        <f t="shared" si="258"/>
        <v>1.9464313605560584E-6</v>
      </c>
      <c r="F683" s="96">
        <f t="shared" si="256"/>
        <v>6.2393610547637008E-5</v>
      </c>
      <c r="G683" s="96">
        <f t="shared" si="259"/>
        <v>-0.11593760638945237</v>
      </c>
      <c r="I683" s="96">
        <f t="shared" si="254"/>
        <v>0</v>
      </c>
      <c r="J683" s="96">
        <f t="shared" si="255"/>
        <v>0.88649999999998641</v>
      </c>
    </row>
    <row r="684" spans="1:10" ht="12.75" customHeight="1">
      <c r="A684" s="96">
        <f>IF(MAX($F$93:F684)=$G$88,$G$88,F684)</f>
        <v>3.2057712852183653</v>
      </c>
      <c r="B684" s="481">
        <v>592</v>
      </c>
      <c r="C684" s="96">
        <f t="shared" si="260"/>
        <v>0.88799999999998636</v>
      </c>
      <c r="D684" s="96">
        <f t="shared" si="257"/>
        <v>51.249582924242233</v>
      </c>
      <c r="E684" s="96">
        <f t="shared" si="258"/>
        <v>1.8171491939862997E-6</v>
      </c>
      <c r="F684" s="96">
        <f t="shared" si="256"/>
        <v>5.8396570430912352E-5</v>
      </c>
      <c r="G684" s="96">
        <f t="shared" si="259"/>
        <v>-0.11594160342956909</v>
      </c>
      <c r="I684" s="96">
        <f t="shared" ref="I684:I747" si="261">IF(F684&gt;$G$87,1,0)</f>
        <v>0</v>
      </c>
      <c r="J684" s="96">
        <f t="shared" ref="J684:J747" si="262">C684</f>
        <v>0.88799999999998636</v>
      </c>
    </row>
    <row r="685" spans="1:10" ht="12.75" customHeight="1">
      <c r="A685" s="96">
        <f>IF(MAX($F$93:F685)=$G$88,$G$88,F685)</f>
        <v>3.2057712852183653</v>
      </c>
      <c r="B685" s="481">
        <v>593</v>
      </c>
      <c r="C685" s="96">
        <f t="shared" si="260"/>
        <v>0.8894999999999863</v>
      </c>
      <c r="D685" s="96">
        <f t="shared" si="257"/>
        <v>51.422869640610315</v>
      </c>
      <c r="E685" s="96">
        <f t="shared" si="258"/>
        <v>1.6961603444235769E-6</v>
      </c>
      <c r="F685" s="96">
        <f t="shared" si="256"/>
        <v>5.4645724889146378E-5</v>
      </c>
      <c r="G685" s="96">
        <f t="shared" si="259"/>
        <v>-0.11594535427511087</v>
      </c>
      <c r="I685" s="96">
        <f t="shared" si="261"/>
        <v>0</v>
      </c>
      <c r="J685" s="96">
        <f t="shared" si="262"/>
        <v>0.8894999999999863</v>
      </c>
    </row>
    <row r="686" spans="1:10" ht="12.75" customHeight="1">
      <c r="A686" s="96">
        <f>IF(MAX($F$93:F686)=$G$88,$G$88,F686)</f>
        <v>3.2057712852183653</v>
      </c>
      <c r="B686" s="481">
        <v>594</v>
      </c>
      <c r="C686" s="96">
        <f t="shared" si="260"/>
        <v>0.89099999999998625</v>
      </c>
      <c r="D686" s="96">
        <f t="shared" si="257"/>
        <v>51.596448824010253</v>
      </c>
      <c r="E686" s="96">
        <f t="shared" si="258"/>
        <v>1.5829532301756724E-6</v>
      </c>
      <c r="F686" s="96">
        <f t="shared" si="256"/>
        <v>5.1126576803108333E-5</v>
      </c>
      <c r="G686" s="96">
        <f t="shared" si="259"/>
        <v>-0.1159488734231969</v>
      </c>
      <c r="I686" s="96">
        <f t="shared" si="261"/>
        <v>0</v>
      </c>
      <c r="J686" s="96">
        <f t="shared" si="262"/>
        <v>0.89099999999998625</v>
      </c>
    </row>
    <row r="687" spans="1:10" ht="12.75" customHeight="1">
      <c r="A687" s="96">
        <f>IF(MAX($F$93:F687)=$G$88,$G$88,F687)</f>
        <v>3.2057712852183653</v>
      </c>
      <c r="B687" s="481">
        <v>595</v>
      </c>
      <c r="C687" s="96">
        <f t="shared" si="260"/>
        <v>0.89249999999998619</v>
      </c>
      <c r="D687" s="96">
        <f t="shared" si="257"/>
        <v>51.770320474442023</v>
      </c>
      <c r="E687" s="96">
        <f t="shared" si="258"/>
        <v>1.4770464438388269E-6</v>
      </c>
      <c r="F687" s="96">
        <f t="shared" si="256"/>
        <v>4.782543887719441E-5</v>
      </c>
      <c r="G687" s="96">
        <f t="shared" si="259"/>
        <v>-0.11595217456112281</v>
      </c>
      <c r="I687" s="96">
        <f t="shared" si="261"/>
        <v>0</v>
      </c>
      <c r="J687" s="96">
        <f t="shared" si="262"/>
        <v>0.89249999999998619</v>
      </c>
    </row>
    <row r="688" spans="1:10" ht="12.75" customHeight="1">
      <c r="A688" s="96">
        <f>IF(MAX($F$93:F688)=$G$88,$G$88,F688)</f>
        <v>3.2057712852183653</v>
      </c>
      <c r="B688" s="481">
        <v>596</v>
      </c>
      <c r="C688" s="96">
        <f t="shared" si="260"/>
        <v>0.89399999999998614</v>
      </c>
      <c r="D688" s="96">
        <f t="shared" si="257"/>
        <v>51.944484591905649</v>
      </c>
      <c r="E688" s="96">
        <f t="shared" si="258"/>
        <v>1.3779870635591249E-6</v>
      </c>
      <c r="F688" s="96">
        <f t="shared" si="256"/>
        <v>4.4729391196628956E-5</v>
      </c>
      <c r="G688" s="96">
        <f t="shared" si="259"/>
        <v>-0.11595527060880338</v>
      </c>
      <c r="I688" s="96">
        <f t="shared" si="261"/>
        <v>0</v>
      </c>
      <c r="J688" s="96">
        <f t="shared" si="262"/>
        <v>0.89399999999998614</v>
      </c>
    </row>
    <row r="689" spans="1:10" ht="12.75" customHeight="1">
      <c r="A689" s="96">
        <f>IF(MAX($F$93:F689)=$G$88,$G$88,F689)</f>
        <v>3.2057712852183653</v>
      </c>
      <c r="B689" s="481">
        <v>597</v>
      </c>
      <c r="C689" s="96">
        <f t="shared" si="260"/>
        <v>0.89549999999998608</v>
      </c>
      <c r="D689" s="96">
        <f t="shared" si="257"/>
        <v>52.118941176401123</v>
      </c>
      <c r="E689" s="96">
        <f t="shared" si="258"/>
        <v>1.2853490529961313E-6</v>
      </c>
      <c r="F689" s="96">
        <f t="shared" si="256"/>
        <v>4.1826240836392518E-5</v>
      </c>
      <c r="G689" s="96">
        <f t="shared" si="259"/>
        <v>-0.11595817375916362</v>
      </c>
      <c r="I689" s="96">
        <f t="shared" si="261"/>
        <v>0</v>
      </c>
      <c r="J689" s="96">
        <f t="shared" si="262"/>
        <v>0.89549999999998608</v>
      </c>
    </row>
    <row r="690" spans="1:10" ht="12.75" customHeight="1">
      <c r="A690" s="96">
        <f>IF(MAX($F$93:F690)=$G$88,$G$88,F690)</f>
        <v>3.2057712852183653</v>
      </c>
      <c r="B690" s="481">
        <v>598</v>
      </c>
      <c r="C690" s="96">
        <f t="shared" si="260"/>
        <v>0.89699999999998603</v>
      </c>
      <c r="D690" s="96">
        <f t="shared" si="257"/>
        <v>52.29369022792843</v>
      </c>
      <c r="E690" s="96">
        <f t="shared" si="258"/>
        <v>1.1987317456888713E-6</v>
      </c>
      <c r="F690" s="96">
        <f t="shared" si="256"/>
        <v>3.9104483433081886E-5</v>
      </c>
      <c r="G690" s="96">
        <f t="shared" si="259"/>
        <v>-0.11596089551656692</v>
      </c>
      <c r="I690" s="96">
        <f t="shared" si="261"/>
        <v>0</v>
      </c>
      <c r="J690" s="96">
        <f t="shared" si="262"/>
        <v>0.89699999999998603</v>
      </c>
    </row>
    <row r="691" spans="1:10" ht="12.75" customHeight="1">
      <c r="A691" s="96">
        <f>IF(MAX($F$93:F691)=$G$88,$G$88,F691)</f>
        <v>3.2057712852183653</v>
      </c>
      <c r="B691" s="481">
        <v>599</v>
      </c>
      <c r="C691" s="96">
        <f t="shared" si="260"/>
        <v>0.89849999999998598</v>
      </c>
      <c r="D691" s="96">
        <f t="shared" si="257"/>
        <v>52.468731746487592</v>
      </c>
      <c r="E691" s="96">
        <f t="shared" si="258"/>
        <v>1.1177584097114947E-6</v>
      </c>
      <c r="F691" s="96">
        <f t="shared" si="256"/>
        <v>3.6553266634056008E-5</v>
      </c>
      <c r="G691" s="96">
        <f t="shared" si="259"/>
        <v>-0.11596344673336595</v>
      </c>
      <c r="I691" s="96">
        <f t="shared" si="261"/>
        <v>0</v>
      </c>
      <c r="J691" s="96">
        <f t="shared" si="262"/>
        <v>0.89849999999998598</v>
      </c>
    </row>
    <row r="692" spans="1:10" ht="12.75" customHeight="1">
      <c r="A692" s="96">
        <f>IF(MAX($F$93:F692)=$G$88,$G$88,F692)</f>
        <v>3.2057712852183653</v>
      </c>
      <c r="B692" s="481">
        <v>600</v>
      </c>
      <c r="C692" s="96">
        <f t="shared" si="260"/>
        <v>0.89999999999998592</v>
      </c>
      <c r="D692" s="96">
        <f t="shared" si="257"/>
        <v>52.644065732078587</v>
      </c>
      <c r="E692" s="96">
        <f t="shared" si="258"/>
        <v>1.0420748886857741E-6</v>
      </c>
      <c r="F692" s="96">
        <f t="shared" si="256"/>
        <v>3.4162355341485101E-5</v>
      </c>
      <c r="G692" s="96">
        <f t="shared" si="259"/>
        <v>-0.11596583764465852</v>
      </c>
      <c r="I692" s="96">
        <f t="shared" si="261"/>
        <v>0</v>
      </c>
      <c r="J692" s="96">
        <f t="shared" si="262"/>
        <v>0.89999999999998592</v>
      </c>
    </row>
    <row r="693" spans="1:10" ht="12.75" customHeight="1">
      <c r="A693" s="96">
        <f>IF(MAX($F$93:F693)=$G$88,$G$88,F693)</f>
        <v>3.2057712852183653</v>
      </c>
      <c r="B693" s="481">
        <v>601</v>
      </c>
      <c r="C693" s="96">
        <f t="shared" si="260"/>
        <v>0.90149999999998587</v>
      </c>
      <c r="D693" s="96">
        <f t="shared" si="257"/>
        <v>52.819692184701438</v>
      </c>
      <c r="E693" s="96">
        <f t="shared" si="258"/>
        <v>9.7134831539084424E-7</v>
      </c>
      <c r="F693" s="96">
        <f t="shared" si="256"/>
        <v>3.1922098671905638E-5</v>
      </c>
      <c r="G693" s="96">
        <f t="shared" si="259"/>
        <v>-0.1159680779013281</v>
      </c>
      <c r="I693" s="96">
        <f t="shared" si="261"/>
        <v>0</v>
      </c>
      <c r="J693" s="96">
        <f t="shared" si="262"/>
        <v>0.90149999999998587</v>
      </c>
    </row>
    <row r="694" spans="1:10" ht="12.75" customHeight="1">
      <c r="A694" s="96">
        <f>IF(MAX($F$93:F694)=$G$88,$G$88,F694)</f>
        <v>3.2057712852183653</v>
      </c>
      <c r="B694" s="481">
        <v>602</v>
      </c>
      <c r="C694" s="96">
        <f t="shared" si="260"/>
        <v>0.90299999999998581</v>
      </c>
      <c r="D694" s="96">
        <f t="shared" si="257"/>
        <v>52.995611104356129</v>
      </c>
      <c r="E694" s="96">
        <f t="shared" si="258"/>
        <v>9.0526589437760706E-7</v>
      </c>
      <c r="F694" s="96">
        <f t="shared" si="256"/>
        <v>2.98233985549124E-5</v>
      </c>
      <c r="G694" s="96">
        <f t="shared" si="259"/>
        <v>-0.1159701766014451</v>
      </c>
      <c r="I694" s="96">
        <f t="shared" si="261"/>
        <v>0</v>
      </c>
      <c r="J694" s="96">
        <f t="shared" si="262"/>
        <v>0.90299999999998581</v>
      </c>
    </row>
    <row r="695" spans="1:10" ht="12.75" customHeight="1">
      <c r="A695" s="96">
        <f>IF(MAX($F$93:F695)=$G$88,$G$88,F695)</f>
        <v>3.2057712852183653</v>
      </c>
      <c r="B695" s="481">
        <v>603</v>
      </c>
      <c r="C695" s="96">
        <f t="shared" si="260"/>
        <v>0.90449999999998576</v>
      </c>
      <c r="D695" s="96">
        <f t="shared" si="257"/>
        <v>53.171822491042668</v>
      </c>
      <c r="E695" s="96">
        <f t="shared" si="258"/>
        <v>8.4353375015550538E-7</v>
      </c>
      <c r="F695" s="96">
        <f t="shared" si="256"/>
        <v>2.7857679897556367E-5</v>
      </c>
      <c r="G695" s="96">
        <f t="shared" si="259"/>
        <v>-0.11597214232010244</v>
      </c>
      <c r="I695" s="96">
        <f t="shared" si="261"/>
        <v>0</v>
      </c>
      <c r="J695" s="96">
        <f t="shared" si="262"/>
        <v>0.90449999999998576</v>
      </c>
    </row>
    <row r="696" spans="1:10" ht="12.75" customHeight="1">
      <c r="A696" s="96">
        <f>IF(MAX($F$93:F696)=$G$88,$G$88,F696)</f>
        <v>3.2057712852183653</v>
      </c>
      <c r="B696" s="481">
        <v>604</v>
      </c>
      <c r="C696" s="96">
        <f t="shared" si="260"/>
        <v>0.90599999999998571</v>
      </c>
      <c r="D696" s="96">
        <f t="shared" si="257"/>
        <v>53.348326344761055</v>
      </c>
      <c r="E696" s="96">
        <f t="shared" si="258"/>
        <v>7.8587583767379404E-7</v>
      </c>
      <c r="F696" s="96">
        <f t="shared" si="256"/>
        <v>2.6016862243785458E-5</v>
      </c>
      <c r="G696" s="96">
        <f t="shared" si="259"/>
        <v>-0.11597398313775623</v>
      </c>
      <c r="I696" s="96">
        <f t="shared" si="261"/>
        <v>0</v>
      </c>
      <c r="J696" s="96">
        <f t="shared" si="262"/>
        <v>0.90599999999998571</v>
      </c>
    </row>
    <row r="697" spans="1:10" ht="12.75" customHeight="1">
      <c r="A697" s="96">
        <f>IF(MAX($F$93:F697)=$G$88,$G$88,F697)</f>
        <v>3.2057712852183653</v>
      </c>
      <c r="B697" s="481">
        <v>605</v>
      </c>
      <c r="C697" s="96">
        <f t="shared" si="260"/>
        <v>0.90749999999998565</v>
      </c>
      <c r="D697" s="96">
        <f t="shared" si="257"/>
        <v>53.525122665511283</v>
      </c>
      <c r="E697" s="96">
        <f t="shared" si="258"/>
        <v>7.3203291196785341E-7</v>
      </c>
      <c r="F697" s="96">
        <f t="shared" si="256"/>
        <v>2.4293332861064391E-5</v>
      </c>
      <c r="G697" s="96">
        <f t="shared" si="259"/>
        <v>-0.11597570666713894</v>
      </c>
      <c r="I697" s="96">
        <f t="shared" si="261"/>
        <v>0</v>
      </c>
      <c r="J697" s="96">
        <f t="shared" si="262"/>
        <v>0.90749999999998565</v>
      </c>
    </row>
    <row r="698" spans="1:10" ht="12.75" customHeight="1">
      <c r="A698" s="96">
        <f>IF(MAX($F$93:F698)=$G$88,$G$88,F698)</f>
        <v>3.2057712852183653</v>
      </c>
      <c r="B698" s="481">
        <v>606</v>
      </c>
      <c r="C698" s="96">
        <f t="shared" si="260"/>
        <v>0.9089999999999856</v>
      </c>
      <c r="D698" s="96">
        <f t="shared" si="257"/>
        <v>53.702211453293351</v>
      </c>
      <c r="E698" s="96">
        <f t="shared" si="258"/>
        <v>6.8176155398351807E-7</v>
      </c>
      <c r="F698" s="96">
        <f t="shared" si="256"/>
        <v>2.2679921188942703E-5</v>
      </c>
      <c r="G698" s="96">
        <f t="shared" si="259"/>
        <v>-0.11597732007881106</v>
      </c>
      <c r="I698" s="96">
        <f t="shared" si="261"/>
        <v>0</v>
      </c>
      <c r="J698" s="96">
        <f t="shared" si="262"/>
        <v>0.9089999999999856</v>
      </c>
    </row>
    <row r="699" spans="1:10" ht="12.75" customHeight="1">
      <c r="A699" s="96">
        <f>IF(MAX($F$93:F699)=$G$88,$G$88,F699)</f>
        <v>3.2057712852183653</v>
      </c>
      <c r="B699" s="481">
        <v>607</v>
      </c>
      <c r="C699" s="96">
        <f t="shared" si="260"/>
        <v>0.91049999999998554</v>
      </c>
      <c r="D699" s="96">
        <f t="shared" si="257"/>
        <v>53.879592708107261</v>
      </c>
      <c r="E699" s="96">
        <f t="shared" si="258"/>
        <v>6.3483324972952752E-7</v>
      </c>
      <c r="F699" s="96">
        <f t="shared" si="256"/>
        <v>2.1169874586933352E-5</v>
      </c>
      <c r="G699" s="96">
        <f t="shared" si="259"/>
        <v>-0.11597883012541307</v>
      </c>
      <c r="I699" s="96">
        <f t="shared" si="261"/>
        <v>0</v>
      </c>
      <c r="J699" s="96">
        <f t="shared" si="262"/>
        <v>0.91049999999998554</v>
      </c>
    </row>
    <row r="700" spans="1:10" ht="12.75" customHeight="1">
      <c r="A700" s="96">
        <f>IF(MAX($F$93:F700)=$G$88,$G$88,F700)</f>
        <v>3.2057712852183653</v>
      </c>
      <c r="B700" s="481">
        <v>608</v>
      </c>
      <c r="C700" s="96">
        <f t="shared" si="260"/>
        <v>0.91199999999998549</v>
      </c>
      <c r="D700" s="96">
        <f t="shared" si="257"/>
        <v>54.057266429953025</v>
      </c>
      <c r="E700" s="96">
        <f t="shared" si="258"/>
        <v>5.9103352003951798E-7</v>
      </c>
      <c r="F700" s="96">
        <f t="shared" si="256"/>
        <v>1.9756835321576861E-5</v>
      </c>
      <c r="G700" s="96">
        <f t="shared" si="259"/>
        <v>-0.11598024316467843</v>
      </c>
      <c r="I700" s="96">
        <f t="shared" si="261"/>
        <v>0</v>
      </c>
      <c r="J700" s="96">
        <f t="shared" si="262"/>
        <v>0.91199999999998549</v>
      </c>
    </row>
    <row r="701" spans="1:10" ht="12.75" customHeight="1">
      <c r="A701" s="96">
        <f>IF(MAX($F$93:F701)=$G$88,$G$88,F701)</f>
        <v>3.2057712852183653</v>
      </c>
      <c r="B701" s="481">
        <v>609</v>
      </c>
      <c r="C701" s="96">
        <f t="shared" si="260"/>
        <v>0.91349999999998543</v>
      </c>
      <c r="D701" s="96">
        <f t="shared" si="257"/>
        <v>54.235232618830629</v>
      </c>
      <c r="E701" s="96">
        <f t="shared" si="258"/>
        <v>5.5016109835134097E-7</v>
      </c>
      <c r="F701" s="96">
        <f t="shared" si="256"/>
        <v>1.8434818734988877E-5</v>
      </c>
      <c r="G701" s="96">
        <f t="shared" si="259"/>
        <v>-0.11598156518126501</v>
      </c>
      <c r="I701" s="96">
        <f t="shared" si="261"/>
        <v>0</v>
      </c>
      <c r="J701" s="96">
        <f t="shared" si="262"/>
        <v>0.91349999999998543</v>
      </c>
    </row>
    <row r="702" spans="1:10" ht="12.75" customHeight="1">
      <c r="A702" s="96">
        <f>IF(MAX($F$93:F702)=$G$88,$G$88,F702)</f>
        <v>3.2057712852183653</v>
      </c>
      <c r="B702" s="481">
        <v>610</v>
      </c>
      <c r="C702" s="96">
        <f t="shared" si="260"/>
        <v>0.91499999999998538</v>
      </c>
      <c r="D702" s="96">
        <f t="shared" si="257"/>
        <v>54.413491274740082</v>
      </c>
      <c r="E702" s="96">
        <f t="shared" si="258"/>
        <v>5.1202715403242279E-7</v>
      </c>
      <c r="F702" s="96">
        <f t="shared" si="256"/>
        <v>1.7198192539529381E-5</v>
      </c>
      <c r="G702" s="96">
        <f t="shared" si="259"/>
        <v>-0.11598280180746047</v>
      </c>
      <c r="I702" s="96">
        <f t="shared" si="261"/>
        <v>0</v>
      </c>
      <c r="J702" s="96">
        <f t="shared" si="262"/>
        <v>0.91499999999998538</v>
      </c>
    </row>
    <row r="703" spans="1:10" ht="12.75" customHeight="1">
      <c r="A703" s="96">
        <f>IF(MAX($F$93:F703)=$G$88,$G$88,F703)</f>
        <v>3.2057712852183653</v>
      </c>
      <c r="B703" s="481">
        <v>611</v>
      </c>
      <c r="C703" s="96">
        <f t="shared" si="260"/>
        <v>0.91649999999998533</v>
      </c>
      <c r="D703" s="96">
        <f t="shared" si="257"/>
        <v>54.592042397681382</v>
      </c>
      <c r="E703" s="96">
        <f t="shared" si="258"/>
        <v>4.7645455889621504E-7</v>
      </c>
      <c r="F703" s="96">
        <f t="shared" si="256"/>
        <v>1.6041657185516016E-5</v>
      </c>
      <c r="G703" s="96">
        <f t="shared" si="259"/>
        <v>-0.11598395834281448</v>
      </c>
      <c r="I703" s="96">
        <f t="shared" si="261"/>
        <v>0</v>
      </c>
      <c r="J703" s="96">
        <f t="shared" si="262"/>
        <v>0.91649999999998533</v>
      </c>
    </row>
    <row r="704" spans="1:10" ht="12.75" customHeight="1">
      <c r="A704" s="96">
        <f>IF(MAX($F$93:F704)=$G$88,$G$88,F704)</f>
        <v>3.2057712852183653</v>
      </c>
      <c r="B704" s="481">
        <v>612</v>
      </c>
      <c r="C704" s="96">
        <f t="shared" si="260"/>
        <v>0.91799999999998527</v>
      </c>
      <c r="D704" s="96">
        <f t="shared" si="257"/>
        <v>54.770885987654523</v>
      </c>
      <c r="E704" s="96">
        <f t="shared" si="258"/>
        <v>4.4327719466592557E-7</v>
      </c>
      <c r="F704" s="96">
        <f t="shared" si="256"/>
        <v>1.4960227251113304E-5</v>
      </c>
      <c r="G704" s="96">
        <f t="shared" si="259"/>
        <v>-0.11598503977274889</v>
      </c>
      <c r="I704" s="96">
        <f t="shared" si="261"/>
        <v>0</v>
      </c>
      <c r="J704" s="96">
        <f t="shared" si="262"/>
        <v>0.91799999999998527</v>
      </c>
    </row>
    <row r="705" spans="1:10" ht="12.75" customHeight="1">
      <c r="A705" s="96">
        <f>IF(MAX($F$93:F705)=$G$88,$G$88,F705)</f>
        <v>3.2057712852183653</v>
      </c>
      <c r="B705" s="481">
        <v>613</v>
      </c>
      <c r="C705" s="96">
        <f t="shared" si="260"/>
        <v>0.91949999999998522</v>
      </c>
      <c r="D705" s="96">
        <f t="shared" si="257"/>
        <v>54.950022044659512</v>
      </c>
      <c r="E705" s="96">
        <f t="shared" si="258"/>
        <v>4.1233929924858659E-7</v>
      </c>
      <c r="F705" s="96">
        <f t="shared" si="256"/>
        <v>1.3949213805629188E-5</v>
      </c>
      <c r="G705" s="96">
        <f t="shared" si="259"/>
        <v>-0.11598605078619438</v>
      </c>
      <c r="I705" s="96">
        <f t="shared" si="261"/>
        <v>0</v>
      </c>
      <c r="J705" s="96">
        <f t="shared" si="262"/>
        <v>0.91949999999998522</v>
      </c>
    </row>
    <row r="706" spans="1:10" ht="12.75" customHeight="1">
      <c r="A706" s="96">
        <f>IF(MAX($F$93:F706)=$G$88,$G$88,F706)</f>
        <v>3.2057712852183653</v>
      </c>
      <c r="B706" s="481">
        <v>614</v>
      </c>
      <c r="C706" s="96">
        <f t="shared" si="260"/>
        <v>0.92099999999998516</v>
      </c>
      <c r="D706" s="96">
        <f t="shared" si="257"/>
        <v>55.129450568696342</v>
      </c>
      <c r="E706" s="96">
        <f t="shared" si="258"/>
        <v>3.8349484978465762E-7</v>
      </c>
      <c r="F706" s="96">
        <f t="shared" si="256"/>
        <v>1.3004207699531576E-5</v>
      </c>
      <c r="G706" s="96">
        <f t="shared" si="259"/>
        <v>-0.11598699579230047</v>
      </c>
      <c r="I706" s="96">
        <f t="shared" si="261"/>
        <v>0</v>
      </c>
      <c r="J706" s="96">
        <f t="shared" si="262"/>
        <v>0.92099999999998516</v>
      </c>
    </row>
    <row r="707" spans="1:10" ht="12.75" customHeight="1">
      <c r="A707" s="96">
        <f>IF(MAX($F$93:F707)=$G$88,$G$88,F707)</f>
        <v>3.2057712852183653</v>
      </c>
      <c r="B707" s="481">
        <v>615</v>
      </c>
      <c r="C707" s="96">
        <f t="shared" si="260"/>
        <v>0.92249999999998511</v>
      </c>
      <c r="D707" s="96">
        <f t="shared" si="257"/>
        <v>55.309171559765019</v>
      </c>
      <c r="E707" s="96">
        <f t="shared" si="258"/>
        <v>3.5660698053630841E-7</v>
      </c>
      <c r="F707" s="96">
        <f t="shared" si="256"/>
        <v>1.2121063736463222E-5</v>
      </c>
      <c r="G707" s="96">
        <f t="shared" si="259"/>
        <v>-0.11598787893626354</v>
      </c>
      <c r="I707" s="96">
        <f t="shared" si="261"/>
        <v>0</v>
      </c>
      <c r="J707" s="96">
        <f t="shared" si="262"/>
        <v>0.92249999999998511</v>
      </c>
    </row>
    <row r="708" spans="1:10" ht="12.75" customHeight="1">
      <c r="A708" s="96">
        <f>IF(MAX($F$93:F708)=$G$88,$G$88,F708)</f>
        <v>3.2057712852183653</v>
      </c>
      <c r="B708" s="481">
        <v>616</v>
      </c>
      <c r="C708" s="96">
        <f t="shared" si="260"/>
        <v>0.92399999999998506</v>
      </c>
      <c r="D708" s="96">
        <f t="shared" si="257"/>
        <v>55.48918501786553</v>
      </c>
      <c r="E708" s="96">
        <f t="shared" si="258"/>
        <v>3.3154743377124381E-7</v>
      </c>
      <c r="F708" s="96">
        <f t="shared" si="256"/>
        <v>1.1295885684463964E-5</v>
      </c>
      <c r="G708" s="96">
        <f t="shared" si="259"/>
        <v>-0.11598870411431554</v>
      </c>
      <c r="I708" s="96">
        <f t="shared" si="261"/>
        <v>0</v>
      </c>
      <c r="J708" s="96">
        <f t="shared" si="262"/>
        <v>0.92399999999998506</v>
      </c>
    </row>
    <row r="709" spans="1:10" ht="12.75" customHeight="1">
      <c r="A709" s="96">
        <f>IF(MAX($F$93:F709)=$G$88,$G$88,F709)</f>
        <v>3.2057712852183653</v>
      </c>
      <c r="B709" s="481">
        <v>617</v>
      </c>
      <c r="C709" s="96">
        <f t="shared" si="260"/>
        <v>0.925499999999985</v>
      </c>
      <c r="D709" s="96">
        <f t="shared" si="257"/>
        <v>55.669490942997896</v>
      </c>
      <c r="E709" s="96">
        <f t="shared" si="258"/>
        <v>3.081960418886057E-7</v>
      </c>
      <c r="F709" s="96">
        <f t="shared" si="256"/>
        <v>1.0525012085439701E-5</v>
      </c>
      <c r="G709" s="96">
        <f t="shared" si="259"/>
        <v>-0.11598947498791456</v>
      </c>
      <c r="I709" s="96">
        <f t="shared" si="261"/>
        <v>0</v>
      </c>
      <c r="J709" s="96">
        <f t="shared" si="262"/>
        <v>0.925499999999985</v>
      </c>
    </row>
    <row r="710" spans="1:10" ht="12.75" customHeight="1">
      <c r="A710" s="96">
        <f>IF(MAX($F$93:F710)=$G$88,$G$88,F710)</f>
        <v>3.2057712852183653</v>
      </c>
      <c r="B710" s="481">
        <v>618</v>
      </c>
      <c r="C710" s="96">
        <f t="shared" si="260"/>
        <v>0.92699999999998495</v>
      </c>
      <c r="D710" s="96">
        <f t="shared" si="257"/>
        <v>55.850089335162117</v>
      </c>
      <c r="E710" s="96">
        <f t="shared" si="258"/>
        <v>2.8644023911935937E-7</v>
      </c>
      <c r="F710" s="96">
        <f t="shared" si="256"/>
        <v>9.8050028237097466E-6</v>
      </c>
      <c r="G710" s="96">
        <f t="shared" si="259"/>
        <v>-0.11599019499717629</v>
      </c>
      <c r="I710" s="96">
        <f t="shared" si="261"/>
        <v>0</v>
      </c>
      <c r="J710" s="96">
        <f t="shared" si="262"/>
        <v>0.92699999999998495</v>
      </c>
    </row>
    <row r="711" spans="1:10" ht="12.75" customHeight="1">
      <c r="A711" s="96">
        <f>IF(MAX($F$93:F711)=$G$88,$G$88,F711)</f>
        <v>3.2057712852183653</v>
      </c>
      <c r="B711" s="481">
        <v>619</v>
      </c>
      <c r="C711" s="96">
        <f t="shared" si="260"/>
        <v>0.92849999999998489</v>
      </c>
      <c r="D711" s="96">
        <f t="shared" si="257"/>
        <v>56.030980194358165</v>
      </c>
      <c r="E711" s="96">
        <f t="shared" si="258"/>
        <v>2.6617460121556392E-7</v>
      </c>
      <c r="F711" s="96">
        <f t="shared" si="256"/>
        <v>9.1326264161900731E-6</v>
      </c>
      <c r="G711" s="96">
        <f t="shared" si="259"/>
        <v>-0.11599086737358381</v>
      </c>
      <c r="I711" s="96">
        <f t="shared" si="261"/>
        <v>0</v>
      </c>
      <c r="J711" s="96">
        <f t="shared" si="262"/>
        <v>0.92849999999998489</v>
      </c>
    </row>
    <row r="712" spans="1:10" ht="12.75" customHeight="1">
      <c r="A712" s="96">
        <f>IF(MAX($F$93:F712)=$G$88,$G$88,F712)</f>
        <v>3.2057712852183653</v>
      </c>
      <c r="B712" s="481">
        <v>620</v>
      </c>
      <c r="C712" s="96">
        <f t="shared" si="260"/>
        <v>0.92999999999998484</v>
      </c>
      <c r="D712" s="96">
        <f t="shared" si="257"/>
        <v>56.212163520586067</v>
      </c>
      <c r="E712" s="96">
        <f t="shared" si="258"/>
        <v>2.4730041162140191E-7</v>
      </c>
      <c r="F712" s="96">
        <f t="shared" si="256"/>
        <v>8.5048479883931108E-6</v>
      </c>
      <c r="G712" s="96">
        <f t="shared" si="259"/>
        <v>-0.11599149515201161</v>
      </c>
      <c r="I712" s="96">
        <f t="shared" si="261"/>
        <v>0</v>
      </c>
      <c r="J712" s="96">
        <f t="shared" si="262"/>
        <v>0.92999999999998484</v>
      </c>
    </row>
    <row r="713" spans="1:10" ht="12.75" customHeight="1">
      <c r="A713" s="96">
        <f>IF(MAX($F$93:F713)=$G$88,$G$88,F713)</f>
        <v>3.2057712852183653</v>
      </c>
      <c r="B713" s="481">
        <v>621</v>
      </c>
      <c r="C713" s="96">
        <f t="shared" si="260"/>
        <v>0.93149999999998478</v>
      </c>
      <c r="D713" s="96">
        <f t="shared" si="257"/>
        <v>56.39363931384581</v>
      </c>
      <c r="E713" s="96">
        <f t="shared" si="258"/>
        <v>2.2972525269387916E-7</v>
      </c>
      <c r="F713" s="96">
        <f t="shared" si="256"/>
        <v>7.9188179020527001E-6</v>
      </c>
      <c r="G713" s="96">
        <f t="shared" si="259"/>
        <v>-0.11599208118209796</v>
      </c>
      <c r="I713" s="96">
        <f t="shared" si="261"/>
        <v>0</v>
      </c>
      <c r="J713" s="96">
        <f t="shared" si="262"/>
        <v>0.93149999999998478</v>
      </c>
    </row>
    <row r="714" spans="1:10" ht="12.75" customHeight="1">
      <c r="A714" s="96">
        <f>IF(MAX($F$93:F714)=$G$88,$G$88,F714)</f>
        <v>3.2057712852183653</v>
      </c>
      <c r="B714" s="481">
        <v>622</v>
      </c>
      <c r="C714" s="96">
        <f t="shared" si="260"/>
        <v>0.93299999999998473</v>
      </c>
      <c r="D714" s="96">
        <f t="shared" si="257"/>
        <v>56.575407574137401</v>
      </c>
      <c r="E714" s="96">
        <f t="shared" si="258"/>
        <v>2.1336262061260462E-7</v>
      </c>
      <c r="F714" s="96">
        <f t="shared" si="256"/>
        <v>7.3718610016975316E-6</v>
      </c>
      <c r="G714" s="96">
        <f t="shared" si="259"/>
        <v>-0.11599262813899831</v>
      </c>
      <c r="I714" s="96">
        <f t="shared" si="261"/>
        <v>0</v>
      </c>
      <c r="J714" s="96">
        <f t="shared" si="262"/>
        <v>0.93299999999998473</v>
      </c>
    </row>
    <row r="715" spans="1:10" ht="12.75" customHeight="1">
      <c r="A715" s="96">
        <f>IF(MAX($F$93:F715)=$G$88,$G$88,F715)</f>
        <v>3.2057712852183653</v>
      </c>
      <c r="B715" s="481">
        <v>623</v>
      </c>
      <c r="C715" s="96">
        <f t="shared" si="260"/>
        <v>0.93449999999998468</v>
      </c>
      <c r="D715" s="96">
        <f t="shared" si="257"/>
        <v>56.75746830146084</v>
      </c>
      <c r="E715" s="96">
        <f t="shared" si="258"/>
        <v>1.9813156268660402E-7</v>
      </c>
      <c r="F715" s="96">
        <f t="shared" si="256"/>
        <v>6.861466448966499E-6</v>
      </c>
      <c r="G715" s="96">
        <f t="shared" si="259"/>
        <v>-0.11599313853355105</v>
      </c>
      <c r="I715" s="96">
        <f t="shared" si="261"/>
        <v>0</v>
      </c>
      <c r="J715" s="96">
        <f t="shared" si="262"/>
        <v>0.93449999999998468</v>
      </c>
    </row>
    <row r="716" spans="1:10" ht="12.75" customHeight="1">
      <c r="A716" s="96">
        <f>IF(MAX($F$93:F716)=$G$88,$G$88,F716)</f>
        <v>3.2057712852183653</v>
      </c>
      <c r="B716" s="481">
        <v>624</v>
      </c>
      <c r="C716" s="96">
        <f t="shared" si="260"/>
        <v>0.93599999999998462</v>
      </c>
      <c r="D716" s="96">
        <f t="shared" si="257"/>
        <v>56.939821495816119</v>
      </c>
      <c r="E716" s="96">
        <f t="shared" si="258"/>
        <v>1.8395633583131962E-7</v>
      </c>
      <c r="F716" s="96">
        <f t="shared" si="256"/>
        <v>6.3852781148956506E-6</v>
      </c>
      <c r="G716" s="96">
        <f t="shared" si="259"/>
        <v>-0.11599361472188512</v>
      </c>
      <c r="I716" s="96">
        <f t="shared" si="261"/>
        <v>0</v>
      </c>
      <c r="J716" s="96">
        <f t="shared" si="262"/>
        <v>0.93599999999998462</v>
      </c>
    </row>
    <row r="717" spans="1:10" ht="12.75" customHeight="1">
      <c r="A717" s="96">
        <f>IF(MAX($F$93:F717)=$G$88,$G$88,F717)</f>
        <v>3.2057712852183653</v>
      </c>
      <c r="B717" s="481">
        <v>625</v>
      </c>
      <c r="C717" s="96">
        <f t="shared" si="260"/>
        <v>0.93749999999998457</v>
      </c>
      <c r="D717" s="96">
        <f t="shared" si="257"/>
        <v>57.122467157203239</v>
      </c>
      <c r="E717" s="96">
        <f t="shared" si="258"/>
        <v>1.7076608505133695E-7</v>
      </c>
      <c r="F717" s="96">
        <f t="shared" si="256"/>
        <v>5.9410855017480152E-6</v>
      </c>
      <c r="G717" s="96">
        <f t="shared" si="259"/>
        <v>-0.11599405891449825</v>
      </c>
      <c r="I717" s="96">
        <f t="shared" si="261"/>
        <v>0</v>
      </c>
      <c r="J717" s="96">
        <f t="shared" si="262"/>
        <v>0.93749999999998457</v>
      </c>
    </row>
    <row r="718" spans="1:10" ht="12.75" customHeight="1">
      <c r="A718" s="96">
        <f>IF(MAX($F$93:F718)=$G$88,$G$88,F718)</f>
        <v>3.2057712852183653</v>
      </c>
      <c r="B718" s="481">
        <v>626</v>
      </c>
      <c r="C718" s="96">
        <f t="shared" si="260"/>
        <v>0.93899999999998451</v>
      </c>
      <c r="D718" s="96">
        <f t="shared" si="257"/>
        <v>57.305405285622207</v>
      </c>
      <c r="E718" s="96">
        <f t="shared" si="258"/>
        <v>1.5849454082382813E-7</v>
      </c>
      <c r="F718" s="96">
        <f t="shared" si="256"/>
        <v>5.5268151672833205E-6</v>
      </c>
      <c r="G718" s="96">
        <f t="shared" si="259"/>
        <v>-0.11599447318483272</v>
      </c>
      <c r="I718" s="96">
        <f t="shared" si="261"/>
        <v>0</v>
      </c>
      <c r="J718" s="96">
        <f t="shared" si="262"/>
        <v>0.93899999999998451</v>
      </c>
    </row>
    <row r="719" spans="1:10" ht="12.75" customHeight="1">
      <c r="A719" s="96">
        <f>IF(MAX($F$93:F719)=$G$88,$G$88,F719)</f>
        <v>3.2057712852183653</v>
      </c>
      <c r="B719" s="481">
        <v>627</v>
      </c>
      <c r="C719" s="96">
        <f t="shared" si="260"/>
        <v>0.94049999999998446</v>
      </c>
      <c r="D719" s="96">
        <f t="shared" si="257"/>
        <v>57.488635881073016</v>
      </c>
      <c r="E719" s="96">
        <f t="shared" si="258"/>
        <v>1.4707973433440843E-7</v>
      </c>
      <c r="F719" s="96">
        <f t="shared" si="256"/>
        <v>5.1405226256163668E-6</v>
      </c>
      <c r="G719" s="96">
        <f t="shared" si="259"/>
        <v>-0.1159948594773744</v>
      </c>
      <c r="I719" s="96">
        <f t="shared" si="261"/>
        <v>0</v>
      </c>
      <c r="J719" s="96">
        <f t="shared" si="262"/>
        <v>0.94049999999998446</v>
      </c>
    </row>
    <row r="720" spans="1:10" ht="12.75" customHeight="1">
      <c r="A720" s="96">
        <f>IF(MAX($F$93:F720)=$G$88,$G$88,F720)</f>
        <v>3.2057712852183653</v>
      </c>
      <c r="B720" s="481">
        <v>628</v>
      </c>
      <c r="C720" s="96">
        <f t="shared" si="260"/>
        <v>0.94199999999998441</v>
      </c>
      <c r="D720" s="96">
        <f t="shared" si="257"/>
        <v>57.672158943555679</v>
      </c>
      <c r="E720" s="96">
        <f t="shared" si="258"/>
        <v>1.3646372957118655E-7</v>
      </c>
      <c r="F720" s="96">
        <f t="shared" si="256"/>
        <v>4.7803847000159801E-6</v>
      </c>
      <c r="G720" s="96">
        <f t="shared" si="259"/>
        <v>-0.11599521961529999</v>
      </c>
      <c r="I720" s="96">
        <f t="shared" si="261"/>
        <v>0</v>
      </c>
      <c r="J720" s="96">
        <f t="shared" si="262"/>
        <v>0.94199999999998441</v>
      </c>
    </row>
    <row r="721" spans="1:10" ht="12.75" customHeight="1">
      <c r="A721" s="96">
        <f>IF(MAX($F$93:F721)=$G$88,$G$88,F721)</f>
        <v>3.2057712852183653</v>
      </c>
      <c r="B721" s="481">
        <v>629</v>
      </c>
      <c r="C721" s="96">
        <f t="shared" si="260"/>
        <v>0.94349999999998435</v>
      </c>
      <c r="D721" s="96">
        <f t="shared" si="257"/>
        <v>57.855974473070184</v>
      </c>
      <c r="E721" s="96">
        <f t="shared" si="258"/>
        <v>1.2659237133433994E-7</v>
      </c>
      <c r="F721" s="96">
        <f t="shared" si="256"/>
        <v>4.444692304162383E-6</v>
      </c>
      <c r="G721" s="96">
        <f t="shared" si="259"/>
        <v>-0.11599555530769584</v>
      </c>
      <c r="I721" s="96">
        <f t="shared" si="261"/>
        <v>0</v>
      </c>
      <c r="J721" s="96">
        <f t="shared" si="262"/>
        <v>0.94349999999998435</v>
      </c>
    </row>
    <row r="722" spans="1:10" ht="12.75" customHeight="1">
      <c r="A722" s="96">
        <f>IF(MAX($F$93:F722)=$G$88,$G$88,F722)</f>
        <v>3.2057712852183653</v>
      </c>
      <c r="B722" s="481">
        <v>630</v>
      </c>
      <c r="C722" s="96">
        <f t="shared" si="260"/>
        <v>0.9449999999999843</v>
      </c>
      <c r="D722" s="96">
        <f t="shared" si="257"/>
        <v>58.040082469616536</v>
      </c>
      <c r="E722" s="96">
        <f t="shared" si="258"/>
        <v>1.1741504826763348E-7</v>
      </c>
      <c r="F722" s="96">
        <f t="shared" si="256"/>
        <v>4.1318436294863771E-6</v>
      </c>
      <c r="G722" s="96">
        <f t="shared" si="259"/>
        <v>-0.11599586815637052</v>
      </c>
      <c r="I722" s="96">
        <f t="shared" si="261"/>
        <v>0</v>
      </c>
      <c r="J722" s="96">
        <f t="shared" si="262"/>
        <v>0.9449999999999843</v>
      </c>
    </row>
    <row r="723" spans="1:10" ht="12.75" customHeight="1">
      <c r="A723" s="96">
        <f>IF(MAX($F$93:F723)=$G$88,$G$88,F723)</f>
        <v>3.2057712852183653</v>
      </c>
      <c r="B723" s="481">
        <v>631</v>
      </c>
      <c r="C723" s="96">
        <f t="shared" si="260"/>
        <v>0.94649999999998424</v>
      </c>
      <c r="D723" s="96">
        <f t="shared" si="257"/>
        <v>58.224482933194729</v>
      </c>
      <c r="E723" s="96">
        <f t="shared" si="258"/>
        <v>1.0888447006511261E-7</v>
      </c>
      <c r="F723" s="96">
        <f t="shared" si="256"/>
        <v>3.840337717281086E-6</v>
      </c>
      <c r="G723" s="96">
        <f t="shared" si="259"/>
        <v>-0.11599615966228273</v>
      </c>
      <c r="I723" s="96">
        <f t="shared" si="261"/>
        <v>0</v>
      </c>
      <c r="J723" s="96">
        <f t="shared" si="262"/>
        <v>0.94649999999998424</v>
      </c>
    </row>
    <row r="724" spans="1:10" ht="12.75" customHeight="1">
      <c r="A724" s="96">
        <f>IF(MAX($F$93:F724)=$G$88,$G$88,F724)</f>
        <v>3.2057712852183653</v>
      </c>
      <c r="B724" s="481">
        <v>632</v>
      </c>
      <c r="C724" s="96">
        <f t="shared" si="260"/>
        <v>0.94799999999998419</v>
      </c>
      <c r="D724" s="96">
        <f t="shared" si="257"/>
        <v>58.409175863804762</v>
      </c>
      <c r="E724" s="96">
        <f t="shared" si="258"/>
        <v>1.0095645805071454E-7</v>
      </c>
      <c r="F724" s="96">
        <f t="shared" si="256"/>
        <v>3.5687683952983185E-6</v>
      </c>
      <c r="G724" s="96">
        <f t="shared" si="259"/>
        <v>-0.1159964312316047</v>
      </c>
      <c r="I724" s="96">
        <f t="shared" si="261"/>
        <v>0</v>
      </c>
      <c r="J724" s="96">
        <f t="shared" si="262"/>
        <v>0.94799999999998419</v>
      </c>
    </row>
    <row r="725" spans="1:10" ht="12.75" customHeight="1">
      <c r="A725" s="96">
        <f>IF(MAX($F$93:F725)=$G$88,$G$88,F725)</f>
        <v>3.2057712852183653</v>
      </c>
      <c r="B725" s="481">
        <v>633</v>
      </c>
      <c r="C725" s="96">
        <f t="shared" si="260"/>
        <v>0.94949999999998413</v>
      </c>
      <c r="D725" s="96">
        <f t="shared" si="257"/>
        <v>58.594161261446651</v>
      </c>
      <c r="E725" s="96">
        <f t="shared" si="258"/>
        <v>9.3589748370976958E-8</v>
      </c>
      <c r="F725" s="96">
        <f t="shared" si="256"/>
        <v>3.3158185595155197E-6</v>
      </c>
      <c r="G725" s="96">
        <f t="shared" si="259"/>
        <v>-0.11599668418144049</v>
      </c>
      <c r="I725" s="96">
        <f t="shared" si="261"/>
        <v>0</v>
      </c>
      <c r="J725" s="96">
        <f t="shared" si="262"/>
        <v>0.94949999999998413</v>
      </c>
    </row>
    <row r="726" spans="1:10" ht="12.75" customHeight="1">
      <c r="A726" s="96">
        <f>IF(MAX($F$93:F726)=$G$88,$G$88,F726)</f>
        <v>3.2057712852183653</v>
      </c>
      <c r="B726" s="481">
        <v>634</v>
      </c>
      <c r="C726" s="96">
        <f t="shared" si="260"/>
        <v>0.95099999999998408</v>
      </c>
      <c r="D726" s="96">
        <f t="shared" si="257"/>
        <v>58.779439126120373</v>
      </c>
      <c r="E726" s="96">
        <f t="shared" si="258"/>
        <v>8.6745807081362308E-8</v>
      </c>
      <c r="F726" s="96">
        <f t="shared" si="256"/>
        <v>3.0802547827046171E-6</v>
      </c>
      <c r="G726" s="96">
        <f t="shared" si="259"/>
        <v>-0.11599691974521729</v>
      </c>
      <c r="I726" s="96">
        <f t="shared" si="261"/>
        <v>0</v>
      </c>
      <c r="J726" s="96">
        <f t="shared" si="262"/>
        <v>0.95099999999998408</v>
      </c>
    </row>
    <row r="727" spans="1:10" ht="12.75" customHeight="1">
      <c r="A727" s="96">
        <f>IF(MAX($F$93:F727)=$G$88,$G$88,F727)</f>
        <v>3.2057712852183653</v>
      </c>
      <c r="B727" s="481">
        <v>635</v>
      </c>
      <c r="C727" s="96">
        <f t="shared" si="260"/>
        <v>0.95249999999998403</v>
      </c>
      <c r="D727" s="96">
        <f t="shared" si="257"/>
        <v>58.96500945782595</v>
      </c>
      <c r="E727" s="96">
        <f t="shared" si="258"/>
        <v>8.0388656445100027E-8</v>
      </c>
      <c r="F727" s="96">
        <f t="shared" si="256"/>
        <v>2.8609222323197661E-6</v>
      </c>
      <c r="G727" s="96">
        <f t="shared" si="259"/>
        <v>-0.11599713907776768</v>
      </c>
      <c r="I727" s="96">
        <f t="shared" si="261"/>
        <v>0</v>
      </c>
      <c r="J727" s="96">
        <f t="shared" si="262"/>
        <v>0.95249999999998403</v>
      </c>
    </row>
    <row r="728" spans="1:10" ht="12.75" customHeight="1">
      <c r="A728" s="96">
        <f>IF(MAX($F$93:F728)=$G$88,$G$88,F728)</f>
        <v>3.2057712852183653</v>
      </c>
      <c r="B728" s="481">
        <v>636</v>
      </c>
      <c r="C728" s="96">
        <f t="shared" si="260"/>
        <v>0.95399999999998397</v>
      </c>
      <c r="D728" s="96">
        <f t="shared" si="257"/>
        <v>59.150872256563368</v>
      </c>
      <c r="E728" s="96">
        <f t="shared" si="258"/>
        <v>7.4484711799991879E-8</v>
      </c>
      <c r="F728" s="96">
        <f t="shared" si="256"/>
        <v>2.6567398810865528E-6</v>
      </c>
      <c r="G728" s="96">
        <f t="shared" si="259"/>
        <v>-0.11599734326011892</v>
      </c>
      <c r="I728" s="96">
        <f t="shared" si="261"/>
        <v>0</v>
      </c>
      <c r="J728" s="96">
        <f t="shared" si="262"/>
        <v>0.95399999999998397</v>
      </c>
    </row>
    <row r="729" spans="1:10" ht="12.75" customHeight="1">
      <c r="A729" s="96">
        <f>IF(MAX($F$93:F729)=$G$88,$G$88,F729)</f>
        <v>3.2057712852183653</v>
      </c>
      <c r="B729" s="481">
        <v>637</v>
      </c>
      <c r="C729" s="96">
        <f t="shared" si="260"/>
        <v>0.95549999999998392</v>
      </c>
      <c r="D729" s="96">
        <f t="shared" si="257"/>
        <v>59.337027522332633</v>
      </c>
      <c r="E729" s="96">
        <f t="shared" si="258"/>
        <v>6.9002628383300514E-8</v>
      </c>
      <c r="F729" s="96">
        <f t="shared" si="256"/>
        <v>2.4666959944938923E-6</v>
      </c>
      <c r="G729" s="96">
        <f t="shared" si="259"/>
        <v>-0.11599753330400552</v>
      </c>
      <c r="I729" s="96">
        <f t="shared" si="261"/>
        <v>0</v>
      </c>
      <c r="J729" s="96">
        <f t="shared" si="262"/>
        <v>0.95549999999998392</v>
      </c>
    </row>
    <row r="730" spans="1:10" ht="12.75" customHeight="1">
      <c r="A730" s="96">
        <f>IF(MAX($F$93:F730)=$G$88,$G$88,F730)</f>
        <v>3.2057712852183653</v>
      </c>
      <c r="B730" s="481">
        <v>638</v>
      </c>
      <c r="C730" s="96">
        <f t="shared" si="260"/>
        <v>0.95699999999998386</v>
      </c>
      <c r="D730" s="96">
        <f t="shared" si="257"/>
        <v>59.523475255133739</v>
      </c>
      <c r="E730" s="96">
        <f t="shared" si="258"/>
        <v>6.3913157537875198E-8</v>
      </c>
      <c r="F730" s="96">
        <f t="shared" si="256"/>
        <v>2.2898438801715903E-6</v>
      </c>
      <c r="G730" s="96">
        <f t="shared" si="259"/>
        <v>-0.11599771015611983</v>
      </c>
      <c r="I730" s="96">
        <f t="shared" si="261"/>
        <v>0</v>
      </c>
      <c r="J730" s="96">
        <f t="shared" si="262"/>
        <v>0.95699999999998386</v>
      </c>
    </row>
    <row r="731" spans="1:10" ht="12.75" customHeight="1">
      <c r="A731" s="96">
        <f>IF(MAX($F$93:F731)=$G$88,$G$88,F731)</f>
        <v>3.2057712852183653</v>
      </c>
      <c r="B731" s="481">
        <v>639</v>
      </c>
      <c r="C731" s="96">
        <f t="shared" si="260"/>
        <v>0.95849999999998381</v>
      </c>
      <c r="D731" s="96">
        <f t="shared" si="257"/>
        <v>59.710215454966693</v>
      </c>
      <c r="E731" s="96">
        <f t="shared" si="258"/>
        <v>5.9189011753993699E-8</v>
      </c>
      <c r="F731" s="96">
        <f t="shared" si="256"/>
        <v>2.1252978848911424E-6</v>
      </c>
      <c r="G731" s="96">
        <f t="shared" si="259"/>
        <v>-0.11599787470211512</v>
      </c>
      <c r="I731" s="96">
        <f t="shared" si="261"/>
        <v>0</v>
      </c>
      <c r="J731" s="96">
        <f t="shared" si="262"/>
        <v>0.95849999999998381</v>
      </c>
    </row>
    <row r="732" spans="1:10" ht="12.75" customHeight="1">
      <c r="A732" s="96">
        <f>IF(MAX($F$93:F732)=$G$88,$G$88,F732)</f>
        <v>3.2057712852183653</v>
      </c>
      <c r="B732" s="481">
        <v>640</v>
      </c>
      <c r="C732" s="96">
        <f t="shared" si="260"/>
        <v>0.95999999999998376</v>
      </c>
      <c r="D732" s="96">
        <f t="shared" si="257"/>
        <v>59.897248121831488</v>
      </c>
      <c r="E732" s="96">
        <f t="shared" si="258"/>
        <v>5.4804738031198873E-8</v>
      </c>
      <c r="F732" s="96">
        <f t="shared" si="256"/>
        <v>1.9722296256395863E-6</v>
      </c>
      <c r="G732" s="96">
        <f t="shared" si="259"/>
        <v>-0.11599802777037437</v>
      </c>
      <c r="I732" s="96">
        <f t="shared" si="261"/>
        <v>0</v>
      </c>
      <c r="J732" s="96">
        <f t="shared" si="262"/>
        <v>0.95999999999998376</v>
      </c>
    </row>
    <row r="733" spans="1:10" ht="12.75" customHeight="1">
      <c r="A733" s="96">
        <f>IF(MAX($F$93:F733)=$G$88,$G$88,F733)</f>
        <v>3.2057712852183653</v>
      </c>
      <c r="B733" s="481">
        <v>641</v>
      </c>
      <c r="C733" s="96">
        <f t="shared" si="260"/>
        <v>0.9614999999999837</v>
      </c>
      <c r="D733" s="96">
        <f t="shared" si="257"/>
        <v>60.084573255728131</v>
      </c>
      <c r="E733" s="96">
        <f t="shared" si="258"/>
        <v>5.0736599072681185E-8</v>
      </c>
      <c r="F733" s="96">
        <f t="shared" ref="F733:F796" si="263">IF($E$12&lt;$F$90,NA(),$E$87*(E732-E734)/(2*$C$88))</f>
        <v>1.8298644419032115E-6</v>
      </c>
      <c r="G733" s="96">
        <f t="shared" si="259"/>
        <v>-0.1159981701355581</v>
      </c>
      <c r="I733" s="96">
        <f t="shared" si="261"/>
        <v>0</v>
      </c>
      <c r="J733" s="96">
        <f t="shared" si="262"/>
        <v>0.9614999999999837</v>
      </c>
    </row>
    <row r="734" spans="1:10" ht="12.75" customHeight="1">
      <c r="A734" s="96">
        <f>IF(MAX($F$93:F734)=$G$88,$G$88,F734)</f>
        <v>3.2057712852183653</v>
      </c>
      <c r="B734" s="481">
        <v>642</v>
      </c>
      <c r="C734" s="96">
        <f t="shared" si="260"/>
        <v>0.96299999999998365</v>
      </c>
      <c r="D734" s="96">
        <f t="shared" ref="D734:D797" si="264">C734^2/$C$85</f>
        <v>60.272190856656614</v>
      </c>
      <c r="E734" s="96">
        <f t="shared" ref="E734:E797" si="265">CHIDIST(D734,$E$85)</f>
        <v>4.696246185161368E-8</v>
      </c>
      <c r="F734" s="96">
        <f t="shared" si="263"/>
        <v>1.6974780569501925E-6</v>
      </c>
      <c r="G734" s="96">
        <f t="shared" ref="G734:G797" si="266">F734-$G$90</f>
        <v>-0.11599830252194306</v>
      </c>
      <c r="I734" s="96">
        <f t="shared" si="261"/>
        <v>0</v>
      </c>
      <c r="J734" s="96">
        <f t="shared" si="262"/>
        <v>0.96299999999998365</v>
      </c>
    </row>
    <row r="735" spans="1:10" ht="12.75" customHeight="1">
      <c r="A735" s="96">
        <f>IF(MAX($F$93:F735)=$G$88,$G$88,F735)</f>
        <v>3.2057712852183653</v>
      </c>
      <c r="B735" s="481">
        <v>643</v>
      </c>
      <c r="C735" s="96">
        <f t="shared" si="260"/>
        <v>0.96449999999998359</v>
      </c>
      <c r="D735" s="96">
        <f t="shared" si="264"/>
        <v>60.460100924616953</v>
      </c>
      <c r="E735" s="96">
        <f t="shared" si="265"/>
        <v>4.3461693114323217E-8</v>
      </c>
      <c r="F735" s="96">
        <f t="shared" si="263"/>
        <v>1.5743934365249796E-6</v>
      </c>
      <c r="G735" s="96">
        <f t="shared" si="266"/>
        <v>-0.11599842560656348</v>
      </c>
      <c r="I735" s="96">
        <f t="shared" si="261"/>
        <v>0</v>
      </c>
      <c r="J735" s="96">
        <f t="shared" si="262"/>
        <v>0.96449999999998359</v>
      </c>
    </row>
    <row r="736" spans="1:10" ht="12.75" customHeight="1">
      <c r="A736" s="96">
        <f>IF(MAX($F$93:F736)=$G$88,$G$88,F736)</f>
        <v>3.2057712852183653</v>
      </c>
      <c r="B736" s="481">
        <v>644</v>
      </c>
      <c r="C736" s="96">
        <f t="shared" si="260"/>
        <v>0.96599999999998354</v>
      </c>
      <c r="D736" s="96">
        <f t="shared" si="264"/>
        <v>60.648303459609131</v>
      </c>
      <c r="E736" s="96">
        <f t="shared" si="265"/>
        <v>4.0215061409363767E-8</v>
      </c>
      <c r="F736" s="96">
        <f t="shared" si="263"/>
        <v>1.4599778339623698E-6</v>
      </c>
      <c r="G736" s="96">
        <f t="shared" si="266"/>
        <v>-0.11599854002216604</v>
      </c>
      <c r="I736" s="96">
        <f t="shared" si="261"/>
        <v>0</v>
      </c>
      <c r="J736" s="96">
        <f t="shared" si="262"/>
        <v>0.96599999999998354</v>
      </c>
    </row>
    <row r="737" spans="1:10" ht="12.75" customHeight="1">
      <c r="A737" s="96">
        <f>IF(MAX($F$93:F737)=$G$88,$G$88,F737)</f>
        <v>3.2057712852183653</v>
      </c>
      <c r="B737" s="481">
        <v>645</v>
      </c>
      <c r="C737" s="96">
        <f t="shared" si="260"/>
        <v>0.96749999999998348</v>
      </c>
      <c r="D737" s="96">
        <f t="shared" si="264"/>
        <v>60.836798461633151</v>
      </c>
      <c r="E737" s="96">
        <f t="shared" si="265"/>
        <v>3.7204645254484488E-8</v>
      </c>
      <c r="F737" s="96">
        <f t="shared" si="263"/>
        <v>1.3536400112966187E-6</v>
      </c>
      <c r="G737" s="96">
        <f t="shared" si="266"/>
        <v>-0.1159986463599887</v>
      </c>
      <c r="I737" s="96">
        <f t="shared" si="261"/>
        <v>0</v>
      </c>
      <c r="J737" s="96">
        <f t="shared" si="262"/>
        <v>0.96749999999998348</v>
      </c>
    </row>
    <row r="738" spans="1:10" ht="12.75" customHeight="1">
      <c r="A738" s="96">
        <f>IF(MAX($F$93:F738)=$G$88,$G$88,F738)</f>
        <v>3.2057712852183653</v>
      </c>
      <c r="B738" s="481">
        <v>646</v>
      </c>
      <c r="C738" s="96">
        <f t="shared" si="260"/>
        <v>0.96899999999998343</v>
      </c>
      <c r="D738" s="96">
        <f t="shared" si="264"/>
        <v>61.025585930689012</v>
      </c>
      <c r="E738" s="96">
        <f t="shared" si="265"/>
        <v>3.44137470752354E-8</v>
      </c>
      <c r="F738" s="96">
        <f t="shared" si="263"/>
        <v>1.2548276264809585E-6</v>
      </c>
      <c r="G738" s="96">
        <f t="shared" si="266"/>
        <v>-0.11599874517237352</v>
      </c>
      <c r="I738" s="96">
        <f t="shared" si="261"/>
        <v>0</v>
      </c>
      <c r="J738" s="96">
        <f t="shared" si="262"/>
        <v>0.96899999999998343</v>
      </c>
    </row>
    <row r="739" spans="1:10" ht="12.75" customHeight="1">
      <c r="A739" s="96">
        <f>IF(MAX($F$93:F739)=$G$88,$G$88,F739)</f>
        <v>3.2057712852183653</v>
      </c>
      <c r="B739" s="481">
        <v>647</v>
      </c>
      <c r="C739" s="96">
        <f t="shared" si="260"/>
        <v>0.97049999999998338</v>
      </c>
      <c r="D739" s="96">
        <f t="shared" si="264"/>
        <v>61.214665866776727</v>
      </c>
      <c r="E739" s="96">
        <f t="shared" si="265"/>
        <v>3.1826812569566094E-8</v>
      </c>
      <c r="F739" s="96">
        <f t="shared" si="263"/>
        <v>1.1630247773503844E-6</v>
      </c>
      <c r="G739" s="96">
        <f t="shared" si="266"/>
        <v>-0.11599883697522266</v>
      </c>
      <c r="I739" s="96">
        <f t="shared" si="261"/>
        <v>0</v>
      </c>
      <c r="J739" s="96">
        <f t="shared" si="262"/>
        <v>0.97049999999998338</v>
      </c>
    </row>
    <row r="740" spans="1:10" ht="12.75" customHeight="1">
      <c r="A740" s="96">
        <f>IF(MAX($F$93:F740)=$G$88,$G$88,F740)</f>
        <v>3.2057712852183653</v>
      </c>
      <c r="B740" s="481">
        <v>648</v>
      </c>
      <c r="C740" s="96">
        <f t="shared" si="260"/>
        <v>0.97199999999998332</v>
      </c>
      <c r="D740" s="96">
        <f t="shared" si="264"/>
        <v>61.404038269896283</v>
      </c>
      <c r="E740" s="96">
        <f t="shared" si="265"/>
        <v>2.9429355172305182E-8</v>
      </c>
      <c r="F740" s="96">
        <f t="shared" si="263"/>
        <v>1.0777496934502465E-6</v>
      </c>
      <c r="G740" s="96">
        <f t="shared" si="266"/>
        <v>-0.11599892225030656</v>
      </c>
      <c r="I740" s="96">
        <f t="shared" si="261"/>
        <v>0</v>
      </c>
      <c r="J740" s="96">
        <f t="shared" si="262"/>
        <v>0.97199999999998332</v>
      </c>
    </row>
    <row r="741" spans="1:10" ht="12.75" customHeight="1">
      <c r="A741" s="96">
        <f>IF(MAX($F$93:F741)=$G$88,$G$88,F741)</f>
        <v>3.2057712852183653</v>
      </c>
      <c r="B741" s="481">
        <v>649</v>
      </c>
      <c r="C741" s="96">
        <f t="shared" si="260"/>
        <v>0.97349999999998327</v>
      </c>
      <c r="D741" s="96">
        <f t="shared" si="264"/>
        <v>61.593703140047687</v>
      </c>
      <c r="E741" s="96">
        <f t="shared" si="265"/>
        <v>2.720788531192218E-8</v>
      </c>
      <c r="F741" s="96">
        <f t="shared" si="263"/>
        <v>9.9855256732133216E-7</v>
      </c>
      <c r="G741" s="96">
        <f t="shared" si="266"/>
        <v>-0.11599900144743268</v>
      </c>
      <c r="I741" s="96">
        <f t="shared" si="261"/>
        <v>0</v>
      </c>
      <c r="J741" s="96">
        <f t="shared" si="262"/>
        <v>0.97349999999998327</v>
      </c>
    </row>
    <row r="742" spans="1:10" ht="12.75" customHeight="1">
      <c r="A742" s="96">
        <f>IF(MAX($F$93:F742)=$G$88,$G$88,F742)</f>
        <v>3.2057712852183653</v>
      </c>
      <c r="B742" s="481">
        <v>650</v>
      </c>
      <c r="C742" s="96">
        <f t="shared" si="260"/>
        <v>0.97499999999998321</v>
      </c>
      <c r="D742" s="96">
        <f t="shared" si="264"/>
        <v>61.783660477230931</v>
      </c>
      <c r="E742" s="96">
        <f t="shared" si="265"/>
        <v>2.5149844169499472E-8</v>
      </c>
      <c r="F742" s="96">
        <f t="shared" si="263"/>
        <v>9.2501351727826901E-7</v>
      </c>
      <c r="G742" s="96">
        <f t="shared" si="266"/>
        <v>-0.11599907498648272</v>
      </c>
      <c r="I742" s="96">
        <f t="shared" si="261"/>
        <v>0</v>
      </c>
      <c r="J742" s="96">
        <f t="shared" si="262"/>
        <v>0.97499999999998321</v>
      </c>
    </row>
    <row r="743" spans="1:10" ht="12.75" customHeight="1">
      <c r="A743" s="96">
        <f>IF(MAX($F$93:F743)=$G$88,$G$88,F743)</f>
        <v>3.2057712852183653</v>
      </c>
      <c r="B743" s="481">
        <v>651</v>
      </c>
      <c r="C743" s="96">
        <f t="shared" si="260"/>
        <v>0.97649999999998316</v>
      </c>
      <c r="D743" s="96">
        <f t="shared" si="264"/>
        <v>61.973910281446024</v>
      </c>
      <c r="E743" s="96">
        <f t="shared" si="265"/>
        <v>2.3243541666443884E-8</v>
      </c>
      <c r="F743" s="96">
        <f t="shared" si="263"/>
        <v>8.5674067414104564E-7</v>
      </c>
      <c r="G743" s="96">
        <f t="shared" si="266"/>
        <v>-0.11599914325932587</v>
      </c>
      <c r="I743" s="96">
        <f t="shared" si="261"/>
        <v>0</v>
      </c>
      <c r="J743" s="96">
        <f t="shared" si="262"/>
        <v>0.97649999999998316</v>
      </c>
    </row>
    <row r="744" spans="1:10" ht="12.75" customHeight="1">
      <c r="A744" s="96">
        <f>IF(MAX($F$93:F744)=$G$88,$G$88,F744)</f>
        <v>3.2057712852183653</v>
      </c>
      <c r="B744" s="481">
        <v>652</v>
      </c>
      <c r="C744" s="96">
        <f t="shared" si="260"/>
        <v>0.97799999999998311</v>
      </c>
      <c r="D744" s="96">
        <f t="shared" si="264"/>
        <v>62.164452552692957</v>
      </c>
      <c r="E744" s="96">
        <f t="shared" si="265"/>
        <v>2.1478098423180705E-8</v>
      </c>
      <c r="F744" s="96">
        <f t="shared" si="263"/>
        <v>7.9336838478361186E-7</v>
      </c>
      <c r="G744" s="96">
        <f t="shared" si="266"/>
        <v>-0.11599920663161523</v>
      </c>
      <c r="I744" s="96">
        <f t="shared" si="261"/>
        <v>0</v>
      </c>
      <c r="J744" s="96">
        <f t="shared" si="262"/>
        <v>0.97799999999998311</v>
      </c>
    </row>
    <row r="745" spans="1:10" ht="12.75" customHeight="1">
      <c r="A745" s="96">
        <f>IF(MAX($F$93:F745)=$G$88,$G$88,F745)</f>
        <v>3.2057712852183653</v>
      </c>
      <c r="B745" s="481">
        <v>653</v>
      </c>
      <c r="C745" s="96">
        <f t="shared" ref="C745:C808" si="267">C744+$C$88</f>
        <v>0.97949999999998305</v>
      </c>
      <c r="D745" s="96">
        <f t="shared" si="264"/>
        <v>62.355287290971738</v>
      </c>
      <c r="E745" s="96">
        <f t="shared" si="265"/>
        <v>1.984339144594269E-8</v>
      </c>
      <c r="F745" s="96">
        <f t="shared" si="263"/>
        <v>7.3455552574711032E-7</v>
      </c>
      <c r="G745" s="96">
        <f t="shared" si="266"/>
        <v>-0.11599926544447425</v>
      </c>
      <c r="I745" s="96">
        <f t="shared" si="261"/>
        <v>0</v>
      </c>
      <c r="J745" s="96">
        <f t="shared" si="262"/>
        <v>0.97949999999998305</v>
      </c>
    </row>
    <row r="746" spans="1:10" ht="12.75" customHeight="1">
      <c r="A746" s="96">
        <f>IF(MAX($F$93:F746)=$G$88,$G$88,F746)</f>
        <v>3.2057712852183653</v>
      </c>
      <c r="B746" s="481">
        <v>654</v>
      </c>
      <c r="C746" s="96">
        <f t="shared" si="267"/>
        <v>0.980999999999983</v>
      </c>
      <c r="D746" s="96">
        <f t="shared" si="264"/>
        <v>62.54641449628236</v>
      </c>
      <c r="E746" s="96">
        <f t="shared" si="265"/>
        <v>1.8330003312835946E-8</v>
      </c>
      <c r="F746" s="96">
        <f t="shared" si="263"/>
        <v>6.7998392052980498E-7</v>
      </c>
      <c r="G746" s="96">
        <f t="shared" si="266"/>
        <v>-0.11599932001607947</v>
      </c>
      <c r="I746" s="96">
        <f t="shared" si="261"/>
        <v>0</v>
      </c>
      <c r="J746" s="96">
        <f t="shared" si="262"/>
        <v>0.980999999999983</v>
      </c>
    </row>
    <row r="747" spans="1:10" ht="12.75" customHeight="1">
      <c r="A747" s="96">
        <f>IF(MAX($F$93:F747)=$G$88,$G$88,F747)</f>
        <v>3.2057712852183653</v>
      </c>
      <c r="B747" s="481">
        <v>655</v>
      </c>
      <c r="C747" s="96">
        <f t="shared" si="267"/>
        <v>0.98249999999998294</v>
      </c>
      <c r="D747" s="96">
        <f t="shared" si="264"/>
        <v>62.737834168624836</v>
      </c>
      <c r="E747" s="96">
        <f t="shared" si="265"/>
        <v>1.6929174643672097E-8</v>
      </c>
      <c r="F747" s="96">
        <f t="shared" si="263"/>
        <v>6.2935685451258076E-7</v>
      </c>
      <c r="G747" s="96">
        <f t="shared" si="266"/>
        <v>-0.1159993706431455</v>
      </c>
      <c r="I747" s="96">
        <f t="shared" si="261"/>
        <v>0</v>
      </c>
      <c r="J747" s="96">
        <f t="shared" si="262"/>
        <v>0.98249999999998294</v>
      </c>
    </row>
    <row r="748" spans="1:10" ht="12.75" customHeight="1">
      <c r="A748" s="96">
        <f>IF(MAX($F$93:F748)=$G$88,$G$88,F748)</f>
        <v>3.2057712852183653</v>
      </c>
      <c r="B748" s="481">
        <v>656</v>
      </c>
      <c r="C748" s="96">
        <f t="shared" si="267"/>
        <v>0.98399999999998289</v>
      </c>
      <c r="D748" s="96">
        <f t="shared" si="264"/>
        <v>62.929546307999153</v>
      </c>
      <c r="E748" s="96">
        <f t="shared" si="265"/>
        <v>1.5632759650639171E-8</v>
      </c>
      <c r="F748" s="96">
        <f t="shared" si="263"/>
        <v>5.8239768180903185E-7</v>
      </c>
      <c r="G748" s="96">
        <f t="shared" si="266"/>
        <v>-0.1159994176023182</v>
      </c>
      <c r="I748" s="96">
        <f t="shared" ref="I748:I811" si="268">IF(F748&gt;$G$87,1,0)</f>
        <v>0</v>
      </c>
      <c r="J748" s="96">
        <f t="shared" ref="J748:J811" si="269">C748</f>
        <v>0.98399999999998289</v>
      </c>
    </row>
    <row r="749" spans="1:10" ht="12.75" customHeight="1">
      <c r="A749" s="96">
        <f>IF(MAX($F$93:F749)=$G$88,$G$88,F749)</f>
        <v>3.2057712852183653</v>
      </c>
      <c r="B749" s="481">
        <v>657</v>
      </c>
      <c r="C749" s="96">
        <f t="shared" si="267"/>
        <v>0.98549999999998283</v>
      </c>
      <c r="D749" s="96">
        <f t="shared" si="264"/>
        <v>63.121550914405312</v>
      </c>
      <c r="E749" s="96">
        <f t="shared" si="265"/>
        <v>1.4433184578776246E-8</v>
      </c>
      <c r="F749" s="96">
        <f t="shared" si="263"/>
        <v>5.3884851864140411E-7</v>
      </c>
      <c r="G749" s="96">
        <f t="shared" si="266"/>
        <v>-0.11599946115148137</v>
      </c>
      <c r="I749" s="96">
        <f t="shared" si="268"/>
        <v>0</v>
      </c>
      <c r="J749" s="96">
        <f t="shared" si="269"/>
        <v>0.98549999999998283</v>
      </c>
    </row>
    <row r="750" spans="1:10" ht="12.75" customHeight="1">
      <c r="A750" s="96">
        <f>IF(MAX($F$93:F750)=$G$88,$G$88,F750)</f>
        <v>3.2057712852183653</v>
      </c>
      <c r="B750" s="481">
        <v>658</v>
      </c>
      <c r="C750" s="96">
        <f t="shared" si="267"/>
        <v>0.98699999999998278</v>
      </c>
      <c r="D750" s="96">
        <f t="shared" si="264"/>
        <v>63.31384798784331</v>
      </c>
      <c r="E750" s="96">
        <f t="shared" si="265"/>
        <v>1.3323408856461725E-8</v>
      </c>
      <c r="F750" s="96">
        <f t="shared" si="263"/>
        <v>4.9846901814124679E-7</v>
      </c>
      <c r="G750" s="96">
        <f t="shared" si="266"/>
        <v>-0.11599950153098186</v>
      </c>
      <c r="I750" s="96">
        <f t="shared" si="268"/>
        <v>0</v>
      </c>
      <c r="J750" s="96">
        <f t="shared" si="269"/>
        <v>0.98699999999998278</v>
      </c>
    </row>
    <row r="751" spans="1:10" ht="12.75" customHeight="1">
      <c r="A751" s="96">
        <f>IF(MAX($F$93:F751)=$G$88,$G$88,F751)</f>
        <v>3.2057712852183653</v>
      </c>
      <c r="B751" s="481">
        <v>659</v>
      </c>
      <c r="C751" s="96">
        <f t="shared" si="267"/>
        <v>0.98849999999998273</v>
      </c>
      <c r="D751" s="96">
        <f t="shared" si="264"/>
        <v>63.506437528313164</v>
      </c>
      <c r="E751" s="96">
        <f t="shared" si="265"/>
        <v>1.2296888786742331E-8</v>
      </c>
      <c r="F751" s="96">
        <f t="shared" si="263"/>
        <v>4.610352217559897E-7</v>
      </c>
      <c r="G751" s="96">
        <f t="shared" si="266"/>
        <v>-0.11599953896477826</v>
      </c>
      <c r="I751" s="96">
        <f t="shared" si="268"/>
        <v>0</v>
      </c>
      <c r="J751" s="96">
        <f t="shared" si="269"/>
        <v>0.98849999999998273</v>
      </c>
    </row>
    <row r="752" spans="1:10" ht="12.75" customHeight="1">
      <c r="A752" s="96">
        <f>IF(MAX($F$93:F752)=$G$88,$G$88,F752)</f>
        <v>3.2057712852183653</v>
      </c>
      <c r="B752" s="481">
        <v>660</v>
      </c>
      <c r="C752" s="96">
        <f t="shared" si="267"/>
        <v>0.98999999999998267</v>
      </c>
      <c r="D752" s="96">
        <f t="shared" si="264"/>
        <v>63.699319535814858</v>
      </c>
      <c r="E752" s="96">
        <f t="shared" si="265"/>
        <v>1.1347543620364626E-8</v>
      </c>
      <c r="F752" s="96">
        <f t="shared" si="263"/>
        <v>4.2633848271020329E-7</v>
      </c>
      <c r="G752" s="96">
        <f t="shared" si="266"/>
        <v>-0.11599957366151729</v>
      </c>
      <c r="I752" s="96">
        <f t="shared" si="268"/>
        <v>0</v>
      </c>
      <c r="J752" s="96">
        <f t="shared" si="269"/>
        <v>0.98999999999998267</v>
      </c>
    </row>
    <row r="753" spans="1:10" ht="12.75" customHeight="1">
      <c r="A753" s="96">
        <f>IF(MAX($F$93:F753)=$G$88,$G$88,F753)</f>
        <v>3.2057712852183653</v>
      </c>
      <c r="B753" s="481">
        <v>661</v>
      </c>
      <c r="C753" s="96">
        <f t="shared" si="267"/>
        <v>0.99149999999998262</v>
      </c>
      <c r="D753" s="96">
        <f t="shared" si="264"/>
        <v>63.8924940103484</v>
      </c>
      <c r="E753" s="96">
        <f t="shared" si="265"/>
        <v>1.046972386084146E-8</v>
      </c>
      <c r="F753" s="96">
        <f t="shared" si="263"/>
        <v>3.9418445722465269E-7</v>
      </c>
      <c r="G753" s="96">
        <f t="shared" si="266"/>
        <v>-0.11599960581554278</v>
      </c>
      <c r="I753" s="96">
        <f t="shared" si="268"/>
        <v>0</v>
      </c>
      <c r="J753" s="96">
        <f t="shared" si="269"/>
        <v>0.99149999999998262</v>
      </c>
    </row>
    <row r="754" spans="1:10" ht="12.75" customHeight="1">
      <c r="A754" s="96">
        <f>IF(MAX($F$93:F754)=$G$88,$G$88,F754)</f>
        <v>3.2057712852183653</v>
      </c>
      <c r="B754" s="481">
        <v>662</v>
      </c>
      <c r="C754" s="96">
        <f t="shared" si="267"/>
        <v>0.99299999999998256</v>
      </c>
      <c r="D754" s="96">
        <f t="shared" si="264"/>
        <v>64.08596095191379</v>
      </c>
      <c r="E754" s="96">
        <f t="shared" si="265"/>
        <v>9.6581816608304002E-9</v>
      </c>
      <c r="F754" s="96">
        <f t="shared" si="263"/>
        <v>3.6439215943680509E-7</v>
      </c>
      <c r="G754" s="96">
        <f t="shared" si="266"/>
        <v>-0.11599963560784057</v>
      </c>
      <c r="I754" s="96">
        <f t="shared" si="268"/>
        <v>0</v>
      </c>
      <c r="J754" s="96">
        <f t="shared" si="269"/>
        <v>0.99299999999998256</v>
      </c>
    </row>
    <row r="755" spans="1:10" ht="12.75" customHeight="1">
      <c r="A755" s="96">
        <f>IF(MAX($F$93:F755)=$G$88,$G$88,F755)</f>
        <v>3.2057712852183653</v>
      </c>
      <c r="B755" s="481">
        <v>663</v>
      </c>
      <c r="C755" s="96">
        <f t="shared" si="267"/>
        <v>0.99449999999998251</v>
      </c>
      <c r="D755" s="96">
        <f t="shared" si="264"/>
        <v>64.279720360511021</v>
      </c>
      <c r="E755" s="96">
        <f t="shared" si="265"/>
        <v>8.9080431775408668E-9</v>
      </c>
      <c r="F755" s="96">
        <f t="shared" si="263"/>
        <v>3.3679307619539316E-7</v>
      </c>
      <c r="G755" s="96">
        <f t="shared" si="266"/>
        <v>-0.11599966320692381</v>
      </c>
      <c r="I755" s="96">
        <f t="shared" si="268"/>
        <v>0</v>
      </c>
      <c r="J755" s="96">
        <f t="shared" si="269"/>
        <v>0.99449999999998251</v>
      </c>
    </row>
    <row r="756" spans="1:10" ht="12.75" customHeight="1">
      <c r="A756" s="96">
        <f>IF(MAX($F$93:F756)=$G$88,$G$88,F756)</f>
        <v>3.2057712852183653</v>
      </c>
      <c r="B756" s="481">
        <v>664</v>
      </c>
      <c r="C756" s="96">
        <f t="shared" si="267"/>
        <v>0.99599999999998245</v>
      </c>
      <c r="D756" s="96">
        <f t="shared" si="264"/>
        <v>64.473772236140078</v>
      </c>
      <c r="E756" s="96">
        <f t="shared" si="265"/>
        <v>8.2147827628501438E-9</v>
      </c>
      <c r="F756" s="96">
        <f t="shared" si="263"/>
        <v>3.1123033811807488E-7</v>
      </c>
      <c r="G756" s="96">
        <f t="shared" si="266"/>
        <v>-0.11599968876966189</v>
      </c>
      <c r="I756" s="96">
        <f t="shared" si="268"/>
        <v>0</v>
      </c>
      <c r="J756" s="96">
        <f t="shared" si="269"/>
        <v>0.99599999999998245</v>
      </c>
    </row>
    <row r="757" spans="1:10" ht="12.75" customHeight="1">
      <c r="A757" s="96">
        <f>IF(MAX($F$93:F757)=$G$88,$G$88,F757)</f>
        <v>3.2057712852183653</v>
      </c>
      <c r="B757" s="481">
        <v>665</v>
      </c>
      <c r="C757" s="96">
        <f t="shared" si="267"/>
        <v>0.9974999999999824</v>
      </c>
      <c r="D757" s="96">
        <f t="shared" si="264"/>
        <v>64.668116578801005</v>
      </c>
      <c r="E757" s="96">
        <f t="shared" si="265"/>
        <v>7.5741988713205458E-9</v>
      </c>
      <c r="F757" s="96">
        <f t="shared" si="263"/>
        <v>2.8755794350610967E-7</v>
      </c>
      <c r="G757" s="96">
        <f t="shared" si="266"/>
        <v>-0.11599971244205649</v>
      </c>
      <c r="I757" s="96">
        <f t="shared" si="268"/>
        <v>0</v>
      </c>
      <c r="J757" s="96">
        <f t="shared" si="269"/>
        <v>0.9974999999999824</v>
      </c>
    </row>
    <row r="758" spans="1:10" ht="12.75" customHeight="1">
      <c r="A758" s="96">
        <f>IF(MAX($F$93:F758)=$G$88,$G$88,F758)</f>
        <v>3.2057712852183653</v>
      </c>
      <c r="B758" s="481">
        <v>666</v>
      </c>
      <c r="C758" s="96">
        <f t="shared" si="267"/>
        <v>0.99899999999998235</v>
      </c>
      <c r="D758" s="96">
        <f t="shared" si="264"/>
        <v>64.862753388493772</v>
      </c>
      <c r="E758" s="96">
        <f t="shared" si="265"/>
        <v>6.9823915763953879E-9</v>
      </c>
      <c r="F758" s="96">
        <f t="shared" si="263"/>
        <v>2.6564003190497492E-7</v>
      </c>
      <c r="G758" s="96">
        <f t="shared" si="266"/>
        <v>-0.1159997343599681</v>
      </c>
      <c r="I758" s="96">
        <f t="shared" si="268"/>
        <v>0</v>
      </c>
      <c r="J758" s="96">
        <f t="shared" si="269"/>
        <v>0.99899999999998235</v>
      </c>
    </row>
    <row r="759" spans="1:10" ht="12.75" customHeight="1">
      <c r="A759" s="96">
        <f>IF(MAX($F$93:F759)=$G$88,$G$88,F759)</f>
        <v>3.2057712852183653</v>
      </c>
      <c r="B759" s="481">
        <v>667</v>
      </c>
      <c r="C759" s="96">
        <f t="shared" si="267"/>
        <v>1.0004999999999824</v>
      </c>
      <c r="D759" s="96">
        <f t="shared" si="264"/>
        <v>65.057682665218394</v>
      </c>
      <c r="E759" s="96">
        <f t="shared" si="265"/>
        <v>6.435741591727796E-9</v>
      </c>
      <c r="F759" s="96">
        <f t="shared" si="263"/>
        <v>2.4535020428348103E-7</v>
      </c>
      <c r="G759" s="96">
        <f t="shared" si="266"/>
        <v>-0.11599975464979573</v>
      </c>
      <c r="I759" s="96">
        <f t="shared" si="268"/>
        <v>0</v>
      </c>
      <c r="J759" s="96">
        <f t="shared" si="269"/>
        <v>1.0004999999999824</v>
      </c>
    </row>
    <row r="760" spans="1:10" ht="12.75" customHeight="1">
      <c r="A760" s="96">
        <f>IF(MAX($F$93:F760)=$G$88,$G$88,F760)</f>
        <v>3.2057712852183653</v>
      </c>
      <c r="B760" s="481">
        <v>668</v>
      </c>
      <c r="C760" s="96">
        <f t="shared" si="267"/>
        <v>1.0019999999999825</v>
      </c>
      <c r="D760" s="96">
        <f t="shared" si="264"/>
        <v>65.252904408974857</v>
      </c>
      <c r="E760" s="96">
        <f t="shared" si="265"/>
        <v>5.9308907008947549E-9</v>
      </c>
      <c r="F760" s="96">
        <f t="shared" si="263"/>
        <v>2.2657088697818304E-7</v>
      </c>
      <c r="G760" s="96">
        <f t="shared" si="266"/>
        <v>-0.11599977342911302</v>
      </c>
      <c r="I760" s="96">
        <f t="shared" si="268"/>
        <v>0</v>
      </c>
      <c r="J760" s="96">
        <f t="shared" si="269"/>
        <v>1.0019999999999825</v>
      </c>
    </row>
    <row r="761" spans="1:10" ht="12.75" customHeight="1">
      <c r="A761" s="96">
        <f>IF(MAX($F$93:F761)=$G$88,$G$88,F761)</f>
        <v>3.2057712852183653</v>
      </c>
      <c r="B761" s="481">
        <v>669</v>
      </c>
      <c r="C761" s="96">
        <f t="shared" si="267"/>
        <v>1.0034999999999825</v>
      </c>
      <c r="D761" s="96">
        <f t="shared" si="264"/>
        <v>65.448418619763174</v>
      </c>
      <c r="E761" s="96">
        <f t="shared" si="265"/>
        <v>5.4647235046784401E-9</v>
      </c>
      <c r="F761" s="96">
        <f t="shared" si="263"/>
        <v>2.0919273671531886E-7</v>
      </c>
      <c r="G761" s="96">
        <f t="shared" si="266"/>
        <v>-0.11599979080726329</v>
      </c>
      <c r="I761" s="96">
        <f t="shared" si="268"/>
        <v>0</v>
      </c>
      <c r="J761" s="96">
        <f t="shared" si="269"/>
        <v>1.0034999999999825</v>
      </c>
    </row>
    <row r="762" spans="1:10" ht="12.75" customHeight="1">
      <c r="A762" s="96">
        <f>IF(MAX($F$93:F762)=$G$88,$G$88,F762)</f>
        <v>3.2057712852183653</v>
      </c>
      <c r="B762" s="481">
        <v>670</v>
      </c>
      <c r="C762" s="96">
        <f t="shared" si="267"/>
        <v>1.0049999999999826</v>
      </c>
      <c r="D762" s="96">
        <f t="shared" si="264"/>
        <v>65.644225297583318</v>
      </c>
      <c r="E762" s="96">
        <f t="shared" si="265"/>
        <v>5.0343504006862454E-9</v>
      </c>
      <c r="F762" s="96">
        <f t="shared" si="263"/>
        <v>1.9311408417803945E-7</v>
      </c>
      <c r="G762" s="96">
        <f t="shared" si="266"/>
        <v>-0.11599980688591582</v>
      </c>
      <c r="I762" s="96">
        <f t="shared" si="268"/>
        <v>0</v>
      </c>
      <c r="J762" s="96">
        <f t="shared" si="269"/>
        <v>1.0049999999999826</v>
      </c>
    </row>
    <row r="763" spans="1:10" ht="12.75" customHeight="1">
      <c r="A763" s="96">
        <f>IF(MAX($F$93:F763)=$G$88,$G$88,F763)</f>
        <v>3.2057712852183653</v>
      </c>
      <c r="B763" s="481">
        <v>671</v>
      </c>
      <c r="C763" s="96">
        <f t="shared" si="267"/>
        <v>1.0064999999999826</v>
      </c>
      <c r="D763" s="96">
        <f t="shared" si="264"/>
        <v>65.840324442435332</v>
      </c>
      <c r="E763" s="96">
        <f t="shared" si="265"/>
        <v>4.6370917153439852E-9</v>
      </c>
      <c r="F763" s="96">
        <f t="shared" si="263"/>
        <v>1.7824041373455113E-7</v>
      </c>
      <c r="G763" s="96">
        <f t="shared" si="266"/>
        <v>-0.11599982175958627</v>
      </c>
      <c r="I763" s="96">
        <f t="shared" si="268"/>
        <v>0</v>
      </c>
      <c r="J763" s="96">
        <f t="shared" si="269"/>
        <v>1.0064999999999826</v>
      </c>
    </row>
    <row r="764" spans="1:10" ht="12.75" customHeight="1">
      <c r="A764" s="96">
        <f>IF(MAX($F$93:F764)=$G$88,$G$88,F764)</f>
        <v>3.2057712852183653</v>
      </c>
      <c r="B764" s="481">
        <v>672</v>
      </c>
      <c r="C764" s="96">
        <f t="shared" si="267"/>
        <v>1.0079999999999827</v>
      </c>
      <c r="D764" s="96">
        <f t="shared" si="264"/>
        <v>66.036716054319172</v>
      </c>
      <c r="E764" s="96">
        <f t="shared" si="265"/>
        <v>4.2704629132524548E-9</v>
      </c>
      <c r="F764" s="96">
        <f t="shared" si="263"/>
        <v>1.6448387708248424E-7</v>
      </c>
      <c r="G764" s="96">
        <f t="shared" si="266"/>
        <v>-0.11599983551612292</v>
      </c>
      <c r="I764" s="96">
        <f t="shared" si="268"/>
        <v>0</v>
      </c>
      <c r="J764" s="96">
        <f t="shared" si="269"/>
        <v>1.0079999999999827</v>
      </c>
    </row>
    <row r="765" spans="1:10" ht="12.75" customHeight="1">
      <c r="A765" s="96">
        <f>IF(MAX($F$93:F765)=$G$88,$G$88,F765)</f>
        <v>3.2057712852183653</v>
      </c>
      <c r="B765" s="481">
        <v>673</v>
      </c>
      <c r="C765" s="96">
        <f t="shared" si="267"/>
        <v>1.0094999999999827</v>
      </c>
      <c r="D765" s="96">
        <f t="shared" si="264"/>
        <v>66.233400133234881</v>
      </c>
      <c r="E765" s="96">
        <f t="shared" si="265"/>
        <v>3.9321608135619099E-9</v>
      </c>
      <c r="F765" s="96">
        <f t="shared" si="263"/>
        <v>1.5176283869651162E-7</v>
      </c>
      <c r="G765" s="96">
        <f t="shared" si="266"/>
        <v>-0.11599984823716131</v>
      </c>
      <c r="I765" s="96">
        <f t="shared" si="268"/>
        <v>0</v>
      </c>
      <c r="J765" s="96">
        <f t="shared" si="269"/>
        <v>1.0094999999999827</v>
      </c>
    </row>
    <row r="766" spans="1:10" ht="12.75" customHeight="1">
      <c r="A766" s="96">
        <f>IF(MAX($F$93:F766)=$G$88,$G$88,F766)</f>
        <v>3.2057712852183653</v>
      </c>
      <c r="B766" s="481">
        <v>674</v>
      </c>
      <c r="C766" s="96">
        <f t="shared" si="267"/>
        <v>1.0109999999999828</v>
      </c>
      <c r="D766" s="96">
        <f t="shared" si="264"/>
        <v>66.430376679182416</v>
      </c>
      <c r="E766" s="96">
        <f t="shared" si="265"/>
        <v>3.6200507474102621E-9</v>
      </c>
      <c r="F766" s="96">
        <f t="shared" si="263"/>
        <v>1.400014510911587E-7</v>
      </c>
      <c r="G766" s="96">
        <f t="shared" si="266"/>
        <v>-0.11599985999854892</v>
      </c>
      <c r="I766" s="96">
        <f t="shared" si="268"/>
        <v>0</v>
      </c>
      <c r="J766" s="96">
        <f t="shared" si="269"/>
        <v>1.0109999999999828</v>
      </c>
    </row>
    <row r="767" spans="1:10" ht="12.75" customHeight="1">
      <c r="A767" s="96">
        <f>IF(MAX($F$93:F767)=$G$88,$G$88,F767)</f>
        <v>3.2057712852183653</v>
      </c>
      <c r="B767" s="481">
        <v>675</v>
      </c>
      <c r="C767" s="96">
        <f t="shared" si="267"/>
        <v>1.0124999999999829</v>
      </c>
      <c r="D767" s="96">
        <f t="shared" si="264"/>
        <v>66.627645692161806</v>
      </c>
      <c r="E767" s="96">
        <f t="shared" si="265"/>
        <v>3.3321545945998011E-9</v>
      </c>
      <c r="F767" s="96">
        <f t="shared" si="263"/>
        <v>1.2912925802841097E-7</v>
      </c>
      <c r="G767" s="96">
        <f t="shared" si="266"/>
        <v>-0.11599987087074198</v>
      </c>
      <c r="I767" s="96">
        <f t="shared" si="268"/>
        <v>0</v>
      </c>
      <c r="J767" s="96">
        <f t="shared" si="269"/>
        <v>1.0124999999999829</v>
      </c>
    </row>
    <row r="768" spans="1:10" ht="12.75" customHeight="1">
      <c r="A768" s="96">
        <f>IF(MAX($F$93:F768)=$G$88,$G$88,F768)</f>
        <v>3.2057712852183653</v>
      </c>
      <c r="B768" s="481">
        <v>676</v>
      </c>
      <c r="C768" s="96">
        <f t="shared" si="267"/>
        <v>1.0139999999999829</v>
      </c>
      <c r="D768" s="96">
        <f t="shared" si="264"/>
        <v>66.825207172173023</v>
      </c>
      <c r="E768" s="96">
        <f t="shared" si="265"/>
        <v>3.066639641574215E-9</v>
      </c>
      <c r="F768" s="96">
        <f t="shared" si="263"/>
        <v>1.1908082391114552E-7</v>
      </c>
      <c r="G768" s="96">
        <f t="shared" si="266"/>
        <v>-0.1159998809191761</v>
      </c>
      <c r="I768" s="96">
        <f t="shared" si="268"/>
        <v>0</v>
      </c>
      <c r="J768" s="96">
        <f t="shared" si="269"/>
        <v>1.0139999999999829</v>
      </c>
    </row>
    <row r="769" spans="1:10" ht="12.75" customHeight="1">
      <c r="A769" s="96">
        <f>IF(MAX($F$93:F769)=$G$88,$G$88,F769)</f>
        <v>3.2057712852183653</v>
      </c>
      <c r="B769" s="481">
        <v>677</v>
      </c>
      <c r="C769" s="96">
        <f t="shared" si="267"/>
        <v>1.015499999999983</v>
      </c>
      <c r="D769" s="96">
        <f t="shared" si="264"/>
        <v>67.023061119216095</v>
      </c>
      <c r="E769" s="96">
        <f t="shared" si="265"/>
        <v>2.8218082064091774E-9</v>
      </c>
      <c r="F769" s="96">
        <f t="shared" si="263"/>
        <v>1.0979538770838711E-7</v>
      </c>
      <c r="G769" s="96">
        <f t="shared" si="266"/>
        <v>-0.11599989020461229</v>
      </c>
      <c r="I769" s="96">
        <f t="shared" si="268"/>
        <v>0</v>
      </c>
      <c r="J769" s="96">
        <f t="shared" si="269"/>
        <v>1.015499999999983</v>
      </c>
    </row>
    <row r="770" spans="1:10" ht="12.75" customHeight="1">
      <c r="A770" s="96">
        <f>IF(MAX($F$93:F770)=$G$88,$G$88,F770)</f>
        <v>3.2057712852183653</v>
      </c>
      <c r="B770" s="481">
        <v>678</v>
      </c>
      <c r="C770" s="96">
        <f t="shared" si="267"/>
        <v>1.016999999999983</v>
      </c>
      <c r="D770" s="96">
        <f t="shared" si="264"/>
        <v>67.221207533291008</v>
      </c>
      <c r="E770" s="96">
        <f t="shared" si="265"/>
        <v>2.5960879799668416E-9</v>
      </c>
      <c r="F770" s="96">
        <f t="shared" si="263"/>
        <v>1.0121653985760222E-7</v>
      </c>
      <c r="G770" s="96">
        <f t="shared" si="266"/>
        <v>-0.11599989878346015</v>
      </c>
      <c r="I770" s="96">
        <f t="shared" si="268"/>
        <v>0</v>
      </c>
      <c r="J770" s="96">
        <f t="shared" si="269"/>
        <v>1.016999999999983</v>
      </c>
    </row>
    <row r="771" spans="1:10" ht="12.75" customHeight="1">
      <c r="A771" s="96">
        <f>IF(MAX($F$93:F771)=$G$88,$G$88,F771)</f>
        <v>3.2057712852183653</v>
      </c>
      <c r="B771" s="481">
        <v>679</v>
      </c>
      <c r="C771" s="96">
        <f t="shared" si="267"/>
        <v>1.0184999999999831</v>
      </c>
      <c r="D771" s="96">
        <f t="shared" si="264"/>
        <v>67.419646414397775</v>
      </c>
      <c r="E771" s="96">
        <f t="shared" si="265"/>
        <v>2.3880230355908822E-9</v>
      </c>
      <c r="F771" s="96">
        <f t="shared" si="263"/>
        <v>9.3291920683004422E-8</v>
      </c>
      <c r="G771" s="96">
        <f t="shared" si="266"/>
        <v>-0.11599990670807932</v>
      </c>
      <c r="I771" s="96">
        <f t="shared" si="268"/>
        <v>0</v>
      </c>
      <c r="J771" s="96">
        <f t="shared" si="269"/>
        <v>1.0184999999999831</v>
      </c>
    </row>
    <row r="772" spans="1:10" ht="12.75" customHeight="1">
      <c r="A772" s="96">
        <f>IF(MAX($F$93:F772)=$G$88,$G$88,F772)</f>
        <v>3.2057712852183653</v>
      </c>
      <c r="B772" s="481">
        <v>680</v>
      </c>
      <c r="C772" s="96">
        <f t="shared" si="267"/>
        <v>1.0199999999999831</v>
      </c>
      <c r="D772" s="96">
        <f t="shared" si="264"/>
        <v>67.618377762536383</v>
      </c>
      <c r="E772" s="96">
        <f t="shared" si="265"/>
        <v>2.1962654627539654E-9</v>
      </c>
      <c r="F772" s="96">
        <f t="shared" si="263"/>
        <v>8.597293895683343E-8</v>
      </c>
      <c r="G772" s="96">
        <f t="shared" si="266"/>
        <v>-0.11599991402706104</v>
      </c>
      <c r="I772" s="96">
        <f t="shared" si="268"/>
        <v>0</v>
      </c>
      <c r="J772" s="96">
        <f t="shared" si="269"/>
        <v>1.0199999999999831</v>
      </c>
    </row>
    <row r="773" spans="1:10" ht="12.75" customHeight="1">
      <c r="A773" s="96">
        <f>IF(MAX($F$93:F773)=$G$88,$G$88,F773)</f>
        <v>3.2057712852183653</v>
      </c>
      <c r="B773" s="481">
        <v>681</v>
      </c>
      <c r="C773" s="96">
        <f t="shared" si="267"/>
        <v>1.0214999999999832</v>
      </c>
      <c r="D773" s="96">
        <f t="shared" si="264"/>
        <v>67.817401577706832</v>
      </c>
      <c r="E773" s="96">
        <f t="shared" si="265"/>
        <v>2.0195675829187389E-9</v>
      </c>
      <c r="F773" s="96">
        <f t="shared" si="263"/>
        <v>7.9214509314223022E-8</v>
      </c>
      <c r="G773" s="96">
        <f t="shared" si="266"/>
        <v>-0.11599992078549069</v>
      </c>
      <c r="I773" s="96">
        <f t="shared" si="268"/>
        <v>0</v>
      </c>
      <c r="J773" s="96">
        <f t="shared" si="269"/>
        <v>1.0214999999999832</v>
      </c>
    </row>
    <row r="774" spans="1:10" ht="12.75" customHeight="1">
      <c r="A774" s="96">
        <f>IF(MAX($F$93:F774)=$G$88,$G$88,F774)</f>
        <v>3.2057712852183653</v>
      </c>
      <c r="B774" s="481">
        <v>682</v>
      </c>
      <c r="C774" s="96">
        <f t="shared" si="267"/>
        <v>1.0229999999999833</v>
      </c>
      <c r="D774" s="96">
        <f t="shared" si="264"/>
        <v>68.016717859909136</v>
      </c>
      <c r="E774" s="96">
        <f t="shared" si="265"/>
        <v>1.8567747085501524E-9</v>
      </c>
      <c r="F774" s="96">
        <f t="shared" si="263"/>
        <v>7.2974807310585665E-8</v>
      </c>
      <c r="G774" s="96">
        <f t="shared" si="266"/>
        <v>-0.1159999270251927</v>
      </c>
      <c r="I774" s="96">
        <f t="shared" si="268"/>
        <v>0</v>
      </c>
      <c r="J774" s="96">
        <f t="shared" si="269"/>
        <v>1.0229999999999833</v>
      </c>
    </row>
    <row r="775" spans="1:10" ht="12.75" customHeight="1">
      <c r="A775" s="96">
        <f>IF(MAX($F$93:F775)=$G$88,$G$88,F775)</f>
        <v>3.2057712852183653</v>
      </c>
      <c r="B775" s="481">
        <v>683</v>
      </c>
      <c r="C775" s="96">
        <f t="shared" si="267"/>
        <v>1.0244999999999833</v>
      </c>
      <c r="D775" s="96">
        <f t="shared" si="264"/>
        <v>68.216326609143266</v>
      </c>
      <c r="E775" s="96">
        <f t="shared" si="265"/>
        <v>1.7068184087305146E-9</v>
      </c>
      <c r="F775" s="96">
        <f t="shared" si="263"/>
        <v>6.7215040984580678E-8</v>
      </c>
      <c r="G775" s="96">
        <f t="shared" si="266"/>
        <v>-0.11599993278495901</v>
      </c>
      <c r="I775" s="96">
        <f t="shared" si="268"/>
        <v>0</v>
      </c>
      <c r="J775" s="96">
        <f t="shared" si="269"/>
        <v>1.0244999999999833</v>
      </c>
    </row>
    <row r="776" spans="1:10" ht="12.75" customHeight="1">
      <c r="A776" s="96">
        <f>IF(MAX($F$93:F776)=$G$88,$G$88,F776)</f>
        <v>3.2057712852183653</v>
      </c>
      <c r="B776" s="481">
        <v>684</v>
      </c>
      <c r="C776" s="96">
        <f t="shared" si="267"/>
        <v>1.0259999999999834</v>
      </c>
      <c r="D776" s="96">
        <f t="shared" si="264"/>
        <v>68.416227825409266</v>
      </c>
      <c r="E776" s="96">
        <f t="shared" si="265"/>
        <v>1.5687102471876638E-9</v>
      </c>
      <c r="F776" s="96">
        <f t="shared" si="263"/>
        <v>6.1899237859476844E-8</v>
      </c>
      <c r="G776" s="96">
        <f t="shared" si="266"/>
        <v>-0.11599993810076215</v>
      </c>
      <c r="I776" s="96">
        <f t="shared" si="268"/>
        <v>0</v>
      </c>
      <c r="J776" s="96">
        <f t="shared" si="269"/>
        <v>1.0259999999999834</v>
      </c>
    </row>
    <row r="777" spans="1:10" ht="12.75" customHeight="1">
      <c r="A777" s="96">
        <f>IF(MAX($F$93:F777)=$G$88,$G$88,F777)</f>
        <v>3.2057712852183653</v>
      </c>
      <c r="B777" s="481">
        <v>685</v>
      </c>
      <c r="C777" s="96">
        <f t="shared" si="267"/>
        <v>1.0274999999999834</v>
      </c>
      <c r="D777" s="96">
        <f t="shared" si="264"/>
        <v>68.616421508707091</v>
      </c>
      <c r="E777" s="96">
        <f t="shared" si="265"/>
        <v>1.4415359607613281E-9</v>
      </c>
      <c r="F777" s="96">
        <f t="shared" si="263"/>
        <v>5.6994046381483743E-8</v>
      </c>
      <c r="G777" s="96">
        <f t="shared" si="266"/>
        <v>-0.11599994300595362</v>
      </c>
      <c r="I777" s="96">
        <f t="shared" si="268"/>
        <v>0</v>
      </c>
      <c r="J777" s="96">
        <f t="shared" si="269"/>
        <v>1.0274999999999834</v>
      </c>
    </row>
    <row r="778" spans="1:10" ht="12.75" customHeight="1">
      <c r="A778" s="96">
        <f>IF(MAX($F$93:F778)=$G$88,$G$88,F778)</f>
        <v>3.2057712852183653</v>
      </c>
      <c r="B778" s="481">
        <v>686</v>
      </c>
      <c r="C778" s="96">
        <f t="shared" si="267"/>
        <v>1.0289999999999835</v>
      </c>
      <c r="D778" s="96">
        <f t="shared" si="264"/>
        <v>68.816907659036758</v>
      </c>
      <c r="E778" s="96">
        <f t="shared" si="265"/>
        <v>1.3244500484098763E-9</v>
      </c>
      <c r="F778" s="96">
        <f t="shared" si="263"/>
        <v>5.2468550855525518E-8</v>
      </c>
      <c r="G778" s="96">
        <f t="shared" si="266"/>
        <v>-0.11599994753144915</v>
      </c>
      <c r="I778" s="96">
        <f t="shared" si="268"/>
        <v>0</v>
      </c>
      <c r="J778" s="96">
        <f t="shared" si="269"/>
        <v>1.0289999999999835</v>
      </c>
    </row>
    <row r="779" spans="1:10" ht="12.75" customHeight="1">
      <c r="A779" s="96">
        <f>IF(MAX($F$93:F779)=$G$88,$G$88,F779)</f>
        <v>3.2057712852183653</v>
      </c>
      <c r="B779" s="481">
        <v>687</v>
      </c>
      <c r="C779" s="96">
        <f t="shared" si="267"/>
        <v>1.0304999999999835</v>
      </c>
      <c r="D779" s="96">
        <f t="shared" si="264"/>
        <v>69.017686276398294</v>
      </c>
      <c r="E779" s="96">
        <f t="shared" si="265"/>
        <v>1.2166707428090759E-9</v>
      </c>
      <c r="F779" s="96">
        <f t="shared" si="263"/>
        <v>4.829409899721316E-8</v>
      </c>
      <c r="G779" s="96">
        <f t="shared" si="266"/>
        <v>-0.11599995170590101</v>
      </c>
      <c r="I779" s="96">
        <f t="shared" si="268"/>
        <v>0</v>
      </c>
      <c r="J779" s="96">
        <f t="shared" si="269"/>
        <v>1.0304999999999835</v>
      </c>
    </row>
    <row r="780" spans="1:10" ht="12.75" customHeight="1">
      <c r="A780" s="96">
        <f>IF(MAX($F$93:F780)=$G$88,$G$88,F780)</f>
        <v>3.2057712852183653</v>
      </c>
      <c r="B780" s="481">
        <v>688</v>
      </c>
      <c r="C780" s="96">
        <f t="shared" si="267"/>
        <v>1.0319999999999836</v>
      </c>
      <c r="D780" s="96">
        <f t="shared" si="264"/>
        <v>69.218757360791656</v>
      </c>
      <c r="E780" s="96">
        <f t="shared" si="265"/>
        <v>1.1174753384218199E-9</v>
      </c>
      <c r="F780" s="96">
        <f t="shared" si="263"/>
        <v>4.4444141274770797E-8</v>
      </c>
      <c r="G780" s="96">
        <f t="shared" si="266"/>
        <v>-0.11599995555585874</v>
      </c>
      <c r="I780" s="96">
        <f t="shared" si="268"/>
        <v>0</v>
      </c>
      <c r="J780" s="96">
        <f t="shared" si="269"/>
        <v>1.0319999999999836</v>
      </c>
    </row>
    <row r="781" spans="1:10" ht="12.75" customHeight="1">
      <c r="A781" s="96">
        <f>IF(MAX($F$93:F781)=$G$88,$G$88,F781)</f>
        <v>3.2057712852183653</v>
      </c>
      <c r="B781" s="481">
        <v>689</v>
      </c>
      <c r="C781" s="96">
        <f t="shared" si="267"/>
        <v>1.0334999999999837</v>
      </c>
      <c r="D781" s="96">
        <f t="shared" si="264"/>
        <v>69.420120912216873</v>
      </c>
      <c r="E781" s="96">
        <f t="shared" si="265"/>
        <v>1.0261958516314867E-9</v>
      </c>
      <c r="F781" s="96">
        <f t="shared" si="263"/>
        <v>4.0894081266157794E-8</v>
      </c>
      <c r="G781" s="96">
        <f t="shared" si="266"/>
        <v>-0.11599995910591875</v>
      </c>
      <c r="I781" s="96">
        <f t="shared" si="268"/>
        <v>0</v>
      </c>
      <c r="J781" s="96">
        <f t="shared" si="269"/>
        <v>1.0334999999999837</v>
      </c>
    </row>
    <row r="782" spans="1:10" ht="12.75" customHeight="1">
      <c r="A782" s="96">
        <f>IF(MAX($F$93:F782)=$G$88,$G$88,F782)</f>
        <v>3.2057712852183653</v>
      </c>
      <c r="B782" s="481">
        <v>690</v>
      </c>
      <c r="C782" s="96">
        <f t="shared" si="267"/>
        <v>1.0349999999999837</v>
      </c>
      <c r="D782" s="96">
        <f t="shared" si="264"/>
        <v>69.621776930673931</v>
      </c>
      <c r="E782" s="96">
        <f t="shared" si="265"/>
        <v>9.422149901382865E-10</v>
      </c>
      <c r="F782" s="96">
        <f t="shared" si="263"/>
        <v>3.7621136305381933E-8</v>
      </c>
      <c r="G782" s="96">
        <f t="shared" si="266"/>
        <v>-0.1159999623788637</v>
      </c>
      <c r="I782" s="96">
        <f t="shared" si="268"/>
        <v>0</v>
      </c>
      <c r="J782" s="96">
        <f t="shared" si="269"/>
        <v>1.0349999999999837</v>
      </c>
    </row>
    <row r="783" spans="1:10" ht="12.75" customHeight="1">
      <c r="A783" s="96">
        <f>IF(MAX($F$93:F783)=$G$88,$G$88,F783)</f>
        <v>3.2057712852183653</v>
      </c>
      <c r="B783" s="481">
        <v>691</v>
      </c>
      <c r="C783" s="96">
        <f t="shared" si="267"/>
        <v>1.0364999999999838</v>
      </c>
      <c r="D783" s="96">
        <f t="shared" si="264"/>
        <v>69.82372541616283</v>
      </c>
      <c r="E783" s="96">
        <f t="shared" si="265"/>
        <v>8.64962410322707E-10</v>
      </c>
      <c r="F783" s="96">
        <f t="shared" si="263"/>
        <v>3.4604207737651698E-8</v>
      </c>
      <c r="G783" s="96">
        <f t="shared" si="266"/>
        <v>-0.11599996539579227</v>
      </c>
      <c r="I783" s="96">
        <f t="shared" si="268"/>
        <v>0</v>
      </c>
      <c r="J783" s="96">
        <f t="shared" si="269"/>
        <v>1.0364999999999838</v>
      </c>
    </row>
    <row r="784" spans="1:10" ht="12.75" customHeight="1">
      <c r="A784" s="96">
        <f>IF(MAX($F$93:F784)=$G$88,$G$88,F784)</f>
        <v>3.2057712852183653</v>
      </c>
      <c r="B784" s="481">
        <v>692</v>
      </c>
      <c r="C784" s="96">
        <f t="shared" si="267"/>
        <v>1.0379999999999838</v>
      </c>
      <c r="D784" s="96">
        <f t="shared" si="264"/>
        <v>70.025966368683569</v>
      </c>
      <c r="E784" s="96">
        <f t="shared" si="265"/>
        <v>7.9391124269120777E-10</v>
      </c>
      <c r="F784" s="96">
        <f t="shared" si="263"/>
        <v>3.1823760145990983E-8</v>
      </c>
      <c r="G784" s="96">
        <f t="shared" si="266"/>
        <v>-0.11599996817623986</v>
      </c>
      <c r="I784" s="96">
        <f t="shared" si="268"/>
        <v>0</v>
      </c>
      <c r="J784" s="96">
        <f t="shared" si="269"/>
        <v>1.0379999999999838</v>
      </c>
    </row>
    <row r="785" spans="1:10" ht="12.75" customHeight="1">
      <c r="A785" s="96">
        <f>IF(MAX($F$93:F785)=$G$88,$G$88,F785)</f>
        <v>3.2057712852183653</v>
      </c>
      <c r="B785" s="481">
        <v>693</v>
      </c>
      <c r="C785" s="96">
        <f t="shared" si="267"/>
        <v>1.0394999999999839</v>
      </c>
      <c r="D785" s="96">
        <f t="shared" si="264"/>
        <v>70.228499788236164</v>
      </c>
      <c r="E785" s="96">
        <f t="shared" si="265"/>
        <v>7.2857486683988849E-10</v>
      </c>
      <c r="F785" s="96">
        <f t="shared" si="263"/>
        <v>2.9261708952414355E-8</v>
      </c>
      <c r="G785" s="96">
        <f t="shared" si="266"/>
        <v>-0.11599997073829105</v>
      </c>
      <c r="I785" s="96">
        <f t="shared" si="268"/>
        <v>0</v>
      </c>
      <c r="J785" s="96">
        <f t="shared" si="269"/>
        <v>1.0394999999999839</v>
      </c>
    </row>
    <row r="786" spans="1:10" ht="12.75" customHeight="1">
      <c r="A786" s="96">
        <f>IF(MAX($F$93:F786)=$G$88,$G$88,F786)</f>
        <v>3.2057712852183653</v>
      </c>
      <c r="B786" s="481">
        <v>694</v>
      </c>
      <c r="C786" s="96">
        <f t="shared" si="267"/>
        <v>1.0409999999999839</v>
      </c>
      <c r="D786" s="96">
        <f t="shared" si="264"/>
        <v>70.431325674820599</v>
      </c>
      <c r="E786" s="96">
        <f t="shared" si="265"/>
        <v>6.6850391860943195E-10</v>
      </c>
      <c r="F786" s="96">
        <f t="shared" si="263"/>
        <v>2.6901315834692615E-8</v>
      </c>
      <c r="G786" s="96">
        <f t="shared" si="266"/>
        <v>-0.11599997309868416</v>
      </c>
      <c r="I786" s="96">
        <f t="shared" si="268"/>
        <v>0</v>
      </c>
      <c r="J786" s="96">
        <f t="shared" si="269"/>
        <v>1.0409999999999839</v>
      </c>
    </row>
    <row r="787" spans="1:10" ht="12.75" customHeight="1">
      <c r="A787" s="96">
        <f>IF(MAX($F$93:F787)=$G$88,$G$88,F787)</f>
        <v>3.2057712852183653</v>
      </c>
      <c r="B787" s="481">
        <v>695</v>
      </c>
      <c r="C787" s="96">
        <f t="shared" si="267"/>
        <v>1.042499999999984</v>
      </c>
      <c r="D787" s="96">
        <f t="shared" si="264"/>
        <v>70.634444028436874</v>
      </c>
      <c r="E787" s="96">
        <f t="shared" si="265"/>
        <v>6.1328351326263443E-10</v>
      </c>
      <c r="F787" s="96">
        <f t="shared" si="263"/>
        <v>2.4727091435482862E-8</v>
      </c>
      <c r="G787" s="96">
        <f t="shared" si="266"/>
        <v>-0.11599997527290858</v>
      </c>
      <c r="I787" s="96">
        <f t="shared" si="268"/>
        <v>0</v>
      </c>
      <c r="J787" s="96">
        <f t="shared" si="269"/>
        <v>1.042499999999984</v>
      </c>
    </row>
    <row r="788" spans="1:10" ht="12.75" customHeight="1">
      <c r="A788" s="96">
        <f>IF(MAX($F$93:F788)=$G$88,$G$88,F788)</f>
        <v>3.2057712852183653</v>
      </c>
      <c r="B788" s="481">
        <v>696</v>
      </c>
      <c r="C788" s="96">
        <f t="shared" si="267"/>
        <v>1.0439999999999841</v>
      </c>
      <c r="D788" s="96">
        <f t="shared" si="264"/>
        <v>70.837854849085005</v>
      </c>
      <c r="E788" s="96">
        <f t="shared" si="265"/>
        <v>5.6253066960021969E-10</v>
      </c>
      <c r="F788" s="96">
        <f t="shared" si="263"/>
        <v>2.2724704874082387E-8</v>
      </c>
      <c r="G788" s="96">
        <f t="shared" si="266"/>
        <v>-0.11599997727529514</v>
      </c>
      <c r="I788" s="96">
        <f t="shared" si="268"/>
        <v>0</v>
      </c>
      <c r="J788" s="96">
        <f t="shared" si="269"/>
        <v>1.0439999999999841</v>
      </c>
    </row>
    <row r="789" spans="1:10" ht="12.75" customHeight="1">
      <c r="A789" s="96">
        <f>IF(MAX($F$93:F789)=$G$88,$G$88,F789)</f>
        <v>3.2057712852183653</v>
      </c>
      <c r="B789" s="481">
        <v>697</v>
      </c>
      <c r="C789" s="96">
        <f t="shared" si="267"/>
        <v>1.0454999999999841</v>
      </c>
      <c r="D789" s="96">
        <f t="shared" si="264"/>
        <v>71.041558136764976</v>
      </c>
      <c r="E789" s="96">
        <f t="shared" si="265"/>
        <v>5.1589192094513847E-10</v>
      </c>
      <c r="F789" s="96">
        <f t="shared" si="263"/>
        <v>2.0880899602599277E-8</v>
      </c>
      <c r="G789" s="96">
        <f t="shared" si="266"/>
        <v>-0.1159999791191004</v>
      </c>
      <c r="I789" s="96">
        <f t="shared" si="268"/>
        <v>0</v>
      </c>
      <c r="J789" s="96">
        <f t="shared" si="269"/>
        <v>1.0454999999999841</v>
      </c>
    </row>
    <row r="790" spans="1:10" ht="12.75" customHeight="1">
      <c r="A790" s="96">
        <f>IF(MAX($F$93:F790)=$G$88,$G$88,F790)</f>
        <v>3.2057712852183653</v>
      </c>
      <c r="B790" s="481">
        <v>698</v>
      </c>
      <c r="C790" s="96">
        <f t="shared" si="267"/>
        <v>1.0469999999999842</v>
      </c>
      <c r="D790" s="96">
        <f t="shared" si="264"/>
        <v>71.245553891476789</v>
      </c>
      <c r="E790" s="96">
        <f t="shared" si="265"/>
        <v>4.7304109987479421E-10</v>
      </c>
      <c r="F790" s="96">
        <f t="shared" si="263"/>
        <v>1.9183415177879831E-8</v>
      </c>
      <c r="G790" s="96">
        <f t="shared" si="266"/>
        <v>-0.11599998081658483</v>
      </c>
      <c r="I790" s="96">
        <f t="shared" si="268"/>
        <v>0</v>
      </c>
      <c r="J790" s="96">
        <f t="shared" si="269"/>
        <v>1.0469999999999842</v>
      </c>
    </row>
    <row r="791" spans="1:10" ht="12.75" customHeight="1">
      <c r="A791" s="96">
        <f>IF(MAX($F$93:F791)=$G$88,$G$88,F791)</f>
        <v>3.2057712852183653</v>
      </c>
      <c r="B791" s="481">
        <v>699</v>
      </c>
      <c r="C791" s="96">
        <f t="shared" si="267"/>
        <v>1.0484999999999842</v>
      </c>
      <c r="D791" s="96">
        <f t="shared" si="264"/>
        <v>71.449842113220441</v>
      </c>
      <c r="E791" s="96">
        <f t="shared" si="265"/>
        <v>4.3367728446851061E-10</v>
      </c>
      <c r="F791" s="96">
        <f t="shared" si="263"/>
        <v>1.7620914548286708E-8</v>
      </c>
      <c r="G791" s="96">
        <f t="shared" si="266"/>
        <v>-0.11599998237908546</v>
      </c>
      <c r="I791" s="96">
        <f t="shared" si="268"/>
        <v>0</v>
      </c>
      <c r="J791" s="96">
        <f t="shared" si="269"/>
        <v>1.0484999999999842</v>
      </c>
    </row>
    <row r="792" spans="1:10" ht="12.75" customHeight="1">
      <c r="A792" s="96">
        <f>IF(MAX($F$93:F792)=$G$88,$G$88,F792)</f>
        <v>3.2057712852183653</v>
      </c>
      <c r="B792" s="481">
        <v>700</v>
      </c>
      <c r="C792" s="96">
        <f t="shared" si="267"/>
        <v>1.0499999999999843</v>
      </c>
      <c r="D792" s="96">
        <f t="shared" si="264"/>
        <v>71.654422801995949</v>
      </c>
      <c r="E792" s="96">
        <f t="shared" si="265"/>
        <v>3.9752289466785117E-10</v>
      </c>
      <c r="F792" s="96">
        <f t="shared" si="263"/>
        <v>1.6182916480467336E-8</v>
      </c>
      <c r="G792" s="96">
        <f t="shared" si="266"/>
        <v>-0.11599998381708353</v>
      </c>
      <c r="I792" s="96">
        <f t="shared" si="268"/>
        <v>0</v>
      </c>
      <c r="J792" s="96">
        <f t="shared" si="269"/>
        <v>1.0499999999999843</v>
      </c>
    </row>
    <row r="793" spans="1:10" ht="12.75" customHeight="1">
      <c r="A793" s="96">
        <f>IF(MAX($F$93:F793)=$G$88,$G$88,F793)</f>
        <v>3.2057712852183653</v>
      </c>
      <c r="B793" s="481">
        <v>701</v>
      </c>
      <c r="C793" s="96">
        <f t="shared" si="267"/>
        <v>1.0514999999999843</v>
      </c>
      <c r="D793" s="96">
        <f t="shared" si="264"/>
        <v>71.859295957803312</v>
      </c>
      <c r="E793" s="96">
        <f t="shared" si="265"/>
        <v>3.6432192812365059E-10</v>
      </c>
      <c r="F793" s="96">
        <f t="shared" si="263"/>
        <v>1.4859732775701584E-8</v>
      </c>
      <c r="G793" s="96">
        <f t="shared" si="266"/>
        <v>-0.11599998514026723</v>
      </c>
      <c r="I793" s="96">
        <f t="shared" si="268"/>
        <v>0</v>
      </c>
      <c r="J793" s="96">
        <f t="shared" si="269"/>
        <v>1.0514999999999843</v>
      </c>
    </row>
    <row r="794" spans="1:10" ht="12.75" customHeight="1">
      <c r="A794" s="96">
        <f>IF(MAX($F$93:F794)=$G$88,$G$88,F794)</f>
        <v>3.2057712852183653</v>
      </c>
      <c r="B794" s="481">
        <v>702</v>
      </c>
      <c r="C794" s="96">
        <f t="shared" si="267"/>
        <v>1.0529999999999844</v>
      </c>
      <c r="D794" s="96">
        <f t="shared" si="264"/>
        <v>72.064461580642501</v>
      </c>
      <c r="E794" s="96">
        <f t="shared" si="265"/>
        <v>3.3383832562913009E-10</v>
      </c>
      <c r="F794" s="96">
        <f t="shared" si="263"/>
        <v>1.3642409948327681E-8</v>
      </c>
      <c r="G794" s="96">
        <f t="shared" si="266"/>
        <v>-0.11599998635759005</v>
      </c>
      <c r="I794" s="96">
        <f t="shared" si="268"/>
        <v>0</v>
      </c>
      <c r="J794" s="96">
        <f t="shared" si="269"/>
        <v>1.0529999999999844</v>
      </c>
    </row>
    <row r="795" spans="1:10" ht="12.75" customHeight="1">
      <c r="A795" s="96">
        <f>IF(MAX($F$93:F795)=$G$88,$G$88,F795)</f>
        <v>3.2057712852183653</v>
      </c>
      <c r="B795" s="481">
        <v>703</v>
      </c>
      <c r="C795" s="96">
        <f t="shared" si="267"/>
        <v>1.0544999999999844</v>
      </c>
      <c r="D795" s="96">
        <f t="shared" si="264"/>
        <v>72.269919670513545</v>
      </c>
      <c r="E795" s="96">
        <f t="shared" si="265"/>
        <v>3.0585445691653196E-10</v>
      </c>
      <c r="F795" s="96">
        <f t="shared" si="263"/>
        <v>1.2522675060213491E-8</v>
      </c>
      <c r="G795" s="96">
        <f t="shared" si="266"/>
        <v>-0.11599998747732494</v>
      </c>
      <c r="I795" s="96">
        <f t="shared" si="268"/>
        <v>0</v>
      </c>
      <c r="J795" s="96">
        <f t="shared" si="269"/>
        <v>1.0544999999999844</v>
      </c>
    </row>
    <row r="796" spans="1:10" ht="12.75" customHeight="1">
      <c r="A796" s="96">
        <f>IF(MAX($F$93:F796)=$G$88,$G$88,F796)</f>
        <v>3.2057712852183653</v>
      </c>
      <c r="B796" s="481">
        <v>704</v>
      </c>
      <c r="C796" s="96">
        <f t="shared" si="267"/>
        <v>1.0559999999999845</v>
      </c>
      <c r="D796" s="96">
        <f t="shared" si="264"/>
        <v>72.47567022741643</v>
      </c>
      <c r="E796" s="96">
        <f t="shared" si="265"/>
        <v>2.8016971822821513E-10</v>
      </c>
      <c r="F796" s="96">
        <f t="shared" si="263"/>
        <v>1.1492885425434479E-8</v>
      </c>
      <c r="G796" s="96">
        <f t="shared" si="266"/>
        <v>-0.11599998850711458</v>
      </c>
      <c r="I796" s="96">
        <f t="shared" si="268"/>
        <v>0</v>
      </c>
      <c r="J796" s="96">
        <f t="shared" si="269"/>
        <v>1.0559999999999845</v>
      </c>
    </row>
    <row r="797" spans="1:10" ht="12.75" customHeight="1">
      <c r="A797" s="96">
        <f>IF(MAX($F$93:F797)=$G$88,$G$88,F797)</f>
        <v>3.2057712852183653</v>
      </c>
      <c r="B797" s="481">
        <v>705</v>
      </c>
      <c r="C797" s="96">
        <f t="shared" si="267"/>
        <v>1.0574999999999846</v>
      </c>
      <c r="D797" s="96">
        <f t="shared" si="264"/>
        <v>72.681713251351155</v>
      </c>
      <c r="E797" s="96">
        <f t="shared" si="265"/>
        <v>2.5659923366466991E-10</v>
      </c>
      <c r="F797" s="96">
        <f t="shared" ref="F797:F860" si="270">IF($E$12&lt;$F$90,NA(),$E$87*(E796-E798)/(2*$C$88))</f>
        <v>1.054598191816634E-8</v>
      </c>
      <c r="G797" s="96">
        <f t="shared" si="266"/>
        <v>-0.11599998945401808</v>
      </c>
      <c r="I797" s="96">
        <f t="shared" si="268"/>
        <v>0</v>
      </c>
      <c r="J797" s="96">
        <f t="shared" si="269"/>
        <v>1.0574999999999846</v>
      </c>
    </row>
    <row r="798" spans="1:10" ht="12.75" customHeight="1">
      <c r="A798" s="96">
        <f>IF(MAX($F$93:F798)=$G$88,$G$88,F798)</f>
        <v>3.2057712852183653</v>
      </c>
      <c r="B798" s="481">
        <v>706</v>
      </c>
      <c r="C798" s="96">
        <f t="shared" si="267"/>
        <v>1.0589999999999846</v>
      </c>
      <c r="D798" s="96">
        <f t="shared" ref="D798:D861" si="271">C798^2/$C$85</f>
        <v>72.888048742317736</v>
      </c>
      <c r="E798" s="96">
        <f t="shared" ref="E798:E861" si="272">CHIDIST(D798,$E$85)</f>
        <v>2.3497265286464509E-10</v>
      </c>
      <c r="F798" s="96">
        <f t="shared" si="270"/>
        <v>9.6754456344996457E-9</v>
      </c>
      <c r="G798" s="96">
        <f t="shared" ref="G798:G861" si="273">F798-$G$90</f>
        <v>-0.11599999032455437</v>
      </c>
      <c r="I798" s="96">
        <f t="shared" si="268"/>
        <v>0</v>
      </c>
      <c r="J798" s="96">
        <f t="shared" si="269"/>
        <v>1.0589999999999846</v>
      </c>
    </row>
    <row r="799" spans="1:10" ht="12.75" customHeight="1">
      <c r="A799" s="96">
        <f>IF(MAX($F$93:F799)=$G$88,$G$88,F799)</f>
        <v>3.2057712852183653</v>
      </c>
      <c r="B799" s="481">
        <v>707</v>
      </c>
      <c r="C799" s="96">
        <f t="shared" si="267"/>
        <v>1.0604999999999847</v>
      </c>
      <c r="D799" s="96">
        <f t="shared" si="271"/>
        <v>73.094676700316157</v>
      </c>
      <c r="E799" s="96">
        <f t="shared" si="272"/>
        <v>2.1513303808824285E-10</v>
      </c>
      <c r="F799" s="96">
        <f t="shared" si="270"/>
        <v>8.875257675474723E-9</v>
      </c>
      <c r="G799" s="96">
        <f t="shared" si="273"/>
        <v>-0.11599999112474232</v>
      </c>
      <c r="I799" s="96">
        <f t="shared" si="268"/>
        <v>0</v>
      </c>
      <c r="J799" s="96">
        <f t="shared" si="269"/>
        <v>1.0604999999999847</v>
      </c>
    </row>
    <row r="800" spans="1:10" ht="12.75" customHeight="1">
      <c r="A800" s="96">
        <f>IF(MAX($F$93:F800)=$G$88,$G$88,F800)</f>
        <v>3.2057712852183653</v>
      </c>
      <c r="B800" s="481">
        <v>708</v>
      </c>
      <c r="C800" s="96">
        <f t="shared" si="267"/>
        <v>1.0619999999999847</v>
      </c>
      <c r="D800" s="96">
        <f t="shared" si="271"/>
        <v>73.301597125346419</v>
      </c>
      <c r="E800" s="96">
        <f t="shared" si="272"/>
        <v>1.9693583425546771E-10</v>
      </c>
      <c r="F800" s="96">
        <f t="shared" si="270"/>
        <v>8.1398618341334287E-9</v>
      </c>
      <c r="G800" s="96">
        <f t="shared" si="273"/>
        <v>-0.11599999186013817</v>
      </c>
      <c r="I800" s="96">
        <f t="shared" si="268"/>
        <v>0</v>
      </c>
      <c r="J800" s="96">
        <f t="shared" si="269"/>
        <v>1.0619999999999847</v>
      </c>
    </row>
    <row r="801" spans="1:10" ht="12.75" customHeight="1">
      <c r="A801" s="96">
        <f>IF(MAX($F$93:F801)=$G$88,$G$88,F801)</f>
        <v>3.2057712852183653</v>
      </c>
      <c r="B801" s="481">
        <v>709</v>
      </c>
      <c r="C801" s="96">
        <f t="shared" si="267"/>
        <v>1.0634999999999848</v>
      </c>
      <c r="D801" s="96">
        <f t="shared" si="271"/>
        <v>73.508810017408521</v>
      </c>
      <c r="E801" s="96">
        <f t="shared" si="272"/>
        <v>1.8024791594195672E-10</v>
      </c>
      <c r="F801" s="96">
        <f t="shared" si="270"/>
        <v>7.4641299839381311E-9</v>
      </c>
      <c r="G801" s="96">
        <f t="shared" si="273"/>
        <v>-0.11599999253587003</v>
      </c>
      <c r="I801" s="96">
        <f t="shared" si="268"/>
        <v>0</v>
      </c>
      <c r="J801" s="96">
        <f t="shared" si="269"/>
        <v>1.0634999999999848</v>
      </c>
    </row>
    <row r="802" spans="1:10" ht="12.75" customHeight="1">
      <c r="A802" s="96">
        <f>IF(MAX($F$93:F802)=$G$88,$G$88,F802)</f>
        <v>3.2057712852183653</v>
      </c>
      <c r="B802" s="481">
        <v>710</v>
      </c>
      <c r="C802" s="96">
        <f t="shared" si="267"/>
        <v>1.0649999999999848</v>
      </c>
      <c r="D802" s="96">
        <f t="shared" si="271"/>
        <v>73.716315376502479</v>
      </c>
      <c r="E802" s="96">
        <f t="shared" si="272"/>
        <v>1.6494670575287572E-10</v>
      </c>
      <c r="F802" s="96">
        <f t="shared" si="270"/>
        <v>6.8433299794955581E-9</v>
      </c>
      <c r="G802" s="96">
        <f t="shared" si="273"/>
        <v>-0.11599999315667002</v>
      </c>
      <c r="I802" s="96">
        <f t="shared" si="268"/>
        <v>0</v>
      </c>
      <c r="J802" s="96">
        <f t="shared" si="269"/>
        <v>1.0649999999999848</v>
      </c>
    </row>
    <row r="803" spans="1:10" ht="12.75" customHeight="1">
      <c r="A803" s="96">
        <f>IF(MAX($F$93:F803)=$G$88,$G$88,F803)</f>
        <v>3.2057712852183653</v>
      </c>
      <c r="B803" s="481">
        <v>711</v>
      </c>
      <c r="C803" s="96">
        <f t="shared" si="267"/>
        <v>1.0664999999999849</v>
      </c>
      <c r="D803" s="96">
        <f t="shared" si="271"/>
        <v>73.924113202628277</v>
      </c>
      <c r="E803" s="96">
        <f t="shared" si="272"/>
        <v>1.5091935888697575E-10</v>
      </c>
      <c r="F803" s="96">
        <f t="shared" si="270"/>
        <v>6.2730958932698568E-9</v>
      </c>
      <c r="G803" s="96">
        <f t="shared" si="273"/>
        <v>-0.11599999372690412</v>
      </c>
      <c r="I803" s="96">
        <f t="shared" si="268"/>
        <v>0</v>
      </c>
      <c r="J803" s="96">
        <f t="shared" si="269"/>
        <v>1.0664999999999849</v>
      </c>
    </row>
    <row r="804" spans="1:10" ht="12.75" customHeight="1">
      <c r="A804" s="96">
        <f>IF(MAX($F$93:F804)=$G$88,$G$88,F804)</f>
        <v>3.2057712852183653</v>
      </c>
      <c r="B804" s="481">
        <v>712</v>
      </c>
      <c r="C804" s="96">
        <f t="shared" si="267"/>
        <v>1.067999999999985</v>
      </c>
      <c r="D804" s="96">
        <f t="shared" si="271"/>
        <v>74.13220349578593</v>
      </c>
      <c r="E804" s="96">
        <f t="shared" si="272"/>
        <v>1.3806200906743347E-10</v>
      </c>
      <c r="F804" s="96">
        <f t="shared" si="270"/>
        <v>5.7494004238703622E-9</v>
      </c>
      <c r="G804" s="96">
        <f t="shared" si="273"/>
        <v>-0.11599999425059958</v>
      </c>
      <c r="I804" s="96">
        <f t="shared" si="268"/>
        <v>0</v>
      </c>
      <c r="J804" s="96">
        <f t="shared" si="269"/>
        <v>1.067999999999985</v>
      </c>
    </row>
    <row r="805" spans="1:10" ht="12.75" customHeight="1">
      <c r="A805" s="96">
        <f>IF(MAX($F$93:F805)=$G$88,$G$88,F805)</f>
        <v>3.2057712852183653</v>
      </c>
      <c r="B805" s="481">
        <v>713</v>
      </c>
      <c r="C805" s="96">
        <f t="shared" si="267"/>
        <v>1.069499999999985</v>
      </c>
      <c r="D805" s="96">
        <f t="shared" si="271"/>
        <v>74.34058625597541</v>
      </c>
      <c r="E805" s="96">
        <f t="shared" si="272"/>
        <v>1.2627907135610277E-10</v>
      </c>
      <c r="F805" s="96">
        <f t="shared" si="270"/>
        <v>5.2685293226411299E-9</v>
      </c>
      <c r="G805" s="96">
        <f t="shared" si="273"/>
        <v>-0.11599999473147068</v>
      </c>
      <c r="I805" s="96">
        <f t="shared" si="268"/>
        <v>0</v>
      </c>
      <c r="J805" s="96">
        <f t="shared" si="269"/>
        <v>1.069499999999985</v>
      </c>
    </row>
    <row r="806" spans="1:10" ht="12.75" customHeight="1">
      <c r="A806" s="96">
        <f>IF(MAX($F$93:F806)=$G$88,$G$88,F806)</f>
        <v>3.2057712852183653</v>
      </c>
      <c r="B806" s="481">
        <v>714</v>
      </c>
      <c r="C806" s="96">
        <f t="shared" si="267"/>
        <v>1.0709999999999851</v>
      </c>
      <c r="D806" s="96">
        <f t="shared" si="271"/>
        <v>74.549261483196744</v>
      </c>
      <c r="E806" s="96">
        <f t="shared" si="272"/>
        <v>1.1548259768468577E-10</v>
      </c>
      <c r="F806" s="96">
        <f t="shared" si="270"/>
        <v>4.8270576957031443E-9</v>
      </c>
      <c r="G806" s="96">
        <f t="shared" si="273"/>
        <v>-0.11599999517294231</v>
      </c>
      <c r="I806" s="96">
        <f t="shared" si="268"/>
        <v>0</v>
      </c>
      <c r="J806" s="96">
        <f t="shared" si="269"/>
        <v>1.0709999999999851</v>
      </c>
    </row>
    <row r="807" spans="1:10" ht="12.75" customHeight="1">
      <c r="A807" s="96">
        <f>IF(MAX($F$93:F807)=$G$88,$G$88,F807)</f>
        <v>3.2057712852183653</v>
      </c>
      <c r="B807" s="481">
        <v>715</v>
      </c>
      <c r="C807" s="96">
        <f t="shared" si="267"/>
        <v>1.0724999999999851</v>
      </c>
      <c r="D807" s="96">
        <f t="shared" si="271"/>
        <v>74.75822917744992</v>
      </c>
      <c r="E807" s="96">
        <f t="shared" si="272"/>
        <v>1.0559168123166072E-10</v>
      </c>
      <c r="F807" s="96">
        <f t="shared" si="270"/>
        <v>4.4218280483375841E-9</v>
      </c>
      <c r="G807" s="96">
        <f t="shared" si="273"/>
        <v>-0.11599999557817196</v>
      </c>
      <c r="I807" s="96">
        <f t="shared" si="268"/>
        <v>0</v>
      </c>
      <c r="J807" s="96">
        <f t="shared" si="269"/>
        <v>1.0724999999999851</v>
      </c>
    </row>
    <row r="808" spans="1:10" ht="12.75" customHeight="1">
      <c r="A808" s="96">
        <f>IF(MAX($F$93:F808)=$G$88,$G$88,F808)</f>
        <v>3.2057712852183653</v>
      </c>
      <c r="B808" s="481">
        <v>716</v>
      </c>
      <c r="C808" s="96">
        <f t="shared" si="267"/>
        <v>1.0739999999999852</v>
      </c>
      <c r="D808" s="96">
        <f t="shared" si="271"/>
        <v>74.96748933873495</v>
      </c>
      <c r="E808" s="96">
        <f t="shared" si="272"/>
        <v>9.6531906048953263E-11</v>
      </c>
      <c r="F808" s="96">
        <f t="shared" si="270"/>
        <v>4.0499299477032527E-9</v>
      </c>
      <c r="G808" s="96">
        <f t="shared" si="273"/>
        <v>-0.11599999595007006</v>
      </c>
      <c r="I808" s="96">
        <f t="shared" si="268"/>
        <v>0</v>
      </c>
      <c r="J808" s="96">
        <f t="shared" si="269"/>
        <v>1.0739999999999852</v>
      </c>
    </row>
    <row r="809" spans="1:10" ht="12.75" customHeight="1">
      <c r="A809" s="96">
        <f>IF(MAX($F$93:F809)=$G$88,$G$88,F809)</f>
        <v>3.2057712852183653</v>
      </c>
      <c r="B809" s="481">
        <v>717</v>
      </c>
      <c r="C809" s="96">
        <f t="shared" ref="C809:C872" si="274">C808+$C$88</f>
        <v>1.0754999999999852</v>
      </c>
      <c r="D809" s="96">
        <f t="shared" si="271"/>
        <v>75.177041967051821</v>
      </c>
      <c r="E809" s="96">
        <f t="shared" si="272"/>
        <v>8.8234838598646781E-11</v>
      </c>
      <c r="F809" s="96">
        <f t="shared" si="270"/>
        <v>3.7086811883908543E-9</v>
      </c>
      <c r="G809" s="96">
        <f t="shared" si="273"/>
        <v>-0.11599999629131882</v>
      </c>
      <c r="I809" s="96">
        <f t="shared" si="268"/>
        <v>0</v>
      </c>
      <c r="J809" s="96">
        <f t="shared" si="269"/>
        <v>1.0754999999999852</v>
      </c>
    </row>
    <row r="810" spans="1:10" ht="12.75" customHeight="1">
      <c r="A810" s="96">
        <f>IF(MAX($F$93:F810)=$G$88,$G$88,F810)</f>
        <v>3.2057712852183653</v>
      </c>
      <c r="B810" s="481">
        <v>718</v>
      </c>
      <c r="C810" s="96">
        <f t="shared" si="274"/>
        <v>1.0769999999999853</v>
      </c>
      <c r="D810" s="96">
        <f t="shared" si="271"/>
        <v>75.386887062400532</v>
      </c>
      <c r="E810" s="96">
        <f t="shared" si="272"/>
        <v>8.0637558098706743E-11</v>
      </c>
      <c r="F810" s="96">
        <f t="shared" si="270"/>
        <v>3.395610353260706E-9</v>
      </c>
      <c r="G810" s="96">
        <f t="shared" si="273"/>
        <v>-0.11599999660438966</v>
      </c>
      <c r="I810" s="96">
        <f t="shared" si="268"/>
        <v>0</v>
      </c>
      <c r="J810" s="96">
        <f t="shared" si="269"/>
        <v>1.0769999999999853</v>
      </c>
    </row>
    <row r="811" spans="1:10" ht="12.75" customHeight="1">
      <c r="A811" s="96">
        <f>IF(MAX($F$93:F811)=$G$88,$G$88,F811)</f>
        <v>3.2057712852183653</v>
      </c>
      <c r="B811" s="481">
        <v>719</v>
      </c>
      <c r="C811" s="96">
        <f t="shared" si="274"/>
        <v>1.0784999999999854</v>
      </c>
      <c r="D811" s="96">
        <f t="shared" si="271"/>
        <v>75.597024624781085</v>
      </c>
      <c r="E811" s="96">
        <f t="shared" si="272"/>
        <v>7.3682222798958038E-11</v>
      </c>
      <c r="F811" s="96">
        <f t="shared" si="270"/>
        <v>3.1084406694387703E-9</v>
      </c>
      <c r="G811" s="96">
        <f t="shared" si="273"/>
        <v>-0.11599999689155933</v>
      </c>
      <c r="I811" s="96">
        <f t="shared" si="268"/>
        <v>0</v>
      </c>
      <c r="J811" s="96">
        <f t="shared" si="269"/>
        <v>1.0784999999999854</v>
      </c>
    </row>
    <row r="812" spans="1:10" ht="12.75" customHeight="1">
      <c r="A812" s="96">
        <f>IF(MAX($F$93:F812)=$G$88,$G$88,F812)</f>
        <v>3.2057712852183653</v>
      </c>
      <c r="B812" s="481">
        <v>720</v>
      </c>
      <c r="C812" s="96">
        <f t="shared" si="274"/>
        <v>1.0799999999999854</v>
      </c>
      <c r="D812" s="96">
        <f t="shared" si="271"/>
        <v>75.807454654193506</v>
      </c>
      <c r="E812" s="96">
        <f t="shared" si="272"/>
        <v>6.7315669515397726E-11</v>
      </c>
      <c r="F812" s="96">
        <f t="shared" si="270"/>
        <v>2.8450750662750953E-9</v>
      </c>
      <c r="G812" s="96">
        <f t="shared" si="273"/>
        <v>-0.11599999715492494</v>
      </c>
      <c r="I812" s="96">
        <f t="shared" ref="I812:I875" si="275">IF(F812&gt;$G$87,1,0)</f>
        <v>0</v>
      </c>
      <c r="J812" s="96">
        <f t="shared" ref="J812:J875" si="276">C812</f>
        <v>1.0799999999999854</v>
      </c>
    </row>
    <row r="813" spans="1:10" ht="12.75" customHeight="1">
      <c r="A813" s="96">
        <f>IF(MAX($F$93:F813)=$G$88,$G$88,F813)</f>
        <v>3.2057712852183653</v>
      </c>
      <c r="B813" s="481">
        <v>721</v>
      </c>
      <c r="C813" s="96">
        <f t="shared" si="274"/>
        <v>1.0814999999999855</v>
      </c>
      <c r="D813" s="96">
        <f t="shared" si="271"/>
        <v>76.01817715063774</v>
      </c>
      <c r="E813" s="96">
        <f t="shared" si="272"/>
        <v>6.1489043943493344E-11</v>
      </c>
      <c r="F813" s="96">
        <f t="shared" si="270"/>
        <v>2.6035823485432623E-9</v>
      </c>
      <c r="G813" s="96">
        <f t="shared" si="273"/>
        <v>-0.11599999739641766</v>
      </c>
      <c r="I813" s="96">
        <f t="shared" si="275"/>
        <v>0</v>
      </c>
      <c r="J813" s="96">
        <f t="shared" si="276"/>
        <v>1.0814999999999855</v>
      </c>
    </row>
    <row r="814" spans="1:10" ht="12.75" customHeight="1">
      <c r="A814" s="96">
        <f>IF(MAX($F$93:F814)=$G$88,$G$88,F814)</f>
        <v>3.2057712852183653</v>
      </c>
      <c r="B814" s="481">
        <v>722</v>
      </c>
      <c r="C814" s="96">
        <f t="shared" si="274"/>
        <v>1.0829999999999855</v>
      </c>
      <c r="D814" s="96">
        <f t="shared" si="271"/>
        <v>76.229192114113843</v>
      </c>
      <c r="E814" s="96">
        <f t="shared" si="272"/>
        <v>5.6157459450212316E-11</v>
      </c>
      <c r="F814" s="96">
        <f t="shared" si="270"/>
        <v>2.3821844041948015E-9</v>
      </c>
      <c r="G814" s="96">
        <f t="shared" si="273"/>
        <v>-0.1159999976178156</v>
      </c>
      <c r="I814" s="96">
        <f t="shared" si="275"/>
        <v>0</v>
      </c>
      <c r="J814" s="96">
        <f t="shared" si="276"/>
        <v>1.0829999999999855</v>
      </c>
    </row>
    <row r="815" spans="1:10" ht="12.75" customHeight="1">
      <c r="A815" s="96">
        <f>IF(MAX($F$93:F815)=$G$88,$G$88,F815)</f>
        <v>3.2057712852183653</v>
      </c>
      <c r="B815" s="481">
        <v>723</v>
      </c>
      <c r="C815" s="96">
        <f t="shared" si="274"/>
        <v>1.0844999999999856</v>
      </c>
      <c r="D815" s="96">
        <f t="shared" si="271"/>
        <v>76.440499544621773</v>
      </c>
      <c r="E815" s="96">
        <f t="shared" si="272"/>
        <v>5.1279682211229908E-11</v>
      </c>
      <c r="F815" s="96">
        <f t="shared" si="270"/>
        <v>2.1792443716222834E-9</v>
      </c>
      <c r="G815" s="96">
        <f t="shared" si="273"/>
        <v>-0.11599999782075564</v>
      </c>
      <c r="I815" s="96">
        <f t="shared" si="275"/>
        <v>0</v>
      </c>
      <c r="J815" s="96">
        <f t="shared" si="276"/>
        <v>1.0844999999999856</v>
      </c>
    </row>
    <row r="816" spans="1:10" ht="12.75" customHeight="1">
      <c r="A816" s="96">
        <f>IF(MAX($F$93:F816)=$G$88,$G$88,F816)</f>
        <v>3.2057712852183653</v>
      </c>
      <c r="B816" s="481">
        <v>724</v>
      </c>
      <c r="C816" s="96">
        <f t="shared" si="274"/>
        <v>1.0859999999999856</v>
      </c>
      <c r="D816" s="96">
        <f t="shared" si="271"/>
        <v>76.652099442161557</v>
      </c>
      <c r="E816" s="96">
        <f t="shared" si="272"/>
        <v>4.6817840714688243E-11</v>
      </c>
      <c r="F816" s="96">
        <f t="shared" si="270"/>
        <v>1.9932556966432035E-9</v>
      </c>
      <c r="G816" s="96">
        <f t="shared" si="273"/>
        <v>-0.11599999800674431</v>
      </c>
      <c r="I816" s="96">
        <f t="shared" si="275"/>
        <v>0</v>
      </c>
      <c r="J816" s="96">
        <f t="shared" si="276"/>
        <v>1.0859999999999856</v>
      </c>
    </row>
    <row r="817" spans="1:10" ht="12.75" customHeight="1">
      <c r="A817" s="96">
        <f>IF(MAX($F$93:F817)=$G$88,$G$88,F817)</f>
        <v>3.2057712852183653</v>
      </c>
      <c r="B817" s="481">
        <v>725</v>
      </c>
      <c r="C817" s="96">
        <f t="shared" si="274"/>
        <v>1.0874999999999857</v>
      </c>
      <c r="D817" s="96">
        <f t="shared" si="271"/>
        <v>76.863991806733182</v>
      </c>
      <c r="E817" s="96">
        <f t="shared" si="272"/>
        <v>4.2737157797044749E-11</v>
      </c>
      <c r="F817" s="96">
        <f t="shared" si="270"/>
        <v>1.8228320143159839E-9</v>
      </c>
      <c r="G817" s="96">
        <f t="shared" si="273"/>
        <v>-0.115999998177168</v>
      </c>
      <c r="I817" s="96">
        <f t="shared" si="275"/>
        <v>0</v>
      </c>
      <c r="J817" s="96">
        <f t="shared" si="276"/>
        <v>1.0874999999999857</v>
      </c>
    </row>
    <row r="818" spans="1:10" ht="12.75" customHeight="1">
      <c r="A818" s="96">
        <f>IF(MAX($F$93:F818)=$G$88,$G$88,F818)</f>
        <v>3.2057712852183653</v>
      </c>
      <c r="B818" s="481">
        <v>726</v>
      </c>
      <c r="C818" s="96">
        <f t="shared" si="274"/>
        <v>1.0889999999999858</v>
      </c>
      <c r="D818" s="96">
        <f t="shared" si="271"/>
        <v>77.076176638336662</v>
      </c>
      <c r="E818" s="96">
        <f t="shared" si="272"/>
        <v>3.9005703510476883E-11</v>
      </c>
      <c r="F818" s="96">
        <f t="shared" si="270"/>
        <v>1.6666977952787281E-9</v>
      </c>
      <c r="G818" s="96">
        <f t="shared" si="273"/>
        <v>-0.11599999833330221</v>
      </c>
      <c r="I818" s="96">
        <f t="shared" si="275"/>
        <v>0</v>
      </c>
      <c r="J818" s="96">
        <f t="shared" si="276"/>
        <v>1.0889999999999858</v>
      </c>
    </row>
    <row r="819" spans="1:10" ht="12.75" customHeight="1">
      <c r="A819" s="96">
        <f>IF(MAX($F$93:F819)=$G$88,$G$88,F819)</f>
        <v>3.2057712852183653</v>
      </c>
      <c r="B819" s="481">
        <v>727</v>
      </c>
      <c r="C819" s="96">
        <f t="shared" si="274"/>
        <v>1.0904999999999858</v>
      </c>
      <c r="D819" s="96">
        <f t="shared" si="271"/>
        <v>77.288653936971983</v>
      </c>
      <c r="E819" s="96">
        <f t="shared" si="272"/>
        <v>3.55941672458502E-11</v>
      </c>
      <c r="F819" s="96">
        <f t="shared" si="270"/>
        <v>1.5236797005567268E-9</v>
      </c>
      <c r="G819" s="96">
        <f t="shared" si="273"/>
        <v>-0.11599999847632031</v>
      </c>
      <c r="I819" s="96">
        <f t="shared" si="275"/>
        <v>0</v>
      </c>
      <c r="J819" s="96">
        <f t="shared" si="276"/>
        <v>1.0904999999999858</v>
      </c>
    </row>
    <row r="820" spans="1:10" ht="12.75" customHeight="1">
      <c r="A820" s="96">
        <f>IF(MAX($F$93:F820)=$G$88,$G$88,F820)</f>
        <v>3.2057712852183653</v>
      </c>
      <c r="B820" s="481">
        <v>728</v>
      </c>
      <c r="C820" s="96">
        <f t="shared" si="274"/>
        <v>1.0919999999999859</v>
      </c>
      <c r="D820" s="96">
        <f t="shared" si="271"/>
        <v>77.501423702639144</v>
      </c>
      <c r="E820" s="96">
        <f t="shared" si="272"/>
        <v>3.2475647650948053E-11</v>
      </c>
      <c r="F820" s="96">
        <f t="shared" si="270"/>
        <v>1.3926985927639989E-9</v>
      </c>
      <c r="G820" s="96">
        <f t="shared" si="273"/>
        <v>-0.11599999860730141</v>
      </c>
      <c r="I820" s="96">
        <f t="shared" si="275"/>
        <v>0</v>
      </c>
      <c r="J820" s="96">
        <f t="shared" si="276"/>
        <v>1.0919999999999859</v>
      </c>
    </row>
    <row r="821" spans="1:10" ht="12.75" customHeight="1">
      <c r="A821" s="96">
        <f>IF(MAX($F$93:F821)=$G$88,$G$88,F821)</f>
        <v>3.2057712852183653</v>
      </c>
      <c r="B821" s="481">
        <v>729</v>
      </c>
      <c r="C821" s="96">
        <f t="shared" si="274"/>
        <v>1.0934999999999859</v>
      </c>
      <c r="D821" s="96">
        <f t="shared" si="271"/>
        <v>77.714485935338146</v>
      </c>
      <c r="E821" s="96">
        <f t="shared" si="272"/>
        <v>2.9625458991147346E-11</v>
      </c>
      <c r="F821" s="96">
        <f t="shared" si="270"/>
        <v>1.2727621553220053E-9</v>
      </c>
      <c r="G821" s="96">
        <f t="shared" si="273"/>
        <v>-0.11599999872723785</v>
      </c>
      <c r="I821" s="96">
        <f t="shared" si="275"/>
        <v>0</v>
      </c>
      <c r="J821" s="96">
        <f t="shared" si="276"/>
        <v>1.0934999999999859</v>
      </c>
    </row>
    <row r="822" spans="1:10" ht="12.75" customHeight="1">
      <c r="A822" s="96">
        <f>IF(MAX($F$93:F822)=$G$88,$G$88,F822)</f>
        <v>3.2057712852183653</v>
      </c>
      <c r="B822" s="481">
        <v>730</v>
      </c>
      <c r="C822" s="96">
        <f t="shared" si="274"/>
        <v>1.094999999999986</v>
      </c>
      <c r="D822" s="96">
        <f t="shared" si="271"/>
        <v>77.927840635069003</v>
      </c>
      <c r="E822" s="96">
        <f t="shared" si="272"/>
        <v>2.7020952699568029E-11</v>
      </c>
      <c r="F822" s="96">
        <f t="shared" si="270"/>
        <v>1.1629580747680864E-9</v>
      </c>
      <c r="G822" s="96">
        <f t="shared" si="273"/>
        <v>-0.11599999883704193</v>
      </c>
      <c r="I822" s="96">
        <f t="shared" si="275"/>
        <v>0</v>
      </c>
      <c r="J822" s="96">
        <f t="shared" si="276"/>
        <v>1.094999999999986</v>
      </c>
    </row>
    <row r="823" spans="1:10" ht="12.75" customHeight="1">
      <c r="A823" s="96">
        <f>IF(MAX($F$93:F823)=$G$88,$G$88,F823)</f>
        <v>3.2057712852183653</v>
      </c>
      <c r="B823" s="481">
        <v>731</v>
      </c>
      <c r="C823" s="96">
        <f t="shared" si="274"/>
        <v>1.096499999999986</v>
      </c>
      <c r="D823" s="96">
        <f t="shared" si="271"/>
        <v>78.141487801831701</v>
      </c>
      <c r="E823" s="96">
        <f t="shared" si="272"/>
        <v>2.4641352956426976E-11</v>
      </c>
      <c r="F823" s="96">
        <f t="shared" si="270"/>
        <v>1.0624477444395615E-9</v>
      </c>
      <c r="G823" s="96">
        <f t="shared" si="273"/>
        <v>-0.11599999893755226</v>
      </c>
      <c r="I823" s="96">
        <f t="shared" si="275"/>
        <v>0</v>
      </c>
      <c r="J823" s="96">
        <f t="shared" si="276"/>
        <v>1.096499999999986</v>
      </c>
    </row>
    <row r="824" spans="1:10" ht="12.75" customHeight="1">
      <c r="A824" s="96">
        <f>IF(MAX($F$93:F824)=$G$88,$G$88,F824)</f>
        <v>3.2057712852183653</v>
      </c>
      <c r="B824" s="481">
        <v>732</v>
      </c>
      <c r="C824" s="96">
        <f t="shared" si="274"/>
        <v>1.0979999999999861</v>
      </c>
      <c r="D824" s="96">
        <f t="shared" si="271"/>
        <v>78.35542743562624</v>
      </c>
      <c r="E824" s="96">
        <f t="shared" si="272"/>
        <v>2.2467605223398479E-11</v>
      </c>
      <c r="F824" s="96">
        <f t="shared" si="270"/>
        <v>9.704604508084575E-10</v>
      </c>
      <c r="G824" s="96">
        <f t="shared" si="273"/>
        <v>-0.11599999902953956</v>
      </c>
      <c r="I824" s="96">
        <f t="shared" si="275"/>
        <v>0</v>
      </c>
      <c r="J824" s="96">
        <f t="shared" si="276"/>
        <v>1.0979999999999861</v>
      </c>
    </row>
    <row r="825" spans="1:10" ht="12.75" customHeight="1">
      <c r="A825" s="96">
        <f>IF(MAX($F$93:F825)=$G$88,$G$88,F825)</f>
        <v>3.2057712852183653</v>
      </c>
      <c r="B825" s="481">
        <v>733</v>
      </c>
      <c r="C825" s="96">
        <f t="shared" si="274"/>
        <v>1.0994999999999862</v>
      </c>
      <c r="D825" s="96">
        <f t="shared" si="271"/>
        <v>78.569659536452619</v>
      </c>
      <c r="E825" s="96">
        <f t="shared" si="272"/>
        <v>2.0482236738676444E-11</v>
      </c>
      <c r="F825" s="96">
        <f t="shared" si="270"/>
        <v>8.8628800652569302E-10</v>
      </c>
      <c r="G825" s="96">
        <f t="shared" si="273"/>
        <v>-0.115999999113712</v>
      </c>
      <c r="I825" s="96">
        <f t="shared" si="275"/>
        <v>0</v>
      </c>
      <c r="J825" s="96">
        <f t="shared" si="276"/>
        <v>1.0994999999999862</v>
      </c>
    </row>
    <row r="826" spans="1:10" ht="12.75" customHeight="1">
      <c r="A826" s="96">
        <f>IF(MAX($F$93:F826)=$G$88,$G$88,F826)</f>
        <v>3.2057712852183653</v>
      </c>
      <c r="B826" s="481">
        <v>734</v>
      </c>
      <c r="C826" s="96">
        <f t="shared" si="274"/>
        <v>1.1009999999999862</v>
      </c>
      <c r="D826" s="96">
        <f t="shared" si="271"/>
        <v>78.784184104310867</v>
      </c>
      <c r="E826" s="96">
        <f t="shared" si="272"/>
        <v>1.866922805257408E-11</v>
      </c>
      <c r="F826" s="96">
        <f t="shared" si="270"/>
        <v>8.0927979682644533E-10</v>
      </c>
      <c r="G826" s="96">
        <f t="shared" si="273"/>
        <v>-0.11599999919072021</v>
      </c>
      <c r="I826" s="96">
        <f t="shared" si="275"/>
        <v>0</v>
      </c>
      <c r="J826" s="96">
        <f t="shared" si="276"/>
        <v>1.1009999999999862</v>
      </c>
    </row>
    <row r="827" spans="1:10" ht="12.75" customHeight="1">
      <c r="A827" s="96">
        <f>IF(MAX($F$93:F827)=$G$88,$G$88,F827)</f>
        <v>3.2057712852183653</v>
      </c>
      <c r="B827" s="481">
        <v>735</v>
      </c>
      <c r="C827" s="96">
        <f t="shared" si="274"/>
        <v>1.1024999999999863</v>
      </c>
      <c r="D827" s="96">
        <f t="shared" si="271"/>
        <v>78.999001139200942</v>
      </c>
      <c r="E827" s="96">
        <f t="shared" si="272"/>
        <v>1.7013894752277392E-11</v>
      </c>
      <c r="F827" s="96">
        <f t="shared" si="270"/>
        <v>7.3883820835813788E-10</v>
      </c>
      <c r="G827" s="96">
        <f t="shared" si="273"/>
        <v>-0.11599999926116179</v>
      </c>
      <c r="I827" s="96">
        <f t="shared" si="275"/>
        <v>0</v>
      </c>
      <c r="J827" s="96">
        <f t="shared" si="276"/>
        <v>1.1024999999999863</v>
      </c>
    </row>
    <row r="828" spans="1:10" ht="12.75" customHeight="1">
      <c r="A828" s="96">
        <f>IF(MAX($F$93:F828)=$G$88,$G$88,F828)</f>
        <v>3.2057712852183653</v>
      </c>
      <c r="B828" s="481">
        <v>736</v>
      </c>
      <c r="C828" s="96">
        <f t="shared" si="274"/>
        <v>1.1039999999999863</v>
      </c>
      <c r="D828" s="96">
        <f t="shared" si="271"/>
        <v>79.214110641122858</v>
      </c>
      <c r="E828" s="96">
        <f t="shared" si="272"/>
        <v>1.550277858818206E-11</v>
      </c>
      <c r="F828" s="96">
        <f t="shared" si="270"/>
        <v>6.7441441173556808E-10</v>
      </c>
      <c r="G828" s="96">
        <f t="shared" si="273"/>
        <v>-0.11599999932558559</v>
      </c>
      <c r="I828" s="96">
        <f t="shared" si="275"/>
        <v>0</v>
      </c>
      <c r="J828" s="96">
        <f t="shared" si="276"/>
        <v>1.1039999999999863</v>
      </c>
    </row>
    <row r="829" spans="1:10" ht="12.75" customHeight="1">
      <c r="A829" s="96">
        <f>IF(MAX($F$93:F829)=$G$88,$G$88,F829)</f>
        <v>3.2057712852183653</v>
      </c>
      <c r="B829" s="481">
        <v>737</v>
      </c>
      <c r="C829" s="96">
        <f t="shared" si="274"/>
        <v>1.1054999999999864</v>
      </c>
      <c r="D829" s="96">
        <f t="shared" si="271"/>
        <v>79.429512610076642</v>
      </c>
      <c r="E829" s="96">
        <f t="shared" si="272"/>
        <v>1.4123547273410671E-11</v>
      </c>
      <c r="F829" s="96">
        <f t="shared" si="270"/>
        <v>6.1550447121399524E-10</v>
      </c>
      <c r="G829" s="96">
        <f t="shared" si="273"/>
        <v>-0.11599999938449554</v>
      </c>
      <c r="I829" s="96">
        <f t="shared" si="275"/>
        <v>0</v>
      </c>
      <c r="J829" s="96">
        <f t="shared" si="276"/>
        <v>1.1054999999999864</v>
      </c>
    </row>
    <row r="830" spans="1:10" ht="12.75" customHeight="1">
      <c r="A830" s="96">
        <f>IF(MAX($F$93:F830)=$G$88,$G$88,F830)</f>
        <v>3.2057712852183653</v>
      </c>
      <c r="B830" s="481">
        <v>738</v>
      </c>
      <c r="C830" s="96">
        <f t="shared" si="274"/>
        <v>1.1069999999999864</v>
      </c>
      <c r="D830" s="96">
        <f t="shared" si="271"/>
        <v>79.645207046062239</v>
      </c>
      <c r="E830" s="96">
        <f t="shared" si="272"/>
        <v>1.2864902282979223E-11</v>
      </c>
      <c r="F830" s="96">
        <f t="shared" si="270"/>
        <v>5.6164575681131743E-10</v>
      </c>
      <c r="G830" s="96">
        <f t="shared" si="273"/>
        <v>-0.11599999943835425</v>
      </c>
      <c r="I830" s="96">
        <f t="shared" si="275"/>
        <v>0</v>
      </c>
      <c r="J830" s="96">
        <f t="shared" si="276"/>
        <v>1.1069999999999864</v>
      </c>
    </row>
    <row r="831" spans="1:10" ht="12.75" customHeight="1">
      <c r="A831" s="96">
        <f>IF(MAX($F$93:F831)=$G$88,$G$88,F831)</f>
        <v>3.2057712852183653</v>
      </c>
      <c r="B831" s="481">
        <v>739</v>
      </c>
      <c r="C831" s="96">
        <f t="shared" si="274"/>
        <v>1.1084999999999865</v>
      </c>
      <c r="D831" s="96">
        <f t="shared" si="271"/>
        <v>79.861193949079691</v>
      </c>
      <c r="E831" s="96">
        <f t="shared" si="272"/>
        <v>1.1716494029933597E-11</v>
      </c>
      <c r="F831" s="96">
        <f t="shared" si="270"/>
        <v>5.1241363601273196E-10</v>
      </c>
      <c r="G831" s="96">
        <f t="shared" si="273"/>
        <v>-0.11599999948758637</v>
      </c>
      <c r="I831" s="96">
        <f t="shared" si="275"/>
        <v>0</v>
      </c>
      <c r="J831" s="96">
        <f t="shared" si="276"/>
        <v>1.1084999999999865</v>
      </c>
    </row>
    <row r="832" spans="1:10" ht="12.75" customHeight="1">
      <c r="A832" s="96">
        <f>IF(MAX($F$93:F832)=$G$88,$G$88,F832)</f>
        <v>3.2057712852183653</v>
      </c>
      <c r="B832" s="481">
        <v>740</v>
      </c>
      <c r="C832" s="96">
        <f t="shared" si="274"/>
        <v>1.1099999999999866</v>
      </c>
      <c r="D832" s="96">
        <f t="shared" si="271"/>
        <v>80.077473319128998</v>
      </c>
      <c r="E832" s="96">
        <f t="shared" si="272"/>
        <v>1.0668843842924658E-11</v>
      </c>
      <c r="F832" s="96">
        <f t="shared" si="270"/>
        <v>4.6741842386724888E-10</v>
      </c>
      <c r="G832" s="96">
        <f t="shared" si="273"/>
        <v>-0.11599999953258158</v>
      </c>
      <c r="I832" s="96">
        <f t="shared" si="275"/>
        <v>0</v>
      </c>
      <c r="J832" s="96">
        <f t="shared" si="276"/>
        <v>1.1099999999999866</v>
      </c>
    </row>
    <row r="833" spans="1:10" ht="12.75" customHeight="1">
      <c r="A833" s="96">
        <f>IF(MAX($F$93:F833)=$G$88,$G$88,F833)</f>
        <v>3.2057712852183653</v>
      </c>
      <c r="B833" s="481">
        <v>741</v>
      </c>
      <c r="C833" s="96">
        <f t="shared" si="274"/>
        <v>1.1114999999999866</v>
      </c>
      <c r="D833" s="96">
        <f t="shared" si="271"/>
        <v>80.294045156210146</v>
      </c>
      <c r="E833" s="96">
        <f t="shared" si="272"/>
        <v>9.7132722133596728E-12</v>
      </c>
      <c r="F833" s="96">
        <f t="shared" si="270"/>
        <v>4.2630257184477747E-10</v>
      </c>
      <c r="G833" s="96">
        <f t="shared" si="273"/>
        <v>-0.11599999957369743</v>
      </c>
      <c r="I833" s="96">
        <f t="shared" si="275"/>
        <v>0</v>
      </c>
      <c r="J833" s="96">
        <f t="shared" si="276"/>
        <v>1.1114999999999866</v>
      </c>
    </row>
    <row r="834" spans="1:10" ht="12.75" customHeight="1">
      <c r="A834" s="96">
        <f>IF(MAX($F$93:F834)=$G$88,$G$88,F834)</f>
        <v>3.2057712852183653</v>
      </c>
      <c r="B834" s="481">
        <v>742</v>
      </c>
      <c r="C834" s="96">
        <f t="shared" si="274"/>
        <v>1.1129999999999867</v>
      </c>
      <c r="D834" s="96">
        <f t="shared" si="271"/>
        <v>80.510909460323134</v>
      </c>
      <c r="E834" s="96">
        <f t="shared" si="272"/>
        <v>8.8418328207327539E-12</v>
      </c>
      <c r="F834" s="96">
        <f t="shared" si="270"/>
        <v>3.8873807726652735E-10</v>
      </c>
      <c r="G834" s="96">
        <f t="shared" si="273"/>
        <v>-0.11599999961126192</v>
      </c>
      <c r="I834" s="96">
        <f t="shared" si="275"/>
        <v>0</v>
      </c>
      <c r="J834" s="96">
        <f t="shared" si="276"/>
        <v>1.1129999999999867</v>
      </c>
    </row>
    <row r="835" spans="1:10" ht="12.75" customHeight="1">
      <c r="A835" s="96">
        <f>IF(MAX($F$93:F835)=$G$88,$G$88,F835)</f>
        <v>3.2057712852183653</v>
      </c>
      <c r="B835" s="481">
        <v>743</v>
      </c>
      <c r="C835" s="96">
        <f t="shared" si="274"/>
        <v>1.1144999999999867</v>
      </c>
      <c r="D835" s="96">
        <f t="shared" si="271"/>
        <v>80.728066231467963</v>
      </c>
      <c r="E835" s="96">
        <f t="shared" si="272"/>
        <v>8.0472518822174125E-12</v>
      </c>
      <c r="F835" s="96">
        <f t="shared" si="270"/>
        <v>3.5442409646678778E-10</v>
      </c>
      <c r="G835" s="96">
        <f t="shared" si="273"/>
        <v>-0.1159999996455759</v>
      </c>
      <c r="I835" s="96">
        <f t="shared" si="275"/>
        <v>0</v>
      </c>
      <c r="J835" s="96">
        <f t="shared" si="276"/>
        <v>1.1144999999999867</v>
      </c>
    </row>
    <row r="836" spans="1:10" ht="12.75" customHeight="1">
      <c r="A836" s="96">
        <f>IF(MAX($F$93:F836)=$G$88,$G$88,F836)</f>
        <v>3.2057712852183653</v>
      </c>
      <c r="B836" s="481">
        <v>744</v>
      </c>
      <c r="C836" s="96">
        <f t="shared" si="274"/>
        <v>1.1159999999999868</v>
      </c>
      <c r="D836" s="96">
        <f t="shared" si="271"/>
        <v>80.945515469644661</v>
      </c>
      <c r="E836" s="96">
        <f t="shared" si="272"/>
        <v>7.3228724073036632E-12</v>
      </c>
      <c r="F836" s="96">
        <f t="shared" si="270"/>
        <v>3.2308474609225956E-10</v>
      </c>
      <c r="G836" s="96">
        <f t="shared" si="273"/>
        <v>-0.11599999967691527</v>
      </c>
      <c r="I836" s="96">
        <f t="shared" si="275"/>
        <v>0</v>
      </c>
      <c r="J836" s="96">
        <f t="shared" si="276"/>
        <v>1.1159999999999868</v>
      </c>
    </row>
    <row r="837" spans="1:10" ht="12.75" customHeight="1">
      <c r="A837" s="96">
        <f>IF(MAX($F$93:F837)=$G$88,$G$88,F837)</f>
        <v>3.2057712852183653</v>
      </c>
      <c r="B837" s="481">
        <v>745</v>
      </c>
      <c r="C837" s="96">
        <f t="shared" si="274"/>
        <v>1.1174999999999868</v>
      </c>
      <c r="D837" s="96">
        <f t="shared" si="271"/>
        <v>81.163257174853186</v>
      </c>
      <c r="E837" s="96">
        <f t="shared" si="272"/>
        <v>6.6626029703934429E-12</v>
      </c>
      <c r="F837" s="96">
        <f t="shared" si="270"/>
        <v>2.9446707810266754E-10</v>
      </c>
      <c r="G837" s="96">
        <f t="shared" si="273"/>
        <v>-0.11599999970553293</v>
      </c>
      <c r="I837" s="96">
        <f t="shared" si="275"/>
        <v>0</v>
      </c>
      <c r="J837" s="96">
        <f t="shared" si="276"/>
        <v>1.1174999999999868</v>
      </c>
    </row>
    <row r="838" spans="1:10" ht="12.75" customHeight="1">
      <c r="A838" s="96">
        <f>IF(MAX($F$93:F838)=$G$88,$G$88,F838)</f>
        <v>3.2057712852183653</v>
      </c>
      <c r="B838" s="481">
        <v>746</v>
      </c>
      <c r="C838" s="96">
        <f t="shared" si="274"/>
        <v>1.1189999999999869</v>
      </c>
      <c r="D838" s="96">
        <f t="shared" si="271"/>
        <v>81.381291347093565</v>
      </c>
      <c r="E838" s="96">
        <f t="shared" si="272"/>
        <v>6.0608706440065164E-12</v>
      </c>
      <c r="F838" s="96">
        <f t="shared" si="270"/>
        <v>2.6833921511185554E-10</v>
      </c>
      <c r="G838" s="96">
        <f t="shared" si="273"/>
        <v>-0.11599999973166079</v>
      </c>
      <c r="I838" s="96">
        <f t="shared" si="275"/>
        <v>0</v>
      </c>
      <c r="J838" s="96">
        <f t="shared" si="276"/>
        <v>1.1189999999999869</v>
      </c>
    </row>
    <row r="839" spans="1:10" ht="12.75" customHeight="1">
      <c r="A839" s="96">
        <f>IF(MAX($F$93:F839)=$G$88,$G$88,F839)</f>
        <v>3.2057712852183653</v>
      </c>
      <c r="B839" s="481">
        <v>747</v>
      </c>
      <c r="C839" s="96">
        <f t="shared" si="274"/>
        <v>1.120499999999987</v>
      </c>
      <c r="D839" s="96">
        <f t="shared" si="271"/>
        <v>81.599617986365772</v>
      </c>
      <c r="E839" s="96">
        <f t="shared" si="272"/>
        <v>5.5125777627712048E-12</v>
      </c>
      <c r="F839" s="96">
        <f t="shared" si="270"/>
        <v>2.4448863370667666E-10</v>
      </c>
      <c r="G839" s="96">
        <f t="shared" si="273"/>
        <v>-0.11599999975551137</v>
      </c>
      <c r="I839" s="96">
        <f t="shared" si="275"/>
        <v>0</v>
      </c>
      <c r="J839" s="96">
        <f t="shared" si="276"/>
        <v>1.120499999999987</v>
      </c>
    </row>
    <row r="840" spans="1:10" ht="12.75" customHeight="1">
      <c r="A840" s="96">
        <f>IF(MAX($F$93:F840)=$G$88,$G$88,F840)</f>
        <v>3.2057712852183653</v>
      </c>
      <c r="B840" s="481">
        <v>748</v>
      </c>
      <c r="C840" s="96">
        <f t="shared" si="274"/>
        <v>1.121999999999987</v>
      </c>
      <c r="D840" s="96">
        <f t="shared" si="271"/>
        <v>81.818237092669833</v>
      </c>
      <c r="E840" s="96">
        <f t="shared" si="272"/>
        <v>5.013062213835045E-12</v>
      </c>
      <c r="F840" s="96">
        <f t="shared" si="270"/>
        <v>2.2272058430631114E-10</v>
      </c>
      <c r="G840" s="96">
        <f t="shared" si="273"/>
        <v>-0.11599999977727943</v>
      </c>
      <c r="I840" s="96">
        <f t="shared" si="275"/>
        <v>0</v>
      </c>
      <c r="J840" s="96">
        <f t="shared" si="276"/>
        <v>1.121999999999987</v>
      </c>
    </row>
    <row r="841" spans="1:10" ht="12.75" customHeight="1">
      <c r="A841" s="96">
        <f>IF(MAX($F$93:F841)=$G$88,$G$88,F841)</f>
        <v>3.2057712852183653</v>
      </c>
      <c r="B841" s="481">
        <v>749</v>
      </c>
      <c r="C841" s="96">
        <f t="shared" si="274"/>
        <v>1.1234999999999871</v>
      </c>
      <c r="D841" s="96">
        <f t="shared" si="271"/>
        <v>82.037148666005734</v>
      </c>
      <c r="E841" s="96">
        <f t="shared" si="272"/>
        <v>4.5580609728870142E-12</v>
      </c>
      <c r="F841" s="96">
        <f t="shared" si="270"/>
        <v>2.0285663698339389E-10</v>
      </c>
      <c r="G841" s="96">
        <f t="shared" si="273"/>
        <v>-0.11599999979714337</v>
      </c>
      <c r="I841" s="96">
        <f t="shared" si="275"/>
        <v>0</v>
      </c>
      <c r="J841" s="96">
        <f t="shared" si="276"/>
        <v>1.1234999999999871</v>
      </c>
    </row>
    <row r="842" spans="1:10" ht="12.75" customHeight="1">
      <c r="A842" s="96">
        <f>IF(MAX($F$93:F842)=$G$88,$G$88,F842)</f>
        <v>3.2057712852183653</v>
      </c>
      <c r="B842" s="481">
        <v>750</v>
      </c>
      <c r="C842" s="96">
        <f t="shared" si="274"/>
        <v>1.1249999999999871</v>
      </c>
      <c r="D842" s="96">
        <f t="shared" si="271"/>
        <v>82.256352706373491</v>
      </c>
      <c r="E842" s="96">
        <f t="shared" si="272"/>
        <v>4.1436766267633569E-12</v>
      </c>
      <c r="F842" s="96">
        <f t="shared" si="270"/>
        <v>1.8473334346444347E-10</v>
      </c>
      <c r="G842" s="96">
        <f t="shared" si="273"/>
        <v>-0.11599999981526667</v>
      </c>
      <c r="I842" s="96">
        <f t="shared" si="275"/>
        <v>0</v>
      </c>
      <c r="J842" s="96">
        <f t="shared" si="276"/>
        <v>1.1249999999999871</v>
      </c>
    </row>
    <row r="843" spans="1:10" ht="12.75" customHeight="1">
      <c r="A843" s="96">
        <f>IF(MAX($F$93:F843)=$G$88,$G$88,F843)</f>
        <v>3.2057712852183653</v>
      </c>
      <c r="B843" s="481">
        <v>751</v>
      </c>
      <c r="C843" s="96">
        <f t="shared" si="274"/>
        <v>1.1264999999999872</v>
      </c>
      <c r="D843" s="96">
        <f t="shared" si="271"/>
        <v>82.475849213773088</v>
      </c>
      <c r="E843" s="96">
        <f t="shared" si="272"/>
        <v>3.766346643753685E-12</v>
      </c>
      <c r="F843" s="96">
        <f t="shared" si="270"/>
        <v>1.6820100626534703E-10</v>
      </c>
      <c r="G843" s="96">
        <f t="shared" si="273"/>
        <v>-0.115999999831799</v>
      </c>
      <c r="I843" s="96">
        <f t="shared" si="275"/>
        <v>0</v>
      </c>
      <c r="J843" s="96">
        <f t="shared" si="276"/>
        <v>1.1264999999999872</v>
      </c>
    </row>
    <row r="844" spans="1:10" ht="12.75" customHeight="1">
      <c r="A844" s="96">
        <f>IF(MAX($F$93:F844)=$G$88,$G$88,F844)</f>
        <v>3.2057712852183653</v>
      </c>
      <c r="B844" s="481">
        <v>752</v>
      </c>
      <c r="C844" s="96">
        <f t="shared" si="274"/>
        <v>1.1279999999999872</v>
      </c>
      <c r="D844" s="96">
        <f t="shared" si="271"/>
        <v>82.695638188204512</v>
      </c>
      <c r="E844" s="96">
        <f t="shared" si="272"/>
        <v>3.4228151713404409E-12</v>
      </c>
      <c r="F844" s="96">
        <f t="shared" si="270"/>
        <v>1.531225466019508E-10</v>
      </c>
      <c r="G844" s="96">
        <f t="shared" si="273"/>
        <v>-0.11599999984687746</v>
      </c>
      <c r="I844" s="96">
        <f t="shared" si="275"/>
        <v>0</v>
      </c>
      <c r="J844" s="96">
        <f t="shared" si="276"/>
        <v>1.1279999999999872</v>
      </c>
    </row>
    <row r="845" spans="1:10" ht="12.75" customHeight="1">
      <c r="A845" s="96">
        <f>IF(MAX($F$93:F845)=$G$88,$G$88,F845)</f>
        <v>3.2057712852183653</v>
      </c>
      <c r="B845" s="481">
        <v>753</v>
      </c>
      <c r="C845" s="96">
        <f t="shared" si="274"/>
        <v>1.1294999999999873</v>
      </c>
      <c r="D845" s="96">
        <f t="shared" si="271"/>
        <v>82.915719629667805</v>
      </c>
      <c r="E845" s="96">
        <f t="shared" si="272"/>
        <v>3.1101071583167529E-12</v>
      </c>
      <c r="F845" s="96">
        <f t="shared" si="270"/>
        <v>1.3937246334959839E-10</v>
      </c>
      <c r="G845" s="96">
        <f t="shared" si="273"/>
        <v>-0.11599999986062755</v>
      </c>
      <c r="I845" s="96">
        <f t="shared" si="275"/>
        <v>0</v>
      </c>
      <c r="J845" s="96">
        <f t="shared" si="276"/>
        <v>1.1294999999999873</v>
      </c>
    </row>
    <row r="846" spans="1:10" ht="12.75" customHeight="1">
      <c r="A846" s="96">
        <f>IF(MAX($F$93:F846)=$G$88,$G$88,F846)</f>
        <v>3.2057712852183653</v>
      </c>
      <c r="B846" s="481">
        <v>754</v>
      </c>
      <c r="C846" s="96">
        <f t="shared" si="274"/>
        <v>1.1309999999999873</v>
      </c>
      <c r="D846" s="96">
        <f t="shared" si="271"/>
        <v>83.136093538162939</v>
      </c>
      <c r="E846" s="96">
        <f t="shared" si="272"/>
        <v>2.8255046141278764E-12</v>
      </c>
      <c r="F846" s="96">
        <f t="shared" si="270"/>
        <v>1.2683587591350324E-10</v>
      </c>
      <c r="G846" s="96">
        <f t="shared" si="273"/>
        <v>-0.11599999987316413</v>
      </c>
      <c r="I846" s="96">
        <f t="shared" si="275"/>
        <v>0</v>
      </c>
      <c r="J846" s="96">
        <f t="shared" si="276"/>
        <v>1.1309999999999873</v>
      </c>
    </row>
    <row r="847" spans="1:10" ht="12.75" customHeight="1">
      <c r="A847" s="96">
        <f>IF(MAX($F$93:F847)=$G$88,$G$88,F847)</f>
        <v>3.2057712852183653</v>
      </c>
      <c r="B847" s="481">
        <v>755</v>
      </c>
      <c r="C847" s="96">
        <f t="shared" si="274"/>
        <v>1.1324999999999874</v>
      </c>
      <c r="D847" s="96">
        <f t="shared" si="271"/>
        <v>83.356759913689913</v>
      </c>
      <c r="E847" s="96">
        <f t="shared" si="272"/>
        <v>2.5665248329731675E-12</v>
      </c>
      <c r="F847" s="96">
        <f t="shared" si="270"/>
        <v>1.1540764441545006E-10</v>
      </c>
      <c r="G847" s="96">
        <f t="shared" si="273"/>
        <v>-0.11599999988459236</v>
      </c>
      <c r="I847" s="96">
        <f t="shared" si="275"/>
        <v>0</v>
      </c>
      <c r="J847" s="96">
        <f t="shared" si="276"/>
        <v>1.1324999999999874</v>
      </c>
    </row>
    <row r="848" spans="1:10" ht="12.75" customHeight="1">
      <c r="A848" s="96">
        <f>IF(MAX($F$93:F848)=$G$88,$G$88,F848)</f>
        <v>3.2057712852183653</v>
      </c>
      <c r="B848" s="481">
        <v>756</v>
      </c>
      <c r="C848" s="96">
        <f t="shared" si="274"/>
        <v>1.1339999999999875</v>
      </c>
      <c r="D848" s="96">
        <f t="shared" si="271"/>
        <v>83.577718756248728</v>
      </c>
      <c r="E848" s="96">
        <f t="shared" si="272"/>
        <v>2.3309004237759475E-12</v>
      </c>
      <c r="F848" s="96">
        <f t="shared" si="270"/>
        <v>1.0499156110672478E-10</v>
      </c>
      <c r="G848" s="96">
        <f t="shared" si="273"/>
        <v>-0.11599999989500845</v>
      </c>
      <c r="I848" s="96">
        <f t="shared" si="275"/>
        <v>0</v>
      </c>
      <c r="J848" s="96">
        <f t="shared" si="276"/>
        <v>1.1339999999999875</v>
      </c>
    </row>
    <row r="849" spans="1:10" ht="12.75" customHeight="1">
      <c r="A849" s="96">
        <f>IF(MAX($F$93:F849)=$G$88,$G$88,F849)</f>
        <v>3.2057712852183653</v>
      </c>
      <c r="B849" s="481">
        <v>757</v>
      </c>
      <c r="C849" s="96">
        <f t="shared" si="274"/>
        <v>1.1354999999999875</v>
      </c>
      <c r="D849" s="96">
        <f t="shared" si="271"/>
        <v>83.798970065839399</v>
      </c>
      <c r="E849" s="96">
        <f t="shared" si="272"/>
        <v>2.1165609996586327E-12</v>
      </c>
      <c r="F849" s="96">
        <f t="shared" si="270"/>
        <v>9.5499607383641049E-11</v>
      </c>
      <c r="G849" s="96">
        <f t="shared" si="273"/>
        <v>-0.1159999999045004</v>
      </c>
      <c r="I849" s="96">
        <f t="shared" si="275"/>
        <v>0</v>
      </c>
      <c r="J849" s="96">
        <f t="shared" si="276"/>
        <v>1.1354999999999875</v>
      </c>
    </row>
    <row r="850" spans="1:10" ht="12.75" customHeight="1">
      <c r="A850" s="96">
        <f>IF(MAX($F$93:F850)=$G$88,$G$88,F850)</f>
        <v>3.2057712852183653</v>
      </c>
      <c r="B850" s="481">
        <v>758</v>
      </c>
      <c r="C850" s="96">
        <f t="shared" si="274"/>
        <v>1.1369999999999876</v>
      </c>
      <c r="D850" s="96">
        <f t="shared" si="271"/>
        <v>84.020513842461924</v>
      </c>
      <c r="E850" s="96">
        <f t="shared" si="272"/>
        <v>1.9216163921317716E-12</v>
      </c>
      <c r="F850" s="96">
        <f t="shared" si="270"/>
        <v>8.6851271213992587E-11</v>
      </c>
      <c r="G850" s="96">
        <f t="shared" si="273"/>
        <v>-0.11599999991314873</v>
      </c>
      <c r="I850" s="96">
        <f t="shared" si="275"/>
        <v>0</v>
      </c>
      <c r="J850" s="96">
        <f t="shared" si="276"/>
        <v>1.1369999999999876</v>
      </c>
    </row>
    <row r="851" spans="1:10" ht="12.75" customHeight="1">
      <c r="A851" s="96">
        <f>IF(MAX($F$93:F851)=$G$88,$G$88,F851)</f>
        <v>3.2057712852183653</v>
      </c>
      <c r="B851" s="481">
        <v>759</v>
      </c>
      <c r="C851" s="96">
        <f t="shared" si="274"/>
        <v>1.1384999999999876</v>
      </c>
      <c r="D851" s="96">
        <f t="shared" si="271"/>
        <v>84.242350086116261</v>
      </c>
      <c r="E851" s="96">
        <f t="shared" si="272"/>
        <v>1.7443412658843787E-12</v>
      </c>
      <c r="F851" s="96">
        <f t="shared" si="270"/>
        <v>7.8972920182698586E-11</v>
      </c>
      <c r="G851" s="96">
        <f t="shared" si="273"/>
        <v>-0.11599999992102708</v>
      </c>
      <c r="I851" s="96">
        <f t="shared" si="275"/>
        <v>0</v>
      </c>
      <c r="J851" s="96">
        <f t="shared" si="276"/>
        <v>1.1384999999999876</v>
      </c>
    </row>
    <row r="852" spans="1:10" ht="12.75" customHeight="1">
      <c r="A852" s="96">
        <f>IF(MAX($F$93:F852)=$G$88,$G$88,F852)</f>
        <v>3.2057712852183653</v>
      </c>
      <c r="B852" s="481">
        <v>760</v>
      </c>
      <c r="C852" s="96">
        <f t="shared" si="274"/>
        <v>1.1399999999999877</v>
      </c>
      <c r="D852" s="96">
        <f t="shared" si="271"/>
        <v>84.464478796802467</v>
      </c>
      <c r="E852" s="96">
        <f t="shared" si="272"/>
        <v>1.5831610199202062E-12</v>
      </c>
      <c r="F852" s="96">
        <f t="shared" si="270"/>
        <v>7.1797225734557937E-11</v>
      </c>
      <c r="G852" s="96">
        <f t="shared" si="273"/>
        <v>-0.11599999992820278</v>
      </c>
      <c r="I852" s="96">
        <f t="shared" si="275"/>
        <v>0</v>
      </c>
      <c r="J852" s="96">
        <f t="shared" si="276"/>
        <v>1.1399999999999877</v>
      </c>
    </row>
    <row r="853" spans="1:10" ht="12.75" customHeight="1">
      <c r="A853" s="96">
        <f>IF(MAX($F$93:F853)=$G$88,$G$88,F853)</f>
        <v>3.2057712852183653</v>
      </c>
      <c r="B853" s="481">
        <v>761</v>
      </c>
      <c r="C853" s="96">
        <f t="shared" si="274"/>
        <v>1.1414999999999877</v>
      </c>
      <c r="D853" s="96">
        <f t="shared" si="271"/>
        <v>84.686899974520514</v>
      </c>
      <c r="E853" s="96">
        <f t="shared" si="272"/>
        <v>1.4366388698791304E-12</v>
      </c>
      <c r="F853" s="96">
        <f t="shared" si="270"/>
        <v>6.5262634534485866E-11</v>
      </c>
      <c r="G853" s="96">
        <f t="shared" si="273"/>
        <v>-0.11599999993473738</v>
      </c>
      <c r="I853" s="96">
        <f t="shared" si="275"/>
        <v>0</v>
      </c>
      <c r="J853" s="96">
        <f t="shared" si="276"/>
        <v>1.1414999999999877</v>
      </c>
    </row>
    <row r="854" spans="1:10" ht="12.75" customHeight="1">
      <c r="A854" s="96">
        <f>IF(MAX($F$93:F854)=$G$88,$G$88,F854)</f>
        <v>3.2057712852183653</v>
      </c>
      <c r="B854" s="481">
        <v>762</v>
      </c>
      <c r="C854" s="96">
        <f t="shared" si="274"/>
        <v>1.1429999999999878</v>
      </c>
      <c r="D854" s="96">
        <f t="shared" si="271"/>
        <v>84.909613619270417</v>
      </c>
      <c r="E854" s="96">
        <f t="shared" si="272"/>
        <v>1.3034640147724096E-12</v>
      </c>
      <c r="F854" s="96">
        <f t="shared" si="270"/>
        <v>5.9312883182035327E-11</v>
      </c>
      <c r="G854" s="96">
        <f t="shared" si="273"/>
        <v>-0.11599999994068712</v>
      </c>
      <c r="I854" s="96">
        <f t="shared" si="275"/>
        <v>0</v>
      </c>
      <c r="J854" s="96">
        <f t="shared" si="276"/>
        <v>1.1429999999999878</v>
      </c>
    </row>
    <row r="855" spans="1:10" ht="12.75" customHeight="1">
      <c r="A855" s="96">
        <f>IF(MAX($F$93:F855)=$G$88,$G$88,F855)</f>
        <v>3.2057712852183653</v>
      </c>
      <c r="B855" s="481">
        <v>763</v>
      </c>
      <c r="C855" s="96">
        <f t="shared" si="274"/>
        <v>1.1444999999999879</v>
      </c>
      <c r="D855" s="96">
        <f t="shared" si="271"/>
        <v>85.132619731052145</v>
      </c>
      <c r="E855" s="96">
        <f t="shared" si="272"/>
        <v>1.182440799098979E-12</v>
      </c>
      <c r="F855" s="96">
        <f t="shared" si="270"/>
        <v>5.3896552809600281E-11</v>
      </c>
      <c r="G855" s="96">
        <f t="shared" si="273"/>
        <v>-0.11599999994610345</v>
      </c>
      <c r="I855" s="96">
        <f t="shared" si="275"/>
        <v>0</v>
      </c>
      <c r="J855" s="96">
        <f t="shared" si="276"/>
        <v>1.1444999999999879</v>
      </c>
    </row>
    <row r="856" spans="1:10" ht="12.75" customHeight="1">
      <c r="A856" s="96">
        <f>IF(MAX($F$93:F856)=$G$88,$G$88,F856)</f>
        <v>3.2057712852183653</v>
      </c>
      <c r="B856" s="481">
        <v>764</v>
      </c>
      <c r="C856" s="96">
        <f t="shared" si="274"/>
        <v>1.1459999999999879</v>
      </c>
      <c r="D856" s="96">
        <f t="shared" si="271"/>
        <v>85.355918309865729</v>
      </c>
      <c r="E856" s="96">
        <f t="shared" si="272"/>
        <v>1.0724787884455512E-12</v>
      </c>
      <c r="F856" s="96">
        <f t="shared" si="270"/>
        <v>4.8966660364288827E-11</v>
      </c>
      <c r="G856" s="96">
        <f t="shared" si="273"/>
        <v>-0.11599999995103334</v>
      </c>
      <c r="I856" s="96">
        <f t="shared" si="275"/>
        <v>0</v>
      </c>
      <c r="J856" s="96">
        <f t="shared" si="276"/>
        <v>1.1459999999999879</v>
      </c>
    </row>
    <row r="857" spans="1:10" ht="12.75" customHeight="1">
      <c r="A857" s="96">
        <f>IF(MAX($F$93:F857)=$G$88,$G$88,F857)</f>
        <v>3.2057712852183653</v>
      </c>
      <c r="B857" s="481">
        <v>765</v>
      </c>
      <c r="C857" s="96">
        <f t="shared" si="274"/>
        <v>1.147499999999988</v>
      </c>
      <c r="D857" s="96">
        <f t="shared" si="271"/>
        <v>85.579509355711139</v>
      </c>
      <c r="E857" s="96">
        <f t="shared" si="272"/>
        <v>9.7258368325202688E-13</v>
      </c>
      <c r="F857" s="96">
        <f t="shared" si="270"/>
        <v>4.4480283623628498E-11</v>
      </c>
      <c r="G857" s="96">
        <f t="shared" si="273"/>
        <v>-0.11599999995551973</v>
      </c>
      <c r="I857" s="96">
        <f t="shared" si="275"/>
        <v>0</v>
      </c>
      <c r="J857" s="96">
        <f t="shared" si="276"/>
        <v>1.147499999999988</v>
      </c>
    </row>
    <row r="858" spans="1:10" ht="12.75" customHeight="1">
      <c r="A858" s="96">
        <f>IF(MAX($F$93:F858)=$G$88,$G$88,F858)</f>
        <v>3.2057712852183653</v>
      </c>
      <c r="B858" s="481">
        <v>766</v>
      </c>
      <c r="C858" s="96">
        <f t="shared" si="274"/>
        <v>1.148999999999988</v>
      </c>
      <c r="D858" s="96">
        <f t="shared" si="271"/>
        <v>85.803392868588404</v>
      </c>
      <c r="E858" s="96">
        <f t="shared" si="272"/>
        <v>8.8184900148714336E-13</v>
      </c>
      <c r="F858" s="96">
        <f t="shared" si="270"/>
        <v>4.0398217226266321E-11</v>
      </c>
      <c r="G858" s="96">
        <f t="shared" si="273"/>
        <v>-0.11599999995960179</v>
      </c>
      <c r="I858" s="96">
        <f t="shared" si="275"/>
        <v>0</v>
      </c>
      <c r="J858" s="96">
        <f t="shared" si="276"/>
        <v>1.148999999999988</v>
      </c>
    </row>
    <row r="859" spans="1:10" ht="12.75" customHeight="1">
      <c r="A859" s="96">
        <f>IF(MAX($F$93:F859)=$G$88,$G$88,F859)</f>
        <v>3.2057712852183653</v>
      </c>
      <c r="B859" s="481">
        <v>767</v>
      </c>
      <c r="C859" s="96">
        <f t="shared" si="274"/>
        <v>1.1504999999999881</v>
      </c>
      <c r="D859" s="96">
        <f t="shared" si="271"/>
        <v>86.027568848497523</v>
      </c>
      <c r="E859" s="96">
        <f t="shared" si="272"/>
        <v>7.9944846656802832E-13</v>
      </c>
      <c r="F859" s="96">
        <f t="shared" si="270"/>
        <v>3.6684657212323159E-11</v>
      </c>
      <c r="G859" s="96">
        <f t="shared" si="273"/>
        <v>-0.11599999996331535</v>
      </c>
      <c r="I859" s="96">
        <f t="shared" si="275"/>
        <v>0</v>
      </c>
      <c r="J859" s="96">
        <f t="shared" si="276"/>
        <v>1.1504999999999881</v>
      </c>
    </row>
    <row r="860" spans="1:10" ht="12.75" customHeight="1">
      <c r="A860" s="96">
        <f>IF(MAX($F$93:F860)=$G$88,$G$88,F860)</f>
        <v>3.2057712852183653</v>
      </c>
      <c r="B860" s="481">
        <v>768</v>
      </c>
      <c r="C860" s="96">
        <f t="shared" si="274"/>
        <v>1.1519999999999881</v>
      </c>
      <c r="D860" s="96">
        <f t="shared" si="271"/>
        <v>86.252037295438498</v>
      </c>
      <c r="E860" s="96">
        <f t="shared" si="272"/>
        <v>7.2462904200575838E-13</v>
      </c>
      <c r="F860" s="96">
        <f t="shared" si="270"/>
        <v>3.3306911765376792E-11</v>
      </c>
      <c r="G860" s="96">
        <f t="shared" si="273"/>
        <v>-0.11599999996669309</v>
      </c>
      <c r="I860" s="96">
        <f t="shared" si="275"/>
        <v>0</v>
      </c>
      <c r="J860" s="96">
        <f t="shared" si="276"/>
        <v>1.1519999999999881</v>
      </c>
    </row>
    <row r="861" spans="1:10" ht="12.75" customHeight="1">
      <c r="A861" s="96">
        <f>IF(MAX($F$93:F861)=$G$88,$G$88,F861)</f>
        <v>3.2057712852183653</v>
      </c>
      <c r="B861" s="481">
        <v>769</v>
      </c>
      <c r="C861" s="96">
        <f t="shared" si="274"/>
        <v>1.1534999999999882</v>
      </c>
      <c r="D861" s="96">
        <f t="shared" si="271"/>
        <v>86.476798209411285</v>
      </c>
      <c r="E861" s="96">
        <f t="shared" si="272"/>
        <v>6.5670455900212777E-13</v>
      </c>
      <c r="F861" s="96">
        <f t="shared" ref="F861:F924" si="277">IF($E$12&lt;$F$90,NA(),$E$87*(E860-E862)/(2*$C$88))</f>
        <v>3.0235136030059544E-11</v>
      </c>
      <c r="G861" s="96">
        <f t="shared" si="273"/>
        <v>-0.11599999996976487</v>
      </c>
      <c r="I861" s="96">
        <f t="shared" si="275"/>
        <v>0</v>
      </c>
      <c r="J861" s="96">
        <f t="shared" si="276"/>
        <v>1.1534999999999882</v>
      </c>
    </row>
    <row r="862" spans="1:10" ht="12.75" customHeight="1">
      <c r="A862" s="96">
        <f>IF(MAX($F$93:F862)=$G$88,$G$88,F862)</f>
        <v>3.2057712852183653</v>
      </c>
      <c r="B862" s="481">
        <v>770</v>
      </c>
      <c r="C862" s="96">
        <f t="shared" si="274"/>
        <v>1.1549999999999883</v>
      </c>
      <c r="D862" s="96">
        <f t="shared" ref="D862:D925" si="278">C862^2/$C$85</f>
        <v>86.701851590415941</v>
      </c>
      <c r="E862" s="96">
        <f t="shared" ref="E862:E925" si="279">CHIDIST(D862,$E$85)</f>
        <v>5.9504988759121747E-13</v>
      </c>
      <c r="F862" s="96">
        <f t="shared" si="277"/>
        <v>2.7442089047460753E-11</v>
      </c>
      <c r="G862" s="96">
        <f t="shared" ref="G862:G925" si="280">F862-$G$90</f>
        <v>-0.11599999997255792</v>
      </c>
      <c r="I862" s="96">
        <f t="shared" si="275"/>
        <v>0</v>
      </c>
      <c r="J862" s="96">
        <f t="shared" si="276"/>
        <v>1.1549999999999883</v>
      </c>
    </row>
    <row r="863" spans="1:10" ht="12.75" customHeight="1">
      <c r="A863" s="96">
        <f>IF(MAX($F$93:F863)=$G$88,$G$88,F863)</f>
        <v>3.2057712852183653</v>
      </c>
      <c r="B863" s="481">
        <v>771</v>
      </c>
      <c r="C863" s="96">
        <f t="shared" si="274"/>
        <v>1.1564999999999883</v>
      </c>
      <c r="D863" s="96">
        <f t="shared" si="278"/>
        <v>86.927197438452438</v>
      </c>
      <c r="E863" s="96">
        <f t="shared" si="279"/>
        <v>5.3909560594158167E-13</v>
      </c>
      <c r="F863" s="96">
        <f t="shared" si="277"/>
        <v>2.4902911005775749E-11</v>
      </c>
      <c r="G863" s="96">
        <f t="shared" si="280"/>
        <v>-0.11599999997509709</v>
      </c>
      <c r="I863" s="96">
        <f t="shared" si="275"/>
        <v>0</v>
      </c>
      <c r="J863" s="96">
        <f t="shared" si="276"/>
        <v>1.1564999999999883</v>
      </c>
    </row>
    <row r="864" spans="1:10" ht="12.75" customHeight="1">
      <c r="A864" s="96">
        <f>IF(MAX($F$93:F864)=$G$88,$G$88,F864)</f>
        <v>3.2057712852183653</v>
      </c>
      <c r="B864" s="481">
        <v>772</v>
      </c>
      <c r="C864" s="96">
        <f t="shared" si="274"/>
        <v>1.1579999999999884</v>
      </c>
      <c r="D864" s="96">
        <f t="shared" si="278"/>
        <v>87.152835753520776</v>
      </c>
      <c r="E864" s="96">
        <f t="shared" si="279"/>
        <v>4.8832312613789282E-13</v>
      </c>
      <c r="F864" s="96">
        <f t="shared" si="277"/>
        <v>2.2594919146853318E-11</v>
      </c>
      <c r="G864" s="96">
        <f t="shared" si="280"/>
        <v>-0.11599999997740508</v>
      </c>
      <c r="I864" s="96">
        <f t="shared" si="275"/>
        <v>0</v>
      </c>
      <c r="J864" s="96">
        <f t="shared" si="276"/>
        <v>1.1579999999999884</v>
      </c>
    </row>
    <row r="865" spans="1:10" ht="12.75" customHeight="1">
      <c r="A865" s="96">
        <f>IF(MAX($F$93:F865)=$G$88,$G$88,F865)</f>
        <v>3.2057712852183653</v>
      </c>
      <c r="B865" s="481">
        <v>773</v>
      </c>
      <c r="C865" s="96">
        <f t="shared" si="274"/>
        <v>1.1594999999999884</v>
      </c>
      <c r="D865" s="96">
        <f t="shared" si="278"/>
        <v>87.378766535620969</v>
      </c>
      <c r="E865" s="96">
        <f t="shared" si="279"/>
        <v>4.4226023816935316E-13</v>
      </c>
      <c r="F865" s="96">
        <f t="shared" si="277"/>
        <v>2.0497420801462954E-11</v>
      </c>
      <c r="G865" s="96">
        <f t="shared" si="280"/>
        <v>-0.11599999997950258</v>
      </c>
      <c r="I865" s="96">
        <f t="shared" si="275"/>
        <v>0</v>
      </c>
      <c r="J865" s="96">
        <f t="shared" si="276"/>
        <v>1.1594999999999884</v>
      </c>
    </row>
    <row r="866" spans="1:10" ht="12.75" customHeight="1">
      <c r="A866" s="96">
        <f>IF(MAX($F$93:F866)=$G$88,$G$88,F866)</f>
        <v>3.2057712852183653</v>
      </c>
      <c r="B866" s="481">
        <v>774</v>
      </c>
      <c r="C866" s="96">
        <f t="shared" si="274"/>
        <v>1.1609999999999885</v>
      </c>
      <c r="D866" s="96">
        <f t="shared" si="278"/>
        <v>87.604989784752988</v>
      </c>
      <c r="E866" s="96">
        <f t="shared" si="279"/>
        <v>4.0047703698876586E-13</v>
      </c>
      <c r="F866" s="96">
        <f t="shared" si="277"/>
        <v>1.8591542148111124E-11</v>
      </c>
      <c r="G866" s="96">
        <f t="shared" si="280"/>
        <v>-0.11599999998140846</v>
      </c>
      <c r="I866" s="96">
        <f t="shared" si="275"/>
        <v>0</v>
      </c>
      <c r="J866" s="96">
        <f t="shared" si="276"/>
        <v>1.1609999999999885</v>
      </c>
    </row>
    <row r="867" spans="1:10" ht="12.75" customHeight="1">
      <c r="A867" s="96">
        <f>IF(MAX($F$93:F867)=$G$88,$G$88,F867)</f>
        <v>3.2057712852183653</v>
      </c>
      <c r="B867" s="481">
        <v>775</v>
      </c>
      <c r="C867" s="96">
        <f t="shared" si="274"/>
        <v>1.1624999999999885</v>
      </c>
      <c r="D867" s="96">
        <f t="shared" si="278"/>
        <v>87.831505500916862</v>
      </c>
      <c r="E867" s="96">
        <f t="shared" si="279"/>
        <v>3.6258220039173405E-13</v>
      </c>
      <c r="F867" s="96">
        <f t="shared" si="277"/>
        <v>1.6860071402621962E-11</v>
      </c>
      <c r="G867" s="96">
        <f t="shared" si="280"/>
        <v>-0.11599999998313994</v>
      </c>
      <c r="I867" s="96">
        <f t="shared" si="275"/>
        <v>0</v>
      </c>
      <c r="J867" s="96">
        <f t="shared" si="276"/>
        <v>1.1624999999999885</v>
      </c>
    </row>
    <row r="868" spans="1:10" ht="12.75" customHeight="1">
      <c r="A868" s="96">
        <f>IF(MAX($F$93:F868)=$G$88,$G$88,F868)</f>
        <v>3.2057712852183653</v>
      </c>
      <c r="B868" s="481">
        <v>776</v>
      </c>
      <c r="C868" s="96">
        <f t="shared" si="274"/>
        <v>1.1639999999999886</v>
      </c>
      <c r="D868" s="96">
        <f t="shared" si="278"/>
        <v>88.058313684112576</v>
      </c>
      <c r="E868" s="96">
        <f t="shared" si="279"/>
        <v>3.2821958812038602E-13</v>
      </c>
      <c r="F868" s="96">
        <f t="shared" si="277"/>
        <v>1.5287315249432918E-11</v>
      </c>
      <c r="G868" s="96">
        <f t="shared" si="280"/>
        <v>-0.11599999998471269</v>
      </c>
      <c r="I868" s="96">
        <f t="shared" si="275"/>
        <v>0</v>
      </c>
      <c r="J868" s="96">
        <f t="shared" si="276"/>
        <v>1.1639999999999886</v>
      </c>
    </row>
    <row r="869" spans="1:10" ht="12.75" customHeight="1">
      <c r="A869" s="96">
        <f>IF(MAX($F$93:F869)=$G$88,$G$88,F869)</f>
        <v>3.2057712852183653</v>
      </c>
      <c r="B869" s="481">
        <v>777</v>
      </c>
      <c r="C869" s="96">
        <f t="shared" si="274"/>
        <v>1.1654999999999887</v>
      </c>
      <c r="D869" s="96">
        <f t="shared" si="278"/>
        <v>88.285414334340146</v>
      </c>
      <c r="E869" s="96">
        <f t="shared" si="279"/>
        <v>2.9706513503702155E-13</v>
      </c>
      <c r="F869" s="96">
        <f t="shared" si="277"/>
        <v>1.3858967421194928E-11</v>
      </c>
      <c r="G869" s="96">
        <f t="shared" si="280"/>
        <v>-0.11599999998614104</v>
      </c>
      <c r="I869" s="96">
        <f t="shared" si="275"/>
        <v>0</v>
      </c>
      <c r="J869" s="96">
        <f t="shared" si="276"/>
        <v>1.1654999999999887</v>
      </c>
    </row>
    <row r="870" spans="1:10" ht="12.75" customHeight="1">
      <c r="A870" s="96">
        <f>IF(MAX($F$93:F870)=$G$88,$G$88,F870)</f>
        <v>3.2057712852183653</v>
      </c>
      <c r="B870" s="481">
        <v>778</v>
      </c>
      <c r="C870" s="96">
        <f t="shared" si="274"/>
        <v>1.1669999999999887</v>
      </c>
      <c r="D870" s="96">
        <f t="shared" si="278"/>
        <v>88.512807451599556</v>
      </c>
      <c r="E870" s="96">
        <f t="shared" si="279"/>
        <v>2.6882401345812203E-13</v>
      </c>
      <c r="F870" s="96">
        <f t="shared" si="277"/>
        <v>1.2561988421321948E-11</v>
      </c>
      <c r="G870" s="96">
        <f t="shared" si="280"/>
        <v>-0.11599999998743801</v>
      </c>
      <c r="I870" s="96">
        <f t="shared" si="275"/>
        <v>0</v>
      </c>
      <c r="J870" s="96">
        <f t="shared" si="276"/>
        <v>1.1669999999999887</v>
      </c>
    </row>
    <row r="871" spans="1:10" ht="12.75" customHeight="1">
      <c r="A871" s="96">
        <f>IF(MAX($F$93:F871)=$G$88,$G$88,F871)</f>
        <v>3.2057712852183653</v>
      </c>
      <c r="B871" s="481">
        <v>779</v>
      </c>
      <c r="C871" s="96">
        <f t="shared" si="274"/>
        <v>1.1684999999999888</v>
      </c>
      <c r="D871" s="96">
        <f t="shared" si="278"/>
        <v>88.740493035890808</v>
      </c>
      <c r="E871" s="96">
        <f t="shared" si="279"/>
        <v>2.4322804180278462E-13</v>
      </c>
      <c r="F871" s="96">
        <f t="shared" si="277"/>
        <v>1.138449546539822E-11</v>
      </c>
      <c r="G871" s="96">
        <f t="shared" si="280"/>
        <v>-0.11599999998861552</v>
      </c>
      <c r="I871" s="96">
        <f t="shared" si="275"/>
        <v>0</v>
      </c>
      <c r="J871" s="96">
        <f t="shared" si="276"/>
        <v>1.1684999999999888</v>
      </c>
    </row>
    <row r="872" spans="1:10" ht="12.75" customHeight="1">
      <c r="A872" s="96">
        <f>IF(MAX($F$93:F872)=$G$88,$G$88,F872)</f>
        <v>3.2057712852183653</v>
      </c>
      <c r="B872" s="481">
        <v>780</v>
      </c>
      <c r="C872" s="96">
        <f t="shared" si="274"/>
        <v>1.1699999999999888</v>
      </c>
      <c r="D872" s="96">
        <f t="shared" si="278"/>
        <v>88.968471087213899</v>
      </c>
      <c r="E872" s="96">
        <f t="shared" si="279"/>
        <v>2.2003331860641537E-13</v>
      </c>
      <c r="F872" s="96">
        <f t="shared" si="277"/>
        <v>1.0315661792146968E-11</v>
      </c>
      <c r="G872" s="96">
        <f t="shared" si="280"/>
        <v>-0.11599999998968434</v>
      </c>
      <c r="I872" s="96">
        <f t="shared" si="275"/>
        <v>0</v>
      </c>
      <c r="J872" s="96">
        <f t="shared" si="276"/>
        <v>1.1699999999999888</v>
      </c>
    </row>
    <row r="873" spans="1:10" ht="12.75" customHeight="1">
      <c r="A873" s="96">
        <f>IF(MAX($F$93:F873)=$G$88,$G$88,F873)</f>
        <v>3.2057712852183653</v>
      </c>
      <c r="B873" s="481">
        <v>781</v>
      </c>
      <c r="C873" s="96">
        <f t="shared" ref="C873:C936" si="281">C872+$C$88</f>
        <v>1.1714999999999889</v>
      </c>
      <c r="D873" s="96">
        <f t="shared" si="278"/>
        <v>89.196741605568846</v>
      </c>
      <c r="E873" s="96">
        <f t="shared" si="279"/>
        <v>1.9901806269358332E-13</v>
      </c>
      <c r="F873" s="96">
        <f t="shared" si="277"/>
        <v>9.3456245635839323E-12</v>
      </c>
      <c r="G873" s="96">
        <f t="shared" si="280"/>
        <v>-0.11599999999065438</v>
      </c>
      <c r="I873" s="96">
        <f t="shared" si="275"/>
        <v>0</v>
      </c>
      <c r="J873" s="96">
        <f t="shared" si="276"/>
        <v>1.1714999999999889</v>
      </c>
    </row>
    <row r="874" spans="1:10" ht="12.75" customHeight="1">
      <c r="A874" s="96">
        <f>IF(MAX($F$93:F874)=$G$88,$G$88,F874)</f>
        <v>3.2057712852183653</v>
      </c>
      <c r="B874" s="481">
        <v>782</v>
      </c>
      <c r="C874" s="96">
        <f t="shared" si="281"/>
        <v>1.1729999999999889</v>
      </c>
      <c r="D874" s="96">
        <f t="shared" si="278"/>
        <v>89.425304590955633</v>
      </c>
      <c r="E874" s="96">
        <f t="shared" si="279"/>
        <v>1.7998064190534137E-13</v>
      </c>
      <c r="F874" s="96">
        <f t="shared" si="277"/>
        <v>8.4654006374571326E-12</v>
      </c>
      <c r="G874" s="96">
        <f t="shared" si="280"/>
        <v>-0.11599999999153461</v>
      </c>
      <c r="I874" s="96">
        <f t="shared" si="275"/>
        <v>0</v>
      </c>
      <c r="J874" s="96">
        <f t="shared" si="276"/>
        <v>1.1729999999999889</v>
      </c>
    </row>
    <row r="875" spans="1:10" ht="12.75" customHeight="1">
      <c r="A875" s="96">
        <f>IF(MAX($F$93:F875)=$G$88,$G$88,F875)</f>
        <v>3.2057712852183653</v>
      </c>
      <c r="B875" s="481">
        <v>783</v>
      </c>
      <c r="C875" s="96">
        <f t="shared" si="281"/>
        <v>1.174499999999989</v>
      </c>
      <c r="D875" s="96">
        <f t="shared" si="278"/>
        <v>89.654160043374262</v>
      </c>
      <c r="E875" s="96">
        <f t="shared" si="279"/>
        <v>1.6273777424733847E-13</v>
      </c>
      <c r="F875" s="96">
        <f t="shared" si="277"/>
        <v>7.6668095535041595E-12</v>
      </c>
      <c r="G875" s="96">
        <f t="shared" si="280"/>
        <v>-0.11599999999233319</v>
      </c>
      <c r="I875" s="96">
        <f t="shared" si="275"/>
        <v>0</v>
      </c>
      <c r="J875" s="96">
        <f t="shared" si="276"/>
        <v>1.174499999999989</v>
      </c>
    </row>
    <row r="876" spans="1:10" ht="12.75" customHeight="1">
      <c r="A876" s="96">
        <f>IF(MAX($F$93:F876)=$G$88,$G$88,F876)</f>
        <v>3.2057712852183653</v>
      </c>
      <c r="B876" s="481">
        <v>784</v>
      </c>
      <c r="C876" s="96">
        <f t="shared" si="281"/>
        <v>1.1759999999999891</v>
      </c>
      <c r="D876" s="96">
        <f t="shared" si="278"/>
        <v>89.883307962824745</v>
      </c>
      <c r="E876" s="96">
        <f t="shared" si="279"/>
        <v>1.4712288667603782E-13</v>
      </c>
      <c r="F876" s="96">
        <f t="shared" si="277"/>
        <v>6.942403128864441E-12</v>
      </c>
      <c r="G876" s="96">
        <f t="shared" si="280"/>
        <v>-0.1159999999930576</v>
      </c>
      <c r="I876" s="96">
        <f t="shared" ref="I876:I939" si="282">IF(F876&gt;$G$87,1,0)</f>
        <v>0</v>
      </c>
      <c r="J876" s="96">
        <f t="shared" ref="J876:J939" si="283">C876</f>
        <v>1.1759999999999891</v>
      </c>
    </row>
    <row r="877" spans="1:10" ht="12.75" customHeight="1">
      <c r="A877" s="96">
        <f>IF(MAX($F$93:F877)=$G$88,$G$88,F877)</f>
        <v>3.2057712852183653</v>
      </c>
      <c r="B877" s="481">
        <v>785</v>
      </c>
      <c r="C877" s="96">
        <f t="shared" si="281"/>
        <v>1.1774999999999891</v>
      </c>
      <c r="D877" s="96">
        <f t="shared" si="278"/>
        <v>90.112748349307068</v>
      </c>
      <c r="E877" s="96">
        <f t="shared" si="279"/>
        <v>1.3298461798077658E-13</v>
      </c>
      <c r="F877" s="96">
        <f t="shared" si="277"/>
        <v>6.2854011074962876E-12</v>
      </c>
      <c r="G877" s="96">
        <f t="shared" si="280"/>
        <v>-0.1159999999937146</v>
      </c>
      <c r="I877" s="96">
        <f t="shared" si="282"/>
        <v>0</v>
      </c>
      <c r="J877" s="96">
        <f t="shared" si="283"/>
        <v>1.1774999999999891</v>
      </c>
    </row>
    <row r="878" spans="1:10" ht="12.75" customHeight="1">
      <c r="A878" s="96">
        <f>IF(MAX($F$93:F878)=$G$88,$G$88,F878)</f>
        <v>3.2057712852183653</v>
      </c>
      <c r="B878" s="481">
        <v>786</v>
      </c>
      <c r="C878" s="96">
        <f t="shared" si="281"/>
        <v>1.1789999999999892</v>
      </c>
      <c r="D878" s="96">
        <f t="shared" si="278"/>
        <v>90.342481202821247</v>
      </c>
      <c r="E878" s="96">
        <f t="shared" si="279"/>
        <v>1.2018545335819659E-13</v>
      </c>
      <c r="F878" s="96">
        <f t="shared" si="277"/>
        <v>5.6896323540042646E-12</v>
      </c>
      <c r="G878" s="96">
        <f t="shared" si="280"/>
        <v>-0.11599999999431038</v>
      </c>
      <c r="I878" s="96">
        <f t="shared" si="282"/>
        <v>0</v>
      </c>
      <c r="J878" s="96">
        <f t="shared" si="283"/>
        <v>1.1789999999999892</v>
      </c>
    </row>
    <row r="879" spans="1:10" ht="12.75" customHeight="1">
      <c r="A879" s="96">
        <f>IF(MAX($F$93:F879)=$G$88,$G$88,F879)</f>
        <v>3.2057712852183653</v>
      </c>
      <c r="B879" s="481">
        <v>787</v>
      </c>
      <c r="C879" s="96">
        <f t="shared" si="281"/>
        <v>1.1804999999999892</v>
      </c>
      <c r="D879" s="96">
        <f t="shared" si="278"/>
        <v>90.572506523367252</v>
      </c>
      <c r="E879" s="96">
        <f t="shared" si="279"/>
        <v>1.086004793207583E-13</v>
      </c>
      <c r="F879" s="96">
        <f t="shared" si="277"/>
        <v>5.1494811242077466E-12</v>
      </c>
      <c r="G879" s="96">
        <f t="shared" si="280"/>
        <v>-0.11599999999485053</v>
      </c>
      <c r="I879" s="96">
        <f t="shared" si="282"/>
        <v>0</v>
      </c>
      <c r="J879" s="96">
        <f t="shared" si="283"/>
        <v>1.1804999999999892</v>
      </c>
    </row>
    <row r="880" spans="1:10" ht="12.75" customHeight="1">
      <c r="A880" s="96">
        <f>IF(MAX($F$93:F880)=$G$88,$G$88,F880)</f>
        <v>3.2057712852183653</v>
      </c>
      <c r="B880" s="481">
        <v>788</v>
      </c>
      <c r="C880" s="96">
        <f t="shared" si="281"/>
        <v>1.1819999999999893</v>
      </c>
      <c r="D880" s="96">
        <f t="shared" si="278"/>
        <v>90.802824310945113</v>
      </c>
      <c r="E880" s="96">
        <f t="shared" si="279"/>
        <v>9.8116248540163388E-14</v>
      </c>
      <c r="F880" s="96">
        <f t="shared" si="277"/>
        <v>4.6598379833241278E-12</v>
      </c>
      <c r="G880" s="96">
        <f t="shared" si="280"/>
        <v>-0.11599999999534016</v>
      </c>
      <c r="I880" s="96">
        <f t="shared" si="282"/>
        <v>0</v>
      </c>
      <c r="J880" s="96">
        <f t="shared" si="283"/>
        <v>1.1819999999999893</v>
      </c>
    </row>
    <row r="881" spans="1:10" ht="12.75" customHeight="1">
      <c r="A881" s="96">
        <f>IF(MAX($F$93:F881)=$G$88,$G$88,F881)</f>
        <v>3.2057712852183653</v>
      </c>
      <c r="B881" s="481">
        <v>789</v>
      </c>
      <c r="C881" s="96">
        <f t="shared" si="281"/>
        <v>1.1834999999999893</v>
      </c>
      <c r="D881" s="96">
        <f t="shared" si="278"/>
        <v>91.033434565554813</v>
      </c>
      <c r="E881" s="96">
        <f t="shared" si="279"/>
        <v>8.8629745106512036E-14</v>
      </c>
      <c r="F881" s="96">
        <f t="shared" si="277"/>
        <v>4.2160549781026212E-12</v>
      </c>
      <c r="G881" s="96">
        <f t="shared" si="280"/>
        <v>-0.11599999999578395</v>
      </c>
      <c r="I881" s="96">
        <f t="shared" si="282"/>
        <v>0</v>
      </c>
      <c r="J881" s="96">
        <f t="shared" si="283"/>
        <v>1.1834999999999893</v>
      </c>
    </row>
    <row r="882" spans="1:10" ht="12.75" customHeight="1">
      <c r="A882" s="96">
        <f>IF(MAX($F$93:F882)=$G$88,$G$88,F882)</f>
        <v>3.2057712852183653</v>
      </c>
      <c r="B882" s="481">
        <v>790</v>
      </c>
      <c r="C882" s="96">
        <f t="shared" si="281"/>
        <v>1.1849999999999894</v>
      </c>
      <c r="D882" s="96">
        <f t="shared" si="278"/>
        <v>91.264337287196369</v>
      </c>
      <c r="E882" s="96">
        <f t="shared" si="279"/>
        <v>8.0047441491152155E-14</v>
      </c>
      <c r="F882" s="96">
        <f t="shared" si="277"/>
        <v>3.8139047018380628E-12</v>
      </c>
      <c r="G882" s="96">
        <f t="shared" si="280"/>
        <v>-0.1159999999961861</v>
      </c>
      <c r="I882" s="96">
        <f t="shared" si="282"/>
        <v>0</v>
      </c>
      <c r="J882" s="96">
        <f t="shared" si="283"/>
        <v>1.1849999999999894</v>
      </c>
    </row>
    <row r="883" spans="1:10" ht="12.75" customHeight="1">
      <c r="A883" s="96">
        <f>IF(MAX($F$93:F883)=$G$88,$G$88,F883)</f>
        <v>3.2057712852183653</v>
      </c>
      <c r="B883" s="481">
        <v>791</v>
      </c>
      <c r="C883" s="96">
        <f t="shared" si="281"/>
        <v>1.1864999999999895</v>
      </c>
      <c r="D883" s="96">
        <f t="shared" si="278"/>
        <v>91.495532475869751</v>
      </c>
      <c r="E883" s="96">
        <f t="shared" si="279"/>
        <v>7.2284439241491766E-14</v>
      </c>
      <c r="F883" s="96">
        <f t="shared" si="277"/>
        <v>3.4495429211556486E-12</v>
      </c>
      <c r="G883" s="96">
        <f t="shared" si="280"/>
        <v>-0.11599999999655046</v>
      </c>
      <c r="I883" s="96">
        <f t="shared" si="282"/>
        <v>0</v>
      </c>
      <c r="J883" s="96">
        <f t="shared" si="283"/>
        <v>1.1864999999999895</v>
      </c>
    </row>
    <row r="884" spans="1:10" ht="12.75" customHeight="1">
      <c r="A884" s="96">
        <f>IF(MAX($F$93:F884)=$G$88,$G$88,F884)</f>
        <v>3.2057712852183653</v>
      </c>
      <c r="B884" s="481">
        <v>792</v>
      </c>
      <c r="C884" s="96">
        <f t="shared" si="281"/>
        <v>1.1879999999999895</v>
      </c>
      <c r="D884" s="96">
        <f t="shared" si="278"/>
        <v>91.727020131574989</v>
      </c>
      <c r="E884" s="96">
        <f t="shared" si="279"/>
        <v>6.5263686114770802E-14</v>
      </c>
      <c r="F884" s="96">
        <f t="shared" si="277"/>
        <v>3.1194744609983303E-12</v>
      </c>
      <c r="G884" s="96">
        <f t="shared" si="280"/>
        <v>-0.11599999999688053</v>
      </c>
      <c r="I884" s="96">
        <f t="shared" si="282"/>
        <v>0</v>
      </c>
      <c r="J884" s="96">
        <f t="shared" si="283"/>
        <v>1.1879999999999895</v>
      </c>
    </row>
    <row r="885" spans="1:10" ht="12.75" customHeight="1">
      <c r="A885" s="96">
        <f>IF(MAX($F$93:F885)=$G$88,$G$88,F885)</f>
        <v>3.2057712852183653</v>
      </c>
      <c r="B885" s="481">
        <v>793</v>
      </c>
      <c r="C885" s="96">
        <f t="shared" si="281"/>
        <v>1.1894999999999896</v>
      </c>
      <c r="D885" s="96">
        <f t="shared" si="278"/>
        <v>91.958800254312081</v>
      </c>
      <c r="E885" s="96">
        <f t="shared" si="279"/>
        <v>5.8915262980070348E-14</v>
      </c>
      <c r="F885" s="96">
        <f t="shared" si="277"/>
        <v>2.8205220695480956E-12</v>
      </c>
      <c r="G885" s="96">
        <f t="shared" si="280"/>
        <v>-0.11599999999717948</v>
      </c>
      <c r="I885" s="96">
        <f t="shared" si="282"/>
        <v>0</v>
      </c>
      <c r="J885" s="96">
        <f t="shared" si="283"/>
        <v>1.1894999999999896</v>
      </c>
    </row>
    <row r="886" spans="1:10" ht="12.75" customHeight="1">
      <c r="A886" s="96">
        <f>IF(MAX($F$93:F886)=$G$88,$G$88,F886)</f>
        <v>3.2057712852183653</v>
      </c>
      <c r="B886" s="481">
        <v>794</v>
      </c>
      <c r="C886" s="96">
        <f t="shared" si="281"/>
        <v>1.1909999999999896</v>
      </c>
      <c r="D886" s="96">
        <f t="shared" si="278"/>
        <v>92.190872844080999</v>
      </c>
      <c r="E886" s="96">
        <f t="shared" si="279"/>
        <v>5.3175734388136105E-14</v>
      </c>
      <c r="F886" s="96">
        <f t="shared" si="277"/>
        <v>2.5497980080583337E-12</v>
      </c>
      <c r="G886" s="96">
        <f t="shared" si="280"/>
        <v>-0.11599999999745021</v>
      </c>
      <c r="I886" s="96">
        <f t="shared" si="282"/>
        <v>0</v>
      </c>
      <c r="J886" s="96">
        <f t="shared" si="283"/>
        <v>1.1909999999999896</v>
      </c>
    </row>
    <row r="887" spans="1:10" ht="12.75" customHeight="1">
      <c r="A887" s="96">
        <f>IF(MAX($F$93:F887)=$G$88,$G$88,F887)</f>
        <v>3.2057712852183653</v>
      </c>
      <c r="B887" s="481">
        <v>795</v>
      </c>
      <c r="C887" s="96">
        <f t="shared" si="281"/>
        <v>1.1924999999999897</v>
      </c>
      <c r="D887" s="96">
        <f t="shared" si="278"/>
        <v>92.423237900881773</v>
      </c>
      <c r="E887" s="96">
        <f t="shared" si="279"/>
        <v>4.7987557231248917E-14</v>
      </c>
      <c r="F887" s="96">
        <f t="shared" si="277"/>
        <v>2.3046781319206793E-12</v>
      </c>
      <c r="G887" s="96">
        <f t="shared" si="280"/>
        <v>-0.11599999999769532</v>
      </c>
      <c r="I887" s="96">
        <f t="shared" si="282"/>
        <v>0</v>
      </c>
      <c r="J887" s="96">
        <f t="shared" si="283"/>
        <v>1.1924999999999897</v>
      </c>
    </row>
    <row r="888" spans="1:10" ht="12.75" customHeight="1">
      <c r="A888" s="96">
        <f>IF(MAX($F$93:F888)=$G$88,$G$88,F888)</f>
        <v>3.2057712852183653</v>
      </c>
      <c r="B888" s="481">
        <v>796</v>
      </c>
      <c r="C888" s="96">
        <f t="shared" si="281"/>
        <v>1.1939999999999897</v>
      </c>
      <c r="D888" s="96">
        <f t="shared" si="278"/>
        <v>92.655895424714387</v>
      </c>
      <c r="E888" s="96">
        <f t="shared" si="279"/>
        <v>4.3298542394190336E-14</v>
      </c>
      <c r="F888" s="96">
        <f t="shared" si="277"/>
        <v>2.0827782488964473E-12</v>
      </c>
      <c r="G888" s="96">
        <f t="shared" si="280"/>
        <v>-0.11599999999791723</v>
      </c>
      <c r="I888" s="96">
        <f t="shared" si="282"/>
        <v>0</v>
      </c>
      <c r="J888" s="96">
        <f t="shared" si="283"/>
        <v>1.1939999999999897</v>
      </c>
    </row>
    <row r="889" spans="1:10" ht="12.75" customHeight="1">
      <c r="A889" s="96">
        <f>IF(MAX($F$93:F889)=$G$88,$G$88,F889)</f>
        <v>3.2057712852183653</v>
      </c>
      <c r="B889" s="481">
        <v>797</v>
      </c>
      <c r="C889" s="96">
        <f t="shared" si="281"/>
        <v>1.1954999999999898</v>
      </c>
      <c r="D889" s="96">
        <f t="shared" si="278"/>
        <v>92.888845415578842</v>
      </c>
      <c r="E889" s="96">
        <f t="shared" si="279"/>
        <v>3.9061364735978428E-14</v>
      </c>
      <c r="F889" s="96">
        <f t="shared" si="277"/>
        <v>1.8819325584381337E-12</v>
      </c>
      <c r="G889" s="96">
        <f t="shared" si="280"/>
        <v>-0.11599999999811807</v>
      </c>
      <c r="I889" s="96">
        <f t="shared" si="282"/>
        <v>0</v>
      </c>
      <c r="J889" s="96">
        <f t="shared" si="283"/>
        <v>1.1954999999999898</v>
      </c>
    </row>
    <row r="890" spans="1:10" ht="12.75" customHeight="1">
      <c r="A890" s="96">
        <f>IF(MAX($F$93:F890)=$G$88,$G$88,F890)</f>
        <v>3.2057712852183653</v>
      </c>
      <c r="B890" s="481">
        <v>798</v>
      </c>
      <c r="C890" s="96">
        <f t="shared" si="281"/>
        <v>1.1969999999999898</v>
      </c>
      <c r="D890" s="96">
        <f t="shared" si="278"/>
        <v>93.122087873475166</v>
      </c>
      <c r="E890" s="96">
        <f t="shared" si="279"/>
        <v>3.5233117143741191E-14</v>
      </c>
      <c r="F890" s="96">
        <f t="shared" si="277"/>
        <v>1.700173992547641E-12</v>
      </c>
      <c r="G890" s="96">
        <f t="shared" si="280"/>
        <v>-0.11599999999829984</v>
      </c>
      <c r="I890" s="96">
        <f t="shared" si="282"/>
        <v>0</v>
      </c>
      <c r="J890" s="96">
        <f t="shared" si="283"/>
        <v>1.1969999999999898</v>
      </c>
    </row>
    <row r="891" spans="1:10" ht="12.75" customHeight="1">
      <c r="A891" s="96">
        <f>IF(MAX($F$93:F891)=$G$88,$G$88,F891)</f>
        <v>3.2057712852183653</v>
      </c>
      <c r="B891" s="481">
        <v>799</v>
      </c>
      <c r="C891" s="96">
        <f t="shared" si="281"/>
        <v>1.1984999999999899</v>
      </c>
      <c r="D891" s="96">
        <f t="shared" si="278"/>
        <v>93.355622798403303</v>
      </c>
      <c r="E891" s="96">
        <f t="shared" si="279"/>
        <v>3.1774904767917109E-14</v>
      </c>
      <c r="F891" s="96">
        <f t="shared" si="277"/>
        <v>1.5357162937793398E-12</v>
      </c>
      <c r="G891" s="96">
        <f t="shared" si="280"/>
        <v>-0.11599999999846429</v>
      </c>
      <c r="I891" s="96">
        <f t="shared" si="282"/>
        <v>0</v>
      </c>
      <c r="J891" s="96">
        <f t="shared" si="283"/>
        <v>1.1984999999999899</v>
      </c>
    </row>
    <row r="892" spans="1:10" ht="12.75" customHeight="1">
      <c r="A892" s="96">
        <f>IF(MAX($F$93:F892)=$G$88,$G$88,F892)</f>
        <v>3.2057712852183653</v>
      </c>
      <c r="B892" s="481">
        <v>800</v>
      </c>
      <c r="C892" s="96">
        <f t="shared" si="281"/>
        <v>1.19999999999999</v>
      </c>
      <c r="D892" s="96">
        <f t="shared" si="278"/>
        <v>93.589450190363308</v>
      </c>
      <c r="E892" s="96">
        <f t="shared" si="279"/>
        <v>2.8651475884686877E-14</v>
      </c>
      <c r="F892" s="96">
        <f t="shared" si="277"/>
        <v>1.3869376799046519E-12</v>
      </c>
      <c r="G892" s="96">
        <f t="shared" si="280"/>
        <v>-0.11599999999861307</v>
      </c>
      <c r="I892" s="96">
        <f t="shared" si="282"/>
        <v>0</v>
      </c>
      <c r="J892" s="96">
        <f t="shared" si="283"/>
        <v>1.19999999999999</v>
      </c>
    </row>
    <row r="893" spans="1:10" ht="12.75" customHeight="1">
      <c r="A893" s="96">
        <f>IF(MAX($F$93:F893)=$G$88,$G$88,F893)</f>
        <v>3.2057712852183653</v>
      </c>
      <c r="B893" s="481">
        <v>801</v>
      </c>
      <c r="C893" s="96">
        <f t="shared" si="281"/>
        <v>1.20149999999999</v>
      </c>
      <c r="D893" s="96">
        <f t="shared" si="278"/>
        <v>93.823570049355155</v>
      </c>
      <c r="E893" s="96">
        <f t="shared" si="279"/>
        <v>2.5830886139754314E-14</v>
      </c>
      <c r="F893" s="96">
        <f t="shared" si="277"/>
        <v>1.2523659575158438E-12</v>
      </c>
      <c r="G893" s="96">
        <f t="shared" si="280"/>
        <v>-0.11599999999874765</v>
      </c>
      <c r="I893" s="96">
        <f t="shared" si="282"/>
        <v>0</v>
      </c>
      <c r="J893" s="96">
        <f t="shared" si="283"/>
        <v>1.20149999999999</v>
      </c>
    </row>
    <row r="894" spans="1:10" ht="12.75" customHeight="1">
      <c r="A894" s="96">
        <f>IF(MAX($F$93:F894)=$G$88,$G$88,F894)</f>
        <v>3.2057712852183653</v>
      </c>
      <c r="B894" s="481">
        <v>802</v>
      </c>
      <c r="C894" s="96">
        <f t="shared" si="281"/>
        <v>1.2029999999999901</v>
      </c>
      <c r="D894" s="96">
        <f t="shared" si="278"/>
        <v>94.057982375378842</v>
      </c>
      <c r="E894" s="96">
        <f t="shared" si="279"/>
        <v>2.3284193209618974E-14</v>
      </c>
      <c r="F894" s="96">
        <f t="shared" si="277"/>
        <v>1.1306649585507905E-12</v>
      </c>
      <c r="G894" s="96">
        <f t="shared" si="280"/>
        <v>-0.11599999999886934</v>
      </c>
      <c r="I894" s="96">
        <f t="shared" si="282"/>
        <v>0</v>
      </c>
      <c r="J894" s="96">
        <f t="shared" si="283"/>
        <v>1.2029999999999901</v>
      </c>
    </row>
    <row r="895" spans="1:10" ht="12.75" customHeight="1">
      <c r="A895" s="96">
        <f>IF(MAX($F$93:F895)=$G$88,$G$88,F895)</f>
        <v>3.2057712852183653</v>
      </c>
      <c r="B895" s="481">
        <v>803</v>
      </c>
      <c r="C895" s="96">
        <f t="shared" si="281"/>
        <v>1.2044999999999901</v>
      </c>
      <c r="D895" s="96">
        <f t="shared" si="278"/>
        <v>94.292687168434369</v>
      </c>
      <c r="E895" s="96">
        <f t="shared" si="279"/>
        <v>2.0985179174536641E-14</v>
      </c>
      <c r="F895" s="96">
        <f t="shared" si="277"/>
        <v>1.0206221844493464E-12</v>
      </c>
      <c r="G895" s="96">
        <f t="shared" si="280"/>
        <v>-0.11599999999897938</v>
      </c>
      <c r="I895" s="96">
        <f t="shared" si="282"/>
        <v>0</v>
      </c>
      <c r="J895" s="96">
        <f t="shared" si="283"/>
        <v>1.2044999999999901</v>
      </c>
    </row>
    <row r="896" spans="1:10" ht="12.75" customHeight="1">
      <c r="A896" s="96">
        <f>IF(MAX($F$93:F896)=$G$88,$G$88,F896)</f>
        <v>3.2057712852183653</v>
      </c>
      <c r="B896" s="481">
        <v>804</v>
      </c>
      <c r="C896" s="96">
        <f t="shared" si="281"/>
        <v>1.2059999999999902</v>
      </c>
      <c r="D896" s="96">
        <f t="shared" si="278"/>
        <v>94.527684428521738</v>
      </c>
      <c r="E896" s="96">
        <f t="shared" si="279"/>
        <v>1.8910098133407489E-14</v>
      </c>
      <c r="F896" s="96">
        <f t="shared" si="277"/>
        <v>9.211375524918457E-13</v>
      </c>
      <c r="G896" s="96">
        <f t="shared" si="280"/>
        <v>-0.11599999999907887</v>
      </c>
      <c r="I896" s="96">
        <f t="shared" si="282"/>
        <v>0</v>
      </c>
      <c r="J896" s="96">
        <f t="shared" si="283"/>
        <v>1.2059999999999902</v>
      </c>
    </row>
    <row r="897" spans="1:10" ht="12.75" customHeight="1">
      <c r="A897" s="96">
        <f>IF(MAX($F$93:F897)=$G$88,$G$88,F897)</f>
        <v>3.2057712852183653</v>
      </c>
      <c r="B897" s="481">
        <v>805</v>
      </c>
      <c r="C897" s="96">
        <f t="shared" si="281"/>
        <v>1.2074999999999902</v>
      </c>
      <c r="D897" s="96">
        <f t="shared" si="278"/>
        <v>94.762974155640961</v>
      </c>
      <c r="E897" s="96">
        <f t="shared" si="279"/>
        <v>1.7037446806714445E-14</v>
      </c>
      <c r="F897" s="96">
        <f t="shared" si="277"/>
        <v>8.3121314788658378E-13</v>
      </c>
      <c r="G897" s="96">
        <f t="shared" si="280"/>
        <v>-0.1159999999991688</v>
      </c>
      <c r="I897" s="96">
        <f t="shared" si="282"/>
        <v>0</v>
      </c>
      <c r="J897" s="96">
        <f t="shared" si="283"/>
        <v>1.2074999999999902</v>
      </c>
    </row>
    <row r="898" spans="1:10" ht="12.75" customHeight="1">
      <c r="A898" s="96">
        <f>IF(MAX($F$93:F898)=$G$88,$G$88,F898)</f>
        <v>3.2057712852183653</v>
      </c>
      <c r="B898" s="481">
        <v>806</v>
      </c>
      <c r="C898" s="96">
        <f t="shared" si="281"/>
        <v>1.2089999999999903</v>
      </c>
      <c r="D898" s="96">
        <f t="shared" si="278"/>
        <v>94.998556349792025</v>
      </c>
      <c r="E898" s="96">
        <f t="shared" si="279"/>
        <v>1.5347756071036416E-14</v>
      </c>
      <c r="F898" s="96">
        <f t="shared" si="277"/>
        <v>7.4994389343763972E-13</v>
      </c>
      <c r="G898" s="96">
        <f t="shared" si="280"/>
        <v>-0.11599999999925006</v>
      </c>
      <c r="I898" s="96">
        <f t="shared" si="282"/>
        <v>0</v>
      </c>
      <c r="J898" s="96">
        <f t="shared" si="283"/>
        <v>1.2089999999999903</v>
      </c>
    </row>
    <row r="899" spans="1:10" ht="12.75" customHeight="1">
      <c r="A899" s="96">
        <f>IF(MAX($F$93:F899)=$G$88,$G$88,F899)</f>
        <v>3.2057712852183653</v>
      </c>
      <c r="B899" s="481">
        <v>807</v>
      </c>
      <c r="C899" s="96">
        <f t="shared" si="281"/>
        <v>1.2104999999999904</v>
      </c>
      <c r="D899" s="96">
        <f t="shared" si="278"/>
        <v>95.23443101097493</v>
      </c>
      <c r="E899" s="96">
        <f t="shared" si="279"/>
        <v>1.382340154912456E-14</v>
      </c>
      <c r="F899" s="96">
        <f t="shared" si="277"/>
        <v>6.7650905619410056E-13</v>
      </c>
      <c r="G899" s="96">
        <f t="shared" si="280"/>
        <v>-0.11599999999932349</v>
      </c>
      <c r="I899" s="96">
        <f t="shared" si="282"/>
        <v>0</v>
      </c>
      <c r="J899" s="96">
        <f t="shared" si="283"/>
        <v>1.2104999999999904</v>
      </c>
    </row>
    <row r="900" spans="1:10" ht="12.75" customHeight="1">
      <c r="A900" s="96">
        <f>IF(MAX($F$93:F900)=$G$88,$G$88,F900)</f>
        <v>3.2057712852183653</v>
      </c>
      <c r="B900" s="481">
        <v>808</v>
      </c>
      <c r="C900" s="96">
        <f t="shared" si="281"/>
        <v>1.2119999999999904</v>
      </c>
      <c r="D900" s="96">
        <f t="shared" si="278"/>
        <v>95.47059813918969</v>
      </c>
      <c r="E900" s="96">
        <f t="shared" si="279"/>
        <v>1.244843154449027E-14</v>
      </c>
      <c r="F900" s="96">
        <f t="shared" si="277"/>
        <v>6.1016451741801463E-13</v>
      </c>
      <c r="G900" s="96">
        <f t="shared" si="280"/>
        <v>-0.11599999999938984</v>
      </c>
      <c r="I900" s="96">
        <f t="shared" si="282"/>
        <v>0</v>
      </c>
      <c r="J900" s="96">
        <f t="shared" si="283"/>
        <v>1.2119999999999904</v>
      </c>
    </row>
    <row r="901" spans="1:10" ht="12.75" customHeight="1">
      <c r="A901" s="96">
        <f>IF(MAX($F$93:F901)=$G$88,$G$88,F901)</f>
        <v>3.2057712852183653</v>
      </c>
      <c r="B901" s="481">
        <v>809</v>
      </c>
      <c r="C901" s="96">
        <f t="shared" si="281"/>
        <v>1.2134999999999905</v>
      </c>
      <c r="D901" s="96">
        <f t="shared" si="278"/>
        <v>95.70705773443629</v>
      </c>
      <c r="E901" s="96">
        <f t="shared" si="279"/>
        <v>1.1208410760190211E-14</v>
      </c>
      <c r="F901" s="96">
        <f t="shared" si="277"/>
        <v>5.5023573856061806E-13</v>
      </c>
      <c r="G901" s="96">
        <f t="shared" si="280"/>
        <v>-0.11599999999944977</v>
      </c>
      <c r="I901" s="96">
        <f t="shared" si="282"/>
        <v>0</v>
      </c>
      <c r="J901" s="96">
        <f t="shared" si="283"/>
        <v>1.2134999999999905</v>
      </c>
    </row>
    <row r="902" spans="1:10" ht="12.75" customHeight="1">
      <c r="A902" s="96">
        <f>IF(MAX($F$93:F902)=$G$88,$G$88,F902)</f>
        <v>3.2057712852183653</v>
      </c>
      <c r="B902" s="481">
        <v>810</v>
      </c>
      <c r="C902" s="96">
        <f t="shared" si="281"/>
        <v>1.2149999999999905</v>
      </c>
      <c r="D902" s="96">
        <f t="shared" si="278"/>
        <v>95.943809796714746</v>
      </c>
      <c r="E902" s="96">
        <f t="shared" si="279"/>
        <v>1.0090278379230479E-14</v>
      </c>
      <c r="F902" s="96">
        <f t="shared" si="277"/>
        <v>4.9611136175076094E-13</v>
      </c>
      <c r="G902" s="96">
        <f t="shared" si="280"/>
        <v>-0.11599999999950389</v>
      </c>
      <c r="I902" s="96">
        <f t="shared" si="282"/>
        <v>0</v>
      </c>
      <c r="J902" s="96">
        <f t="shared" si="283"/>
        <v>1.2149999999999905</v>
      </c>
    </row>
    <row r="903" spans="1:10" ht="12.75" customHeight="1">
      <c r="A903" s="96">
        <f>IF(MAX($F$93:F903)=$G$88,$G$88,F903)</f>
        <v>3.2057712852183653</v>
      </c>
      <c r="B903" s="481">
        <v>811</v>
      </c>
      <c r="C903" s="96">
        <f t="shared" si="281"/>
        <v>1.2164999999999906</v>
      </c>
      <c r="D903" s="96">
        <f t="shared" si="278"/>
        <v>96.180854326025027</v>
      </c>
      <c r="E903" s="96">
        <f t="shared" si="279"/>
        <v>9.0822192098298068E-15</v>
      </c>
      <c r="F903" s="96">
        <f t="shared" si="277"/>
        <v>4.4723738862537617E-13</v>
      </c>
      <c r="G903" s="96">
        <f t="shared" si="280"/>
        <v>-0.11599999999955277</v>
      </c>
      <c r="I903" s="96">
        <f t="shared" si="282"/>
        <v>0</v>
      </c>
      <c r="J903" s="96">
        <f t="shared" si="283"/>
        <v>1.2164999999999906</v>
      </c>
    </row>
    <row r="904" spans="1:10" ht="12.75" customHeight="1">
      <c r="A904" s="96">
        <f>IF(MAX($F$93:F904)=$G$88,$G$88,F904)</f>
        <v>3.2057712852183653</v>
      </c>
      <c r="B904" s="481">
        <v>812</v>
      </c>
      <c r="C904" s="96">
        <f t="shared" si="281"/>
        <v>1.2179999999999906</v>
      </c>
      <c r="D904" s="96">
        <f t="shared" si="278"/>
        <v>96.418191322367164</v>
      </c>
      <c r="E904" s="96">
        <f t="shared" si="279"/>
        <v>8.173546713693152E-15</v>
      </c>
      <c r="F904" s="96">
        <f t="shared" si="277"/>
        <v>4.0311188620444953E-13</v>
      </c>
      <c r="G904" s="96">
        <f t="shared" si="280"/>
        <v>-0.1159999999995969</v>
      </c>
      <c r="I904" s="96">
        <f t="shared" si="282"/>
        <v>0</v>
      </c>
      <c r="J904" s="96">
        <f t="shared" si="283"/>
        <v>1.2179999999999906</v>
      </c>
    </row>
    <row r="905" spans="1:10" ht="12.75" customHeight="1">
      <c r="A905" s="96">
        <f>IF(MAX($F$93:F905)=$G$88,$G$88,F905)</f>
        <v>3.2057712852183653</v>
      </c>
      <c r="B905" s="481">
        <v>813</v>
      </c>
      <c r="C905" s="96">
        <f t="shared" si="281"/>
        <v>1.2194999999999907</v>
      </c>
      <c r="D905" s="96">
        <f t="shared" si="278"/>
        <v>96.655820785741142</v>
      </c>
      <c r="E905" s="96">
        <f t="shared" si="279"/>
        <v>7.3545968403821658E-15</v>
      </c>
      <c r="F905" s="96">
        <f t="shared" si="277"/>
        <v>3.6328017297256708E-13</v>
      </c>
      <c r="G905" s="96">
        <f t="shared" si="280"/>
        <v>-0.11599999999963673</v>
      </c>
      <c r="I905" s="96">
        <f t="shared" si="282"/>
        <v>0</v>
      </c>
      <c r="J905" s="96">
        <f t="shared" si="283"/>
        <v>1.2194999999999907</v>
      </c>
    </row>
    <row r="906" spans="1:10" ht="12.75" customHeight="1">
      <c r="A906" s="96">
        <f>IF(MAX($F$93:F906)=$G$88,$G$88,F906)</f>
        <v>3.2057712852183653</v>
      </c>
      <c r="B906" s="481">
        <v>814</v>
      </c>
      <c r="C906" s="96">
        <f t="shared" si="281"/>
        <v>1.2209999999999908</v>
      </c>
      <c r="D906" s="96">
        <f t="shared" si="278"/>
        <v>96.893742716146974</v>
      </c>
      <c r="E906" s="96">
        <f t="shared" si="279"/>
        <v>6.6166316866678642E-15</v>
      </c>
      <c r="F906" s="96">
        <f t="shared" si="277"/>
        <v>3.2733044240969643E-13</v>
      </c>
      <c r="G906" s="96">
        <f t="shared" si="280"/>
        <v>-0.11599999999967267</v>
      </c>
      <c r="I906" s="96">
        <f t="shared" si="282"/>
        <v>0</v>
      </c>
      <c r="J906" s="96">
        <f t="shared" si="283"/>
        <v>1.2209999999999908</v>
      </c>
    </row>
    <row r="907" spans="1:10" ht="12.75" customHeight="1">
      <c r="A907" s="96">
        <f>IF(MAX($F$93:F907)=$G$88,$G$88,F907)</f>
        <v>3.2057712852183653</v>
      </c>
      <c r="B907" s="481">
        <v>815</v>
      </c>
      <c r="C907" s="96">
        <f t="shared" si="281"/>
        <v>1.2224999999999908</v>
      </c>
      <c r="D907" s="96">
        <f t="shared" si="278"/>
        <v>97.131957113584633</v>
      </c>
      <c r="E907" s="96">
        <f t="shared" si="279"/>
        <v>5.9517520871977524E-15</v>
      </c>
      <c r="F907" s="96">
        <f t="shared" si="277"/>
        <v>2.9488978494579178E-13</v>
      </c>
      <c r="G907" s="96">
        <f t="shared" si="280"/>
        <v>-0.11599999999970512</v>
      </c>
      <c r="I907" s="96">
        <f t="shared" si="282"/>
        <v>0</v>
      </c>
      <c r="J907" s="96">
        <f t="shared" si="283"/>
        <v>1.2224999999999908</v>
      </c>
    </row>
    <row r="908" spans="1:10" ht="12.75" customHeight="1">
      <c r="A908" s="96">
        <f>IF(MAX($F$93:F908)=$G$88,$G$88,F908)</f>
        <v>3.2057712852183653</v>
      </c>
      <c r="B908" s="481">
        <v>816</v>
      </c>
      <c r="C908" s="96">
        <f t="shared" si="281"/>
        <v>1.2239999999999909</v>
      </c>
      <c r="D908" s="96">
        <f t="shared" si="278"/>
        <v>97.370463978054161</v>
      </c>
      <c r="E908" s="96">
        <f t="shared" si="279"/>
        <v>5.3528183226144708E-15</v>
      </c>
      <c r="F908" s="96">
        <f t="shared" si="277"/>
        <v>2.6562057272734465E-13</v>
      </c>
      <c r="G908" s="96">
        <f t="shared" si="280"/>
        <v>-0.11599999999973439</v>
      </c>
      <c r="I908" s="96">
        <f t="shared" si="282"/>
        <v>0</v>
      </c>
      <c r="J908" s="96">
        <f t="shared" si="283"/>
        <v>1.2239999999999909</v>
      </c>
    </row>
    <row r="909" spans="1:10" ht="12.75" customHeight="1">
      <c r="A909" s="96">
        <f>IF(MAX($F$93:F909)=$G$88,$G$88,F909)</f>
        <v>3.2057712852183653</v>
      </c>
      <c r="B909" s="481">
        <v>817</v>
      </c>
      <c r="C909" s="96">
        <f t="shared" si="281"/>
        <v>1.2254999999999909</v>
      </c>
      <c r="D909" s="96">
        <f t="shared" si="278"/>
        <v>97.609263309555516</v>
      </c>
      <c r="E909" s="96">
        <f t="shared" si="279"/>
        <v>4.813378204080561E-15</v>
      </c>
      <c r="F909" s="96">
        <f t="shared" si="277"/>
        <v>2.3921717470541904E-13</v>
      </c>
      <c r="G909" s="96">
        <f t="shared" si="280"/>
        <v>-0.11599999999976079</v>
      </c>
      <c r="I909" s="96">
        <f t="shared" si="282"/>
        <v>0</v>
      </c>
      <c r="J909" s="96">
        <f t="shared" si="283"/>
        <v>1.2254999999999909</v>
      </c>
    </row>
    <row r="910" spans="1:10" ht="12.75" customHeight="1">
      <c r="A910" s="96">
        <f>IF(MAX($F$93:F910)=$G$88,$G$88,F910)</f>
        <v>3.2057712852183653</v>
      </c>
      <c r="B910" s="481">
        <v>818</v>
      </c>
      <c r="C910" s="96">
        <f t="shared" si="281"/>
        <v>1.226999999999991</v>
      </c>
      <c r="D910" s="96">
        <f t="shared" si="278"/>
        <v>97.848355108088725</v>
      </c>
      <c r="E910" s="96">
        <f t="shared" si="279"/>
        <v>4.3276018595912462E-15</v>
      </c>
      <c r="F910" s="96">
        <f t="shared" si="277"/>
        <v>2.1540297240761008E-13</v>
      </c>
      <c r="G910" s="96">
        <f t="shared" si="280"/>
        <v>-0.11599999999978461</v>
      </c>
      <c r="I910" s="96">
        <f t="shared" si="282"/>
        <v>0</v>
      </c>
      <c r="J910" s="96">
        <f t="shared" si="283"/>
        <v>1.226999999999991</v>
      </c>
    </row>
    <row r="911" spans="1:10" ht="12.75" customHeight="1">
      <c r="A911" s="96">
        <f>IF(MAX($F$93:F911)=$G$88,$G$88,F911)</f>
        <v>3.2057712852183653</v>
      </c>
      <c r="B911" s="481">
        <v>819</v>
      </c>
      <c r="C911" s="96">
        <f t="shared" si="281"/>
        <v>1.228499999999991</v>
      </c>
      <c r="D911" s="96">
        <f t="shared" si="278"/>
        <v>98.087739373653775</v>
      </c>
      <c r="E911" s="96">
        <f t="shared" si="279"/>
        <v>3.8902226080479462E-15</v>
      </c>
      <c r="F911" s="96">
        <f t="shared" si="277"/>
        <v>1.9392764936441673E-13</v>
      </c>
      <c r="G911" s="96">
        <f t="shared" si="280"/>
        <v>-0.11599999999980608</v>
      </c>
      <c r="I911" s="96">
        <f t="shared" si="282"/>
        <v>0</v>
      </c>
      <c r="J911" s="96">
        <f t="shared" si="283"/>
        <v>1.228499999999991</v>
      </c>
    </row>
    <row r="912" spans="1:10" ht="12.75" customHeight="1">
      <c r="A912" s="96">
        <f>IF(MAX($F$93:F912)=$G$88,$G$88,F912)</f>
        <v>3.2057712852183653</v>
      </c>
      <c r="B912" s="481">
        <v>820</v>
      </c>
      <c r="C912" s="96">
        <f t="shared" si="281"/>
        <v>1.2299999999999911</v>
      </c>
      <c r="D912" s="96">
        <f t="shared" si="278"/>
        <v>98.327416106250666</v>
      </c>
      <c r="E912" s="96">
        <f t="shared" si="279"/>
        <v>3.4964833623151744E-15</v>
      </c>
      <c r="F912" s="96">
        <f t="shared" si="277"/>
        <v>1.7456472954405777E-13</v>
      </c>
      <c r="G912" s="96">
        <f t="shared" si="280"/>
        <v>-0.11599999999982544</v>
      </c>
      <c r="I912" s="96">
        <f t="shared" si="282"/>
        <v>0</v>
      </c>
      <c r="J912" s="96">
        <f t="shared" si="283"/>
        <v>1.2299999999999911</v>
      </c>
    </row>
    <row r="913" spans="1:10" ht="12.75" customHeight="1">
      <c r="A913" s="96">
        <f>IF(MAX($F$93:F913)=$G$88,$G$88,F913)</f>
        <v>3.2057712852183653</v>
      </c>
      <c r="B913" s="481">
        <v>821</v>
      </c>
      <c r="C913" s="96">
        <f t="shared" si="281"/>
        <v>1.2314999999999912</v>
      </c>
      <c r="D913" s="96">
        <f t="shared" si="278"/>
        <v>98.567385305879412</v>
      </c>
      <c r="E913" s="96">
        <f t="shared" si="279"/>
        <v>3.1420880528591271E-15</v>
      </c>
      <c r="F913" s="96">
        <f t="shared" si="277"/>
        <v>1.5710934232663012E-13</v>
      </c>
      <c r="G913" s="96">
        <f t="shared" si="280"/>
        <v>-0.1159999999998429</v>
      </c>
      <c r="I913" s="96">
        <f t="shared" si="282"/>
        <v>0</v>
      </c>
      <c r="J913" s="96">
        <f t="shared" si="283"/>
        <v>1.2314999999999912</v>
      </c>
    </row>
    <row r="914" spans="1:10" ht="12.75" customHeight="1">
      <c r="A914" s="96">
        <f>IF(MAX($F$93:F914)=$G$88,$G$88,F914)</f>
        <v>3.2057712852183653</v>
      </c>
      <c r="B914" s="481">
        <v>822</v>
      </c>
      <c r="C914" s="96">
        <f t="shared" si="281"/>
        <v>1.2329999999999912</v>
      </c>
      <c r="D914" s="96">
        <f t="shared" si="278"/>
        <v>98.807646972539985</v>
      </c>
      <c r="E914" s="96">
        <f t="shared" si="279"/>
        <v>2.8231576094867595E-15</v>
      </c>
      <c r="F914" s="96">
        <f t="shared" si="277"/>
        <v>1.4137619353795482E-13</v>
      </c>
      <c r="G914" s="96">
        <f t="shared" si="280"/>
        <v>-0.11599999999985863</v>
      </c>
      <c r="I914" s="96">
        <f t="shared" si="282"/>
        <v>0</v>
      </c>
      <c r="J914" s="96">
        <f t="shared" si="283"/>
        <v>1.2329999999999912</v>
      </c>
    </row>
    <row r="915" spans="1:10" ht="12.75" customHeight="1">
      <c r="A915" s="96">
        <f>IF(MAX($F$93:F915)=$G$88,$G$88,F915)</f>
        <v>3.2057712852183653</v>
      </c>
      <c r="B915" s="481">
        <v>823</v>
      </c>
      <c r="C915" s="96">
        <f t="shared" si="281"/>
        <v>1.2344999999999913</v>
      </c>
      <c r="D915" s="96">
        <f t="shared" si="278"/>
        <v>99.048201106232426</v>
      </c>
      <c r="E915" s="96">
        <f t="shared" si="279"/>
        <v>2.5361900805536063E-15</v>
      </c>
      <c r="F915" s="96">
        <f t="shared" si="277"/>
        <v>1.2719772387967663E-13</v>
      </c>
      <c r="G915" s="96">
        <f t="shared" si="280"/>
        <v>-0.1159999999998728</v>
      </c>
      <c r="I915" s="96">
        <f t="shared" si="282"/>
        <v>0</v>
      </c>
      <c r="J915" s="96">
        <f t="shared" si="283"/>
        <v>1.2344999999999913</v>
      </c>
    </row>
    <row r="916" spans="1:10" ht="12.75" customHeight="1">
      <c r="A916" s="96">
        <f>IF(MAX($F$93:F916)=$G$88,$G$88,F916)</f>
        <v>3.2057712852183653</v>
      </c>
      <c r="B916" s="481">
        <v>824</v>
      </c>
      <c r="C916" s="96">
        <f t="shared" si="281"/>
        <v>1.2359999999999913</v>
      </c>
      <c r="D916" s="96">
        <f t="shared" si="278"/>
        <v>99.289047706956694</v>
      </c>
      <c r="E916" s="96">
        <f t="shared" si="279"/>
        <v>2.2780245071452882E-15</v>
      </c>
      <c r="F916" s="96">
        <f t="shared" si="277"/>
        <v>1.1442243775085148E-13</v>
      </c>
      <c r="G916" s="96">
        <f t="shared" si="280"/>
        <v>-0.11599999999988558</v>
      </c>
      <c r="I916" s="96">
        <f t="shared" si="282"/>
        <v>0</v>
      </c>
      <c r="J916" s="96">
        <f t="shared" si="283"/>
        <v>1.2359999999999913</v>
      </c>
    </row>
    <row r="917" spans="1:10" ht="12.75" customHeight="1">
      <c r="A917" s="96">
        <f>IF(MAX($F$93:F917)=$G$88,$G$88,F917)</f>
        <v>3.2057712852183653</v>
      </c>
      <c r="B917" s="481">
        <v>825</v>
      </c>
      <c r="C917" s="96">
        <f t="shared" si="281"/>
        <v>1.2374999999999914</v>
      </c>
      <c r="D917" s="96">
        <f t="shared" si="278"/>
        <v>99.530186774712817</v>
      </c>
      <c r="E917" s="96">
        <f t="shared" si="279"/>
        <v>2.0458082044785286E-15</v>
      </c>
      <c r="F917" s="96">
        <f t="shared" si="277"/>
        <v>1.0291338697061202E-13</v>
      </c>
      <c r="G917" s="96">
        <f t="shared" si="280"/>
        <v>-0.11599999999989709</v>
      </c>
      <c r="I917" s="96">
        <f t="shared" si="282"/>
        <v>0</v>
      </c>
      <c r="J917" s="96">
        <f t="shared" si="283"/>
        <v>1.2374999999999914</v>
      </c>
    </row>
    <row r="918" spans="1:10" ht="12.75" customHeight="1">
      <c r="A918" s="96">
        <f>IF(MAX($F$93:F918)=$G$88,$G$88,F918)</f>
        <v>3.2057712852183653</v>
      </c>
      <c r="B918" s="481">
        <v>826</v>
      </c>
      <c r="C918" s="96">
        <f t="shared" si="281"/>
        <v>1.2389999999999914</v>
      </c>
      <c r="D918" s="96">
        <f t="shared" si="278"/>
        <v>99.771618309500781</v>
      </c>
      <c r="E918" s="96">
        <f t="shared" si="279"/>
        <v>1.8369671344140937E-15</v>
      </c>
      <c r="F918" s="96">
        <f t="shared" si="277"/>
        <v>9.2546795293350269E-14</v>
      </c>
      <c r="G918" s="96">
        <f t="shared" si="280"/>
        <v>-0.11599999999990745</v>
      </c>
      <c r="I918" s="96">
        <f t="shared" si="282"/>
        <v>0</v>
      </c>
      <c r="J918" s="96">
        <f t="shared" si="283"/>
        <v>1.2389999999999914</v>
      </c>
    </row>
    <row r="919" spans="1:10" ht="12.75" customHeight="1">
      <c r="A919" s="96">
        <f>IF(MAX($F$93:F919)=$G$88,$G$88,F919)</f>
        <v>3.2057712852183653</v>
      </c>
      <c r="B919" s="481">
        <v>827</v>
      </c>
      <c r="C919" s="96">
        <f t="shared" si="281"/>
        <v>1.2404999999999915</v>
      </c>
      <c r="D919" s="96">
        <f t="shared" si="278"/>
        <v>100.01334231132059</v>
      </c>
      <c r="E919" s="96">
        <f t="shared" si="279"/>
        <v>1.6491790817927417E-15</v>
      </c>
      <c r="F919" s="96">
        <f t="shared" si="277"/>
        <v>8.3210810869313218E-14</v>
      </c>
      <c r="G919" s="96">
        <f t="shared" si="280"/>
        <v>-0.11599999999991679</v>
      </c>
      <c r="I919" s="96">
        <f t="shared" si="282"/>
        <v>0</v>
      </c>
      <c r="J919" s="96">
        <f t="shared" si="283"/>
        <v>1.2404999999999915</v>
      </c>
    </row>
    <row r="920" spans="1:10" ht="12.75" customHeight="1">
      <c r="A920" s="96">
        <f>IF(MAX($F$93:F920)=$G$88,$G$88,F920)</f>
        <v>3.2057712852183653</v>
      </c>
      <c r="B920" s="481">
        <v>828</v>
      </c>
      <c r="C920" s="96">
        <f t="shared" si="281"/>
        <v>1.2419999999999916</v>
      </c>
      <c r="D920" s="96">
        <f t="shared" si="278"/>
        <v>100.25535878017224</v>
      </c>
      <c r="E920" s="96">
        <f t="shared" si="279"/>
        <v>1.4803493735456085E-15</v>
      </c>
      <c r="F920" s="96">
        <f t="shared" si="277"/>
        <v>7.4804374953977358E-14</v>
      </c>
      <c r="G920" s="96">
        <f t="shared" si="280"/>
        <v>-0.1159999999999252</v>
      </c>
      <c r="I920" s="96">
        <f t="shared" si="282"/>
        <v>0</v>
      </c>
      <c r="J920" s="96">
        <f t="shared" si="283"/>
        <v>1.2419999999999916</v>
      </c>
    </row>
    <row r="921" spans="1:10" ht="12.75" customHeight="1">
      <c r="A921" s="96">
        <f>IF(MAX($F$93:F921)=$G$88,$G$88,F921)</f>
        <v>3.2057712852183653</v>
      </c>
      <c r="B921" s="481">
        <v>829</v>
      </c>
      <c r="C921" s="96">
        <f t="shared" si="281"/>
        <v>1.2434999999999916</v>
      </c>
      <c r="D921" s="96">
        <f t="shared" si="278"/>
        <v>100.49766771605574</v>
      </c>
      <c r="E921" s="96">
        <f t="shared" si="279"/>
        <v>1.328588903418553E-15</v>
      </c>
      <c r="F921" s="96">
        <f t="shared" si="277"/>
        <v>6.7236196219426649E-14</v>
      </c>
      <c r="G921" s="96">
        <f t="shared" si="280"/>
        <v>-0.11599999999993277</v>
      </c>
      <c r="I921" s="96">
        <f t="shared" si="282"/>
        <v>0</v>
      </c>
      <c r="J921" s="96">
        <f t="shared" si="283"/>
        <v>1.2434999999999916</v>
      </c>
    </row>
    <row r="922" spans="1:10" ht="12.75" customHeight="1">
      <c r="A922" s="96">
        <f>IF(MAX($F$93:F922)=$G$88,$G$88,F922)</f>
        <v>3.2057712852183653</v>
      </c>
      <c r="B922" s="481">
        <v>830</v>
      </c>
      <c r="C922" s="96">
        <f t="shared" si="281"/>
        <v>1.2449999999999917</v>
      </c>
      <c r="D922" s="96">
        <f t="shared" si="278"/>
        <v>100.74026911897109</v>
      </c>
      <c r="E922" s="96">
        <f t="shared" si="279"/>
        <v>1.1921942468909228E-15</v>
      </c>
      <c r="F922" s="96">
        <f t="shared" si="277"/>
        <v>6.042382097822895E-14</v>
      </c>
      <c r="G922" s="96">
        <f t="shared" si="280"/>
        <v>-0.11599999999993958</v>
      </c>
      <c r="I922" s="96">
        <f t="shared" si="282"/>
        <v>0</v>
      </c>
      <c r="J922" s="96">
        <f t="shared" si="283"/>
        <v>1.2449999999999917</v>
      </c>
    </row>
    <row r="923" spans="1:10" ht="12.75" customHeight="1">
      <c r="A923" s="96">
        <f>IF(MAX($F$93:F923)=$G$88,$G$88,F923)</f>
        <v>3.2057712852183653</v>
      </c>
      <c r="B923" s="481">
        <v>831</v>
      </c>
      <c r="C923" s="96">
        <f t="shared" si="281"/>
        <v>1.2464999999999917</v>
      </c>
      <c r="D923" s="96">
        <f t="shared" si="278"/>
        <v>100.98316298891828</v>
      </c>
      <c r="E923" s="96">
        <f t="shared" si="279"/>
        <v>1.0696296706547146E-15</v>
      </c>
      <c r="F923" s="96">
        <f t="shared" si="277"/>
        <v>5.4292790503142753E-14</v>
      </c>
      <c r="G923" s="96">
        <f t="shared" si="280"/>
        <v>-0.11599999999994572</v>
      </c>
      <c r="I923" s="96">
        <f t="shared" si="282"/>
        <v>0</v>
      </c>
      <c r="J923" s="96">
        <f t="shared" si="283"/>
        <v>1.2464999999999917</v>
      </c>
    </row>
    <row r="924" spans="1:10" ht="12.75" customHeight="1">
      <c r="A924" s="96">
        <f>IF(MAX($F$93:F924)=$G$88,$G$88,F924)</f>
        <v>3.2057712852183653</v>
      </c>
      <c r="B924" s="481">
        <v>832</v>
      </c>
      <c r="C924" s="96">
        <f t="shared" si="281"/>
        <v>1.2479999999999918</v>
      </c>
      <c r="D924" s="96">
        <f t="shared" si="278"/>
        <v>101.22634932589732</v>
      </c>
      <c r="E924" s="96">
        <f t="shared" si="279"/>
        <v>9.5951085902031101E-16</v>
      </c>
      <c r="F924" s="96">
        <f t="shared" si="277"/>
        <v>4.8775877421950123E-14</v>
      </c>
      <c r="G924" s="96">
        <f t="shared" si="280"/>
        <v>-0.11599999999995123</v>
      </c>
      <c r="I924" s="96">
        <f t="shared" si="282"/>
        <v>0</v>
      </c>
      <c r="J924" s="96">
        <f t="shared" si="283"/>
        <v>1.2479999999999918</v>
      </c>
    </row>
    <row r="925" spans="1:10" ht="12.75" customHeight="1">
      <c r="A925" s="96">
        <f>IF(MAX($F$93:F925)=$G$88,$G$88,F925)</f>
        <v>3.2057712852183653</v>
      </c>
      <c r="B925" s="481">
        <v>833</v>
      </c>
      <c r="C925" s="96">
        <f t="shared" si="281"/>
        <v>1.2494999999999918</v>
      </c>
      <c r="D925" s="96">
        <f t="shared" si="278"/>
        <v>101.46982812990819</v>
      </c>
      <c r="E925" s="96">
        <f t="shared" si="279"/>
        <v>8.6059019598921403E-16</v>
      </c>
      <c r="F925" s="96">
        <f t="shared" ref="F925:F988" si="284">IF($E$12&lt;$F$90,NA(),$E$87*(E924-E926)/(2*$C$88))</f>
        <v>4.3812393891961917E-14</v>
      </c>
      <c r="G925" s="96">
        <f t="shared" si="280"/>
        <v>-0.11599999999995619</v>
      </c>
      <c r="I925" s="96">
        <f t="shared" si="282"/>
        <v>0</v>
      </c>
      <c r="J925" s="96">
        <f t="shared" si="283"/>
        <v>1.2494999999999918</v>
      </c>
    </row>
    <row r="926" spans="1:10" ht="12.75" customHeight="1">
      <c r="A926" s="96">
        <f>IF(MAX($F$93:F926)=$G$88,$G$88,F926)</f>
        <v>3.2057712852183653</v>
      </c>
      <c r="B926" s="481">
        <v>834</v>
      </c>
      <c r="C926" s="96">
        <f t="shared" si="281"/>
        <v>1.2509999999999919</v>
      </c>
      <c r="D926" s="96">
        <f t="shared" ref="D926:D989" si="285">C926^2/$C$85</f>
        <v>101.71359940095091</v>
      </c>
      <c r="E926" s="96">
        <f t="shared" ref="E926:E989" si="286">CHIDIST(D926,$E$85)</f>
        <v>7.717434566261885E-16</v>
      </c>
      <c r="F926" s="96">
        <f t="shared" si="284"/>
        <v>3.9347564919792025E-14</v>
      </c>
      <c r="G926" s="96">
        <f t="shared" ref="G926:G989" si="287">F926-$G$90</f>
        <v>-0.11599999999996066</v>
      </c>
      <c r="I926" s="96">
        <f t="shared" si="282"/>
        <v>0</v>
      </c>
      <c r="J926" s="96">
        <f t="shared" si="283"/>
        <v>1.2509999999999919</v>
      </c>
    </row>
    <row r="927" spans="1:10" ht="12.75" customHeight="1">
      <c r="A927" s="96">
        <f>IF(MAX($F$93:F927)=$G$88,$G$88,F927)</f>
        <v>3.2057712852183653</v>
      </c>
      <c r="B927" s="481">
        <v>835</v>
      </c>
      <c r="C927" s="96">
        <f t="shared" si="281"/>
        <v>1.252499999999992</v>
      </c>
      <c r="D927" s="96">
        <f t="shared" si="285"/>
        <v>101.95766313902548</v>
      </c>
      <c r="E927" s="96">
        <f t="shared" si="286"/>
        <v>6.9195777490439106E-16</v>
      </c>
      <c r="F927" s="96">
        <f t="shared" si="284"/>
        <v>3.5331960794300259E-14</v>
      </c>
      <c r="G927" s="96">
        <f t="shared" si="287"/>
        <v>-0.11599999999996467</v>
      </c>
      <c r="I927" s="96">
        <f t="shared" si="282"/>
        <v>0</v>
      </c>
      <c r="J927" s="96">
        <f t="shared" si="283"/>
        <v>1.252499999999992</v>
      </c>
    </row>
    <row r="928" spans="1:10" ht="12.75" customHeight="1">
      <c r="A928" s="96">
        <f>IF(MAX($F$93:F928)=$G$88,$G$88,F928)</f>
        <v>3.2057712852183653</v>
      </c>
      <c r="B928" s="481">
        <v>836</v>
      </c>
      <c r="C928" s="96">
        <f t="shared" si="281"/>
        <v>1.253999999999992</v>
      </c>
      <c r="D928" s="96">
        <f t="shared" si="285"/>
        <v>102.2020193441319</v>
      </c>
      <c r="E928" s="96">
        <f t="shared" si="286"/>
        <v>6.2032076750775879E-16</v>
      </c>
      <c r="F928" s="96">
        <f t="shared" si="284"/>
        <v>3.1720983149269784E-14</v>
      </c>
      <c r="G928" s="96">
        <f t="shared" si="287"/>
        <v>-0.11599999999996828</v>
      </c>
      <c r="I928" s="96">
        <f t="shared" si="282"/>
        <v>0</v>
      </c>
      <c r="J928" s="96">
        <f t="shared" si="283"/>
        <v>1.253999999999992</v>
      </c>
    </row>
    <row r="929" spans="1:10" ht="12.75" customHeight="1">
      <c r="A929" s="96">
        <f>IF(MAX($F$93:F929)=$G$88,$G$88,F929)</f>
        <v>3.2057712852183653</v>
      </c>
      <c r="B929" s="481">
        <v>837</v>
      </c>
      <c r="C929" s="96">
        <f t="shared" si="281"/>
        <v>1.2554999999999921</v>
      </c>
      <c r="D929" s="96">
        <f t="shared" si="285"/>
        <v>102.44666801627015</v>
      </c>
      <c r="E929" s="96">
        <f t="shared" si="286"/>
        <v>5.5601070426466341E-16</v>
      </c>
      <c r="F929" s="96">
        <f t="shared" si="284"/>
        <v>2.8474399671986569E-14</v>
      </c>
      <c r="G929" s="96">
        <f t="shared" si="287"/>
        <v>-0.11599999999997153</v>
      </c>
      <c r="I929" s="96">
        <f t="shared" si="282"/>
        <v>0</v>
      </c>
      <c r="J929" s="96">
        <f t="shared" si="283"/>
        <v>1.2554999999999921</v>
      </c>
    </row>
    <row r="930" spans="1:10" ht="12.75" customHeight="1">
      <c r="A930" s="96">
        <f>IF(MAX($F$93:F930)=$G$88,$G$88,F930)</f>
        <v>3.2057712852183653</v>
      </c>
      <c r="B930" s="481">
        <v>838</v>
      </c>
      <c r="C930" s="96">
        <f t="shared" si="281"/>
        <v>1.2569999999999921</v>
      </c>
      <c r="D930" s="96">
        <f t="shared" si="285"/>
        <v>102.69160915544026</v>
      </c>
      <c r="E930" s="96">
        <f t="shared" si="286"/>
        <v>4.9828762605638779E-16</v>
      </c>
      <c r="F930" s="96">
        <f t="shared" si="284"/>
        <v>2.5555922928960102E-14</v>
      </c>
      <c r="G930" s="96">
        <f t="shared" si="287"/>
        <v>-0.11599999999997446</v>
      </c>
      <c r="I930" s="96">
        <f t="shared" si="282"/>
        <v>0</v>
      </c>
      <c r="J930" s="96">
        <f t="shared" si="283"/>
        <v>1.2569999999999921</v>
      </c>
    </row>
    <row r="931" spans="1:10" ht="12.75" customHeight="1">
      <c r="A931" s="96">
        <f>IF(MAX($F$93:F931)=$G$88,$G$88,F931)</f>
        <v>3.2057712852183653</v>
      </c>
      <c r="B931" s="481">
        <v>839</v>
      </c>
      <c r="C931" s="96">
        <f t="shared" si="281"/>
        <v>1.2584999999999922</v>
      </c>
      <c r="D931" s="96">
        <f t="shared" si="285"/>
        <v>102.9368427616422</v>
      </c>
      <c r="E931" s="96">
        <f t="shared" si="286"/>
        <v>4.4648532028340581E-16</v>
      </c>
      <c r="F931" s="96">
        <f t="shared" si="284"/>
        <v>2.2932829194302239E-14</v>
      </c>
      <c r="G931" s="96">
        <f t="shared" si="287"/>
        <v>-0.11599999999997708</v>
      </c>
      <c r="I931" s="96">
        <f t="shared" si="282"/>
        <v>0</v>
      </c>
      <c r="J931" s="96">
        <f t="shared" si="283"/>
        <v>1.2584999999999922</v>
      </c>
    </row>
    <row r="932" spans="1:10" ht="12.75" customHeight="1">
      <c r="A932" s="96">
        <f>IF(MAX($F$93:F932)=$G$88,$G$88,F932)</f>
        <v>3.2057712852183653</v>
      </c>
      <c r="B932" s="481">
        <v>840</v>
      </c>
      <c r="C932" s="96">
        <f t="shared" si="281"/>
        <v>1.2599999999999922</v>
      </c>
      <c r="D932" s="96">
        <f t="shared" si="285"/>
        <v>103.18236883487599</v>
      </c>
      <c r="E932" s="96">
        <f t="shared" si="286"/>
        <v>4.0000407236652104E-16</v>
      </c>
      <c r="F932" s="96">
        <f t="shared" si="284"/>
        <v>2.0575613543247333E-14</v>
      </c>
      <c r="G932" s="96">
        <f t="shared" si="287"/>
        <v>-0.11599999999997943</v>
      </c>
      <c r="I932" s="96">
        <f t="shared" si="282"/>
        <v>0</v>
      </c>
      <c r="J932" s="96">
        <f t="shared" si="283"/>
        <v>1.2599999999999922</v>
      </c>
    </row>
    <row r="933" spans="1:10" ht="12.75" customHeight="1">
      <c r="A933" s="96">
        <f>IF(MAX($F$93:F933)=$G$88,$G$88,F933)</f>
        <v>3.2057712852183653</v>
      </c>
      <c r="B933" s="481">
        <v>841</v>
      </c>
      <c r="C933" s="96">
        <f t="shared" si="281"/>
        <v>1.2614999999999923</v>
      </c>
      <c r="D933" s="96">
        <f t="shared" si="285"/>
        <v>103.42818737514163</v>
      </c>
      <c r="E933" s="96">
        <f t="shared" si="286"/>
        <v>3.5830411938377437E-16</v>
      </c>
      <c r="F933" s="96">
        <f t="shared" si="284"/>
        <v>1.8457677816522937E-14</v>
      </c>
      <c r="G933" s="96">
        <f t="shared" si="287"/>
        <v>-0.11599999999998155</v>
      </c>
      <c r="I933" s="96">
        <f t="shared" si="282"/>
        <v>0</v>
      </c>
      <c r="J933" s="96">
        <f t="shared" si="283"/>
        <v>1.2614999999999923</v>
      </c>
    </row>
    <row r="934" spans="1:10" ht="12.75" customHeight="1">
      <c r="A934" s="96">
        <f>IF(MAX($F$93:F934)=$G$88,$G$88,F934)</f>
        <v>3.2057712852183653</v>
      </c>
      <c r="B934" s="481">
        <v>842</v>
      </c>
      <c r="C934" s="96">
        <f t="shared" si="281"/>
        <v>1.2629999999999924</v>
      </c>
      <c r="D934" s="96">
        <f t="shared" si="285"/>
        <v>103.67429838243912</v>
      </c>
      <c r="E934" s="96">
        <f t="shared" si="286"/>
        <v>3.2089973886713701E-16</v>
      </c>
      <c r="F934" s="96">
        <f t="shared" si="284"/>
        <v>1.6555048373496684E-14</v>
      </c>
      <c r="G934" s="96">
        <f t="shared" si="287"/>
        <v>-0.11599999999998345</v>
      </c>
      <c r="I934" s="96">
        <f t="shared" si="282"/>
        <v>0</v>
      </c>
      <c r="J934" s="96">
        <f t="shared" si="283"/>
        <v>1.2629999999999924</v>
      </c>
    </row>
    <row r="935" spans="1:10" ht="12.75" customHeight="1">
      <c r="A935" s="96">
        <f>IF(MAX($F$93:F935)=$G$88,$G$88,F935)</f>
        <v>3.2057712852183653</v>
      </c>
      <c r="B935" s="481">
        <v>843</v>
      </c>
      <c r="C935" s="96">
        <f t="shared" si="281"/>
        <v>1.2644999999999924</v>
      </c>
      <c r="D935" s="96">
        <f t="shared" si="285"/>
        <v>103.92070185676845</v>
      </c>
      <c r="E935" s="96">
        <f t="shared" si="286"/>
        <v>2.8735391206878857E-16</v>
      </c>
      <c r="F935" s="96">
        <f t="shared" si="284"/>
        <v>1.4846120836018978E-14</v>
      </c>
      <c r="G935" s="96">
        <f t="shared" si="287"/>
        <v>-0.11599999999998516</v>
      </c>
      <c r="I935" s="96">
        <f t="shared" si="282"/>
        <v>0</v>
      </c>
      <c r="J935" s="96">
        <f t="shared" si="283"/>
        <v>1.2644999999999924</v>
      </c>
    </row>
    <row r="936" spans="1:10" ht="12.75" customHeight="1">
      <c r="A936" s="96">
        <f>IF(MAX($F$93:F936)=$G$88,$G$88,F936)</f>
        <v>3.2057712852183653</v>
      </c>
      <c r="B936" s="481">
        <v>844</v>
      </c>
      <c r="C936" s="96">
        <f t="shared" si="281"/>
        <v>1.2659999999999925</v>
      </c>
      <c r="D936" s="96">
        <f t="shared" si="285"/>
        <v>104.16739779812963</v>
      </c>
      <c r="E936" s="96">
        <f t="shared" si="286"/>
        <v>2.5727350671276996E-16</v>
      </c>
      <c r="F936" s="96">
        <f t="shared" si="284"/>
        <v>1.3311429283237639E-14</v>
      </c>
      <c r="G936" s="96">
        <f t="shared" si="287"/>
        <v>-0.1159999999999867</v>
      </c>
      <c r="I936" s="96">
        <f t="shared" si="282"/>
        <v>0</v>
      </c>
      <c r="J936" s="96">
        <f t="shared" si="283"/>
        <v>1.2659999999999925</v>
      </c>
    </row>
    <row r="937" spans="1:10" ht="12.75" customHeight="1">
      <c r="A937" s="96">
        <f>IF(MAX($F$93:F937)=$G$88,$G$88,F937)</f>
        <v>3.2057712852183653</v>
      </c>
      <c r="B937" s="481">
        <v>845</v>
      </c>
      <c r="C937" s="96">
        <f t="shared" ref="C937:C1000" si="288">C936+$C$88</f>
        <v>1.2674999999999925</v>
      </c>
      <c r="D937" s="96">
        <f t="shared" si="285"/>
        <v>104.41438620652264</v>
      </c>
      <c r="E937" s="96">
        <f t="shared" si="286"/>
        <v>2.3030492942634155E-16</v>
      </c>
      <c r="F937" s="96">
        <f t="shared" si="284"/>
        <v>1.1933437592606203E-14</v>
      </c>
      <c r="G937" s="96">
        <f t="shared" si="287"/>
        <v>-0.11599999999998807</v>
      </c>
      <c r="I937" s="96">
        <f t="shared" si="282"/>
        <v>0</v>
      </c>
      <c r="J937" s="96">
        <f t="shared" si="283"/>
        <v>1.2674999999999925</v>
      </c>
    </row>
    <row r="938" spans="1:10" ht="12.75" customHeight="1">
      <c r="A938" s="96">
        <f>IF(MAX($F$93:F938)=$G$88,$G$88,F938)</f>
        <v>3.2057712852183653</v>
      </c>
      <c r="B938" s="481">
        <v>846</v>
      </c>
      <c r="C938" s="96">
        <f t="shared" si="288"/>
        <v>1.2689999999999926</v>
      </c>
      <c r="D938" s="96">
        <f t="shared" si="285"/>
        <v>104.66166708194748</v>
      </c>
      <c r="E938" s="96">
        <f t="shared" si="286"/>
        <v>2.0613020274445766E-16</v>
      </c>
      <c r="F938" s="96">
        <f t="shared" si="284"/>
        <v>1.0696350835842181E-14</v>
      </c>
      <c r="G938" s="96">
        <f t="shared" si="287"/>
        <v>-0.11599999999998931</v>
      </c>
      <c r="I938" s="96">
        <f t="shared" si="282"/>
        <v>0</v>
      </c>
      <c r="J938" s="96">
        <f t="shared" si="283"/>
        <v>1.2689999999999926</v>
      </c>
    </row>
    <row r="939" spans="1:10" ht="12.75" customHeight="1">
      <c r="A939" s="96">
        <f>IF(MAX($F$93:F939)=$G$88,$G$88,F939)</f>
        <v>3.2057712852183653</v>
      </c>
      <c r="B939" s="481">
        <v>847</v>
      </c>
      <c r="C939" s="96">
        <f t="shared" si="288"/>
        <v>1.2704999999999926</v>
      </c>
      <c r="D939" s="96">
        <f t="shared" si="285"/>
        <v>104.9092404244042</v>
      </c>
      <c r="E939" s="96">
        <f t="shared" si="286"/>
        <v>1.8446342584416076E-16</v>
      </c>
      <c r="F939" s="96">
        <f t="shared" si="284"/>
        <v>9.5859448327559341E-15</v>
      </c>
      <c r="G939" s="96">
        <f t="shared" si="287"/>
        <v>-0.11599999999999042</v>
      </c>
      <c r="I939" s="96">
        <f t="shared" si="282"/>
        <v>0</v>
      </c>
      <c r="J939" s="96">
        <f t="shared" si="283"/>
        <v>1.2704999999999926</v>
      </c>
    </row>
    <row r="940" spans="1:10" ht="12.75" customHeight="1">
      <c r="A940" s="96">
        <f>IF(MAX($F$93:F940)=$G$88,$G$88,F940)</f>
        <v>3.2057712852183653</v>
      </c>
      <c r="B940" s="481">
        <v>848</v>
      </c>
      <c r="C940" s="96">
        <f t="shared" si="288"/>
        <v>1.2719999999999927</v>
      </c>
      <c r="D940" s="96">
        <f t="shared" si="285"/>
        <v>105.15710623389276</v>
      </c>
      <c r="E940" s="96">
        <f t="shared" si="286"/>
        <v>1.6504758203264651E-16</v>
      </c>
      <c r="F940" s="96">
        <f t="shared" si="284"/>
        <v>8.5894121423415029E-15</v>
      </c>
      <c r="G940" s="96">
        <f t="shared" si="287"/>
        <v>-0.11599999999999142</v>
      </c>
      <c r="I940" s="96">
        <f t="shared" ref="I940:I1003" si="289">IF(F940&gt;$G$87,1,0)</f>
        <v>0</v>
      </c>
      <c r="J940" s="96">
        <f t="shared" ref="J940:J1003" si="290">C940</f>
        <v>1.2719999999999927</v>
      </c>
    </row>
    <row r="941" spans="1:10" ht="12.75" customHeight="1">
      <c r="A941" s="96">
        <f>IF(MAX($F$93:F941)=$G$88,$G$88,F941)</f>
        <v>3.2057712852183653</v>
      </c>
      <c r="B941" s="481">
        <v>849</v>
      </c>
      <c r="C941" s="96">
        <f t="shared" si="288"/>
        <v>1.2734999999999927</v>
      </c>
      <c r="D941" s="96">
        <f t="shared" si="285"/>
        <v>105.40526451041316</v>
      </c>
      <c r="E941" s="96">
        <f t="shared" si="286"/>
        <v>1.4765165951984003E-16</v>
      </c>
      <c r="F941" s="96">
        <f t="shared" si="284"/>
        <v>7.6952229308043319E-15</v>
      </c>
      <c r="G941" s="96">
        <f t="shared" si="287"/>
        <v>-0.11599999999999232</v>
      </c>
      <c r="I941" s="96">
        <f t="shared" si="289"/>
        <v>0</v>
      </c>
      <c r="J941" s="96">
        <f t="shared" si="290"/>
        <v>1.2734999999999927</v>
      </c>
    </row>
    <row r="942" spans="1:10" ht="12.75" customHeight="1">
      <c r="A942" s="96">
        <f>IF(MAX($F$93:F942)=$G$88,$G$88,F942)</f>
        <v>3.2057712852183653</v>
      </c>
      <c r="B942" s="481">
        <v>850</v>
      </c>
      <c r="C942" s="96">
        <f t="shared" si="288"/>
        <v>1.2749999999999928</v>
      </c>
      <c r="D942" s="96">
        <f t="shared" si="285"/>
        <v>105.6537152539654</v>
      </c>
      <c r="E942" s="96">
        <f t="shared" si="286"/>
        <v>1.3206805518634223E-16</v>
      </c>
      <c r="F942" s="96">
        <f t="shared" si="284"/>
        <v>6.8929993018781681E-15</v>
      </c>
      <c r="G942" s="96">
        <f t="shared" si="287"/>
        <v>-0.11599999999999311</v>
      </c>
      <c r="I942" s="96">
        <f t="shared" si="289"/>
        <v>0</v>
      </c>
      <c r="J942" s="96">
        <f t="shared" si="290"/>
        <v>1.2749999999999928</v>
      </c>
    </row>
    <row r="943" spans="1:10" ht="12.75" customHeight="1">
      <c r="A943" s="96">
        <f>IF(MAX($F$93:F943)=$G$88,$G$88,F943)</f>
        <v>3.2057712852183653</v>
      </c>
      <c r="B943" s="481">
        <v>851</v>
      </c>
      <c r="C943" s="96">
        <f t="shared" si="288"/>
        <v>1.2764999999999929</v>
      </c>
      <c r="D943" s="96">
        <f t="shared" si="285"/>
        <v>105.90245846454948</v>
      </c>
      <c r="E943" s="96">
        <f t="shared" si="286"/>
        <v>1.1811023394036216E-16</v>
      </c>
      <c r="F943" s="96">
        <f t="shared" si="284"/>
        <v>6.1734018070800268E-15</v>
      </c>
      <c r="G943" s="96">
        <f t="shared" si="287"/>
        <v>-0.11599999999999383</v>
      </c>
      <c r="I943" s="96">
        <f t="shared" si="289"/>
        <v>0</v>
      </c>
      <c r="J943" s="96">
        <f t="shared" si="290"/>
        <v>1.2764999999999929</v>
      </c>
    </row>
    <row r="944" spans="1:10" ht="12.75" customHeight="1">
      <c r="A944" s="96">
        <f>IF(MAX($F$93:F944)=$G$88,$G$88,F944)</f>
        <v>3.2057712852183653</v>
      </c>
      <c r="B944" s="481">
        <v>852</v>
      </c>
      <c r="C944" s="96">
        <f t="shared" si="288"/>
        <v>1.2779999999999929</v>
      </c>
      <c r="D944" s="96">
        <f t="shared" si="285"/>
        <v>106.15149414216542</v>
      </c>
      <c r="E944" s="96">
        <f t="shared" si="286"/>
        <v>1.0561061887028497E-16</v>
      </c>
      <c r="F944" s="96">
        <f t="shared" si="284"/>
        <v>5.5280269736849529E-15</v>
      </c>
      <c r="G944" s="96">
        <f t="shared" si="287"/>
        <v>-0.11599999999999448</v>
      </c>
      <c r="I944" s="96">
        <f t="shared" si="289"/>
        <v>0</v>
      </c>
      <c r="J944" s="96">
        <f t="shared" si="290"/>
        <v>1.2779999999999929</v>
      </c>
    </row>
    <row r="945" spans="1:10" ht="12.75" customHeight="1">
      <c r="A945" s="96">
        <f>IF(MAX($F$93:F945)=$G$88,$G$88,F945)</f>
        <v>3.2057712852183653</v>
      </c>
      <c r="B945" s="481">
        <v>853</v>
      </c>
      <c r="C945" s="96">
        <f t="shared" si="288"/>
        <v>1.279499999999993</v>
      </c>
      <c r="D945" s="96">
        <f t="shared" si="285"/>
        <v>106.4008222868132</v>
      </c>
      <c r="E945" s="96">
        <f t="shared" si="286"/>
        <v>9.441868976742665E-17</v>
      </c>
      <c r="F945" s="96">
        <f t="shared" si="284"/>
        <v>4.9493147972895637E-15</v>
      </c>
      <c r="G945" s="96">
        <f t="shared" si="287"/>
        <v>-0.11599999999999505</v>
      </c>
      <c r="I945" s="96">
        <f t="shared" si="289"/>
        <v>0</v>
      </c>
      <c r="J945" s="96">
        <f t="shared" si="290"/>
        <v>1.279499999999993</v>
      </c>
    </row>
    <row r="946" spans="1:10" ht="12.75" customHeight="1">
      <c r="A946" s="96">
        <f>IF(MAX($F$93:F946)=$G$88,$G$88,F946)</f>
        <v>3.2057712852183653</v>
      </c>
      <c r="B946" s="481">
        <v>854</v>
      </c>
      <c r="C946" s="96">
        <f t="shared" si="288"/>
        <v>1.280999999999993</v>
      </c>
      <c r="D946" s="96">
        <f t="shared" si="285"/>
        <v>106.65044289849281</v>
      </c>
      <c r="E946" s="96">
        <f t="shared" si="286"/>
        <v>8.4399269739043983E-17</v>
      </c>
      <c r="F946" s="96">
        <f t="shared" si="284"/>
        <v>4.4304652448538529E-15</v>
      </c>
      <c r="G946" s="96">
        <f t="shared" si="287"/>
        <v>-0.11599999999999558</v>
      </c>
      <c r="I946" s="96">
        <f t="shared" si="289"/>
        <v>0</v>
      </c>
      <c r="J946" s="96">
        <f t="shared" si="290"/>
        <v>1.280999999999993</v>
      </c>
    </row>
    <row r="947" spans="1:10" ht="12.75" customHeight="1">
      <c r="A947" s="96">
        <f>IF(MAX($F$93:F947)=$G$88,$G$88,F947)</f>
        <v>3.2057712852183653</v>
      </c>
      <c r="B947" s="481">
        <v>855</v>
      </c>
      <c r="C947" s="96">
        <f t="shared" si="288"/>
        <v>1.2824999999999931</v>
      </c>
      <c r="D947" s="96">
        <f t="shared" si="285"/>
        <v>106.90035597720428</v>
      </c>
      <c r="E947" s="96">
        <f t="shared" si="286"/>
        <v>7.5430981575195849E-17</v>
      </c>
      <c r="F947" s="96">
        <f t="shared" si="284"/>
        <v>3.9653629039865209E-15</v>
      </c>
      <c r="G947" s="96">
        <f t="shared" si="287"/>
        <v>-0.11599999999999604</v>
      </c>
      <c r="I947" s="96">
        <f t="shared" si="289"/>
        <v>0</v>
      </c>
      <c r="J947" s="96">
        <f t="shared" si="290"/>
        <v>1.2824999999999931</v>
      </c>
    </row>
    <row r="948" spans="1:10" ht="12.75" customHeight="1">
      <c r="A948" s="96">
        <f>IF(MAX($F$93:F948)=$G$88,$G$88,F948)</f>
        <v>3.2057712852183653</v>
      </c>
      <c r="B948" s="481">
        <v>856</v>
      </c>
      <c r="C948" s="96">
        <f t="shared" si="288"/>
        <v>1.2839999999999931</v>
      </c>
      <c r="D948" s="96">
        <f t="shared" si="285"/>
        <v>107.1505615229476</v>
      </c>
      <c r="E948" s="96">
        <f t="shared" si="286"/>
        <v>6.7404857293387464E-17</v>
      </c>
      <c r="F948" s="96">
        <f t="shared" si="284"/>
        <v>3.5485089957884948E-15</v>
      </c>
      <c r="G948" s="96">
        <f t="shared" si="287"/>
        <v>-0.11599999999999645</v>
      </c>
      <c r="I948" s="96">
        <f t="shared" si="289"/>
        <v>0</v>
      </c>
      <c r="J948" s="96">
        <f t="shared" si="290"/>
        <v>1.2839999999999931</v>
      </c>
    </row>
    <row r="949" spans="1:10" ht="12.75" customHeight="1">
      <c r="A949" s="96">
        <f>IF(MAX($F$93:F949)=$G$88,$G$88,F949)</f>
        <v>3.2057712852183653</v>
      </c>
      <c r="B949" s="481">
        <v>857</v>
      </c>
      <c r="C949" s="96">
        <f t="shared" si="288"/>
        <v>1.2854999999999932</v>
      </c>
      <c r="D949" s="96">
        <f t="shared" si="285"/>
        <v>107.40105953572274</v>
      </c>
      <c r="E949" s="96">
        <f t="shared" si="286"/>
        <v>6.022308587895944E-17</v>
      </c>
      <c r="F949" s="96">
        <f t="shared" si="284"/>
        <v>3.174960042564535E-15</v>
      </c>
      <c r="G949" s="96">
        <f t="shared" si="287"/>
        <v>-0.11599999999999683</v>
      </c>
      <c r="I949" s="96">
        <f t="shared" si="289"/>
        <v>0</v>
      </c>
      <c r="J949" s="96">
        <f t="shared" si="290"/>
        <v>1.2854999999999932</v>
      </c>
    </row>
    <row r="950" spans="1:10" ht="12.75" customHeight="1">
      <c r="A950" s="96">
        <f>IF(MAX($F$93:F950)=$G$88,$G$88,F950)</f>
        <v>3.2057712852183653</v>
      </c>
      <c r="B950" s="481">
        <v>858</v>
      </c>
      <c r="C950" s="96">
        <f t="shared" si="288"/>
        <v>1.2869999999999933</v>
      </c>
      <c r="D950" s="96">
        <f t="shared" si="285"/>
        <v>107.65185001552975</v>
      </c>
      <c r="E950" s="96">
        <f t="shared" si="286"/>
        <v>5.37978856823966E-17</v>
      </c>
      <c r="F950" s="96">
        <f t="shared" si="284"/>
        <v>2.8402725488203877E-15</v>
      </c>
      <c r="G950" s="96">
        <f t="shared" si="287"/>
        <v>-0.11599999999999716</v>
      </c>
      <c r="I950" s="96">
        <f t="shared" si="289"/>
        <v>0</v>
      </c>
      <c r="J950" s="96">
        <f t="shared" si="290"/>
        <v>1.2869999999999933</v>
      </c>
    </row>
    <row r="951" spans="1:10" ht="12.75" customHeight="1">
      <c r="A951" s="96">
        <f>IF(MAX($F$93:F951)=$G$88,$G$88,F951)</f>
        <v>3.2057712852183653</v>
      </c>
      <c r="B951" s="481">
        <v>859</v>
      </c>
      <c r="C951" s="96">
        <f t="shared" si="288"/>
        <v>1.2884999999999933</v>
      </c>
      <c r="D951" s="96">
        <f t="shared" si="285"/>
        <v>107.90293296236861</v>
      </c>
      <c r="E951" s="96">
        <f t="shared" si="286"/>
        <v>4.8050489241157776E-17</v>
      </c>
      <c r="F951" s="96">
        <f t="shared" si="284"/>
        <v>2.5404531148346235E-15</v>
      </c>
      <c r="G951" s="96">
        <f t="shared" si="287"/>
        <v>-0.11599999999999747</v>
      </c>
      <c r="I951" s="96">
        <f t="shared" si="289"/>
        <v>0</v>
      </c>
      <c r="J951" s="96">
        <f t="shared" si="290"/>
        <v>1.2884999999999933</v>
      </c>
    </row>
    <row r="952" spans="1:10" ht="12.75" customHeight="1">
      <c r="A952" s="96">
        <f>IF(MAX($F$93:F952)=$G$88,$G$88,F952)</f>
        <v>3.2057712852183653</v>
      </c>
      <c r="B952" s="481">
        <v>860</v>
      </c>
      <c r="C952" s="96">
        <f t="shared" si="288"/>
        <v>1.2899999999999934</v>
      </c>
      <c r="D952" s="96">
        <f t="shared" si="285"/>
        <v>108.15430837623929</v>
      </c>
      <c r="E952" s="96">
        <f t="shared" si="286"/>
        <v>4.2910229475962498E-17</v>
      </c>
      <c r="F952" s="96">
        <f t="shared" si="284"/>
        <v>2.2719134572861422E-15</v>
      </c>
      <c r="G952" s="96">
        <f t="shared" si="287"/>
        <v>-0.11599999999999773</v>
      </c>
      <c r="I952" s="96">
        <f t="shared" si="289"/>
        <v>0</v>
      </c>
      <c r="J952" s="96">
        <f t="shared" si="290"/>
        <v>1.2899999999999934</v>
      </c>
    </row>
    <row r="953" spans="1:10" ht="12.75" customHeight="1">
      <c r="A953" s="96">
        <f>IF(MAX($F$93:F953)=$G$88,$G$88,F953)</f>
        <v>3.2057712852183653</v>
      </c>
      <c r="B953" s="481">
        <v>861</v>
      </c>
      <c r="C953" s="96">
        <f t="shared" si="288"/>
        <v>1.2914999999999934</v>
      </c>
      <c r="D953" s="96">
        <f t="shared" si="285"/>
        <v>108.40597625714182</v>
      </c>
      <c r="E953" s="96">
        <f t="shared" si="286"/>
        <v>3.8313717281360023E-17</v>
      </c>
      <c r="F953" s="96">
        <f t="shared" si="284"/>
        <v>2.0314298614433547E-15</v>
      </c>
      <c r="G953" s="96">
        <f t="shared" si="287"/>
        <v>-0.11599999999999798</v>
      </c>
      <c r="I953" s="96">
        <f t="shared" si="289"/>
        <v>0</v>
      </c>
      <c r="J953" s="96">
        <f t="shared" si="290"/>
        <v>1.2914999999999934</v>
      </c>
    </row>
    <row r="954" spans="1:10" ht="12.75" customHeight="1">
      <c r="A954" s="96">
        <f>IF(MAX($F$93:F954)=$G$88,$G$88,F954)</f>
        <v>3.2057712852183653</v>
      </c>
      <c r="B954" s="481">
        <v>862</v>
      </c>
      <c r="C954" s="96">
        <f t="shared" si="288"/>
        <v>1.2929999999999935</v>
      </c>
      <c r="D954" s="96">
        <f t="shared" si="285"/>
        <v>108.65793660507622</v>
      </c>
      <c r="E954" s="96">
        <f t="shared" si="286"/>
        <v>3.4204101498348119E-17</v>
      </c>
      <c r="F954" s="96">
        <f t="shared" si="284"/>
        <v>1.8161066347776975E-15</v>
      </c>
      <c r="G954" s="96">
        <f t="shared" si="287"/>
        <v>-0.11599999999999819</v>
      </c>
      <c r="I954" s="96">
        <f t="shared" si="289"/>
        <v>0</v>
      </c>
      <c r="J954" s="96">
        <f t="shared" si="290"/>
        <v>1.2929999999999935</v>
      </c>
    </row>
    <row r="955" spans="1:10" ht="12.75" customHeight="1">
      <c r="A955" s="96">
        <f>IF(MAX($F$93:F955)=$G$88,$G$88,F955)</f>
        <v>3.2057712852183653</v>
      </c>
      <c r="B955" s="481">
        <v>863</v>
      </c>
      <c r="C955" s="96">
        <f t="shared" si="288"/>
        <v>1.2944999999999935</v>
      </c>
      <c r="D955" s="96">
        <f t="shared" si="285"/>
        <v>108.91018942004244</v>
      </c>
      <c r="E955" s="96">
        <f t="shared" si="286"/>
        <v>3.0530403132312748E-17</v>
      </c>
      <c r="F955" s="96">
        <f t="shared" si="284"/>
        <v>1.6233431729609739E-15</v>
      </c>
      <c r="G955" s="96">
        <f t="shared" si="287"/>
        <v>-0.11599999999999838</v>
      </c>
      <c r="I955" s="96">
        <f t="shared" si="289"/>
        <v>0</v>
      </c>
      <c r="J955" s="96">
        <f t="shared" si="290"/>
        <v>1.2944999999999935</v>
      </c>
    </row>
    <row r="956" spans="1:10" ht="12.75" customHeight="1">
      <c r="A956" s="96">
        <f>IF(MAX($F$93:F956)=$G$88,$G$88,F956)</f>
        <v>3.2057712852183653</v>
      </c>
      <c r="B956" s="481">
        <v>864</v>
      </c>
      <c r="C956" s="96">
        <f t="shared" si="288"/>
        <v>1.2959999999999936</v>
      </c>
      <c r="D956" s="96">
        <f t="shared" si="285"/>
        <v>109.1627347020405</v>
      </c>
      <c r="E956" s="96">
        <f t="shared" si="286"/>
        <v>2.7246916471372516E-17</v>
      </c>
      <c r="F956" s="96">
        <f t="shared" si="284"/>
        <v>1.4508042864346507E-15</v>
      </c>
      <c r="G956" s="96">
        <f t="shared" si="287"/>
        <v>-0.11599999999999855</v>
      </c>
      <c r="I956" s="96">
        <f t="shared" si="289"/>
        <v>0</v>
      </c>
      <c r="J956" s="96">
        <f t="shared" si="290"/>
        <v>1.2959999999999936</v>
      </c>
    </row>
    <row r="957" spans="1:10" ht="12.75" customHeight="1">
      <c r="A957" s="96">
        <f>IF(MAX($F$93:F957)=$G$88,$G$88,F957)</f>
        <v>3.2057712852183653</v>
      </c>
      <c r="B957" s="481">
        <v>865</v>
      </c>
      <c r="C957" s="96">
        <f t="shared" si="288"/>
        <v>1.2974999999999937</v>
      </c>
      <c r="D957" s="96">
        <f t="shared" si="285"/>
        <v>109.41557245107042</v>
      </c>
      <c r="E957" s="96">
        <f t="shared" si="286"/>
        <v>2.4312670476164246E-17</v>
      </c>
      <c r="F957" s="96">
        <f t="shared" si="284"/>
        <v>1.296393469475051E-15</v>
      </c>
      <c r="G957" s="96">
        <f t="shared" si="287"/>
        <v>-0.11599999999999872</v>
      </c>
      <c r="I957" s="96">
        <f t="shared" si="289"/>
        <v>0</v>
      </c>
      <c r="J957" s="96">
        <f t="shared" si="290"/>
        <v>1.2974999999999937</v>
      </c>
    </row>
    <row r="958" spans="1:10" ht="12.75" customHeight="1">
      <c r="A958" s="96">
        <f>IF(MAX($F$93:F958)=$G$88,$G$88,F958)</f>
        <v>3.2057712852183653</v>
      </c>
      <c r="B958" s="481">
        <v>866</v>
      </c>
      <c r="C958" s="96">
        <f t="shared" si="288"/>
        <v>1.2989999999999937</v>
      </c>
      <c r="D958" s="96">
        <f t="shared" si="285"/>
        <v>109.66870266713218</v>
      </c>
      <c r="E958" s="96">
        <f t="shared" si="286"/>
        <v>2.1690944459336584E-17</v>
      </c>
      <c r="F958" s="96">
        <f t="shared" si="284"/>
        <v>1.1582288242272744E-15</v>
      </c>
      <c r="G958" s="96">
        <f t="shared" si="287"/>
        <v>-0.11599999999999885</v>
      </c>
      <c r="I958" s="96">
        <f t="shared" si="289"/>
        <v>0</v>
      </c>
      <c r="J958" s="96">
        <f t="shared" si="290"/>
        <v>1.2989999999999937</v>
      </c>
    </row>
    <row r="959" spans="1:10" ht="12.75" customHeight="1">
      <c r="A959" s="96">
        <f>IF(MAX($F$93:F959)=$G$88,$G$88,F959)</f>
        <v>3.2057712852183653</v>
      </c>
      <c r="B959" s="481">
        <v>867</v>
      </c>
      <c r="C959" s="96">
        <f t="shared" si="288"/>
        <v>1.3004999999999938</v>
      </c>
      <c r="D959" s="96">
        <f t="shared" si="285"/>
        <v>109.92212535022578</v>
      </c>
      <c r="E959" s="96">
        <f t="shared" si="286"/>
        <v>1.9348832658047355E-17</v>
      </c>
      <c r="F959" s="96">
        <f t="shared" si="284"/>
        <v>1.0346213798429516E-15</v>
      </c>
      <c r="G959" s="96">
        <f t="shared" si="287"/>
        <v>-0.11599999999999897</v>
      </c>
      <c r="I959" s="96">
        <f t="shared" si="289"/>
        <v>0</v>
      </c>
      <c r="J959" s="96">
        <f t="shared" si="290"/>
        <v>1.3004999999999938</v>
      </c>
    </row>
    <row r="960" spans="1:10" ht="12.75" customHeight="1">
      <c r="A960" s="96">
        <f>IF(MAX($F$93:F960)=$G$88,$G$88,F960)</f>
        <v>3.2057712852183653</v>
      </c>
      <c r="B960" s="481">
        <v>868</v>
      </c>
      <c r="C960" s="96">
        <f t="shared" si="288"/>
        <v>1.3019999999999938</v>
      </c>
      <c r="D960" s="96">
        <f t="shared" si="285"/>
        <v>110.17584050035124</v>
      </c>
      <c r="E960" s="96">
        <f t="shared" si="286"/>
        <v>1.7256852831438219E-17</v>
      </c>
      <c r="F960" s="96">
        <f t="shared" si="284"/>
        <v>9.2405557190179936E-16</v>
      </c>
      <c r="G960" s="96">
        <f t="shared" si="287"/>
        <v>-0.11599999999999908</v>
      </c>
      <c r="I960" s="96">
        <f t="shared" si="289"/>
        <v>0</v>
      </c>
      <c r="J960" s="96">
        <f t="shared" si="290"/>
        <v>1.3019999999999938</v>
      </c>
    </row>
    <row r="961" spans="1:10" ht="12.75" customHeight="1">
      <c r="A961" s="96">
        <f>IF(MAX($F$93:F961)=$G$88,$G$88,F961)</f>
        <v>3.2057712852183653</v>
      </c>
      <c r="B961" s="481">
        <v>869</v>
      </c>
      <c r="C961" s="96">
        <f t="shared" si="288"/>
        <v>1.3034999999999939</v>
      </c>
      <c r="D961" s="96">
        <f t="shared" si="285"/>
        <v>110.42984811750853</v>
      </c>
      <c r="E961" s="96">
        <f t="shared" si="286"/>
        <v>1.5388594492753929E-17</v>
      </c>
      <c r="F961" s="96">
        <f t="shared" si="284"/>
        <v>8.2517166996895719E-16</v>
      </c>
      <c r="G961" s="96">
        <f t="shared" si="287"/>
        <v>-0.11599999999999919</v>
      </c>
      <c r="I961" s="96">
        <f t="shared" si="289"/>
        <v>0</v>
      </c>
      <c r="J961" s="96">
        <f t="shared" si="290"/>
        <v>1.3034999999999939</v>
      </c>
    </row>
    <row r="962" spans="1:10" ht="12.75" customHeight="1">
      <c r="A962" s="96">
        <f>IF(MAX($F$93:F962)=$G$88,$G$88,F962)</f>
        <v>3.2057712852183653</v>
      </c>
      <c r="B962" s="481">
        <v>870</v>
      </c>
      <c r="C962" s="96">
        <f t="shared" si="288"/>
        <v>1.3049999999999939</v>
      </c>
      <c r="D962" s="96">
        <f t="shared" si="285"/>
        <v>110.68414820169768</v>
      </c>
      <c r="E962" s="96">
        <f t="shared" si="286"/>
        <v>1.3720402817285545E-17</v>
      </c>
      <c r="F962" s="96">
        <f t="shared" si="284"/>
        <v>7.3674996165694159E-16</v>
      </c>
      <c r="G962" s="96">
        <f t="shared" si="287"/>
        <v>-0.11599999999999927</v>
      </c>
      <c r="I962" s="96">
        <f t="shared" si="289"/>
        <v>0</v>
      </c>
      <c r="J962" s="96">
        <f t="shared" si="290"/>
        <v>1.3049999999999939</v>
      </c>
    </row>
    <row r="963" spans="1:10" ht="12.75" customHeight="1">
      <c r="A963" s="96">
        <f>IF(MAX($F$93:F963)=$G$88,$G$88,F963)</f>
        <v>3.2057712852183653</v>
      </c>
      <c r="B963" s="481">
        <v>871</v>
      </c>
      <c r="C963" s="96">
        <f t="shared" si="288"/>
        <v>1.306499999999994</v>
      </c>
      <c r="D963" s="96">
        <f t="shared" si="285"/>
        <v>110.93874075291865</v>
      </c>
      <c r="E963" s="96">
        <f t="shared" si="286"/>
        <v>1.2231094657081322E-17</v>
      </c>
      <c r="F963" s="96">
        <f t="shared" si="284"/>
        <v>6.5769652012581439E-16</v>
      </c>
      <c r="G963" s="96">
        <f t="shared" si="287"/>
        <v>-0.11599999999999935</v>
      </c>
      <c r="I963" s="96">
        <f t="shared" si="289"/>
        <v>0</v>
      </c>
      <c r="J963" s="96">
        <f t="shared" si="290"/>
        <v>1.306499999999994</v>
      </c>
    </row>
    <row r="964" spans="1:10" ht="12.75" customHeight="1">
      <c r="A964" s="96">
        <f>IF(MAX($F$93:F964)=$G$88,$G$88,F964)</f>
        <v>3.2057712852183653</v>
      </c>
      <c r="B964" s="481">
        <v>872</v>
      </c>
      <c r="C964" s="96">
        <f t="shared" si="288"/>
        <v>1.3079999999999941</v>
      </c>
      <c r="D964" s="96">
        <f t="shared" si="285"/>
        <v>111.19362577117148</v>
      </c>
      <c r="E964" s="96">
        <f t="shared" si="286"/>
        <v>1.0901703445317769E-17</v>
      </c>
      <c r="F964" s="96">
        <f t="shared" si="284"/>
        <v>5.8703039874984422E-16</v>
      </c>
      <c r="G964" s="96">
        <f t="shared" si="287"/>
        <v>-0.11599999999999942</v>
      </c>
      <c r="I964" s="96">
        <f t="shared" si="289"/>
        <v>0</v>
      </c>
      <c r="J964" s="96">
        <f t="shared" si="290"/>
        <v>1.3079999999999941</v>
      </c>
    </row>
    <row r="965" spans="1:10" ht="12.75" customHeight="1">
      <c r="A965" s="96">
        <f>IF(MAX($F$93:F965)=$G$88,$G$88,F965)</f>
        <v>3.2057712852183653</v>
      </c>
      <c r="B965" s="481">
        <v>873</v>
      </c>
      <c r="C965" s="96">
        <f t="shared" si="288"/>
        <v>1.3094999999999941</v>
      </c>
      <c r="D965" s="96">
        <f t="shared" si="285"/>
        <v>111.44880325645616</v>
      </c>
      <c r="E965" s="96">
        <f t="shared" si="286"/>
        <v>9.7152500910105614E-18</v>
      </c>
      <c r="F965" s="96">
        <f t="shared" si="284"/>
        <v>5.2387211187076459E-16</v>
      </c>
      <c r="G965" s="96">
        <f t="shared" si="287"/>
        <v>-0.11599999999999948</v>
      </c>
      <c r="I965" s="96">
        <f t="shared" si="289"/>
        <v>0</v>
      </c>
      <c r="J965" s="96">
        <f t="shared" si="290"/>
        <v>1.3094999999999941</v>
      </c>
    </row>
    <row r="966" spans="1:10" ht="12.75" customHeight="1">
      <c r="A966" s="96">
        <f>IF(MAX($F$93:F966)=$G$88,$G$88,F966)</f>
        <v>3.2057712852183653</v>
      </c>
      <c r="B966" s="481">
        <v>874</v>
      </c>
      <c r="C966" s="96">
        <f t="shared" si="288"/>
        <v>1.3109999999999942</v>
      </c>
      <c r="D966" s="96">
        <f t="shared" si="285"/>
        <v>111.70427320877268</v>
      </c>
      <c r="E966" s="96">
        <f t="shared" si="286"/>
        <v>8.6565372515859209E-18</v>
      </c>
      <c r="F966" s="96">
        <f t="shared" si="284"/>
        <v>4.6743327429604448E-16</v>
      </c>
      <c r="G966" s="96">
        <f t="shared" si="287"/>
        <v>-0.11599999999999953</v>
      </c>
      <c r="I966" s="96">
        <f t="shared" si="289"/>
        <v>0</v>
      </c>
      <c r="J966" s="96">
        <f t="shared" si="290"/>
        <v>1.3109999999999942</v>
      </c>
    </row>
    <row r="967" spans="1:10" ht="12.75" customHeight="1">
      <c r="A967" s="96">
        <f>IF(MAX($F$93:F967)=$G$88,$G$88,F967)</f>
        <v>3.2057712852183653</v>
      </c>
      <c r="B967" s="481">
        <v>875</v>
      </c>
      <c r="C967" s="96">
        <f t="shared" si="288"/>
        <v>1.3124999999999942</v>
      </c>
      <c r="D967" s="96">
        <f t="shared" si="285"/>
        <v>111.96003562812105</v>
      </c>
      <c r="E967" s="96">
        <f t="shared" si="286"/>
        <v>7.711964629741799E-18</v>
      </c>
      <c r="F967" s="96">
        <f t="shared" si="284"/>
        <v>4.1700728462027795E-16</v>
      </c>
      <c r="G967" s="96">
        <f t="shared" si="287"/>
        <v>-0.11599999999999959</v>
      </c>
      <c r="I967" s="96">
        <f t="shared" si="289"/>
        <v>0</v>
      </c>
      <c r="J967" s="96">
        <f t="shared" si="290"/>
        <v>1.3124999999999942</v>
      </c>
    </row>
    <row r="968" spans="1:10" ht="12.75" customHeight="1">
      <c r="A968" s="96">
        <f>IF(MAX($F$93:F968)=$G$88,$G$88,F968)</f>
        <v>3.2057712852183653</v>
      </c>
      <c r="B968" s="481">
        <v>876</v>
      </c>
      <c r="C968" s="96">
        <f t="shared" si="288"/>
        <v>1.3139999999999943</v>
      </c>
      <c r="D968" s="96">
        <f t="shared" si="285"/>
        <v>112.21609051450126</v>
      </c>
      <c r="E968" s="96">
        <f t="shared" si="286"/>
        <v>6.8693631746418723E-18</v>
      </c>
      <c r="F968" s="96">
        <f t="shared" si="284"/>
        <v>3.7196094867837336E-16</v>
      </c>
      <c r="G968" s="96">
        <f t="shared" si="287"/>
        <v>-0.11599999999999963</v>
      </c>
      <c r="I968" s="96">
        <f t="shared" si="289"/>
        <v>0</v>
      </c>
      <c r="J968" s="96">
        <f t="shared" si="290"/>
        <v>1.3139999999999943</v>
      </c>
    </row>
    <row r="969" spans="1:10" ht="12.75" customHeight="1">
      <c r="A969" s="96">
        <f>IF(MAX($F$93:F969)=$G$88,$G$88,F969)</f>
        <v>3.2057712852183653</v>
      </c>
      <c r="B969" s="481">
        <v>877</v>
      </c>
      <c r="C969" s="96">
        <f t="shared" si="288"/>
        <v>1.3154999999999943</v>
      </c>
      <c r="D969" s="96">
        <f t="shared" si="285"/>
        <v>112.47243786791331</v>
      </c>
      <c r="E969" s="96">
        <f t="shared" si="286"/>
        <v>6.1178462782630559E-18</v>
      </c>
      <c r="F969" s="96">
        <f t="shared" si="284"/>
        <v>3.3172694958670811E-16</v>
      </c>
      <c r="G969" s="96">
        <f t="shared" si="287"/>
        <v>-0.11599999999999967</v>
      </c>
      <c r="I969" s="96">
        <f t="shared" si="289"/>
        <v>0</v>
      </c>
      <c r="J969" s="96">
        <f t="shared" si="290"/>
        <v>1.3154999999999943</v>
      </c>
    </row>
    <row r="970" spans="1:10" ht="12.75" customHeight="1">
      <c r="A970" s="96">
        <f>IF(MAX($F$93:F970)=$G$88,$G$88,F970)</f>
        <v>3.2057712852183653</v>
      </c>
      <c r="B970" s="481">
        <v>878</v>
      </c>
      <c r="C970" s="96">
        <f t="shared" si="288"/>
        <v>1.3169999999999944</v>
      </c>
      <c r="D970" s="96">
        <f t="shared" si="285"/>
        <v>112.72907768835722</v>
      </c>
      <c r="E970" s="96">
        <f t="shared" si="286"/>
        <v>5.4476762478416946E-18</v>
      </c>
      <c r="F970" s="96">
        <f t="shared" si="284"/>
        <v>2.9579707999978866E-16</v>
      </c>
      <c r="G970" s="96">
        <f t="shared" si="287"/>
        <v>-0.11599999999999971</v>
      </c>
      <c r="I970" s="96">
        <f t="shared" si="289"/>
        <v>0</v>
      </c>
      <c r="J970" s="96">
        <f t="shared" si="290"/>
        <v>1.3169999999999944</v>
      </c>
    </row>
    <row r="971" spans="1:10" ht="12.75" customHeight="1">
      <c r="A971" s="96">
        <f>IF(MAX($F$93:F971)=$G$88,$G$88,F971)</f>
        <v>3.2057712852183653</v>
      </c>
      <c r="B971" s="481">
        <v>879</v>
      </c>
      <c r="C971" s="96">
        <f t="shared" si="288"/>
        <v>1.3184999999999945</v>
      </c>
      <c r="D971" s="96">
        <f t="shared" si="285"/>
        <v>112.98600997583296</v>
      </c>
      <c r="E971" s="96">
        <f t="shared" si="286"/>
        <v>4.8501445068353903E-18</v>
      </c>
      <c r="F971" s="96">
        <f t="shared" si="284"/>
        <v>2.6371616049557901E-16</v>
      </c>
      <c r="G971" s="96">
        <f t="shared" si="287"/>
        <v>-0.11599999999999974</v>
      </c>
      <c r="I971" s="96">
        <f t="shared" si="289"/>
        <v>0</v>
      </c>
      <c r="J971" s="96">
        <f t="shared" si="290"/>
        <v>1.3184999999999945</v>
      </c>
    </row>
    <row r="972" spans="1:10" ht="12.75" customHeight="1">
      <c r="A972" s="96">
        <f>IF(MAX($F$93:F972)=$G$88,$G$88,F972)</f>
        <v>3.2057712852183653</v>
      </c>
      <c r="B972" s="481">
        <v>880</v>
      </c>
      <c r="C972" s="96">
        <f t="shared" si="288"/>
        <v>1.3199999999999945</v>
      </c>
      <c r="D972" s="96">
        <f t="shared" si="285"/>
        <v>113.24323473034055</v>
      </c>
      <c r="E972" s="96">
        <f t="shared" si="286"/>
        <v>4.3174641314320702E-18</v>
      </c>
      <c r="F972" s="96">
        <f t="shared" si="284"/>
        <v>2.3507657548749468E-16</v>
      </c>
      <c r="G972" s="96">
        <f t="shared" si="287"/>
        <v>-0.11599999999999977</v>
      </c>
      <c r="I972" s="96">
        <f t="shared" si="289"/>
        <v>0</v>
      </c>
      <c r="J972" s="96">
        <f t="shared" si="290"/>
        <v>1.3199999999999945</v>
      </c>
    </row>
    <row r="973" spans="1:10" ht="12.75" customHeight="1">
      <c r="A973" s="96">
        <f>IF(MAX($F$93:F973)=$G$88,$G$88,F973)</f>
        <v>3.2057712852183653</v>
      </c>
      <c r="B973" s="481">
        <v>881</v>
      </c>
      <c r="C973" s="96">
        <f t="shared" si="288"/>
        <v>1.3214999999999946</v>
      </c>
      <c r="D973" s="96">
        <f t="shared" si="285"/>
        <v>113.50075195187998</v>
      </c>
      <c r="E973" s="96">
        <f t="shared" si="286"/>
        <v>3.8426734690318417E-18</v>
      </c>
      <c r="F973" s="96">
        <f t="shared" si="284"/>
        <v>2.0951336482045367E-16</v>
      </c>
      <c r="G973" s="96">
        <f t="shared" si="287"/>
        <v>-0.1159999999999998</v>
      </c>
      <c r="I973" s="96">
        <f t="shared" si="289"/>
        <v>0</v>
      </c>
      <c r="J973" s="96">
        <f t="shared" si="290"/>
        <v>1.3214999999999946</v>
      </c>
    </row>
    <row r="974" spans="1:10" ht="12.75" customHeight="1">
      <c r="A974" s="96">
        <f>IF(MAX($F$93:F974)=$G$88,$G$88,F974)</f>
        <v>3.2057712852183653</v>
      </c>
      <c r="B974" s="481">
        <v>882</v>
      </c>
      <c r="C974" s="96">
        <f t="shared" si="288"/>
        <v>1.3229999999999946</v>
      </c>
      <c r="D974" s="96">
        <f t="shared" si="285"/>
        <v>113.75856164045126</v>
      </c>
      <c r="E974" s="96">
        <f t="shared" si="286"/>
        <v>3.419549710772983E-18</v>
      </c>
      <c r="F974" s="96">
        <f t="shared" si="284"/>
        <v>1.8669981531226868E-16</v>
      </c>
      <c r="G974" s="96">
        <f t="shared" si="287"/>
        <v>-0.11599999999999983</v>
      </c>
      <c r="I974" s="96">
        <f t="shared" si="289"/>
        <v>0</v>
      </c>
      <c r="J974" s="96">
        <f t="shared" si="290"/>
        <v>1.3229999999999946</v>
      </c>
    </row>
    <row r="975" spans="1:10" ht="12.75" customHeight="1">
      <c r="A975" s="96">
        <f>IF(MAX($F$93:F975)=$G$88,$G$88,F975)</f>
        <v>3.2057712852183653</v>
      </c>
      <c r="B975" s="481">
        <v>883</v>
      </c>
      <c r="C975" s="96">
        <f t="shared" si="288"/>
        <v>1.3244999999999947</v>
      </c>
      <c r="D975" s="96">
        <f t="shared" si="285"/>
        <v>114.01666379605439</v>
      </c>
      <c r="E975" s="96">
        <f t="shared" si="286"/>
        <v>3.0425314034078331E-18</v>
      </c>
      <c r="F975" s="96">
        <f t="shared" si="284"/>
        <v>1.6634350201234391E-16</v>
      </c>
      <c r="G975" s="96">
        <f t="shared" si="287"/>
        <v>-0.11599999999999984</v>
      </c>
      <c r="I975" s="96">
        <f t="shared" si="289"/>
        <v>0</v>
      </c>
      <c r="J975" s="96">
        <f t="shared" si="290"/>
        <v>1.3244999999999947</v>
      </c>
    </row>
    <row r="976" spans="1:10" ht="12.75" customHeight="1">
      <c r="A976" s="96">
        <f>IF(MAX($F$93:F976)=$G$88,$G$88,F976)</f>
        <v>3.2057712852183653</v>
      </c>
      <c r="B976" s="481">
        <v>884</v>
      </c>
      <c r="C976" s="96">
        <f t="shared" si="288"/>
        <v>1.3259999999999947</v>
      </c>
      <c r="D976" s="96">
        <f t="shared" si="285"/>
        <v>114.27505841868935</v>
      </c>
      <c r="E976" s="96">
        <f t="shared" si="286"/>
        <v>2.7066489878629377E-18</v>
      </c>
      <c r="F976" s="96">
        <f t="shared" si="284"/>
        <v>1.4818273392349189E-16</v>
      </c>
      <c r="G976" s="96">
        <f t="shared" si="287"/>
        <v>-0.11599999999999985</v>
      </c>
      <c r="I976" s="96">
        <f t="shared" si="289"/>
        <v>0</v>
      </c>
      <c r="J976" s="96">
        <f t="shared" si="290"/>
        <v>1.3259999999999947</v>
      </c>
    </row>
    <row r="977" spans="1:10" ht="12.75" customHeight="1">
      <c r="A977" s="96">
        <f>IF(MAX($F$93:F977)=$G$88,$G$88,F977)</f>
        <v>3.2057712852183653</v>
      </c>
      <c r="B977" s="481">
        <v>885</v>
      </c>
      <c r="C977" s="96">
        <f t="shared" si="288"/>
        <v>1.3274999999999948</v>
      </c>
      <c r="D977" s="96">
        <f t="shared" si="285"/>
        <v>114.53374550835616</v>
      </c>
      <c r="E977" s="96">
        <f t="shared" si="286"/>
        <v>2.407462543735725E-18</v>
      </c>
      <c r="F977" s="96">
        <f t="shared" si="284"/>
        <v>1.3198336342155866E-16</v>
      </c>
      <c r="G977" s="96">
        <f t="shared" si="287"/>
        <v>-0.11599999999999987</v>
      </c>
      <c r="I977" s="96">
        <f t="shared" si="289"/>
        <v>0</v>
      </c>
      <c r="J977" s="96">
        <f t="shared" si="290"/>
        <v>1.3274999999999948</v>
      </c>
    </row>
    <row r="978" spans="1:10" ht="12.75" customHeight="1">
      <c r="A978" s="96">
        <f>IF(MAX($F$93:F978)=$G$88,$G$88,F978)</f>
        <v>3.2057712852183653</v>
      </c>
      <c r="B978" s="481">
        <v>886</v>
      </c>
      <c r="C978" s="96">
        <f t="shared" si="288"/>
        <v>1.3289999999999949</v>
      </c>
      <c r="D978" s="96">
        <f t="shared" si="285"/>
        <v>114.79272506505484</v>
      </c>
      <c r="E978" s="96">
        <f t="shared" si="286"/>
        <v>2.1410060017705434E-18</v>
      </c>
      <c r="F978" s="96">
        <f t="shared" si="284"/>
        <v>1.1753592265797359E-16</v>
      </c>
      <c r="G978" s="96">
        <f t="shared" si="287"/>
        <v>-0.11599999999999989</v>
      </c>
      <c r="I978" s="96">
        <f t="shared" si="289"/>
        <v>0</v>
      </c>
      <c r="J978" s="96">
        <f t="shared" si="290"/>
        <v>1.3289999999999949</v>
      </c>
    </row>
    <row r="979" spans="1:10" ht="12.75" customHeight="1">
      <c r="A979" s="96">
        <f>IF(MAX($F$93:F979)=$G$88,$G$88,F979)</f>
        <v>3.2057712852183653</v>
      </c>
      <c r="B979" s="481">
        <v>887</v>
      </c>
      <c r="C979" s="96">
        <f t="shared" si="288"/>
        <v>1.3304999999999949</v>
      </c>
      <c r="D979" s="96">
        <f t="shared" si="285"/>
        <v>115.05199708878533</v>
      </c>
      <c r="E979" s="96">
        <f t="shared" si="286"/>
        <v>1.9037371609158381E-18</v>
      </c>
      <c r="F979" s="96">
        <f t="shared" si="284"/>
        <v>1.0465305388427096E-16</v>
      </c>
      <c r="G979" s="96">
        <f t="shared" si="287"/>
        <v>-0.11599999999999989</v>
      </c>
      <c r="I979" s="96">
        <f t="shared" si="289"/>
        <v>0</v>
      </c>
      <c r="J979" s="96">
        <f t="shared" si="290"/>
        <v>1.3304999999999949</v>
      </c>
    </row>
    <row r="980" spans="1:10" ht="12.75" customHeight="1">
      <c r="A980" s="96">
        <f>IF(MAX($F$93:F980)=$G$88,$G$88,F980)</f>
        <v>3.2057712852183653</v>
      </c>
      <c r="B980" s="481">
        <v>888</v>
      </c>
      <c r="C980" s="96">
        <f t="shared" si="288"/>
        <v>1.331999999999995</v>
      </c>
      <c r="D980" s="96">
        <f t="shared" si="285"/>
        <v>115.31156157954767</v>
      </c>
      <c r="E980" s="96">
        <f t="shared" si="286"/>
        <v>1.6924929136950964E-18</v>
      </c>
      <c r="F980" s="96">
        <f t="shared" si="284"/>
        <v>9.3167203933094608E-17</v>
      </c>
      <c r="G980" s="96">
        <f t="shared" si="287"/>
        <v>-0.11599999999999991</v>
      </c>
      <c r="I980" s="96">
        <f t="shared" si="289"/>
        <v>0</v>
      </c>
      <c r="J980" s="96">
        <f t="shared" si="290"/>
        <v>1.331999999999995</v>
      </c>
    </row>
    <row r="981" spans="1:10" ht="12.75" customHeight="1">
      <c r="A981" s="96">
        <f>IF(MAX($F$93:F981)=$G$88,$G$88,F981)</f>
        <v>3.2057712852183653</v>
      </c>
      <c r="B981" s="481">
        <v>889</v>
      </c>
      <c r="C981" s="96">
        <f t="shared" si="288"/>
        <v>1.333499999999995</v>
      </c>
      <c r="D981" s="96">
        <f t="shared" si="285"/>
        <v>115.57141853734187</v>
      </c>
      <c r="E981" s="96">
        <f t="shared" si="286"/>
        <v>1.5044491440597184E-18</v>
      </c>
      <c r="F981" s="96">
        <f t="shared" si="284"/>
        <v>8.2928556062418799E-17</v>
      </c>
      <c r="G981" s="96">
        <f t="shared" si="287"/>
        <v>-0.11599999999999992</v>
      </c>
      <c r="I981" s="96">
        <f t="shared" si="289"/>
        <v>0</v>
      </c>
      <c r="J981" s="96">
        <f t="shared" si="290"/>
        <v>1.333499999999995</v>
      </c>
    </row>
    <row r="982" spans="1:10" ht="12.75" customHeight="1">
      <c r="A982" s="96">
        <f>IF(MAX($F$93:F982)=$G$88,$G$88,F982)</f>
        <v>3.2057712852183653</v>
      </c>
      <c r="B982" s="481">
        <v>890</v>
      </c>
      <c r="C982" s="96">
        <f t="shared" si="288"/>
        <v>1.3349999999999951</v>
      </c>
      <c r="D982" s="96">
        <f t="shared" si="285"/>
        <v>115.83156796216791</v>
      </c>
      <c r="E982" s="96">
        <f t="shared" si="286"/>
        <v>1.3370848162847301E-18</v>
      </c>
      <c r="F982" s="96">
        <f t="shared" si="284"/>
        <v>7.3803175049432286E-17</v>
      </c>
      <c r="G982" s="96">
        <f t="shared" si="287"/>
        <v>-0.11599999999999994</v>
      </c>
      <c r="I982" s="96">
        <f t="shared" si="289"/>
        <v>0</v>
      </c>
      <c r="J982" s="96">
        <f t="shared" si="290"/>
        <v>1.3349999999999951</v>
      </c>
    </row>
    <row r="983" spans="1:10" ht="12.75" customHeight="1">
      <c r="A983" s="96">
        <f>IF(MAX($F$93:F983)=$G$88,$G$88,F983)</f>
        <v>3.2057712852183653</v>
      </c>
      <c r="B983" s="481">
        <v>891</v>
      </c>
      <c r="C983" s="96">
        <f t="shared" si="288"/>
        <v>1.3364999999999951</v>
      </c>
      <c r="D983" s="96">
        <f t="shared" si="285"/>
        <v>116.0920098540258</v>
      </c>
      <c r="E983" s="96">
        <f t="shared" si="286"/>
        <v>1.1881498224192943E-18</v>
      </c>
      <c r="F983" s="96">
        <f t="shared" si="284"/>
        <v>6.5671343835929405E-17</v>
      </c>
      <c r="G983" s="96">
        <f t="shared" si="287"/>
        <v>-0.11599999999999994</v>
      </c>
      <c r="I983" s="96">
        <f t="shared" si="289"/>
        <v>0</v>
      </c>
      <c r="J983" s="96">
        <f t="shared" si="290"/>
        <v>1.3364999999999951</v>
      </c>
    </row>
    <row r="984" spans="1:10" ht="12.75" customHeight="1">
      <c r="A984" s="96">
        <f>IF(MAX($F$93:F984)=$G$88,$G$88,F984)</f>
        <v>3.2057712852183653</v>
      </c>
      <c r="B984" s="481">
        <v>892</v>
      </c>
      <c r="C984" s="96">
        <f t="shared" si="288"/>
        <v>1.3379999999999952</v>
      </c>
      <c r="D984" s="96">
        <f t="shared" si="285"/>
        <v>116.35274421291552</v>
      </c>
      <c r="E984" s="96">
        <f t="shared" si="286"/>
        <v>1.0556361998450325E-18</v>
      </c>
      <c r="F984" s="96">
        <f t="shared" si="284"/>
        <v>5.8426072204442661E-17</v>
      </c>
      <c r="G984" s="96">
        <f t="shared" si="287"/>
        <v>-0.11599999999999995</v>
      </c>
      <c r="I984" s="96">
        <f t="shared" si="289"/>
        <v>0</v>
      </c>
      <c r="J984" s="96">
        <f t="shared" si="290"/>
        <v>1.3379999999999952</v>
      </c>
    </row>
    <row r="985" spans="1:10" ht="12.75" customHeight="1">
      <c r="A985" s="96">
        <f>IF(MAX($F$93:F985)=$G$88,$G$88,F985)</f>
        <v>3.2057712852183653</v>
      </c>
      <c r="B985" s="481">
        <v>893</v>
      </c>
      <c r="C985" s="96">
        <f t="shared" si="288"/>
        <v>1.3394999999999953</v>
      </c>
      <c r="D985" s="96">
        <f t="shared" si="285"/>
        <v>116.6137710388371</v>
      </c>
      <c r="E985" s="96">
        <f t="shared" si="286"/>
        <v>9.3775237011454E-19</v>
      </c>
      <c r="F985" s="96">
        <f t="shared" si="284"/>
        <v>5.1971759802068803E-17</v>
      </c>
      <c r="G985" s="96">
        <f t="shared" si="287"/>
        <v>-0.11599999999999995</v>
      </c>
      <c r="I985" s="96">
        <f t="shared" si="289"/>
        <v>0</v>
      </c>
      <c r="J985" s="96">
        <f t="shared" si="290"/>
        <v>1.3394999999999953</v>
      </c>
    </row>
    <row r="986" spans="1:10" ht="12.75" customHeight="1">
      <c r="A986" s="96">
        <f>IF(MAX($F$93:F986)=$G$88,$G$88,F986)</f>
        <v>3.2057712852183653</v>
      </c>
      <c r="B986" s="481">
        <v>894</v>
      </c>
      <c r="C986" s="96">
        <f t="shared" si="288"/>
        <v>1.3409999999999953</v>
      </c>
      <c r="D986" s="96">
        <f t="shared" si="285"/>
        <v>116.87509033179052</v>
      </c>
      <c r="E986" s="96">
        <f t="shared" si="286"/>
        <v>8.3290008640759481E-19</v>
      </c>
      <c r="F986" s="96">
        <f t="shared" si="284"/>
        <v>4.6222998480097717E-17</v>
      </c>
      <c r="G986" s="96">
        <f t="shared" si="287"/>
        <v>-0.11599999999999996</v>
      </c>
      <c r="I986" s="96">
        <f t="shared" si="289"/>
        <v>0</v>
      </c>
      <c r="J986" s="96">
        <f t="shared" si="290"/>
        <v>1.3409999999999953</v>
      </c>
    </row>
    <row r="987" spans="1:10" ht="12.75" customHeight="1">
      <c r="A987" s="96">
        <f>IF(MAX($F$93:F987)=$G$88,$G$88,F987)</f>
        <v>3.2057712852183653</v>
      </c>
      <c r="B987" s="481">
        <v>895</v>
      </c>
      <c r="C987" s="96">
        <f t="shared" si="288"/>
        <v>1.3424999999999954</v>
      </c>
      <c r="D987" s="96">
        <f t="shared" si="285"/>
        <v>117.13670209177579</v>
      </c>
      <c r="E987" s="96">
        <f t="shared" si="286"/>
        <v>7.3965380519983546E-19</v>
      </c>
      <c r="F987" s="96">
        <f t="shared" si="284"/>
        <v>4.1103497934745353E-17</v>
      </c>
      <c r="G987" s="96">
        <f t="shared" si="287"/>
        <v>-0.11599999999999996</v>
      </c>
      <c r="I987" s="96">
        <f t="shared" si="289"/>
        <v>0</v>
      </c>
      <c r="J987" s="96">
        <f t="shared" si="290"/>
        <v>1.3424999999999954</v>
      </c>
    </row>
    <row r="988" spans="1:10" ht="12.75" customHeight="1">
      <c r="A988" s="96">
        <f>IF(MAX($F$93:F988)=$G$88,$G$88,F988)</f>
        <v>3.2057712852183653</v>
      </c>
      <c r="B988" s="481">
        <v>896</v>
      </c>
      <c r="C988" s="96">
        <f t="shared" si="288"/>
        <v>1.3439999999999954</v>
      </c>
      <c r="D988" s="96">
        <f t="shared" si="285"/>
        <v>117.39860631879289</v>
      </c>
      <c r="E988" s="96">
        <f t="shared" si="286"/>
        <v>6.5674223811582897E-19</v>
      </c>
      <c r="F988" s="96">
        <f t="shared" si="284"/>
        <v>3.6545123767866424E-17</v>
      </c>
      <c r="G988" s="96">
        <f t="shared" si="287"/>
        <v>-0.11599999999999996</v>
      </c>
      <c r="I988" s="96">
        <f t="shared" si="289"/>
        <v>0</v>
      </c>
      <c r="J988" s="96">
        <f t="shared" si="290"/>
        <v>1.3439999999999954</v>
      </c>
    </row>
    <row r="989" spans="1:10" ht="12.75" customHeight="1">
      <c r="A989" s="96">
        <f>IF(MAX($F$93:F989)=$G$88,$G$88,F989)</f>
        <v>3.2057712852183653</v>
      </c>
      <c r="B989" s="481">
        <v>897</v>
      </c>
      <c r="C989" s="96">
        <f t="shared" si="288"/>
        <v>1.3454999999999955</v>
      </c>
      <c r="D989" s="96">
        <f t="shared" si="285"/>
        <v>117.66080301284184</v>
      </c>
      <c r="E989" s="96">
        <f t="shared" si="286"/>
        <v>5.8303184619469362E-19</v>
      </c>
      <c r="F989" s="96">
        <f t="shared" ref="F989:F1052" si="291">IF($E$12&lt;$F$90,NA(),$E$87*(E988-E990)/(2*$C$88))</f>
        <v>3.2487036405169978E-17</v>
      </c>
      <c r="G989" s="96">
        <f t="shared" si="287"/>
        <v>-0.11599999999999998</v>
      </c>
      <c r="I989" s="96">
        <f t="shared" si="289"/>
        <v>0</v>
      </c>
      <c r="J989" s="96">
        <f t="shared" si="290"/>
        <v>1.3454999999999955</v>
      </c>
    </row>
    <row r="990" spans="1:10" ht="12.75" customHeight="1">
      <c r="A990" s="96">
        <f>IF(MAX($F$93:F990)=$G$88,$G$88,F990)</f>
        <v>3.2057712852183653</v>
      </c>
      <c r="B990" s="481">
        <v>898</v>
      </c>
      <c r="C990" s="96">
        <f t="shared" si="288"/>
        <v>1.3469999999999955</v>
      </c>
      <c r="D990" s="96">
        <f t="shared" ref="D990:D1053" si="292">C990^2/$C$85</f>
        <v>117.92329217392265</v>
      </c>
      <c r="E990" s="96">
        <f t="shared" ref="E990:E1053" si="293">CHIDIST(D990,$E$85)</f>
        <v>5.1751208209367191E-19</v>
      </c>
      <c r="F990" s="96">
        <f t="shared" si="291"/>
        <v>2.8874918747487333E-17</v>
      </c>
      <c r="G990" s="96">
        <f t="shared" ref="G990:G1053" si="294">F990-$G$90</f>
        <v>-0.11599999999999998</v>
      </c>
      <c r="I990" s="96">
        <f t="shared" si="289"/>
        <v>0</v>
      </c>
      <c r="J990" s="96">
        <f t="shared" si="290"/>
        <v>1.3469999999999955</v>
      </c>
    </row>
    <row r="991" spans="1:10" ht="12.75" customHeight="1">
      <c r="A991" s="96">
        <f>IF(MAX($F$93:F991)=$G$88,$G$88,F991)</f>
        <v>3.2057712852183653</v>
      </c>
      <c r="B991" s="481">
        <v>899</v>
      </c>
      <c r="C991" s="96">
        <f t="shared" si="288"/>
        <v>1.3484999999999956</v>
      </c>
      <c r="D991" s="96">
        <f t="shared" si="292"/>
        <v>118.18607380203528</v>
      </c>
      <c r="E991" s="96">
        <f t="shared" si="293"/>
        <v>4.5928219441974791E-19</v>
      </c>
      <c r="F991" s="96">
        <f t="shared" si="291"/>
        <v>2.5660285176366047E-17</v>
      </c>
      <c r="G991" s="96">
        <f t="shared" si="294"/>
        <v>-0.11599999999999998</v>
      </c>
      <c r="I991" s="96">
        <f t="shared" si="289"/>
        <v>0</v>
      </c>
      <c r="J991" s="96">
        <f t="shared" si="290"/>
        <v>1.3484999999999956</v>
      </c>
    </row>
    <row r="992" spans="1:10" ht="12.75" customHeight="1">
      <c r="A992" s="96">
        <f>IF(MAX($F$93:F992)=$G$88,$G$88,F992)</f>
        <v>3.2057712852183653</v>
      </c>
      <c r="B992" s="481">
        <v>900</v>
      </c>
      <c r="C992" s="96">
        <f t="shared" si="288"/>
        <v>1.3499999999999956</v>
      </c>
      <c r="D992" s="96">
        <f t="shared" si="292"/>
        <v>118.44914789717977</v>
      </c>
      <c r="E992" s="96">
        <f t="shared" si="293"/>
        <v>4.0753943133781742E-19</v>
      </c>
      <c r="F992" s="96">
        <f t="shared" si="291"/>
        <v>2.2799862760190786E-17</v>
      </c>
      <c r="G992" s="96">
        <f t="shared" si="294"/>
        <v>-0.11599999999999998</v>
      </c>
      <c r="I992" s="96">
        <f t="shared" si="289"/>
        <v>0</v>
      </c>
      <c r="J992" s="96">
        <f t="shared" si="290"/>
        <v>1.3499999999999956</v>
      </c>
    </row>
    <row r="993" spans="1:10" ht="12.75" customHeight="1">
      <c r="A993" s="96">
        <f>IF(MAX($F$93:F993)=$G$88,$G$88,F993)</f>
        <v>3.2057712852183653</v>
      </c>
      <c r="B993" s="481">
        <v>901</v>
      </c>
      <c r="C993" s="96">
        <f t="shared" si="288"/>
        <v>1.3514999999999957</v>
      </c>
      <c r="D993" s="96">
        <f t="shared" si="292"/>
        <v>118.71251445935611</v>
      </c>
      <c r="E993" s="96">
        <f t="shared" si="293"/>
        <v>3.615684968760731E-19</v>
      </c>
      <c r="F993" s="96">
        <f t="shared" si="291"/>
        <v>2.0255037326691679E-17</v>
      </c>
      <c r="G993" s="96">
        <f t="shared" si="294"/>
        <v>-0.11599999999999999</v>
      </c>
      <c r="I993" s="96">
        <f t="shared" si="289"/>
        <v>0</v>
      </c>
      <c r="J993" s="96">
        <f t="shared" si="290"/>
        <v>1.3514999999999957</v>
      </c>
    </row>
    <row r="994" spans="1:10" ht="12.75" customHeight="1">
      <c r="A994" s="96">
        <f>IF(MAX($F$93:F994)=$G$88,$G$88,F994)</f>
        <v>3.2057712852183653</v>
      </c>
      <c r="B994" s="481">
        <v>902</v>
      </c>
      <c r="C994" s="96">
        <f t="shared" si="288"/>
        <v>1.3529999999999958</v>
      </c>
      <c r="D994" s="96">
        <f t="shared" si="292"/>
        <v>118.97617348856429</v>
      </c>
      <c r="E994" s="96">
        <f t="shared" si="293"/>
        <v>3.207321285091388E-19</v>
      </c>
      <c r="F994" s="96">
        <f t="shared" si="291"/>
        <v>1.7991357688174775E-17</v>
      </c>
      <c r="G994" s="96">
        <f t="shared" si="294"/>
        <v>-0.11599999999999999</v>
      </c>
      <c r="I994" s="96">
        <f t="shared" si="289"/>
        <v>0</v>
      </c>
      <c r="J994" s="96">
        <f t="shared" si="290"/>
        <v>1.3529999999999958</v>
      </c>
    </row>
    <row r="995" spans="1:10" ht="12.75" customHeight="1">
      <c r="A995" s="96">
        <f>IF(MAX($F$93:F995)=$G$88,$G$88,F995)</f>
        <v>3.2057712852183653</v>
      </c>
      <c r="B995" s="481">
        <v>903</v>
      </c>
      <c r="C995" s="96">
        <f t="shared" si="288"/>
        <v>1.3544999999999958</v>
      </c>
      <c r="D995" s="96">
        <f t="shared" si="292"/>
        <v>119.24012498480431</v>
      </c>
      <c r="E995" s="96">
        <f t="shared" si="293"/>
        <v>2.8446267821246691E-19</v>
      </c>
      <c r="F995" s="96">
        <f t="shared" si="291"/>
        <v>1.5978091991427733E-17</v>
      </c>
      <c r="G995" s="96">
        <f t="shared" si="294"/>
        <v>-0.11599999999999999</v>
      </c>
      <c r="I995" s="96">
        <f t="shared" si="289"/>
        <v>0</v>
      </c>
      <c r="J995" s="96">
        <f t="shared" si="290"/>
        <v>1.3544999999999958</v>
      </c>
    </row>
    <row r="996" spans="1:10" ht="12.75" customHeight="1">
      <c r="A996" s="96">
        <f>IF(MAX($F$93:F996)=$G$88,$G$88,F996)</f>
        <v>3.2057712852183653</v>
      </c>
      <c r="B996" s="481">
        <v>904</v>
      </c>
      <c r="C996" s="96">
        <f t="shared" si="288"/>
        <v>1.3559999999999959</v>
      </c>
      <c r="D996" s="96">
        <f t="shared" si="292"/>
        <v>119.50436894807618</v>
      </c>
      <c r="E996" s="96">
        <f t="shared" si="293"/>
        <v>2.5225459140301995E-19</v>
      </c>
      <c r="F996" s="96">
        <f t="shared" si="291"/>
        <v>1.4187830780891196E-17</v>
      </c>
      <c r="G996" s="96">
        <f t="shared" si="294"/>
        <v>-0.11599999999999999</v>
      </c>
      <c r="I996" s="96">
        <f t="shared" si="289"/>
        <v>0</v>
      </c>
      <c r="J996" s="96">
        <f t="shared" si="290"/>
        <v>1.3559999999999959</v>
      </c>
    </row>
    <row r="997" spans="1:10" ht="12.75" customHeight="1">
      <c r="A997" s="96">
        <f>IF(MAX($F$93:F997)=$G$88,$G$88,F997)</f>
        <v>3.2057712852183653</v>
      </c>
      <c r="B997" s="481">
        <v>905</v>
      </c>
      <c r="C997" s="96">
        <f t="shared" si="288"/>
        <v>1.3574999999999959</v>
      </c>
      <c r="D997" s="96">
        <f t="shared" si="292"/>
        <v>119.76890537837988</v>
      </c>
      <c r="E997" s="96">
        <f t="shared" si="293"/>
        <v>2.2365768915150463E-19</v>
      </c>
      <c r="F997" s="96">
        <f t="shared" si="291"/>
        <v>1.2596131918092298E-17</v>
      </c>
      <c r="G997" s="96">
        <f t="shared" si="294"/>
        <v>-0.11599999999999999</v>
      </c>
      <c r="I997" s="96">
        <f t="shared" si="289"/>
        <v>0</v>
      </c>
      <c r="J997" s="96">
        <f t="shared" si="290"/>
        <v>1.3574999999999959</v>
      </c>
    </row>
    <row r="998" spans="1:10" ht="12.75" customHeight="1">
      <c r="A998" s="96">
        <f>IF(MAX($F$93:F998)=$G$88,$G$88,F998)</f>
        <v>3.2057712852183653</v>
      </c>
      <c r="B998" s="481">
        <v>906</v>
      </c>
      <c r="C998" s="96">
        <f t="shared" si="288"/>
        <v>1.358999999999996</v>
      </c>
      <c r="D998" s="96">
        <f t="shared" si="292"/>
        <v>120.03373427571545</v>
      </c>
      <c r="E998" s="96">
        <f t="shared" si="293"/>
        <v>1.9827116889691009E-19</v>
      </c>
      <c r="F998" s="96">
        <f t="shared" si="291"/>
        <v>1.1181202998698714E-17</v>
      </c>
      <c r="G998" s="96">
        <f t="shared" si="294"/>
        <v>-0.11599999999999999</v>
      </c>
      <c r="I998" s="96">
        <f t="shared" si="289"/>
        <v>0</v>
      </c>
      <c r="J998" s="96">
        <f t="shared" si="290"/>
        <v>1.358999999999996</v>
      </c>
    </row>
    <row r="999" spans="1:10" ht="12.75" customHeight="1">
      <c r="A999" s="96">
        <f>IF(MAX($F$93:F999)=$G$88,$G$88,F999)</f>
        <v>3.2057712852183653</v>
      </c>
      <c r="B999" s="481">
        <v>907</v>
      </c>
      <c r="C999" s="96">
        <f t="shared" si="288"/>
        <v>1.360499999999996</v>
      </c>
      <c r="D999" s="96">
        <f t="shared" si="292"/>
        <v>120.29885564008285</v>
      </c>
      <c r="E999" s="96">
        <f t="shared" si="293"/>
        <v>1.7573824772851014E-19</v>
      </c>
      <c r="F999" s="96">
        <f t="shared" si="291"/>
        <v>9.923617356534377E-18</v>
      </c>
      <c r="G999" s="96">
        <f t="shared" si="294"/>
        <v>-0.11599999999999999</v>
      </c>
      <c r="I999" s="96">
        <f t="shared" si="289"/>
        <v>0</v>
      </c>
      <c r="J999" s="96">
        <f t="shared" si="290"/>
        <v>1.360499999999996</v>
      </c>
    </row>
    <row r="1000" spans="1:10" ht="12.75" customHeight="1">
      <c r="A1000" s="96">
        <f>IF(MAX($F$93:F1000)=$G$88,$G$88,F1000)</f>
        <v>3.2057712852183653</v>
      </c>
      <c r="B1000" s="481">
        <v>908</v>
      </c>
      <c r="C1000" s="96">
        <f t="shared" si="288"/>
        <v>1.3619999999999961</v>
      </c>
      <c r="D1000" s="96">
        <f t="shared" si="292"/>
        <v>120.56426947148209</v>
      </c>
      <c r="E1000" s="96">
        <f t="shared" si="293"/>
        <v>1.5574138022604848E-19</v>
      </c>
      <c r="F1000" s="96">
        <f t="shared" si="291"/>
        <v>8.8060601464307147E-18</v>
      </c>
      <c r="G1000" s="96">
        <f t="shared" si="294"/>
        <v>-0.11599999999999999</v>
      </c>
      <c r="I1000" s="96">
        <f t="shared" si="289"/>
        <v>0</v>
      </c>
      <c r="J1000" s="96">
        <f t="shared" si="290"/>
        <v>1.3619999999999961</v>
      </c>
    </row>
    <row r="1001" spans="1:10" ht="12.75" customHeight="1">
      <c r="A1001" s="96">
        <f>IF(MAX($F$93:F1001)=$G$88,$G$88,F1001)</f>
        <v>3.2057712852183653</v>
      </c>
      <c r="B1001" s="481">
        <v>909</v>
      </c>
      <c r="C1001" s="96">
        <f t="shared" ref="C1001:C1064" si="295">C1000+$C$88</f>
        <v>1.3634999999999962</v>
      </c>
      <c r="D1001" s="96">
        <f t="shared" si="292"/>
        <v>120.82997576991319</v>
      </c>
      <c r="E1001" s="96">
        <f t="shared" si="293"/>
        <v>1.3799798995809279E-19</v>
      </c>
      <c r="F1001" s="96">
        <f t="shared" si="291"/>
        <v>7.8131013594500427E-18</v>
      </c>
      <c r="G1001" s="96">
        <f t="shared" si="294"/>
        <v>-0.11599999999999999</v>
      </c>
      <c r="I1001" s="96">
        <f t="shared" si="289"/>
        <v>0</v>
      </c>
      <c r="J1001" s="96">
        <f t="shared" si="290"/>
        <v>1.3634999999999962</v>
      </c>
    </row>
    <row r="1002" spans="1:10" ht="12.75" customHeight="1">
      <c r="A1002" s="96">
        <f>IF(MAX($F$93:F1002)=$G$88,$G$88,F1002)</f>
        <v>3.2057712852183653</v>
      </c>
      <c r="B1002" s="481">
        <v>910</v>
      </c>
      <c r="C1002" s="96">
        <f t="shared" si="295"/>
        <v>1.3649999999999962</v>
      </c>
      <c r="D1002" s="96">
        <f t="shared" si="292"/>
        <v>121.09597453537613</v>
      </c>
      <c r="E1002" s="96">
        <f t="shared" si="293"/>
        <v>1.2225666011411972E-19</v>
      </c>
      <c r="F1002" s="96">
        <f t="shared" si="291"/>
        <v>6.9309929489416503E-18</v>
      </c>
      <c r="G1002" s="96">
        <f t="shared" si="294"/>
        <v>-0.11600000000000001</v>
      </c>
      <c r="I1002" s="96">
        <f t="shared" si="289"/>
        <v>0</v>
      </c>
      <c r="J1002" s="96">
        <f t="shared" si="290"/>
        <v>1.3649999999999962</v>
      </c>
    </row>
    <row r="1003" spans="1:10" ht="12.75" customHeight="1">
      <c r="A1003" s="96">
        <f>IF(MAX($F$93:F1003)=$G$88,$G$88,F1003)</f>
        <v>3.2057712852183653</v>
      </c>
      <c r="B1003" s="481">
        <v>911</v>
      </c>
      <c r="C1003" s="96">
        <f t="shared" si="295"/>
        <v>1.3664999999999963</v>
      </c>
      <c r="D1003" s="96">
        <f t="shared" si="292"/>
        <v>121.36226576787089</v>
      </c>
      <c r="E1003" s="96">
        <f t="shared" si="293"/>
        <v>1.0829373446262857E-19</v>
      </c>
      <c r="F1003" s="96">
        <f t="shared" si="291"/>
        <v>6.1474875376643532E-18</v>
      </c>
      <c r="G1003" s="96">
        <f t="shared" si="294"/>
        <v>-0.11600000000000001</v>
      </c>
      <c r="I1003" s="96">
        <f t="shared" si="289"/>
        <v>0</v>
      </c>
      <c r="J1003" s="96">
        <f t="shared" si="290"/>
        <v>1.3664999999999963</v>
      </c>
    </row>
    <row r="1004" spans="1:10" ht="12.75" customHeight="1">
      <c r="A1004" s="96">
        <f>IF(MAX($F$93:F1004)=$G$88,$G$88,F1004)</f>
        <v>3.2057712852183653</v>
      </c>
      <c r="B1004" s="481">
        <v>912</v>
      </c>
      <c r="C1004" s="96">
        <f t="shared" si="295"/>
        <v>1.3679999999999963</v>
      </c>
      <c r="D1004" s="96">
        <f t="shared" si="292"/>
        <v>121.62884946739753</v>
      </c>
      <c r="E1004" s="96">
        <f t="shared" si="293"/>
        <v>9.5910284952701062E-20</v>
      </c>
      <c r="F1004" s="96">
        <f t="shared" si="291"/>
        <v>5.4516764382453614E-18</v>
      </c>
      <c r="G1004" s="96">
        <f t="shared" si="294"/>
        <v>-0.11600000000000001</v>
      </c>
      <c r="I1004" s="96">
        <f t="shared" ref="I1004:I1067" si="296">IF(F1004&gt;$G$87,1,0)</f>
        <v>0</v>
      </c>
      <c r="J1004" s="96">
        <f t="shared" ref="J1004:J1067" si="297">C1004</f>
        <v>1.3679999999999963</v>
      </c>
    </row>
    <row r="1005" spans="1:10" ht="12.75" customHeight="1">
      <c r="A1005" s="96">
        <f>IF(MAX($F$93:F1005)=$G$88,$G$88,F1005)</f>
        <v>3.2057712852183653</v>
      </c>
      <c r="B1005" s="481">
        <v>913</v>
      </c>
      <c r="C1005" s="96">
        <f t="shared" si="295"/>
        <v>1.3694999999999964</v>
      </c>
      <c r="D1005" s="96">
        <f t="shared" si="292"/>
        <v>121.895725633956</v>
      </c>
      <c r="E1005" s="96">
        <f t="shared" si="293"/>
        <v>8.4929406870148449E-20</v>
      </c>
      <c r="F1005" s="96">
        <f t="shared" si="291"/>
        <v>4.8338449545109384E-18</v>
      </c>
      <c r="G1005" s="96">
        <f t="shared" si="294"/>
        <v>-0.11600000000000001</v>
      </c>
      <c r="I1005" s="96">
        <f t="shared" si="296"/>
        <v>0</v>
      </c>
      <c r="J1005" s="96">
        <f t="shared" si="297"/>
        <v>1.3694999999999964</v>
      </c>
    </row>
    <row r="1006" spans="1:10" ht="12.75" customHeight="1">
      <c r="A1006" s="96">
        <f>IF(MAX($F$93:F1006)=$G$88,$G$88,F1006)</f>
        <v>3.2057712852183653</v>
      </c>
      <c r="B1006" s="481">
        <v>914</v>
      </c>
      <c r="C1006" s="96">
        <f t="shared" si="295"/>
        <v>1.3709999999999964</v>
      </c>
      <c r="D1006" s="96">
        <f t="shared" si="292"/>
        <v>122.16289426754632</v>
      </c>
      <c r="E1006" s="96">
        <f t="shared" si="293"/>
        <v>7.5193806576225608E-20</v>
      </c>
      <c r="F1006" s="96">
        <f t="shared" si="291"/>
        <v>4.2853431423822825E-18</v>
      </c>
      <c r="G1006" s="96">
        <f t="shared" si="294"/>
        <v>-0.11600000000000001</v>
      </c>
      <c r="I1006" s="96">
        <f t="shared" si="296"/>
        <v>0</v>
      </c>
      <c r="J1006" s="96">
        <f t="shared" si="297"/>
        <v>1.3709999999999964</v>
      </c>
    </row>
    <row r="1007" spans="1:10" ht="12.75" customHeight="1">
      <c r="A1007" s="96">
        <f>IF(MAX($F$93:F1007)=$G$88,$G$88,F1007)</f>
        <v>3.2057712852183653</v>
      </c>
      <c r="B1007" s="481">
        <v>915</v>
      </c>
      <c r="C1007" s="96">
        <f t="shared" si="295"/>
        <v>1.3724999999999965</v>
      </c>
      <c r="D1007" s="96">
        <f t="shared" si="292"/>
        <v>122.43035536816849</v>
      </c>
      <c r="E1007" s="96">
        <f t="shared" si="293"/>
        <v>6.656365054565295E-20</v>
      </c>
      <c r="F1007" s="96">
        <f t="shared" si="291"/>
        <v>3.7984703985605272E-18</v>
      </c>
      <c r="G1007" s="96">
        <f t="shared" si="294"/>
        <v>-0.11600000000000001</v>
      </c>
      <c r="I1007" s="96">
        <f t="shared" si="296"/>
        <v>0</v>
      </c>
      <c r="J1007" s="96">
        <f t="shared" si="297"/>
        <v>1.3724999999999965</v>
      </c>
    </row>
    <row r="1008" spans="1:10" ht="12.75" customHeight="1">
      <c r="A1008" s="96">
        <f>IF(MAX($F$93:F1008)=$G$88,$G$88,F1008)</f>
        <v>3.2057712852183653</v>
      </c>
      <c r="B1008" s="481">
        <v>916</v>
      </c>
      <c r="C1008" s="96">
        <f t="shared" si="295"/>
        <v>1.3739999999999966</v>
      </c>
      <c r="D1008" s="96">
        <f t="shared" si="292"/>
        <v>122.69810893582249</v>
      </c>
      <c r="E1008" s="96">
        <f t="shared" si="293"/>
        <v>5.8914647725251918E-20</v>
      </c>
      <c r="F1008" s="96">
        <f t="shared" si="291"/>
        <v>3.366372415294694E-18</v>
      </c>
      <c r="G1008" s="96">
        <f t="shared" si="294"/>
        <v>-0.11600000000000001</v>
      </c>
      <c r="I1008" s="96">
        <f t="shared" si="296"/>
        <v>0</v>
      </c>
      <c r="J1008" s="96">
        <f t="shared" si="297"/>
        <v>1.3739999999999966</v>
      </c>
    </row>
    <row r="1009" spans="1:10" ht="12.75" customHeight="1">
      <c r="A1009" s="96">
        <f>IF(MAX($F$93:F1009)=$G$88,$G$88,F1009)</f>
        <v>3.2057712852183653</v>
      </c>
      <c r="B1009" s="481">
        <v>917</v>
      </c>
      <c r="C1009" s="96">
        <f t="shared" si="295"/>
        <v>1.3754999999999966</v>
      </c>
      <c r="D1009" s="96">
        <f t="shared" si="292"/>
        <v>122.96615497050833</v>
      </c>
      <c r="E1009" s="96">
        <f t="shared" si="293"/>
        <v>5.2136340194389974E-20</v>
      </c>
      <c r="F1009" s="96">
        <f t="shared" si="291"/>
        <v>2.9829491920956073E-18</v>
      </c>
      <c r="G1009" s="96">
        <f t="shared" si="294"/>
        <v>-0.11600000000000001</v>
      </c>
      <c r="I1009" s="96">
        <f t="shared" si="296"/>
        <v>0</v>
      </c>
      <c r="J1009" s="96">
        <f t="shared" si="297"/>
        <v>1.3754999999999966</v>
      </c>
    </row>
    <row r="1010" spans="1:10" ht="12.75" customHeight="1">
      <c r="A1010" s="96">
        <f>IF(MAX($F$93:F1010)=$G$88,$G$88,F1010)</f>
        <v>3.2057712852183653</v>
      </c>
      <c r="B1010" s="481">
        <v>918</v>
      </c>
      <c r="C1010" s="96">
        <f t="shared" si="295"/>
        <v>1.3769999999999967</v>
      </c>
      <c r="D1010" s="96">
        <f t="shared" si="292"/>
        <v>123.23449347222603</v>
      </c>
      <c r="E1010" s="96">
        <f t="shared" si="293"/>
        <v>4.6130579759127887E-20</v>
      </c>
      <c r="F1010" s="96">
        <f t="shared" si="291"/>
        <v>2.6427729321157103E-18</v>
      </c>
      <c r="G1010" s="96">
        <f t="shared" si="294"/>
        <v>-0.11600000000000001</v>
      </c>
      <c r="I1010" s="96">
        <f t="shared" si="296"/>
        <v>0</v>
      </c>
      <c r="J1010" s="96">
        <f t="shared" si="297"/>
        <v>1.3769999999999967</v>
      </c>
    </row>
    <row r="1011" spans="1:10" ht="12.75" customHeight="1">
      <c r="A1011" s="96">
        <f>IF(MAX($F$93:F1011)=$G$88,$G$88,F1011)</f>
        <v>3.2057712852183653</v>
      </c>
      <c r="B1011" s="481">
        <v>919</v>
      </c>
      <c r="C1011" s="96">
        <f t="shared" si="295"/>
        <v>1.3784999999999967</v>
      </c>
      <c r="D1011" s="96">
        <f t="shared" si="292"/>
        <v>123.50312444097558</v>
      </c>
      <c r="E1011" s="96">
        <f t="shared" si="293"/>
        <v>4.0810170485322643E-20</v>
      </c>
      <c r="F1011" s="96">
        <f t="shared" si="291"/>
        <v>2.3410147736583621E-18</v>
      </c>
      <c r="G1011" s="96">
        <f t="shared" si="294"/>
        <v>-0.11600000000000001</v>
      </c>
      <c r="I1011" s="96">
        <f t="shared" si="296"/>
        <v>0</v>
      </c>
      <c r="J1011" s="96">
        <f t="shared" si="297"/>
        <v>1.3784999999999967</v>
      </c>
    </row>
    <row r="1012" spans="1:10" ht="12.75" customHeight="1">
      <c r="A1012" s="96">
        <f>IF(MAX($F$93:F1012)=$G$88,$G$88,F1012)</f>
        <v>3.2057712852183653</v>
      </c>
      <c r="B1012" s="481">
        <v>920</v>
      </c>
      <c r="C1012" s="96">
        <f t="shared" si="295"/>
        <v>1.3799999999999968</v>
      </c>
      <c r="D1012" s="96">
        <f t="shared" si="292"/>
        <v>123.77204787675697</v>
      </c>
      <c r="E1012" s="96">
        <f t="shared" si="293"/>
        <v>3.6097659300592048E-20</v>
      </c>
      <c r="F1012" s="96">
        <f t="shared" si="291"/>
        <v>2.0733794173308327E-18</v>
      </c>
      <c r="G1012" s="96">
        <f t="shared" si="294"/>
        <v>-0.11600000000000001</v>
      </c>
      <c r="I1012" s="96">
        <f t="shared" si="296"/>
        <v>0</v>
      </c>
      <c r="J1012" s="96">
        <f t="shared" si="297"/>
        <v>1.3799999999999968</v>
      </c>
    </row>
    <row r="1013" spans="1:10" ht="12.75" customHeight="1">
      <c r="A1013" s="96">
        <f>IF(MAX($F$93:F1013)=$G$88,$G$88,F1013)</f>
        <v>3.2057712852183653</v>
      </c>
      <c r="B1013" s="481">
        <v>921</v>
      </c>
      <c r="C1013" s="96">
        <f t="shared" si="295"/>
        <v>1.3814999999999968</v>
      </c>
      <c r="D1013" s="96">
        <f t="shared" si="292"/>
        <v>124.0412637795702</v>
      </c>
      <c r="E1013" s="96">
        <f t="shared" si="293"/>
        <v>3.1924258696761931E-20</v>
      </c>
      <c r="F1013" s="96">
        <f t="shared" si="291"/>
        <v>1.8360468080205682E-18</v>
      </c>
      <c r="G1013" s="96">
        <f t="shared" si="294"/>
        <v>-0.11600000000000001</v>
      </c>
      <c r="I1013" s="96">
        <f t="shared" si="296"/>
        <v>0</v>
      </c>
      <c r="J1013" s="96">
        <f t="shared" si="297"/>
        <v>1.3814999999999968</v>
      </c>
    </row>
    <row r="1014" spans="1:10" ht="12.75" customHeight="1">
      <c r="A1014" s="96">
        <f>IF(MAX($F$93:F1014)=$G$88,$G$88,F1014)</f>
        <v>3.2057712852183653</v>
      </c>
      <c r="B1014" s="481">
        <v>922</v>
      </c>
      <c r="C1014" s="96">
        <f t="shared" si="295"/>
        <v>1.3829999999999969</v>
      </c>
      <c r="D1014" s="96">
        <f t="shared" si="292"/>
        <v>124.31077214941527</v>
      </c>
      <c r="E1014" s="96">
        <f t="shared" si="293"/>
        <v>2.8228887266218183E-20</v>
      </c>
      <c r="F1014" s="96">
        <f t="shared" si="291"/>
        <v>1.6256201193136449E-18</v>
      </c>
      <c r="G1014" s="96">
        <f t="shared" si="294"/>
        <v>-0.11600000000000001</v>
      </c>
      <c r="I1014" s="96">
        <f t="shared" si="296"/>
        <v>0</v>
      </c>
      <c r="J1014" s="96">
        <f t="shared" si="297"/>
        <v>1.3829999999999969</v>
      </c>
    </row>
    <row r="1015" spans="1:10" ht="12.75" customHeight="1">
      <c r="A1015" s="96">
        <f>IF(MAX($F$93:F1015)=$G$88,$G$88,F1015)</f>
        <v>3.2057712852183653</v>
      </c>
      <c r="B1015" s="481">
        <v>923</v>
      </c>
      <c r="C1015" s="96">
        <f t="shared" si="295"/>
        <v>1.384499999999997</v>
      </c>
      <c r="D1015" s="96">
        <f t="shared" si="292"/>
        <v>124.58057298629218</v>
      </c>
      <c r="E1015" s="96">
        <f t="shared" si="293"/>
        <v>2.4957315328274881E-20</v>
      </c>
      <c r="F1015" s="96">
        <f t="shared" si="291"/>
        <v>1.439079367227086E-18</v>
      </c>
      <c r="G1015" s="96">
        <f t="shared" si="294"/>
        <v>-0.11600000000000001</v>
      </c>
      <c r="I1015" s="96">
        <f t="shared" si="296"/>
        <v>0</v>
      </c>
      <c r="J1015" s="96">
        <f t="shared" si="297"/>
        <v>1.384499999999997</v>
      </c>
    </row>
    <row r="1016" spans="1:10" ht="12.75" customHeight="1">
      <c r="A1016" s="96">
        <f>IF(MAX($F$93:F1016)=$G$88,$G$88,F1016)</f>
        <v>3.2057712852183653</v>
      </c>
      <c r="B1016" s="481">
        <v>924</v>
      </c>
      <c r="C1016" s="96">
        <f t="shared" si="295"/>
        <v>1.385999999999997</v>
      </c>
      <c r="D1016" s="96">
        <f t="shared" si="292"/>
        <v>124.85066629020095</v>
      </c>
      <c r="E1016" s="96">
        <f t="shared" si="293"/>
        <v>2.2061404263816386E-20</v>
      </c>
      <c r="F1016" s="96">
        <f t="shared" si="291"/>
        <v>1.2737400511418418E-18</v>
      </c>
      <c r="G1016" s="96">
        <f t="shared" si="294"/>
        <v>-0.11600000000000001</v>
      </c>
      <c r="I1016" s="96">
        <f t="shared" si="296"/>
        <v>0</v>
      </c>
      <c r="J1016" s="96">
        <f t="shared" si="297"/>
        <v>1.385999999999997</v>
      </c>
    </row>
    <row r="1017" spans="1:10" ht="12.75" customHeight="1">
      <c r="A1017" s="96">
        <f>IF(MAX($F$93:F1017)=$G$88,$G$88,F1017)</f>
        <v>3.2057712852183653</v>
      </c>
      <c r="B1017" s="481">
        <v>925</v>
      </c>
      <c r="C1017" s="96">
        <f t="shared" si="295"/>
        <v>1.3874999999999971</v>
      </c>
      <c r="D1017" s="96">
        <f t="shared" si="292"/>
        <v>125.12105206114157</v>
      </c>
      <c r="E1017" s="96">
        <f t="shared" si="293"/>
        <v>1.9498429394809845E-20</v>
      </c>
      <c r="F1017" s="96">
        <f t="shared" si="291"/>
        <v>1.127216283440453E-18</v>
      </c>
      <c r="G1017" s="96">
        <f t="shared" si="294"/>
        <v>-0.11600000000000001</v>
      </c>
      <c r="I1017" s="96">
        <f t="shared" si="296"/>
        <v>0</v>
      </c>
      <c r="J1017" s="96">
        <f t="shared" si="297"/>
        <v>1.3874999999999971</v>
      </c>
    </row>
    <row r="1018" spans="1:10" ht="12.75" customHeight="1">
      <c r="A1018" s="96">
        <f>IF(MAX($F$93:F1018)=$G$88,$G$88,F1018)</f>
        <v>3.2057712852183653</v>
      </c>
      <c r="B1018" s="481">
        <v>926</v>
      </c>
      <c r="C1018" s="96">
        <f t="shared" si="295"/>
        <v>1.3889999999999971</v>
      </c>
      <c r="D1018" s="96">
        <f t="shared" si="292"/>
        <v>125.39173029911403</v>
      </c>
      <c r="E1018" s="96">
        <f t="shared" si="293"/>
        <v>1.7230477334785872E-20</v>
      </c>
      <c r="F1018" s="96">
        <f t="shared" si="291"/>
        <v>9.973879263352285E-19</v>
      </c>
      <c r="G1018" s="96">
        <f t="shared" si="294"/>
        <v>-0.11600000000000001</v>
      </c>
      <c r="I1018" s="96">
        <f t="shared" si="296"/>
        <v>0</v>
      </c>
      <c r="J1018" s="96">
        <f t="shared" si="297"/>
        <v>1.3889999999999971</v>
      </c>
    </row>
    <row r="1019" spans="1:10" ht="12.75" customHeight="1">
      <c r="A1019" s="96">
        <f>IF(MAX($F$93:F1019)=$G$88,$G$88,F1019)</f>
        <v>3.2057712852183653</v>
      </c>
      <c r="B1019" s="481">
        <v>927</v>
      </c>
      <c r="C1019" s="96">
        <f t="shared" si="295"/>
        <v>1.3904999999999972</v>
      </c>
      <c r="D1019" s="96">
        <f t="shared" si="292"/>
        <v>125.66270100411832</v>
      </c>
      <c r="E1019" s="96">
        <f t="shared" si="293"/>
        <v>1.5223909710516008E-20</v>
      </c>
      <c r="F1019" s="96">
        <f t="shared" si="291"/>
        <v>8.8237130540154421E-19</v>
      </c>
      <c r="G1019" s="96">
        <f t="shared" si="294"/>
        <v>-0.11600000000000001</v>
      </c>
      <c r="I1019" s="96">
        <f t="shared" si="296"/>
        <v>0</v>
      </c>
      <c r="J1019" s="96">
        <f t="shared" si="297"/>
        <v>1.3904999999999972</v>
      </c>
    </row>
    <row r="1020" spans="1:10" ht="12.75" customHeight="1">
      <c r="A1020" s="96">
        <f>IF(MAX($F$93:F1020)=$G$88,$G$88,F1020)</f>
        <v>3.2057712852183653</v>
      </c>
      <c r="B1020" s="481">
        <v>928</v>
      </c>
      <c r="C1020" s="96">
        <f t="shared" si="295"/>
        <v>1.3919999999999972</v>
      </c>
      <c r="D1020" s="96">
        <f t="shared" si="292"/>
        <v>125.93396417615446</v>
      </c>
      <c r="E1020" s="96">
        <f t="shared" si="293"/>
        <v>1.3448886025922111E-20</v>
      </c>
      <c r="F1020" s="96">
        <f t="shared" si="291"/>
        <v>7.8049311502005221E-19</v>
      </c>
      <c r="G1020" s="96">
        <f t="shared" si="294"/>
        <v>-0.11600000000000001</v>
      </c>
      <c r="I1020" s="96">
        <f t="shared" si="296"/>
        <v>0</v>
      </c>
      <c r="J1020" s="96">
        <f t="shared" si="297"/>
        <v>1.3919999999999972</v>
      </c>
    </row>
    <row r="1021" spans="1:10" ht="12.75" customHeight="1">
      <c r="A1021" s="96">
        <f>IF(MAX($F$93:F1021)=$G$88,$G$88,F1021)</f>
        <v>3.2057712852183653</v>
      </c>
      <c r="B1021" s="481">
        <v>929</v>
      </c>
      <c r="C1021" s="96">
        <f t="shared" si="295"/>
        <v>1.3934999999999973</v>
      </c>
      <c r="D1021" s="96">
        <f t="shared" si="292"/>
        <v>126.20551981522246</v>
      </c>
      <c r="E1021" s="96">
        <f t="shared" si="293"/>
        <v>1.1878939217572927E-20</v>
      </c>
      <c r="F1021" s="96">
        <f t="shared" si="291"/>
        <v>6.902671718324385E-19</v>
      </c>
      <c r="G1021" s="96">
        <f t="shared" si="294"/>
        <v>-0.11600000000000001</v>
      </c>
      <c r="I1021" s="96">
        <f t="shared" si="296"/>
        <v>0</v>
      </c>
      <c r="J1021" s="96">
        <f t="shared" si="297"/>
        <v>1.3934999999999973</v>
      </c>
    </row>
    <row r="1022" spans="1:10" ht="12.75" customHeight="1">
      <c r="A1022" s="96">
        <f>IF(MAX($F$93:F1022)=$G$88,$G$88,F1022)</f>
        <v>3.2057712852183653</v>
      </c>
      <c r="B1022" s="481">
        <v>930</v>
      </c>
      <c r="C1022" s="96">
        <f t="shared" si="295"/>
        <v>1.3949999999999974</v>
      </c>
      <c r="D1022" s="96">
        <f t="shared" si="292"/>
        <v>126.47736792132228</v>
      </c>
      <c r="E1022" s="96">
        <f t="shared" si="293"/>
        <v>1.0490598146640232E-20</v>
      </c>
      <c r="F1022" s="96">
        <f t="shared" si="291"/>
        <v>6.1037370892440686E-19</v>
      </c>
      <c r="G1022" s="96">
        <f t="shared" si="294"/>
        <v>-0.11600000000000001</v>
      </c>
      <c r="I1022" s="96">
        <f t="shared" si="296"/>
        <v>0</v>
      </c>
      <c r="J1022" s="96">
        <f t="shared" si="297"/>
        <v>1.3949999999999974</v>
      </c>
    </row>
    <row r="1023" spans="1:10" ht="12.75" customHeight="1">
      <c r="A1023" s="96">
        <f>IF(MAX($F$93:F1023)=$G$88,$G$88,F1023)</f>
        <v>3.2057712852183653</v>
      </c>
      <c r="B1023" s="481">
        <v>931</v>
      </c>
      <c r="C1023" s="96">
        <f t="shared" si="295"/>
        <v>1.3964999999999974</v>
      </c>
      <c r="D1023" s="96">
        <f t="shared" si="292"/>
        <v>126.74950849445398</v>
      </c>
      <c r="E1023" s="96">
        <f t="shared" si="293"/>
        <v>9.2630518936111826E-21</v>
      </c>
      <c r="F1023" s="96">
        <f t="shared" si="291"/>
        <v>5.3964093620782547E-19</v>
      </c>
      <c r="G1023" s="96">
        <f t="shared" si="294"/>
        <v>-0.11600000000000001</v>
      </c>
      <c r="I1023" s="96">
        <f t="shared" si="296"/>
        <v>0</v>
      </c>
      <c r="J1023" s="96">
        <f t="shared" si="297"/>
        <v>1.3964999999999974</v>
      </c>
    </row>
    <row r="1024" spans="1:10" ht="12.75" customHeight="1">
      <c r="A1024" s="96">
        <f>IF(MAX($F$93:F1024)=$G$88,$G$88,F1024)</f>
        <v>3.2057712852183653</v>
      </c>
      <c r="B1024" s="481">
        <v>932</v>
      </c>
      <c r="C1024" s="96">
        <f t="shared" si="295"/>
        <v>1.3979999999999975</v>
      </c>
      <c r="D1024" s="96">
        <f t="shared" si="292"/>
        <v>127.0219415346175</v>
      </c>
      <c r="E1024" s="96">
        <f t="shared" si="293"/>
        <v>8.1778512771781223E-21</v>
      </c>
      <c r="F1024" s="96">
        <f t="shared" si="291"/>
        <v>4.7702862178649944E-19</v>
      </c>
      <c r="G1024" s="96">
        <f t="shared" si="294"/>
        <v>-0.11600000000000001</v>
      </c>
      <c r="I1024" s="96">
        <f t="shared" si="296"/>
        <v>0</v>
      </c>
      <c r="J1024" s="96">
        <f t="shared" si="297"/>
        <v>1.3979999999999975</v>
      </c>
    </row>
    <row r="1025" spans="1:10" ht="12.75" customHeight="1">
      <c r="A1025" s="96">
        <f>IF(MAX($F$93:F1025)=$G$88,$G$88,F1025)</f>
        <v>3.2057712852183653</v>
      </c>
      <c r="B1025" s="481">
        <v>933</v>
      </c>
      <c r="C1025" s="96">
        <f t="shared" si="295"/>
        <v>1.3994999999999975</v>
      </c>
      <c r="D1025" s="96">
        <f t="shared" si="292"/>
        <v>127.29466704181287</v>
      </c>
      <c r="E1025" s="96">
        <f t="shared" si="293"/>
        <v>7.2186435145261849E-21</v>
      </c>
      <c r="F1025" s="96">
        <f t="shared" si="291"/>
        <v>4.2161347530898265E-19</v>
      </c>
      <c r="G1025" s="96">
        <f t="shared" si="294"/>
        <v>-0.11600000000000001</v>
      </c>
      <c r="I1025" s="96">
        <f t="shared" si="296"/>
        <v>0</v>
      </c>
      <c r="J1025" s="96">
        <f t="shared" si="297"/>
        <v>1.3994999999999975</v>
      </c>
    </row>
    <row r="1026" spans="1:10" ht="12.75" customHeight="1">
      <c r="A1026" s="96">
        <f>IF(MAX($F$93:F1026)=$G$88,$G$88,F1026)</f>
        <v>3.2057712852183653</v>
      </c>
      <c r="B1026" s="481">
        <v>934</v>
      </c>
      <c r="C1026" s="96">
        <f t="shared" si="295"/>
        <v>1.4009999999999976</v>
      </c>
      <c r="D1026" s="96">
        <f t="shared" si="292"/>
        <v>127.56768501604007</v>
      </c>
      <c r="E1026" s="96">
        <f t="shared" si="293"/>
        <v>6.3709363829967679E-21</v>
      </c>
      <c r="F1026" s="96">
        <f t="shared" si="291"/>
        <v>3.7257613776328897E-19</v>
      </c>
      <c r="G1026" s="96">
        <f t="shared" si="294"/>
        <v>-0.11600000000000001</v>
      </c>
      <c r="I1026" s="96">
        <f t="shared" si="296"/>
        <v>0</v>
      </c>
      <c r="J1026" s="96">
        <f t="shared" si="297"/>
        <v>1.4009999999999976</v>
      </c>
    </row>
    <row r="1027" spans="1:10" ht="12.75" customHeight="1">
      <c r="A1027" s="96">
        <f>IF(MAX($F$93:F1027)=$G$88,$G$88,F1027)</f>
        <v>3.2057712852183653</v>
      </c>
      <c r="B1027" s="481">
        <v>935</v>
      </c>
      <c r="C1027" s="96">
        <f t="shared" si="295"/>
        <v>1.4024999999999976</v>
      </c>
      <c r="D1027" s="96">
        <f t="shared" si="292"/>
        <v>127.84099545729914</v>
      </c>
      <c r="E1027" s="96">
        <f t="shared" si="293"/>
        <v>5.6218886383978035E-21</v>
      </c>
      <c r="F1027" s="96">
        <f t="shared" si="291"/>
        <v>3.2918960313955277E-19</v>
      </c>
      <c r="G1027" s="96">
        <f t="shared" si="294"/>
        <v>-0.11600000000000001</v>
      </c>
      <c r="I1027" s="96">
        <f t="shared" si="296"/>
        <v>0</v>
      </c>
      <c r="J1027" s="96">
        <f t="shared" si="297"/>
        <v>1.4024999999999976</v>
      </c>
    </row>
    <row r="1028" spans="1:10" ht="12.75" customHeight="1">
      <c r="A1028" s="96">
        <f>IF(MAX($F$93:F1028)=$G$88,$G$88,F1028)</f>
        <v>3.2057712852183653</v>
      </c>
      <c r="B1028" s="481">
        <v>936</v>
      </c>
      <c r="C1028" s="96">
        <f t="shared" si="295"/>
        <v>1.4039999999999977</v>
      </c>
      <c r="D1028" s="96">
        <f t="shared" si="292"/>
        <v>128.11459836559004</v>
      </c>
      <c r="E1028" s="96">
        <f t="shared" si="293"/>
        <v>4.9601237981129702E-21</v>
      </c>
      <c r="F1028" s="96">
        <f t="shared" si="291"/>
        <v>2.9080891613534043E-19</v>
      </c>
      <c r="G1028" s="96">
        <f t="shared" si="294"/>
        <v>-0.11600000000000001</v>
      </c>
      <c r="I1028" s="96">
        <f t="shared" si="296"/>
        <v>0</v>
      </c>
      <c r="J1028" s="96">
        <f t="shared" si="297"/>
        <v>1.4039999999999977</v>
      </c>
    </row>
    <row r="1029" spans="1:10" ht="12.75" customHeight="1">
      <c r="A1029" s="96">
        <f>IF(MAX($F$93:F1029)=$G$88,$G$88,F1029)</f>
        <v>3.2057712852183653</v>
      </c>
      <c r="B1029" s="481">
        <v>937</v>
      </c>
      <c r="C1029" s="96">
        <f t="shared" si="295"/>
        <v>1.4054999999999978</v>
      </c>
      <c r="D1029" s="96">
        <f t="shared" si="292"/>
        <v>128.38849374091279</v>
      </c>
      <c r="E1029" s="96">
        <f t="shared" si="293"/>
        <v>4.3755647121034874E-21</v>
      </c>
      <c r="F1029" s="96">
        <f t="shared" si="291"/>
        <v>2.568620068392244E-19</v>
      </c>
      <c r="G1029" s="96">
        <f t="shared" si="294"/>
        <v>-0.11600000000000001</v>
      </c>
      <c r="I1029" s="96">
        <f t="shared" si="296"/>
        <v>0</v>
      </c>
      <c r="J1029" s="96">
        <f t="shared" si="297"/>
        <v>1.4054999999999978</v>
      </c>
    </row>
    <row r="1030" spans="1:10" ht="12.75" customHeight="1">
      <c r="A1030" s="96">
        <f>IF(MAX($F$93:F1030)=$G$88,$G$88,F1030)</f>
        <v>3.2057712852183653</v>
      </c>
      <c r="B1030" s="481">
        <v>938</v>
      </c>
      <c r="C1030" s="96">
        <f t="shared" si="295"/>
        <v>1.4069999999999978</v>
      </c>
      <c r="D1030" s="96">
        <f t="shared" si="292"/>
        <v>128.66268158326739</v>
      </c>
      <c r="E1030" s="96">
        <f t="shared" si="293"/>
        <v>3.8592866259448656E-21</v>
      </c>
      <c r="F1030" s="96">
        <f t="shared" si="291"/>
        <v>2.2684153830722522E-19</v>
      </c>
      <c r="G1030" s="96">
        <f t="shared" si="294"/>
        <v>-0.11600000000000001</v>
      </c>
      <c r="I1030" s="96">
        <f t="shared" si="296"/>
        <v>0</v>
      </c>
      <c r="J1030" s="96">
        <f t="shared" si="297"/>
        <v>1.4069999999999978</v>
      </c>
    </row>
    <row r="1031" spans="1:10" ht="12.75" customHeight="1">
      <c r="A1031" s="96">
        <f>IF(MAX($F$93:F1031)=$G$88,$G$88,F1031)</f>
        <v>3.2057712852183653</v>
      </c>
      <c r="B1031" s="481">
        <v>939</v>
      </c>
      <c r="C1031" s="96">
        <f t="shared" si="295"/>
        <v>1.4084999999999979</v>
      </c>
      <c r="D1031" s="96">
        <f t="shared" si="292"/>
        <v>128.93716189265382</v>
      </c>
      <c r="E1031" s="96">
        <f t="shared" si="293"/>
        <v>3.403386690786808E-21</v>
      </c>
      <c r="F1031" s="96">
        <f t="shared" si="291"/>
        <v>2.0029765633271252E-19</v>
      </c>
      <c r="G1031" s="96">
        <f t="shared" si="294"/>
        <v>-0.11600000000000001</v>
      </c>
      <c r="I1031" s="96">
        <f t="shared" si="296"/>
        <v>0</v>
      </c>
      <c r="J1031" s="96">
        <f t="shared" si="297"/>
        <v>1.4084999999999979</v>
      </c>
    </row>
    <row r="1032" spans="1:10" ht="12.75" customHeight="1">
      <c r="A1032" s="96">
        <f>IF(MAX($F$93:F1032)=$G$88,$G$88,F1032)</f>
        <v>3.2057712852183653</v>
      </c>
      <c r="B1032" s="481">
        <v>940</v>
      </c>
      <c r="C1032" s="96">
        <f t="shared" si="295"/>
        <v>1.4099999999999979</v>
      </c>
      <c r="D1032" s="96">
        <f t="shared" si="292"/>
        <v>129.21193466907212</v>
      </c>
      <c r="E1032" s="96">
        <f t="shared" si="293"/>
        <v>3.0008680988046689E-21</v>
      </c>
      <c r="F1032" s="96">
        <f t="shared" si="291"/>
        <v>1.7683154266889082E-19</v>
      </c>
      <c r="G1032" s="96">
        <f t="shared" si="294"/>
        <v>-0.11600000000000001</v>
      </c>
      <c r="I1032" s="96">
        <f t="shared" si="296"/>
        <v>0</v>
      </c>
      <c r="J1032" s="96">
        <f t="shared" si="297"/>
        <v>1.4099999999999979</v>
      </c>
    </row>
    <row r="1033" spans="1:10" ht="12.75" customHeight="1">
      <c r="A1033" s="96">
        <f>IF(MAX($F$93:F1033)=$G$88,$G$88,F1033)</f>
        <v>3.2057712852183653</v>
      </c>
      <c r="B1033" s="481">
        <v>941</v>
      </c>
      <c r="C1033" s="96">
        <f t="shared" si="295"/>
        <v>1.411499999999998</v>
      </c>
      <c r="D1033" s="96">
        <f t="shared" si="292"/>
        <v>129.48699991252224</v>
      </c>
      <c r="E1033" s="96">
        <f t="shared" si="293"/>
        <v>2.6455372222058473E-21</v>
      </c>
      <c r="F1033" s="96">
        <f t="shared" si="291"/>
        <v>1.560896836459702E-19</v>
      </c>
      <c r="G1033" s="96">
        <f t="shared" si="294"/>
        <v>-0.11600000000000001</v>
      </c>
      <c r="I1033" s="96">
        <f t="shared" si="296"/>
        <v>0</v>
      </c>
      <c r="J1033" s="96">
        <f t="shared" si="297"/>
        <v>1.411499999999998</v>
      </c>
    </row>
    <row r="1034" spans="1:10" ht="12.75" customHeight="1">
      <c r="A1034" s="96">
        <f>IF(MAX($F$93:F1034)=$G$88,$G$88,F1034)</f>
        <v>3.2057712852183653</v>
      </c>
      <c r="B1034" s="481">
        <v>942</v>
      </c>
      <c r="C1034" s="96">
        <f t="shared" si="295"/>
        <v>1.412999999999998</v>
      </c>
      <c r="D1034" s="96">
        <f t="shared" si="292"/>
        <v>129.76235762300422</v>
      </c>
      <c r="E1034" s="96">
        <f t="shared" si="293"/>
        <v>2.3319123117505109E-21</v>
      </c>
      <c r="F1034" s="96">
        <f t="shared" si="291"/>
        <v>1.3775877566544765E-19</v>
      </c>
      <c r="G1034" s="96">
        <f t="shared" si="294"/>
        <v>-0.11600000000000001</v>
      </c>
      <c r="I1034" s="96">
        <f t="shared" si="296"/>
        <v>0</v>
      </c>
      <c r="J1034" s="96">
        <f t="shared" si="297"/>
        <v>1.412999999999998</v>
      </c>
    </row>
    <row r="1035" spans="1:10" ht="12.75" customHeight="1">
      <c r="A1035" s="96">
        <f>IF(MAX($F$93:F1035)=$G$88,$G$88,F1035)</f>
        <v>3.2057712852183653</v>
      </c>
      <c r="B1035" s="481">
        <v>943</v>
      </c>
      <c r="C1035" s="96">
        <f t="shared" si="295"/>
        <v>1.4144999999999981</v>
      </c>
      <c r="D1035" s="96">
        <f t="shared" si="292"/>
        <v>130.03800780051802</v>
      </c>
      <c r="E1035" s="96">
        <f t="shared" si="293"/>
        <v>2.0551424693539287E-21</v>
      </c>
      <c r="F1035" s="96">
        <f t="shared" si="291"/>
        <v>1.2156119757370329E-19</v>
      </c>
      <c r="G1035" s="96">
        <f t="shared" si="294"/>
        <v>-0.11600000000000001</v>
      </c>
      <c r="I1035" s="96">
        <f t="shared" si="296"/>
        <v>0</v>
      </c>
      <c r="J1035" s="96">
        <f t="shared" si="297"/>
        <v>1.4144999999999981</v>
      </c>
    </row>
    <row r="1036" spans="1:10" ht="12.75" customHeight="1">
      <c r="A1036" s="96">
        <f>IF(MAX($F$93:F1036)=$G$88,$G$88,F1036)</f>
        <v>3.2057712852183653</v>
      </c>
      <c r="B1036" s="481">
        <v>944</v>
      </c>
      <c r="C1036" s="96">
        <f t="shared" si="295"/>
        <v>1.4159999999999981</v>
      </c>
      <c r="D1036" s="96">
        <f t="shared" si="292"/>
        <v>130.31395044506371</v>
      </c>
      <c r="E1036" s="96">
        <f t="shared" si="293"/>
        <v>1.8109357507203539E-21</v>
      </c>
      <c r="F1036" s="96">
        <f t="shared" si="291"/>
        <v>1.0725098752268885E-19</v>
      </c>
      <c r="G1036" s="96">
        <f t="shared" si="294"/>
        <v>-0.11600000000000001</v>
      </c>
      <c r="I1036" s="96">
        <f t="shared" si="296"/>
        <v>0</v>
      </c>
      <c r="J1036" s="96">
        <f t="shared" si="297"/>
        <v>1.4159999999999981</v>
      </c>
    </row>
    <row r="1037" spans="1:10" ht="12.75" customHeight="1">
      <c r="A1037" s="96">
        <f>IF(MAX($F$93:F1037)=$G$88,$G$88,F1037)</f>
        <v>3.2057712852183653</v>
      </c>
      <c r="B1037" s="481">
        <v>945</v>
      </c>
      <c r="C1037" s="96">
        <f t="shared" si="295"/>
        <v>1.4174999999999982</v>
      </c>
      <c r="D1037" s="96">
        <f t="shared" si="292"/>
        <v>130.59018555664122</v>
      </c>
      <c r="E1037" s="96">
        <f t="shared" si="293"/>
        <v>1.5954953799709764E-21</v>
      </c>
      <c r="F1037" s="96">
        <f t="shared" si="291"/>
        <v>9.4610268715027154E-20</v>
      </c>
      <c r="G1037" s="96">
        <f t="shared" si="294"/>
        <v>-0.11600000000000001</v>
      </c>
      <c r="I1037" s="96">
        <f t="shared" si="296"/>
        <v>0</v>
      </c>
      <c r="J1037" s="96">
        <f t="shared" si="297"/>
        <v>1.4174999999999982</v>
      </c>
    </row>
    <row r="1038" spans="1:10" ht="12.75" customHeight="1">
      <c r="A1038" s="96">
        <f>IF(MAX($F$93:F1038)=$G$88,$G$88,F1038)</f>
        <v>3.2057712852183653</v>
      </c>
      <c r="B1038" s="481">
        <v>946</v>
      </c>
      <c r="C1038" s="96">
        <f t="shared" si="295"/>
        <v>1.4189999999999983</v>
      </c>
      <c r="D1038" s="96">
        <f t="shared" si="292"/>
        <v>130.86671313525056</v>
      </c>
      <c r="E1038" s="96">
        <f t="shared" si="293"/>
        <v>1.4054631705130946E-21</v>
      </c>
      <c r="F1038" s="96">
        <f t="shared" si="291"/>
        <v>8.3446074489979832E-20</v>
      </c>
      <c r="G1038" s="96">
        <f t="shared" si="294"/>
        <v>-0.11600000000000001</v>
      </c>
      <c r="I1038" s="96">
        <f t="shared" si="296"/>
        <v>0</v>
      </c>
      <c r="J1038" s="96">
        <f t="shared" si="297"/>
        <v>1.4189999999999983</v>
      </c>
    </row>
    <row r="1039" spans="1:10" ht="12.75" customHeight="1">
      <c r="A1039" s="96">
        <f>IF(MAX($F$93:F1039)=$G$88,$G$88,F1039)</f>
        <v>3.2057712852183653</v>
      </c>
      <c r="B1039" s="481">
        <v>947</v>
      </c>
      <c r="C1039" s="96">
        <f t="shared" si="295"/>
        <v>1.4204999999999983</v>
      </c>
      <c r="D1039" s="96">
        <f t="shared" si="292"/>
        <v>131.14353318089178</v>
      </c>
      <c r="E1039" s="96">
        <f t="shared" si="293"/>
        <v>1.2378693464424914E-21</v>
      </c>
      <c r="F1039" s="96">
        <f t="shared" si="291"/>
        <v>7.3587528613278017E-20</v>
      </c>
      <c r="G1039" s="96">
        <f t="shared" si="294"/>
        <v>-0.11600000000000001</v>
      </c>
      <c r="I1039" s="96">
        <f t="shared" si="296"/>
        <v>0</v>
      </c>
      <c r="J1039" s="96">
        <f t="shared" si="297"/>
        <v>1.4204999999999983</v>
      </c>
    </row>
    <row r="1040" spans="1:10" ht="12.75" customHeight="1">
      <c r="A1040" s="96">
        <f>IF(MAX($F$93:F1040)=$G$88,$G$88,F1040)</f>
        <v>3.2057712852183653</v>
      </c>
      <c r="B1040" s="481">
        <v>948</v>
      </c>
      <c r="C1040" s="96">
        <f t="shared" si="295"/>
        <v>1.4219999999999984</v>
      </c>
      <c r="D1040" s="96">
        <f t="shared" si="292"/>
        <v>131.42064569356481</v>
      </c>
      <c r="E1040" s="96">
        <f t="shared" si="293"/>
        <v>1.0900880478847602E-21</v>
      </c>
      <c r="F1040" s="96">
        <f t="shared" si="291"/>
        <v>6.48833414578339E-20</v>
      </c>
      <c r="G1040" s="96">
        <f t="shared" si="294"/>
        <v>-0.11600000000000001</v>
      </c>
      <c r="I1040" s="96">
        <f t="shared" si="296"/>
        <v>0</v>
      </c>
      <c r="J1040" s="96">
        <f t="shared" si="297"/>
        <v>1.4219999999999984</v>
      </c>
    </row>
    <row r="1041" spans="1:10" ht="12.75" customHeight="1">
      <c r="A1041" s="96">
        <f>IF(MAX($F$93:F1041)=$G$88,$G$88,F1041)</f>
        <v>3.2057712852183653</v>
      </c>
      <c r="B1041" s="481">
        <v>949</v>
      </c>
      <c r="C1041" s="96">
        <f t="shared" si="295"/>
        <v>1.4234999999999984</v>
      </c>
      <c r="D1041" s="96">
        <f t="shared" si="292"/>
        <v>131.69805067326971</v>
      </c>
      <c r="E1041" s="96">
        <f t="shared" si="293"/>
        <v>9.5979788305177466E-22</v>
      </c>
      <c r="F1041" s="96">
        <f t="shared" si="291"/>
        <v>5.7199587064328359E-20</v>
      </c>
      <c r="G1041" s="96">
        <f t="shared" si="294"/>
        <v>-0.11600000000000001</v>
      </c>
      <c r="I1041" s="96">
        <f t="shared" si="296"/>
        <v>0</v>
      </c>
      <c r="J1041" s="96">
        <f t="shared" si="297"/>
        <v>1.4234999999999984</v>
      </c>
    </row>
    <row r="1042" spans="1:10" ht="12.75" customHeight="1">
      <c r="A1042" s="96">
        <f>IF(MAX($F$93:F1042)=$G$88,$G$88,F1042)</f>
        <v>3.2057712852183653</v>
      </c>
      <c r="B1042" s="481">
        <v>950</v>
      </c>
      <c r="C1042" s="96">
        <f t="shared" si="295"/>
        <v>1.4249999999999985</v>
      </c>
      <c r="D1042" s="96">
        <f t="shared" si="292"/>
        <v>131.97574812000641</v>
      </c>
      <c r="E1042" s="96">
        <f t="shared" si="293"/>
        <v>8.449469604662101E-22</v>
      </c>
      <c r="F1042" s="96">
        <f t="shared" si="291"/>
        <v>5.0417729908265409E-20</v>
      </c>
      <c r="G1042" s="96">
        <f t="shared" si="294"/>
        <v>-0.11600000000000001</v>
      </c>
      <c r="I1042" s="96">
        <f t="shared" si="296"/>
        <v>0</v>
      </c>
      <c r="J1042" s="96">
        <f t="shared" si="297"/>
        <v>1.4249999999999985</v>
      </c>
    </row>
    <row r="1043" spans="1:10" ht="12.75" customHeight="1">
      <c r="A1043" s="96">
        <f>IF(MAX($F$93:F1043)=$G$88,$G$88,F1043)</f>
        <v>3.2057712852183653</v>
      </c>
      <c r="B1043" s="481">
        <v>951</v>
      </c>
      <c r="C1043" s="96">
        <f t="shared" si="295"/>
        <v>1.4264999999999985</v>
      </c>
      <c r="D1043" s="96">
        <f t="shared" si="292"/>
        <v>132.25373803377502</v>
      </c>
      <c r="E1043" s="96">
        <f t="shared" si="293"/>
        <v>7.4372189773063716E-22</v>
      </c>
      <c r="F1043" s="96">
        <f t="shared" si="291"/>
        <v>4.4432873621384964E-20</v>
      </c>
      <c r="G1043" s="96">
        <f t="shared" si="294"/>
        <v>-0.11600000000000001</v>
      </c>
      <c r="I1043" s="96">
        <f t="shared" si="296"/>
        <v>0</v>
      </c>
      <c r="J1043" s="96">
        <f t="shared" si="297"/>
        <v>1.4264999999999985</v>
      </c>
    </row>
    <row r="1044" spans="1:10" ht="12.75" customHeight="1">
      <c r="A1044" s="96">
        <f>IF(MAX($F$93:F1044)=$G$88,$G$88,F1044)</f>
        <v>3.2057712852183653</v>
      </c>
      <c r="B1044" s="481">
        <v>952</v>
      </c>
      <c r="C1044" s="96">
        <f t="shared" si="295"/>
        <v>1.4279999999999986</v>
      </c>
      <c r="D1044" s="96">
        <f t="shared" si="292"/>
        <v>132.53202041457544</v>
      </c>
      <c r="E1044" s="96">
        <f t="shared" si="293"/>
        <v>6.545203592317031E-22</v>
      </c>
      <c r="F1044" s="96">
        <f t="shared" si="291"/>
        <v>3.9152206965637153E-20</v>
      </c>
      <c r="G1044" s="96">
        <f t="shared" si="294"/>
        <v>-0.11600000000000001</v>
      </c>
      <c r="I1044" s="96">
        <f t="shared" si="296"/>
        <v>0</v>
      </c>
      <c r="J1044" s="96">
        <f t="shared" si="297"/>
        <v>1.4279999999999986</v>
      </c>
    </row>
    <row r="1045" spans="1:10" ht="12.75" customHeight="1">
      <c r="A1045" s="96">
        <f>IF(MAX($F$93:F1045)=$G$88,$G$88,F1045)</f>
        <v>3.2057712852183653</v>
      </c>
      <c r="B1045" s="481">
        <v>953</v>
      </c>
      <c r="C1045" s="96">
        <f t="shared" si="295"/>
        <v>1.4294999999999987</v>
      </c>
      <c r="D1045" s="96">
        <f t="shared" si="292"/>
        <v>132.8105952624077</v>
      </c>
      <c r="E1045" s="96">
        <f t="shared" si="293"/>
        <v>5.7592672502076363E-22</v>
      </c>
      <c r="F1045" s="96">
        <f t="shared" si="291"/>
        <v>3.4493625076823247E-20</v>
      </c>
      <c r="G1045" s="96">
        <f t="shared" si="294"/>
        <v>-0.11600000000000001</v>
      </c>
      <c r="I1045" s="96">
        <f t="shared" si="296"/>
        <v>0</v>
      </c>
      <c r="J1045" s="96">
        <f t="shared" si="297"/>
        <v>1.4294999999999987</v>
      </c>
    </row>
    <row r="1046" spans="1:10" ht="12.75" customHeight="1">
      <c r="A1046" s="96">
        <f>IF(MAX($F$93:F1046)=$G$88,$G$88,F1046)</f>
        <v>3.2057712852183653</v>
      </c>
      <c r="B1046" s="481">
        <v>954</v>
      </c>
      <c r="C1046" s="96">
        <f t="shared" si="295"/>
        <v>1.4309999999999987</v>
      </c>
      <c r="D1046" s="96">
        <f t="shared" si="292"/>
        <v>133.0894625772718</v>
      </c>
      <c r="E1046" s="96">
        <f t="shared" si="293"/>
        <v>5.0669053747388916E-22</v>
      </c>
      <c r="F1046" s="96">
        <f t="shared" si="291"/>
        <v>3.0384506417971619E-20</v>
      </c>
      <c r="G1046" s="96">
        <f t="shared" si="294"/>
        <v>-0.11600000000000001</v>
      </c>
      <c r="I1046" s="96">
        <f t="shared" si="296"/>
        <v>0</v>
      </c>
      <c r="J1046" s="96">
        <f t="shared" si="297"/>
        <v>1.4309999999999987</v>
      </c>
    </row>
    <row r="1047" spans="1:10" ht="12.75" customHeight="1">
      <c r="A1047" s="96">
        <f>IF(MAX($F$93:F1047)=$G$88,$G$88,F1047)</f>
        <v>3.2057712852183653</v>
      </c>
      <c r="B1047" s="481">
        <v>955</v>
      </c>
      <c r="C1047" s="96">
        <f t="shared" si="295"/>
        <v>1.4324999999999988</v>
      </c>
      <c r="D1047" s="96">
        <f t="shared" si="292"/>
        <v>133.36862235916777</v>
      </c>
      <c r="E1047" s="96">
        <f t="shared" si="293"/>
        <v>4.4570741180088526E-22</v>
      </c>
      <c r="F1047" s="96">
        <f t="shared" si="291"/>
        <v>2.6760628041629462E-20</v>
      </c>
      <c r="G1047" s="96">
        <f t="shared" si="294"/>
        <v>-0.11600000000000001</v>
      </c>
      <c r="I1047" s="96">
        <f t="shared" si="296"/>
        <v>0</v>
      </c>
      <c r="J1047" s="96">
        <f t="shared" si="297"/>
        <v>1.4324999999999988</v>
      </c>
    </row>
    <row r="1048" spans="1:10" ht="12.75" customHeight="1">
      <c r="A1048" s="96">
        <f>IF(MAX($F$93:F1048)=$G$88,$G$88,F1048)</f>
        <v>3.2057712852183653</v>
      </c>
      <c r="B1048" s="481">
        <v>956</v>
      </c>
      <c r="C1048" s="96">
        <f t="shared" si="295"/>
        <v>1.4339999999999988</v>
      </c>
      <c r="D1048" s="96">
        <f t="shared" si="292"/>
        <v>133.64807460809556</v>
      </c>
      <c r="E1048" s="96">
        <f t="shared" si="293"/>
        <v>3.9200213158119146E-22</v>
      </c>
      <c r="F1048" s="96">
        <f t="shared" si="291"/>
        <v>2.356520368363915E-20</v>
      </c>
      <c r="G1048" s="96">
        <f t="shared" si="294"/>
        <v>-0.11600000000000001</v>
      </c>
      <c r="I1048" s="96">
        <f t="shared" si="296"/>
        <v>0</v>
      </c>
      <c r="J1048" s="96">
        <f t="shared" si="297"/>
        <v>1.4339999999999988</v>
      </c>
    </row>
    <row r="1049" spans="1:10" ht="12.75" customHeight="1">
      <c r="A1049" s="96">
        <f>IF(MAX($F$93:F1049)=$G$88,$G$88,F1049)</f>
        <v>3.2057712852183653</v>
      </c>
      <c r="B1049" s="481">
        <v>957</v>
      </c>
      <c r="C1049" s="96">
        <f t="shared" si="295"/>
        <v>1.4354999999999989</v>
      </c>
      <c r="D1049" s="96">
        <f t="shared" si="292"/>
        <v>133.92781932405521</v>
      </c>
      <c r="E1049" s="96">
        <f t="shared" si="293"/>
        <v>3.4471368172814604E-22</v>
      </c>
      <c r="F1049" s="96">
        <f t="shared" si="291"/>
        <v>2.0748030924134415E-20</v>
      </c>
      <c r="G1049" s="96">
        <f t="shared" si="294"/>
        <v>-0.11600000000000001</v>
      </c>
      <c r="I1049" s="96">
        <f t="shared" si="296"/>
        <v>0</v>
      </c>
      <c r="J1049" s="96">
        <f t="shared" si="297"/>
        <v>1.4354999999999989</v>
      </c>
    </row>
    <row r="1050" spans="1:10" ht="12.75" customHeight="1">
      <c r="A1050" s="96">
        <f>IF(MAX($F$93:F1050)=$G$88,$G$88,F1050)</f>
        <v>3.2057712852183653</v>
      </c>
      <c r="B1050" s="481">
        <v>958</v>
      </c>
      <c r="C1050" s="96">
        <f t="shared" si="295"/>
        <v>1.4369999999999989</v>
      </c>
      <c r="D1050" s="96">
        <f t="shared" si="292"/>
        <v>134.2078565070467</v>
      </c>
      <c r="E1050" s="96">
        <f t="shared" si="293"/>
        <v>3.0308199904918682E-22</v>
      </c>
      <c r="F1050" s="96">
        <f t="shared" si="291"/>
        <v>1.8264735177234689E-20</v>
      </c>
      <c r="G1050" s="96">
        <f t="shared" si="294"/>
        <v>-0.11600000000000001</v>
      </c>
      <c r="I1050" s="96">
        <f t="shared" si="296"/>
        <v>0</v>
      </c>
      <c r="J1050" s="96">
        <f t="shared" si="297"/>
        <v>1.4369999999999989</v>
      </c>
    </row>
    <row r="1051" spans="1:10" ht="12.75" customHeight="1">
      <c r="A1051" s="96">
        <f>IF(MAX($F$93:F1051)=$G$88,$G$88,F1051)</f>
        <v>3.2057712852183653</v>
      </c>
      <c r="B1051" s="481">
        <v>959</v>
      </c>
      <c r="C1051" s="96">
        <f t="shared" si="295"/>
        <v>1.438499999999999</v>
      </c>
      <c r="D1051" s="96">
        <f t="shared" si="292"/>
        <v>134.48818615707003</v>
      </c>
      <c r="E1051" s="96">
        <f t="shared" si="293"/>
        <v>2.6643624525428308E-22</v>
      </c>
      <c r="F1051" s="96">
        <f t="shared" si="291"/>
        <v>1.6076099629478762E-20</v>
      </c>
      <c r="G1051" s="96">
        <f t="shared" si="294"/>
        <v>-0.11600000000000001</v>
      </c>
      <c r="I1051" s="96">
        <f t="shared" si="296"/>
        <v>0</v>
      </c>
      <c r="J1051" s="96">
        <f t="shared" si="297"/>
        <v>1.438499999999999</v>
      </c>
    </row>
    <row r="1052" spans="1:10" ht="12.75" customHeight="1">
      <c r="A1052" s="96">
        <f>IF(MAX($F$93:F1052)=$G$88,$G$88,F1052)</f>
        <v>3.2057712852183653</v>
      </c>
      <c r="B1052" s="481">
        <v>960</v>
      </c>
      <c r="C1052" s="96">
        <f t="shared" si="295"/>
        <v>1.4399999999999991</v>
      </c>
      <c r="D1052" s="96">
        <f t="shared" si="292"/>
        <v>134.76880827412523</v>
      </c>
      <c r="E1052" s="96">
        <f t="shared" si="293"/>
        <v>2.3418442920856355E-22</v>
      </c>
      <c r="F1052" s="96">
        <f t="shared" si="291"/>
        <v>1.414747145631747E-20</v>
      </c>
      <c r="G1052" s="96">
        <f t="shared" si="294"/>
        <v>-0.11600000000000001</v>
      </c>
      <c r="I1052" s="96">
        <f t="shared" si="296"/>
        <v>0</v>
      </c>
      <c r="J1052" s="96">
        <f t="shared" si="297"/>
        <v>1.4399999999999991</v>
      </c>
    </row>
    <row r="1053" spans="1:10" ht="12.75" customHeight="1">
      <c r="A1053" s="96">
        <f>IF(MAX($F$93:F1053)=$G$88,$G$88,F1053)</f>
        <v>3.2057712852183653</v>
      </c>
      <c r="B1053" s="481">
        <v>961</v>
      </c>
      <c r="C1053" s="96">
        <f t="shared" si="295"/>
        <v>1.4414999999999991</v>
      </c>
      <c r="D1053" s="96">
        <f t="shared" si="292"/>
        <v>135.04972285821228</v>
      </c>
      <c r="E1053" s="96">
        <f t="shared" si="293"/>
        <v>2.058042247272082E-22</v>
      </c>
      <c r="F1053" s="96">
        <f t="shared" ref="F1053:F1092" si="298">IF($E$12&lt;$F$90,NA(),$E$87*(E1052-E1054)/(2*$C$88))</f>
        <v>1.2448235722557104E-20</v>
      </c>
      <c r="G1053" s="96">
        <f t="shared" si="294"/>
        <v>-0.11600000000000001</v>
      </c>
      <c r="I1053" s="96">
        <f t="shared" si="296"/>
        <v>0</v>
      </c>
      <c r="J1053" s="96">
        <f t="shared" si="297"/>
        <v>1.4414999999999991</v>
      </c>
    </row>
    <row r="1054" spans="1:10" ht="12.75" customHeight="1">
      <c r="A1054" s="96">
        <f>IF(MAX($F$93:F1054)=$G$88,$G$88,F1054)</f>
        <v>3.2057712852183653</v>
      </c>
      <c r="B1054" s="481">
        <v>962</v>
      </c>
      <c r="C1054" s="96">
        <f t="shared" si="295"/>
        <v>1.4429999999999992</v>
      </c>
      <c r="D1054" s="96">
        <f t="shared" ref="D1054:D1093" si="299">C1054^2/$C$85</f>
        <v>135.33092990933113</v>
      </c>
      <c r="E1054" s="96">
        <f t="shared" ref="E1054:E1093" si="300">CHIDIST(D1054,$E$85)</f>
        <v>1.8083484754046167E-22</v>
      </c>
      <c r="F1054" s="96">
        <f t="shared" si="298"/>
        <v>1.0951349330549076E-20</v>
      </c>
      <c r="G1054" s="96">
        <f t="shared" ref="G1054:G1092" si="301">F1054-$G$90</f>
        <v>-0.11600000000000001</v>
      </c>
      <c r="I1054" s="96">
        <f t="shared" si="296"/>
        <v>0</v>
      </c>
      <c r="J1054" s="96">
        <f t="shared" si="297"/>
        <v>1.4429999999999992</v>
      </c>
    </row>
    <row r="1055" spans="1:10" ht="12.75" customHeight="1">
      <c r="A1055" s="96">
        <f>IF(MAX($F$93:F1055)=$G$88,$G$88,F1055)</f>
        <v>3.2057712852183653</v>
      </c>
      <c r="B1055" s="481">
        <v>963</v>
      </c>
      <c r="C1055" s="96">
        <f t="shared" si="295"/>
        <v>1.4444999999999992</v>
      </c>
      <c r="D1055" s="96">
        <f t="shared" si="299"/>
        <v>135.61242942748186</v>
      </c>
      <c r="E1055" s="96">
        <f t="shared" si="300"/>
        <v>1.5886987045342644E-22</v>
      </c>
      <c r="F1055" s="96">
        <f t="shared" si="298"/>
        <v>9.6329282323045398E-21</v>
      </c>
      <c r="G1055" s="96">
        <f t="shared" si="301"/>
        <v>-0.11600000000000001</v>
      </c>
      <c r="I1055" s="96">
        <f t="shared" si="296"/>
        <v>0</v>
      </c>
      <c r="J1055" s="96">
        <f t="shared" si="297"/>
        <v>1.4444999999999992</v>
      </c>
    </row>
    <row r="1056" spans="1:10" ht="12.75" customHeight="1">
      <c r="A1056" s="96">
        <f>IF(MAX($F$93:F1056)=$G$88,$G$88,F1056)</f>
        <v>3.2057712852183653</v>
      </c>
      <c r="B1056" s="481">
        <v>964</v>
      </c>
      <c r="C1056" s="96">
        <f t="shared" si="295"/>
        <v>1.4459999999999993</v>
      </c>
      <c r="D1056" s="96">
        <f t="shared" si="299"/>
        <v>135.89422141266439</v>
      </c>
      <c r="E1056" s="96">
        <f t="shared" si="300"/>
        <v>1.3955086940201363E-22</v>
      </c>
      <c r="F1056" s="96">
        <f t="shared" si="298"/>
        <v>8.4718818800262279E-21</v>
      </c>
      <c r="G1056" s="96">
        <f t="shared" si="301"/>
        <v>-0.11600000000000001</v>
      </c>
      <c r="I1056" s="96">
        <f t="shared" si="296"/>
        <v>0</v>
      </c>
      <c r="J1056" s="96">
        <f t="shared" si="297"/>
        <v>1.4459999999999993</v>
      </c>
    </row>
    <row r="1057" spans="1:10" ht="12.75" customHeight="1">
      <c r="A1057" s="96">
        <f>IF(MAX($F$93:F1057)=$G$88,$G$88,F1057)</f>
        <v>3.2057712852183653</v>
      </c>
      <c r="B1057" s="481">
        <v>965</v>
      </c>
      <c r="C1057" s="96">
        <f t="shared" si="295"/>
        <v>1.4474999999999993</v>
      </c>
      <c r="D1057" s="96">
        <f t="shared" si="299"/>
        <v>136.17630586487883</v>
      </c>
      <c r="E1057" s="96">
        <f t="shared" si="300"/>
        <v>1.2256180525331403E-22</v>
      </c>
      <c r="F1057" s="96">
        <f t="shared" si="298"/>
        <v>7.4495895639565618E-21</v>
      </c>
      <c r="G1057" s="96">
        <f t="shared" si="301"/>
        <v>-0.11600000000000001</v>
      </c>
      <c r="I1057" s="96">
        <f t="shared" si="296"/>
        <v>0</v>
      </c>
      <c r="J1057" s="96">
        <f t="shared" si="297"/>
        <v>1.4474999999999993</v>
      </c>
    </row>
    <row r="1058" spans="1:10" ht="12.75" customHeight="1">
      <c r="A1058" s="96">
        <f>IF(MAX($F$93:F1058)=$G$88,$G$88,F1058)</f>
        <v>3.2057712852183653</v>
      </c>
      <c r="B1058" s="481">
        <v>966</v>
      </c>
      <c r="C1058" s="96">
        <f t="shared" si="295"/>
        <v>1.4489999999999994</v>
      </c>
      <c r="D1058" s="96">
        <f t="shared" si="299"/>
        <v>136.45868278412505</v>
      </c>
      <c r="E1058" s="96">
        <f t="shared" si="300"/>
        <v>1.0762405698505694E-22</v>
      </c>
      <c r="F1058" s="96">
        <f t="shared" si="298"/>
        <v>6.5496138862611392E-21</v>
      </c>
      <c r="G1058" s="96">
        <f t="shared" si="301"/>
        <v>-0.11600000000000001</v>
      </c>
      <c r="I1058" s="96">
        <f t="shared" si="296"/>
        <v>0</v>
      </c>
      <c r="J1058" s="96">
        <f t="shared" si="297"/>
        <v>1.4489999999999994</v>
      </c>
    </row>
    <row r="1059" spans="1:10" ht="12.75" customHeight="1">
      <c r="A1059" s="96">
        <f>IF(MAX($F$93:F1059)=$G$88,$G$88,F1059)</f>
        <v>3.2057712852183653</v>
      </c>
      <c r="B1059" s="481">
        <v>967</v>
      </c>
      <c r="C1059" s="96">
        <f t="shared" si="295"/>
        <v>1.4504999999999995</v>
      </c>
      <c r="D1059" s="96">
        <f t="shared" si="299"/>
        <v>136.74135217040316</v>
      </c>
      <c r="E1059" s="96">
        <f t="shared" si="300"/>
        <v>9.4492031455052002E-23</v>
      </c>
      <c r="F1059" s="96">
        <f t="shared" si="298"/>
        <v>5.7574471529459198E-21</v>
      </c>
      <c r="G1059" s="96">
        <f t="shared" si="301"/>
        <v>-0.11600000000000001</v>
      </c>
      <c r="I1059" s="96">
        <f t="shared" si="296"/>
        <v>0</v>
      </c>
      <c r="J1059" s="96">
        <f t="shared" si="297"/>
        <v>1.4504999999999995</v>
      </c>
    </row>
    <row r="1060" spans="1:10" ht="12.75" customHeight="1">
      <c r="A1060" s="96">
        <f>IF(MAX($F$93:F1060)=$G$88,$G$88,F1060)</f>
        <v>3.2057712852183653</v>
      </c>
      <c r="B1060" s="481">
        <v>968</v>
      </c>
      <c r="C1060" s="96">
        <f t="shared" si="295"/>
        <v>1.4519999999999995</v>
      </c>
      <c r="D1060" s="96">
        <f t="shared" si="299"/>
        <v>137.02431402371312</v>
      </c>
      <c r="E1060" s="96">
        <f t="shared" si="300"/>
        <v>8.294928347243157E-23</v>
      </c>
      <c r="F1060" s="96">
        <f t="shared" si="298"/>
        <v>5.0602869398961737E-21</v>
      </c>
      <c r="G1060" s="96">
        <f t="shared" si="301"/>
        <v>-0.11600000000000001</v>
      </c>
      <c r="I1060" s="96">
        <f t="shared" si="296"/>
        <v>0</v>
      </c>
      <c r="J1060" s="96">
        <f t="shared" si="297"/>
        <v>1.4519999999999995</v>
      </c>
    </row>
    <row r="1061" spans="1:10" ht="12.75" customHeight="1">
      <c r="A1061" s="96">
        <f>IF(MAX($F$93:F1061)=$G$88,$G$88,F1061)</f>
        <v>3.2057712852183653</v>
      </c>
      <c r="B1061" s="481">
        <v>969</v>
      </c>
      <c r="C1061" s="96">
        <f t="shared" si="295"/>
        <v>1.4534999999999996</v>
      </c>
      <c r="D1061" s="96">
        <f t="shared" si="299"/>
        <v>137.30756834405489</v>
      </c>
      <c r="E1061" s="96">
        <f t="shared" si="300"/>
        <v>7.2805087426925539E-23</v>
      </c>
      <c r="F1061" s="96">
        <f t="shared" si="298"/>
        <v>4.4468375105178895E-21</v>
      </c>
      <c r="G1061" s="96">
        <f t="shared" si="301"/>
        <v>-0.11600000000000001</v>
      </c>
      <c r="I1061" s="96">
        <f t="shared" si="296"/>
        <v>0</v>
      </c>
      <c r="J1061" s="96">
        <f t="shared" si="297"/>
        <v>1.4534999999999996</v>
      </c>
    </row>
    <row r="1062" spans="1:10" ht="12.75" customHeight="1">
      <c r="A1062" s="96">
        <f>IF(MAX($F$93:F1062)=$G$88,$G$88,F1062)</f>
        <v>3.2057712852183653</v>
      </c>
      <c r="B1062" s="481">
        <v>970</v>
      </c>
      <c r="C1062" s="96">
        <f t="shared" si="295"/>
        <v>1.4549999999999996</v>
      </c>
      <c r="D1062" s="96">
        <f t="shared" si="299"/>
        <v>137.59111513142855</v>
      </c>
      <c r="E1062" s="96">
        <f t="shared" si="300"/>
        <v>6.38914084273549E-23</v>
      </c>
      <c r="F1062" s="96">
        <f t="shared" si="298"/>
        <v>3.907134136902071E-21</v>
      </c>
      <c r="G1062" s="96">
        <f t="shared" si="301"/>
        <v>-0.11600000000000001</v>
      </c>
      <c r="I1062" s="96">
        <f t="shared" si="296"/>
        <v>0</v>
      </c>
      <c r="J1062" s="96">
        <f t="shared" si="297"/>
        <v>1.4549999999999996</v>
      </c>
    </row>
    <row r="1063" spans="1:10" ht="12.75" customHeight="1">
      <c r="A1063" s="96">
        <f>IF(MAX($F$93:F1063)=$G$88,$G$88,F1063)</f>
        <v>3.2057712852183653</v>
      </c>
      <c r="B1063" s="481">
        <v>971</v>
      </c>
      <c r="C1063" s="96">
        <f t="shared" si="295"/>
        <v>1.4564999999999997</v>
      </c>
      <c r="D1063" s="96">
        <f t="shared" si="299"/>
        <v>137.874954385834</v>
      </c>
      <c r="E1063" s="96">
        <f t="shared" si="300"/>
        <v>5.6060226840202377E-23</v>
      </c>
      <c r="F1063" s="96">
        <f t="shared" si="298"/>
        <v>3.4323877091812977E-21</v>
      </c>
      <c r="G1063" s="96">
        <f t="shared" si="301"/>
        <v>-0.11600000000000001</v>
      </c>
      <c r="I1063" s="96">
        <f t="shared" si="296"/>
        <v>0</v>
      </c>
      <c r="J1063" s="96">
        <f t="shared" si="297"/>
        <v>1.4564999999999997</v>
      </c>
    </row>
    <row r="1064" spans="1:10" ht="12.75" customHeight="1">
      <c r="A1064" s="96">
        <f>IF(MAX($F$93:F1064)=$G$88,$G$88,F1064)</f>
        <v>3.2057712852183653</v>
      </c>
      <c r="B1064" s="481">
        <v>972</v>
      </c>
      <c r="C1064" s="96">
        <f t="shared" si="295"/>
        <v>1.4579999999999997</v>
      </c>
      <c r="D1064" s="96">
        <f t="shared" si="299"/>
        <v>138.15908610727132</v>
      </c>
      <c r="E1064" s="96">
        <f t="shared" si="300"/>
        <v>4.9181175388006483E-23</v>
      </c>
      <c r="F1064" s="96">
        <f t="shared" si="298"/>
        <v>3.0148473132923998E-21</v>
      </c>
      <c r="G1064" s="96">
        <f t="shared" si="301"/>
        <v>-0.11600000000000001</v>
      </c>
      <c r="I1064" s="96">
        <f t="shared" si="296"/>
        <v>0</v>
      </c>
      <c r="J1064" s="96">
        <f t="shared" si="297"/>
        <v>1.4579999999999997</v>
      </c>
    </row>
    <row r="1065" spans="1:10" ht="12.75" customHeight="1">
      <c r="A1065" s="96">
        <f>IF(MAX($F$93:F1065)=$G$88,$G$88,F1065)</f>
        <v>3.2057712852183653</v>
      </c>
      <c r="B1065" s="481">
        <v>973</v>
      </c>
      <c r="C1065" s="96">
        <f t="shared" ref="C1065:C1093" si="302">C1064+$C$88</f>
        <v>1.4594999999999998</v>
      </c>
      <c r="D1065" s="96">
        <f t="shared" si="299"/>
        <v>138.44351029574048</v>
      </c>
      <c r="E1065" s="96">
        <f t="shared" si="300"/>
        <v>4.3139452640377805E-23</v>
      </c>
      <c r="F1065" s="96">
        <f t="shared" si="298"/>
        <v>2.6476787198930357E-21</v>
      </c>
      <c r="G1065" s="96">
        <f t="shared" si="301"/>
        <v>-0.11600000000000001</v>
      </c>
      <c r="I1065" s="96">
        <f t="shared" si="296"/>
        <v>0</v>
      </c>
      <c r="J1065" s="96">
        <f t="shared" si="297"/>
        <v>1.4594999999999998</v>
      </c>
    </row>
    <row r="1066" spans="1:10" ht="12.75" customHeight="1">
      <c r="A1066" s="96">
        <f>IF(MAX($F$93:F1066)=$G$88,$G$88,F1066)</f>
        <v>3.2057712852183653</v>
      </c>
      <c r="B1066" s="481">
        <v>974</v>
      </c>
      <c r="C1066" s="96">
        <f t="shared" si="302"/>
        <v>1.4609999999999999</v>
      </c>
      <c r="D1066" s="96">
        <f t="shared" si="299"/>
        <v>138.72822695124151</v>
      </c>
      <c r="E1066" s="96">
        <f t="shared" si="300"/>
        <v>3.7833980874179186E-23</v>
      </c>
      <c r="F1066" s="96">
        <f t="shared" si="298"/>
        <v>2.3248569603135596E-21</v>
      </c>
      <c r="G1066" s="96">
        <f t="shared" si="301"/>
        <v>-0.11600000000000001</v>
      </c>
      <c r="I1066" s="96">
        <f t="shared" si="296"/>
        <v>0</v>
      </c>
      <c r="J1066" s="96">
        <f t="shared" si="297"/>
        <v>1.4609999999999999</v>
      </c>
    </row>
    <row r="1067" spans="1:10" ht="12.75" customHeight="1">
      <c r="A1067" s="96">
        <f>IF(MAX($F$93:F1067)=$G$88,$G$88,F1067)</f>
        <v>3.2057712852183653</v>
      </c>
      <c r="B1067" s="481">
        <v>975</v>
      </c>
      <c r="C1067" s="96">
        <f t="shared" si="302"/>
        <v>1.4624999999999999</v>
      </c>
      <c r="D1067" s="96">
        <f t="shared" si="299"/>
        <v>139.01323607377438</v>
      </c>
      <c r="E1067" s="96">
        <f t="shared" si="300"/>
        <v>3.3175779953319692E-23</v>
      </c>
      <c r="F1067" s="96">
        <f t="shared" si="298"/>
        <v>2.0410713724111436E-21</v>
      </c>
      <c r="G1067" s="96">
        <f t="shared" si="301"/>
        <v>-0.11600000000000001</v>
      </c>
      <c r="I1067" s="96">
        <f t="shared" si="296"/>
        <v>0</v>
      </c>
      <c r="J1067" s="96">
        <f t="shared" si="297"/>
        <v>1.4624999999999999</v>
      </c>
    </row>
    <row r="1068" spans="1:10" ht="12.75" customHeight="1">
      <c r="A1068" s="96">
        <f>IF(MAX($F$93:F1068)=$G$88,$G$88,F1068)</f>
        <v>3.2057712852183653</v>
      </c>
      <c r="B1068" s="481">
        <v>976</v>
      </c>
      <c r="C1068" s="96">
        <f t="shared" si="302"/>
        <v>1.464</v>
      </c>
      <c r="D1068" s="96">
        <f t="shared" si="299"/>
        <v>139.29853766333906</v>
      </c>
      <c r="E1068" s="96">
        <f t="shared" si="300"/>
        <v>2.9086532135274285E-23</v>
      </c>
      <c r="F1068" s="96">
        <f t="shared" si="298"/>
        <v>1.7916416829532491E-21</v>
      </c>
      <c r="G1068" s="96">
        <f t="shared" si="301"/>
        <v>-0.11600000000000001</v>
      </c>
      <c r="I1068" s="96">
        <f t="shared" ref="I1068:I1092" si="303">IF(F1068&gt;$G$87,1,0)</f>
        <v>0</v>
      </c>
      <c r="J1068" s="96">
        <f t="shared" ref="J1068:J1092" si="304">C1068</f>
        <v>1.464</v>
      </c>
    </row>
    <row r="1069" spans="1:10" ht="12.75" customHeight="1">
      <c r="A1069" s="96">
        <f>IF(MAX($F$93:F1069)=$G$88,$G$88,F1069)</f>
        <v>3.2057712852183653</v>
      </c>
      <c r="B1069" s="481">
        <v>977</v>
      </c>
      <c r="C1069" s="96">
        <f t="shared" si="302"/>
        <v>1.4655</v>
      </c>
      <c r="D1069" s="96">
        <f t="shared" si="299"/>
        <v>139.58413171993561</v>
      </c>
      <c r="E1069" s="96">
        <f t="shared" si="300"/>
        <v>2.5497315597805766E-23</v>
      </c>
      <c r="F1069" s="96">
        <f t="shared" si="298"/>
        <v>1.5724438562440243E-21</v>
      </c>
      <c r="G1069" s="96">
        <f t="shared" si="301"/>
        <v>-0.11600000000000001</v>
      </c>
      <c r="I1069" s="96">
        <f t="shared" si="303"/>
        <v>0</v>
      </c>
      <c r="J1069" s="96">
        <f t="shared" si="304"/>
        <v>1.4655</v>
      </c>
    </row>
    <row r="1070" spans="1:10" ht="12.75" customHeight="1">
      <c r="A1070" s="96">
        <f>IF(MAX($F$93:F1070)=$G$88,$G$88,F1070)</f>
        <v>3.2057712852183653</v>
      </c>
      <c r="B1070" s="481">
        <v>978</v>
      </c>
      <c r="C1070" s="96">
        <f t="shared" si="302"/>
        <v>1.4670000000000001</v>
      </c>
      <c r="D1070" s="96">
        <f t="shared" si="299"/>
        <v>139.870018243564</v>
      </c>
      <c r="E1070" s="96">
        <f t="shared" si="300"/>
        <v>2.2347487037085609E-23</v>
      </c>
      <c r="F1070" s="96">
        <f t="shared" si="298"/>
        <v>1.3798445834449034E-21</v>
      </c>
      <c r="G1070" s="96">
        <f t="shared" si="301"/>
        <v>-0.11600000000000001</v>
      </c>
      <c r="I1070" s="96">
        <f t="shared" si="303"/>
        <v>0</v>
      </c>
      <c r="J1070" s="96">
        <f t="shared" si="304"/>
        <v>1.4670000000000001</v>
      </c>
    </row>
    <row r="1071" spans="1:10" ht="12.75" customHeight="1">
      <c r="A1071" s="96">
        <f>IF(MAX($F$93:F1071)=$G$88,$G$88,F1071)</f>
        <v>3.2057712852183653</v>
      </c>
      <c r="B1071" s="481">
        <v>979</v>
      </c>
      <c r="C1071" s="96">
        <f t="shared" si="302"/>
        <v>1.4685000000000001</v>
      </c>
      <c r="D1071" s="96">
        <f t="shared" si="299"/>
        <v>140.15619723422424</v>
      </c>
      <c r="E1071" s="96">
        <f t="shared" si="300"/>
        <v>1.9583695954470465E-23</v>
      </c>
      <c r="F1071" s="96">
        <f t="shared" si="298"/>
        <v>1.2106434154529594E-21</v>
      </c>
      <c r="G1071" s="96">
        <f t="shared" si="301"/>
        <v>-0.11600000000000001</v>
      </c>
      <c r="I1071" s="96">
        <f t="shared" si="303"/>
        <v>0</v>
      </c>
      <c r="J1071" s="96">
        <f t="shared" si="304"/>
        <v>1.4685000000000001</v>
      </c>
    </row>
    <row r="1072" spans="1:10" ht="12.75" customHeight="1">
      <c r="A1072" s="96">
        <f>IF(MAX($F$93:F1072)=$G$88,$G$88,F1072)</f>
        <v>3.2057712852183653</v>
      </c>
      <c r="B1072" s="481">
        <v>980</v>
      </c>
      <c r="C1072" s="96">
        <f t="shared" si="302"/>
        <v>1.4700000000000002</v>
      </c>
      <c r="D1072" s="96">
        <f t="shared" si="299"/>
        <v>140.44266869191634</v>
      </c>
      <c r="E1072" s="96">
        <f t="shared" si="300"/>
        <v>1.7159015256572925E-23</v>
      </c>
      <c r="F1072" s="96">
        <f t="shared" si="298"/>
        <v>1.0620216561131285E-21</v>
      </c>
      <c r="G1072" s="96">
        <f t="shared" si="301"/>
        <v>-0.11600000000000001</v>
      </c>
      <c r="I1072" s="96">
        <f t="shared" si="303"/>
        <v>0</v>
      </c>
      <c r="J1072" s="96">
        <f t="shared" si="304"/>
        <v>1.4700000000000002</v>
      </c>
    </row>
    <row r="1073" spans="1:10" ht="12.75" customHeight="1">
      <c r="A1073" s="96">
        <f>IF(MAX($F$93:F1073)=$G$88,$G$88,F1073)</f>
        <v>3.2057712852183653</v>
      </c>
      <c r="B1073" s="481">
        <v>981</v>
      </c>
      <c r="C1073" s="96">
        <f t="shared" si="302"/>
        <v>1.4715000000000003</v>
      </c>
      <c r="D1073" s="96">
        <f t="shared" si="299"/>
        <v>140.72943261664025</v>
      </c>
      <c r="E1073" s="96">
        <f t="shared" si="300"/>
        <v>1.5032174571128485E-23</v>
      </c>
      <c r="F1073" s="96">
        <f t="shared" si="298"/>
        <v>9.3149723358252193E-22</v>
      </c>
      <c r="G1073" s="96">
        <f t="shared" si="301"/>
        <v>-0.11600000000000001</v>
      </c>
      <c r="I1073" s="96">
        <f t="shared" si="303"/>
        <v>0</v>
      </c>
      <c r="J1073" s="96">
        <f t="shared" si="304"/>
        <v>1.4715000000000003</v>
      </c>
    </row>
    <row r="1074" spans="1:10" ht="12.75" customHeight="1">
      <c r="A1074" s="96">
        <f>IF(MAX($F$93:F1074)=$G$88,$G$88,F1074)</f>
        <v>3.2057712852183653</v>
      </c>
      <c r="B1074" s="481">
        <v>982</v>
      </c>
      <c r="C1074" s="96">
        <f t="shared" si="302"/>
        <v>1.4730000000000003</v>
      </c>
      <c r="D1074" s="96">
        <f t="shared" si="299"/>
        <v>141.01648900839604</v>
      </c>
      <c r="E1074" s="96">
        <f t="shared" si="300"/>
        <v>1.3166884255504973E-23</v>
      </c>
      <c r="F1074" s="96">
        <f t="shared" si="298"/>
        <v>8.1688485726096174E-22</v>
      </c>
      <c r="G1074" s="96">
        <f t="shared" si="301"/>
        <v>-0.11600000000000001</v>
      </c>
      <c r="I1074" s="96">
        <f t="shared" si="303"/>
        <v>0</v>
      </c>
      <c r="J1074" s="96">
        <f t="shared" si="304"/>
        <v>1.4730000000000003</v>
      </c>
    </row>
    <row r="1075" spans="1:10" ht="12.75" customHeight="1">
      <c r="A1075" s="96">
        <f>IF(MAX($F$93:F1075)=$G$88,$G$88,F1075)</f>
        <v>3.2057712852183653</v>
      </c>
      <c r="B1075" s="481">
        <v>983</v>
      </c>
      <c r="C1075" s="96">
        <f t="shared" si="302"/>
        <v>1.4745000000000004</v>
      </c>
      <c r="D1075" s="96">
        <f t="shared" si="299"/>
        <v>141.30383786718363</v>
      </c>
      <c r="E1075" s="96">
        <f t="shared" si="300"/>
        <v>1.1531239468581506E-23</v>
      </c>
      <c r="F1075" s="96">
        <f t="shared" si="298"/>
        <v>7.1626084714503614E-22</v>
      </c>
      <c r="G1075" s="96">
        <f t="shared" si="301"/>
        <v>-0.11600000000000001</v>
      </c>
      <c r="I1075" s="96">
        <f t="shared" si="303"/>
        <v>0</v>
      </c>
      <c r="J1075" s="96">
        <f t="shared" si="304"/>
        <v>1.4745000000000004</v>
      </c>
    </row>
    <row r="1076" spans="1:10" ht="12.75" customHeight="1">
      <c r="A1076" s="96">
        <f>IF(MAX($F$93:F1076)=$G$88,$G$88,F1076)</f>
        <v>3.2057712852183653</v>
      </c>
      <c r="B1076" s="481">
        <v>984</v>
      </c>
      <c r="C1076" s="96">
        <f t="shared" si="302"/>
        <v>1.4760000000000004</v>
      </c>
      <c r="D1076" s="96">
        <f t="shared" si="299"/>
        <v>141.5914791930031</v>
      </c>
      <c r="E1076" s="96">
        <f t="shared" si="300"/>
        <v>1.0097194910597675E-23</v>
      </c>
      <c r="F1076" s="96">
        <f t="shared" si="298"/>
        <v>6.2793209288473608E-22</v>
      </c>
      <c r="G1076" s="96">
        <f t="shared" si="301"/>
        <v>-0.11600000000000001</v>
      </c>
      <c r="I1076" s="96">
        <f t="shared" si="303"/>
        <v>0</v>
      </c>
      <c r="J1076" s="96">
        <f t="shared" si="304"/>
        <v>1.4760000000000004</v>
      </c>
    </row>
    <row r="1077" spans="1:10" ht="12.75" customHeight="1">
      <c r="A1077" s="96">
        <f>IF(MAX($F$93:F1077)=$G$88,$G$88,F1077)</f>
        <v>3.2057712852183653</v>
      </c>
      <c r="B1077" s="481">
        <v>985</v>
      </c>
      <c r="C1077" s="96">
        <f t="shared" si="302"/>
        <v>1.4775000000000005</v>
      </c>
      <c r="D1077" s="96">
        <f t="shared" si="299"/>
        <v>141.8794129858544</v>
      </c>
      <c r="E1077" s="96">
        <f t="shared" si="300"/>
        <v>8.8401019276469225E-24</v>
      </c>
      <c r="F1077" s="96">
        <f t="shared" si="298"/>
        <v>5.504086622398055E-22</v>
      </c>
      <c r="G1077" s="96">
        <f t="shared" si="301"/>
        <v>-0.11600000000000001</v>
      </c>
      <c r="I1077" s="96">
        <f t="shared" si="303"/>
        <v>0</v>
      </c>
      <c r="J1077" s="96">
        <f t="shared" si="304"/>
        <v>1.4775000000000005</v>
      </c>
    </row>
    <row r="1078" spans="1:10" ht="12.75" customHeight="1">
      <c r="A1078" s="96">
        <f>IF(MAX($F$93:F1078)=$G$88,$G$88,F1078)</f>
        <v>3.2057712852183653</v>
      </c>
      <c r="B1078" s="481">
        <v>986</v>
      </c>
      <c r="C1078" s="96">
        <f t="shared" si="302"/>
        <v>1.4790000000000005</v>
      </c>
      <c r="D1078" s="96">
        <f t="shared" si="299"/>
        <v>142.16763924573755</v>
      </c>
      <c r="E1078" s="96">
        <f t="shared" si="300"/>
        <v>7.738300643855651E-24</v>
      </c>
      <c r="F1078" s="96">
        <f t="shared" si="298"/>
        <v>4.8237963394590703E-22</v>
      </c>
      <c r="G1078" s="96">
        <f t="shared" si="301"/>
        <v>-0.11600000000000001</v>
      </c>
      <c r="I1078" s="96">
        <f t="shared" si="303"/>
        <v>0</v>
      </c>
      <c r="J1078" s="96">
        <f t="shared" si="304"/>
        <v>1.4790000000000005</v>
      </c>
    </row>
    <row r="1079" spans="1:10" ht="12.75" customHeight="1">
      <c r="A1079" s="96">
        <f>IF(MAX($F$93:F1079)=$G$88,$G$88,F1079)</f>
        <v>3.2057712852183653</v>
      </c>
      <c r="B1079" s="481">
        <v>987</v>
      </c>
      <c r="C1079" s="96">
        <f t="shared" si="302"/>
        <v>1.4805000000000006</v>
      </c>
      <c r="D1079" s="96">
        <f t="shared" si="299"/>
        <v>142.45615797265253</v>
      </c>
      <c r="E1079" s="96">
        <f t="shared" si="300"/>
        <v>6.7727606393073208E-24</v>
      </c>
      <c r="F1079" s="96">
        <f t="shared" si="298"/>
        <v>4.2269177900672841E-22</v>
      </c>
      <c r="G1079" s="96">
        <f t="shared" si="301"/>
        <v>-0.11600000000000001</v>
      </c>
      <c r="I1079" s="96">
        <f t="shared" si="303"/>
        <v>0</v>
      </c>
      <c r="J1079" s="96">
        <f t="shared" si="304"/>
        <v>1.4805000000000006</v>
      </c>
    </row>
    <row r="1080" spans="1:10" ht="12.75" customHeight="1">
      <c r="A1080" s="96">
        <f>IF(MAX($F$93:F1080)=$G$88,$G$88,F1080)</f>
        <v>3.2057712852183653</v>
      </c>
      <c r="B1080" s="481">
        <v>988</v>
      </c>
      <c r="C1080" s="96">
        <f t="shared" si="302"/>
        <v>1.4820000000000007</v>
      </c>
      <c r="D1080" s="96">
        <f t="shared" si="299"/>
        <v>142.74496916659939</v>
      </c>
      <c r="E1080" s="96">
        <f t="shared" si="300"/>
        <v>5.9267644481125292E-24</v>
      </c>
      <c r="F1080" s="96">
        <f t="shared" si="298"/>
        <v>3.7033075784306787E-22</v>
      </c>
      <c r="G1080" s="96">
        <f t="shared" si="301"/>
        <v>-0.11600000000000001</v>
      </c>
      <c r="I1080" s="96">
        <f t="shared" si="303"/>
        <v>0</v>
      </c>
      <c r="J1080" s="96">
        <f t="shared" si="304"/>
        <v>1.4820000000000007</v>
      </c>
    </row>
    <row r="1081" spans="1:10" ht="12.75" customHeight="1">
      <c r="A1081" s="96">
        <f>IF(MAX($F$93:F1081)=$G$88,$G$88,F1081)</f>
        <v>3.2057712852183653</v>
      </c>
      <c r="B1081" s="481">
        <v>989</v>
      </c>
      <c r="C1081" s="96">
        <f t="shared" si="302"/>
        <v>1.4835000000000007</v>
      </c>
      <c r="D1081" s="96">
        <f t="shared" si="299"/>
        <v>143.03407282757809</v>
      </c>
      <c r="E1081" s="96">
        <f t="shared" si="300"/>
        <v>5.1856288199798868E-24</v>
      </c>
      <c r="F1081" s="96">
        <f t="shared" si="298"/>
        <v>3.2440453918096946E-22</v>
      </c>
      <c r="G1081" s="96">
        <f t="shared" si="301"/>
        <v>-0.11600000000000001</v>
      </c>
      <c r="I1081" s="96">
        <f t="shared" si="303"/>
        <v>0</v>
      </c>
      <c r="J1081" s="96">
        <f t="shared" si="304"/>
        <v>1.4835000000000007</v>
      </c>
    </row>
    <row r="1082" spans="1:10" ht="12.75" customHeight="1">
      <c r="A1082" s="96">
        <f>IF(MAX($F$93:F1082)=$G$88,$G$88,F1082)</f>
        <v>3.2057712852183653</v>
      </c>
      <c r="B1082" s="481">
        <v>990</v>
      </c>
      <c r="C1082" s="96">
        <f t="shared" si="302"/>
        <v>1.4850000000000008</v>
      </c>
      <c r="D1082" s="96">
        <f t="shared" si="299"/>
        <v>143.3234689555886</v>
      </c>
      <c r="E1082" s="96">
        <f t="shared" si="300"/>
        <v>4.5364592801940886E-24</v>
      </c>
      <c r="F1082" s="96">
        <f t="shared" si="298"/>
        <v>2.8412878061143735E-22</v>
      </c>
      <c r="G1082" s="96">
        <f t="shared" si="301"/>
        <v>-0.11600000000000001</v>
      </c>
      <c r="I1082" s="96">
        <f t="shared" si="303"/>
        <v>0</v>
      </c>
      <c r="J1082" s="96">
        <f t="shared" si="304"/>
        <v>1.4850000000000008</v>
      </c>
    </row>
    <row r="1083" spans="1:10" ht="12.75" customHeight="1">
      <c r="A1083" s="96">
        <f>IF(MAX($F$93:F1083)=$G$88,$G$88,F1083)</f>
        <v>3.2057712852183653</v>
      </c>
      <c r="B1083" s="481">
        <v>991</v>
      </c>
      <c r="C1083" s="96">
        <f t="shared" si="302"/>
        <v>1.4865000000000008</v>
      </c>
      <c r="D1083" s="96">
        <f t="shared" si="299"/>
        <v>143.61315755063097</v>
      </c>
      <c r="E1083" s="96">
        <f t="shared" si="300"/>
        <v>3.9679340459308694E-24</v>
      </c>
      <c r="F1083" s="96">
        <f t="shared" si="298"/>
        <v>2.4881394090199622E-22</v>
      </c>
      <c r="G1083" s="96">
        <f t="shared" si="301"/>
        <v>-0.11600000000000001</v>
      </c>
      <c r="I1083" s="96">
        <f t="shared" si="303"/>
        <v>0</v>
      </c>
      <c r="J1083" s="96">
        <f t="shared" si="304"/>
        <v>1.4865000000000008</v>
      </c>
    </row>
    <row r="1084" spans="1:10" ht="12.75" customHeight="1">
      <c r="A1084" s="96">
        <f>IF(MAX($F$93:F1084)=$G$88,$G$88,F1084)</f>
        <v>3.2057712852183653</v>
      </c>
      <c r="B1084" s="481">
        <v>992</v>
      </c>
      <c r="C1084" s="96">
        <f t="shared" si="302"/>
        <v>1.4880000000000009</v>
      </c>
      <c r="D1084" s="96">
        <f t="shared" si="299"/>
        <v>143.90313861270519</v>
      </c>
      <c r="E1084" s="96">
        <f t="shared" si="300"/>
        <v>3.4701138191855333E-24</v>
      </c>
      <c r="F1084" s="96">
        <f t="shared" si="298"/>
        <v>2.1785392082965915E-22</v>
      </c>
      <c r="G1084" s="96">
        <f t="shared" si="301"/>
        <v>-0.11600000000000001</v>
      </c>
      <c r="I1084" s="96">
        <f t="shared" si="303"/>
        <v>0</v>
      </c>
      <c r="J1084" s="96">
        <f t="shared" si="304"/>
        <v>1.4880000000000009</v>
      </c>
    </row>
    <row r="1085" spans="1:10" ht="12.75" customHeight="1">
      <c r="A1085" s="96">
        <f>IF(MAX($F$93:F1085)=$G$88,$G$88,F1085)</f>
        <v>3.2057712852183653</v>
      </c>
      <c r="B1085" s="481">
        <v>993</v>
      </c>
      <c r="C1085" s="96">
        <f t="shared" si="302"/>
        <v>1.4895000000000009</v>
      </c>
      <c r="D1085" s="96">
        <f t="shared" si="299"/>
        <v>144.19341214181125</v>
      </c>
      <c r="E1085" s="96">
        <f t="shared" si="300"/>
        <v>3.0342743852323301E-24</v>
      </c>
      <c r="F1085" s="96">
        <f t="shared" si="298"/>
        <v>1.907160529251999E-22</v>
      </c>
      <c r="G1085" s="96">
        <f t="shared" si="301"/>
        <v>-0.11600000000000001</v>
      </c>
      <c r="I1085" s="96">
        <f t="shared" si="303"/>
        <v>0</v>
      </c>
      <c r="J1085" s="96">
        <f t="shared" si="304"/>
        <v>1.4895000000000009</v>
      </c>
    </row>
    <row r="1086" spans="1:10" ht="12.75" customHeight="1">
      <c r="A1086" s="96">
        <f>IF(MAX($F$93:F1086)=$G$88,$G$88,F1086)</f>
        <v>3.2057712852183653</v>
      </c>
      <c r="B1086" s="481">
        <v>994</v>
      </c>
      <c r="C1086" s="96">
        <f t="shared" si="302"/>
        <v>1.491000000000001</v>
      </c>
      <c r="D1086" s="96">
        <f t="shared" si="299"/>
        <v>144.48397813794915</v>
      </c>
      <c r="E1086" s="96">
        <f t="shared" si="300"/>
        <v>2.6527593066489623E-24</v>
      </c>
      <c r="F1086" s="96">
        <f t="shared" si="298"/>
        <v>1.6693228142187819E-22</v>
      </c>
      <c r="G1086" s="96">
        <f t="shared" si="301"/>
        <v>-0.11600000000000001</v>
      </c>
      <c r="I1086" s="96">
        <f t="shared" si="303"/>
        <v>0</v>
      </c>
      <c r="J1086" s="96">
        <f t="shared" si="304"/>
        <v>1.491000000000001</v>
      </c>
    </row>
    <row r="1087" spans="1:10" ht="12.75" customHeight="1">
      <c r="A1087" s="96">
        <f>IF(MAX($F$93:F1087)=$G$88,$G$88,F1087)</f>
        <v>3.2057712852183653</v>
      </c>
      <c r="B1087" s="481">
        <v>995</v>
      </c>
      <c r="C1087" s="96">
        <f t="shared" si="302"/>
        <v>1.492500000000001</v>
      </c>
      <c r="D1087" s="96">
        <f t="shared" si="299"/>
        <v>144.77483660111892</v>
      </c>
      <c r="E1087" s="96">
        <f t="shared" si="300"/>
        <v>2.3188503219957093E-24</v>
      </c>
      <c r="F1087" s="96">
        <f t="shared" si="298"/>
        <v>1.4609139219673582E-22</v>
      </c>
      <c r="G1087" s="96">
        <f t="shared" si="301"/>
        <v>-0.11600000000000001</v>
      </c>
      <c r="I1087" s="96">
        <f t="shared" si="303"/>
        <v>0</v>
      </c>
      <c r="J1087" s="96">
        <f t="shared" si="304"/>
        <v>1.492500000000001</v>
      </c>
    </row>
    <row r="1088" spans="1:10" ht="12.75" customHeight="1">
      <c r="A1088" s="96">
        <f>IF(MAX($F$93:F1088)=$G$88,$G$88,F1088)</f>
        <v>3.2057712852183653</v>
      </c>
      <c r="B1088" s="481">
        <v>996</v>
      </c>
      <c r="C1088" s="96">
        <f t="shared" si="302"/>
        <v>1.4940000000000011</v>
      </c>
      <c r="D1088" s="96">
        <f t="shared" si="299"/>
        <v>145.06598753132053</v>
      </c>
      <c r="E1088" s="96">
        <f t="shared" si="300"/>
        <v>2.026653340091523E-24</v>
      </c>
      <c r="F1088" s="96">
        <f t="shared" si="298"/>
        <v>1.2783216885274098E-22</v>
      </c>
      <c r="G1088" s="96">
        <f t="shared" si="301"/>
        <v>-0.11600000000000001</v>
      </c>
      <c r="I1088" s="96">
        <f t="shared" si="303"/>
        <v>0</v>
      </c>
      <c r="J1088" s="96">
        <f t="shared" si="304"/>
        <v>1.4940000000000011</v>
      </c>
    </row>
    <row r="1089" spans="1:10" ht="12.75" customHeight="1">
      <c r="A1089" s="96">
        <f>IF(MAX($F$93:F1089)=$G$88,$G$88,F1089)</f>
        <v>3.2057712852183653</v>
      </c>
      <c r="B1089" s="481">
        <v>997</v>
      </c>
      <c r="C1089" s="96">
        <f t="shared" si="302"/>
        <v>1.4955000000000012</v>
      </c>
      <c r="D1089" s="96">
        <f t="shared" si="299"/>
        <v>145.35743092855395</v>
      </c>
      <c r="E1089" s="96">
        <f t="shared" si="300"/>
        <v>1.7709981697696764E-24</v>
      </c>
      <c r="F1089" s="96">
        <f t="shared" si="298"/>
        <v>1.1183736556068167E-22</v>
      </c>
      <c r="G1089" s="96">
        <f t="shared" si="301"/>
        <v>-0.11600000000000001</v>
      </c>
      <c r="I1089" s="96">
        <f t="shared" si="303"/>
        <v>0</v>
      </c>
      <c r="J1089" s="96">
        <f t="shared" si="304"/>
        <v>1.4955000000000012</v>
      </c>
    </row>
    <row r="1090" spans="1:10" ht="12.75" customHeight="1">
      <c r="A1090" s="96">
        <f>IF(MAX($F$93:F1090)=$G$88,$G$88,F1090)</f>
        <v>3.2057712852183653</v>
      </c>
      <c r="B1090" s="481">
        <v>998</v>
      </c>
      <c r="C1090" s="96">
        <f t="shared" si="302"/>
        <v>1.4970000000000012</v>
      </c>
      <c r="D1090" s="96">
        <f t="shared" si="299"/>
        <v>145.64916679281924</v>
      </c>
      <c r="E1090" s="96">
        <f t="shared" si="300"/>
        <v>1.5473503448314586E-24</v>
      </c>
      <c r="F1090" s="96">
        <f t="shared" si="298"/>
        <v>9.7828400075848431E-23</v>
      </c>
      <c r="G1090" s="96">
        <f t="shared" si="301"/>
        <v>-0.11600000000000001</v>
      </c>
      <c r="I1090" s="96">
        <f t="shared" si="303"/>
        <v>0</v>
      </c>
      <c r="J1090" s="96">
        <f t="shared" si="304"/>
        <v>1.4970000000000012</v>
      </c>
    </row>
    <row r="1091" spans="1:10" ht="12.75" customHeight="1">
      <c r="A1091" s="96">
        <f>IF(MAX($F$93:F1091)=$G$88,$G$88,F1091)</f>
        <v>3.2057712852183653</v>
      </c>
      <c r="B1091" s="481">
        <v>999</v>
      </c>
      <c r="C1091" s="96">
        <f t="shared" si="302"/>
        <v>1.4985000000000013</v>
      </c>
      <c r="D1091" s="96">
        <f t="shared" si="299"/>
        <v>145.9411951241164</v>
      </c>
      <c r="E1091" s="96">
        <f t="shared" si="300"/>
        <v>1.3517335980160403E-24</v>
      </c>
      <c r="F1091" s="96">
        <f t="shared" si="298"/>
        <v>8.556068165864727E-23</v>
      </c>
      <c r="G1091" s="96">
        <f t="shared" si="301"/>
        <v>-0.11600000000000001</v>
      </c>
      <c r="I1091" s="96">
        <f t="shared" si="303"/>
        <v>0</v>
      </c>
      <c r="J1091" s="96">
        <f t="shared" si="304"/>
        <v>1.4985000000000013</v>
      </c>
    </row>
    <row r="1092" spans="1:10" ht="12.75" customHeight="1">
      <c r="A1092" s="96">
        <f>IF(MAX($F$93:F1092)=$G$88,$G$88,F1092)</f>
        <v>3.2057712852183653</v>
      </c>
      <c r="B1092" s="481">
        <v>1000</v>
      </c>
      <c r="C1092" s="96">
        <f t="shared" si="302"/>
        <v>1.5000000000000013</v>
      </c>
      <c r="D1092" s="96">
        <f t="shared" si="299"/>
        <v>146.23351592244538</v>
      </c>
      <c r="E1092" s="96">
        <f t="shared" si="300"/>
        <v>1.1806617091515417E-24</v>
      </c>
      <c r="F1092" s="96">
        <f t="shared" si="298"/>
        <v>7.4819498629785423E-23</v>
      </c>
      <c r="G1092" s="96">
        <f t="shared" si="301"/>
        <v>-0.11600000000000001</v>
      </c>
      <c r="I1092" s="96">
        <f t="shared" si="303"/>
        <v>0</v>
      </c>
      <c r="J1092" s="96">
        <f t="shared" si="304"/>
        <v>1.5000000000000013</v>
      </c>
    </row>
    <row r="1093" spans="1:10" ht="12.75" customHeight="1">
      <c r="B1093" s="481">
        <v>1001</v>
      </c>
      <c r="C1093" s="96">
        <f t="shared" si="302"/>
        <v>1.5015000000000014</v>
      </c>
      <c r="D1093" s="96">
        <f t="shared" si="299"/>
        <v>146.52612918780619</v>
      </c>
      <c r="E1093" s="96">
        <f t="shared" si="300"/>
        <v>1.0310786038883884E-24</v>
      </c>
    </row>
  </sheetData>
  <sheetProtection sheet="1" objects="1" scenarios="1" selectLockedCells="1" selectUnlockedCells="1"/>
  <phoneticPr fontId="39" type="noConversion"/>
  <pageMargins left="0.55118110236220474" right="0.55118110236220474" top="0.59055118110236227" bottom="0.59055118110236227" header="0.51181102362204722" footer="0.51181102362204722"/>
  <pageSetup paperSize="9" orientation="landscape" r:id="rId1"/>
  <headerFooter alignWithMargins="0">
    <oddHeader>&amp;A</oddHeader>
    <oddFooter>Page &amp;P</oddFooter>
  </headerFooter>
  <drawing r:id="rId2"/>
  <legacyDrawing r:id="rId3"/>
</worksheet>
</file>

<file path=xl/worksheets/sheet4.xml><?xml version="1.0" encoding="utf-8"?>
<worksheet xmlns="http://schemas.openxmlformats.org/spreadsheetml/2006/main" xmlns:r="http://schemas.openxmlformats.org/officeDocument/2006/relationships">
  <sheetPr codeName="Sheet1"/>
  <dimension ref="A1:CA308"/>
  <sheetViews>
    <sheetView showGridLines="0" showRowColHeaders="0" topLeftCell="C1" zoomScale="120" workbookViewId="0">
      <selection activeCell="A7" sqref="A7:A8"/>
    </sheetView>
  </sheetViews>
  <sheetFormatPr defaultColWidth="6.85546875" defaultRowHeight="12" customHeight="1"/>
  <cols>
    <col min="1" max="1" width="7.140625" style="43" hidden="1" customWidth="1"/>
    <col min="2" max="2" width="5.7109375" style="43" hidden="1" customWidth="1"/>
    <col min="3" max="3" width="0.28515625" style="43" customWidth="1"/>
    <col min="4" max="4" width="2.5703125" style="43" customWidth="1"/>
    <col min="5" max="5" width="4.42578125" style="43" customWidth="1"/>
    <col min="6" max="6" width="6.85546875" style="43" customWidth="1"/>
    <col min="7" max="9" width="6.5703125" style="43" customWidth="1"/>
    <col min="10" max="10" width="6.85546875" style="43" customWidth="1"/>
    <col min="11" max="11" width="0.85546875" style="43" customWidth="1"/>
    <col min="12" max="12" width="6.85546875" style="43" customWidth="1"/>
    <col min="13" max="13" width="4.28515625" style="43" customWidth="1"/>
    <col min="14" max="14" width="6.85546875" style="53" customWidth="1"/>
    <col min="15" max="22" width="6.85546875" style="43" customWidth="1"/>
    <col min="23" max="23" width="9" style="913" customWidth="1"/>
    <col min="24" max="24" width="2.85546875" style="43" customWidth="1"/>
    <col min="25" max="25" width="6.85546875" style="43"/>
    <col min="26" max="26" width="7.85546875" style="43" customWidth="1"/>
    <col min="27" max="48" width="6.85546875" style="43" customWidth="1"/>
    <col min="49" max="50" width="6.85546875" style="43"/>
    <col min="51" max="51" width="6.85546875" style="43" customWidth="1"/>
    <col min="52" max="52" width="6.85546875" style="43"/>
    <col min="53" max="53" width="8.140625" style="43" customWidth="1"/>
    <col min="54" max="54" width="7.5703125" style="43" customWidth="1"/>
    <col min="55" max="66" width="6.85546875" style="43"/>
    <col min="67" max="67" width="8.140625" style="43" customWidth="1"/>
    <col min="68" max="76" width="6.85546875" style="43"/>
    <col min="77" max="77" width="9.140625" style="43" customWidth="1"/>
    <col min="78" max="16384" width="6.85546875" style="43"/>
  </cols>
  <sheetData>
    <row r="1" spans="1:79" ht="12" customHeight="1">
      <c r="F1" s="799" t="s">
        <v>725</v>
      </c>
      <c r="K1" s="800"/>
      <c r="L1" s="800"/>
      <c r="M1" s="800"/>
      <c r="N1" s="801">
        <f>($AZ$7+$H$6+$BD$3)/100000000</f>
        <v>3.0599999992688074E-7</v>
      </c>
      <c r="O1" s="83">
        <f t="shared" ref="O1:Z1" si="0">$N$1</f>
        <v>3.0599999992688074E-7</v>
      </c>
      <c r="P1" s="83">
        <f t="shared" si="0"/>
        <v>3.0599999992688074E-7</v>
      </c>
      <c r="Q1" s="83">
        <f t="shared" si="0"/>
        <v>3.0599999992688074E-7</v>
      </c>
      <c r="R1" s="83">
        <f t="shared" si="0"/>
        <v>3.0599999992688074E-7</v>
      </c>
      <c r="S1" s="83">
        <f t="shared" si="0"/>
        <v>3.0599999992688074E-7</v>
      </c>
      <c r="T1" s="83">
        <f t="shared" si="0"/>
        <v>3.0599999992688074E-7</v>
      </c>
      <c r="U1" s="83">
        <f t="shared" si="0"/>
        <v>3.0599999992688074E-7</v>
      </c>
      <c r="V1" s="83">
        <f t="shared" si="0"/>
        <v>3.0599999992688074E-7</v>
      </c>
      <c r="W1" s="802">
        <f t="shared" si="0"/>
        <v>3.0599999992688074E-7</v>
      </c>
      <c r="X1" s="802">
        <f t="shared" si="0"/>
        <v>3.0599999992688074E-7</v>
      </c>
      <c r="Y1" s="802">
        <f t="shared" si="0"/>
        <v>3.0599999992688074E-7</v>
      </c>
      <c r="Z1" s="802">
        <f t="shared" si="0"/>
        <v>3.0599999992688074E-7</v>
      </c>
      <c r="BA1" s="791" t="s">
        <v>641</v>
      </c>
      <c r="BB1" s="459">
        <f>BB2/2</f>
        <v>3</v>
      </c>
      <c r="BC1" s="803" t="s">
        <v>642</v>
      </c>
      <c r="BD1" s="804" t="s">
        <v>643</v>
      </c>
      <c r="BE1" s="805">
        <f>BS3</f>
        <v>0.20597345655044494</v>
      </c>
      <c r="BF1" s="805" t="e">
        <f>IF(AND(AY22,BJ3),-11,NA())</f>
        <v>#N/A</v>
      </c>
      <c r="BG1" s="805" t="e">
        <f>$BE$2+$BE$1*BF1</f>
        <v>#N/A</v>
      </c>
      <c r="BH1" s="803" t="s">
        <v>644</v>
      </c>
      <c r="BI1" s="804" t="s">
        <v>643</v>
      </c>
      <c r="BJ1" s="805">
        <f>BS5</f>
        <v>2.2885940732317831</v>
      </c>
      <c r="BK1" s="805" t="e">
        <f>IF(AND(AY22,BJ4),-11,NA())</f>
        <v>#N/A</v>
      </c>
      <c r="BL1" s="459" t="e">
        <f>$BJ$2+$BJ$1*BK1</f>
        <v>#N/A</v>
      </c>
      <c r="BM1" s="806" t="s">
        <v>645</v>
      </c>
      <c r="BN1" s="805">
        <f>IF(ABS(BD3)&lt;0.01,NA(),IF(BD3&gt;0,BP4,-BP4))</f>
        <v>0.68657820523550883</v>
      </c>
      <c r="BO1" s="805" t="e">
        <f>IF(AND(AY22,BM3),-11,NA())</f>
        <v>#N/A</v>
      </c>
      <c r="BP1" s="459" t="e">
        <f>$BN$2+$BN$1*BO1</f>
        <v>#N/A</v>
      </c>
      <c r="BQ1" s="791"/>
      <c r="BR1" s="804" t="s">
        <v>646</v>
      </c>
      <c r="BS1" s="807">
        <f>SUM(BT9:BT308)/(COUNT(BT9:BT308)-1)</f>
        <v>0.26316123155533228</v>
      </c>
      <c r="BU1" s="808">
        <v>7</v>
      </c>
      <c r="BV1" s="809" t="s">
        <v>647</v>
      </c>
      <c r="BW1" s="810"/>
      <c r="BX1" s="811"/>
    </row>
    <row r="2" spans="1:79" ht="12" customHeight="1">
      <c r="F2" s="43" t="s">
        <v>648</v>
      </c>
      <c r="N2" s="801">
        <f t="shared" ref="N2:N37" si="1">$N$1</f>
        <v>3.0599999992688074E-7</v>
      </c>
      <c r="O2" s="95"/>
      <c r="W2" s="802">
        <f t="shared" ref="W2:W36" si="2">$N$1</f>
        <v>3.0599999992688074E-7</v>
      </c>
      <c r="Z2" s="802">
        <f t="shared" ref="Z2:Z37" si="3">$N$1</f>
        <v>3.0599999992688074E-7</v>
      </c>
      <c r="AV2"/>
      <c r="BA2" s="92" t="s">
        <v>649</v>
      </c>
      <c r="BB2" s="812">
        <v>6</v>
      </c>
      <c r="BC2" s="813" t="s">
        <v>1184</v>
      </c>
      <c r="BD2" s="814" t="s">
        <v>650</v>
      </c>
      <c r="BE2" s="454">
        <f>BS4</f>
        <v>-0.283191302366611</v>
      </c>
      <c r="BF2" s="454" t="e">
        <f>IF(AND(AY22,BJ3),11,NA())</f>
        <v>#N/A</v>
      </c>
      <c r="BG2" s="454" t="e">
        <f>$BE$2+$BE$1*BF2</f>
        <v>#N/A</v>
      </c>
      <c r="BH2" s="813" t="s">
        <v>1262</v>
      </c>
      <c r="BI2" s="814" t="s">
        <v>650</v>
      </c>
      <c r="BJ2" s="454">
        <f>BS6</f>
        <v>0.5010006120885423</v>
      </c>
      <c r="BK2" s="48" t="e">
        <f>IF(AND(AY22,BJ4),11,NA())</f>
        <v>#N/A</v>
      </c>
      <c r="BL2" s="792" t="e">
        <f>$BJ$2+$BJ$1*BK2</f>
        <v>#N/A</v>
      </c>
      <c r="BM2" s="813" t="s">
        <v>651</v>
      </c>
      <c r="BN2" s="48">
        <f>BD6-BN1*BC6</f>
        <v>-0.10222394088521575</v>
      </c>
      <c r="BO2" s="48" t="e">
        <f>IF(AND(AY22,BM3),11,NA())</f>
        <v>#N/A</v>
      </c>
      <c r="BP2" s="792" t="e">
        <f>$BN$2+$BN$1*BO2</f>
        <v>#N/A</v>
      </c>
      <c r="BQ2" s="92"/>
      <c r="BR2" s="815" t="s">
        <v>652</v>
      </c>
      <c r="BS2" s="792">
        <f>BS1/(BC7*BD7)</f>
        <v>0.29999999268807587</v>
      </c>
      <c r="BU2" s="816"/>
      <c r="BV2" s="817"/>
      <c r="BW2" s="817"/>
      <c r="BX2" s="818"/>
    </row>
    <row r="3" spans="1:79" ht="12" customHeight="1">
      <c r="A3" s="791" t="s">
        <v>653</v>
      </c>
      <c r="B3" s="459">
        <f ca="1">RAND()</f>
        <v>0.79896900166662377</v>
      </c>
      <c r="N3" s="801">
        <f t="shared" si="1"/>
        <v>3.0599999992688074E-7</v>
      </c>
      <c r="O3" s="95"/>
      <c r="W3" s="802">
        <f t="shared" si="2"/>
        <v>3.0599999992688074E-7</v>
      </c>
      <c r="Z3" s="802">
        <f t="shared" si="3"/>
        <v>3.0599999992688074E-7</v>
      </c>
      <c r="AV3"/>
      <c r="AZ3" s="791" t="s">
        <v>654</v>
      </c>
      <c r="BA3" s="819" t="s">
        <v>655</v>
      </c>
      <c r="BB3" s="820" t="s">
        <v>656</v>
      </c>
      <c r="BC3" s="821" t="s">
        <v>657</v>
      </c>
      <c r="BD3" s="822">
        <f>BS2</f>
        <v>0.29999999268807587</v>
      </c>
      <c r="BE3" s="92"/>
      <c r="BF3" s="815" t="s">
        <v>658</v>
      </c>
      <c r="BG3" s="812" t="b">
        <v>1</v>
      </c>
      <c r="BH3" s="92"/>
      <c r="BI3" s="815" t="s">
        <v>659</v>
      </c>
      <c r="BJ3" s="812" t="b">
        <v>0</v>
      </c>
      <c r="BK3" s="823"/>
      <c r="BL3" s="824" t="s">
        <v>660</v>
      </c>
      <c r="BM3" s="825" t="b">
        <v>0</v>
      </c>
      <c r="BN3" s="791"/>
      <c r="BO3" s="805"/>
      <c r="BP3" s="807" t="s">
        <v>661</v>
      </c>
      <c r="BQ3" s="48"/>
      <c r="BR3" s="815" t="s">
        <v>662</v>
      </c>
      <c r="BS3" s="792">
        <f>BS1/(BC7^2)</f>
        <v>0.20597345655044494</v>
      </c>
      <c r="BU3" s="816" t="s">
        <v>726</v>
      </c>
      <c r="BV3" s="817"/>
      <c r="BW3" s="817"/>
      <c r="BX3" s="818"/>
    </row>
    <row r="4" spans="1:79" ht="12" customHeight="1">
      <c r="A4" s="826" t="s">
        <v>663</v>
      </c>
      <c r="B4" s="827">
        <v>0.65485265663954451</v>
      </c>
      <c r="N4" s="801">
        <f t="shared" si="1"/>
        <v>3.0599999992688074E-7</v>
      </c>
      <c r="O4" s="95"/>
      <c r="W4" s="802">
        <f t="shared" si="2"/>
        <v>3.0599999992688074E-7</v>
      </c>
      <c r="Z4" s="802">
        <f t="shared" si="3"/>
        <v>3.0599999992688074E-7</v>
      </c>
      <c r="AV4"/>
      <c r="AZ4" s="826"/>
      <c r="BA4" s="825">
        <v>130</v>
      </c>
      <c r="BB4" s="828">
        <v>150</v>
      </c>
      <c r="BC4" s="821" t="s">
        <v>664</v>
      </c>
      <c r="BD4" s="812">
        <v>0.367718663863914</v>
      </c>
      <c r="BE4" s="826">
        <f>IF(BG3,0,NA())</f>
        <v>0</v>
      </c>
      <c r="BF4" s="454">
        <v>0</v>
      </c>
      <c r="BG4" s="829"/>
      <c r="BH4" s="826"/>
      <c r="BI4" s="814" t="s">
        <v>665</v>
      </c>
      <c r="BJ4" s="827" t="b">
        <v>0</v>
      </c>
      <c r="BK4" s="823"/>
      <c r="BL4" s="824" t="s">
        <v>666</v>
      </c>
      <c r="BM4" s="830" t="b">
        <v>1</v>
      </c>
      <c r="BN4" s="826"/>
      <c r="BO4" s="814" t="s">
        <v>667</v>
      </c>
      <c r="BP4" s="829">
        <f>BD7/BC7</f>
        <v>0.68657820523550883</v>
      </c>
      <c r="BQ4" s="48"/>
      <c r="BR4" s="815" t="s">
        <v>668</v>
      </c>
      <c r="BS4" s="792">
        <f>BD6-BS3*BC6</f>
        <v>-0.283191302366611</v>
      </c>
      <c r="BU4" s="816"/>
      <c r="BV4" s="831" t="s">
        <v>669</v>
      </c>
      <c r="BW4" s="832" t="str">
        <f>IF(BJ3,BE1,"")</f>
        <v/>
      </c>
      <c r="BX4" s="818"/>
    </row>
    <row r="5" spans="1:79" ht="12" customHeight="1">
      <c r="D5" s="833">
        <v>1</v>
      </c>
      <c r="E5" s="834" t="s">
        <v>727</v>
      </c>
      <c r="F5" s="834"/>
      <c r="G5" s="133"/>
      <c r="H5" s="133"/>
      <c r="I5" s="133"/>
      <c r="J5" s="133"/>
      <c r="K5" s="133"/>
      <c r="L5" s="133"/>
      <c r="M5" s="835"/>
      <c r="N5" s="801">
        <f t="shared" si="1"/>
        <v>3.0599999992688074E-7</v>
      </c>
      <c r="O5" s="95"/>
      <c r="W5" s="802">
        <f t="shared" si="2"/>
        <v>3.0599999992688074E-7</v>
      </c>
      <c r="Z5" s="802">
        <f t="shared" si="3"/>
        <v>3.0599999992688074E-7</v>
      </c>
      <c r="AV5"/>
      <c r="BA5" s="53" t="s">
        <v>670</v>
      </c>
      <c r="BB5" s="43">
        <f>SQRT(1-AZ7^2)</f>
        <v>0.95393920141694566</v>
      </c>
      <c r="BC5" s="813" t="s">
        <v>671</v>
      </c>
      <c r="BD5" s="829">
        <f>1000*(AZ7-BD3)</f>
        <v>7.3119241217334263E-6</v>
      </c>
      <c r="BE5" s="791"/>
      <c r="BF5" s="804" t="s">
        <v>672</v>
      </c>
      <c r="BG5" s="836" t="b">
        <v>0</v>
      </c>
      <c r="BH5" s="821" t="s">
        <v>673</v>
      </c>
      <c r="BI5" s="792" t="b">
        <f>BI6</f>
        <v>0</v>
      </c>
      <c r="BQ5" s="92"/>
      <c r="BR5" s="815" t="s">
        <v>674</v>
      </c>
      <c r="BS5" s="792">
        <f>1/(BS1/(BD7^2))</f>
        <v>2.2885940732317831</v>
      </c>
      <c r="BU5" s="816" t="s">
        <v>728</v>
      </c>
      <c r="BV5" s="817"/>
      <c r="BW5" s="837"/>
      <c r="BX5" s="818"/>
    </row>
    <row r="6" spans="1:79" ht="12" customHeight="1">
      <c r="A6" s="48" t="s">
        <v>675</v>
      </c>
      <c r="B6" s="48"/>
      <c r="D6" s="137"/>
      <c r="E6" s="383"/>
      <c r="F6" s="383"/>
      <c r="G6" s="838" t="s">
        <v>1186</v>
      </c>
      <c r="H6" s="639">
        <v>30</v>
      </c>
      <c r="I6" s="383"/>
      <c r="J6" s="383"/>
      <c r="K6" s="383"/>
      <c r="L6" s="383"/>
      <c r="M6" s="134"/>
      <c r="N6" s="801">
        <f t="shared" si="1"/>
        <v>3.0599999992688074E-7</v>
      </c>
      <c r="W6" s="802">
        <f t="shared" si="2"/>
        <v>3.0599999992688074E-7</v>
      </c>
      <c r="Z6" s="802">
        <f t="shared" si="3"/>
        <v>3.0599999992688074E-7</v>
      </c>
      <c r="AF6" s="801"/>
      <c r="AG6" s="801"/>
      <c r="AH6" s="801"/>
      <c r="AI6" s="801"/>
      <c r="AJ6" s="801"/>
      <c r="AK6" s="801"/>
      <c r="AL6" s="801"/>
      <c r="AM6" s="801"/>
      <c r="AN6" s="801"/>
      <c r="AO6" s="801"/>
      <c r="AV6"/>
      <c r="AZ6" s="839" t="s">
        <v>676</v>
      </c>
      <c r="BA6" s="459" t="s">
        <v>677</v>
      </c>
      <c r="BB6" s="803" t="s">
        <v>678</v>
      </c>
      <c r="BC6" s="804">
        <f>AVERAGE(BC9:BC308)</f>
        <v>-0.37654093509588188</v>
      </c>
      <c r="BD6" s="807">
        <f>AVERAGE(BD9:BD308)</f>
        <v>-0.36074874030104653</v>
      </c>
      <c r="BE6" s="826" t="e">
        <f>IF(AND(AY22,BG5),BC6,NA())</f>
        <v>#N/A</v>
      </c>
      <c r="BF6" s="454" t="e">
        <f>IF(AND(AY22,BG5),BD6,NA())</f>
        <v>#N/A</v>
      </c>
      <c r="BG6" s="829"/>
      <c r="BH6" s="813" t="s">
        <v>679</v>
      </c>
      <c r="BI6" s="827" t="b">
        <v>0</v>
      </c>
      <c r="BJ6" s="840" t="s">
        <v>680</v>
      </c>
      <c r="BK6" s="841">
        <v>0.98</v>
      </c>
      <c r="BL6" s="842">
        <v>0.97499999999999998</v>
      </c>
      <c r="BM6" s="843" t="s">
        <v>680</v>
      </c>
      <c r="BQ6" s="813"/>
      <c r="BR6" s="814" t="s">
        <v>681</v>
      </c>
      <c r="BS6" s="844">
        <f>BD6-BS5*BC6</f>
        <v>0.5010006120885423</v>
      </c>
      <c r="BU6" s="816"/>
      <c r="BV6" s="831" t="s">
        <v>669</v>
      </c>
      <c r="BW6" s="832" t="str">
        <f>IF(BJ4,BJ1,"")</f>
        <v/>
      </c>
      <c r="BX6" s="818"/>
    </row>
    <row r="7" spans="1:79" ht="12" customHeight="1">
      <c r="A7" s="107">
        <v>30</v>
      </c>
      <c r="B7" s="48">
        <f>H6</f>
        <v>30</v>
      </c>
      <c r="D7" s="137"/>
      <c r="E7" s="383"/>
      <c r="F7" s="383"/>
      <c r="G7" s="383"/>
      <c r="H7" s="845"/>
      <c r="I7" s="383"/>
      <c r="J7" s="89"/>
      <c r="K7" s="383"/>
      <c r="L7" s="383"/>
      <c r="M7" s="134"/>
      <c r="N7" s="801">
        <f t="shared" si="1"/>
        <v>3.0599999992688074E-7</v>
      </c>
      <c r="W7" s="802">
        <f t="shared" si="2"/>
        <v>3.0599999992688074E-7</v>
      </c>
      <c r="Z7" s="802">
        <f t="shared" si="3"/>
        <v>3.0599999992688074E-7</v>
      </c>
      <c r="AZ7" s="846">
        <f>(IF(samplefix=1,BB4,BA4)-100)/100</f>
        <v>0.3</v>
      </c>
      <c r="BA7" s="829">
        <f>IF(ABS(AZ7)&lt;0.01,0.01,AZ7)</f>
        <v>0.3</v>
      </c>
      <c r="BB7" s="813" t="s">
        <v>682</v>
      </c>
      <c r="BC7" s="454">
        <f>STDEV(BC9:BC308)</f>
        <v>1.1303301878112211</v>
      </c>
      <c r="BD7" s="829">
        <f>STDEV(BD9:BD308)</f>
        <v>0.77606007167094382</v>
      </c>
      <c r="BE7" s="847" t="s">
        <v>683</v>
      </c>
      <c r="BF7" s="847"/>
      <c r="BG7" s="848" t="s">
        <v>684</v>
      </c>
      <c r="BH7" s="848" t="s">
        <v>685</v>
      </c>
      <c r="BI7" s="848"/>
      <c r="BJ7" s="841" t="s">
        <v>686</v>
      </c>
      <c r="BK7" s="841"/>
      <c r="BL7" s="842" t="s">
        <v>687</v>
      </c>
      <c r="BM7" s="842"/>
      <c r="BN7" s="841" t="s">
        <v>688</v>
      </c>
      <c r="BO7" s="841"/>
      <c r="BP7" s="842" t="s">
        <v>689</v>
      </c>
      <c r="BQ7" s="842"/>
      <c r="BR7" s="849" t="s">
        <v>690</v>
      </c>
      <c r="BS7" s="849"/>
      <c r="BT7" s="850"/>
      <c r="BU7" s="851"/>
      <c r="BV7" s="852"/>
      <c r="BW7" s="817"/>
      <c r="BX7" s="818"/>
    </row>
    <row r="8" spans="1:79" ht="12" customHeight="1">
      <c r="A8" s="95">
        <v>0.3</v>
      </c>
      <c r="B8" s="853">
        <f>AZ7</f>
        <v>0.3</v>
      </c>
      <c r="D8" s="854">
        <v>2</v>
      </c>
      <c r="E8" s="855"/>
      <c r="F8" s="856" t="s">
        <v>729</v>
      </c>
      <c r="G8" s="855"/>
      <c r="H8" s="855"/>
      <c r="I8" s="855"/>
      <c r="J8" s="855"/>
      <c r="K8" s="855"/>
      <c r="L8" s="855"/>
      <c r="M8" s="857"/>
      <c r="N8" s="801">
        <f t="shared" si="1"/>
        <v>3.0599999992688074E-7</v>
      </c>
      <c r="W8" s="802">
        <f t="shared" si="2"/>
        <v>3.0599999992688074E-7</v>
      </c>
      <c r="Z8" s="802">
        <f t="shared" si="3"/>
        <v>3.0599999992688074E-7</v>
      </c>
      <c r="AW8" s="791"/>
      <c r="AX8" s="805"/>
      <c r="AY8" s="807" t="s">
        <v>691</v>
      </c>
      <c r="AZ8" s="858" t="s">
        <v>692</v>
      </c>
      <c r="BA8" s="858" t="s">
        <v>693</v>
      </c>
      <c r="BB8" s="858" t="s">
        <v>694</v>
      </c>
      <c r="BC8" s="858" t="s">
        <v>1184</v>
      </c>
      <c r="BD8" s="858" t="s">
        <v>1262</v>
      </c>
      <c r="BE8" s="859" t="s">
        <v>695</v>
      </c>
      <c r="BF8" s="859" t="s">
        <v>1263</v>
      </c>
      <c r="BG8" s="860" t="s">
        <v>696</v>
      </c>
      <c r="BH8" s="860" t="s">
        <v>697</v>
      </c>
      <c r="BI8" s="860" t="s">
        <v>698</v>
      </c>
      <c r="BJ8" s="861" t="s">
        <v>699</v>
      </c>
      <c r="BK8" s="861" t="s">
        <v>1243</v>
      </c>
      <c r="BL8" s="862" t="s">
        <v>700</v>
      </c>
      <c r="BM8" s="862" t="s">
        <v>701</v>
      </c>
      <c r="BN8" s="861" t="s">
        <v>702</v>
      </c>
      <c r="BO8" s="861" t="s">
        <v>1243</v>
      </c>
      <c r="BP8" s="862" t="s">
        <v>700</v>
      </c>
      <c r="BQ8" s="862" t="s">
        <v>703</v>
      </c>
      <c r="BR8" s="863" t="s">
        <v>704</v>
      </c>
      <c r="BS8" s="863" t="s">
        <v>705</v>
      </c>
      <c r="BT8" s="863" t="s">
        <v>706</v>
      </c>
      <c r="BW8" s="864" t="str">
        <f>IF(AND(BW4&lt;&gt;"",BW6&lt;&gt;""),SQRT(BW4*BW6),"")</f>
        <v/>
      </c>
      <c r="BX8" s="865" t="s">
        <v>707</v>
      </c>
      <c r="BY8" s="865"/>
      <c r="BZ8" s="52"/>
    </row>
    <row r="9" spans="1:79" ht="12" customHeight="1">
      <c r="D9" s="866"/>
      <c r="E9" s="866"/>
      <c r="F9" s="866"/>
      <c r="G9" s="866"/>
      <c r="H9" s="866"/>
      <c r="I9" s="866"/>
      <c r="J9" s="866" t="s">
        <v>708</v>
      </c>
      <c r="K9" s="866"/>
      <c r="L9" s="866"/>
      <c r="M9" s="866"/>
      <c r="N9" s="801">
        <f t="shared" si="1"/>
        <v>3.0599999992688074E-7</v>
      </c>
      <c r="W9" s="802">
        <f t="shared" si="2"/>
        <v>3.0599999992688074E-7</v>
      </c>
      <c r="Z9" s="802">
        <f t="shared" si="3"/>
        <v>3.0599999992688074E-7</v>
      </c>
      <c r="AC9" s="801"/>
      <c r="AD9" s="801"/>
      <c r="AE9" s="801"/>
      <c r="AW9" s="826"/>
      <c r="AX9" s="454"/>
      <c r="AY9" s="827">
        <v>2</v>
      </c>
      <c r="AZ9" s="43">
        <v>1</v>
      </c>
      <c r="BA9" s="43">
        <f>IF(AZ9&gt;$H$6,"",MOD(B4*100000013,1))</f>
        <v>0.17703898996114731</v>
      </c>
      <c r="BB9" s="43">
        <f t="shared" ref="BB9:BB72" si="4">IF(AZ9&gt;$H$6,"",MOD(BA9*100000013,1))</f>
        <v>0.29762160032987595</v>
      </c>
      <c r="BC9" s="43">
        <f t="shared" ref="BC9:BC72" si="5">IF(AZ9&gt;$H$6,"",NORMSINV(BA9))</f>
        <v>-0.92670835204829083</v>
      </c>
      <c r="BD9" s="43">
        <f t="shared" ref="BD9:BD72" si="6">IF(AZ9&gt;$H$6,"",BC9*$BA$7*$BD$4+$BB$5*NORMSINV(BB9))</f>
        <v>-0.6090138206437099</v>
      </c>
      <c r="BE9" s="43">
        <f t="shared" ref="BE9:BE72" si="7">IF($AY$22,IF(BC9="",NA(),BC9),NA())</f>
        <v>-0.92670835204829083</v>
      </c>
      <c r="BF9" s="43">
        <f t="shared" ref="BF9:BF72" si="8">IF($AY$22,IF(BD9="",NA(),BD9),NA())</f>
        <v>-0.6090138206437099</v>
      </c>
      <c r="BG9" s="43" t="b">
        <f t="shared" ref="BG9:BG72" si="9">OR(BE9&lt;-forzoom,BE9&gt;forzoom,BF9&lt;-forzoom,BF9&gt;forzoom)</f>
        <v>0</v>
      </c>
      <c r="BH9" s="43" t="e">
        <f t="shared" ref="BH9:BH72" si="10">IF(BG9,IF(ISNA(BE9),NA(),IF(BE9&lt;-forzoom,-forzoom,IF(BE9&gt;forzoom,forzoom,BE9))),NA())</f>
        <v>#N/A</v>
      </c>
      <c r="BI9" s="43">
        <f t="shared" ref="BI9:BI72" si="11">IF(ISNA(BF9),NA(),IF(BF9&lt;-forzoom,-forzoom,IF(BF9&gt;forzoom,forzoom,BF9)))</f>
        <v>-0.6090138206437099</v>
      </c>
      <c r="BJ9" s="43" t="e">
        <f t="shared" ref="BJ9:BJ72" si="12">IF($BI$5,BE9,NA())</f>
        <v>#N/A</v>
      </c>
      <c r="BK9" s="43">
        <f t="shared" ref="BK9:BK72" si="13">-forzoom*$BK$6</f>
        <v>-2.94</v>
      </c>
      <c r="BL9" s="43" t="e">
        <f t="shared" ref="BL9:BL72" si="14">IF($BI$6,-forzoom*$BL$6,NA())</f>
        <v>#N/A</v>
      </c>
      <c r="BM9" s="43">
        <f t="shared" ref="BM9:BM72" si="15">BF9</f>
        <v>-0.6090138206437099</v>
      </c>
      <c r="BN9" s="43" t="e">
        <f t="shared" ref="BN9:BN72" si="16">IF($BI$5,IF(BE9&gt;forzoom,forzoom,IF(BE9&lt;-forzoom,-forzoom,NA())),NA())</f>
        <v>#N/A</v>
      </c>
      <c r="BO9" s="43">
        <f t="shared" ref="BO9:BO72" si="17">-forzoom*$BK$6</f>
        <v>-2.94</v>
      </c>
      <c r="BP9" s="43">
        <f t="shared" ref="BP9:BP72" si="18">-forzoom*$BL$6</f>
        <v>-2.9249999999999998</v>
      </c>
      <c r="BQ9" s="43" t="e">
        <f t="shared" ref="BQ9:BQ72" si="19">IF($BI$6,IF(BF9&gt;forzoom,forzoom,IF(BF9&lt;-forzoom,-forzoom,NA())),NA())</f>
        <v>#N/A</v>
      </c>
      <c r="BR9" s="43">
        <f t="shared" ref="BR9:BR72" si="20">IF(BC9="","",BC9-$BC$6)</f>
        <v>-0.55016741695240889</v>
      </c>
      <c r="BS9" s="43">
        <f t="shared" ref="BS9:BS72" si="21">IF(BD9="","",BD9-$BD$6)</f>
        <v>-0.24826508034266337</v>
      </c>
      <c r="BT9" s="43">
        <f t="shared" ref="BT9:BT72" si="22">IF(BR9="","",BR9*BS9)</f>
        <v>0.13658735797160537</v>
      </c>
    </row>
    <row r="10" spans="1:79" ht="12" customHeight="1">
      <c r="D10" s="866"/>
      <c r="E10" s="866"/>
      <c r="F10" s="866"/>
      <c r="G10" s="866"/>
      <c r="H10" s="866"/>
      <c r="I10" s="866"/>
      <c r="J10" s="867" t="s">
        <v>652</v>
      </c>
      <c r="K10" s="866"/>
      <c r="L10" s="866"/>
      <c r="M10" s="866"/>
      <c r="N10" s="801">
        <f t="shared" si="1"/>
        <v>3.0599999992688074E-7</v>
      </c>
      <c r="W10" s="802">
        <f t="shared" si="2"/>
        <v>3.0599999992688074E-7</v>
      </c>
      <c r="Z10" s="802">
        <f t="shared" si="3"/>
        <v>3.0599999992688074E-7</v>
      </c>
      <c r="AW10" s="864"/>
      <c r="AX10" s="824" t="s">
        <v>709</v>
      </c>
      <c r="AY10" s="868">
        <f>IF(AND(AY22,BM4),BD3,"")</f>
        <v>0.29999999268807587</v>
      </c>
      <c r="AZ10" s="43">
        <v>2</v>
      </c>
      <c r="BA10" s="43">
        <f t="shared" ref="BA10:BA73" si="23">IF(AZ10&gt;$H$6,"",MOD(BB9*100000013,1))</f>
        <v>0.90206839889287949</v>
      </c>
      <c r="BB10" s="43">
        <f t="shared" si="4"/>
        <v>0.61617714166641235</v>
      </c>
      <c r="BC10" s="43">
        <f t="shared" si="5"/>
        <v>1.2934276209379991</v>
      </c>
      <c r="BD10" s="43">
        <f t="shared" si="6"/>
        <v>0.42453210760677307</v>
      </c>
      <c r="BE10" s="43">
        <f t="shared" si="7"/>
        <v>1.2934276209379991</v>
      </c>
      <c r="BF10" s="43">
        <f t="shared" si="8"/>
        <v>0.42453210760677307</v>
      </c>
      <c r="BG10" s="43" t="b">
        <f t="shared" si="9"/>
        <v>0</v>
      </c>
      <c r="BH10" s="43" t="e">
        <f t="shared" si="10"/>
        <v>#N/A</v>
      </c>
      <c r="BI10" s="43">
        <f t="shared" si="11"/>
        <v>0.42453210760677307</v>
      </c>
      <c r="BJ10" s="43" t="e">
        <f t="shared" si="12"/>
        <v>#N/A</v>
      </c>
      <c r="BK10" s="43">
        <f t="shared" si="13"/>
        <v>-2.94</v>
      </c>
      <c r="BL10" s="43" t="e">
        <f t="shared" si="14"/>
        <v>#N/A</v>
      </c>
      <c r="BM10" s="43">
        <f t="shared" si="15"/>
        <v>0.42453210760677307</v>
      </c>
      <c r="BN10" s="43" t="e">
        <f t="shared" si="16"/>
        <v>#N/A</v>
      </c>
      <c r="BO10" s="43">
        <f t="shared" si="17"/>
        <v>-2.94</v>
      </c>
      <c r="BP10" s="43">
        <f t="shared" si="18"/>
        <v>-2.9249999999999998</v>
      </c>
      <c r="BQ10" s="43" t="e">
        <f t="shared" si="19"/>
        <v>#N/A</v>
      </c>
      <c r="BR10" s="43">
        <f t="shared" si="20"/>
        <v>1.6699685560338811</v>
      </c>
      <c r="BS10" s="43">
        <f t="shared" si="21"/>
        <v>0.7852808479078196</v>
      </c>
      <c r="BT10" s="43">
        <f t="shared" si="22"/>
        <v>1.3113943236616832</v>
      </c>
      <c r="BU10" s="904"/>
      <c r="BV10" s="906" t="s">
        <v>723</v>
      </c>
    </row>
    <row r="11" spans="1:79" ht="12" customHeight="1">
      <c r="D11" s="866"/>
      <c r="E11" s="866"/>
      <c r="F11" s="866"/>
      <c r="G11" s="866"/>
      <c r="H11" s="866"/>
      <c r="I11" s="866"/>
      <c r="J11" s="869">
        <f>IF(samplefix=1,"",(BA4-100)/100)</f>
        <v>0.3</v>
      </c>
      <c r="K11" s="866"/>
      <c r="L11" s="866"/>
      <c r="M11" s="866"/>
      <c r="N11" s="801">
        <f t="shared" si="1"/>
        <v>3.0599999992688074E-7</v>
      </c>
      <c r="W11" s="802">
        <f t="shared" si="2"/>
        <v>3.0599999992688074E-7</v>
      </c>
      <c r="Z11" s="802">
        <f t="shared" si="3"/>
        <v>3.0599999992688074E-7</v>
      </c>
      <c r="AW11" s="823" t="s">
        <v>710</v>
      </c>
      <c r="AX11" s="865">
        <v>-1.51</v>
      </c>
      <c r="AY11" s="52">
        <f>IF(AND(AY22,BM4),3,NA())</f>
        <v>3</v>
      </c>
      <c r="AZ11" s="43">
        <v>3</v>
      </c>
      <c r="BA11" s="43">
        <f t="shared" si="23"/>
        <v>0.1769440770149231</v>
      </c>
      <c r="BB11" s="43">
        <f t="shared" si="4"/>
        <v>1.7653107643127441E-3</v>
      </c>
      <c r="BC11" s="43">
        <f t="shared" si="5"/>
        <v>-0.92707392367922981</v>
      </c>
      <c r="BD11" s="43">
        <f t="shared" si="6"/>
        <v>-2.885209215414509</v>
      </c>
      <c r="BE11" s="43">
        <f t="shared" si="7"/>
        <v>-0.92707392367922981</v>
      </c>
      <c r="BF11" s="43">
        <f t="shared" si="8"/>
        <v>-2.885209215414509</v>
      </c>
      <c r="BG11" s="43" t="b">
        <f t="shared" si="9"/>
        <v>0</v>
      </c>
      <c r="BH11" s="43" t="e">
        <f t="shared" si="10"/>
        <v>#N/A</v>
      </c>
      <c r="BI11" s="43">
        <f t="shared" si="11"/>
        <v>-2.885209215414509</v>
      </c>
      <c r="BJ11" s="43" t="e">
        <f t="shared" si="12"/>
        <v>#N/A</v>
      </c>
      <c r="BK11" s="43">
        <f t="shared" si="13"/>
        <v>-2.94</v>
      </c>
      <c r="BL11" s="43" t="e">
        <f t="shared" si="14"/>
        <v>#N/A</v>
      </c>
      <c r="BM11" s="43">
        <f t="shared" si="15"/>
        <v>-2.885209215414509</v>
      </c>
      <c r="BN11" s="43" t="e">
        <f t="shared" si="16"/>
        <v>#N/A</v>
      </c>
      <c r="BO11" s="43">
        <f t="shared" si="17"/>
        <v>-2.94</v>
      </c>
      <c r="BP11" s="43">
        <f t="shared" si="18"/>
        <v>-2.9249999999999998</v>
      </c>
      <c r="BQ11" s="43" t="e">
        <f t="shared" si="19"/>
        <v>#N/A</v>
      </c>
      <c r="BR11" s="43">
        <f t="shared" si="20"/>
        <v>-0.55053298858334787</v>
      </c>
      <c r="BS11" s="43">
        <f t="shared" si="21"/>
        <v>-2.5244604751134627</v>
      </c>
      <c r="BT11" s="43">
        <f t="shared" si="22"/>
        <v>1.3897987699247529</v>
      </c>
    </row>
    <row r="12" spans="1:79" ht="12" customHeight="1">
      <c r="D12" s="866"/>
      <c r="E12" s="866"/>
      <c r="F12" s="866"/>
      <c r="G12" s="866"/>
      <c r="H12" s="866"/>
      <c r="I12" s="866"/>
      <c r="J12" s="866"/>
      <c r="K12" s="866"/>
      <c r="L12" s="866"/>
      <c r="M12" s="866"/>
      <c r="N12" s="801">
        <f t="shared" si="1"/>
        <v>3.0599999992688074E-7</v>
      </c>
      <c r="W12" s="802">
        <f t="shared" si="2"/>
        <v>3.0599999992688074E-7</v>
      </c>
      <c r="Z12" s="802">
        <f t="shared" si="3"/>
        <v>3.0599999992688074E-7</v>
      </c>
      <c r="AW12" s="823" t="s">
        <v>711</v>
      </c>
      <c r="AX12" s="865">
        <v>-1.63</v>
      </c>
      <c r="AY12" s="52">
        <f>IF(AND(AY22,BM4),3,NA())</f>
        <v>3</v>
      </c>
      <c r="AZ12" s="43">
        <v>4</v>
      </c>
      <c r="BA12" s="43">
        <f t="shared" si="23"/>
        <v>9.9380314350128174E-2</v>
      </c>
      <c r="BB12" s="43">
        <f t="shared" si="4"/>
        <v>0.72695690393447876</v>
      </c>
      <c r="BC12" s="43">
        <f t="shared" si="5"/>
        <v>-1.2850905922434621</v>
      </c>
      <c r="BD12" s="43">
        <f t="shared" si="6"/>
        <v>0.43406576019224496</v>
      </c>
      <c r="BE12" s="43">
        <f t="shared" si="7"/>
        <v>-1.2850905922434621</v>
      </c>
      <c r="BF12" s="43">
        <f t="shared" si="8"/>
        <v>0.43406576019224496</v>
      </c>
      <c r="BG12" s="43" t="b">
        <f t="shared" si="9"/>
        <v>0</v>
      </c>
      <c r="BH12" s="43" t="e">
        <f t="shared" si="10"/>
        <v>#N/A</v>
      </c>
      <c r="BI12" s="43">
        <f t="shared" si="11"/>
        <v>0.43406576019224496</v>
      </c>
      <c r="BJ12" s="43" t="e">
        <f t="shared" si="12"/>
        <v>#N/A</v>
      </c>
      <c r="BK12" s="43">
        <f t="shared" si="13"/>
        <v>-2.94</v>
      </c>
      <c r="BL12" s="43" t="e">
        <f t="shared" si="14"/>
        <v>#N/A</v>
      </c>
      <c r="BM12" s="43">
        <f t="shared" si="15"/>
        <v>0.43406576019224496</v>
      </c>
      <c r="BN12" s="43" t="e">
        <f t="shared" si="16"/>
        <v>#N/A</v>
      </c>
      <c r="BO12" s="43">
        <f t="shared" si="17"/>
        <v>-2.94</v>
      </c>
      <c r="BP12" s="43">
        <f t="shared" si="18"/>
        <v>-2.9249999999999998</v>
      </c>
      <c r="BQ12" s="43" t="e">
        <f t="shared" si="19"/>
        <v>#N/A</v>
      </c>
      <c r="BR12" s="43">
        <f t="shared" si="20"/>
        <v>-0.90854965714758018</v>
      </c>
      <c r="BS12" s="43">
        <f t="shared" si="21"/>
        <v>0.7948145004932915</v>
      </c>
      <c r="BT12" s="43">
        <f t="shared" si="22"/>
        <v>-0.72212844191910519</v>
      </c>
    </row>
    <row r="13" spans="1:79" ht="12" customHeight="1">
      <c r="D13" s="866"/>
      <c r="E13" s="866"/>
      <c r="F13" s="866"/>
      <c r="G13" s="866"/>
      <c r="H13" s="866"/>
      <c r="I13" s="870" t="s">
        <v>730</v>
      </c>
      <c r="J13" s="871">
        <f>IF(samplefix=2,IF(ABS(BD3)&lt;0.001,0,BD3),"")</f>
        <v>0.29999999268807587</v>
      </c>
      <c r="K13" s="866"/>
      <c r="L13" s="866"/>
      <c r="M13" s="866"/>
      <c r="N13" s="801">
        <f t="shared" si="1"/>
        <v>3.0599999992688074E-7</v>
      </c>
      <c r="W13" s="802">
        <f t="shared" si="2"/>
        <v>3.0599999992688074E-7</v>
      </c>
      <c r="Z13" s="802">
        <f t="shared" si="3"/>
        <v>3.0599999992688074E-7</v>
      </c>
      <c r="AZ13" s="43">
        <v>5</v>
      </c>
      <c r="BA13" s="43">
        <f t="shared" si="23"/>
        <v>0.84388762712478638</v>
      </c>
      <c r="BB13" s="43">
        <f t="shared" si="4"/>
        <v>0.6830177903175354</v>
      </c>
      <c r="BC13" s="43">
        <f t="shared" si="5"/>
        <v>1.0105648512762113</v>
      </c>
      <c r="BD13" s="43">
        <f t="shared" si="6"/>
        <v>0.56570336696341261</v>
      </c>
      <c r="BE13" s="43">
        <f t="shared" si="7"/>
        <v>1.0105648512762113</v>
      </c>
      <c r="BF13" s="43">
        <f t="shared" si="8"/>
        <v>0.56570336696341261</v>
      </c>
      <c r="BG13" s="43" t="b">
        <f t="shared" si="9"/>
        <v>0</v>
      </c>
      <c r="BH13" s="43" t="e">
        <f t="shared" si="10"/>
        <v>#N/A</v>
      </c>
      <c r="BI13" s="43">
        <f t="shared" si="11"/>
        <v>0.56570336696341261</v>
      </c>
      <c r="BJ13" s="43" t="e">
        <f t="shared" si="12"/>
        <v>#N/A</v>
      </c>
      <c r="BK13" s="43">
        <f t="shared" si="13"/>
        <v>-2.94</v>
      </c>
      <c r="BL13" s="43" t="e">
        <f t="shared" si="14"/>
        <v>#N/A</v>
      </c>
      <c r="BM13" s="43">
        <f t="shared" si="15"/>
        <v>0.56570336696341261</v>
      </c>
      <c r="BN13" s="43" t="e">
        <f t="shared" si="16"/>
        <v>#N/A</v>
      </c>
      <c r="BO13" s="43">
        <f t="shared" si="17"/>
        <v>-2.94</v>
      </c>
      <c r="BP13" s="43">
        <f t="shared" si="18"/>
        <v>-2.9249999999999998</v>
      </c>
      <c r="BQ13" s="43" t="e">
        <f t="shared" si="19"/>
        <v>#N/A</v>
      </c>
      <c r="BR13" s="43">
        <f t="shared" si="20"/>
        <v>1.3871057863720933</v>
      </c>
      <c r="BS13" s="43">
        <f t="shared" si="21"/>
        <v>0.92645210726445915</v>
      </c>
      <c r="BT13" s="43">
        <f t="shared" si="22"/>
        <v>1.2850870787831505</v>
      </c>
    </row>
    <row r="14" spans="1:79" ht="12" customHeight="1">
      <c r="D14" s="872"/>
      <c r="E14" s="873"/>
      <c r="F14" s="873"/>
      <c r="G14" s="873"/>
      <c r="H14" s="873"/>
      <c r="I14" s="873"/>
      <c r="J14" s="873"/>
      <c r="K14" s="873"/>
      <c r="L14" s="873"/>
      <c r="M14" s="874"/>
      <c r="N14" s="801">
        <f t="shared" si="1"/>
        <v>3.0599999992688074E-7</v>
      </c>
      <c r="W14" s="802">
        <f t="shared" si="2"/>
        <v>3.0599999992688074E-7</v>
      </c>
      <c r="Z14" s="802">
        <f t="shared" si="3"/>
        <v>3.0599999992688074E-7</v>
      </c>
      <c r="AW14" s="791" t="s">
        <v>712</v>
      </c>
      <c r="AX14" s="805"/>
      <c r="AY14" s="459"/>
      <c r="AZ14" s="43">
        <v>6</v>
      </c>
      <c r="BA14" s="43">
        <f t="shared" si="23"/>
        <v>0.91098481416702271</v>
      </c>
      <c r="BB14" s="43">
        <f t="shared" si="4"/>
        <v>0.25950485467910767</v>
      </c>
      <c r="BC14" s="43">
        <f t="shared" si="5"/>
        <v>1.3468443375550168</v>
      </c>
      <c r="BD14" s="43">
        <f t="shared" si="6"/>
        <v>-0.46659137180165478</v>
      </c>
      <c r="BE14" s="43">
        <f t="shared" si="7"/>
        <v>1.3468443375550168</v>
      </c>
      <c r="BF14" s="43">
        <f t="shared" si="8"/>
        <v>-0.46659137180165478</v>
      </c>
      <c r="BG14" s="43" t="b">
        <f t="shared" si="9"/>
        <v>0</v>
      </c>
      <c r="BH14" s="43" t="e">
        <f t="shared" si="10"/>
        <v>#N/A</v>
      </c>
      <c r="BI14" s="43">
        <f t="shared" si="11"/>
        <v>-0.46659137180165478</v>
      </c>
      <c r="BJ14" s="43" t="e">
        <f t="shared" si="12"/>
        <v>#N/A</v>
      </c>
      <c r="BK14" s="43">
        <f t="shared" si="13"/>
        <v>-2.94</v>
      </c>
      <c r="BL14" s="43" t="e">
        <f t="shared" si="14"/>
        <v>#N/A</v>
      </c>
      <c r="BM14" s="43">
        <f t="shared" si="15"/>
        <v>-0.46659137180165478</v>
      </c>
      <c r="BN14" s="43" t="e">
        <f t="shared" si="16"/>
        <v>#N/A</v>
      </c>
      <c r="BO14" s="43">
        <f t="shared" si="17"/>
        <v>-2.94</v>
      </c>
      <c r="BP14" s="43">
        <f t="shared" si="18"/>
        <v>-2.9249999999999998</v>
      </c>
      <c r="BQ14" s="43" t="e">
        <f t="shared" si="19"/>
        <v>#N/A</v>
      </c>
      <c r="BR14" s="43">
        <f t="shared" si="20"/>
        <v>1.7233852726508987</v>
      </c>
      <c r="BS14" s="43">
        <f t="shared" si="21"/>
        <v>-0.10584263150060824</v>
      </c>
      <c r="BT14" s="43">
        <f t="shared" si="22"/>
        <v>-0.18240763234676433</v>
      </c>
    </row>
    <row r="15" spans="1:79" ht="12" customHeight="1">
      <c r="D15" s="875">
        <v>3</v>
      </c>
      <c r="E15" s="842"/>
      <c r="F15" s="876" t="s">
        <v>713</v>
      </c>
      <c r="G15" s="842"/>
      <c r="H15" s="842"/>
      <c r="I15" s="842"/>
      <c r="J15" s="877" t="s">
        <v>714</v>
      </c>
      <c r="K15" s="842"/>
      <c r="L15" s="842"/>
      <c r="M15" s="842"/>
      <c r="N15" s="801">
        <f t="shared" si="1"/>
        <v>3.0599999992688074E-7</v>
      </c>
      <c r="W15" s="802">
        <f t="shared" si="2"/>
        <v>3.0599999992688074E-7</v>
      </c>
      <c r="Z15" s="802">
        <f t="shared" si="3"/>
        <v>3.0599999992688074E-7</v>
      </c>
      <c r="AW15" s="878" t="s">
        <v>715</v>
      </c>
      <c r="AX15" s="879"/>
      <c r="AY15" s="792"/>
      <c r="AZ15" s="43">
        <v>7</v>
      </c>
      <c r="BA15" s="43">
        <f t="shared" si="23"/>
        <v>0.84147387742996216</v>
      </c>
      <c r="BB15" s="43">
        <f t="shared" si="4"/>
        <v>0.68215662240982056</v>
      </c>
      <c r="BC15" s="43">
        <f t="shared" si="5"/>
        <v>1.0005338077014621</v>
      </c>
      <c r="BD15" s="43">
        <f t="shared" si="6"/>
        <v>0.56229173138341071</v>
      </c>
      <c r="BE15" s="43">
        <f t="shared" si="7"/>
        <v>1.0005338077014621</v>
      </c>
      <c r="BF15" s="43">
        <f t="shared" si="8"/>
        <v>0.56229173138341071</v>
      </c>
      <c r="BG15" s="43" t="b">
        <f t="shared" si="9"/>
        <v>0</v>
      </c>
      <c r="BH15" s="43" t="e">
        <f t="shared" si="10"/>
        <v>#N/A</v>
      </c>
      <c r="BI15" s="43">
        <f t="shared" si="11"/>
        <v>0.56229173138341071</v>
      </c>
      <c r="BJ15" s="43" t="e">
        <f t="shared" si="12"/>
        <v>#N/A</v>
      </c>
      <c r="BK15" s="43">
        <f t="shared" si="13"/>
        <v>-2.94</v>
      </c>
      <c r="BL15" s="43" t="e">
        <f t="shared" si="14"/>
        <v>#N/A</v>
      </c>
      <c r="BM15" s="43">
        <f t="shared" si="15"/>
        <v>0.56229173138341071</v>
      </c>
      <c r="BN15" s="43" t="e">
        <f t="shared" si="16"/>
        <v>#N/A</v>
      </c>
      <c r="BO15" s="43">
        <f t="shared" si="17"/>
        <v>-2.94</v>
      </c>
      <c r="BP15" s="43">
        <f t="shared" si="18"/>
        <v>-2.9249999999999998</v>
      </c>
      <c r="BQ15" s="43" t="e">
        <f t="shared" si="19"/>
        <v>#N/A</v>
      </c>
      <c r="BR15" s="43">
        <f t="shared" si="20"/>
        <v>1.377074742797344</v>
      </c>
      <c r="BS15" s="43">
        <f t="shared" si="21"/>
        <v>0.92304047168445724</v>
      </c>
      <c r="BT15" s="43">
        <f t="shared" si="22"/>
        <v>1.271095720136413</v>
      </c>
    </row>
    <row r="16" spans="1:79" ht="12" customHeight="1">
      <c r="D16" s="842"/>
      <c r="E16" s="842"/>
      <c r="F16" s="842"/>
      <c r="G16" s="842"/>
      <c r="H16" s="842"/>
      <c r="I16" s="842"/>
      <c r="J16" s="880" t="s">
        <v>716</v>
      </c>
      <c r="K16" s="842"/>
      <c r="L16" s="842"/>
      <c r="M16" s="842"/>
      <c r="N16" s="801">
        <f t="shared" si="1"/>
        <v>3.0599999992688074E-7</v>
      </c>
      <c r="W16" s="802">
        <f t="shared" si="2"/>
        <v>3.0599999992688074E-7</v>
      </c>
      <c r="Z16" s="802">
        <f t="shared" si="3"/>
        <v>3.0599999992688074E-7</v>
      </c>
      <c r="AW16" s="92"/>
      <c r="AX16" s="54" t="s">
        <v>652</v>
      </c>
      <c r="AY16" s="881" t="s">
        <v>717</v>
      </c>
      <c r="AZ16" s="43">
        <v>8</v>
      </c>
      <c r="BA16" s="43">
        <f t="shared" si="23"/>
        <v>0.10901814699172974</v>
      </c>
      <c r="BB16" s="43">
        <f t="shared" si="4"/>
        <v>0.11640888452529907</v>
      </c>
      <c r="BC16" s="43">
        <f t="shared" si="5"/>
        <v>-1.2317665712248749</v>
      </c>
      <c r="BD16" s="43">
        <f t="shared" si="6"/>
        <v>-1.2740582396679703</v>
      </c>
      <c r="BE16" s="43">
        <f t="shared" si="7"/>
        <v>-1.2317665712248749</v>
      </c>
      <c r="BF16" s="43">
        <f t="shared" si="8"/>
        <v>-1.2740582396679703</v>
      </c>
      <c r="BG16" s="43" t="b">
        <f t="shared" si="9"/>
        <v>0</v>
      </c>
      <c r="BH16" s="43" t="e">
        <f t="shared" si="10"/>
        <v>#N/A</v>
      </c>
      <c r="BI16" s="43">
        <f t="shared" si="11"/>
        <v>-1.2740582396679703</v>
      </c>
      <c r="BJ16" s="43" t="e">
        <f t="shared" si="12"/>
        <v>#N/A</v>
      </c>
      <c r="BK16" s="43">
        <f t="shared" si="13"/>
        <v>-2.94</v>
      </c>
      <c r="BL16" s="43" t="e">
        <f t="shared" si="14"/>
        <v>#N/A</v>
      </c>
      <c r="BM16" s="43">
        <f t="shared" si="15"/>
        <v>-1.2740582396679703</v>
      </c>
      <c r="BN16" s="43" t="e">
        <f t="shared" si="16"/>
        <v>#N/A</v>
      </c>
      <c r="BO16" s="43">
        <f t="shared" si="17"/>
        <v>-2.94</v>
      </c>
      <c r="BP16" s="43">
        <f t="shared" si="18"/>
        <v>-2.9249999999999998</v>
      </c>
      <c r="BQ16" s="43" t="e">
        <f t="shared" si="19"/>
        <v>#N/A</v>
      </c>
      <c r="BR16" s="43">
        <f t="shared" si="20"/>
        <v>-0.85522563612899294</v>
      </c>
      <c r="BS16" s="43">
        <f t="shared" si="21"/>
        <v>-0.91330949936692374</v>
      </c>
      <c r="BT16" s="43">
        <f t="shared" si="22"/>
        <v>0.78108569757872948</v>
      </c>
    </row>
    <row r="17" spans="4:72" ht="12" customHeight="1">
      <c r="D17" s="842"/>
      <c r="E17" s="842"/>
      <c r="F17" s="842"/>
      <c r="G17" s="842"/>
      <c r="H17" s="842"/>
      <c r="I17" s="842"/>
      <c r="J17" s="882" t="s">
        <v>652</v>
      </c>
      <c r="K17" s="842"/>
      <c r="L17" s="842"/>
      <c r="M17" s="842"/>
      <c r="N17" s="801">
        <f t="shared" si="1"/>
        <v>3.0599999992688074E-7</v>
      </c>
      <c r="W17" s="802">
        <f t="shared" si="2"/>
        <v>3.0599999992688074E-7</v>
      </c>
      <c r="Z17" s="802">
        <f t="shared" si="3"/>
        <v>3.0599999992688074E-7</v>
      </c>
      <c r="AW17" s="92" t="s">
        <v>652</v>
      </c>
      <c r="AX17" s="883">
        <f>J13</f>
        <v>0.29999999268807587</v>
      </c>
      <c r="AY17" s="792">
        <f>0.5*LN((1+BD3)/(1-BD3))</f>
        <v>0.30951959616803026</v>
      </c>
      <c r="AZ17" s="43">
        <v>9</v>
      </c>
      <c r="BA17" s="43">
        <f t="shared" si="23"/>
        <v>0.96584540605545044</v>
      </c>
      <c r="BB17" s="43">
        <f t="shared" si="4"/>
        <v>0.16153532266616821</v>
      </c>
      <c r="BC17" s="43">
        <f t="shared" si="5"/>
        <v>1.8229617263756963</v>
      </c>
      <c r="BD17" s="43">
        <f t="shared" si="6"/>
        <v>-0.74155055550030591</v>
      </c>
      <c r="BE17" s="43">
        <f t="shared" si="7"/>
        <v>1.8229617263756963</v>
      </c>
      <c r="BF17" s="43">
        <f t="shared" si="8"/>
        <v>-0.74155055550030591</v>
      </c>
      <c r="BG17" s="43" t="b">
        <f t="shared" si="9"/>
        <v>0</v>
      </c>
      <c r="BH17" s="43" t="e">
        <f t="shared" si="10"/>
        <v>#N/A</v>
      </c>
      <c r="BI17" s="43">
        <f t="shared" si="11"/>
        <v>-0.74155055550030591</v>
      </c>
      <c r="BJ17" s="43" t="e">
        <f t="shared" si="12"/>
        <v>#N/A</v>
      </c>
      <c r="BK17" s="43">
        <f t="shared" si="13"/>
        <v>-2.94</v>
      </c>
      <c r="BL17" s="43" t="e">
        <f t="shared" si="14"/>
        <v>#N/A</v>
      </c>
      <c r="BM17" s="43">
        <f t="shared" si="15"/>
        <v>-0.74155055550030591</v>
      </c>
      <c r="BN17" s="43" t="e">
        <f t="shared" si="16"/>
        <v>#N/A</v>
      </c>
      <c r="BO17" s="43">
        <f t="shared" si="17"/>
        <v>-2.94</v>
      </c>
      <c r="BP17" s="43">
        <f t="shared" si="18"/>
        <v>-2.9249999999999998</v>
      </c>
      <c r="BQ17" s="43" t="e">
        <f t="shared" si="19"/>
        <v>#N/A</v>
      </c>
      <c r="BR17" s="43">
        <f t="shared" si="20"/>
        <v>2.1995026614715782</v>
      </c>
      <c r="BS17" s="43">
        <f t="shared" si="21"/>
        <v>-0.38080181519925937</v>
      </c>
      <c r="BT17" s="43">
        <f t="shared" si="22"/>
        <v>-0.83757460602397904</v>
      </c>
    </row>
    <row r="18" spans="4:72" ht="12" customHeight="1">
      <c r="D18" s="884"/>
      <c r="E18" s="204"/>
      <c r="F18" s="204"/>
      <c r="G18" s="204"/>
      <c r="H18" s="885"/>
      <c r="I18" s="204"/>
      <c r="J18" s="47" t="str">
        <f>IF(samplefix=2,"",(BB4-100)/100)</f>
        <v/>
      </c>
      <c r="K18" s="204"/>
      <c r="L18" s="204"/>
      <c r="M18" s="886"/>
      <c r="N18" s="801">
        <f t="shared" si="1"/>
        <v>3.0599999992688074E-7</v>
      </c>
      <c r="W18" s="802">
        <f t="shared" si="2"/>
        <v>3.0599999992688074E-7</v>
      </c>
      <c r="Z18" s="802">
        <f t="shared" si="3"/>
        <v>3.0599999992688074E-7</v>
      </c>
      <c r="AW18" s="92" t="s">
        <v>718</v>
      </c>
      <c r="AX18" s="879"/>
      <c r="AY18" s="792">
        <f>1/SQRT(H6-3)</f>
        <v>0.19245008972987526</v>
      </c>
      <c r="AZ18" s="43">
        <v>10</v>
      </c>
      <c r="BA18" s="43">
        <f t="shared" si="23"/>
        <v>0.36657601594924927</v>
      </c>
      <c r="BB18" s="43">
        <f t="shared" si="4"/>
        <v>0.36041313409805298</v>
      </c>
      <c r="BC18" s="43">
        <f t="shared" si="5"/>
        <v>-0.34093564230330187</v>
      </c>
      <c r="BD18" s="43">
        <f t="shared" si="6"/>
        <v>-0.37850519813008177</v>
      </c>
      <c r="BE18" s="43">
        <f t="shared" si="7"/>
        <v>-0.34093564230330187</v>
      </c>
      <c r="BF18" s="43">
        <f t="shared" si="8"/>
        <v>-0.37850519813008177</v>
      </c>
      <c r="BG18" s="43" t="b">
        <f t="shared" si="9"/>
        <v>0</v>
      </c>
      <c r="BH18" s="43" t="e">
        <f t="shared" si="10"/>
        <v>#N/A</v>
      </c>
      <c r="BI18" s="43">
        <f t="shared" si="11"/>
        <v>-0.37850519813008177</v>
      </c>
      <c r="BJ18" s="43" t="e">
        <f t="shared" si="12"/>
        <v>#N/A</v>
      </c>
      <c r="BK18" s="43">
        <f t="shared" si="13"/>
        <v>-2.94</v>
      </c>
      <c r="BL18" s="43" t="e">
        <f t="shared" si="14"/>
        <v>#N/A</v>
      </c>
      <c r="BM18" s="43">
        <f t="shared" si="15"/>
        <v>-0.37850519813008177</v>
      </c>
      <c r="BN18" s="43" t="e">
        <f t="shared" si="16"/>
        <v>#N/A</v>
      </c>
      <c r="BO18" s="43">
        <f t="shared" si="17"/>
        <v>-2.94</v>
      </c>
      <c r="BP18" s="43">
        <f t="shared" si="18"/>
        <v>-2.9249999999999998</v>
      </c>
      <c r="BQ18" s="43" t="e">
        <f t="shared" si="19"/>
        <v>#N/A</v>
      </c>
      <c r="BR18" s="43">
        <f t="shared" si="20"/>
        <v>3.5605292792580012E-2</v>
      </c>
      <c r="BS18" s="43">
        <f t="shared" si="21"/>
        <v>-1.7756457829035233E-2</v>
      </c>
      <c r="BT18" s="43">
        <f t="shared" si="22"/>
        <v>-6.3222387996189915E-4</v>
      </c>
    </row>
    <row r="19" spans="4:72" ht="12" customHeight="1">
      <c r="D19" s="842"/>
      <c r="E19" s="842"/>
      <c r="F19" s="842"/>
      <c r="G19" s="842"/>
      <c r="H19" s="842"/>
      <c r="I19" s="842"/>
      <c r="J19" s="842"/>
      <c r="K19" s="842"/>
      <c r="L19" s="842"/>
      <c r="M19" s="842"/>
      <c r="N19" s="801">
        <f t="shared" si="1"/>
        <v>3.0599999992688074E-7</v>
      </c>
      <c r="W19" s="802">
        <f t="shared" si="2"/>
        <v>3.0599999992688074E-7</v>
      </c>
      <c r="Z19" s="802">
        <f t="shared" si="3"/>
        <v>3.0599999992688074E-7</v>
      </c>
      <c r="AW19" s="92" t="s">
        <v>1538</v>
      </c>
      <c r="AX19" s="879" t="str">
        <f>IF(J20="","",IF(ABS(J20)=1,"",(EXP(2*AY19)-1)/(EXP(2*AY19)+1)))</f>
        <v/>
      </c>
      <c r="AY19" s="792">
        <f>AY17-AX21*AY18</f>
        <v>-6.7675648524026966E-2</v>
      </c>
      <c r="AZ19" s="43">
        <v>11</v>
      </c>
      <c r="BA19" s="43">
        <f t="shared" si="23"/>
        <v>9.5176041126251221E-2</v>
      </c>
      <c r="BB19" s="43">
        <f t="shared" si="4"/>
        <v>0.34991365671157837</v>
      </c>
      <c r="BC19" s="43">
        <f t="shared" si="5"/>
        <v>-1.3095382725108271</v>
      </c>
      <c r="BD19" s="43">
        <f t="shared" si="6"/>
        <v>-0.51225717883440647</v>
      </c>
      <c r="BE19" s="43">
        <f t="shared" si="7"/>
        <v>-1.3095382725108271</v>
      </c>
      <c r="BF19" s="43">
        <f t="shared" si="8"/>
        <v>-0.51225717883440647</v>
      </c>
      <c r="BG19" s="43" t="b">
        <f t="shared" si="9"/>
        <v>0</v>
      </c>
      <c r="BH19" s="43" t="e">
        <f t="shared" si="10"/>
        <v>#N/A</v>
      </c>
      <c r="BI19" s="43">
        <f t="shared" si="11"/>
        <v>-0.51225717883440647</v>
      </c>
      <c r="BJ19" s="43" t="e">
        <f t="shared" si="12"/>
        <v>#N/A</v>
      </c>
      <c r="BK19" s="43">
        <f t="shared" si="13"/>
        <v>-2.94</v>
      </c>
      <c r="BL19" s="43" t="e">
        <f t="shared" si="14"/>
        <v>#N/A</v>
      </c>
      <c r="BM19" s="43">
        <f t="shared" si="15"/>
        <v>-0.51225717883440647</v>
      </c>
      <c r="BN19" s="43" t="e">
        <f t="shared" si="16"/>
        <v>#N/A</v>
      </c>
      <c r="BO19" s="43">
        <f t="shared" si="17"/>
        <v>-2.94</v>
      </c>
      <c r="BP19" s="43">
        <f t="shared" si="18"/>
        <v>-2.9249999999999998</v>
      </c>
      <c r="BQ19" s="43" t="e">
        <f t="shared" si="19"/>
        <v>#N/A</v>
      </c>
      <c r="BR19" s="43">
        <f t="shared" si="20"/>
        <v>-0.93299733741494517</v>
      </c>
      <c r="BS19" s="43">
        <f t="shared" si="21"/>
        <v>-0.15150843853335993</v>
      </c>
      <c r="BT19" s="43">
        <f t="shared" si="22"/>
        <v>0.14135696974752071</v>
      </c>
    </row>
    <row r="20" spans="4:72" ht="12" customHeight="1">
      <c r="D20" s="842"/>
      <c r="E20" s="204"/>
      <c r="F20" s="842"/>
      <c r="G20" s="842"/>
      <c r="H20" s="842"/>
      <c r="I20" s="887" t="s">
        <v>730</v>
      </c>
      <c r="J20" s="888" t="str">
        <f>IF(samplefix=1,IF(ABS(BD3)&lt;0.001,0,BD3),"")</f>
        <v/>
      </c>
      <c r="K20" s="842"/>
      <c r="L20" s="842"/>
      <c r="M20" s="842"/>
      <c r="N20" s="801">
        <f t="shared" si="1"/>
        <v>3.0599999992688074E-7</v>
      </c>
      <c r="W20" s="802">
        <f t="shared" si="2"/>
        <v>3.0599999992688074E-7</v>
      </c>
      <c r="Z20" s="802">
        <f t="shared" si="3"/>
        <v>3.0599999992688074E-7</v>
      </c>
      <c r="AW20" s="92" t="s">
        <v>1537</v>
      </c>
      <c r="AX20" s="879" t="str">
        <f>IF(J20="","",IF(ABS(J20)=1,"",(EXP(2*AY20)-1)/(EXP(2*AY20)+1)))</f>
        <v/>
      </c>
      <c r="AY20" s="792">
        <f>AY17+AX21*AY18</f>
        <v>0.68671484086008749</v>
      </c>
      <c r="AZ20" s="43">
        <v>12</v>
      </c>
      <c r="BA20" s="43">
        <f t="shared" si="23"/>
        <v>0.2200353741645813</v>
      </c>
      <c r="BB20" s="43">
        <f t="shared" si="4"/>
        <v>0.27691799402236938</v>
      </c>
      <c r="BC20" s="43">
        <f t="shared" si="5"/>
        <v>-0.77207375015769064</v>
      </c>
      <c r="BD20" s="43">
        <f t="shared" si="6"/>
        <v>-0.64992458489495397</v>
      </c>
      <c r="BE20" s="43">
        <f t="shared" si="7"/>
        <v>-0.77207375015769064</v>
      </c>
      <c r="BF20" s="43">
        <f t="shared" si="8"/>
        <v>-0.64992458489495397</v>
      </c>
      <c r="BG20" s="43" t="b">
        <f t="shared" si="9"/>
        <v>0</v>
      </c>
      <c r="BH20" s="43" t="e">
        <f t="shared" si="10"/>
        <v>#N/A</v>
      </c>
      <c r="BI20" s="43">
        <f t="shared" si="11"/>
        <v>-0.64992458489495397</v>
      </c>
      <c r="BJ20" s="43" t="e">
        <f t="shared" si="12"/>
        <v>#N/A</v>
      </c>
      <c r="BK20" s="43">
        <f t="shared" si="13"/>
        <v>-2.94</v>
      </c>
      <c r="BL20" s="43" t="e">
        <f t="shared" si="14"/>
        <v>#N/A</v>
      </c>
      <c r="BM20" s="43">
        <f t="shared" si="15"/>
        <v>-0.64992458489495397</v>
      </c>
      <c r="BN20" s="43" t="e">
        <f t="shared" si="16"/>
        <v>#N/A</v>
      </c>
      <c r="BO20" s="43">
        <f t="shared" si="17"/>
        <v>-2.94</v>
      </c>
      <c r="BP20" s="43">
        <f t="shared" si="18"/>
        <v>-2.9249999999999998</v>
      </c>
      <c r="BQ20" s="43" t="e">
        <f t="shared" si="19"/>
        <v>#N/A</v>
      </c>
      <c r="BR20" s="43">
        <f t="shared" si="20"/>
        <v>-0.39553281506180876</v>
      </c>
      <c r="BS20" s="43">
        <f t="shared" si="21"/>
        <v>-0.28917584459390744</v>
      </c>
      <c r="BT20" s="43">
        <f t="shared" si="22"/>
        <v>0.11437853586010434</v>
      </c>
    </row>
    <row r="21" spans="4:72" ht="12" customHeight="1">
      <c r="D21" s="842"/>
      <c r="E21" s="842"/>
      <c r="F21" s="842"/>
      <c r="G21" s="842"/>
      <c r="H21" s="842"/>
      <c r="I21" s="205" t="s">
        <v>731</v>
      </c>
      <c r="J21" s="871" t="str">
        <f>IF(AND(samplefix=1,AX19&lt;&gt;""),AX19,"")</f>
        <v/>
      </c>
      <c r="K21" s="889" t="s">
        <v>1535</v>
      </c>
      <c r="L21" s="871" t="str">
        <f>IF(AND(samplefix=1,AX20&lt;&gt;""),AX20,"")</f>
        <v/>
      </c>
      <c r="M21" s="890" t="s">
        <v>1536</v>
      </c>
      <c r="N21" s="801">
        <f t="shared" si="1"/>
        <v>3.0599999992688074E-7</v>
      </c>
      <c r="W21" s="802">
        <f t="shared" si="2"/>
        <v>3.0599999992688074E-7</v>
      </c>
      <c r="Z21" s="802">
        <f t="shared" si="3"/>
        <v>3.0599999992688074E-7</v>
      </c>
      <c r="AW21" s="92" t="s">
        <v>1193</v>
      </c>
      <c r="AX21" s="48">
        <f>NORMSINV(0.975)</f>
        <v>1.959963984540054</v>
      </c>
      <c r="AY21" s="792"/>
      <c r="AZ21" s="43">
        <v>13</v>
      </c>
      <c r="BA21" s="43">
        <f t="shared" si="23"/>
        <v>2.170860767364502E-3</v>
      </c>
      <c r="BB21" s="43">
        <f t="shared" si="4"/>
        <v>0.10495764017105103</v>
      </c>
      <c r="BC21" s="43">
        <f t="shared" si="5"/>
        <v>-2.8522040873406702</v>
      </c>
      <c r="BD21" s="43">
        <f t="shared" si="6"/>
        <v>-1.5106900750069108</v>
      </c>
      <c r="BE21" s="43">
        <f t="shared" si="7"/>
        <v>-2.8522040873406702</v>
      </c>
      <c r="BF21" s="43">
        <f t="shared" si="8"/>
        <v>-1.5106900750069108</v>
      </c>
      <c r="BG21" s="43" t="b">
        <f t="shared" si="9"/>
        <v>0</v>
      </c>
      <c r="BH21" s="43" t="e">
        <f t="shared" si="10"/>
        <v>#N/A</v>
      </c>
      <c r="BI21" s="43">
        <f t="shared" si="11"/>
        <v>-1.5106900750069108</v>
      </c>
      <c r="BJ21" s="43" t="e">
        <f t="shared" si="12"/>
        <v>#N/A</v>
      </c>
      <c r="BK21" s="43">
        <f t="shared" si="13"/>
        <v>-2.94</v>
      </c>
      <c r="BL21" s="43" t="e">
        <f t="shared" si="14"/>
        <v>#N/A</v>
      </c>
      <c r="BM21" s="43">
        <f t="shared" si="15"/>
        <v>-1.5106900750069108</v>
      </c>
      <c r="BN21" s="43" t="e">
        <f t="shared" si="16"/>
        <v>#N/A</v>
      </c>
      <c r="BO21" s="43">
        <f t="shared" si="17"/>
        <v>-2.94</v>
      </c>
      <c r="BP21" s="43">
        <f t="shared" si="18"/>
        <v>-2.9249999999999998</v>
      </c>
      <c r="BQ21" s="43" t="e">
        <f t="shared" si="19"/>
        <v>#N/A</v>
      </c>
      <c r="BR21" s="43">
        <f t="shared" si="20"/>
        <v>-2.4756631522447883</v>
      </c>
      <c r="BS21" s="43">
        <f t="shared" si="21"/>
        <v>-1.1499413347058642</v>
      </c>
      <c r="BT21" s="43">
        <f t="shared" si="22"/>
        <v>2.8468673895744989</v>
      </c>
    </row>
    <row r="22" spans="4:72" ht="12" customHeight="1">
      <c r="D22" s="842"/>
      <c r="E22" s="842"/>
      <c r="F22" s="842" t="s">
        <v>719</v>
      </c>
      <c r="G22" s="842"/>
      <c r="H22" s="880"/>
      <c r="I22" s="842"/>
      <c r="J22" s="842"/>
      <c r="K22" s="842"/>
      <c r="L22" s="842"/>
      <c r="M22" s="842"/>
      <c r="N22" s="801">
        <f t="shared" si="1"/>
        <v>3.0599999992688074E-7</v>
      </c>
      <c r="W22" s="802">
        <f t="shared" si="2"/>
        <v>3.0599999992688074E-7</v>
      </c>
      <c r="Z22" s="802">
        <f t="shared" si="3"/>
        <v>3.0599999992688074E-7</v>
      </c>
      <c r="AW22" s="826"/>
      <c r="AX22" s="814" t="s">
        <v>720</v>
      </c>
      <c r="AY22" s="829" t="b">
        <f>IF(A7=B7,TRUE,FALSE)</f>
        <v>1</v>
      </c>
      <c r="AZ22" s="43">
        <v>14</v>
      </c>
      <c r="BA22" s="43">
        <f t="shared" si="23"/>
        <v>0.38155442476272583</v>
      </c>
      <c r="BB22" s="43">
        <f t="shared" si="4"/>
        <v>0.43648010492324829</v>
      </c>
      <c r="BC22" s="43">
        <f t="shared" si="5"/>
        <v>-0.30140084567241654</v>
      </c>
      <c r="BD22" s="43">
        <f t="shared" si="6"/>
        <v>-0.18578365562861091</v>
      </c>
      <c r="BE22" s="43">
        <f t="shared" si="7"/>
        <v>-0.30140084567241654</v>
      </c>
      <c r="BF22" s="43">
        <f t="shared" si="8"/>
        <v>-0.18578365562861091</v>
      </c>
      <c r="BG22" s="43" t="b">
        <f t="shared" si="9"/>
        <v>0</v>
      </c>
      <c r="BH22" s="43" t="e">
        <f t="shared" si="10"/>
        <v>#N/A</v>
      </c>
      <c r="BI22" s="43">
        <f t="shared" si="11"/>
        <v>-0.18578365562861091</v>
      </c>
      <c r="BJ22" s="43" t="e">
        <f t="shared" si="12"/>
        <v>#N/A</v>
      </c>
      <c r="BK22" s="43">
        <f t="shared" si="13"/>
        <v>-2.94</v>
      </c>
      <c r="BL22" s="43" t="e">
        <f t="shared" si="14"/>
        <v>#N/A</v>
      </c>
      <c r="BM22" s="43">
        <f t="shared" si="15"/>
        <v>-0.18578365562861091</v>
      </c>
      <c r="BN22" s="43" t="e">
        <f t="shared" si="16"/>
        <v>#N/A</v>
      </c>
      <c r="BO22" s="43">
        <f t="shared" si="17"/>
        <v>-2.94</v>
      </c>
      <c r="BP22" s="43">
        <f t="shared" si="18"/>
        <v>-2.9249999999999998</v>
      </c>
      <c r="BQ22" s="43" t="e">
        <f t="shared" si="19"/>
        <v>#N/A</v>
      </c>
      <c r="BR22" s="43">
        <f t="shared" si="20"/>
        <v>7.5140089423465339E-2</v>
      </c>
      <c r="BS22" s="43">
        <f t="shared" si="21"/>
        <v>0.17496508467243563</v>
      </c>
      <c r="BT22" s="43">
        <f t="shared" si="22"/>
        <v>1.3146892108270998E-2</v>
      </c>
    </row>
    <row r="23" spans="4:72" ht="12" customHeight="1">
      <c r="D23" s="891"/>
      <c r="E23" s="892"/>
      <c r="F23" s="892"/>
      <c r="G23" s="892"/>
      <c r="H23" s="892"/>
      <c r="I23" s="892"/>
      <c r="J23" s="892"/>
      <c r="K23" s="892"/>
      <c r="L23" s="892"/>
      <c r="M23" s="893"/>
      <c r="N23" s="801">
        <f t="shared" si="1"/>
        <v>3.0599999992688074E-7</v>
      </c>
      <c r="W23" s="802">
        <f t="shared" si="2"/>
        <v>3.0599999992688074E-7</v>
      </c>
      <c r="Z23" s="802">
        <f t="shared" si="3"/>
        <v>3.0599999992688074E-7</v>
      </c>
      <c r="AZ23" s="43">
        <v>15</v>
      </c>
      <c r="BA23" s="43">
        <f t="shared" si="23"/>
        <v>0.16656619310379028</v>
      </c>
      <c r="BB23" s="43">
        <f t="shared" si="4"/>
        <v>0.47573953866958618</v>
      </c>
      <c r="BC23" s="43">
        <f t="shared" si="5"/>
        <v>-0.96782377837347178</v>
      </c>
      <c r="BD23" s="43">
        <f t="shared" si="6"/>
        <v>-0.16481277227678065</v>
      </c>
      <c r="BE23" s="43">
        <f t="shared" si="7"/>
        <v>-0.96782377837347178</v>
      </c>
      <c r="BF23" s="43">
        <f t="shared" si="8"/>
        <v>-0.16481277227678065</v>
      </c>
      <c r="BG23" s="43" t="b">
        <f t="shared" si="9"/>
        <v>0</v>
      </c>
      <c r="BH23" s="43" t="e">
        <f t="shared" si="10"/>
        <v>#N/A</v>
      </c>
      <c r="BI23" s="43">
        <f t="shared" si="11"/>
        <v>-0.16481277227678065</v>
      </c>
      <c r="BJ23" s="43" t="e">
        <f t="shared" si="12"/>
        <v>#N/A</v>
      </c>
      <c r="BK23" s="43">
        <f t="shared" si="13"/>
        <v>-2.94</v>
      </c>
      <c r="BL23" s="43" t="e">
        <f t="shared" si="14"/>
        <v>#N/A</v>
      </c>
      <c r="BM23" s="43">
        <f t="shared" si="15"/>
        <v>-0.16481277227678065</v>
      </c>
      <c r="BN23" s="43" t="e">
        <f t="shared" si="16"/>
        <v>#N/A</v>
      </c>
      <c r="BO23" s="43">
        <f t="shared" si="17"/>
        <v>-2.94</v>
      </c>
      <c r="BP23" s="43">
        <f t="shared" si="18"/>
        <v>-2.9249999999999998</v>
      </c>
      <c r="BQ23" s="43" t="e">
        <f t="shared" si="19"/>
        <v>#N/A</v>
      </c>
      <c r="BR23" s="43">
        <f t="shared" si="20"/>
        <v>-0.59128284327758984</v>
      </c>
      <c r="BS23" s="43">
        <f t="shared" si="21"/>
        <v>0.19593596802426588</v>
      </c>
      <c r="BT23" s="43">
        <f t="shared" si="22"/>
        <v>-0.11585357627373485</v>
      </c>
    </row>
    <row r="24" spans="4:72" ht="12" customHeight="1">
      <c r="N24" s="801">
        <f t="shared" si="1"/>
        <v>3.0599999992688074E-7</v>
      </c>
      <c r="W24" s="802">
        <f t="shared" si="2"/>
        <v>3.0599999992688074E-7</v>
      </c>
      <c r="Z24" s="802">
        <f t="shared" si="3"/>
        <v>3.0599999992688074E-7</v>
      </c>
      <c r="AA24" s="894"/>
      <c r="AB24" s="894"/>
      <c r="AC24" s="894"/>
      <c r="AD24" s="894"/>
      <c r="AE24" s="894"/>
      <c r="AF24" s="894"/>
      <c r="AG24" s="894"/>
      <c r="AH24" s="894"/>
      <c r="AI24" s="894"/>
      <c r="AJ24" s="894"/>
      <c r="AK24" s="894"/>
      <c r="AL24" s="894"/>
      <c r="AM24" s="894"/>
      <c r="AN24" s="894"/>
      <c r="AO24" s="894"/>
      <c r="AP24" s="894"/>
      <c r="AQ24" s="894"/>
      <c r="AR24" s="894"/>
      <c r="AS24" s="894"/>
      <c r="AT24" s="894"/>
      <c r="AU24" s="894"/>
      <c r="AX24" s="894"/>
      <c r="AY24" s="894"/>
      <c r="AZ24" s="43">
        <v>16</v>
      </c>
      <c r="BA24" s="43">
        <f t="shared" si="23"/>
        <v>5.1572620868682861E-2</v>
      </c>
      <c r="BB24" s="43">
        <f t="shared" si="4"/>
        <v>0.7573123574256897</v>
      </c>
      <c r="BC24" s="43">
        <f t="shared" si="5"/>
        <v>-1.6297930567779133</v>
      </c>
      <c r="BD24" s="43">
        <f t="shared" si="6"/>
        <v>0.48575583591731442</v>
      </c>
      <c r="BE24" s="43">
        <f t="shared" si="7"/>
        <v>-1.6297930567779133</v>
      </c>
      <c r="BF24" s="43">
        <f t="shared" si="8"/>
        <v>0.48575583591731442</v>
      </c>
      <c r="BG24" s="43" t="b">
        <f t="shared" si="9"/>
        <v>0</v>
      </c>
      <c r="BH24" s="43" t="e">
        <f t="shared" si="10"/>
        <v>#N/A</v>
      </c>
      <c r="BI24" s="43">
        <f t="shared" si="11"/>
        <v>0.48575583591731442</v>
      </c>
      <c r="BJ24" s="43" t="e">
        <f t="shared" si="12"/>
        <v>#N/A</v>
      </c>
      <c r="BK24" s="43">
        <f t="shared" si="13"/>
        <v>-2.94</v>
      </c>
      <c r="BL24" s="43" t="e">
        <f t="shared" si="14"/>
        <v>#N/A</v>
      </c>
      <c r="BM24" s="43">
        <f t="shared" si="15"/>
        <v>0.48575583591731442</v>
      </c>
      <c r="BN24" s="43" t="e">
        <f t="shared" si="16"/>
        <v>#N/A</v>
      </c>
      <c r="BO24" s="43">
        <f t="shared" si="17"/>
        <v>-2.94</v>
      </c>
      <c r="BP24" s="43">
        <f t="shared" si="18"/>
        <v>-2.9249999999999998</v>
      </c>
      <c r="BQ24" s="43" t="e">
        <f t="shared" si="19"/>
        <v>#N/A</v>
      </c>
      <c r="BR24" s="43">
        <f t="shared" si="20"/>
        <v>-1.2532521216820314</v>
      </c>
      <c r="BS24" s="43">
        <f t="shared" si="21"/>
        <v>0.84650457621836095</v>
      </c>
      <c r="BT24" s="43">
        <f t="shared" si="22"/>
        <v>-1.0608836561592097</v>
      </c>
    </row>
    <row r="25" spans="4:72" ht="12" customHeight="1">
      <c r="D25" s="47"/>
      <c r="E25" s="895">
        <v>4</v>
      </c>
      <c r="F25" s="50"/>
      <c r="G25" s="50"/>
      <c r="H25" s="47"/>
      <c r="I25" s="47"/>
      <c r="J25" s="47"/>
      <c r="K25" s="50"/>
      <c r="L25" s="50"/>
      <c r="M25" s="896"/>
      <c r="N25" s="801">
        <f t="shared" si="1"/>
        <v>3.0599999992688074E-7</v>
      </c>
      <c r="W25" s="802">
        <f t="shared" si="2"/>
        <v>3.0599999992688074E-7</v>
      </c>
      <c r="Z25" s="802">
        <f t="shared" si="3"/>
        <v>3.0599999992688074E-7</v>
      </c>
      <c r="AZ25" s="43">
        <v>17</v>
      </c>
      <c r="BA25" s="43">
        <f t="shared" si="23"/>
        <v>0.58762961626052856</v>
      </c>
      <c r="BB25" s="43">
        <f t="shared" si="4"/>
        <v>0.26523786783218384</v>
      </c>
      <c r="BC25" s="43">
        <f t="shared" si="5"/>
        <v>0.22145166566771984</v>
      </c>
      <c r="BD25" s="43">
        <f t="shared" si="6"/>
        <v>-0.57395737327603835</v>
      </c>
      <c r="BE25" s="43">
        <f t="shared" si="7"/>
        <v>0.22145166566771984</v>
      </c>
      <c r="BF25" s="43">
        <f t="shared" si="8"/>
        <v>-0.57395737327603835</v>
      </c>
      <c r="BG25" s="43" t="b">
        <f t="shared" si="9"/>
        <v>0</v>
      </c>
      <c r="BH25" s="43" t="e">
        <f t="shared" si="10"/>
        <v>#N/A</v>
      </c>
      <c r="BI25" s="43">
        <f t="shared" si="11"/>
        <v>-0.57395737327603835</v>
      </c>
      <c r="BJ25" s="43" t="e">
        <f t="shared" si="12"/>
        <v>#N/A</v>
      </c>
      <c r="BK25" s="43">
        <f t="shared" si="13"/>
        <v>-2.94</v>
      </c>
      <c r="BL25" s="43" t="e">
        <f t="shared" si="14"/>
        <v>#N/A</v>
      </c>
      <c r="BM25" s="43">
        <f t="shared" si="15"/>
        <v>-0.57395737327603835</v>
      </c>
      <c r="BN25" s="43" t="e">
        <f t="shared" si="16"/>
        <v>#N/A</v>
      </c>
      <c r="BO25" s="43">
        <f t="shared" si="17"/>
        <v>-2.94</v>
      </c>
      <c r="BP25" s="43">
        <f t="shared" si="18"/>
        <v>-2.9249999999999998</v>
      </c>
      <c r="BQ25" s="43" t="e">
        <f t="shared" si="19"/>
        <v>#N/A</v>
      </c>
      <c r="BR25" s="43">
        <f t="shared" si="20"/>
        <v>0.59799260076360172</v>
      </c>
      <c r="BS25" s="43">
        <f t="shared" si="21"/>
        <v>-0.21320863297499182</v>
      </c>
      <c r="BT25" s="43">
        <f t="shared" si="22"/>
        <v>-0.12749718493796758</v>
      </c>
    </row>
    <row r="26" spans="4:72" ht="12" customHeight="1">
      <c r="D26" s="897"/>
      <c r="E26" s="50"/>
      <c r="F26" s="50"/>
      <c r="G26" s="50"/>
      <c r="H26" s="50"/>
      <c r="I26" s="50"/>
      <c r="J26" s="47"/>
      <c r="K26" s="50"/>
      <c r="L26" s="50"/>
      <c r="M26" s="896"/>
      <c r="N26" s="801">
        <f t="shared" si="1"/>
        <v>3.0599999992688074E-7</v>
      </c>
      <c r="W26" s="802">
        <f t="shared" si="2"/>
        <v>3.0599999992688074E-7</v>
      </c>
      <c r="Z26" s="802">
        <f t="shared" si="3"/>
        <v>3.0599999992688074E-7</v>
      </c>
      <c r="AZ26" s="43">
        <v>18</v>
      </c>
      <c r="BA26" s="43">
        <f t="shared" si="23"/>
        <v>0.23131066560745239</v>
      </c>
      <c r="BB26" s="43">
        <f t="shared" si="4"/>
        <v>0.5677838921546936</v>
      </c>
      <c r="BC26" s="43">
        <f t="shared" si="5"/>
        <v>-0.73453730732462419</v>
      </c>
      <c r="BD26" s="43">
        <f t="shared" si="6"/>
        <v>8.1839795613521504E-2</v>
      </c>
      <c r="BE26" s="43">
        <f t="shared" si="7"/>
        <v>-0.73453730732462419</v>
      </c>
      <c r="BF26" s="43">
        <f t="shared" si="8"/>
        <v>8.1839795613521504E-2</v>
      </c>
      <c r="BG26" s="43" t="b">
        <f t="shared" si="9"/>
        <v>0</v>
      </c>
      <c r="BH26" s="43" t="e">
        <f t="shared" si="10"/>
        <v>#N/A</v>
      </c>
      <c r="BI26" s="43">
        <f t="shared" si="11"/>
        <v>8.1839795613521504E-2</v>
      </c>
      <c r="BJ26" s="43" t="e">
        <f t="shared" si="12"/>
        <v>#N/A</v>
      </c>
      <c r="BK26" s="43">
        <f t="shared" si="13"/>
        <v>-2.94</v>
      </c>
      <c r="BL26" s="43" t="e">
        <f t="shared" si="14"/>
        <v>#N/A</v>
      </c>
      <c r="BM26" s="43">
        <f t="shared" si="15"/>
        <v>8.1839795613521504E-2</v>
      </c>
      <c r="BN26" s="43" t="e">
        <f t="shared" si="16"/>
        <v>#N/A</v>
      </c>
      <c r="BO26" s="43">
        <f t="shared" si="17"/>
        <v>-2.94</v>
      </c>
      <c r="BP26" s="43">
        <f t="shared" si="18"/>
        <v>-2.9249999999999998</v>
      </c>
      <c r="BQ26" s="43" t="e">
        <f t="shared" si="19"/>
        <v>#N/A</v>
      </c>
      <c r="BR26" s="43">
        <f t="shared" si="20"/>
        <v>-0.35799637222874231</v>
      </c>
      <c r="BS26" s="43">
        <f t="shared" si="21"/>
        <v>0.44258853591456804</v>
      </c>
      <c r="BT26" s="43">
        <f t="shared" si="22"/>
        <v>-0.1584450902474458</v>
      </c>
    </row>
    <row r="27" spans="4:72" ht="12" customHeight="1">
      <c r="D27" s="897"/>
      <c r="E27" s="50"/>
      <c r="F27" s="50"/>
      <c r="G27" s="50"/>
      <c r="H27" s="47"/>
      <c r="I27" s="47"/>
      <c r="J27" s="47"/>
      <c r="K27" s="50"/>
      <c r="L27" s="50"/>
      <c r="M27" s="896"/>
      <c r="N27" s="801">
        <f t="shared" si="1"/>
        <v>3.0599999992688074E-7</v>
      </c>
      <c r="W27" s="802">
        <f t="shared" si="2"/>
        <v>3.0599999992688074E-7</v>
      </c>
      <c r="Z27" s="802">
        <f t="shared" si="3"/>
        <v>3.0599999992688074E-7</v>
      </c>
      <c r="AZ27" s="43">
        <v>19</v>
      </c>
      <c r="BA27" s="43">
        <f t="shared" si="23"/>
        <v>0.59665995836257935</v>
      </c>
      <c r="BB27" s="43">
        <f t="shared" si="4"/>
        <v>0.59283739328384399</v>
      </c>
      <c r="BC27" s="43">
        <f t="shared" si="5"/>
        <v>0.24471116390548187</v>
      </c>
      <c r="BD27" s="43">
        <f t="shared" si="6"/>
        <v>0.25102801251789053</v>
      </c>
      <c r="BE27" s="43">
        <f t="shared" si="7"/>
        <v>0.24471116390548187</v>
      </c>
      <c r="BF27" s="43">
        <f t="shared" si="8"/>
        <v>0.25102801251789053</v>
      </c>
      <c r="BG27" s="43" t="b">
        <f t="shared" si="9"/>
        <v>0</v>
      </c>
      <c r="BH27" s="43" t="e">
        <f t="shared" si="10"/>
        <v>#N/A</v>
      </c>
      <c r="BI27" s="43">
        <f t="shared" si="11"/>
        <v>0.25102801251789053</v>
      </c>
      <c r="BJ27" s="43" t="e">
        <f t="shared" si="12"/>
        <v>#N/A</v>
      </c>
      <c r="BK27" s="43">
        <f t="shared" si="13"/>
        <v>-2.94</v>
      </c>
      <c r="BL27" s="43" t="e">
        <f t="shared" si="14"/>
        <v>#N/A</v>
      </c>
      <c r="BM27" s="43">
        <f t="shared" si="15"/>
        <v>0.25102801251789053</v>
      </c>
      <c r="BN27" s="43" t="e">
        <f t="shared" si="16"/>
        <v>#N/A</v>
      </c>
      <c r="BO27" s="43">
        <f t="shared" si="17"/>
        <v>-2.94</v>
      </c>
      <c r="BP27" s="43">
        <f t="shared" si="18"/>
        <v>-2.9249999999999998</v>
      </c>
      <c r="BQ27" s="43" t="e">
        <f t="shared" si="19"/>
        <v>#N/A</v>
      </c>
      <c r="BR27" s="43">
        <f t="shared" si="20"/>
        <v>0.62125209900136369</v>
      </c>
      <c r="BS27" s="43">
        <f t="shared" si="21"/>
        <v>0.61177675281893706</v>
      </c>
      <c r="BT27" s="43">
        <f t="shared" si="22"/>
        <v>0.38006759180900307</v>
      </c>
    </row>
    <row r="28" spans="4:72" ht="12" customHeight="1">
      <c r="D28" s="898">
        <v>5</v>
      </c>
      <c r="E28" s="899" t="s">
        <v>721</v>
      </c>
      <c r="F28" s="899"/>
      <c r="G28" s="900"/>
      <c r="H28" s="901"/>
      <c r="I28" s="899"/>
      <c r="J28" s="900"/>
      <c r="K28" s="900"/>
      <c r="L28" s="900"/>
      <c r="M28" s="902"/>
      <c r="N28" s="801">
        <f t="shared" si="1"/>
        <v>3.0599999992688074E-7</v>
      </c>
      <c r="W28" s="802">
        <f t="shared" si="2"/>
        <v>3.0599999992688074E-7</v>
      </c>
      <c r="Z28" s="802">
        <f t="shared" si="3"/>
        <v>3.0599999992688074E-7</v>
      </c>
      <c r="AZ28" s="43">
        <v>20</v>
      </c>
      <c r="BA28" s="43">
        <f t="shared" si="23"/>
        <v>3.5270512104034424E-2</v>
      </c>
      <c r="BB28" s="43">
        <f t="shared" si="4"/>
        <v>0.66892009973526001</v>
      </c>
      <c r="BC28" s="43">
        <f t="shared" si="5"/>
        <v>-1.8084208570269404</v>
      </c>
      <c r="BD28" s="43">
        <f t="shared" si="6"/>
        <v>0.21731066846117622</v>
      </c>
      <c r="BE28" s="43">
        <f t="shared" si="7"/>
        <v>-1.8084208570269404</v>
      </c>
      <c r="BF28" s="43">
        <f t="shared" si="8"/>
        <v>0.21731066846117622</v>
      </c>
      <c r="BG28" s="43" t="b">
        <f t="shared" si="9"/>
        <v>0</v>
      </c>
      <c r="BH28" s="43" t="e">
        <f t="shared" si="10"/>
        <v>#N/A</v>
      </c>
      <c r="BI28" s="43">
        <f t="shared" si="11"/>
        <v>0.21731066846117622</v>
      </c>
      <c r="BJ28" s="43" t="e">
        <f t="shared" si="12"/>
        <v>#N/A</v>
      </c>
      <c r="BK28" s="43">
        <f t="shared" si="13"/>
        <v>-2.94</v>
      </c>
      <c r="BL28" s="43" t="e">
        <f t="shared" si="14"/>
        <v>#N/A</v>
      </c>
      <c r="BM28" s="43">
        <f t="shared" si="15"/>
        <v>0.21731066846117622</v>
      </c>
      <c r="BN28" s="43" t="e">
        <f t="shared" si="16"/>
        <v>#N/A</v>
      </c>
      <c r="BO28" s="43">
        <f t="shared" si="17"/>
        <v>-2.94</v>
      </c>
      <c r="BP28" s="43">
        <f t="shared" si="18"/>
        <v>-2.9249999999999998</v>
      </c>
      <c r="BQ28" s="43" t="e">
        <f t="shared" si="19"/>
        <v>#N/A</v>
      </c>
      <c r="BR28" s="43">
        <f t="shared" si="20"/>
        <v>-1.4318799219310585</v>
      </c>
      <c r="BS28" s="43">
        <f t="shared" si="21"/>
        <v>0.57805940876222273</v>
      </c>
      <c r="BT28" s="43">
        <f t="shared" si="22"/>
        <v>-0.8277116610899653</v>
      </c>
    </row>
    <row r="29" spans="4:72" ht="12" customHeight="1">
      <c r="D29" s="903"/>
      <c r="E29" s="904"/>
      <c r="F29" s="905" t="s">
        <v>732</v>
      </c>
      <c r="G29" s="904"/>
      <c r="H29" s="904"/>
      <c r="I29" s="904"/>
      <c r="J29" s="906"/>
      <c r="K29" s="906"/>
      <c r="L29" s="906"/>
      <c r="M29" s="907"/>
      <c r="N29" s="801">
        <f t="shared" si="1"/>
        <v>3.0599999992688074E-7</v>
      </c>
      <c r="W29" s="802">
        <f t="shared" si="2"/>
        <v>3.0599999992688074E-7</v>
      </c>
      <c r="Z29" s="802">
        <f t="shared" si="3"/>
        <v>3.0599999992688074E-7</v>
      </c>
      <c r="AZ29" s="43">
        <v>21</v>
      </c>
      <c r="BA29" s="43">
        <f t="shared" si="23"/>
        <v>0.66948729753494263</v>
      </c>
      <c r="BB29" s="43">
        <f t="shared" si="4"/>
        <v>0.45682913064956665</v>
      </c>
      <c r="BC29" s="43">
        <f t="shared" si="5"/>
        <v>0.43849788232873821</v>
      </c>
      <c r="BD29" s="43">
        <f t="shared" si="6"/>
        <v>-5.5058073631526261E-2</v>
      </c>
      <c r="BE29" s="43">
        <f t="shared" si="7"/>
        <v>0.43849788232873821</v>
      </c>
      <c r="BF29" s="43">
        <f t="shared" si="8"/>
        <v>-5.5058073631526261E-2</v>
      </c>
      <c r="BG29" s="43" t="b">
        <f t="shared" si="9"/>
        <v>0</v>
      </c>
      <c r="BH29" s="43" t="e">
        <f t="shared" si="10"/>
        <v>#N/A</v>
      </c>
      <c r="BI29" s="43">
        <f t="shared" si="11"/>
        <v>-5.5058073631526261E-2</v>
      </c>
      <c r="BJ29" s="43" t="e">
        <f t="shared" si="12"/>
        <v>#N/A</v>
      </c>
      <c r="BK29" s="43">
        <f t="shared" si="13"/>
        <v>-2.94</v>
      </c>
      <c r="BL29" s="43" t="e">
        <f t="shared" si="14"/>
        <v>#N/A</v>
      </c>
      <c r="BM29" s="43">
        <f t="shared" si="15"/>
        <v>-5.5058073631526261E-2</v>
      </c>
      <c r="BN29" s="43" t="e">
        <f t="shared" si="16"/>
        <v>#N/A</v>
      </c>
      <c r="BO29" s="43">
        <f t="shared" si="17"/>
        <v>-2.94</v>
      </c>
      <c r="BP29" s="43">
        <f t="shared" si="18"/>
        <v>-2.9249999999999998</v>
      </c>
      <c r="BQ29" s="43" t="e">
        <f t="shared" si="19"/>
        <v>#N/A</v>
      </c>
      <c r="BR29" s="43">
        <f t="shared" si="20"/>
        <v>0.81503881742462014</v>
      </c>
      <c r="BS29" s="43">
        <f t="shared" si="21"/>
        <v>0.30569066666952027</v>
      </c>
      <c r="BT29" s="43">
        <f t="shared" si="22"/>
        <v>0.24914975946006954</v>
      </c>
    </row>
    <row r="30" spans="4:72" ht="12" customHeight="1">
      <c r="D30" s="903"/>
      <c r="E30" s="904"/>
      <c r="F30" s="906"/>
      <c r="G30" s="904"/>
      <c r="H30" s="904"/>
      <c r="I30" s="904"/>
      <c r="J30" s="906"/>
      <c r="K30" s="906"/>
      <c r="L30" s="906"/>
      <c r="M30" s="907"/>
      <c r="N30" s="801">
        <f t="shared" si="1"/>
        <v>3.0599999992688074E-7</v>
      </c>
      <c r="W30" s="802">
        <f t="shared" si="2"/>
        <v>3.0599999992688074E-7</v>
      </c>
      <c r="Z30" s="802">
        <f t="shared" si="3"/>
        <v>3.0599999992688074E-7</v>
      </c>
      <c r="AZ30" s="43">
        <v>22</v>
      </c>
      <c r="BA30" s="43">
        <f t="shared" si="23"/>
        <v>3.7353634834289551E-3</v>
      </c>
      <c r="BB30" s="43">
        <f t="shared" si="4"/>
        <v>0.39690262079238892</v>
      </c>
      <c r="BC30" s="43">
        <f t="shared" si="5"/>
        <v>-2.6750986232635565</v>
      </c>
      <c r="BD30" s="43">
        <f t="shared" si="6"/>
        <v>-0.54443860656010878</v>
      </c>
      <c r="BE30" s="43">
        <f t="shared" si="7"/>
        <v>-2.6750986232635565</v>
      </c>
      <c r="BF30" s="43">
        <f t="shared" si="8"/>
        <v>-0.54443860656010878</v>
      </c>
      <c r="BG30" s="43" t="b">
        <f t="shared" si="9"/>
        <v>0</v>
      </c>
      <c r="BH30" s="43" t="e">
        <f t="shared" si="10"/>
        <v>#N/A</v>
      </c>
      <c r="BI30" s="43">
        <f t="shared" si="11"/>
        <v>-0.54443860656010878</v>
      </c>
      <c r="BJ30" s="43" t="e">
        <f t="shared" si="12"/>
        <v>#N/A</v>
      </c>
      <c r="BK30" s="43">
        <f t="shared" si="13"/>
        <v>-2.94</v>
      </c>
      <c r="BL30" s="43" t="e">
        <f t="shared" si="14"/>
        <v>#N/A</v>
      </c>
      <c r="BM30" s="43">
        <f t="shared" si="15"/>
        <v>-0.54443860656010878</v>
      </c>
      <c r="BN30" s="43" t="e">
        <f t="shared" si="16"/>
        <v>#N/A</v>
      </c>
      <c r="BO30" s="43">
        <f t="shared" si="17"/>
        <v>-2.94</v>
      </c>
      <c r="BP30" s="43">
        <f t="shared" si="18"/>
        <v>-2.9249999999999998</v>
      </c>
      <c r="BQ30" s="43" t="e">
        <f t="shared" si="19"/>
        <v>#N/A</v>
      </c>
      <c r="BR30" s="43">
        <f t="shared" si="20"/>
        <v>-2.2985576881676746</v>
      </c>
      <c r="BS30" s="43">
        <f t="shared" si="21"/>
        <v>-0.18368986625906225</v>
      </c>
      <c r="BT30" s="43">
        <f t="shared" si="22"/>
        <v>0.42222175432825948</v>
      </c>
    </row>
    <row r="31" spans="4:72" ht="12" customHeight="1">
      <c r="D31" s="903"/>
      <c r="E31" s="904"/>
      <c r="F31" s="906" t="s">
        <v>722</v>
      </c>
      <c r="G31" s="904"/>
      <c r="H31" s="904"/>
      <c r="I31" s="904"/>
      <c r="J31" s="906"/>
      <c r="K31" s="906"/>
      <c r="L31" s="906"/>
      <c r="M31" s="907"/>
      <c r="N31" s="801">
        <f t="shared" si="1"/>
        <v>3.0599999992688074E-7</v>
      </c>
      <c r="W31" s="802">
        <f t="shared" si="2"/>
        <v>3.0599999992688074E-7</v>
      </c>
      <c r="Z31" s="802">
        <f t="shared" si="3"/>
        <v>3.0599999992688074E-7</v>
      </c>
      <c r="AZ31" s="43">
        <v>23</v>
      </c>
      <c r="BA31" s="43">
        <f t="shared" si="23"/>
        <v>0.23897296190261841</v>
      </c>
      <c r="BB31" s="43">
        <f t="shared" si="4"/>
        <v>0.29691034555435181</v>
      </c>
      <c r="BC31" s="43">
        <f t="shared" si="5"/>
        <v>-0.70961014973198444</v>
      </c>
      <c r="BD31" s="43">
        <f t="shared" si="6"/>
        <v>-0.58702406244791072</v>
      </c>
      <c r="BE31" s="43">
        <f t="shared" si="7"/>
        <v>-0.70961014973198444</v>
      </c>
      <c r="BF31" s="43">
        <f t="shared" si="8"/>
        <v>-0.58702406244791072</v>
      </c>
      <c r="BG31" s="43" t="b">
        <f t="shared" si="9"/>
        <v>0</v>
      </c>
      <c r="BH31" s="43" t="e">
        <f t="shared" si="10"/>
        <v>#N/A</v>
      </c>
      <c r="BI31" s="43">
        <f t="shared" si="11"/>
        <v>-0.58702406244791072</v>
      </c>
      <c r="BJ31" s="43" t="e">
        <f t="shared" si="12"/>
        <v>#N/A</v>
      </c>
      <c r="BK31" s="43">
        <f t="shared" si="13"/>
        <v>-2.94</v>
      </c>
      <c r="BL31" s="43" t="e">
        <f t="shared" si="14"/>
        <v>#N/A</v>
      </c>
      <c r="BM31" s="43">
        <f t="shared" si="15"/>
        <v>-0.58702406244791072</v>
      </c>
      <c r="BN31" s="43" t="e">
        <f t="shared" si="16"/>
        <v>#N/A</v>
      </c>
      <c r="BO31" s="43">
        <f t="shared" si="17"/>
        <v>-2.94</v>
      </c>
      <c r="BP31" s="43">
        <f t="shared" si="18"/>
        <v>-2.9249999999999998</v>
      </c>
      <c r="BQ31" s="43" t="e">
        <f t="shared" si="19"/>
        <v>#N/A</v>
      </c>
      <c r="BR31" s="43">
        <f t="shared" si="20"/>
        <v>-0.33306921463610256</v>
      </c>
      <c r="BS31" s="43">
        <f t="shared" si="21"/>
        <v>-0.22627532214686419</v>
      </c>
      <c r="BT31" s="43">
        <f t="shared" si="22"/>
        <v>7.5365343838987159E-2</v>
      </c>
    </row>
    <row r="32" spans="4:72" ht="12" customHeight="1">
      <c r="D32" s="903"/>
      <c r="E32" s="904"/>
      <c r="F32" s="906"/>
      <c r="G32" s="904"/>
      <c r="H32" s="904"/>
      <c r="I32" s="904"/>
      <c r="J32" s="906"/>
      <c r="K32" s="906"/>
      <c r="L32" s="906"/>
      <c r="M32" s="907"/>
      <c r="N32" s="801">
        <f t="shared" si="1"/>
        <v>3.0599999992688074E-7</v>
      </c>
      <c r="W32" s="802">
        <f t="shared" si="2"/>
        <v>3.0599999992688074E-7</v>
      </c>
      <c r="Z32" s="802">
        <f t="shared" si="3"/>
        <v>3.0599999992688074E-7</v>
      </c>
      <c r="AZ32" s="43">
        <v>24</v>
      </c>
      <c r="BA32" s="43">
        <f t="shared" si="23"/>
        <v>0.41526967287063599</v>
      </c>
      <c r="BB32" s="43">
        <f t="shared" si="4"/>
        <v>0.68556934595108032</v>
      </c>
      <c r="BC32" s="43">
        <f t="shared" si="5"/>
        <v>-0.21400988872480092</v>
      </c>
      <c r="BD32" s="43">
        <f t="shared" si="6"/>
        <v>0.43745898523317539</v>
      </c>
      <c r="BE32" s="43">
        <f t="shared" si="7"/>
        <v>-0.21400988872480092</v>
      </c>
      <c r="BF32" s="43">
        <f t="shared" si="8"/>
        <v>0.43745898523317539</v>
      </c>
      <c r="BG32" s="43" t="b">
        <f t="shared" si="9"/>
        <v>0</v>
      </c>
      <c r="BH32" s="43" t="e">
        <f t="shared" si="10"/>
        <v>#N/A</v>
      </c>
      <c r="BI32" s="43">
        <f t="shared" si="11"/>
        <v>0.43745898523317539</v>
      </c>
      <c r="BJ32" s="43" t="e">
        <f t="shared" si="12"/>
        <v>#N/A</v>
      </c>
      <c r="BK32" s="43">
        <f t="shared" si="13"/>
        <v>-2.94</v>
      </c>
      <c r="BL32" s="43" t="e">
        <f t="shared" si="14"/>
        <v>#N/A</v>
      </c>
      <c r="BM32" s="43">
        <f t="shared" si="15"/>
        <v>0.43745898523317539</v>
      </c>
      <c r="BN32" s="43" t="e">
        <f t="shared" si="16"/>
        <v>#N/A</v>
      </c>
      <c r="BO32" s="43">
        <f t="shared" si="17"/>
        <v>-2.94</v>
      </c>
      <c r="BP32" s="43">
        <f t="shared" si="18"/>
        <v>-2.9249999999999998</v>
      </c>
      <c r="BQ32" s="43" t="e">
        <f t="shared" si="19"/>
        <v>#N/A</v>
      </c>
      <c r="BR32" s="43">
        <f t="shared" si="20"/>
        <v>0.16253104637108096</v>
      </c>
      <c r="BS32" s="43">
        <f t="shared" si="21"/>
        <v>0.79820772553422192</v>
      </c>
      <c r="BT32" s="43">
        <f t="shared" si="22"/>
        <v>0.12973353685255767</v>
      </c>
    </row>
    <row r="33" spans="4:72" ht="12" customHeight="1">
      <c r="D33" s="903"/>
      <c r="E33" s="904"/>
      <c r="F33" s="906" t="s">
        <v>724</v>
      </c>
      <c r="G33" s="904"/>
      <c r="H33" s="904"/>
      <c r="I33" s="904"/>
      <c r="J33" s="906"/>
      <c r="K33" s="906"/>
      <c r="L33" s="906"/>
      <c r="M33" s="907"/>
      <c r="N33" s="801">
        <f t="shared" si="1"/>
        <v>3.0599999992688074E-7</v>
      </c>
      <c r="W33" s="802">
        <f t="shared" si="2"/>
        <v>3.0599999992688074E-7</v>
      </c>
      <c r="Z33" s="802">
        <f t="shared" si="3"/>
        <v>3.0599999992688074E-7</v>
      </c>
      <c r="AZ33" s="43">
        <v>25</v>
      </c>
      <c r="BA33" s="43">
        <f t="shared" si="23"/>
        <v>0.50750952959060669</v>
      </c>
      <c r="BB33" s="43">
        <f t="shared" si="4"/>
        <v>0.55668455362319946</v>
      </c>
      <c r="BC33" s="43">
        <f t="shared" si="5"/>
        <v>1.882471095989266E-2</v>
      </c>
      <c r="BD33" s="43">
        <f t="shared" si="6"/>
        <v>0.1380784416417857</v>
      </c>
      <c r="BE33" s="43">
        <f t="shared" si="7"/>
        <v>1.882471095989266E-2</v>
      </c>
      <c r="BF33" s="43">
        <f t="shared" si="8"/>
        <v>0.1380784416417857</v>
      </c>
      <c r="BG33" s="43" t="b">
        <f t="shared" si="9"/>
        <v>0</v>
      </c>
      <c r="BH33" s="43" t="e">
        <f t="shared" si="10"/>
        <v>#N/A</v>
      </c>
      <c r="BI33" s="43">
        <f t="shared" si="11"/>
        <v>0.1380784416417857</v>
      </c>
      <c r="BJ33" s="43" t="e">
        <f t="shared" si="12"/>
        <v>#N/A</v>
      </c>
      <c r="BK33" s="43">
        <f t="shared" si="13"/>
        <v>-2.94</v>
      </c>
      <c r="BL33" s="43" t="e">
        <f t="shared" si="14"/>
        <v>#N/A</v>
      </c>
      <c r="BM33" s="43">
        <f t="shared" si="15"/>
        <v>0.1380784416417857</v>
      </c>
      <c r="BN33" s="43" t="e">
        <f t="shared" si="16"/>
        <v>#N/A</v>
      </c>
      <c r="BO33" s="43">
        <f t="shared" si="17"/>
        <v>-2.94</v>
      </c>
      <c r="BP33" s="43">
        <f t="shared" si="18"/>
        <v>-2.9249999999999998</v>
      </c>
      <c r="BQ33" s="43" t="e">
        <f t="shared" si="19"/>
        <v>#N/A</v>
      </c>
      <c r="BR33" s="43">
        <f t="shared" si="20"/>
        <v>0.39536564605577451</v>
      </c>
      <c r="BS33" s="43">
        <f t="shared" si="21"/>
        <v>0.49882718194283227</v>
      </c>
      <c r="BT33" s="43">
        <f t="shared" si="22"/>
        <v>0.19721913105900926</v>
      </c>
    </row>
    <row r="34" spans="4:72" ht="12" customHeight="1">
      <c r="D34" s="908"/>
      <c r="E34" s="909"/>
      <c r="F34" s="909"/>
      <c r="G34" s="910"/>
      <c r="H34" s="911"/>
      <c r="I34" s="910"/>
      <c r="J34" s="910"/>
      <c r="K34" s="910"/>
      <c r="L34" s="910"/>
      <c r="M34" s="912"/>
      <c r="N34" s="801">
        <f t="shared" si="1"/>
        <v>3.0599999992688074E-7</v>
      </c>
      <c r="W34" s="802">
        <f t="shared" si="2"/>
        <v>3.0599999992688074E-7</v>
      </c>
      <c r="Z34" s="802">
        <f t="shared" si="3"/>
        <v>3.0599999992688074E-7</v>
      </c>
      <c r="AZ34" s="43">
        <v>26</v>
      </c>
      <c r="BA34" s="43">
        <f t="shared" si="23"/>
        <v>0.59921914339065552</v>
      </c>
      <c r="BB34" s="43">
        <f t="shared" si="4"/>
        <v>0.12891441583633423</v>
      </c>
      <c r="BC34" s="43">
        <f t="shared" si="5"/>
        <v>0.25132646802277436</v>
      </c>
      <c r="BD34" s="43">
        <f t="shared" si="6"/>
        <v>-1.0516929702216888</v>
      </c>
      <c r="BE34" s="43">
        <f t="shared" si="7"/>
        <v>0.25132646802277436</v>
      </c>
      <c r="BF34" s="43">
        <f t="shared" si="8"/>
        <v>-1.0516929702216888</v>
      </c>
      <c r="BG34" s="43" t="b">
        <f t="shared" si="9"/>
        <v>0</v>
      </c>
      <c r="BH34" s="43" t="e">
        <f t="shared" si="10"/>
        <v>#N/A</v>
      </c>
      <c r="BI34" s="43">
        <f t="shared" si="11"/>
        <v>-1.0516929702216888</v>
      </c>
      <c r="BJ34" s="43" t="e">
        <f t="shared" si="12"/>
        <v>#N/A</v>
      </c>
      <c r="BK34" s="43">
        <f t="shared" si="13"/>
        <v>-2.94</v>
      </c>
      <c r="BL34" s="43" t="e">
        <f t="shared" si="14"/>
        <v>#N/A</v>
      </c>
      <c r="BM34" s="43">
        <f t="shared" si="15"/>
        <v>-1.0516929702216888</v>
      </c>
      <c r="BN34" s="43" t="e">
        <f t="shared" si="16"/>
        <v>#N/A</v>
      </c>
      <c r="BO34" s="43">
        <f t="shared" si="17"/>
        <v>-2.94</v>
      </c>
      <c r="BP34" s="43">
        <f t="shared" si="18"/>
        <v>-2.9249999999999998</v>
      </c>
      <c r="BQ34" s="43" t="e">
        <f t="shared" si="19"/>
        <v>#N/A</v>
      </c>
      <c r="BR34" s="43">
        <f t="shared" si="20"/>
        <v>0.62786740311865619</v>
      </c>
      <c r="BS34" s="43">
        <f t="shared" si="21"/>
        <v>-0.69094422992064231</v>
      </c>
      <c r="BT34" s="43">
        <f t="shared" si="22"/>
        <v>-0.43382135934009342</v>
      </c>
    </row>
    <row r="35" spans="4:72" ht="12" customHeight="1">
      <c r="N35" s="801">
        <f t="shared" si="1"/>
        <v>3.0599999992688074E-7</v>
      </c>
      <c r="W35" s="802">
        <f t="shared" si="2"/>
        <v>3.0599999992688074E-7</v>
      </c>
      <c r="Z35" s="802">
        <f t="shared" si="3"/>
        <v>3.0599999992688074E-7</v>
      </c>
      <c r="AZ35" s="43">
        <v>27</v>
      </c>
      <c r="BA35" s="43">
        <f t="shared" si="23"/>
        <v>0.25952082872390747</v>
      </c>
      <c r="BB35" s="43">
        <f t="shared" si="4"/>
        <v>0.24616152048110962</v>
      </c>
      <c r="BC35" s="43">
        <f t="shared" si="5"/>
        <v>-0.64482336687202868</v>
      </c>
      <c r="BD35" s="43">
        <f t="shared" si="6"/>
        <v>-0.72612657088078347</v>
      </c>
      <c r="BE35" s="43">
        <f t="shared" si="7"/>
        <v>-0.64482336687202868</v>
      </c>
      <c r="BF35" s="43">
        <f t="shared" si="8"/>
        <v>-0.72612657088078347</v>
      </c>
      <c r="BG35" s="43" t="b">
        <f t="shared" si="9"/>
        <v>0</v>
      </c>
      <c r="BH35" s="43" t="e">
        <f t="shared" si="10"/>
        <v>#N/A</v>
      </c>
      <c r="BI35" s="43">
        <f t="shared" si="11"/>
        <v>-0.72612657088078347</v>
      </c>
      <c r="BJ35" s="43" t="e">
        <f t="shared" si="12"/>
        <v>#N/A</v>
      </c>
      <c r="BK35" s="43">
        <f t="shared" si="13"/>
        <v>-2.94</v>
      </c>
      <c r="BL35" s="43" t="e">
        <f t="shared" si="14"/>
        <v>#N/A</v>
      </c>
      <c r="BM35" s="43">
        <f t="shared" si="15"/>
        <v>-0.72612657088078347</v>
      </c>
      <c r="BN35" s="43" t="e">
        <f t="shared" si="16"/>
        <v>#N/A</v>
      </c>
      <c r="BO35" s="43">
        <f t="shared" si="17"/>
        <v>-2.94</v>
      </c>
      <c r="BP35" s="43">
        <f t="shared" si="18"/>
        <v>-2.9249999999999998</v>
      </c>
      <c r="BQ35" s="43" t="e">
        <f t="shared" si="19"/>
        <v>#N/A</v>
      </c>
      <c r="BR35" s="43">
        <f t="shared" si="20"/>
        <v>-0.2682824317761468</v>
      </c>
      <c r="BS35" s="43">
        <f t="shared" si="21"/>
        <v>-0.36537783057973694</v>
      </c>
      <c r="BT35" s="43">
        <f t="shared" si="22"/>
        <v>9.8024452905024803E-2</v>
      </c>
    </row>
    <row r="36" spans="4:72" ht="12" customHeight="1">
      <c r="N36" s="801">
        <f t="shared" si="1"/>
        <v>3.0599999992688074E-7</v>
      </c>
      <c r="W36" s="802">
        <f t="shared" si="2"/>
        <v>3.0599999992688074E-7</v>
      </c>
      <c r="X36" s="800"/>
      <c r="Z36" s="802">
        <f t="shared" si="3"/>
        <v>3.0599999992688074E-7</v>
      </c>
      <c r="AZ36" s="43">
        <v>28</v>
      </c>
      <c r="BA36" s="43">
        <f t="shared" si="23"/>
        <v>0.24821072816848755</v>
      </c>
      <c r="BB36" s="43">
        <f t="shared" si="4"/>
        <v>4.3588221073150635E-2</v>
      </c>
      <c r="BC36" s="43">
        <f t="shared" si="5"/>
        <v>-0.68013109622511503</v>
      </c>
      <c r="BD36" s="43">
        <f t="shared" si="6"/>
        <v>-1.7067266425399747</v>
      </c>
      <c r="BE36" s="43">
        <f t="shared" si="7"/>
        <v>-0.68013109622511503</v>
      </c>
      <c r="BF36" s="43">
        <f t="shared" si="8"/>
        <v>-1.7067266425399747</v>
      </c>
      <c r="BG36" s="43" t="b">
        <f t="shared" si="9"/>
        <v>0</v>
      </c>
      <c r="BH36" s="43" t="e">
        <f t="shared" si="10"/>
        <v>#N/A</v>
      </c>
      <c r="BI36" s="43">
        <f t="shared" si="11"/>
        <v>-1.7067266425399747</v>
      </c>
      <c r="BJ36" s="43" t="e">
        <f t="shared" si="12"/>
        <v>#N/A</v>
      </c>
      <c r="BK36" s="43">
        <f t="shared" si="13"/>
        <v>-2.94</v>
      </c>
      <c r="BL36" s="43" t="e">
        <f t="shared" si="14"/>
        <v>#N/A</v>
      </c>
      <c r="BM36" s="43">
        <f t="shared" si="15"/>
        <v>-1.7067266425399747</v>
      </c>
      <c r="BN36" s="43" t="e">
        <f t="shared" si="16"/>
        <v>#N/A</v>
      </c>
      <c r="BO36" s="43">
        <f t="shared" si="17"/>
        <v>-2.94</v>
      </c>
      <c r="BP36" s="43">
        <f t="shared" si="18"/>
        <v>-2.9249999999999998</v>
      </c>
      <c r="BQ36" s="43" t="e">
        <f t="shared" si="19"/>
        <v>#N/A</v>
      </c>
      <c r="BR36" s="43">
        <f t="shared" si="20"/>
        <v>-0.30359016112923315</v>
      </c>
      <c r="BS36" s="43">
        <f t="shared" si="21"/>
        <v>-1.3459779022389282</v>
      </c>
      <c r="BT36" s="43">
        <f t="shared" si="22"/>
        <v>0.40862564821710345</v>
      </c>
    </row>
    <row r="37" spans="4:72" ht="12" customHeight="1">
      <c r="N37" s="801">
        <f t="shared" si="1"/>
        <v>3.0599999992688074E-7</v>
      </c>
      <c r="Z37" s="802">
        <f t="shared" si="3"/>
        <v>3.0599999992688074E-7</v>
      </c>
      <c r="AZ37" s="43">
        <v>29</v>
      </c>
      <c r="BA37" s="43">
        <f t="shared" si="23"/>
        <v>0.67396193742752075</v>
      </c>
      <c r="BB37" s="43">
        <f t="shared" si="4"/>
        <v>0.50425726175308228</v>
      </c>
      <c r="BC37" s="43">
        <f t="shared" si="5"/>
        <v>0.45087988023704795</v>
      </c>
      <c r="BD37" s="43">
        <f t="shared" si="6"/>
        <v>5.9919118090217237E-2</v>
      </c>
      <c r="BE37" s="43">
        <f t="shared" si="7"/>
        <v>0.45087988023704795</v>
      </c>
      <c r="BF37" s="43">
        <f t="shared" si="8"/>
        <v>5.9919118090217237E-2</v>
      </c>
      <c r="BG37" s="43" t="b">
        <f t="shared" si="9"/>
        <v>0</v>
      </c>
      <c r="BH37" s="43" t="e">
        <f t="shared" si="10"/>
        <v>#N/A</v>
      </c>
      <c r="BI37" s="43">
        <f t="shared" si="11"/>
        <v>5.9919118090217237E-2</v>
      </c>
      <c r="BJ37" s="43" t="e">
        <f t="shared" si="12"/>
        <v>#N/A</v>
      </c>
      <c r="BK37" s="43">
        <f t="shared" si="13"/>
        <v>-2.94</v>
      </c>
      <c r="BL37" s="43" t="e">
        <f t="shared" si="14"/>
        <v>#N/A</v>
      </c>
      <c r="BM37" s="43">
        <f t="shared" si="15"/>
        <v>5.9919118090217237E-2</v>
      </c>
      <c r="BN37" s="43" t="e">
        <f t="shared" si="16"/>
        <v>#N/A</v>
      </c>
      <c r="BO37" s="43">
        <f t="shared" si="17"/>
        <v>-2.94</v>
      </c>
      <c r="BP37" s="43">
        <f t="shared" si="18"/>
        <v>-2.9249999999999998</v>
      </c>
      <c r="BQ37" s="43" t="e">
        <f t="shared" si="19"/>
        <v>#N/A</v>
      </c>
      <c r="BR37" s="43">
        <f t="shared" si="20"/>
        <v>0.82742081533292988</v>
      </c>
      <c r="BS37" s="43">
        <f t="shared" si="21"/>
        <v>0.42066785839126375</v>
      </c>
      <c r="BT37" s="43">
        <f t="shared" si="22"/>
        <v>0.34806934237445691</v>
      </c>
    </row>
    <row r="38" spans="4:72" ht="12" customHeight="1">
      <c r="N38" s="801"/>
      <c r="Z38" s="802"/>
      <c r="AZ38" s="43">
        <v>30</v>
      </c>
      <c r="BA38" s="43">
        <f t="shared" si="23"/>
        <v>0.73065263032913208</v>
      </c>
      <c r="BB38" s="43">
        <f t="shared" si="4"/>
        <v>0.53139740228652954</v>
      </c>
      <c r="BC38" s="43">
        <f t="shared" si="5"/>
        <v>0.61478799365670134</v>
      </c>
      <c r="BD38" s="43">
        <f t="shared" si="6"/>
        <v>0.14297493470560996</v>
      </c>
      <c r="BE38" s="43">
        <f t="shared" si="7"/>
        <v>0.61478799365670134</v>
      </c>
      <c r="BF38" s="43">
        <f t="shared" si="8"/>
        <v>0.14297493470560996</v>
      </c>
      <c r="BG38" s="43" t="b">
        <f t="shared" si="9"/>
        <v>0</v>
      </c>
      <c r="BH38" s="43" t="e">
        <f t="shared" si="10"/>
        <v>#N/A</v>
      </c>
      <c r="BI38" s="43">
        <f t="shared" si="11"/>
        <v>0.14297493470560996</v>
      </c>
      <c r="BJ38" s="43" t="e">
        <f t="shared" si="12"/>
        <v>#N/A</v>
      </c>
      <c r="BK38" s="43">
        <f t="shared" si="13"/>
        <v>-2.94</v>
      </c>
      <c r="BL38" s="43" t="e">
        <f t="shared" si="14"/>
        <v>#N/A</v>
      </c>
      <c r="BM38" s="43">
        <f t="shared" si="15"/>
        <v>0.14297493470560996</v>
      </c>
      <c r="BN38" s="43" t="e">
        <f t="shared" si="16"/>
        <v>#N/A</v>
      </c>
      <c r="BO38" s="43">
        <f t="shared" si="17"/>
        <v>-2.94</v>
      </c>
      <c r="BP38" s="43">
        <f t="shared" si="18"/>
        <v>-2.9249999999999998</v>
      </c>
      <c r="BQ38" s="43" t="e">
        <f t="shared" si="19"/>
        <v>#N/A</v>
      </c>
      <c r="BR38" s="43">
        <f t="shared" si="20"/>
        <v>0.99132892875258327</v>
      </c>
      <c r="BS38" s="43">
        <f t="shared" si="21"/>
        <v>0.50372367500665649</v>
      </c>
      <c r="BT38" s="43">
        <f t="shared" si="22"/>
        <v>0.4993558511316632</v>
      </c>
    </row>
    <row r="39" spans="4:72" ht="12" customHeight="1">
      <c r="N39" s="801"/>
      <c r="AZ39" s="43">
        <v>31</v>
      </c>
      <c r="BA39" s="43" t="str">
        <f t="shared" si="23"/>
        <v/>
      </c>
      <c r="BB39" s="43" t="str">
        <f t="shared" si="4"/>
        <v/>
      </c>
      <c r="BC39" s="43" t="str">
        <f t="shared" si="5"/>
        <v/>
      </c>
      <c r="BD39" s="43" t="str">
        <f t="shared" si="6"/>
        <v/>
      </c>
      <c r="BE39" s="43" t="e">
        <f t="shared" si="7"/>
        <v>#N/A</v>
      </c>
      <c r="BF39" s="43" t="e">
        <f t="shared" si="8"/>
        <v>#N/A</v>
      </c>
      <c r="BG39" s="43" t="e">
        <f t="shared" si="9"/>
        <v>#N/A</v>
      </c>
      <c r="BH39" s="43" t="e">
        <f t="shared" si="10"/>
        <v>#N/A</v>
      </c>
      <c r="BI39" s="43" t="e">
        <f t="shared" si="11"/>
        <v>#N/A</v>
      </c>
      <c r="BJ39" s="43" t="e">
        <f t="shared" si="12"/>
        <v>#N/A</v>
      </c>
      <c r="BK39" s="43">
        <f t="shared" si="13"/>
        <v>-2.94</v>
      </c>
      <c r="BL39" s="43" t="e">
        <f t="shared" si="14"/>
        <v>#N/A</v>
      </c>
      <c r="BM39" s="43" t="e">
        <f t="shared" si="15"/>
        <v>#N/A</v>
      </c>
      <c r="BN39" s="43" t="e">
        <f t="shared" si="16"/>
        <v>#N/A</v>
      </c>
      <c r="BO39" s="43">
        <f t="shared" si="17"/>
        <v>-2.94</v>
      </c>
      <c r="BP39" s="43">
        <f t="shared" si="18"/>
        <v>-2.9249999999999998</v>
      </c>
      <c r="BQ39" s="43" t="e">
        <f t="shared" si="19"/>
        <v>#N/A</v>
      </c>
      <c r="BR39" s="43" t="str">
        <f t="shared" si="20"/>
        <v/>
      </c>
      <c r="BS39" s="43" t="str">
        <f t="shared" si="21"/>
        <v/>
      </c>
      <c r="BT39" s="43" t="str">
        <f t="shared" si="22"/>
        <v/>
      </c>
    </row>
    <row r="40" spans="4:72" ht="12" customHeight="1">
      <c r="AZ40" s="43">
        <v>32</v>
      </c>
      <c r="BA40" s="43" t="str">
        <f t="shared" si="23"/>
        <v/>
      </c>
      <c r="BB40" s="43" t="str">
        <f t="shared" si="4"/>
        <v/>
      </c>
      <c r="BC40" s="43" t="str">
        <f t="shared" si="5"/>
        <v/>
      </c>
      <c r="BD40" s="43" t="str">
        <f t="shared" si="6"/>
        <v/>
      </c>
      <c r="BE40" s="43" t="e">
        <f t="shared" si="7"/>
        <v>#N/A</v>
      </c>
      <c r="BF40" s="43" t="e">
        <f t="shared" si="8"/>
        <v>#N/A</v>
      </c>
      <c r="BG40" s="43" t="e">
        <f t="shared" si="9"/>
        <v>#N/A</v>
      </c>
      <c r="BH40" s="43" t="e">
        <f t="shared" si="10"/>
        <v>#N/A</v>
      </c>
      <c r="BI40" s="43" t="e">
        <f t="shared" si="11"/>
        <v>#N/A</v>
      </c>
      <c r="BJ40" s="43" t="e">
        <f t="shared" si="12"/>
        <v>#N/A</v>
      </c>
      <c r="BK40" s="43">
        <f t="shared" si="13"/>
        <v>-2.94</v>
      </c>
      <c r="BL40" s="43" t="e">
        <f t="shared" si="14"/>
        <v>#N/A</v>
      </c>
      <c r="BM40" s="43" t="e">
        <f t="shared" si="15"/>
        <v>#N/A</v>
      </c>
      <c r="BN40" s="43" t="e">
        <f t="shared" si="16"/>
        <v>#N/A</v>
      </c>
      <c r="BO40" s="43">
        <f t="shared" si="17"/>
        <v>-2.94</v>
      </c>
      <c r="BP40" s="43">
        <f t="shared" si="18"/>
        <v>-2.9249999999999998</v>
      </c>
      <c r="BQ40" s="43" t="e">
        <f t="shared" si="19"/>
        <v>#N/A</v>
      </c>
      <c r="BR40" s="43" t="str">
        <f t="shared" si="20"/>
        <v/>
      </c>
      <c r="BS40" s="43" t="str">
        <f t="shared" si="21"/>
        <v/>
      </c>
      <c r="BT40" s="43" t="str">
        <f t="shared" si="22"/>
        <v/>
      </c>
    </row>
    <row r="41" spans="4:72" ht="12" customHeight="1">
      <c r="AZ41" s="43">
        <v>33</v>
      </c>
      <c r="BA41" s="43" t="str">
        <f t="shared" si="23"/>
        <v/>
      </c>
      <c r="BB41" s="43" t="str">
        <f t="shared" si="4"/>
        <v/>
      </c>
      <c r="BC41" s="43" t="str">
        <f t="shared" si="5"/>
        <v/>
      </c>
      <c r="BD41" s="43" t="str">
        <f t="shared" si="6"/>
        <v/>
      </c>
      <c r="BE41" s="43" t="e">
        <f t="shared" si="7"/>
        <v>#N/A</v>
      </c>
      <c r="BF41" s="43" t="e">
        <f t="shared" si="8"/>
        <v>#N/A</v>
      </c>
      <c r="BG41" s="43" t="e">
        <f t="shared" si="9"/>
        <v>#N/A</v>
      </c>
      <c r="BH41" s="43" t="e">
        <f t="shared" si="10"/>
        <v>#N/A</v>
      </c>
      <c r="BI41" s="43" t="e">
        <f t="shared" si="11"/>
        <v>#N/A</v>
      </c>
      <c r="BJ41" s="43" t="e">
        <f t="shared" si="12"/>
        <v>#N/A</v>
      </c>
      <c r="BK41" s="43">
        <f t="shared" si="13"/>
        <v>-2.94</v>
      </c>
      <c r="BL41" s="43" t="e">
        <f t="shared" si="14"/>
        <v>#N/A</v>
      </c>
      <c r="BM41" s="43" t="e">
        <f t="shared" si="15"/>
        <v>#N/A</v>
      </c>
      <c r="BN41" s="43" t="e">
        <f t="shared" si="16"/>
        <v>#N/A</v>
      </c>
      <c r="BO41" s="43">
        <f t="shared" si="17"/>
        <v>-2.94</v>
      </c>
      <c r="BP41" s="43">
        <f t="shared" si="18"/>
        <v>-2.9249999999999998</v>
      </c>
      <c r="BQ41" s="43" t="e">
        <f t="shared" si="19"/>
        <v>#N/A</v>
      </c>
      <c r="BR41" s="43" t="str">
        <f t="shared" si="20"/>
        <v/>
      </c>
      <c r="BS41" s="43" t="str">
        <f t="shared" si="21"/>
        <v/>
      </c>
      <c r="BT41" s="43" t="str">
        <f t="shared" si="22"/>
        <v/>
      </c>
    </row>
    <row r="42" spans="4:72" ht="12" customHeight="1">
      <c r="AZ42" s="43">
        <v>34</v>
      </c>
      <c r="BA42" s="43" t="str">
        <f t="shared" si="23"/>
        <v/>
      </c>
      <c r="BB42" s="43" t="str">
        <f t="shared" si="4"/>
        <v/>
      </c>
      <c r="BC42" s="43" t="str">
        <f t="shared" si="5"/>
        <v/>
      </c>
      <c r="BD42" s="43" t="str">
        <f t="shared" si="6"/>
        <v/>
      </c>
      <c r="BE42" s="43" t="e">
        <f t="shared" si="7"/>
        <v>#N/A</v>
      </c>
      <c r="BF42" s="43" t="e">
        <f t="shared" si="8"/>
        <v>#N/A</v>
      </c>
      <c r="BG42" s="43" t="e">
        <f t="shared" si="9"/>
        <v>#N/A</v>
      </c>
      <c r="BH42" s="43" t="e">
        <f t="shared" si="10"/>
        <v>#N/A</v>
      </c>
      <c r="BI42" s="43" t="e">
        <f t="shared" si="11"/>
        <v>#N/A</v>
      </c>
      <c r="BJ42" s="43" t="e">
        <f t="shared" si="12"/>
        <v>#N/A</v>
      </c>
      <c r="BK42" s="43">
        <f t="shared" si="13"/>
        <v>-2.94</v>
      </c>
      <c r="BL42" s="43" t="e">
        <f t="shared" si="14"/>
        <v>#N/A</v>
      </c>
      <c r="BM42" s="43" t="e">
        <f t="shared" si="15"/>
        <v>#N/A</v>
      </c>
      <c r="BN42" s="43" t="e">
        <f t="shared" si="16"/>
        <v>#N/A</v>
      </c>
      <c r="BO42" s="43">
        <f t="shared" si="17"/>
        <v>-2.94</v>
      </c>
      <c r="BP42" s="43">
        <f t="shared" si="18"/>
        <v>-2.9249999999999998</v>
      </c>
      <c r="BQ42" s="43" t="e">
        <f t="shared" si="19"/>
        <v>#N/A</v>
      </c>
      <c r="BR42" s="43" t="str">
        <f t="shared" si="20"/>
        <v/>
      </c>
      <c r="BS42" s="43" t="str">
        <f t="shared" si="21"/>
        <v/>
      </c>
      <c r="BT42" s="43" t="str">
        <f t="shared" si="22"/>
        <v/>
      </c>
    </row>
    <row r="43" spans="4:72" ht="12" customHeight="1">
      <c r="AZ43" s="43">
        <v>35</v>
      </c>
      <c r="BA43" s="43" t="str">
        <f t="shared" si="23"/>
        <v/>
      </c>
      <c r="BB43" s="43" t="str">
        <f t="shared" si="4"/>
        <v/>
      </c>
      <c r="BC43" s="43" t="str">
        <f t="shared" si="5"/>
        <v/>
      </c>
      <c r="BD43" s="43" t="str">
        <f t="shared" si="6"/>
        <v/>
      </c>
      <c r="BE43" s="43" t="e">
        <f t="shared" si="7"/>
        <v>#N/A</v>
      </c>
      <c r="BF43" s="43" t="e">
        <f t="shared" si="8"/>
        <v>#N/A</v>
      </c>
      <c r="BG43" s="43" t="e">
        <f t="shared" si="9"/>
        <v>#N/A</v>
      </c>
      <c r="BH43" s="43" t="e">
        <f t="shared" si="10"/>
        <v>#N/A</v>
      </c>
      <c r="BI43" s="43" t="e">
        <f t="shared" si="11"/>
        <v>#N/A</v>
      </c>
      <c r="BJ43" s="43" t="e">
        <f t="shared" si="12"/>
        <v>#N/A</v>
      </c>
      <c r="BK43" s="43">
        <f t="shared" si="13"/>
        <v>-2.94</v>
      </c>
      <c r="BL43" s="43" t="e">
        <f t="shared" si="14"/>
        <v>#N/A</v>
      </c>
      <c r="BM43" s="43" t="e">
        <f t="shared" si="15"/>
        <v>#N/A</v>
      </c>
      <c r="BN43" s="43" t="e">
        <f t="shared" si="16"/>
        <v>#N/A</v>
      </c>
      <c r="BO43" s="43">
        <f t="shared" si="17"/>
        <v>-2.94</v>
      </c>
      <c r="BP43" s="43">
        <f t="shared" si="18"/>
        <v>-2.9249999999999998</v>
      </c>
      <c r="BQ43" s="43" t="e">
        <f t="shared" si="19"/>
        <v>#N/A</v>
      </c>
      <c r="BR43" s="43" t="str">
        <f t="shared" si="20"/>
        <v/>
      </c>
      <c r="BS43" s="43" t="str">
        <f t="shared" si="21"/>
        <v/>
      </c>
      <c r="BT43" s="43" t="str">
        <f t="shared" si="22"/>
        <v/>
      </c>
    </row>
    <row r="44" spans="4:72" ht="12" customHeight="1">
      <c r="AZ44" s="43">
        <v>36</v>
      </c>
      <c r="BA44" s="43" t="str">
        <f t="shared" si="23"/>
        <v/>
      </c>
      <c r="BB44" s="43" t="str">
        <f t="shared" si="4"/>
        <v/>
      </c>
      <c r="BC44" s="43" t="str">
        <f t="shared" si="5"/>
        <v/>
      </c>
      <c r="BD44" s="43" t="str">
        <f t="shared" si="6"/>
        <v/>
      </c>
      <c r="BE44" s="43" t="e">
        <f t="shared" si="7"/>
        <v>#N/A</v>
      </c>
      <c r="BF44" s="43" t="e">
        <f t="shared" si="8"/>
        <v>#N/A</v>
      </c>
      <c r="BG44" s="43" t="e">
        <f t="shared" si="9"/>
        <v>#N/A</v>
      </c>
      <c r="BH44" s="43" t="e">
        <f t="shared" si="10"/>
        <v>#N/A</v>
      </c>
      <c r="BI44" s="43" t="e">
        <f t="shared" si="11"/>
        <v>#N/A</v>
      </c>
      <c r="BJ44" s="43" t="e">
        <f t="shared" si="12"/>
        <v>#N/A</v>
      </c>
      <c r="BK44" s="43">
        <f t="shared" si="13"/>
        <v>-2.94</v>
      </c>
      <c r="BL44" s="43" t="e">
        <f t="shared" si="14"/>
        <v>#N/A</v>
      </c>
      <c r="BM44" s="43" t="e">
        <f t="shared" si="15"/>
        <v>#N/A</v>
      </c>
      <c r="BN44" s="43" t="e">
        <f t="shared" si="16"/>
        <v>#N/A</v>
      </c>
      <c r="BO44" s="43">
        <f t="shared" si="17"/>
        <v>-2.94</v>
      </c>
      <c r="BP44" s="43">
        <f t="shared" si="18"/>
        <v>-2.9249999999999998</v>
      </c>
      <c r="BQ44" s="43" t="e">
        <f t="shared" si="19"/>
        <v>#N/A</v>
      </c>
      <c r="BR44" s="43" t="str">
        <f t="shared" si="20"/>
        <v/>
      </c>
      <c r="BS44" s="43" t="str">
        <f t="shared" si="21"/>
        <v/>
      </c>
      <c r="BT44" s="43" t="str">
        <f t="shared" si="22"/>
        <v/>
      </c>
    </row>
    <row r="45" spans="4:72" ht="12" customHeight="1">
      <c r="AZ45" s="43">
        <v>37</v>
      </c>
      <c r="BA45" s="43" t="str">
        <f t="shared" si="23"/>
        <v/>
      </c>
      <c r="BB45" s="43" t="str">
        <f t="shared" si="4"/>
        <v/>
      </c>
      <c r="BC45" s="43" t="str">
        <f t="shared" si="5"/>
        <v/>
      </c>
      <c r="BD45" s="43" t="str">
        <f t="shared" si="6"/>
        <v/>
      </c>
      <c r="BE45" s="43" t="e">
        <f t="shared" si="7"/>
        <v>#N/A</v>
      </c>
      <c r="BF45" s="43" t="e">
        <f t="shared" si="8"/>
        <v>#N/A</v>
      </c>
      <c r="BG45" s="43" t="e">
        <f t="shared" si="9"/>
        <v>#N/A</v>
      </c>
      <c r="BH45" s="43" t="e">
        <f t="shared" si="10"/>
        <v>#N/A</v>
      </c>
      <c r="BI45" s="43" t="e">
        <f t="shared" si="11"/>
        <v>#N/A</v>
      </c>
      <c r="BJ45" s="43" t="e">
        <f t="shared" si="12"/>
        <v>#N/A</v>
      </c>
      <c r="BK45" s="43">
        <f t="shared" si="13"/>
        <v>-2.94</v>
      </c>
      <c r="BL45" s="43" t="e">
        <f t="shared" si="14"/>
        <v>#N/A</v>
      </c>
      <c r="BM45" s="43" t="e">
        <f t="shared" si="15"/>
        <v>#N/A</v>
      </c>
      <c r="BN45" s="43" t="e">
        <f t="shared" si="16"/>
        <v>#N/A</v>
      </c>
      <c r="BO45" s="43">
        <f t="shared" si="17"/>
        <v>-2.94</v>
      </c>
      <c r="BP45" s="43">
        <f t="shared" si="18"/>
        <v>-2.9249999999999998</v>
      </c>
      <c r="BQ45" s="43" t="e">
        <f t="shared" si="19"/>
        <v>#N/A</v>
      </c>
      <c r="BR45" s="43" t="str">
        <f t="shared" si="20"/>
        <v/>
      </c>
      <c r="BS45" s="43" t="str">
        <f t="shared" si="21"/>
        <v/>
      </c>
      <c r="BT45" s="43" t="str">
        <f t="shared" si="22"/>
        <v/>
      </c>
    </row>
    <row r="46" spans="4:72" ht="12" customHeight="1">
      <c r="AZ46" s="43">
        <v>38</v>
      </c>
      <c r="BA46" s="43" t="str">
        <f t="shared" si="23"/>
        <v/>
      </c>
      <c r="BB46" s="43" t="str">
        <f t="shared" si="4"/>
        <v/>
      </c>
      <c r="BC46" s="43" t="str">
        <f t="shared" si="5"/>
        <v/>
      </c>
      <c r="BD46" s="43" t="str">
        <f t="shared" si="6"/>
        <v/>
      </c>
      <c r="BE46" s="43" t="e">
        <f t="shared" si="7"/>
        <v>#N/A</v>
      </c>
      <c r="BF46" s="43" t="e">
        <f t="shared" si="8"/>
        <v>#N/A</v>
      </c>
      <c r="BG46" s="43" t="e">
        <f t="shared" si="9"/>
        <v>#N/A</v>
      </c>
      <c r="BH46" s="43" t="e">
        <f t="shared" si="10"/>
        <v>#N/A</v>
      </c>
      <c r="BI46" s="43" t="e">
        <f t="shared" si="11"/>
        <v>#N/A</v>
      </c>
      <c r="BJ46" s="43" t="e">
        <f t="shared" si="12"/>
        <v>#N/A</v>
      </c>
      <c r="BK46" s="43">
        <f t="shared" si="13"/>
        <v>-2.94</v>
      </c>
      <c r="BL46" s="43" t="e">
        <f t="shared" si="14"/>
        <v>#N/A</v>
      </c>
      <c r="BM46" s="43" t="e">
        <f t="shared" si="15"/>
        <v>#N/A</v>
      </c>
      <c r="BN46" s="43" t="e">
        <f t="shared" si="16"/>
        <v>#N/A</v>
      </c>
      <c r="BO46" s="43">
        <f t="shared" si="17"/>
        <v>-2.94</v>
      </c>
      <c r="BP46" s="43">
        <f t="shared" si="18"/>
        <v>-2.9249999999999998</v>
      </c>
      <c r="BQ46" s="43" t="e">
        <f t="shared" si="19"/>
        <v>#N/A</v>
      </c>
      <c r="BR46" s="43" t="str">
        <f t="shared" si="20"/>
        <v/>
      </c>
      <c r="BS46" s="43" t="str">
        <f t="shared" si="21"/>
        <v/>
      </c>
      <c r="BT46" s="43" t="str">
        <f t="shared" si="22"/>
        <v/>
      </c>
    </row>
    <row r="47" spans="4:72" ht="12" customHeight="1">
      <c r="AZ47" s="43">
        <v>39</v>
      </c>
      <c r="BA47" s="43" t="str">
        <f t="shared" si="23"/>
        <v/>
      </c>
      <c r="BB47" s="43" t="str">
        <f t="shared" si="4"/>
        <v/>
      </c>
      <c r="BC47" s="43" t="str">
        <f t="shared" si="5"/>
        <v/>
      </c>
      <c r="BD47" s="43" t="str">
        <f t="shared" si="6"/>
        <v/>
      </c>
      <c r="BE47" s="43" t="e">
        <f t="shared" si="7"/>
        <v>#N/A</v>
      </c>
      <c r="BF47" s="43" t="e">
        <f t="shared" si="8"/>
        <v>#N/A</v>
      </c>
      <c r="BG47" s="43" t="e">
        <f t="shared" si="9"/>
        <v>#N/A</v>
      </c>
      <c r="BH47" s="43" t="e">
        <f t="shared" si="10"/>
        <v>#N/A</v>
      </c>
      <c r="BI47" s="43" t="e">
        <f t="shared" si="11"/>
        <v>#N/A</v>
      </c>
      <c r="BJ47" s="43" t="e">
        <f t="shared" si="12"/>
        <v>#N/A</v>
      </c>
      <c r="BK47" s="43">
        <f t="shared" si="13"/>
        <v>-2.94</v>
      </c>
      <c r="BL47" s="43" t="e">
        <f t="shared" si="14"/>
        <v>#N/A</v>
      </c>
      <c r="BM47" s="43" t="e">
        <f t="shared" si="15"/>
        <v>#N/A</v>
      </c>
      <c r="BN47" s="43" t="e">
        <f t="shared" si="16"/>
        <v>#N/A</v>
      </c>
      <c r="BO47" s="43">
        <f t="shared" si="17"/>
        <v>-2.94</v>
      </c>
      <c r="BP47" s="43">
        <f t="shared" si="18"/>
        <v>-2.9249999999999998</v>
      </c>
      <c r="BQ47" s="43" t="e">
        <f t="shared" si="19"/>
        <v>#N/A</v>
      </c>
      <c r="BR47" s="43" t="str">
        <f t="shared" si="20"/>
        <v/>
      </c>
      <c r="BS47" s="43" t="str">
        <f t="shared" si="21"/>
        <v/>
      </c>
      <c r="BT47" s="43" t="str">
        <f t="shared" si="22"/>
        <v/>
      </c>
    </row>
    <row r="48" spans="4:72" ht="12" customHeight="1">
      <c r="AZ48" s="43">
        <v>40</v>
      </c>
      <c r="BA48" s="43" t="str">
        <f t="shared" si="23"/>
        <v/>
      </c>
      <c r="BB48" s="43" t="str">
        <f t="shared" si="4"/>
        <v/>
      </c>
      <c r="BC48" s="43" t="str">
        <f t="shared" si="5"/>
        <v/>
      </c>
      <c r="BD48" s="43" t="str">
        <f t="shared" si="6"/>
        <v/>
      </c>
      <c r="BE48" s="43" t="e">
        <f t="shared" si="7"/>
        <v>#N/A</v>
      </c>
      <c r="BF48" s="43" t="e">
        <f t="shared" si="8"/>
        <v>#N/A</v>
      </c>
      <c r="BG48" s="43" t="e">
        <f t="shared" si="9"/>
        <v>#N/A</v>
      </c>
      <c r="BH48" s="43" t="e">
        <f t="shared" si="10"/>
        <v>#N/A</v>
      </c>
      <c r="BI48" s="43" t="e">
        <f t="shared" si="11"/>
        <v>#N/A</v>
      </c>
      <c r="BJ48" s="43" t="e">
        <f t="shared" si="12"/>
        <v>#N/A</v>
      </c>
      <c r="BK48" s="43">
        <f t="shared" si="13"/>
        <v>-2.94</v>
      </c>
      <c r="BL48" s="43" t="e">
        <f t="shared" si="14"/>
        <v>#N/A</v>
      </c>
      <c r="BM48" s="43" t="e">
        <f t="shared" si="15"/>
        <v>#N/A</v>
      </c>
      <c r="BN48" s="43" t="e">
        <f t="shared" si="16"/>
        <v>#N/A</v>
      </c>
      <c r="BO48" s="43">
        <f t="shared" si="17"/>
        <v>-2.94</v>
      </c>
      <c r="BP48" s="43">
        <f t="shared" si="18"/>
        <v>-2.9249999999999998</v>
      </c>
      <c r="BQ48" s="43" t="e">
        <f t="shared" si="19"/>
        <v>#N/A</v>
      </c>
      <c r="BR48" s="43" t="str">
        <f t="shared" si="20"/>
        <v/>
      </c>
      <c r="BS48" s="43" t="str">
        <f t="shared" si="21"/>
        <v/>
      </c>
      <c r="BT48" s="43" t="str">
        <f t="shared" si="22"/>
        <v/>
      </c>
    </row>
    <row r="49" spans="52:72" ht="12" customHeight="1">
      <c r="AZ49" s="43">
        <v>41</v>
      </c>
      <c r="BA49" s="43" t="str">
        <f t="shared" si="23"/>
        <v/>
      </c>
      <c r="BB49" s="43" t="str">
        <f t="shared" si="4"/>
        <v/>
      </c>
      <c r="BC49" s="43" t="str">
        <f t="shared" si="5"/>
        <v/>
      </c>
      <c r="BD49" s="43" t="str">
        <f t="shared" si="6"/>
        <v/>
      </c>
      <c r="BE49" s="43" t="e">
        <f t="shared" si="7"/>
        <v>#N/A</v>
      </c>
      <c r="BF49" s="43" t="e">
        <f t="shared" si="8"/>
        <v>#N/A</v>
      </c>
      <c r="BG49" s="43" t="e">
        <f t="shared" si="9"/>
        <v>#N/A</v>
      </c>
      <c r="BH49" s="43" t="e">
        <f t="shared" si="10"/>
        <v>#N/A</v>
      </c>
      <c r="BI49" s="43" t="e">
        <f t="shared" si="11"/>
        <v>#N/A</v>
      </c>
      <c r="BJ49" s="43" t="e">
        <f t="shared" si="12"/>
        <v>#N/A</v>
      </c>
      <c r="BK49" s="43">
        <f t="shared" si="13"/>
        <v>-2.94</v>
      </c>
      <c r="BL49" s="43" t="e">
        <f t="shared" si="14"/>
        <v>#N/A</v>
      </c>
      <c r="BM49" s="43" t="e">
        <f t="shared" si="15"/>
        <v>#N/A</v>
      </c>
      <c r="BN49" s="43" t="e">
        <f t="shared" si="16"/>
        <v>#N/A</v>
      </c>
      <c r="BO49" s="43">
        <f t="shared" si="17"/>
        <v>-2.94</v>
      </c>
      <c r="BP49" s="43">
        <f t="shared" si="18"/>
        <v>-2.9249999999999998</v>
      </c>
      <c r="BQ49" s="43" t="e">
        <f t="shared" si="19"/>
        <v>#N/A</v>
      </c>
      <c r="BR49" s="43" t="str">
        <f t="shared" si="20"/>
        <v/>
      </c>
      <c r="BS49" s="43" t="str">
        <f t="shared" si="21"/>
        <v/>
      </c>
      <c r="BT49" s="43" t="str">
        <f t="shared" si="22"/>
        <v/>
      </c>
    </row>
    <row r="50" spans="52:72" ht="12" customHeight="1">
      <c r="AZ50" s="43">
        <v>42</v>
      </c>
      <c r="BA50" s="43" t="str">
        <f t="shared" si="23"/>
        <v/>
      </c>
      <c r="BB50" s="43" t="str">
        <f t="shared" si="4"/>
        <v/>
      </c>
      <c r="BC50" s="43" t="str">
        <f t="shared" si="5"/>
        <v/>
      </c>
      <c r="BD50" s="43" t="str">
        <f t="shared" si="6"/>
        <v/>
      </c>
      <c r="BE50" s="43" t="e">
        <f t="shared" si="7"/>
        <v>#N/A</v>
      </c>
      <c r="BF50" s="43" t="e">
        <f t="shared" si="8"/>
        <v>#N/A</v>
      </c>
      <c r="BG50" s="43" t="e">
        <f t="shared" si="9"/>
        <v>#N/A</v>
      </c>
      <c r="BH50" s="43" t="e">
        <f t="shared" si="10"/>
        <v>#N/A</v>
      </c>
      <c r="BI50" s="43" t="e">
        <f t="shared" si="11"/>
        <v>#N/A</v>
      </c>
      <c r="BJ50" s="43" t="e">
        <f t="shared" si="12"/>
        <v>#N/A</v>
      </c>
      <c r="BK50" s="43">
        <f t="shared" si="13"/>
        <v>-2.94</v>
      </c>
      <c r="BL50" s="43" t="e">
        <f t="shared" si="14"/>
        <v>#N/A</v>
      </c>
      <c r="BM50" s="43" t="e">
        <f t="shared" si="15"/>
        <v>#N/A</v>
      </c>
      <c r="BN50" s="43" t="e">
        <f t="shared" si="16"/>
        <v>#N/A</v>
      </c>
      <c r="BO50" s="43">
        <f t="shared" si="17"/>
        <v>-2.94</v>
      </c>
      <c r="BP50" s="43">
        <f t="shared" si="18"/>
        <v>-2.9249999999999998</v>
      </c>
      <c r="BQ50" s="43" t="e">
        <f t="shared" si="19"/>
        <v>#N/A</v>
      </c>
      <c r="BR50" s="43" t="str">
        <f t="shared" si="20"/>
        <v/>
      </c>
      <c r="BS50" s="43" t="str">
        <f t="shared" si="21"/>
        <v/>
      </c>
      <c r="BT50" s="43" t="str">
        <f t="shared" si="22"/>
        <v/>
      </c>
    </row>
    <row r="51" spans="52:72" ht="12" customHeight="1">
      <c r="AZ51" s="43">
        <v>43</v>
      </c>
      <c r="BA51" s="43" t="str">
        <f t="shared" si="23"/>
        <v/>
      </c>
      <c r="BB51" s="43" t="str">
        <f t="shared" si="4"/>
        <v/>
      </c>
      <c r="BC51" s="43" t="str">
        <f t="shared" si="5"/>
        <v/>
      </c>
      <c r="BD51" s="43" t="str">
        <f t="shared" si="6"/>
        <v/>
      </c>
      <c r="BE51" s="43" t="e">
        <f t="shared" si="7"/>
        <v>#N/A</v>
      </c>
      <c r="BF51" s="43" t="e">
        <f t="shared" si="8"/>
        <v>#N/A</v>
      </c>
      <c r="BG51" s="43" t="e">
        <f t="shared" si="9"/>
        <v>#N/A</v>
      </c>
      <c r="BH51" s="43" t="e">
        <f t="shared" si="10"/>
        <v>#N/A</v>
      </c>
      <c r="BI51" s="43" t="e">
        <f t="shared" si="11"/>
        <v>#N/A</v>
      </c>
      <c r="BJ51" s="43" t="e">
        <f t="shared" si="12"/>
        <v>#N/A</v>
      </c>
      <c r="BK51" s="43">
        <f t="shared" si="13"/>
        <v>-2.94</v>
      </c>
      <c r="BL51" s="43" t="e">
        <f t="shared" si="14"/>
        <v>#N/A</v>
      </c>
      <c r="BM51" s="43" t="e">
        <f t="shared" si="15"/>
        <v>#N/A</v>
      </c>
      <c r="BN51" s="43" t="e">
        <f t="shared" si="16"/>
        <v>#N/A</v>
      </c>
      <c r="BO51" s="43">
        <f t="shared" si="17"/>
        <v>-2.94</v>
      </c>
      <c r="BP51" s="43">
        <f t="shared" si="18"/>
        <v>-2.9249999999999998</v>
      </c>
      <c r="BQ51" s="43" t="e">
        <f t="shared" si="19"/>
        <v>#N/A</v>
      </c>
      <c r="BR51" s="43" t="str">
        <f t="shared" si="20"/>
        <v/>
      </c>
      <c r="BS51" s="43" t="str">
        <f t="shared" si="21"/>
        <v/>
      </c>
      <c r="BT51" s="43" t="str">
        <f t="shared" si="22"/>
        <v/>
      </c>
    </row>
    <row r="52" spans="52:72" ht="12" customHeight="1">
      <c r="AZ52" s="43">
        <v>44</v>
      </c>
      <c r="BA52" s="43" t="str">
        <f t="shared" si="23"/>
        <v/>
      </c>
      <c r="BB52" s="43" t="str">
        <f t="shared" si="4"/>
        <v/>
      </c>
      <c r="BC52" s="43" t="str">
        <f t="shared" si="5"/>
        <v/>
      </c>
      <c r="BD52" s="43" t="str">
        <f t="shared" si="6"/>
        <v/>
      </c>
      <c r="BE52" s="43" t="e">
        <f t="shared" si="7"/>
        <v>#N/A</v>
      </c>
      <c r="BF52" s="43" t="e">
        <f t="shared" si="8"/>
        <v>#N/A</v>
      </c>
      <c r="BG52" s="43" t="e">
        <f t="shared" si="9"/>
        <v>#N/A</v>
      </c>
      <c r="BH52" s="43" t="e">
        <f t="shared" si="10"/>
        <v>#N/A</v>
      </c>
      <c r="BI52" s="43" t="e">
        <f t="shared" si="11"/>
        <v>#N/A</v>
      </c>
      <c r="BJ52" s="43" t="e">
        <f t="shared" si="12"/>
        <v>#N/A</v>
      </c>
      <c r="BK52" s="43">
        <f t="shared" si="13"/>
        <v>-2.94</v>
      </c>
      <c r="BL52" s="43" t="e">
        <f t="shared" si="14"/>
        <v>#N/A</v>
      </c>
      <c r="BM52" s="43" t="e">
        <f t="shared" si="15"/>
        <v>#N/A</v>
      </c>
      <c r="BN52" s="43" t="e">
        <f t="shared" si="16"/>
        <v>#N/A</v>
      </c>
      <c r="BO52" s="43">
        <f t="shared" si="17"/>
        <v>-2.94</v>
      </c>
      <c r="BP52" s="43">
        <f t="shared" si="18"/>
        <v>-2.9249999999999998</v>
      </c>
      <c r="BQ52" s="43" t="e">
        <f t="shared" si="19"/>
        <v>#N/A</v>
      </c>
      <c r="BR52" s="43" t="str">
        <f t="shared" si="20"/>
        <v/>
      </c>
      <c r="BS52" s="43" t="str">
        <f t="shared" si="21"/>
        <v/>
      </c>
      <c r="BT52" s="43" t="str">
        <f t="shared" si="22"/>
        <v/>
      </c>
    </row>
    <row r="53" spans="52:72" ht="12" customHeight="1">
      <c r="AZ53" s="43">
        <v>45</v>
      </c>
      <c r="BA53" s="43" t="str">
        <f t="shared" si="23"/>
        <v/>
      </c>
      <c r="BB53" s="43" t="str">
        <f t="shared" si="4"/>
        <v/>
      </c>
      <c r="BC53" s="43" t="str">
        <f t="shared" si="5"/>
        <v/>
      </c>
      <c r="BD53" s="43" t="str">
        <f t="shared" si="6"/>
        <v/>
      </c>
      <c r="BE53" s="43" t="e">
        <f t="shared" si="7"/>
        <v>#N/A</v>
      </c>
      <c r="BF53" s="43" t="e">
        <f t="shared" si="8"/>
        <v>#N/A</v>
      </c>
      <c r="BG53" s="43" t="e">
        <f t="shared" si="9"/>
        <v>#N/A</v>
      </c>
      <c r="BH53" s="43" t="e">
        <f t="shared" si="10"/>
        <v>#N/A</v>
      </c>
      <c r="BI53" s="43" t="e">
        <f t="shared" si="11"/>
        <v>#N/A</v>
      </c>
      <c r="BJ53" s="43" t="e">
        <f t="shared" si="12"/>
        <v>#N/A</v>
      </c>
      <c r="BK53" s="43">
        <f t="shared" si="13"/>
        <v>-2.94</v>
      </c>
      <c r="BL53" s="43" t="e">
        <f t="shared" si="14"/>
        <v>#N/A</v>
      </c>
      <c r="BM53" s="43" t="e">
        <f t="shared" si="15"/>
        <v>#N/A</v>
      </c>
      <c r="BN53" s="43" t="e">
        <f t="shared" si="16"/>
        <v>#N/A</v>
      </c>
      <c r="BO53" s="43">
        <f t="shared" si="17"/>
        <v>-2.94</v>
      </c>
      <c r="BP53" s="43">
        <f t="shared" si="18"/>
        <v>-2.9249999999999998</v>
      </c>
      <c r="BQ53" s="43" t="e">
        <f t="shared" si="19"/>
        <v>#N/A</v>
      </c>
      <c r="BR53" s="43" t="str">
        <f t="shared" si="20"/>
        <v/>
      </c>
      <c r="BS53" s="43" t="str">
        <f t="shared" si="21"/>
        <v/>
      </c>
      <c r="BT53" s="43" t="str">
        <f t="shared" si="22"/>
        <v/>
      </c>
    </row>
    <row r="54" spans="52:72" ht="12" customHeight="1">
      <c r="AZ54" s="43">
        <v>46</v>
      </c>
      <c r="BA54" s="43" t="str">
        <f t="shared" si="23"/>
        <v/>
      </c>
      <c r="BB54" s="43" t="str">
        <f t="shared" si="4"/>
        <v/>
      </c>
      <c r="BC54" s="43" t="str">
        <f t="shared" si="5"/>
        <v/>
      </c>
      <c r="BD54" s="43" t="str">
        <f t="shared" si="6"/>
        <v/>
      </c>
      <c r="BE54" s="43" t="e">
        <f t="shared" si="7"/>
        <v>#N/A</v>
      </c>
      <c r="BF54" s="43" t="e">
        <f t="shared" si="8"/>
        <v>#N/A</v>
      </c>
      <c r="BG54" s="43" t="e">
        <f t="shared" si="9"/>
        <v>#N/A</v>
      </c>
      <c r="BH54" s="43" t="e">
        <f t="shared" si="10"/>
        <v>#N/A</v>
      </c>
      <c r="BI54" s="43" t="e">
        <f t="shared" si="11"/>
        <v>#N/A</v>
      </c>
      <c r="BJ54" s="43" t="e">
        <f t="shared" si="12"/>
        <v>#N/A</v>
      </c>
      <c r="BK54" s="43">
        <f t="shared" si="13"/>
        <v>-2.94</v>
      </c>
      <c r="BL54" s="43" t="e">
        <f t="shared" si="14"/>
        <v>#N/A</v>
      </c>
      <c r="BM54" s="43" t="e">
        <f t="shared" si="15"/>
        <v>#N/A</v>
      </c>
      <c r="BN54" s="43" t="e">
        <f t="shared" si="16"/>
        <v>#N/A</v>
      </c>
      <c r="BO54" s="43">
        <f t="shared" si="17"/>
        <v>-2.94</v>
      </c>
      <c r="BP54" s="43">
        <f t="shared" si="18"/>
        <v>-2.9249999999999998</v>
      </c>
      <c r="BQ54" s="43" t="e">
        <f t="shared" si="19"/>
        <v>#N/A</v>
      </c>
      <c r="BR54" s="43" t="str">
        <f t="shared" si="20"/>
        <v/>
      </c>
      <c r="BS54" s="43" t="str">
        <f t="shared" si="21"/>
        <v/>
      </c>
      <c r="BT54" s="43" t="str">
        <f t="shared" si="22"/>
        <v/>
      </c>
    </row>
    <row r="55" spans="52:72" ht="12" customHeight="1">
      <c r="AZ55" s="43">
        <v>47</v>
      </c>
      <c r="BA55" s="43" t="str">
        <f t="shared" si="23"/>
        <v/>
      </c>
      <c r="BB55" s="43" t="str">
        <f t="shared" si="4"/>
        <v/>
      </c>
      <c r="BC55" s="43" t="str">
        <f t="shared" si="5"/>
        <v/>
      </c>
      <c r="BD55" s="43" t="str">
        <f t="shared" si="6"/>
        <v/>
      </c>
      <c r="BE55" s="43" t="e">
        <f t="shared" si="7"/>
        <v>#N/A</v>
      </c>
      <c r="BF55" s="43" t="e">
        <f t="shared" si="8"/>
        <v>#N/A</v>
      </c>
      <c r="BG55" s="43" t="e">
        <f t="shared" si="9"/>
        <v>#N/A</v>
      </c>
      <c r="BH55" s="43" t="e">
        <f t="shared" si="10"/>
        <v>#N/A</v>
      </c>
      <c r="BI55" s="43" t="e">
        <f t="shared" si="11"/>
        <v>#N/A</v>
      </c>
      <c r="BJ55" s="43" t="e">
        <f t="shared" si="12"/>
        <v>#N/A</v>
      </c>
      <c r="BK55" s="43">
        <f t="shared" si="13"/>
        <v>-2.94</v>
      </c>
      <c r="BL55" s="43" t="e">
        <f t="shared" si="14"/>
        <v>#N/A</v>
      </c>
      <c r="BM55" s="43" t="e">
        <f t="shared" si="15"/>
        <v>#N/A</v>
      </c>
      <c r="BN55" s="43" t="e">
        <f t="shared" si="16"/>
        <v>#N/A</v>
      </c>
      <c r="BO55" s="43">
        <f t="shared" si="17"/>
        <v>-2.94</v>
      </c>
      <c r="BP55" s="43">
        <f t="shared" si="18"/>
        <v>-2.9249999999999998</v>
      </c>
      <c r="BQ55" s="43" t="e">
        <f t="shared" si="19"/>
        <v>#N/A</v>
      </c>
      <c r="BR55" s="43" t="str">
        <f t="shared" si="20"/>
        <v/>
      </c>
      <c r="BS55" s="43" t="str">
        <f t="shared" si="21"/>
        <v/>
      </c>
      <c r="BT55" s="43" t="str">
        <f t="shared" si="22"/>
        <v/>
      </c>
    </row>
    <row r="56" spans="52:72" ht="12" customHeight="1">
      <c r="AZ56" s="43">
        <v>48</v>
      </c>
      <c r="BA56" s="43" t="str">
        <f t="shared" si="23"/>
        <v/>
      </c>
      <c r="BB56" s="43" t="str">
        <f t="shared" si="4"/>
        <v/>
      </c>
      <c r="BC56" s="43" t="str">
        <f t="shared" si="5"/>
        <v/>
      </c>
      <c r="BD56" s="43" t="str">
        <f t="shared" si="6"/>
        <v/>
      </c>
      <c r="BE56" s="43" t="e">
        <f t="shared" si="7"/>
        <v>#N/A</v>
      </c>
      <c r="BF56" s="43" t="e">
        <f t="shared" si="8"/>
        <v>#N/A</v>
      </c>
      <c r="BG56" s="43" t="e">
        <f t="shared" si="9"/>
        <v>#N/A</v>
      </c>
      <c r="BH56" s="43" t="e">
        <f t="shared" si="10"/>
        <v>#N/A</v>
      </c>
      <c r="BI56" s="43" t="e">
        <f t="shared" si="11"/>
        <v>#N/A</v>
      </c>
      <c r="BJ56" s="43" t="e">
        <f t="shared" si="12"/>
        <v>#N/A</v>
      </c>
      <c r="BK56" s="43">
        <f t="shared" si="13"/>
        <v>-2.94</v>
      </c>
      <c r="BL56" s="43" t="e">
        <f t="shared" si="14"/>
        <v>#N/A</v>
      </c>
      <c r="BM56" s="43" t="e">
        <f t="shared" si="15"/>
        <v>#N/A</v>
      </c>
      <c r="BN56" s="43" t="e">
        <f t="shared" si="16"/>
        <v>#N/A</v>
      </c>
      <c r="BO56" s="43">
        <f t="shared" si="17"/>
        <v>-2.94</v>
      </c>
      <c r="BP56" s="43">
        <f t="shared" si="18"/>
        <v>-2.9249999999999998</v>
      </c>
      <c r="BQ56" s="43" t="e">
        <f t="shared" si="19"/>
        <v>#N/A</v>
      </c>
      <c r="BR56" s="43" t="str">
        <f t="shared" si="20"/>
        <v/>
      </c>
      <c r="BS56" s="43" t="str">
        <f t="shared" si="21"/>
        <v/>
      </c>
      <c r="BT56" s="43" t="str">
        <f t="shared" si="22"/>
        <v/>
      </c>
    </row>
    <row r="57" spans="52:72" ht="12" customHeight="1">
      <c r="AZ57" s="43">
        <v>49</v>
      </c>
      <c r="BA57" s="43" t="str">
        <f t="shared" si="23"/>
        <v/>
      </c>
      <c r="BB57" s="43" t="str">
        <f t="shared" si="4"/>
        <v/>
      </c>
      <c r="BC57" s="43" t="str">
        <f t="shared" si="5"/>
        <v/>
      </c>
      <c r="BD57" s="43" t="str">
        <f t="shared" si="6"/>
        <v/>
      </c>
      <c r="BE57" s="43" t="e">
        <f t="shared" si="7"/>
        <v>#N/A</v>
      </c>
      <c r="BF57" s="43" t="e">
        <f t="shared" si="8"/>
        <v>#N/A</v>
      </c>
      <c r="BG57" s="43" t="e">
        <f t="shared" si="9"/>
        <v>#N/A</v>
      </c>
      <c r="BH57" s="43" t="e">
        <f t="shared" si="10"/>
        <v>#N/A</v>
      </c>
      <c r="BI57" s="43" t="e">
        <f t="shared" si="11"/>
        <v>#N/A</v>
      </c>
      <c r="BJ57" s="43" t="e">
        <f t="shared" si="12"/>
        <v>#N/A</v>
      </c>
      <c r="BK57" s="43">
        <f t="shared" si="13"/>
        <v>-2.94</v>
      </c>
      <c r="BL57" s="43" t="e">
        <f t="shared" si="14"/>
        <v>#N/A</v>
      </c>
      <c r="BM57" s="43" t="e">
        <f t="shared" si="15"/>
        <v>#N/A</v>
      </c>
      <c r="BN57" s="43" t="e">
        <f t="shared" si="16"/>
        <v>#N/A</v>
      </c>
      <c r="BO57" s="43">
        <f t="shared" si="17"/>
        <v>-2.94</v>
      </c>
      <c r="BP57" s="43">
        <f t="shared" si="18"/>
        <v>-2.9249999999999998</v>
      </c>
      <c r="BQ57" s="43" t="e">
        <f t="shared" si="19"/>
        <v>#N/A</v>
      </c>
      <c r="BR57" s="43" t="str">
        <f t="shared" si="20"/>
        <v/>
      </c>
      <c r="BS57" s="43" t="str">
        <f t="shared" si="21"/>
        <v/>
      </c>
      <c r="BT57" s="43" t="str">
        <f t="shared" si="22"/>
        <v/>
      </c>
    </row>
    <row r="58" spans="52:72" ht="12" customHeight="1">
      <c r="AZ58" s="43">
        <v>50</v>
      </c>
      <c r="BA58" s="43" t="str">
        <f t="shared" si="23"/>
        <v/>
      </c>
      <c r="BB58" s="43" t="str">
        <f t="shared" si="4"/>
        <v/>
      </c>
      <c r="BC58" s="43" t="str">
        <f t="shared" si="5"/>
        <v/>
      </c>
      <c r="BD58" s="43" t="str">
        <f t="shared" si="6"/>
        <v/>
      </c>
      <c r="BE58" s="43" t="e">
        <f t="shared" si="7"/>
        <v>#N/A</v>
      </c>
      <c r="BF58" s="43" t="e">
        <f t="shared" si="8"/>
        <v>#N/A</v>
      </c>
      <c r="BG58" s="43" t="e">
        <f t="shared" si="9"/>
        <v>#N/A</v>
      </c>
      <c r="BH58" s="43" t="e">
        <f t="shared" si="10"/>
        <v>#N/A</v>
      </c>
      <c r="BI58" s="43" t="e">
        <f t="shared" si="11"/>
        <v>#N/A</v>
      </c>
      <c r="BJ58" s="43" t="e">
        <f t="shared" si="12"/>
        <v>#N/A</v>
      </c>
      <c r="BK58" s="43">
        <f t="shared" si="13"/>
        <v>-2.94</v>
      </c>
      <c r="BL58" s="43" t="e">
        <f t="shared" si="14"/>
        <v>#N/A</v>
      </c>
      <c r="BM58" s="43" t="e">
        <f t="shared" si="15"/>
        <v>#N/A</v>
      </c>
      <c r="BN58" s="43" t="e">
        <f t="shared" si="16"/>
        <v>#N/A</v>
      </c>
      <c r="BO58" s="43">
        <f t="shared" si="17"/>
        <v>-2.94</v>
      </c>
      <c r="BP58" s="43">
        <f t="shared" si="18"/>
        <v>-2.9249999999999998</v>
      </c>
      <c r="BQ58" s="43" t="e">
        <f t="shared" si="19"/>
        <v>#N/A</v>
      </c>
      <c r="BR58" s="43" t="str">
        <f t="shared" si="20"/>
        <v/>
      </c>
      <c r="BS58" s="43" t="str">
        <f t="shared" si="21"/>
        <v/>
      </c>
      <c r="BT58" s="43" t="str">
        <f t="shared" si="22"/>
        <v/>
      </c>
    </row>
    <row r="59" spans="52:72" ht="12" customHeight="1">
      <c r="AZ59" s="43">
        <v>51</v>
      </c>
      <c r="BA59" s="43" t="str">
        <f t="shared" si="23"/>
        <v/>
      </c>
      <c r="BB59" s="43" t="str">
        <f t="shared" si="4"/>
        <v/>
      </c>
      <c r="BC59" s="43" t="str">
        <f t="shared" si="5"/>
        <v/>
      </c>
      <c r="BD59" s="43" t="str">
        <f t="shared" si="6"/>
        <v/>
      </c>
      <c r="BE59" s="43" t="e">
        <f t="shared" si="7"/>
        <v>#N/A</v>
      </c>
      <c r="BF59" s="43" t="e">
        <f t="shared" si="8"/>
        <v>#N/A</v>
      </c>
      <c r="BG59" s="43" t="e">
        <f t="shared" si="9"/>
        <v>#N/A</v>
      </c>
      <c r="BH59" s="43" t="e">
        <f t="shared" si="10"/>
        <v>#N/A</v>
      </c>
      <c r="BI59" s="43" t="e">
        <f t="shared" si="11"/>
        <v>#N/A</v>
      </c>
      <c r="BJ59" s="43" t="e">
        <f t="shared" si="12"/>
        <v>#N/A</v>
      </c>
      <c r="BK59" s="43">
        <f t="shared" si="13"/>
        <v>-2.94</v>
      </c>
      <c r="BL59" s="43" t="e">
        <f t="shared" si="14"/>
        <v>#N/A</v>
      </c>
      <c r="BM59" s="43" t="e">
        <f t="shared" si="15"/>
        <v>#N/A</v>
      </c>
      <c r="BN59" s="43" t="e">
        <f t="shared" si="16"/>
        <v>#N/A</v>
      </c>
      <c r="BO59" s="43">
        <f t="shared" si="17"/>
        <v>-2.94</v>
      </c>
      <c r="BP59" s="43">
        <f t="shared" si="18"/>
        <v>-2.9249999999999998</v>
      </c>
      <c r="BQ59" s="43" t="e">
        <f t="shared" si="19"/>
        <v>#N/A</v>
      </c>
      <c r="BR59" s="43" t="str">
        <f t="shared" si="20"/>
        <v/>
      </c>
      <c r="BS59" s="43" t="str">
        <f t="shared" si="21"/>
        <v/>
      </c>
      <c r="BT59" s="43" t="str">
        <f t="shared" si="22"/>
        <v/>
      </c>
    </row>
    <row r="60" spans="52:72" ht="12" customHeight="1">
      <c r="AZ60" s="43">
        <v>52</v>
      </c>
      <c r="BA60" s="43" t="str">
        <f t="shared" si="23"/>
        <v/>
      </c>
      <c r="BB60" s="43" t="str">
        <f t="shared" si="4"/>
        <v/>
      </c>
      <c r="BC60" s="43" t="str">
        <f t="shared" si="5"/>
        <v/>
      </c>
      <c r="BD60" s="43" t="str">
        <f t="shared" si="6"/>
        <v/>
      </c>
      <c r="BE60" s="43" t="e">
        <f t="shared" si="7"/>
        <v>#N/A</v>
      </c>
      <c r="BF60" s="43" t="e">
        <f t="shared" si="8"/>
        <v>#N/A</v>
      </c>
      <c r="BG60" s="43" t="e">
        <f t="shared" si="9"/>
        <v>#N/A</v>
      </c>
      <c r="BH60" s="43" t="e">
        <f t="shared" si="10"/>
        <v>#N/A</v>
      </c>
      <c r="BI60" s="43" t="e">
        <f t="shared" si="11"/>
        <v>#N/A</v>
      </c>
      <c r="BJ60" s="43" t="e">
        <f t="shared" si="12"/>
        <v>#N/A</v>
      </c>
      <c r="BK60" s="43">
        <f t="shared" si="13"/>
        <v>-2.94</v>
      </c>
      <c r="BL60" s="43" t="e">
        <f t="shared" si="14"/>
        <v>#N/A</v>
      </c>
      <c r="BM60" s="43" t="e">
        <f t="shared" si="15"/>
        <v>#N/A</v>
      </c>
      <c r="BN60" s="43" t="e">
        <f t="shared" si="16"/>
        <v>#N/A</v>
      </c>
      <c r="BO60" s="43">
        <f t="shared" si="17"/>
        <v>-2.94</v>
      </c>
      <c r="BP60" s="43">
        <f t="shared" si="18"/>
        <v>-2.9249999999999998</v>
      </c>
      <c r="BQ60" s="43" t="e">
        <f t="shared" si="19"/>
        <v>#N/A</v>
      </c>
      <c r="BR60" s="43" t="str">
        <f t="shared" si="20"/>
        <v/>
      </c>
      <c r="BS60" s="43" t="str">
        <f t="shared" si="21"/>
        <v/>
      </c>
      <c r="BT60" s="43" t="str">
        <f t="shared" si="22"/>
        <v/>
      </c>
    </row>
    <row r="61" spans="52:72" ht="12" customHeight="1">
      <c r="AZ61" s="43">
        <v>53</v>
      </c>
      <c r="BA61" s="43" t="str">
        <f t="shared" si="23"/>
        <v/>
      </c>
      <c r="BB61" s="43" t="str">
        <f t="shared" si="4"/>
        <v/>
      </c>
      <c r="BC61" s="43" t="str">
        <f t="shared" si="5"/>
        <v/>
      </c>
      <c r="BD61" s="43" t="str">
        <f t="shared" si="6"/>
        <v/>
      </c>
      <c r="BE61" s="43" t="e">
        <f t="shared" si="7"/>
        <v>#N/A</v>
      </c>
      <c r="BF61" s="43" t="e">
        <f t="shared" si="8"/>
        <v>#N/A</v>
      </c>
      <c r="BG61" s="43" t="e">
        <f t="shared" si="9"/>
        <v>#N/A</v>
      </c>
      <c r="BH61" s="43" t="e">
        <f t="shared" si="10"/>
        <v>#N/A</v>
      </c>
      <c r="BI61" s="43" t="e">
        <f t="shared" si="11"/>
        <v>#N/A</v>
      </c>
      <c r="BJ61" s="43" t="e">
        <f t="shared" si="12"/>
        <v>#N/A</v>
      </c>
      <c r="BK61" s="43">
        <f t="shared" si="13"/>
        <v>-2.94</v>
      </c>
      <c r="BL61" s="43" t="e">
        <f t="shared" si="14"/>
        <v>#N/A</v>
      </c>
      <c r="BM61" s="43" t="e">
        <f t="shared" si="15"/>
        <v>#N/A</v>
      </c>
      <c r="BN61" s="43" t="e">
        <f t="shared" si="16"/>
        <v>#N/A</v>
      </c>
      <c r="BO61" s="43">
        <f t="shared" si="17"/>
        <v>-2.94</v>
      </c>
      <c r="BP61" s="43">
        <f t="shared" si="18"/>
        <v>-2.9249999999999998</v>
      </c>
      <c r="BQ61" s="43" t="e">
        <f t="shared" si="19"/>
        <v>#N/A</v>
      </c>
      <c r="BR61" s="43" t="str">
        <f t="shared" si="20"/>
        <v/>
      </c>
      <c r="BS61" s="43" t="str">
        <f t="shared" si="21"/>
        <v/>
      </c>
      <c r="BT61" s="43" t="str">
        <f t="shared" si="22"/>
        <v/>
      </c>
    </row>
    <row r="62" spans="52:72" ht="12" customHeight="1">
      <c r="AZ62" s="43">
        <v>54</v>
      </c>
      <c r="BA62" s="43" t="str">
        <f t="shared" si="23"/>
        <v/>
      </c>
      <c r="BB62" s="43" t="str">
        <f t="shared" si="4"/>
        <v/>
      </c>
      <c r="BC62" s="43" t="str">
        <f t="shared" si="5"/>
        <v/>
      </c>
      <c r="BD62" s="43" t="str">
        <f t="shared" si="6"/>
        <v/>
      </c>
      <c r="BE62" s="43" t="e">
        <f t="shared" si="7"/>
        <v>#N/A</v>
      </c>
      <c r="BF62" s="43" t="e">
        <f t="shared" si="8"/>
        <v>#N/A</v>
      </c>
      <c r="BG62" s="43" t="e">
        <f t="shared" si="9"/>
        <v>#N/A</v>
      </c>
      <c r="BH62" s="43" t="e">
        <f t="shared" si="10"/>
        <v>#N/A</v>
      </c>
      <c r="BI62" s="43" t="e">
        <f t="shared" si="11"/>
        <v>#N/A</v>
      </c>
      <c r="BJ62" s="43" t="e">
        <f t="shared" si="12"/>
        <v>#N/A</v>
      </c>
      <c r="BK62" s="43">
        <f t="shared" si="13"/>
        <v>-2.94</v>
      </c>
      <c r="BL62" s="43" t="e">
        <f t="shared" si="14"/>
        <v>#N/A</v>
      </c>
      <c r="BM62" s="43" t="e">
        <f t="shared" si="15"/>
        <v>#N/A</v>
      </c>
      <c r="BN62" s="43" t="e">
        <f t="shared" si="16"/>
        <v>#N/A</v>
      </c>
      <c r="BO62" s="43">
        <f t="shared" si="17"/>
        <v>-2.94</v>
      </c>
      <c r="BP62" s="43">
        <f t="shared" si="18"/>
        <v>-2.9249999999999998</v>
      </c>
      <c r="BQ62" s="43" t="e">
        <f t="shared" si="19"/>
        <v>#N/A</v>
      </c>
      <c r="BR62" s="43" t="str">
        <f t="shared" si="20"/>
        <v/>
      </c>
      <c r="BS62" s="43" t="str">
        <f t="shared" si="21"/>
        <v/>
      </c>
      <c r="BT62" s="43" t="str">
        <f t="shared" si="22"/>
        <v/>
      </c>
    </row>
    <row r="63" spans="52:72" ht="12" customHeight="1">
      <c r="AZ63" s="43">
        <v>55</v>
      </c>
      <c r="BA63" s="43" t="str">
        <f t="shared" si="23"/>
        <v/>
      </c>
      <c r="BB63" s="43" t="str">
        <f t="shared" si="4"/>
        <v/>
      </c>
      <c r="BC63" s="43" t="str">
        <f t="shared" si="5"/>
        <v/>
      </c>
      <c r="BD63" s="43" t="str">
        <f t="shared" si="6"/>
        <v/>
      </c>
      <c r="BE63" s="43" t="e">
        <f t="shared" si="7"/>
        <v>#N/A</v>
      </c>
      <c r="BF63" s="43" t="e">
        <f t="shared" si="8"/>
        <v>#N/A</v>
      </c>
      <c r="BG63" s="43" t="e">
        <f t="shared" si="9"/>
        <v>#N/A</v>
      </c>
      <c r="BH63" s="43" t="e">
        <f t="shared" si="10"/>
        <v>#N/A</v>
      </c>
      <c r="BI63" s="43" t="e">
        <f t="shared" si="11"/>
        <v>#N/A</v>
      </c>
      <c r="BJ63" s="43" t="e">
        <f t="shared" si="12"/>
        <v>#N/A</v>
      </c>
      <c r="BK63" s="43">
        <f t="shared" si="13"/>
        <v>-2.94</v>
      </c>
      <c r="BL63" s="43" t="e">
        <f t="shared" si="14"/>
        <v>#N/A</v>
      </c>
      <c r="BM63" s="43" t="e">
        <f t="shared" si="15"/>
        <v>#N/A</v>
      </c>
      <c r="BN63" s="43" t="e">
        <f t="shared" si="16"/>
        <v>#N/A</v>
      </c>
      <c r="BO63" s="43">
        <f t="shared" si="17"/>
        <v>-2.94</v>
      </c>
      <c r="BP63" s="43">
        <f t="shared" si="18"/>
        <v>-2.9249999999999998</v>
      </c>
      <c r="BQ63" s="43" t="e">
        <f t="shared" si="19"/>
        <v>#N/A</v>
      </c>
      <c r="BR63" s="43" t="str">
        <f t="shared" si="20"/>
        <v/>
      </c>
      <c r="BS63" s="43" t="str">
        <f t="shared" si="21"/>
        <v/>
      </c>
      <c r="BT63" s="43" t="str">
        <f t="shared" si="22"/>
        <v/>
      </c>
    </row>
    <row r="64" spans="52:72" ht="12" customHeight="1">
      <c r="AZ64" s="43">
        <v>56</v>
      </c>
      <c r="BA64" s="43" t="str">
        <f t="shared" si="23"/>
        <v/>
      </c>
      <c r="BB64" s="43" t="str">
        <f t="shared" si="4"/>
        <v/>
      </c>
      <c r="BC64" s="43" t="str">
        <f t="shared" si="5"/>
        <v/>
      </c>
      <c r="BD64" s="43" t="str">
        <f t="shared" si="6"/>
        <v/>
      </c>
      <c r="BE64" s="43" t="e">
        <f t="shared" si="7"/>
        <v>#N/A</v>
      </c>
      <c r="BF64" s="43" t="e">
        <f t="shared" si="8"/>
        <v>#N/A</v>
      </c>
      <c r="BG64" s="43" t="e">
        <f t="shared" si="9"/>
        <v>#N/A</v>
      </c>
      <c r="BH64" s="43" t="e">
        <f t="shared" si="10"/>
        <v>#N/A</v>
      </c>
      <c r="BI64" s="43" t="e">
        <f t="shared" si="11"/>
        <v>#N/A</v>
      </c>
      <c r="BJ64" s="43" t="e">
        <f t="shared" si="12"/>
        <v>#N/A</v>
      </c>
      <c r="BK64" s="43">
        <f t="shared" si="13"/>
        <v>-2.94</v>
      </c>
      <c r="BL64" s="43" t="e">
        <f t="shared" si="14"/>
        <v>#N/A</v>
      </c>
      <c r="BM64" s="43" t="e">
        <f t="shared" si="15"/>
        <v>#N/A</v>
      </c>
      <c r="BN64" s="43" t="e">
        <f t="shared" si="16"/>
        <v>#N/A</v>
      </c>
      <c r="BO64" s="43">
        <f t="shared" si="17"/>
        <v>-2.94</v>
      </c>
      <c r="BP64" s="43">
        <f t="shared" si="18"/>
        <v>-2.9249999999999998</v>
      </c>
      <c r="BQ64" s="43" t="e">
        <f t="shared" si="19"/>
        <v>#N/A</v>
      </c>
      <c r="BR64" s="43" t="str">
        <f t="shared" si="20"/>
        <v/>
      </c>
      <c r="BS64" s="43" t="str">
        <f t="shared" si="21"/>
        <v/>
      </c>
      <c r="BT64" s="43" t="str">
        <f t="shared" si="22"/>
        <v/>
      </c>
    </row>
    <row r="65" spans="52:72" ht="12" customHeight="1">
      <c r="AZ65" s="43">
        <v>57</v>
      </c>
      <c r="BA65" s="43" t="str">
        <f t="shared" si="23"/>
        <v/>
      </c>
      <c r="BB65" s="43" t="str">
        <f t="shared" si="4"/>
        <v/>
      </c>
      <c r="BC65" s="43" t="str">
        <f t="shared" si="5"/>
        <v/>
      </c>
      <c r="BD65" s="43" t="str">
        <f t="shared" si="6"/>
        <v/>
      </c>
      <c r="BE65" s="43" t="e">
        <f t="shared" si="7"/>
        <v>#N/A</v>
      </c>
      <c r="BF65" s="43" t="e">
        <f t="shared" si="8"/>
        <v>#N/A</v>
      </c>
      <c r="BG65" s="43" t="e">
        <f t="shared" si="9"/>
        <v>#N/A</v>
      </c>
      <c r="BH65" s="43" t="e">
        <f t="shared" si="10"/>
        <v>#N/A</v>
      </c>
      <c r="BI65" s="43" t="e">
        <f t="shared" si="11"/>
        <v>#N/A</v>
      </c>
      <c r="BJ65" s="43" t="e">
        <f t="shared" si="12"/>
        <v>#N/A</v>
      </c>
      <c r="BK65" s="43">
        <f t="shared" si="13"/>
        <v>-2.94</v>
      </c>
      <c r="BL65" s="43" t="e">
        <f t="shared" si="14"/>
        <v>#N/A</v>
      </c>
      <c r="BM65" s="43" t="e">
        <f t="shared" si="15"/>
        <v>#N/A</v>
      </c>
      <c r="BN65" s="43" t="e">
        <f t="shared" si="16"/>
        <v>#N/A</v>
      </c>
      <c r="BO65" s="43">
        <f t="shared" si="17"/>
        <v>-2.94</v>
      </c>
      <c r="BP65" s="43">
        <f t="shared" si="18"/>
        <v>-2.9249999999999998</v>
      </c>
      <c r="BQ65" s="43" t="e">
        <f t="shared" si="19"/>
        <v>#N/A</v>
      </c>
      <c r="BR65" s="43" t="str">
        <f t="shared" si="20"/>
        <v/>
      </c>
      <c r="BS65" s="43" t="str">
        <f t="shared" si="21"/>
        <v/>
      </c>
      <c r="BT65" s="43" t="str">
        <f t="shared" si="22"/>
        <v/>
      </c>
    </row>
    <row r="66" spans="52:72" ht="12" customHeight="1">
      <c r="AZ66" s="43">
        <v>58</v>
      </c>
      <c r="BA66" s="43" t="str">
        <f t="shared" si="23"/>
        <v/>
      </c>
      <c r="BB66" s="43" t="str">
        <f t="shared" si="4"/>
        <v/>
      </c>
      <c r="BC66" s="43" t="str">
        <f t="shared" si="5"/>
        <v/>
      </c>
      <c r="BD66" s="43" t="str">
        <f t="shared" si="6"/>
        <v/>
      </c>
      <c r="BE66" s="43" t="e">
        <f t="shared" si="7"/>
        <v>#N/A</v>
      </c>
      <c r="BF66" s="43" t="e">
        <f t="shared" si="8"/>
        <v>#N/A</v>
      </c>
      <c r="BG66" s="43" t="e">
        <f t="shared" si="9"/>
        <v>#N/A</v>
      </c>
      <c r="BH66" s="43" t="e">
        <f t="shared" si="10"/>
        <v>#N/A</v>
      </c>
      <c r="BI66" s="43" t="e">
        <f t="shared" si="11"/>
        <v>#N/A</v>
      </c>
      <c r="BJ66" s="43" t="e">
        <f t="shared" si="12"/>
        <v>#N/A</v>
      </c>
      <c r="BK66" s="43">
        <f t="shared" si="13"/>
        <v>-2.94</v>
      </c>
      <c r="BL66" s="43" t="e">
        <f t="shared" si="14"/>
        <v>#N/A</v>
      </c>
      <c r="BM66" s="43" t="e">
        <f t="shared" si="15"/>
        <v>#N/A</v>
      </c>
      <c r="BN66" s="43" t="e">
        <f t="shared" si="16"/>
        <v>#N/A</v>
      </c>
      <c r="BO66" s="43">
        <f t="shared" si="17"/>
        <v>-2.94</v>
      </c>
      <c r="BP66" s="43">
        <f t="shared" si="18"/>
        <v>-2.9249999999999998</v>
      </c>
      <c r="BQ66" s="43" t="e">
        <f t="shared" si="19"/>
        <v>#N/A</v>
      </c>
      <c r="BR66" s="43" t="str">
        <f t="shared" si="20"/>
        <v/>
      </c>
      <c r="BS66" s="43" t="str">
        <f t="shared" si="21"/>
        <v/>
      </c>
      <c r="BT66" s="43" t="str">
        <f t="shared" si="22"/>
        <v/>
      </c>
    </row>
    <row r="67" spans="52:72" ht="12" customHeight="1">
      <c r="AZ67" s="43">
        <v>59</v>
      </c>
      <c r="BA67" s="43" t="str">
        <f t="shared" si="23"/>
        <v/>
      </c>
      <c r="BB67" s="43" t="str">
        <f t="shared" si="4"/>
        <v/>
      </c>
      <c r="BC67" s="43" t="str">
        <f t="shared" si="5"/>
        <v/>
      </c>
      <c r="BD67" s="43" t="str">
        <f t="shared" si="6"/>
        <v/>
      </c>
      <c r="BE67" s="43" t="e">
        <f t="shared" si="7"/>
        <v>#N/A</v>
      </c>
      <c r="BF67" s="43" t="e">
        <f t="shared" si="8"/>
        <v>#N/A</v>
      </c>
      <c r="BG67" s="43" t="e">
        <f t="shared" si="9"/>
        <v>#N/A</v>
      </c>
      <c r="BH67" s="43" t="e">
        <f t="shared" si="10"/>
        <v>#N/A</v>
      </c>
      <c r="BI67" s="43" t="e">
        <f t="shared" si="11"/>
        <v>#N/A</v>
      </c>
      <c r="BJ67" s="43" t="e">
        <f t="shared" si="12"/>
        <v>#N/A</v>
      </c>
      <c r="BK67" s="43">
        <f t="shared" si="13"/>
        <v>-2.94</v>
      </c>
      <c r="BL67" s="43" t="e">
        <f t="shared" si="14"/>
        <v>#N/A</v>
      </c>
      <c r="BM67" s="43" t="e">
        <f t="shared" si="15"/>
        <v>#N/A</v>
      </c>
      <c r="BN67" s="43" t="e">
        <f t="shared" si="16"/>
        <v>#N/A</v>
      </c>
      <c r="BO67" s="43">
        <f t="shared" si="17"/>
        <v>-2.94</v>
      </c>
      <c r="BP67" s="43">
        <f t="shared" si="18"/>
        <v>-2.9249999999999998</v>
      </c>
      <c r="BQ67" s="43" t="e">
        <f t="shared" si="19"/>
        <v>#N/A</v>
      </c>
      <c r="BR67" s="43" t="str">
        <f t="shared" si="20"/>
        <v/>
      </c>
      <c r="BS67" s="43" t="str">
        <f t="shared" si="21"/>
        <v/>
      </c>
      <c r="BT67" s="43" t="str">
        <f t="shared" si="22"/>
        <v/>
      </c>
    </row>
    <row r="68" spans="52:72" ht="12" customHeight="1">
      <c r="AZ68" s="43">
        <v>60</v>
      </c>
      <c r="BA68" s="43" t="str">
        <f t="shared" si="23"/>
        <v/>
      </c>
      <c r="BB68" s="43" t="str">
        <f t="shared" si="4"/>
        <v/>
      </c>
      <c r="BC68" s="43" t="str">
        <f t="shared" si="5"/>
        <v/>
      </c>
      <c r="BD68" s="43" t="str">
        <f t="shared" si="6"/>
        <v/>
      </c>
      <c r="BE68" s="43" t="e">
        <f t="shared" si="7"/>
        <v>#N/A</v>
      </c>
      <c r="BF68" s="43" t="e">
        <f t="shared" si="8"/>
        <v>#N/A</v>
      </c>
      <c r="BG68" s="43" t="e">
        <f t="shared" si="9"/>
        <v>#N/A</v>
      </c>
      <c r="BH68" s="43" t="e">
        <f t="shared" si="10"/>
        <v>#N/A</v>
      </c>
      <c r="BI68" s="43" t="e">
        <f t="shared" si="11"/>
        <v>#N/A</v>
      </c>
      <c r="BJ68" s="43" t="e">
        <f t="shared" si="12"/>
        <v>#N/A</v>
      </c>
      <c r="BK68" s="43">
        <f t="shared" si="13"/>
        <v>-2.94</v>
      </c>
      <c r="BL68" s="43" t="e">
        <f t="shared" si="14"/>
        <v>#N/A</v>
      </c>
      <c r="BM68" s="43" t="e">
        <f t="shared" si="15"/>
        <v>#N/A</v>
      </c>
      <c r="BN68" s="43" t="e">
        <f t="shared" si="16"/>
        <v>#N/A</v>
      </c>
      <c r="BO68" s="43">
        <f t="shared" si="17"/>
        <v>-2.94</v>
      </c>
      <c r="BP68" s="43">
        <f t="shared" si="18"/>
        <v>-2.9249999999999998</v>
      </c>
      <c r="BQ68" s="43" t="e">
        <f t="shared" si="19"/>
        <v>#N/A</v>
      </c>
      <c r="BR68" s="43" t="str">
        <f t="shared" si="20"/>
        <v/>
      </c>
      <c r="BS68" s="43" t="str">
        <f t="shared" si="21"/>
        <v/>
      </c>
      <c r="BT68" s="43" t="str">
        <f t="shared" si="22"/>
        <v/>
      </c>
    </row>
    <row r="69" spans="52:72" ht="12" customHeight="1">
      <c r="AZ69" s="43">
        <v>61</v>
      </c>
      <c r="BA69" s="43" t="str">
        <f t="shared" si="23"/>
        <v/>
      </c>
      <c r="BB69" s="43" t="str">
        <f t="shared" si="4"/>
        <v/>
      </c>
      <c r="BC69" s="43" t="str">
        <f t="shared" si="5"/>
        <v/>
      </c>
      <c r="BD69" s="43" t="str">
        <f t="shared" si="6"/>
        <v/>
      </c>
      <c r="BE69" s="43" t="e">
        <f t="shared" si="7"/>
        <v>#N/A</v>
      </c>
      <c r="BF69" s="43" t="e">
        <f t="shared" si="8"/>
        <v>#N/A</v>
      </c>
      <c r="BG69" s="43" t="e">
        <f t="shared" si="9"/>
        <v>#N/A</v>
      </c>
      <c r="BH69" s="43" t="e">
        <f t="shared" si="10"/>
        <v>#N/A</v>
      </c>
      <c r="BI69" s="43" t="e">
        <f t="shared" si="11"/>
        <v>#N/A</v>
      </c>
      <c r="BJ69" s="43" t="e">
        <f t="shared" si="12"/>
        <v>#N/A</v>
      </c>
      <c r="BK69" s="43">
        <f t="shared" si="13"/>
        <v>-2.94</v>
      </c>
      <c r="BL69" s="43" t="e">
        <f t="shared" si="14"/>
        <v>#N/A</v>
      </c>
      <c r="BM69" s="43" t="e">
        <f t="shared" si="15"/>
        <v>#N/A</v>
      </c>
      <c r="BN69" s="43" t="e">
        <f t="shared" si="16"/>
        <v>#N/A</v>
      </c>
      <c r="BO69" s="43">
        <f t="shared" si="17"/>
        <v>-2.94</v>
      </c>
      <c r="BP69" s="43">
        <f t="shared" si="18"/>
        <v>-2.9249999999999998</v>
      </c>
      <c r="BQ69" s="43" t="e">
        <f t="shared" si="19"/>
        <v>#N/A</v>
      </c>
      <c r="BR69" s="43" t="str">
        <f t="shared" si="20"/>
        <v/>
      </c>
      <c r="BS69" s="43" t="str">
        <f t="shared" si="21"/>
        <v/>
      </c>
      <c r="BT69" s="43" t="str">
        <f t="shared" si="22"/>
        <v/>
      </c>
    </row>
    <row r="70" spans="52:72" ht="12" customHeight="1">
      <c r="AZ70" s="43">
        <v>62</v>
      </c>
      <c r="BA70" s="43" t="str">
        <f t="shared" si="23"/>
        <v/>
      </c>
      <c r="BB70" s="43" t="str">
        <f t="shared" si="4"/>
        <v/>
      </c>
      <c r="BC70" s="43" t="str">
        <f t="shared" si="5"/>
        <v/>
      </c>
      <c r="BD70" s="43" t="str">
        <f t="shared" si="6"/>
        <v/>
      </c>
      <c r="BE70" s="43" t="e">
        <f t="shared" si="7"/>
        <v>#N/A</v>
      </c>
      <c r="BF70" s="43" t="e">
        <f t="shared" si="8"/>
        <v>#N/A</v>
      </c>
      <c r="BG70" s="43" t="e">
        <f t="shared" si="9"/>
        <v>#N/A</v>
      </c>
      <c r="BH70" s="43" t="e">
        <f t="shared" si="10"/>
        <v>#N/A</v>
      </c>
      <c r="BI70" s="43" t="e">
        <f t="shared" si="11"/>
        <v>#N/A</v>
      </c>
      <c r="BJ70" s="43" t="e">
        <f t="shared" si="12"/>
        <v>#N/A</v>
      </c>
      <c r="BK70" s="43">
        <f t="shared" si="13"/>
        <v>-2.94</v>
      </c>
      <c r="BL70" s="43" t="e">
        <f t="shared" si="14"/>
        <v>#N/A</v>
      </c>
      <c r="BM70" s="43" t="e">
        <f t="shared" si="15"/>
        <v>#N/A</v>
      </c>
      <c r="BN70" s="43" t="e">
        <f t="shared" si="16"/>
        <v>#N/A</v>
      </c>
      <c r="BO70" s="43">
        <f t="shared" si="17"/>
        <v>-2.94</v>
      </c>
      <c r="BP70" s="43">
        <f t="shared" si="18"/>
        <v>-2.9249999999999998</v>
      </c>
      <c r="BQ70" s="43" t="e">
        <f t="shared" si="19"/>
        <v>#N/A</v>
      </c>
      <c r="BR70" s="43" t="str">
        <f t="shared" si="20"/>
        <v/>
      </c>
      <c r="BS70" s="43" t="str">
        <f t="shared" si="21"/>
        <v/>
      </c>
      <c r="BT70" s="43" t="str">
        <f t="shared" si="22"/>
        <v/>
      </c>
    </row>
    <row r="71" spans="52:72" ht="12" customHeight="1">
      <c r="AZ71" s="43">
        <v>63</v>
      </c>
      <c r="BA71" s="43" t="str">
        <f t="shared" si="23"/>
        <v/>
      </c>
      <c r="BB71" s="43" t="str">
        <f t="shared" si="4"/>
        <v/>
      </c>
      <c r="BC71" s="43" t="str">
        <f t="shared" si="5"/>
        <v/>
      </c>
      <c r="BD71" s="43" t="str">
        <f t="shared" si="6"/>
        <v/>
      </c>
      <c r="BE71" s="43" t="e">
        <f t="shared" si="7"/>
        <v>#N/A</v>
      </c>
      <c r="BF71" s="43" t="e">
        <f t="shared" si="8"/>
        <v>#N/A</v>
      </c>
      <c r="BG71" s="43" t="e">
        <f t="shared" si="9"/>
        <v>#N/A</v>
      </c>
      <c r="BH71" s="43" t="e">
        <f t="shared" si="10"/>
        <v>#N/A</v>
      </c>
      <c r="BI71" s="43" t="e">
        <f t="shared" si="11"/>
        <v>#N/A</v>
      </c>
      <c r="BJ71" s="43" t="e">
        <f t="shared" si="12"/>
        <v>#N/A</v>
      </c>
      <c r="BK71" s="43">
        <f t="shared" si="13"/>
        <v>-2.94</v>
      </c>
      <c r="BL71" s="43" t="e">
        <f t="shared" si="14"/>
        <v>#N/A</v>
      </c>
      <c r="BM71" s="43" t="e">
        <f t="shared" si="15"/>
        <v>#N/A</v>
      </c>
      <c r="BN71" s="43" t="e">
        <f t="shared" si="16"/>
        <v>#N/A</v>
      </c>
      <c r="BO71" s="43">
        <f t="shared" si="17"/>
        <v>-2.94</v>
      </c>
      <c r="BP71" s="43">
        <f t="shared" si="18"/>
        <v>-2.9249999999999998</v>
      </c>
      <c r="BQ71" s="43" t="e">
        <f t="shared" si="19"/>
        <v>#N/A</v>
      </c>
      <c r="BR71" s="43" t="str">
        <f t="shared" si="20"/>
        <v/>
      </c>
      <c r="BS71" s="43" t="str">
        <f t="shared" si="21"/>
        <v/>
      </c>
      <c r="BT71" s="43" t="str">
        <f t="shared" si="22"/>
        <v/>
      </c>
    </row>
    <row r="72" spans="52:72" ht="12" customHeight="1">
      <c r="AZ72" s="43">
        <v>64</v>
      </c>
      <c r="BA72" s="43" t="str">
        <f t="shared" si="23"/>
        <v/>
      </c>
      <c r="BB72" s="43" t="str">
        <f t="shared" si="4"/>
        <v/>
      </c>
      <c r="BC72" s="43" t="str">
        <f t="shared" si="5"/>
        <v/>
      </c>
      <c r="BD72" s="43" t="str">
        <f t="shared" si="6"/>
        <v/>
      </c>
      <c r="BE72" s="43" t="e">
        <f t="shared" si="7"/>
        <v>#N/A</v>
      </c>
      <c r="BF72" s="43" t="e">
        <f t="shared" si="8"/>
        <v>#N/A</v>
      </c>
      <c r="BG72" s="43" t="e">
        <f t="shared" si="9"/>
        <v>#N/A</v>
      </c>
      <c r="BH72" s="43" t="e">
        <f t="shared" si="10"/>
        <v>#N/A</v>
      </c>
      <c r="BI72" s="43" t="e">
        <f t="shared" si="11"/>
        <v>#N/A</v>
      </c>
      <c r="BJ72" s="43" t="e">
        <f t="shared" si="12"/>
        <v>#N/A</v>
      </c>
      <c r="BK72" s="43">
        <f t="shared" si="13"/>
        <v>-2.94</v>
      </c>
      <c r="BL72" s="43" t="e">
        <f t="shared" si="14"/>
        <v>#N/A</v>
      </c>
      <c r="BM72" s="43" t="e">
        <f t="shared" si="15"/>
        <v>#N/A</v>
      </c>
      <c r="BN72" s="43" t="e">
        <f t="shared" si="16"/>
        <v>#N/A</v>
      </c>
      <c r="BO72" s="43">
        <f t="shared" si="17"/>
        <v>-2.94</v>
      </c>
      <c r="BP72" s="43">
        <f t="shared" si="18"/>
        <v>-2.9249999999999998</v>
      </c>
      <c r="BQ72" s="43" t="e">
        <f t="shared" si="19"/>
        <v>#N/A</v>
      </c>
      <c r="BR72" s="43" t="str">
        <f t="shared" si="20"/>
        <v/>
      </c>
      <c r="BS72" s="43" t="str">
        <f t="shared" si="21"/>
        <v/>
      </c>
      <c r="BT72" s="43" t="str">
        <f t="shared" si="22"/>
        <v/>
      </c>
    </row>
    <row r="73" spans="52:72" ht="12" customHeight="1">
      <c r="AZ73" s="43">
        <v>65</v>
      </c>
      <c r="BA73" s="43" t="str">
        <f t="shared" si="23"/>
        <v/>
      </c>
      <c r="BB73" s="43" t="str">
        <f t="shared" ref="BB73:BB136" si="24">IF(AZ73&gt;$H$6,"",MOD(BA73*100000013,1))</f>
        <v/>
      </c>
      <c r="BC73" s="43" t="str">
        <f t="shared" ref="BC73:BC136" si="25">IF(AZ73&gt;$H$6,"",NORMSINV(BA73))</f>
        <v/>
      </c>
      <c r="BD73" s="43" t="str">
        <f t="shared" ref="BD73:BD136" si="26">IF(AZ73&gt;$H$6,"",BC73*$BA$7*$BD$4+$BB$5*NORMSINV(BB73))</f>
        <v/>
      </c>
      <c r="BE73" s="43" t="e">
        <f t="shared" ref="BE73:BE136" si="27">IF($AY$22,IF(BC73="",NA(),BC73),NA())</f>
        <v>#N/A</v>
      </c>
      <c r="BF73" s="43" t="e">
        <f t="shared" ref="BF73:BF136" si="28">IF($AY$22,IF(BD73="",NA(),BD73),NA())</f>
        <v>#N/A</v>
      </c>
      <c r="BG73" s="43" t="e">
        <f t="shared" ref="BG73:BG136" si="29">OR(BE73&lt;-forzoom,BE73&gt;forzoom,BF73&lt;-forzoom,BF73&gt;forzoom)</f>
        <v>#N/A</v>
      </c>
      <c r="BH73" s="43" t="e">
        <f t="shared" ref="BH73:BH136" si="30">IF(BG73,IF(ISNA(BE73),NA(),IF(BE73&lt;-forzoom,-forzoom,IF(BE73&gt;forzoom,forzoom,BE73))),NA())</f>
        <v>#N/A</v>
      </c>
      <c r="BI73" s="43" t="e">
        <f t="shared" ref="BI73:BI136" si="31">IF(ISNA(BF73),NA(),IF(BF73&lt;-forzoom,-forzoom,IF(BF73&gt;forzoom,forzoom,BF73)))</f>
        <v>#N/A</v>
      </c>
      <c r="BJ73" s="43" t="e">
        <f t="shared" ref="BJ73:BJ136" si="32">IF($BI$5,BE73,NA())</f>
        <v>#N/A</v>
      </c>
      <c r="BK73" s="43">
        <f t="shared" ref="BK73:BK136" si="33">-forzoom*$BK$6</f>
        <v>-2.94</v>
      </c>
      <c r="BL73" s="43" t="e">
        <f t="shared" ref="BL73:BL136" si="34">IF($BI$6,-forzoom*$BL$6,NA())</f>
        <v>#N/A</v>
      </c>
      <c r="BM73" s="43" t="e">
        <f t="shared" ref="BM73:BM136" si="35">BF73</f>
        <v>#N/A</v>
      </c>
      <c r="BN73" s="43" t="e">
        <f t="shared" ref="BN73:BN136" si="36">IF($BI$5,IF(BE73&gt;forzoom,forzoom,IF(BE73&lt;-forzoom,-forzoom,NA())),NA())</f>
        <v>#N/A</v>
      </c>
      <c r="BO73" s="43">
        <f t="shared" ref="BO73:BO136" si="37">-forzoom*$BK$6</f>
        <v>-2.94</v>
      </c>
      <c r="BP73" s="43">
        <f t="shared" ref="BP73:BP136" si="38">-forzoom*$BL$6</f>
        <v>-2.9249999999999998</v>
      </c>
      <c r="BQ73" s="43" t="e">
        <f t="shared" ref="BQ73:BQ136" si="39">IF($BI$6,IF(BF73&gt;forzoom,forzoom,IF(BF73&lt;-forzoom,-forzoom,NA())),NA())</f>
        <v>#N/A</v>
      </c>
      <c r="BR73" s="43" t="str">
        <f t="shared" ref="BR73:BR136" si="40">IF(BC73="","",BC73-$BC$6)</f>
        <v/>
      </c>
      <c r="BS73" s="43" t="str">
        <f t="shared" ref="BS73:BS136" si="41">IF(BD73="","",BD73-$BD$6)</f>
        <v/>
      </c>
      <c r="BT73" s="43" t="str">
        <f t="shared" ref="BT73:BT136" si="42">IF(BR73="","",BR73*BS73)</f>
        <v/>
      </c>
    </row>
    <row r="74" spans="52:72" ht="12" customHeight="1">
      <c r="AZ74" s="43">
        <v>66</v>
      </c>
      <c r="BA74" s="43" t="str">
        <f t="shared" ref="BA74:BA137" si="43">IF(AZ74&gt;$H$6,"",MOD(BB73*100000013,1))</f>
        <v/>
      </c>
      <c r="BB74" s="43" t="str">
        <f t="shared" si="24"/>
        <v/>
      </c>
      <c r="BC74" s="43" t="str">
        <f t="shared" si="25"/>
        <v/>
      </c>
      <c r="BD74" s="43" t="str">
        <f t="shared" si="26"/>
        <v/>
      </c>
      <c r="BE74" s="43" t="e">
        <f t="shared" si="27"/>
        <v>#N/A</v>
      </c>
      <c r="BF74" s="43" t="e">
        <f t="shared" si="28"/>
        <v>#N/A</v>
      </c>
      <c r="BG74" s="43" t="e">
        <f t="shared" si="29"/>
        <v>#N/A</v>
      </c>
      <c r="BH74" s="43" t="e">
        <f t="shared" si="30"/>
        <v>#N/A</v>
      </c>
      <c r="BI74" s="43" t="e">
        <f t="shared" si="31"/>
        <v>#N/A</v>
      </c>
      <c r="BJ74" s="43" t="e">
        <f t="shared" si="32"/>
        <v>#N/A</v>
      </c>
      <c r="BK74" s="43">
        <f t="shared" si="33"/>
        <v>-2.94</v>
      </c>
      <c r="BL74" s="43" t="e">
        <f t="shared" si="34"/>
        <v>#N/A</v>
      </c>
      <c r="BM74" s="43" t="e">
        <f t="shared" si="35"/>
        <v>#N/A</v>
      </c>
      <c r="BN74" s="43" t="e">
        <f t="shared" si="36"/>
        <v>#N/A</v>
      </c>
      <c r="BO74" s="43">
        <f t="shared" si="37"/>
        <v>-2.94</v>
      </c>
      <c r="BP74" s="43">
        <f t="shared" si="38"/>
        <v>-2.9249999999999998</v>
      </c>
      <c r="BQ74" s="43" t="e">
        <f t="shared" si="39"/>
        <v>#N/A</v>
      </c>
      <c r="BR74" s="43" t="str">
        <f t="shared" si="40"/>
        <v/>
      </c>
      <c r="BS74" s="43" t="str">
        <f t="shared" si="41"/>
        <v/>
      </c>
      <c r="BT74" s="43" t="str">
        <f t="shared" si="42"/>
        <v/>
      </c>
    </row>
    <row r="75" spans="52:72" ht="12" customHeight="1">
      <c r="AZ75" s="43">
        <v>67</v>
      </c>
      <c r="BA75" s="43" t="str">
        <f t="shared" si="43"/>
        <v/>
      </c>
      <c r="BB75" s="43" t="str">
        <f t="shared" si="24"/>
        <v/>
      </c>
      <c r="BC75" s="43" t="str">
        <f t="shared" si="25"/>
        <v/>
      </c>
      <c r="BD75" s="43" t="str">
        <f t="shared" si="26"/>
        <v/>
      </c>
      <c r="BE75" s="43" t="e">
        <f t="shared" si="27"/>
        <v>#N/A</v>
      </c>
      <c r="BF75" s="43" t="e">
        <f t="shared" si="28"/>
        <v>#N/A</v>
      </c>
      <c r="BG75" s="43" t="e">
        <f t="shared" si="29"/>
        <v>#N/A</v>
      </c>
      <c r="BH75" s="43" t="e">
        <f t="shared" si="30"/>
        <v>#N/A</v>
      </c>
      <c r="BI75" s="43" t="e">
        <f t="shared" si="31"/>
        <v>#N/A</v>
      </c>
      <c r="BJ75" s="43" t="e">
        <f t="shared" si="32"/>
        <v>#N/A</v>
      </c>
      <c r="BK75" s="43">
        <f t="shared" si="33"/>
        <v>-2.94</v>
      </c>
      <c r="BL75" s="43" t="e">
        <f t="shared" si="34"/>
        <v>#N/A</v>
      </c>
      <c r="BM75" s="43" t="e">
        <f t="shared" si="35"/>
        <v>#N/A</v>
      </c>
      <c r="BN75" s="43" t="e">
        <f t="shared" si="36"/>
        <v>#N/A</v>
      </c>
      <c r="BO75" s="43">
        <f t="shared" si="37"/>
        <v>-2.94</v>
      </c>
      <c r="BP75" s="43">
        <f t="shared" si="38"/>
        <v>-2.9249999999999998</v>
      </c>
      <c r="BQ75" s="43" t="e">
        <f t="shared" si="39"/>
        <v>#N/A</v>
      </c>
      <c r="BR75" s="43" t="str">
        <f t="shared" si="40"/>
        <v/>
      </c>
      <c r="BS75" s="43" t="str">
        <f t="shared" si="41"/>
        <v/>
      </c>
      <c r="BT75" s="43" t="str">
        <f t="shared" si="42"/>
        <v/>
      </c>
    </row>
    <row r="76" spans="52:72" ht="12" customHeight="1">
      <c r="AZ76" s="43">
        <v>68</v>
      </c>
      <c r="BA76" s="43" t="str">
        <f t="shared" si="43"/>
        <v/>
      </c>
      <c r="BB76" s="43" t="str">
        <f t="shared" si="24"/>
        <v/>
      </c>
      <c r="BC76" s="43" t="str">
        <f t="shared" si="25"/>
        <v/>
      </c>
      <c r="BD76" s="43" t="str">
        <f t="shared" si="26"/>
        <v/>
      </c>
      <c r="BE76" s="43" t="e">
        <f t="shared" si="27"/>
        <v>#N/A</v>
      </c>
      <c r="BF76" s="43" t="e">
        <f t="shared" si="28"/>
        <v>#N/A</v>
      </c>
      <c r="BG76" s="43" t="e">
        <f t="shared" si="29"/>
        <v>#N/A</v>
      </c>
      <c r="BH76" s="43" t="e">
        <f t="shared" si="30"/>
        <v>#N/A</v>
      </c>
      <c r="BI76" s="43" t="e">
        <f t="shared" si="31"/>
        <v>#N/A</v>
      </c>
      <c r="BJ76" s="43" t="e">
        <f t="shared" si="32"/>
        <v>#N/A</v>
      </c>
      <c r="BK76" s="43">
        <f t="shared" si="33"/>
        <v>-2.94</v>
      </c>
      <c r="BL76" s="43" t="e">
        <f t="shared" si="34"/>
        <v>#N/A</v>
      </c>
      <c r="BM76" s="43" t="e">
        <f t="shared" si="35"/>
        <v>#N/A</v>
      </c>
      <c r="BN76" s="43" t="e">
        <f t="shared" si="36"/>
        <v>#N/A</v>
      </c>
      <c r="BO76" s="43">
        <f t="shared" si="37"/>
        <v>-2.94</v>
      </c>
      <c r="BP76" s="43">
        <f t="shared" si="38"/>
        <v>-2.9249999999999998</v>
      </c>
      <c r="BQ76" s="43" t="e">
        <f t="shared" si="39"/>
        <v>#N/A</v>
      </c>
      <c r="BR76" s="43" t="str">
        <f t="shared" si="40"/>
        <v/>
      </c>
      <c r="BS76" s="43" t="str">
        <f t="shared" si="41"/>
        <v/>
      </c>
      <c r="BT76" s="43" t="str">
        <f t="shared" si="42"/>
        <v/>
      </c>
    </row>
    <row r="77" spans="52:72" ht="12" customHeight="1">
      <c r="AZ77" s="43">
        <v>69</v>
      </c>
      <c r="BA77" s="43" t="str">
        <f t="shared" si="43"/>
        <v/>
      </c>
      <c r="BB77" s="43" t="str">
        <f t="shared" si="24"/>
        <v/>
      </c>
      <c r="BC77" s="43" t="str">
        <f t="shared" si="25"/>
        <v/>
      </c>
      <c r="BD77" s="43" t="str">
        <f t="shared" si="26"/>
        <v/>
      </c>
      <c r="BE77" s="43" t="e">
        <f t="shared" si="27"/>
        <v>#N/A</v>
      </c>
      <c r="BF77" s="43" t="e">
        <f t="shared" si="28"/>
        <v>#N/A</v>
      </c>
      <c r="BG77" s="43" t="e">
        <f t="shared" si="29"/>
        <v>#N/A</v>
      </c>
      <c r="BH77" s="43" t="e">
        <f t="shared" si="30"/>
        <v>#N/A</v>
      </c>
      <c r="BI77" s="43" t="e">
        <f t="shared" si="31"/>
        <v>#N/A</v>
      </c>
      <c r="BJ77" s="43" t="e">
        <f t="shared" si="32"/>
        <v>#N/A</v>
      </c>
      <c r="BK77" s="43">
        <f t="shared" si="33"/>
        <v>-2.94</v>
      </c>
      <c r="BL77" s="43" t="e">
        <f t="shared" si="34"/>
        <v>#N/A</v>
      </c>
      <c r="BM77" s="43" t="e">
        <f t="shared" si="35"/>
        <v>#N/A</v>
      </c>
      <c r="BN77" s="43" t="e">
        <f t="shared" si="36"/>
        <v>#N/A</v>
      </c>
      <c r="BO77" s="43">
        <f t="shared" si="37"/>
        <v>-2.94</v>
      </c>
      <c r="BP77" s="43">
        <f t="shared" si="38"/>
        <v>-2.9249999999999998</v>
      </c>
      <c r="BQ77" s="43" t="e">
        <f t="shared" si="39"/>
        <v>#N/A</v>
      </c>
      <c r="BR77" s="43" t="str">
        <f t="shared" si="40"/>
        <v/>
      </c>
      <c r="BS77" s="43" t="str">
        <f t="shared" si="41"/>
        <v/>
      </c>
      <c r="BT77" s="43" t="str">
        <f t="shared" si="42"/>
        <v/>
      </c>
    </row>
    <row r="78" spans="52:72" ht="12" customHeight="1">
      <c r="AZ78" s="43">
        <v>70</v>
      </c>
      <c r="BA78" s="43" t="str">
        <f t="shared" si="43"/>
        <v/>
      </c>
      <c r="BB78" s="43" t="str">
        <f t="shared" si="24"/>
        <v/>
      </c>
      <c r="BC78" s="43" t="str">
        <f t="shared" si="25"/>
        <v/>
      </c>
      <c r="BD78" s="43" t="str">
        <f t="shared" si="26"/>
        <v/>
      </c>
      <c r="BE78" s="43" t="e">
        <f t="shared" si="27"/>
        <v>#N/A</v>
      </c>
      <c r="BF78" s="43" t="e">
        <f t="shared" si="28"/>
        <v>#N/A</v>
      </c>
      <c r="BG78" s="43" t="e">
        <f t="shared" si="29"/>
        <v>#N/A</v>
      </c>
      <c r="BH78" s="43" t="e">
        <f t="shared" si="30"/>
        <v>#N/A</v>
      </c>
      <c r="BI78" s="43" t="e">
        <f t="shared" si="31"/>
        <v>#N/A</v>
      </c>
      <c r="BJ78" s="43" t="e">
        <f t="shared" si="32"/>
        <v>#N/A</v>
      </c>
      <c r="BK78" s="43">
        <f t="shared" si="33"/>
        <v>-2.94</v>
      </c>
      <c r="BL78" s="43" t="e">
        <f t="shared" si="34"/>
        <v>#N/A</v>
      </c>
      <c r="BM78" s="43" t="e">
        <f t="shared" si="35"/>
        <v>#N/A</v>
      </c>
      <c r="BN78" s="43" t="e">
        <f t="shared" si="36"/>
        <v>#N/A</v>
      </c>
      <c r="BO78" s="43">
        <f t="shared" si="37"/>
        <v>-2.94</v>
      </c>
      <c r="BP78" s="43">
        <f t="shared" si="38"/>
        <v>-2.9249999999999998</v>
      </c>
      <c r="BQ78" s="43" t="e">
        <f t="shared" si="39"/>
        <v>#N/A</v>
      </c>
      <c r="BR78" s="43" t="str">
        <f t="shared" si="40"/>
        <v/>
      </c>
      <c r="BS78" s="43" t="str">
        <f t="shared" si="41"/>
        <v/>
      </c>
      <c r="BT78" s="43" t="str">
        <f t="shared" si="42"/>
        <v/>
      </c>
    </row>
    <row r="79" spans="52:72" ht="12" customHeight="1">
      <c r="AZ79" s="43">
        <v>71</v>
      </c>
      <c r="BA79" s="43" t="str">
        <f t="shared" si="43"/>
        <v/>
      </c>
      <c r="BB79" s="43" t="str">
        <f t="shared" si="24"/>
        <v/>
      </c>
      <c r="BC79" s="43" t="str">
        <f t="shared" si="25"/>
        <v/>
      </c>
      <c r="BD79" s="43" t="str">
        <f t="shared" si="26"/>
        <v/>
      </c>
      <c r="BE79" s="43" t="e">
        <f t="shared" si="27"/>
        <v>#N/A</v>
      </c>
      <c r="BF79" s="43" t="e">
        <f t="shared" si="28"/>
        <v>#N/A</v>
      </c>
      <c r="BG79" s="43" t="e">
        <f t="shared" si="29"/>
        <v>#N/A</v>
      </c>
      <c r="BH79" s="43" t="e">
        <f t="shared" si="30"/>
        <v>#N/A</v>
      </c>
      <c r="BI79" s="43" t="e">
        <f t="shared" si="31"/>
        <v>#N/A</v>
      </c>
      <c r="BJ79" s="43" t="e">
        <f t="shared" si="32"/>
        <v>#N/A</v>
      </c>
      <c r="BK79" s="43">
        <f t="shared" si="33"/>
        <v>-2.94</v>
      </c>
      <c r="BL79" s="43" t="e">
        <f t="shared" si="34"/>
        <v>#N/A</v>
      </c>
      <c r="BM79" s="43" t="e">
        <f t="shared" si="35"/>
        <v>#N/A</v>
      </c>
      <c r="BN79" s="43" t="e">
        <f t="shared" si="36"/>
        <v>#N/A</v>
      </c>
      <c r="BO79" s="43">
        <f t="shared" si="37"/>
        <v>-2.94</v>
      </c>
      <c r="BP79" s="43">
        <f t="shared" si="38"/>
        <v>-2.9249999999999998</v>
      </c>
      <c r="BQ79" s="43" t="e">
        <f t="shared" si="39"/>
        <v>#N/A</v>
      </c>
      <c r="BR79" s="43" t="str">
        <f t="shared" si="40"/>
        <v/>
      </c>
      <c r="BS79" s="43" t="str">
        <f t="shared" si="41"/>
        <v/>
      </c>
      <c r="BT79" s="43" t="str">
        <f t="shared" si="42"/>
        <v/>
      </c>
    </row>
    <row r="80" spans="52:72" ht="12" customHeight="1">
      <c r="AZ80" s="43">
        <v>72</v>
      </c>
      <c r="BA80" s="43" t="str">
        <f t="shared" si="43"/>
        <v/>
      </c>
      <c r="BB80" s="43" t="str">
        <f t="shared" si="24"/>
        <v/>
      </c>
      <c r="BC80" s="43" t="str">
        <f t="shared" si="25"/>
        <v/>
      </c>
      <c r="BD80" s="43" t="str">
        <f t="shared" si="26"/>
        <v/>
      </c>
      <c r="BE80" s="43" t="e">
        <f t="shared" si="27"/>
        <v>#N/A</v>
      </c>
      <c r="BF80" s="43" t="e">
        <f t="shared" si="28"/>
        <v>#N/A</v>
      </c>
      <c r="BG80" s="43" t="e">
        <f t="shared" si="29"/>
        <v>#N/A</v>
      </c>
      <c r="BH80" s="43" t="e">
        <f t="shared" si="30"/>
        <v>#N/A</v>
      </c>
      <c r="BI80" s="43" t="e">
        <f t="shared" si="31"/>
        <v>#N/A</v>
      </c>
      <c r="BJ80" s="43" t="e">
        <f t="shared" si="32"/>
        <v>#N/A</v>
      </c>
      <c r="BK80" s="43">
        <f t="shared" si="33"/>
        <v>-2.94</v>
      </c>
      <c r="BL80" s="43" t="e">
        <f t="shared" si="34"/>
        <v>#N/A</v>
      </c>
      <c r="BM80" s="43" t="e">
        <f t="shared" si="35"/>
        <v>#N/A</v>
      </c>
      <c r="BN80" s="43" t="e">
        <f t="shared" si="36"/>
        <v>#N/A</v>
      </c>
      <c r="BO80" s="43">
        <f t="shared" si="37"/>
        <v>-2.94</v>
      </c>
      <c r="BP80" s="43">
        <f t="shared" si="38"/>
        <v>-2.9249999999999998</v>
      </c>
      <c r="BQ80" s="43" t="e">
        <f t="shared" si="39"/>
        <v>#N/A</v>
      </c>
      <c r="BR80" s="43" t="str">
        <f t="shared" si="40"/>
        <v/>
      </c>
      <c r="BS80" s="43" t="str">
        <f t="shared" si="41"/>
        <v/>
      </c>
      <c r="BT80" s="43" t="str">
        <f t="shared" si="42"/>
        <v/>
      </c>
    </row>
    <row r="81" spans="52:72" ht="12" customHeight="1">
      <c r="AZ81" s="43">
        <v>73</v>
      </c>
      <c r="BA81" s="43" t="str">
        <f t="shared" si="43"/>
        <v/>
      </c>
      <c r="BB81" s="43" t="str">
        <f t="shared" si="24"/>
        <v/>
      </c>
      <c r="BC81" s="43" t="str">
        <f t="shared" si="25"/>
        <v/>
      </c>
      <c r="BD81" s="43" t="str">
        <f t="shared" si="26"/>
        <v/>
      </c>
      <c r="BE81" s="43" t="e">
        <f t="shared" si="27"/>
        <v>#N/A</v>
      </c>
      <c r="BF81" s="43" t="e">
        <f t="shared" si="28"/>
        <v>#N/A</v>
      </c>
      <c r="BG81" s="43" t="e">
        <f t="shared" si="29"/>
        <v>#N/A</v>
      </c>
      <c r="BH81" s="43" t="e">
        <f t="shared" si="30"/>
        <v>#N/A</v>
      </c>
      <c r="BI81" s="43" t="e">
        <f t="shared" si="31"/>
        <v>#N/A</v>
      </c>
      <c r="BJ81" s="43" t="e">
        <f t="shared" si="32"/>
        <v>#N/A</v>
      </c>
      <c r="BK81" s="43">
        <f t="shared" si="33"/>
        <v>-2.94</v>
      </c>
      <c r="BL81" s="43" t="e">
        <f t="shared" si="34"/>
        <v>#N/A</v>
      </c>
      <c r="BM81" s="43" t="e">
        <f t="shared" si="35"/>
        <v>#N/A</v>
      </c>
      <c r="BN81" s="43" t="e">
        <f t="shared" si="36"/>
        <v>#N/A</v>
      </c>
      <c r="BO81" s="43">
        <f t="shared" si="37"/>
        <v>-2.94</v>
      </c>
      <c r="BP81" s="43">
        <f t="shared" si="38"/>
        <v>-2.9249999999999998</v>
      </c>
      <c r="BQ81" s="43" t="e">
        <f t="shared" si="39"/>
        <v>#N/A</v>
      </c>
      <c r="BR81" s="43" t="str">
        <f t="shared" si="40"/>
        <v/>
      </c>
      <c r="BS81" s="43" t="str">
        <f t="shared" si="41"/>
        <v/>
      </c>
      <c r="BT81" s="43" t="str">
        <f t="shared" si="42"/>
        <v/>
      </c>
    </row>
    <row r="82" spans="52:72" ht="12" customHeight="1">
      <c r="AZ82" s="43">
        <v>74</v>
      </c>
      <c r="BA82" s="43" t="str">
        <f t="shared" si="43"/>
        <v/>
      </c>
      <c r="BB82" s="43" t="str">
        <f t="shared" si="24"/>
        <v/>
      </c>
      <c r="BC82" s="43" t="str">
        <f t="shared" si="25"/>
        <v/>
      </c>
      <c r="BD82" s="43" t="str">
        <f t="shared" si="26"/>
        <v/>
      </c>
      <c r="BE82" s="43" t="e">
        <f t="shared" si="27"/>
        <v>#N/A</v>
      </c>
      <c r="BF82" s="43" t="e">
        <f t="shared" si="28"/>
        <v>#N/A</v>
      </c>
      <c r="BG82" s="43" t="e">
        <f t="shared" si="29"/>
        <v>#N/A</v>
      </c>
      <c r="BH82" s="43" t="e">
        <f t="shared" si="30"/>
        <v>#N/A</v>
      </c>
      <c r="BI82" s="43" t="e">
        <f t="shared" si="31"/>
        <v>#N/A</v>
      </c>
      <c r="BJ82" s="43" t="e">
        <f t="shared" si="32"/>
        <v>#N/A</v>
      </c>
      <c r="BK82" s="43">
        <f t="shared" si="33"/>
        <v>-2.94</v>
      </c>
      <c r="BL82" s="43" t="e">
        <f t="shared" si="34"/>
        <v>#N/A</v>
      </c>
      <c r="BM82" s="43" t="e">
        <f t="shared" si="35"/>
        <v>#N/A</v>
      </c>
      <c r="BN82" s="43" t="e">
        <f t="shared" si="36"/>
        <v>#N/A</v>
      </c>
      <c r="BO82" s="43">
        <f t="shared" si="37"/>
        <v>-2.94</v>
      </c>
      <c r="BP82" s="43">
        <f t="shared" si="38"/>
        <v>-2.9249999999999998</v>
      </c>
      <c r="BQ82" s="43" t="e">
        <f t="shared" si="39"/>
        <v>#N/A</v>
      </c>
      <c r="BR82" s="43" t="str">
        <f t="shared" si="40"/>
        <v/>
      </c>
      <c r="BS82" s="43" t="str">
        <f t="shared" si="41"/>
        <v/>
      </c>
      <c r="BT82" s="43" t="str">
        <f t="shared" si="42"/>
        <v/>
      </c>
    </row>
    <row r="83" spans="52:72" ht="12" customHeight="1">
      <c r="AZ83" s="43">
        <v>75</v>
      </c>
      <c r="BA83" s="43" t="str">
        <f t="shared" si="43"/>
        <v/>
      </c>
      <c r="BB83" s="43" t="str">
        <f t="shared" si="24"/>
        <v/>
      </c>
      <c r="BC83" s="43" t="str">
        <f t="shared" si="25"/>
        <v/>
      </c>
      <c r="BD83" s="43" t="str">
        <f t="shared" si="26"/>
        <v/>
      </c>
      <c r="BE83" s="43" t="e">
        <f t="shared" si="27"/>
        <v>#N/A</v>
      </c>
      <c r="BF83" s="43" t="e">
        <f t="shared" si="28"/>
        <v>#N/A</v>
      </c>
      <c r="BG83" s="43" t="e">
        <f t="shared" si="29"/>
        <v>#N/A</v>
      </c>
      <c r="BH83" s="43" t="e">
        <f t="shared" si="30"/>
        <v>#N/A</v>
      </c>
      <c r="BI83" s="43" t="e">
        <f t="shared" si="31"/>
        <v>#N/A</v>
      </c>
      <c r="BJ83" s="43" t="e">
        <f t="shared" si="32"/>
        <v>#N/A</v>
      </c>
      <c r="BK83" s="43">
        <f t="shared" si="33"/>
        <v>-2.94</v>
      </c>
      <c r="BL83" s="43" t="e">
        <f t="shared" si="34"/>
        <v>#N/A</v>
      </c>
      <c r="BM83" s="43" t="e">
        <f t="shared" si="35"/>
        <v>#N/A</v>
      </c>
      <c r="BN83" s="43" t="e">
        <f t="shared" si="36"/>
        <v>#N/A</v>
      </c>
      <c r="BO83" s="43">
        <f t="shared" si="37"/>
        <v>-2.94</v>
      </c>
      <c r="BP83" s="43">
        <f t="shared" si="38"/>
        <v>-2.9249999999999998</v>
      </c>
      <c r="BQ83" s="43" t="e">
        <f t="shared" si="39"/>
        <v>#N/A</v>
      </c>
      <c r="BR83" s="43" t="str">
        <f t="shared" si="40"/>
        <v/>
      </c>
      <c r="BS83" s="43" t="str">
        <f t="shared" si="41"/>
        <v/>
      </c>
      <c r="BT83" s="43" t="str">
        <f t="shared" si="42"/>
        <v/>
      </c>
    </row>
    <row r="84" spans="52:72" ht="12" customHeight="1">
      <c r="AZ84" s="43">
        <v>76</v>
      </c>
      <c r="BA84" s="43" t="str">
        <f t="shared" si="43"/>
        <v/>
      </c>
      <c r="BB84" s="43" t="str">
        <f t="shared" si="24"/>
        <v/>
      </c>
      <c r="BC84" s="43" t="str">
        <f t="shared" si="25"/>
        <v/>
      </c>
      <c r="BD84" s="43" t="str">
        <f t="shared" si="26"/>
        <v/>
      </c>
      <c r="BE84" s="43" t="e">
        <f t="shared" si="27"/>
        <v>#N/A</v>
      </c>
      <c r="BF84" s="43" t="e">
        <f t="shared" si="28"/>
        <v>#N/A</v>
      </c>
      <c r="BG84" s="43" t="e">
        <f t="shared" si="29"/>
        <v>#N/A</v>
      </c>
      <c r="BH84" s="43" t="e">
        <f t="shared" si="30"/>
        <v>#N/A</v>
      </c>
      <c r="BI84" s="43" t="e">
        <f t="shared" si="31"/>
        <v>#N/A</v>
      </c>
      <c r="BJ84" s="43" t="e">
        <f t="shared" si="32"/>
        <v>#N/A</v>
      </c>
      <c r="BK84" s="43">
        <f t="shared" si="33"/>
        <v>-2.94</v>
      </c>
      <c r="BL84" s="43" t="e">
        <f t="shared" si="34"/>
        <v>#N/A</v>
      </c>
      <c r="BM84" s="43" t="e">
        <f t="shared" si="35"/>
        <v>#N/A</v>
      </c>
      <c r="BN84" s="43" t="e">
        <f t="shared" si="36"/>
        <v>#N/A</v>
      </c>
      <c r="BO84" s="43">
        <f t="shared" si="37"/>
        <v>-2.94</v>
      </c>
      <c r="BP84" s="43">
        <f t="shared" si="38"/>
        <v>-2.9249999999999998</v>
      </c>
      <c r="BQ84" s="43" t="e">
        <f t="shared" si="39"/>
        <v>#N/A</v>
      </c>
      <c r="BR84" s="43" t="str">
        <f t="shared" si="40"/>
        <v/>
      </c>
      <c r="BS84" s="43" t="str">
        <f t="shared" si="41"/>
        <v/>
      </c>
      <c r="BT84" s="43" t="str">
        <f t="shared" si="42"/>
        <v/>
      </c>
    </row>
    <row r="85" spans="52:72" ht="12" customHeight="1">
      <c r="AZ85" s="43">
        <v>77</v>
      </c>
      <c r="BA85" s="43" t="str">
        <f t="shared" si="43"/>
        <v/>
      </c>
      <c r="BB85" s="43" t="str">
        <f t="shared" si="24"/>
        <v/>
      </c>
      <c r="BC85" s="43" t="str">
        <f t="shared" si="25"/>
        <v/>
      </c>
      <c r="BD85" s="43" t="str">
        <f t="shared" si="26"/>
        <v/>
      </c>
      <c r="BE85" s="43" t="e">
        <f t="shared" si="27"/>
        <v>#N/A</v>
      </c>
      <c r="BF85" s="43" t="e">
        <f t="shared" si="28"/>
        <v>#N/A</v>
      </c>
      <c r="BG85" s="43" t="e">
        <f t="shared" si="29"/>
        <v>#N/A</v>
      </c>
      <c r="BH85" s="43" t="e">
        <f t="shared" si="30"/>
        <v>#N/A</v>
      </c>
      <c r="BI85" s="43" t="e">
        <f t="shared" si="31"/>
        <v>#N/A</v>
      </c>
      <c r="BJ85" s="43" t="e">
        <f t="shared" si="32"/>
        <v>#N/A</v>
      </c>
      <c r="BK85" s="43">
        <f t="shared" si="33"/>
        <v>-2.94</v>
      </c>
      <c r="BL85" s="43" t="e">
        <f t="shared" si="34"/>
        <v>#N/A</v>
      </c>
      <c r="BM85" s="43" t="e">
        <f t="shared" si="35"/>
        <v>#N/A</v>
      </c>
      <c r="BN85" s="43" t="e">
        <f t="shared" si="36"/>
        <v>#N/A</v>
      </c>
      <c r="BO85" s="43">
        <f t="shared" si="37"/>
        <v>-2.94</v>
      </c>
      <c r="BP85" s="43">
        <f t="shared" si="38"/>
        <v>-2.9249999999999998</v>
      </c>
      <c r="BQ85" s="43" t="e">
        <f t="shared" si="39"/>
        <v>#N/A</v>
      </c>
      <c r="BR85" s="43" t="str">
        <f t="shared" si="40"/>
        <v/>
      </c>
      <c r="BS85" s="43" t="str">
        <f t="shared" si="41"/>
        <v/>
      </c>
      <c r="BT85" s="43" t="str">
        <f t="shared" si="42"/>
        <v/>
      </c>
    </row>
    <row r="86" spans="52:72" ht="12" customHeight="1">
      <c r="AZ86" s="43">
        <v>78</v>
      </c>
      <c r="BA86" s="43" t="str">
        <f t="shared" si="43"/>
        <v/>
      </c>
      <c r="BB86" s="43" t="str">
        <f t="shared" si="24"/>
        <v/>
      </c>
      <c r="BC86" s="43" t="str">
        <f t="shared" si="25"/>
        <v/>
      </c>
      <c r="BD86" s="43" t="str">
        <f t="shared" si="26"/>
        <v/>
      </c>
      <c r="BE86" s="43" t="e">
        <f t="shared" si="27"/>
        <v>#N/A</v>
      </c>
      <c r="BF86" s="43" t="e">
        <f t="shared" si="28"/>
        <v>#N/A</v>
      </c>
      <c r="BG86" s="43" t="e">
        <f t="shared" si="29"/>
        <v>#N/A</v>
      </c>
      <c r="BH86" s="43" t="e">
        <f t="shared" si="30"/>
        <v>#N/A</v>
      </c>
      <c r="BI86" s="43" t="e">
        <f t="shared" si="31"/>
        <v>#N/A</v>
      </c>
      <c r="BJ86" s="43" t="e">
        <f t="shared" si="32"/>
        <v>#N/A</v>
      </c>
      <c r="BK86" s="43">
        <f t="shared" si="33"/>
        <v>-2.94</v>
      </c>
      <c r="BL86" s="43" t="e">
        <f t="shared" si="34"/>
        <v>#N/A</v>
      </c>
      <c r="BM86" s="43" t="e">
        <f t="shared" si="35"/>
        <v>#N/A</v>
      </c>
      <c r="BN86" s="43" t="e">
        <f t="shared" si="36"/>
        <v>#N/A</v>
      </c>
      <c r="BO86" s="43">
        <f t="shared" si="37"/>
        <v>-2.94</v>
      </c>
      <c r="BP86" s="43">
        <f t="shared" si="38"/>
        <v>-2.9249999999999998</v>
      </c>
      <c r="BQ86" s="43" t="e">
        <f t="shared" si="39"/>
        <v>#N/A</v>
      </c>
      <c r="BR86" s="43" t="str">
        <f t="shared" si="40"/>
        <v/>
      </c>
      <c r="BS86" s="43" t="str">
        <f t="shared" si="41"/>
        <v/>
      </c>
      <c r="BT86" s="43" t="str">
        <f t="shared" si="42"/>
        <v/>
      </c>
    </row>
    <row r="87" spans="52:72" ht="12" customHeight="1">
      <c r="AZ87" s="43">
        <v>79</v>
      </c>
      <c r="BA87" s="43" t="str">
        <f t="shared" si="43"/>
        <v/>
      </c>
      <c r="BB87" s="43" t="str">
        <f t="shared" si="24"/>
        <v/>
      </c>
      <c r="BC87" s="43" t="str">
        <f t="shared" si="25"/>
        <v/>
      </c>
      <c r="BD87" s="43" t="str">
        <f t="shared" si="26"/>
        <v/>
      </c>
      <c r="BE87" s="43" t="e">
        <f t="shared" si="27"/>
        <v>#N/A</v>
      </c>
      <c r="BF87" s="43" t="e">
        <f t="shared" si="28"/>
        <v>#N/A</v>
      </c>
      <c r="BG87" s="43" t="e">
        <f t="shared" si="29"/>
        <v>#N/A</v>
      </c>
      <c r="BH87" s="43" t="e">
        <f t="shared" si="30"/>
        <v>#N/A</v>
      </c>
      <c r="BI87" s="43" t="e">
        <f t="shared" si="31"/>
        <v>#N/A</v>
      </c>
      <c r="BJ87" s="43" t="e">
        <f t="shared" si="32"/>
        <v>#N/A</v>
      </c>
      <c r="BK87" s="43">
        <f t="shared" si="33"/>
        <v>-2.94</v>
      </c>
      <c r="BL87" s="43" t="e">
        <f t="shared" si="34"/>
        <v>#N/A</v>
      </c>
      <c r="BM87" s="43" t="e">
        <f t="shared" si="35"/>
        <v>#N/A</v>
      </c>
      <c r="BN87" s="43" t="e">
        <f t="shared" si="36"/>
        <v>#N/A</v>
      </c>
      <c r="BO87" s="43">
        <f t="shared" si="37"/>
        <v>-2.94</v>
      </c>
      <c r="BP87" s="43">
        <f t="shared" si="38"/>
        <v>-2.9249999999999998</v>
      </c>
      <c r="BQ87" s="43" t="e">
        <f t="shared" si="39"/>
        <v>#N/A</v>
      </c>
      <c r="BR87" s="43" t="str">
        <f t="shared" si="40"/>
        <v/>
      </c>
      <c r="BS87" s="43" t="str">
        <f t="shared" si="41"/>
        <v/>
      </c>
      <c r="BT87" s="43" t="str">
        <f t="shared" si="42"/>
        <v/>
      </c>
    </row>
    <row r="88" spans="52:72" ht="12" customHeight="1">
      <c r="AZ88" s="43">
        <v>80</v>
      </c>
      <c r="BA88" s="43" t="str">
        <f t="shared" si="43"/>
        <v/>
      </c>
      <c r="BB88" s="43" t="str">
        <f t="shared" si="24"/>
        <v/>
      </c>
      <c r="BC88" s="43" t="str">
        <f t="shared" si="25"/>
        <v/>
      </c>
      <c r="BD88" s="43" t="str">
        <f t="shared" si="26"/>
        <v/>
      </c>
      <c r="BE88" s="43" t="e">
        <f t="shared" si="27"/>
        <v>#N/A</v>
      </c>
      <c r="BF88" s="43" t="e">
        <f t="shared" si="28"/>
        <v>#N/A</v>
      </c>
      <c r="BG88" s="43" t="e">
        <f t="shared" si="29"/>
        <v>#N/A</v>
      </c>
      <c r="BH88" s="43" t="e">
        <f t="shared" si="30"/>
        <v>#N/A</v>
      </c>
      <c r="BI88" s="43" t="e">
        <f t="shared" si="31"/>
        <v>#N/A</v>
      </c>
      <c r="BJ88" s="43" t="e">
        <f t="shared" si="32"/>
        <v>#N/A</v>
      </c>
      <c r="BK88" s="43">
        <f t="shared" si="33"/>
        <v>-2.94</v>
      </c>
      <c r="BL88" s="43" t="e">
        <f t="shared" si="34"/>
        <v>#N/A</v>
      </c>
      <c r="BM88" s="43" t="e">
        <f t="shared" si="35"/>
        <v>#N/A</v>
      </c>
      <c r="BN88" s="43" t="e">
        <f t="shared" si="36"/>
        <v>#N/A</v>
      </c>
      <c r="BO88" s="43">
        <f t="shared" si="37"/>
        <v>-2.94</v>
      </c>
      <c r="BP88" s="43">
        <f t="shared" si="38"/>
        <v>-2.9249999999999998</v>
      </c>
      <c r="BQ88" s="43" t="e">
        <f t="shared" si="39"/>
        <v>#N/A</v>
      </c>
      <c r="BR88" s="43" t="str">
        <f t="shared" si="40"/>
        <v/>
      </c>
      <c r="BS88" s="43" t="str">
        <f t="shared" si="41"/>
        <v/>
      </c>
      <c r="BT88" s="43" t="str">
        <f t="shared" si="42"/>
        <v/>
      </c>
    </row>
    <row r="89" spans="52:72" ht="12" customHeight="1">
      <c r="AZ89" s="43">
        <v>81</v>
      </c>
      <c r="BA89" s="43" t="str">
        <f t="shared" si="43"/>
        <v/>
      </c>
      <c r="BB89" s="43" t="str">
        <f t="shared" si="24"/>
        <v/>
      </c>
      <c r="BC89" s="43" t="str">
        <f t="shared" si="25"/>
        <v/>
      </c>
      <c r="BD89" s="43" t="str">
        <f t="shared" si="26"/>
        <v/>
      </c>
      <c r="BE89" s="43" t="e">
        <f t="shared" si="27"/>
        <v>#N/A</v>
      </c>
      <c r="BF89" s="43" t="e">
        <f t="shared" si="28"/>
        <v>#N/A</v>
      </c>
      <c r="BG89" s="43" t="e">
        <f t="shared" si="29"/>
        <v>#N/A</v>
      </c>
      <c r="BH89" s="43" t="e">
        <f t="shared" si="30"/>
        <v>#N/A</v>
      </c>
      <c r="BI89" s="43" t="e">
        <f t="shared" si="31"/>
        <v>#N/A</v>
      </c>
      <c r="BJ89" s="43" t="e">
        <f t="shared" si="32"/>
        <v>#N/A</v>
      </c>
      <c r="BK89" s="43">
        <f t="shared" si="33"/>
        <v>-2.94</v>
      </c>
      <c r="BL89" s="43" t="e">
        <f t="shared" si="34"/>
        <v>#N/A</v>
      </c>
      <c r="BM89" s="43" t="e">
        <f t="shared" si="35"/>
        <v>#N/A</v>
      </c>
      <c r="BN89" s="43" t="e">
        <f t="shared" si="36"/>
        <v>#N/A</v>
      </c>
      <c r="BO89" s="43">
        <f t="shared" si="37"/>
        <v>-2.94</v>
      </c>
      <c r="BP89" s="43">
        <f t="shared" si="38"/>
        <v>-2.9249999999999998</v>
      </c>
      <c r="BQ89" s="43" t="e">
        <f t="shared" si="39"/>
        <v>#N/A</v>
      </c>
      <c r="BR89" s="43" t="str">
        <f t="shared" si="40"/>
        <v/>
      </c>
      <c r="BS89" s="43" t="str">
        <f t="shared" si="41"/>
        <v/>
      </c>
      <c r="BT89" s="43" t="str">
        <f t="shared" si="42"/>
        <v/>
      </c>
    </row>
    <row r="90" spans="52:72" ht="12" customHeight="1">
      <c r="AZ90" s="43">
        <v>82</v>
      </c>
      <c r="BA90" s="43" t="str">
        <f t="shared" si="43"/>
        <v/>
      </c>
      <c r="BB90" s="43" t="str">
        <f t="shared" si="24"/>
        <v/>
      </c>
      <c r="BC90" s="43" t="str">
        <f t="shared" si="25"/>
        <v/>
      </c>
      <c r="BD90" s="43" t="str">
        <f t="shared" si="26"/>
        <v/>
      </c>
      <c r="BE90" s="43" t="e">
        <f t="shared" si="27"/>
        <v>#N/A</v>
      </c>
      <c r="BF90" s="43" t="e">
        <f t="shared" si="28"/>
        <v>#N/A</v>
      </c>
      <c r="BG90" s="43" t="e">
        <f t="shared" si="29"/>
        <v>#N/A</v>
      </c>
      <c r="BH90" s="43" t="e">
        <f t="shared" si="30"/>
        <v>#N/A</v>
      </c>
      <c r="BI90" s="43" t="e">
        <f t="shared" si="31"/>
        <v>#N/A</v>
      </c>
      <c r="BJ90" s="43" t="e">
        <f t="shared" si="32"/>
        <v>#N/A</v>
      </c>
      <c r="BK90" s="43">
        <f t="shared" si="33"/>
        <v>-2.94</v>
      </c>
      <c r="BL90" s="43" t="e">
        <f t="shared" si="34"/>
        <v>#N/A</v>
      </c>
      <c r="BM90" s="43" t="e">
        <f t="shared" si="35"/>
        <v>#N/A</v>
      </c>
      <c r="BN90" s="43" t="e">
        <f t="shared" si="36"/>
        <v>#N/A</v>
      </c>
      <c r="BO90" s="43">
        <f t="shared" si="37"/>
        <v>-2.94</v>
      </c>
      <c r="BP90" s="43">
        <f t="shared" si="38"/>
        <v>-2.9249999999999998</v>
      </c>
      <c r="BQ90" s="43" t="e">
        <f t="shared" si="39"/>
        <v>#N/A</v>
      </c>
      <c r="BR90" s="43" t="str">
        <f t="shared" si="40"/>
        <v/>
      </c>
      <c r="BS90" s="43" t="str">
        <f t="shared" si="41"/>
        <v/>
      </c>
      <c r="BT90" s="43" t="str">
        <f t="shared" si="42"/>
        <v/>
      </c>
    </row>
    <row r="91" spans="52:72" ht="12" customHeight="1">
      <c r="AZ91" s="43">
        <v>83</v>
      </c>
      <c r="BA91" s="43" t="str">
        <f t="shared" si="43"/>
        <v/>
      </c>
      <c r="BB91" s="43" t="str">
        <f t="shared" si="24"/>
        <v/>
      </c>
      <c r="BC91" s="43" t="str">
        <f t="shared" si="25"/>
        <v/>
      </c>
      <c r="BD91" s="43" t="str">
        <f t="shared" si="26"/>
        <v/>
      </c>
      <c r="BE91" s="43" t="e">
        <f t="shared" si="27"/>
        <v>#N/A</v>
      </c>
      <c r="BF91" s="43" t="e">
        <f t="shared" si="28"/>
        <v>#N/A</v>
      </c>
      <c r="BG91" s="43" t="e">
        <f t="shared" si="29"/>
        <v>#N/A</v>
      </c>
      <c r="BH91" s="43" t="e">
        <f t="shared" si="30"/>
        <v>#N/A</v>
      </c>
      <c r="BI91" s="43" t="e">
        <f t="shared" si="31"/>
        <v>#N/A</v>
      </c>
      <c r="BJ91" s="43" t="e">
        <f t="shared" si="32"/>
        <v>#N/A</v>
      </c>
      <c r="BK91" s="43">
        <f t="shared" si="33"/>
        <v>-2.94</v>
      </c>
      <c r="BL91" s="43" t="e">
        <f t="shared" si="34"/>
        <v>#N/A</v>
      </c>
      <c r="BM91" s="43" t="e">
        <f t="shared" si="35"/>
        <v>#N/A</v>
      </c>
      <c r="BN91" s="43" t="e">
        <f t="shared" si="36"/>
        <v>#N/A</v>
      </c>
      <c r="BO91" s="43">
        <f t="shared" si="37"/>
        <v>-2.94</v>
      </c>
      <c r="BP91" s="43">
        <f t="shared" si="38"/>
        <v>-2.9249999999999998</v>
      </c>
      <c r="BQ91" s="43" t="e">
        <f t="shared" si="39"/>
        <v>#N/A</v>
      </c>
      <c r="BR91" s="43" t="str">
        <f t="shared" si="40"/>
        <v/>
      </c>
      <c r="BS91" s="43" t="str">
        <f t="shared" si="41"/>
        <v/>
      </c>
      <c r="BT91" s="43" t="str">
        <f t="shared" si="42"/>
        <v/>
      </c>
    </row>
    <row r="92" spans="52:72" ht="12" customHeight="1">
      <c r="AZ92" s="43">
        <v>84</v>
      </c>
      <c r="BA92" s="43" t="str">
        <f t="shared" si="43"/>
        <v/>
      </c>
      <c r="BB92" s="43" t="str">
        <f t="shared" si="24"/>
        <v/>
      </c>
      <c r="BC92" s="43" t="str">
        <f t="shared" si="25"/>
        <v/>
      </c>
      <c r="BD92" s="43" t="str">
        <f t="shared" si="26"/>
        <v/>
      </c>
      <c r="BE92" s="43" t="e">
        <f t="shared" si="27"/>
        <v>#N/A</v>
      </c>
      <c r="BF92" s="43" t="e">
        <f t="shared" si="28"/>
        <v>#N/A</v>
      </c>
      <c r="BG92" s="43" t="e">
        <f t="shared" si="29"/>
        <v>#N/A</v>
      </c>
      <c r="BH92" s="43" t="e">
        <f t="shared" si="30"/>
        <v>#N/A</v>
      </c>
      <c r="BI92" s="43" t="e">
        <f t="shared" si="31"/>
        <v>#N/A</v>
      </c>
      <c r="BJ92" s="43" t="e">
        <f t="shared" si="32"/>
        <v>#N/A</v>
      </c>
      <c r="BK92" s="43">
        <f t="shared" si="33"/>
        <v>-2.94</v>
      </c>
      <c r="BL92" s="43" t="e">
        <f t="shared" si="34"/>
        <v>#N/A</v>
      </c>
      <c r="BM92" s="43" t="e">
        <f t="shared" si="35"/>
        <v>#N/A</v>
      </c>
      <c r="BN92" s="43" t="e">
        <f t="shared" si="36"/>
        <v>#N/A</v>
      </c>
      <c r="BO92" s="43">
        <f t="shared" si="37"/>
        <v>-2.94</v>
      </c>
      <c r="BP92" s="43">
        <f t="shared" si="38"/>
        <v>-2.9249999999999998</v>
      </c>
      <c r="BQ92" s="43" t="e">
        <f t="shared" si="39"/>
        <v>#N/A</v>
      </c>
      <c r="BR92" s="43" t="str">
        <f t="shared" si="40"/>
        <v/>
      </c>
      <c r="BS92" s="43" t="str">
        <f t="shared" si="41"/>
        <v/>
      </c>
      <c r="BT92" s="43" t="str">
        <f t="shared" si="42"/>
        <v/>
      </c>
    </row>
    <row r="93" spans="52:72" ht="12" customHeight="1">
      <c r="AZ93" s="43">
        <v>85</v>
      </c>
      <c r="BA93" s="43" t="str">
        <f t="shared" si="43"/>
        <v/>
      </c>
      <c r="BB93" s="43" t="str">
        <f t="shared" si="24"/>
        <v/>
      </c>
      <c r="BC93" s="43" t="str">
        <f t="shared" si="25"/>
        <v/>
      </c>
      <c r="BD93" s="43" t="str">
        <f t="shared" si="26"/>
        <v/>
      </c>
      <c r="BE93" s="43" t="e">
        <f t="shared" si="27"/>
        <v>#N/A</v>
      </c>
      <c r="BF93" s="43" t="e">
        <f t="shared" si="28"/>
        <v>#N/A</v>
      </c>
      <c r="BG93" s="43" t="e">
        <f t="shared" si="29"/>
        <v>#N/A</v>
      </c>
      <c r="BH93" s="43" t="e">
        <f t="shared" si="30"/>
        <v>#N/A</v>
      </c>
      <c r="BI93" s="43" t="e">
        <f t="shared" si="31"/>
        <v>#N/A</v>
      </c>
      <c r="BJ93" s="43" t="e">
        <f t="shared" si="32"/>
        <v>#N/A</v>
      </c>
      <c r="BK93" s="43">
        <f t="shared" si="33"/>
        <v>-2.94</v>
      </c>
      <c r="BL93" s="43" t="e">
        <f t="shared" si="34"/>
        <v>#N/A</v>
      </c>
      <c r="BM93" s="43" t="e">
        <f t="shared" si="35"/>
        <v>#N/A</v>
      </c>
      <c r="BN93" s="43" t="e">
        <f t="shared" si="36"/>
        <v>#N/A</v>
      </c>
      <c r="BO93" s="43">
        <f t="shared" si="37"/>
        <v>-2.94</v>
      </c>
      <c r="BP93" s="43">
        <f t="shared" si="38"/>
        <v>-2.9249999999999998</v>
      </c>
      <c r="BQ93" s="43" t="e">
        <f t="shared" si="39"/>
        <v>#N/A</v>
      </c>
      <c r="BR93" s="43" t="str">
        <f t="shared" si="40"/>
        <v/>
      </c>
      <c r="BS93" s="43" t="str">
        <f t="shared" si="41"/>
        <v/>
      </c>
      <c r="BT93" s="43" t="str">
        <f t="shared" si="42"/>
        <v/>
      </c>
    </row>
    <row r="94" spans="52:72" ht="12" customHeight="1">
      <c r="AZ94" s="43">
        <v>86</v>
      </c>
      <c r="BA94" s="43" t="str">
        <f t="shared" si="43"/>
        <v/>
      </c>
      <c r="BB94" s="43" t="str">
        <f t="shared" si="24"/>
        <v/>
      </c>
      <c r="BC94" s="43" t="str">
        <f t="shared" si="25"/>
        <v/>
      </c>
      <c r="BD94" s="43" t="str">
        <f t="shared" si="26"/>
        <v/>
      </c>
      <c r="BE94" s="43" t="e">
        <f t="shared" si="27"/>
        <v>#N/A</v>
      </c>
      <c r="BF94" s="43" t="e">
        <f t="shared" si="28"/>
        <v>#N/A</v>
      </c>
      <c r="BG94" s="43" t="e">
        <f t="shared" si="29"/>
        <v>#N/A</v>
      </c>
      <c r="BH94" s="43" t="e">
        <f t="shared" si="30"/>
        <v>#N/A</v>
      </c>
      <c r="BI94" s="43" t="e">
        <f t="shared" si="31"/>
        <v>#N/A</v>
      </c>
      <c r="BJ94" s="43" t="e">
        <f t="shared" si="32"/>
        <v>#N/A</v>
      </c>
      <c r="BK94" s="43">
        <f t="shared" si="33"/>
        <v>-2.94</v>
      </c>
      <c r="BL94" s="43" t="e">
        <f t="shared" si="34"/>
        <v>#N/A</v>
      </c>
      <c r="BM94" s="43" t="e">
        <f t="shared" si="35"/>
        <v>#N/A</v>
      </c>
      <c r="BN94" s="43" t="e">
        <f t="shared" si="36"/>
        <v>#N/A</v>
      </c>
      <c r="BO94" s="43">
        <f t="shared" si="37"/>
        <v>-2.94</v>
      </c>
      <c r="BP94" s="43">
        <f t="shared" si="38"/>
        <v>-2.9249999999999998</v>
      </c>
      <c r="BQ94" s="43" t="e">
        <f t="shared" si="39"/>
        <v>#N/A</v>
      </c>
      <c r="BR94" s="43" t="str">
        <f t="shared" si="40"/>
        <v/>
      </c>
      <c r="BS94" s="43" t="str">
        <f t="shared" si="41"/>
        <v/>
      </c>
      <c r="BT94" s="43" t="str">
        <f t="shared" si="42"/>
        <v/>
      </c>
    </row>
    <row r="95" spans="52:72" ht="12" customHeight="1">
      <c r="AZ95" s="43">
        <v>87</v>
      </c>
      <c r="BA95" s="43" t="str">
        <f t="shared" si="43"/>
        <v/>
      </c>
      <c r="BB95" s="43" t="str">
        <f t="shared" si="24"/>
        <v/>
      </c>
      <c r="BC95" s="43" t="str">
        <f t="shared" si="25"/>
        <v/>
      </c>
      <c r="BD95" s="43" t="str">
        <f t="shared" si="26"/>
        <v/>
      </c>
      <c r="BE95" s="43" t="e">
        <f t="shared" si="27"/>
        <v>#N/A</v>
      </c>
      <c r="BF95" s="43" t="e">
        <f t="shared" si="28"/>
        <v>#N/A</v>
      </c>
      <c r="BG95" s="43" t="e">
        <f t="shared" si="29"/>
        <v>#N/A</v>
      </c>
      <c r="BH95" s="43" t="e">
        <f t="shared" si="30"/>
        <v>#N/A</v>
      </c>
      <c r="BI95" s="43" t="e">
        <f t="shared" si="31"/>
        <v>#N/A</v>
      </c>
      <c r="BJ95" s="43" t="e">
        <f t="shared" si="32"/>
        <v>#N/A</v>
      </c>
      <c r="BK95" s="43">
        <f t="shared" si="33"/>
        <v>-2.94</v>
      </c>
      <c r="BL95" s="43" t="e">
        <f t="shared" si="34"/>
        <v>#N/A</v>
      </c>
      <c r="BM95" s="43" t="e">
        <f t="shared" si="35"/>
        <v>#N/A</v>
      </c>
      <c r="BN95" s="43" t="e">
        <f t="shared" si="36"/>
        <v>#N/A</v>
      </c>
      <c r="BO95" s="43">
        <f t="shared" si="37"/>
        <v>-2.94</v>
      </c>
      <c r="BP95" s="43">
        <f t="shared" si="38"/>
        <v>-2.9249999999999998</v>
      </c>
      <c r="BQ95" s="43" t="e">
        <f t="shared" si="39"/>
        <v>#N/A</v>
      </c>
      <c r="BR95" s="43" t="str">
        <f t="shared" si="40"/>
        <v/>
      </c>
      <c r="BS95" s="43" t="str">
        <f t="shared" si="41"/>
        <v/>
      </c>
      <c r="BT95" s="43" t="str">
        <f t="shared" si="42"/>
        <v/>
      </c>
    </row>
    <row r="96" spans="52:72" ht="12" customHeight="1">
      <c r="AZ96" s="43">
        <v>88</v>
      </c>
      <c r="BA96" s="43" t="str">
        <f t="shared" si="43"/>
        <v/>
      </c>
      <c r="BB96" s="43" t="str">
        <f t="shared" si="24"/>
        <v/>
      </c>
      <c r="BC96" s="43" t="str">
        <f t="shared" si="25"/>
        <v/>
      </c>
      <c r="BD96" s="43" t="str">
        <f t="shared" si="26"/>
        <v/>
      </c>
      <c r="BE96" s="43" t="e">
        <f t="shared" si="27"/>
        <v>#N/A</v>
      </c>
      <c r="BF96" s="43" t="e">
        <f t="shared" si="28"/>
        <v>#N/A</v>
      </c>
      <c r="BG96" s="43" t="e">
        <f t="shared" si="29"/>
        <v>#N/A</v>
      </c>
      <c r="BH96" s="43" t="e">
        <f t="shared" si="30"/>
        <v>#N/A</v>
      </c>
      <c r="BI96" s="43" t="e">
        <f t="shared" si="31"/>
        <v>#N/A</v>
      </c>
      <c r="BJ96" s="43" t="e">
        <f t="shared" si="32"/>
        <v>#N/A</v>
      </c>
      <c r="BK96" s="43">
        <f t="shared" si="33"/>
        <v>-2.94</v>
      </c>
      <c r="BL96" s="43" t="e">
        <f t="shared" si="34"/>
        <v>#N/A</v>
      </c>
      <c r="BM96" s="43" t="e">
        <f t="shared" si="35"/>
        <v>#N/A</v>
      </c>
      <c r="BN96" s="43" t="e">
        <f t="shared" si="36"/>
        <v>#N/A</v>
      </c>
      <c r="BO96" s="43">
        <f t="shared" si="37"/>
        <v>-2.94</v>
      </c>
      <c r="BP96" s="43">
        <f t="shared" si="38"/>
        <v>-2.9249999999999998</v>
      </c>
      <c r="BQ96" s="43" t="e">
        <f t="shared" si="39"/>
        <v>#N/A</v>
      </c>
      <c r="BR96" s="43" t="str">
        <f t="shared" si="40"/>
        <v/>
      </c>
      <c r="BS96" s="43" t="str">
        <f t="shared" si="41"/>
        <v/>
      </c>
      <c r="BT96" s="43" t="str">
        <f t="shared" si="42"/>
        <v/>
      </c>
    </row>
    <row r="97" spans="52:72" ht="12" customHeight="1">
      <c r="AZ97" s="43">
        <v>89</v>
      </c>
      <c r="BA97" s="43" t="str">
        <f t="shared" si="43"/>
        <v/>
      </c>
      <c r="BB97" s="43" t="str">
        <f t="shared" si="24"/>
        <v/>
      </c>
      <c r="BC97" s="43" t="str">
        <f t="shared" si="25"/>
        <v/>
      </c>
      <c r="BD97" s="43" t="str">
        <f t="shared" si="26"/>
        <v/>
      </c>
      <c r="BE97" s="43" t="e">
        <f t="shared" si="27"/>
        <v>#N/A</v>
      </c>
      <c r="BF97" s="43" t="e">
        <f t="shared" si="28"/>
        <v>#N/A</v>
      </c>
      <c r="BG97" s="43" t="e">
        <f t="shared" si="29"/>
        <v>#N/A</v>
      </c>
      <c r="BH97" s="43" t="e">
        <f t="shared" si="30"/>
        <v>#N/A</v>
      </c>
      <c r="BI97" s="43" t="e">
        <f t="shared" si="31"/>
        <v>#N/A</v>
      </c>
      <c r="BJ97" s="43" t="e">
        <f t="shared" si="32"/>
        <v>#N/A</v>
      </c>
      <c r="BK97" s="43">
        <f t="shared" si="33"/>
        <v>-2.94</v>
      </c>
      <c r="BL97" s="43" t="e">
        <f t="shared" si="34"/>
        <v>#N/A</v>
      </c>
      <c r="BM97" s="43" t="e">
        <f t="shared" si="35"/>
        <v>#N/A</v>
      </c>
      <c r="BN97" s="43" t="e">
        <f t="shared" si="36"/>
        <v>#N/A</v>
      </c>
      <c r="BO97" s="43">
        <f t="shared" si="37"/>
        <v>-2.94</v>
      </c>
      <c r="BP97" s="43">
        <f t="shared" si="38"/>
        <v>-2.9249999999999998</v>
      </c>
      <c r="BQ97" s="43" t="e">
        <f t="shared" si="39"/>
        <v>#N/A</v>
      </c>
      <c r="BR97" s="43" t="str">
        <f t="shared" si="40"/>
        <v/>
      </c>
      <c r="BS97" s="43" t="str">
        <f t="shared" si="41"/>
        <v/>
      </c>
      <c r="BT97" s="43" t="str">
        <f t="shared" si="42"/>
        <v/>
      </c>
    </row>
    <row r="98" spans="52:72" ht="12" customHeight="1">
      <c r="AZ98" s="43">
        <v>90</v>
      </c>
      <c r="BA98" s="43" t="str">
        <f t="shared" si="43"/>
        <v/>
      </c>
      <c r="BB98" s="43" t="str">
        <f t="shared" si="24"/>
        <v/>
      </c>
      <c r="BC98" s="43" t="str">
        <f t="shared" si="25"/>
        <v/>
      </c>
      <c r="BD98" s="43" t="str">
        <f t="shared" si="26"/>
        <v/>
      </c>
      <c r="BE98" s="43" t="e">
        <f t="shared" si="27"/>
        <v>#N/A</v>
      </c>
      <c r="BF98" s="43" t="e">
        <f t="shared" si="28"/>
        <v>#N/A</v>
      </c>
      <c r="BG98" s="43" t="e">
        <f t="shared" si="29"/>
        <v>#N/A</v>
      </c>
      <c r="BH98" s="43" t="e">
        <f t="shared" si="30"/>
        <v>#N/A</v>
      </c>
      <c r="BI98" s="43" t="e">
        <f t="shared" si="31"/>
        <v>#N/A</v>
      </c>
      <c r="BJ98" s="43" t="e">
        <f t="shared" si="32"/>
        <v>#N/A</v>
      </c>
      <c r="BK98" s="43">
        <f t="shared" si="33"/>
        <v>-2.94</v>
      </c>
      <c r="BL98" s="43" t="e">
        <f t="shared" si="34"/>
        <v>#N/A</v>
      </c>
      <c r="BM98" s="43" t="e">
        <f t="shared" si="35"/>
        <v>#N/A</v>
      </c>
      <c r="BN98" s="43" t="e">
        <f t="shared" si="36"/>
        <v>#N/A</v>
      </c>
      <c r="BO98" s="43">
        <f t="shared" si="37"/>
        <v>-2.94</v>
      </c>
      <c r="BP98" s="43">
        <f t="shared" si="38"/>
        <v>-2.9249999999999998</v>
      </c>
      <c r="BQ98" s="43" t="e">
        <f t="shared" si="39"/>
        <v>#N/A</v>
      </c>
      <c r="BR98" s="43" t="str">
        <f t="shared" si="40"/>
        <v/>
      </c>
      <c r="BS98" s="43" t="str">
        <f t="shared" si="41"/>
        <v/>
      </c>
      <c r="BT98" s="43" t="str">
        <f t="shared" si="42"/>
        <v/>
      </c>
    </row>
    <row r="99" spans="52:72" ht="12" customHeight="1">
      <c r="AZ99" s="43">
        <v>91</v>
      </c>
      <c r="BA99" s="43" t="str">
        <f t="shared" si="43"/>
        <v/>
      </c>
      <c r="BB99" s="43" t="str">
        <f t="shared" si="24"/>
        <v/>
      </c>
      <c r="BC99" s="43" t="str">
        <f t="shared" si="25"/>
        <v/>
      </c>
      <c r="BD99" s="43" t="str">
        <f t="shared" si="26"/>
        <v/>
      </c>
      <c r="BE99" s="43" t="e">
        <f t="shared" si="27"/>
        <v>#N/A</v>
      </c>
      <c r="BF99" s="43" t="e">
        <f t="shared" si="28"/>
        <v>#N/A</v>
      </c>
      <c r="BG99" s="43" t="e">
        <f t="shared" si="29"/>
        <v>#N/A</v>
      </c>
      <c r="BH99" s="43" t="e">
        <f t="shared" si="30"/>
        <v>#N/A</v>
      </c>
      <c r="BI99" s="43" t="e">
        <f t="shared" si="31"/>
        <v>#N/A</v>
      </c>
      <c r="BJ99" s="43" t="e">
        <f t="shared" si="32"/>
        <v>#N/A</v>
      </c>
      <c r="BK99" s="43">
        <f t="shared" si="33"/>
        <v>-2.94</v>
      </c>
      <c r="BL99" s="43" t="e">
        <f t="shared" si="34"/>
        <v>#N/A</v>
      </c>
      <c r="BM99" s="43" t="e">
        <f t="shared" si="35"/>
        <v>#N/A</v>
      </c>
      <c r="BN99" s="43" t="e">
        <f t="shared" si="36"/>
        <v>#N/A</v>
      </c>
      <c r="BO99" s="43">
        <f t="shared" si="37"/>
        <v>-2.94</v>
      </c>
      <c r="BP99" s="43">
        <f t="shared" si="38"/>
        <v>-2.9249999999999998</v>
      </c>
      <c r="BQ99" s="43" t="e">
        <f t="shared" si="39"/>
        <v>#N/A</v>
      </c>
      <c r="BR99" s="43" t="str">
        <f t="shared" si="40"/>
        <v/>
      </c>
      <c r="BS99" s="43" t="str">
        <f t="shared" si="41"/>
        <v/>
      </c>
      <c r="BT99" s="43" t="str">
        <f t="shared" si="42"/>
        <v/>
      </c>
    </row>
    <row r="100" spans="52:72" ht="12" customHeight="1">
      <c r="AZ100" s="43">
        <v>92</v>
      </c>
      <c r="BA100" s="43" t="str">
        <f t="shared" si="43"/>
        <v/>
      </c>
      <c r="BB100" s="43" t="str">
        <f t="shared" si="24"/>
        <v/>
      </c>
      <c r="BC100" s="43" t="str">
        <f t="shared" si="25"/>
        <v/>
      </c>
      <c r="BD100" s="43" t="str">
        <f t="shared" si="26"/>
        <v/>
      </c>
      <c r="BE100" s="43" t="e">
        <f t="shared" si="27"/>
        <v>#N/A</v>
      </c>
      <c r="BF100" s="43" t="e">
        <f t="shared" si="28"/>
        <v>#N/A</v>
      </c>
      <c r="BG100" s="43" t="e">
        <f t="shared" si="29"/>
        <v>#N/A</v>
      </c>
      <c r="BH100" s="43" t="e">
        <f t="shared" si="30"/>
        <v>#N/A</v>
      </c>
      <c r="BI100" s="43" t="e">
        <f t="shared" si="31"/>
        <v>#N/A</v>
      </c>
      <c r="BJ100" s="43" t="e">
        <f t="shared" si="32"/>
        <v>#N/A</v>
      </c>
      <c r="BK100" s="43">
        <f t="shared" si="33"/>
        <v>-2.94</v>
      </c>
      <c r="BL100" s="43" t="e">
        <f t="shared" si="34"/>
        <v>#N/A</v>
      </c>
      <c r="BM100" s="43" t="e">
        <f t="shared" si="35"/>
        <v>#N/A</v>
      </c>
      <c r="BN100" s="43" t="e">
        <f t="shared" si="36"/>
        <v>#N/A</v>
      </c>
      <c r="BO100" s="43">
        <f t="shared" si="37"/>
        <v>-2.94</v>
      </c>
      <c r="BP100" s="43">
        <f t="shared" si="38"/>
        <v>-2.9249999999999998</v>
      </c>
      <c r="BQ100" s="43" t="e">
        <f t="shared" si="39"/>
        <v>#N/A</v>
      </c>
      <c r="BR100" s="43" t="str">
        <f t="shared" si="40"/>
        <v/>
      </c>
      <c r="BS100" s="43" t="str">
        <f t="shared" si="41"/>
        <v/>
      </c>
      <c r="BT100" s="43" t="str">
        <f t="shared" si="42"/>
        <v/>
      </c>
    </row>
    <row r="101" spans="52:72" ht="12" customHeight="1">
      <c r="AZ101" s="43">
        <v>93</v>
      </c>
      <c r="BA101" s="43" t="str">
        <f t="shared" si="43"/>
        <v/>
      </c>
      <c r="BB101" s="43" t="str">
        <f t="shared" si="24"/>
        <v/>
      </c>
      <c r="BC101" s="43" t="str">
        <f t="shared" si="25"/>
        <v/>
      </c>
      <c r="BD101" s="43" t="str">
        <f t="shared" si="26"/>
        <v/>
      </c>
      <c r="BE101" s="43" t="e">
        <f t="shared" si="27"/>
        <v>#N/A</v>
      </c>
      <c r="BF101" s="43" t="e">
        <f t="shared" si="28"/>
        <v>#N/A</v>
      </c>
      <c r="BG101" s="43" t="e">
        <f t="shared" si="29"/>
        <v>#N/A</v>
      </c>
      <c r="BH101" s="43" t="e">
        <f t="shared" si="30"/>
        <v>#N/A</v>
      </c>
      <c r="BI101" s="43" t="e">
        <f t="shared" si="31"/>
        <v>#N/A</v>
      </c>
      <c r="BJ101" s="43" t="e">
        <f t="shared" si="32"/>
        <v>#N/A</v>
      </c>
      <c r="BK101" s="43">
        <f t="shared" si="33"/>
        <v>-2.94</v>
      </c>
      <c r="BL101" s="43" t="e">
        <f t="shared" si="34"/>
        <v>#N/A</v>
      </c>
      <c r="BM101" s="43" t="e">
        <f t="shared" si="35"/>
        <v>#N/A</v>
      </c>
      <c r="BN101" s="43" t="e">
        <f t="shared" si="36"/>
        <v>#N/A</v>
      </c>
      <c r="BO101" s="43">
        <f t="shared" si="37"/>
        <v>-2.94</v>
      </c>
      <c r="BP101" s="43">
        <f t="shared" si="38"/>
        <v>-2.9249999999999998</v>
      </c>
      <c r="BQ101" s="43" t="e">
        <f t="shared" si="39"/>
        <v>#N/A</v>
      </c>
      <c r="BR101" s="43" t="str">
        <f t="shared" si="40"/>
        <v/>
      </c>
      <c r="BS101" s="43" t="str">
        <f t="shared" si="41"/>
        <v/>
      </c>
      <c r="BT101" s="43" t="str">
        <f t="shared" si="42"/>
        <v/>
      </c>
    </row>
    <row r="102" spans="52:72" ht="12" customHeight="1">
      <c r="AZ102" s="43">
        <v>94</v>
      </c>
      <c r="BA102" s="43" t="str">
        <f t="shared" si="43"/>
        <v/>
      </c>
      <c r="BB102" s="43" t="str">
        <f t="shared" si="24"/>
        <v/>
      </c>
      <c r="BC102" s="43" t="str">
        <f t="shared" si="25"/>
        <v/>
      </c>
      <c r="BD102" s="43" t="str">
        <f t="shared" si="26"/>
        <v/>
      </c>
      <c r="BE102" s="43" t="e">
        <f t="shared" si="27"/>
        <v>#N/A</v>
      </c>
      <c r="BF102" s="43" t="e">
        <f t="shared" si="28"/>
        <v>#N/A</v>
      </c>
      <c r="BG102" s="43" t="e">
        <f t="shared" si="29"/>
        <v>#N/A</v>
      </c>
      <c r="BH102" s="43" t="e">
        <f t="shared" si="30"/>
        <v>#N/A</v>
      </c>
      <c r="BI102" s="43" t="e">
        <f t="shared" si="31"/>
        <v>#N/A</v>
      </c>
      <c r="BJ102" s="43" t="e">
        <f t="shared" si="32"/>
        <v>#N/A</v>
      </c>
      <c r="BK102" s="43">
        <f t="shared" si="33"/>
        <v>-2.94</v>
      </c>
      <c r="BL102" s="43" t="e">
        <f t="shared" si="34"/>
        <v>#N/A</v>
      </c>
      <c r="BM102" s="43" t="e">
        <f t="shared" si="35"/>
        <v>#N/A</v>
      </c>
      <c r="BN102" s="43" t="e">
        <f t="shared" si="36"/>
        <v>#N/A</v>
      </c>
      <c r="BO102" s="43">
        <f t="shared" si="37"/>
        <v>-2.94</v>
      </c>
      <c r="BP102" s="43">
        <f t="shared" si="38"/>
        <v>-2.9249999999999998</v>
      </c>
      <c r="BQ102" s="43" t="e">
        <f t="shared" si="39"/>
        <v>#N/A</v>
      </c>
      <c r="BR102" s="43" t="str">
        <f t="shared" si="40"/>
        <v/>
      </c>
      <c r="BS102" s="43" t="str">
        <f t="shared" si="41"/>
        <v/>
      </c>
      <c r="BT102" s="43" t="str">
        <f t="shared" si="42"/>
        <v/>
      </c>
    </row>
    <row r="103" spans="52:72" ht="12" customHeight="1">
      <c r="AZ103" s="43">
        <v>95</v>
      </c>
      <c r="BA103" s="43" t="str">
        <f t="shared" si="43"/>
        <v/>
      </c>
      <c r="BB103" s="43" t="str">
        <f t="shared" si="24"/>
        <v/>
      </c>
      <c r="BC103" s="43" t="str">
        <f t="shared" si="25"/>
        <v/>
      </c>
      <c r="BD103" s="43" t="str">
        <f t="shared" si="26"/>
        <v/>
      </c>
      <c r="BE103" s="43" t="e">
        <f t="shared" si="27"/>
        <v>#N/A</v>
      </c>
      <c r="BF103" s="43" t="e">
        <f t="shared" si="28"/>
        <v>#N/A</v>
      </c>
      <c r="BG103" s="43" t="e">
        <f t="shared" si="29"/>
        <v>#N/A</v>
      </c>
      <c r="BH103" s="43" t="e">
        <f t="shared" si="30"/>
        <v>#N/A</v>
      </c>
      <c r="BI103" s="43" t="e">
        <f t="shared" si="31"/>
        <v>#N/A</v>
      </c>
      <c r="BJ103" s="43" t="e">
        <f t="shared" si="32"/>
        <v>#N/A</v>
      </c>
      <c r="BK103" s="43">
        <f t="shared" si="33"/>
        <v>-2.94</v>
      </c>
      <c r="BL103" s="43" t="e">
        <f t="shared" si="34"/>
        <v>#N/A</v>
      </c>
      <c r="BM103" s="43" t="e">
        <f t="shared" si="35"/>
        <v>#N/A</v>
      </c>
      <c r="BN103" s="43" t="e">
        <f t="shared" si="36"/>
        <v>#N/A</v>
      </c>
      <c r="BO103" s="43">
        <f t="shared" si="37"/>
        <v>-2.94</v>
      </c>
      <c r="BP103" s="43">
        <f t="shared" si="38"/>
        <v>-2.9249999999999998</v>
      </c>
      <c r="BQ103" s="43" t="e">
        <f t="shared" si="39"/>
        <v>#N/A</v>
      </c>
      <c r="BR103" s="43" t="str">
        <f t="shared" si="40"/>
        <v/>
      </c>
      <c r="BS103" s="43" t="str">
        <f t="shared" si="41"/>
        <v/>
      </c>
      <c r="BT103" s="43" t="str">
        <f t="shared" si="42"/>
        <v/>
      </c>
    </row>
    <row r="104" spans="52:72" ht="12" customHeight="1">
      <c r="AZ104" s="43">
        <v>96</v>
      </c>
      <c r="BA104" s="43" t="str">
        <f t="shared" si="43"/>
        <v/>
      </c>
      <c r="BB104" s="43" t="str">
        <f t="shared" si="24"/>
        <v/>
      </c>
      <c r="BC104" s="43" t="str">
        <f t="shared" si="25"/>
        <v/>
      </c>
      <c r="BD104" s="43" t="str">
        <f t="shared" si="26"/>
        <v/>
      </c>
      <c r="BE104" s="43" t="e">
        <f t="shared" si="27"/>
        <v>#N/A</v>
      </c>
      <c r="BF104" s="43" t="e">
        <f t="shared" si="28"/>
        <v>#N/A</v>
      </c>
      <c r="BG104" s="43" t="e">
        <f t="shared" si="29"/>
        <v>#N/A</v>
      </c>
      <c r="BH104" s="43" t="e">
        <f t="shared" si="30"/>
        <v>#N/A</v>
      </c>
      <c r="BI104" s="43" t="e">
        <f t="shared" si="31"/>
        <v>#N/A</v>
      </c>
      <c r="BJ104" s="43" t="e">
        <f t="shared" si="32"/>
        <v>#N/A</v>
      </c>
      <c r="BK104" s="43">
        <f t="shared" si="33"/>
        <v>-2.94</v>
      </c>
      <c r="BL104" s="43" t="e">
        <f t="shared" si="34"/>
        <v>#N/A</v>
      </c>
      <c r="BM104" s="43" t="e">
        <f t="shared" si="35"/>
        <v>#N/A</v>
      </c>
      <c r="BN104" s="43" t="e">
        <f t="shared" si="36"/>
        <v>#N/A</v>
      </c>
      <c r="BO104" s="43">
        <f t="shared" si="37"/>
        <v>-2.94</v>
      </c>
      <c r="BP104" s="43">
        <f t="shared" si="38"/>
        <v>-2.9249999999999998</v>
      </c>
      <c r="BQ104" s="43" t="e">
        <f t="shared" si="39"/>
        <v>#N/A</v>
      </c>
      <c r="BR104" s="43" t="str">
        <f t="shared" si="40"/>
        <v/>
      </c>
      <c r="BS104" s="43" t="str">
        <f t="shared" si="41"/>
        <v/>
      </c>
      <c r="BT104" s="43" t="str">
        <f t="shared" si="42"/>
        <v/>
      </c>
    </row>
    <row r="105" spans="52:72" ht="12" customHeight="1">
      <c r="AZ105" s="43">
        <v>97</v>
      </c>
      <c r="BA105" s="43" t="str">
        <f t="shared" si="43"/>
        <v/>
      </c>
      <c r="BB105" s="43" t="str">
        <f t="shared" si="24"/>
        <v/>
      </c>
      <c r="BC105" s="43" t="str">
        <f t="shared" si="25"/>
        <v/>
      </c>
      <c r="BD105" s="43" t="str">
        <f t="shared" si="26"/>
        <v/>
      </c>
      <c r="BE105" s="43" t="e">
        <f t="shared" si="27"/>
        <v>#N/A</v>
      </c>
      <c r="BF105" s="43" t="e">
        <f t="shared" si="28"/>
        <v>#N/A</v>
      </c>
      <c r="BG105" s="43" t="e">
        <f t="shared" si="29"/>
        <v>#N/A</v>
      </c>
      <c r="BH105" s="43" t="e">
        <f t="shared" si="30"/>
        <v>#N/A</v>
      </c>
      <c r="BI105" s="43" t="e">
        <f t="shared" si="31"/>
        <v>#N/A</v>
      </c>
      <c r="BJ105" s="43" t="e">
        <f t="shared" si="32"/>
        <v>#N/A</v>
      </c>
      <c r="BK105" s="43">
        <f t="shared" si="33"/>
        <v>-2.94</v>
      </c>
      <c r="BL105" s="43" t="e">
        <f t="shared" si="34"/>
        <v>#N/A</v>
      </c>
      <c r="BM105" s="43" t="e">
        <f t="shared" si="35"/>
        <v>#N/A</v>
      </c>
      <c r="BN105" s="43" t="e">
        <f t="shared" si="36"/>
        <v>#N/A</v>
      </c>
      <c r="BO105" s="43">
        <f t="shared" si="37"/>
        <v>-2.94</v>
      </c>
      <c r="BP105" s="43">
        <f t="shared" si="38"/>
        <v>-2.9249999999999998</v>
      </c>
      <c r="BQ105" s="43" t="e">
        <f t="shared" si="39"/>
        <v>#N/A</v>
      </c>
      <c r="BR105" s="43" t="str">
        <f t="shared" si="40"/>
        <v/>
      </c>
      <c r="BS105" s="43" t="str">
        <f t="shared" si="41"/>
        <v/>
      </c>
      <c r="BT105" s="43" t="str">
        <f t="shared" si="42"/>
        <v/>
      </c>
    </row>
    <row r="106" spans="52:72" ht="12" customHeight="1">
      <c r="AZ106" s="43">
        <v>98</v>
      </c>
      <c r="BA106" s="43" t="str">
        <f t="shared" si="43"/>
        <v/>
      </c>
      <c r="BB106" s="43" t="str">
        <f t="shared" si="24"/>
        <v/>
      </c>
      <c r="BC106" s="43" t="str">
        <f t="shared" si="25"/>
        <v/>
      </c>
      <c r="BD106" s="43" t="str">
        <f t="shared" si="26"/>
        <v/>
      </c>
      <c r="BE106" s="43" t="e">
        <f t="shared" si="27"/>
        <v>#N/A</v>
      </c>
      <c r="BF106" s="43" t="e">
        <f t="shared" si="28"/>
        <v>#N/A</v>
      </c>
      <c r="BG106" s="43" t="e">
        <f t="shared" si="29"/>
        <v>#N/A</v>
      </c>
      <c r="BH106" s="43" t="e">
        <f t="shared" si="30"/>
        <v>#N/A</v>
      </c>
      <c r="BI106" s="43" t="e">
        <f t="shared" si="31"/>
        <v>#N/A</v>
      </c>
      <c r="BJ106" s="43" t="e">
        <f t="shared" si="32"/>
        <v>#N/A</v>
      </c>
      <c r="BK106" s="43">
        <f t="shared" si="33"/>
        <v>-2.94</v>
      </c>
      <c r="BL106" s="43" t="e">
        <f t="shared" si="34"/>
        <v>#N/A</v>
      </c>
      <c r="BM106" s="43" t="e">
        <f t="shared" si="35"/>
        <v>#N/A</v>
      </c>
      <c r="BN106" s="43" t="e">
        <f t="shared" si="36"/>
        <v>#N/A</v>
      </c>
      <c r="BO106" s="43">
        <f t="shared" si="37"/>
        <v>-2.94</v>
      </c>
      <c r="BP106" s="43">
        <f t="shared" si="38"/>
        <v>-2.9249999999999998</v>
      </c>
      <c r="BQ106" s="43" t="e">
        <f t="shared" si="39"/>
        <v>#N/A</v>
      </c>
      <c r="BR106" s="43" t="str">
        <f t="shared" si="40"/>
        <v/>
      </c>
      <c r="BS106" s="43" t="str">
        <f t="shared" si="41"/>
        <v/>
      </c>
      <c r="BT106" s="43" t="str">
        <f t="shared" si="42"/>
        <v/>
      </c>
    </row>
    <row r="107" spans="52:72" ht="12" customHeight="1">
      <c r="AZ107" s="43">
        <v>99</v>
      </c>
      <c r="BA107" s="43" t="str">
        <f t="shared" si="43"/>
        <v/>
      </c>
      <c r="BB107" s="43" t="str">
        <f t="shared" si="24"/>
        <v/>
      </c>
      <c r="BC107" s="43" t="str">
        <f t="shared" si="25"/>
        <v/>
      </c>
      <c r="BD107" s="43" t="str">
        <f t="shared" si="26"/>
        <v/>
      </c>
      <c r="BE107" s="43" t="e">
        <f t="shared" si="27"/>
        <v>#N/A</v>
      </c>
      <c r="BF107" s="43" t="e">
        <f t="shared" si="28"/>
        <v>#N/A</v>
      </c>
      <c r="BG107" s="43" t="e">
        <f t="shared" si="29"/>
        <v>#N/A</v>
      </c>
      <c r="BH107" s="43" t="e">
        <f t="shared" si="30"/>
        <v>#N/A</v>
      </c>
      <c r="BI107" s="43" t="e">
        <f t="shared" si="31"/>
        <v>#N/A</v>
      </c>
      <c r="BJ107" s="43" t="e">
        <f t="shared" si="32"/>
        <v>#N/A</v>
      </c>
      <c r="BK107" s="43">
        <f t="shared" si="33"/>
        <v>-2.94</v>
      </c>
      <c r="BL107" s="43" t="e">
        <f t="shared" si="34"/>
        <v>#N/A</v>
      </c>
      <c r="BM107" s="43" t="e">
        <f t="shared" si="35"/>
        <v>#N/A</v>
      </c>
      <c r="BN107" s="43" t="e">
        <f t="shared" si="36"/>
        <v>#N/A</v>
      </c>
      <c r="BO107" s="43">
        <f t="shared" si="37"/>
        <v>-2.94</v>
      </c>
      <c r="BP107" s="43">
        <f t="shared" si="38"/>
        <v>-2.9249999999999998</v>
      </c>
      <c r="BQ107" s="43" t="e">
        <f t="shared" si="39"/>
        <v>#N/A</v>
      </c>
      <c r="BR107" s="43" t="str">
        <f t="shared" si="40"/>
        <v/>
      </c>
      <c r="BS107" s="43" t="str">
        <f t="shared" si="41"/>
        <v/>
      </c>
      <c r="BT107" s="43" t="str">
        <f t="shared" si="42"/>
        <v/>
      </c>
    </row>
    <row r="108" spans="52:72" ht="12" customHeight="1">
      <c r="AZ108" s="43">
        <v>100</v>
      </c>
      <c r="BA108" s="43" t="str">
        <f t="shared" si="43"/>
        <v/>
      </c>
      <c r="BB108" s="43" t="str">
        <f t="shared" si="24"/>
        <v/>
      </c>
      <c r="BC108" s="43" t="str">
        <f t="shared" si="25"/>
        <v/>
      </c>
      <c r="BD108" s="43" t="str">
        <f t="shared" si="26"/>
        <v/>
      </c>
      <c r="BE108" s="43" t="e">
        <f t="shared" si="27"/>
        <v>#N/A</v>
      </c>
      <c r="BF108" s="43" t="e">
        <f t="shared" si="28"/>
        <v>#N/A</v>
      </c>
      <c r="BG108" s="43" t="e">
        <f t="shared" si="29"/>
        <v>#N/A</v>
      </c>
      <c r="BH108" s="43" t="e">
        <f t="shared" si="30"/>
        <v>#N/A</v>
      </c>
      <c r="BI108" s="43" t="e">
        <f t="shared" si="31"/>
        <v>#N/A</v>
      </c>
      <c r="BJ108" s="43" t="e">
        <f t="shared" si="32"/>
        <v>#N/A</v>
      </c>
      <c r="BK108" s="43">
        <f t="shared" si="33"/>
        <v>-2.94</v>
      </c>
      <c r="BL108" s="43" t="e">
        <f t="shared" si="34"/>
        <v>#N/A</v>
      </c>
      <c r="BM108" s="43" t="e">
        <f t="shared" si="35"/>
        <v>#N/A</v>
      </c>
      <c r="BN108" s="43" t="e">
        <f t="shared" si="36"/>
        <v>#N/A</v>
      </c>
      <c r="BO108" s="43">
        <f t="shared" si="37"/>
        <v>-2.94</v>
      </c>
      <c r="BP108" s="43">
        <f t="shared" si="38"/>
        <v>-2.9249999999999998</v>
      </c>
      <c r="BQ108" s="43" t="e">
        <f t="shared" si="39"/>
        <v>#N/A</v>
      </c>
      <c r="BR108" s="43" t="str">
        <f t="shared" si="40"/>
        <v/>
      </c>
      <c r="BS108" s="43" t="str">
        <f t="shared" si="41"/>
        <v/>
      </c>
      <c r="BT108" s="43" t="str">
        <f t="shared" si="42"/>
        <v/>
      </c>
    </row>
    <row r="109" spans="52:72" ht="12" customHeight="1">
      <c r="AZ109" s="43">
        <v>101</v>
      </c>
      <c r="BA109" s="43" t="str">
        <f t="shared" si="43"/>
        <v/>
      </c>
      <c r="BB109" s="43" t="str">
        <f t="shared" si="24"/>
        <v/>
      </c>
      <c r="BC109" s="43" t="str">
        <f t="shared" si="25"/>
        <v/>
      </c>
      <c r="BD109" s="43" t="str">
        <f t="shared" si="26"/>
        <v/>
      </c>
      <c r="BE109" s="43" t="e">
        <f t="shared" si="27"/>
        <v>#N/A</v>
      </c>
      <c r="BF109" s="43" t="e">
        <f t="shared" si="28"/>
        <v>#N/A</v>
      </c>
      <c r="BG109" s="43" t="e">
        <f t="shared" si="29"/>
        <v>#N/A</v>
      </c>
      <c r="BH109" s="43" t="e">
        <f t="shared" si="30"/>
        <v>#N/A</v>
      </c>
      <c r="BI109" s="43" t="e">
        <f t="shared" si="31"/>
        <v>#N/A</v>
      </c>
      <c r="BJ109" s="43" t="e">
        <f t="shared" si="32"/>
        <v>#N/A</v>
      </c>
      <c r="BK109" s="43">
        <f t="shared" si="33"/>
        <v>-2.94</v>
      </c>
      <c r="BL109" s="43" t="e">
        <f t="shared" si="34"/>
        <v>#N/A</v>
      </c>
      <c r="BM109" s="43" t="e">
        <f t="shared" si="35"/>
        <v>#N/A</v>
      </c>
      <c r="BN109" s="43" t="e">
        <f t="shared" si="36"/>
        <v>#N/A</v>
      </c>
      <c r="BO109" s="43">
        <f t="shared" si="37"/>
        <v>-2.94</v>
      </c>
      <c r="BP109" s="43">
        <f t="shared" si="38"/>
        <v>-2.9249999999999998</v>
      </c>
      <c r="BQ109" s="43" t="e">
        <f t="shared" si="39"/>
        <v>#N/A</v>
      </c>
      <c r="BR109" s="43" t="str">
        <f t="shared" si="40"/>
        <v/>
      </c>
      <c r="BS109" s="43" t="str">
        <f t="shared" si="41"/>
        <v/>
      </c>
      <c r="BT109" s="43" t="str">
        <f t="shared" si="42"/>
        <v/>
      </c>
    </row>
    <row r="110" spans="52:72" ht="12" customHeight="1">
      <c r="AZ110" s="43">
        <v>102</v>
      </c>
      <c r="BA110" s="43" t="str">
        <f t="shared" si="43"/>
        <v/>
      </c>
      <c r="BB110" s="43" t="str">
        <f t="shared" si="24"/>
        <v/>
      </c>
      <c r="BC110" s="43" t="str">
        <f t="shared" si="25"/>
        <v/>
      </c>
      <c r="BD110" s="43" t="str">
        <f t="shared" si="26"/>
        <v/>
      </c>
      <c r="BE110" s="43" t="e">
        <f t="shared" si="27"/>
        <v>#N/A</v>
      </c>
      <c r="BF110" s="43" t="e">
        <f t="shared" si="28"/>
        <v>#N/A</v>
      </c>
      <c r="BG110" s="43" t="e">
        <f t="shared" si="29"/>
        <v>#N/A</v>
      </c>
      <c r="BH110" s="43" t="e">
        <f t="shared" si="30"/>
        <v>#N/A</v>
      </c>
      <c r="BI110" s="43" t="e">
        <f t="shared" si="31"/>
        <v>#N/A</v>
      </c>
      <c r="BJ110" s="43" t="e">
        <f t="shared" si="32"/>
        <v>#N/A</v>
      </c>
      <c r="BK110" s="43">
        <f t="shared" si="33"/>
        <v>-2.94</v>
      </c>
      <c r="BL110" s="43" t="e">
        <f t="shared" si="34"/>
        <v>#N/A</v>
      </c>
      <c r="BM110" s="43" t="e">
        <f t="shared" si="35"/>
        <v>#N/A</v>
      </c>
      <c r="BN110" s="43" t="e">
        <f t="shared" si="36"/>
        <v>#N/A</v>
      </c>
      <c r="BO110" s="43">
        <f t="shared" si="37"/>
        <v>-2.94</v>
      </c>
      <c r="BP110" s="43">
        <f t="shared" si="38"/>
        <v>-2.9249999999999998</v>
      </c>
      <c r="BQ110" s="43" t="e">
        <f t="shared" si="39"/>
        <v>#N/A</v>
      </c>
      <c r="BR110" s="43" t="str">
        <f t="shared" si="40"/>
        <v/>
      </c>
      <c r="BS110" s="43" t="str">
        <f t="shared" si="41"/>
        <v/>
      </c>
      <c r="BT110" s="43" t="str">
        <f t="shared" si="42"/>
        <v/>
      </c>
    </row>
    <row r="111" spans="52:72" ht="12" customHeight="1">
      <c r="AZ111" s="43">
        <v>103</v>
      </c>
      <c r="BA111" s="43" t="str">
        <f t="shared" si="43"/>
        <v/>
      </c>
      <c r="BB111" s="43" t="str">
        <f t="shared" si="24"/>
        <v/>
      </c>
      <c r="BC111" s="43" t="str">
        <f t="shared" si="25"/>
        <v/>
      </c>
      <c r="BD111" s="43" t="str">
        <f t="shared" si="26"/>
        <v/>
      </c>
      <c r="BE111" s="43" t="e">
        <f t="shared" si="27"/>
        <v>#N/A</v>
      </c>
      <c r="BF111" s="43" t="e">
        <f t="shared" si="28"/>
        <v>#N/A</v>
      </c>
      <c r="BG111" s="43" t="e">
        <f t="shared" si="29"/>
        <v>#N/A</v>
      </c>
      <c r="BH111" s="43" t="e">
        <f t="shared" si="30"/>
        <v>#N/A</v>
      </c>
      <c r="BI111" s="43" t="e">
        <f t="shared" si="31"/>
        <v>#N/A</v>
      </c>
      <c r="BJ111" s="43" t="e">
        <f t="shared" si="32"/>
        <v>#N/A</v>
      </c>
      <c r="BK111" s="43">
        <f t="shared" si="33"/>
        <v>-2.94</v>
      </c>
      <c r="BL111" s="43" t="e">
        <f t="shared" si="34"/>
        <v>#N/A</v>
      </c>
      <c r="BM111" s="43" t="e">
        <f t="shared" si="35"/>
        <v>#N/A</v>
      </c>
      <c r="BN111" s="43" t="e">
        <f t="shared" si="36"/>
        <v>#N/A</v>
      </c>
      <c r="BO111" s="43">
        <f t="shared" si="37"/>
        <v>-2.94</v>
      </c>
      <c r="BP111" s="43">
        <f t="shared" si="38"/>
        <v>-2.9249999999999998</v>
      </c>
      <c r="BQ111" s="43" t="e">
        <f t="shared" si="39"/>
        <v>#N/A</v>
      </c>
      <c r="BR111" s="43" t="str">
        <f t="shared" si="40"/>
        <v/>
      </c>
      <c r="BS111" s="43" t="str">
        <f t="shared" si="41"/>
        <v/>
      </c>
      <c r="BT111" s="43" t="str">
        <f t="shared" si="42"/>
        <v/>
      </c>
    </row>
    <row r="112" spans="52:72" ht="12" customHeight="1">
      <c r="AZ112" s="43">
        <v>104</v>
      </c>
      <c r="BA112" s="43" t="str">
        <f t="shared" si="43"/>
        <v/>
      </c>
      <c r="BB112" s="43" t="str">
        <f t="shared" si="24"/>
        <v/>
      </c>
      <c r="BC112" s="43" t="str">
        <f t="shared" si="25"/>
        <v/>
      </c>
      <c r="BD112" s="43" t="str">
        <f t="shared" si="26"/>
        <v/>
      </c>
      <c r="BE112" s="43" t="e">
        <f t="shared" si="27"/>
        <v>#N/A</v>
      </c>
      <c r="BF112" s="43" t="e">
        <f t="shared" si="28"/>
        <v>#N/A</v>
      </c>
      <c r="BG112" s="43" t="e">
        <f t="shared" si="29"/>
        <v>#N/A</v>
      </c>
      <c r="BH112" s="43" t="e">
        <f t="shared" si="30"/>
        <v>#N/A</v>
      </c>
      <c r="BI112" s="43" t="e">
        <f t="shared" si="31"/>
        <v>#N/A</v>
      </c>
      <c r="BJ112" s="43" t="e">
        <f t="shared" si="32"/>
        <v>#N/A</v>
      </c>
      <c r="BK112" s="43">
        <f t="shared" si="33"/>
        <v>-2.94</v>
      </c>
      <c r="BL112" s="43" t="e">
        <f t="shared" si="34"/>
        <v>#N/A</v>
      </c>
      <c r="BM112" s="43" t="e">
        <f t="shared" si="35"/>
        <v>#N/A</v>
      </c>
      <c r="BN112" s="43" t="e">
        <f t="shared" si="36"/>
        <v>#N/A</v>
      </c>
      <c r="BO112" s="43">
        <f t="shared" si="37"/>
        <v>-2.94</v>
      </c>
      <c r="BP112" s="43">
        <f t="shared" si="38"/>
        <v>-2.9249999999999998</v>
      </c>
      <c r="BQ112" s="43" t="e">
        <f t="shared" si="39"/>
        <v>#N/A</v>
      </c>
      <c r="BR112" s="43" t="str">
        <f t="shared" si="40"/>
        <v/>
      </c>
      <c r="BS112" s="43" t="str">
        <f t="shared" si="41"/>
        <v/>
      </c>
      <c r="BT112" s="43" t="str">
        <f t="shared" si="42"/>
        <v/>
      </c>
    </row>
    <row r="113" spans="52:72" ht="12" customHeight="1">
      <c r="AZ113" s="43">
        <v>105</v>
      </c>
      <c r="BA113" s="43" t="str">
        <f t="shared" si="43"/>
        <v/>
      </c>
      <c r="BB113" s="43" t="str">
        <f t="shared" si="24"/>
        <v/>
      </c>
      <c r="BC113" s="43" t="str">
        <f t="shared" si="25"/>
        <v/>
      </c>
      <c r="BD113" s="43" t="str">
        <f t="shared" si="26"/>
        <v/>
      </c>
      <c r="BE113" s="43" t="e">
        <f t="shared" si="27"/>
        <v>#N/A</v>
      </c>
      <c r="BF113" s="43" t="e">
        <f t="shared" si="28"/>
        <v>#N/A</v>
      </c>
      <c r="BG113" s="43" t="e">
        <f t="shared" si="29"/>
        <v>#N/A</v>
      </c>
      <c r="BH113" s="43" t="e">
        <f t="shared" si="30"/>
        <v>#N/A</v>
      </c>
      <c r="BI113" s="43" t="e">
        <f t="shared" si="31"/>
        <v>#N/A</v>
      </c>
      <c r="BJ113" s="43" t="e">
        <f t="shared" si="32"/>
        <v>#N/A</v>
      </c>
      <c r="BK113" s="43">
        <f t="shared" si="33"/>
        <v>-2.94</v>
      </c>
      <c r="BL113" s="43" t="e">
        <f t="shared" si="34"/>
        <v>#N/A</v>
      </c>
      <c r="BM113" s="43" t="e">
        <f t="shared" si="35"/>
        <v>#N/A</v>
      </c>
      <c r="BN113" s="43" t="e">
        <f t="shared" si="36"/>
        <v>#N/A</v>
      </c>
      <c r="BO113" s="43">
        <f t="shared" si="37"/>
        <v>-2.94</v>
      </c>
      <c r="BP113" s="43">
        <f t="shared" si="38"/>
        <v>-2.9249999999999998</v>
      </c>
      <c r="BQ113" s="43" t="e">
        <f t="shared" si="39"/>
        <v>#N/A</v>
      </c>
      <c r="BR113" s="43" t="str">
        <f t="shared" si="40"/>
        <v/>
      </c>
      <c r="BS113" s="43" t="str">
        <f t="shared" si="41"/>
        <v/>
      </c>
      <c r="BT113" s="43" t="str">
        <f t="shared" si="42"/>
        <v/>
      </c>
    </row>
    <row r="114" spans="52:72" ht="12" customHeight="1">
      <c r="AZ114" s="43">
        <v>106</v>
      </c>
      <c r="BA114" s="43" t="str">
        <f t="shared" si="43"/>
        <v/>
      </c>
      <c r="BB114" s="43" t="str">
        <f t="shared" si="24"/>
        <v/>
      </c>
      <c r="BC114" s="43" t="str">
        <f t="shared" si="25"/>
        <v/>
      </c>
      <c r="BD114" s="43" t="str">
        <f t="shared" si="26"/>
        <v/>
      </c>
      <c r="BE114" s="43" t="e">
        <f t="shared" si="27"/>
        <v>#N/A</v>
      </c>
      <c r="BF114" s="43" t="e">
        <f t="shared" si="28"/>
        <v>#N/A</v>
      </c>
      <c r="BG114" s="43" t="e">
        <f t="shared" si="29"/>
        <v>#N/A</v>
      </c>
      <c r="BH114" s="43" t="e">
        <f t="shared" si="30"/>
        <v>#N/A</v>
      </c>
      <c r="BI114" s="43" t="e">
        <f t="shared" si="31"/>
        <v>#N/A</v>
      </c>
      <c r="BJ114" s="43" t="e">
        <f t="shared" si="32"/>
        <v>#N/A</v>
      </c>
      <c r="BK114" s="43">
        <f t="shared" si="33"/>
        <v>-2.94</v>
      </c>
      <c r="BL114" s="43" t="e">
        <f t="shared" si="34"/>
        <v>#N/A</v>
      </c>
      <c r="BM114" s="43" t="e">
        <f t="shared" si="35"/>
        <v>#N/A</v>
      </c>
      <c r="BN114" s="43" t="e">
        <f t="shared" si="36"/>
        <v>#N/A</v>
      </c>
      <c r="BO114" s="43">
        <f t="shared" si="37"/>
        <v>-2.94</v>
      </c>
      <c r="BP114" s="43">
        <f t="shared" si="38"/>
        <v>-2.9249999999999998</v>
      </c>
      <c r="BQ114" s="43" t="e">
        <f t="shared" si="39"/>
        <v>#N/A</v>
      </c>
      <c r="BR114" s="43" t="str">
        <f t="shared" si="40"/>
        <v/>
      </c>
      <c r="BS114" s="43" t="str">
        <f t="shared" si="41"/>
        <v/>
      </c>
      <c r="BT114" s="43" t="str">
        <f t="shared" si="42"/>
        <v/>
      </c>
    </row>
    <row r="115" spans="52:72" ht="12" customHeight="1">
      <c r="AZ115" s="43">
        <v>107</v>
      </c>
      <c r="BA115" s="43" t="str">
        <f t="shared" si="43"/>
        <v/>
      </c>
      <c r="BB115" s="43" t="str">
        <f t="shared" si="24"/>
        <v/>
      </c>
      <c r="BC115" s="43" t="str">
        <f t="shared" si="25"/>
        <v/>
      </c>
      <c r="BD115" s="43" t="str">
        <f t="shared" si="26"/>
        <v/>
      </c>
      <c r="BE115" s="43" t="e">
        <f t="shared" si="27"/>
        <v>#N/A</v>
      </c>
      <c r="BF115" s="43" t="e">
        <f t="shared" si="28"/>
        <v>#N/A</v>
      </c>
      <c r="BG115" s="43" t="e">
        <f t="shared" si="29"/>
        <v>#N/A</v>
      </c>
      <c r="BH115" s="43" t="e">
        <f t="shared" si="30"/>
        <v>#N/A</v>
      </c>
      <c r="BI115" s="43" t="e">
        <f t="shared" si="31"/>
        <v>#N/A</v>
      </c>
      <c r="BJ115" s="43" t="e">
        <f t="shared" si="32"/>
        <v>#N/A</v>
      </c>
      <c r="BK115" s="43">
        <f t="shared" si="33"/>
        <v>-2.94</v>
      </c>
      <c r="BL115" s="43" t="e">
        <f t="shared" si="34"/>
        <v>#N/A</v>
      </c>
      <c r="BM115" s="43" t="e">
        <f t="shared" si="35"/>
        <v>#N/A</v>
      </c>
      <c r="BN115" s="43" t="e">
        <f t="shared" si="36"/>
        <v>#N/A</v>
      </c>
      <c r="BO115" s="43">
        <f t="shared" si="37"/>
        <v>-2.94</v>
      </c>
      <c r="BP115" s="43">
        <f t="shared" si="38"/>
        <v>-2.9249999999999998</v>
      </c>
      <c r="BQ115" s="43" t="e">
        <f t="shared" si="39"/>
        <v>#N/A</v>
      </c>
      <c r="BR115" s="43" t="str">
        <f t="shared" si="40"/>
        <v/>
      </c>
      <c r="BS115" s="43" t="str">
        <f t="shared" si="41"/>
        <v/>
      </c>
      <c r="BT115" s="43" t="str">
        <f t="shared" si="42"/>
        <v/>
      </c>
    </row>
    <row r="116" spans="52:72" ht="12" customHeight="1">
      <c r="AZ116" s="43">
        <v>108</v>
      </c>
      <c r="BA116" s="43" t="str">
        <f t="shared" si="43"/>
        <v/>
      </c>
      <c r="BB116" s="43" t="str">
        <f t="shared" si="24"/>
        <v/>
      </c>
      <c r="BC116" s="43" t="str">
        <f t="shared" si="25"/>
        <v/>
      </c>
      <c r="BD116" s="43" t="str">
        <f t="shared" si="26"/>
        <v/>
      </c>
      <c r="BE116" s="43" t="e">
        <f t="shared" si="27"/>
        <v>#N/A</v>
      </c>
      <c r="BF116" s="43" t="e">
        <f t="shared" si="28"/>
        <v>#N/A</v>
      </c>
      <c r="BG116" s="43" t="e">
        <f t="shared" si="29"/>
        <v>#N/A</v>
      </c>
      <c r="BH116" s="43" t="e">
        <f t="shared" si="30"/>
        <v>#N/A</v>
      </c>
      <c r="BI116" s="43" t="e">
        <f t="shared" si="31"/>
        <v>#N/A</v>
      </c>
      <c r="BJ116" s="43" t="e">
        <f t="shared" si="32"/>
        <v>#N/A</v>
      </c>
      <c r="BK116" s="43">
        <f t="shared" si="33"/>
        <v>-2.94</v>
      </c>
      <c r="BL116" s="43" t="e">
        <f t="shared" si="34"/>
        <v>#N/A</v>
      </c>
      <c r="BM116" s="43" t="e">
        <f t="shared" si="35"/>
        <v>#N/A</v>
      </c>
      <c r="BN116" s="43" t="e">
        <f t="shared" si="36"/>
        <v>#N/A</v>
      </c>
      <c r="BO116" s="43">
        <f t="shared" si="37"/>
        <v>-2.94</v>
      </c>
      <c r="BP116" s="43">
        <f t="shared" si="38"/>
        <v>-2.9249999999999998</v>
      </c>
      <c r="BQ116" s="43" t="e">
        <f t="shared" si="39"/>
        <v>#N/A</v>
      </c>
      <c r="BR116" s="43" t="str">
        <f t="shared" si="40"/>
        <v/>
      </c>
      <c r="BS116" s="43" t="str">
        <f t="shared" si="41"/>
        <v/>
      </c>
      <c r="BT116" s="43" t="str">
        <f t="shared" si="42"/>
        <v/>
      </c>
    </row>
    <row r="117" spans="52:72" ht="12" customHeight="1">
      <c r="AZ117" s="43">
        <v>109</v>
      </c>
      <c r="BA117" s="43" t="str">
        <f t="shared" si="43"/>
        <v/>
      </c>
      <c r="BB117" s="43" t="str">
        <f t="shared" si="24"/>
        <v/>
      </c>
      <c r="BC117" s="43" t="str">
        <f t="shared" si="25"/>
        <v/>
      </c>
      <c r="BD117" s="43" t="str">
        <f t="shared" si="26"/>
        <v/>
      </c>
      <c r="BE117" s="43" t="e">
        <f t="shared" si="27"/>
        <v>#N/A</v>
      </c>
      <c r="BF117" s="43" t="e">
        <f t="shared" si="28"/>
        <v>#N/A</v>
      </c>
      <c r="BG117" s="43" t="e">
        <f t="shared" si="29"/>
        <v>#N/A</v>
      </c>
      <c r="BH117" s="43" t="e">
        <f t="shared" si="30"/>
        <v>#N/A</v>
      </c>
      <c r="BI117" s="43" t="e">
        <f t="shared" si="31"/>
        <v>#N/A</v>
      </c>
      <c r="BJ117" s="43" t="e">
        <f t="shared" si="32"/>
        <v>#N/A</v>
      </c>
      <c r="BK117" s="43">
        <f t="shared" si="33"/>
        <v>-2.94</v>
      </c>
      <c r="BL117" s="43" t="e">
        <f t="shared" si="34"/>
        <v>#N/A</v>
      </c>
      <c r="BM117" s="43" t="e">
        <f t="shared" si="35"/>
        <v>#N/A</v>
      </c>
      <c r="BN117" s="43" t="e">
        <f t="shared" si="36"/>
        <v>#N/A</v>
      </c>
      <c r="BO117" s="43">
        <f t="shared" si="37"/>
        <v>-2.94</v>
      </c>
      <c r="BP117" s="43">
        <f t="shared" si="38"/>
        <v>-2.9249999999999998</v>
      </c>
      <c r="BQ117" s="43" t="e">
        <f t="shared" si="39"/>
        <v>#N/A</v>
      </c>
      <c r="BR117" s="43" t="str">
        <f t="shared" si="40"/>
        <v/>
      </c>
      <c r="BS117" s="43" t="str">
        <f t="shared" si="41"/>
        <v/>
      </c>
      <c r="BT117" s="43" t="str">
        <f t="shared" si="42"/>
        <v/>
      </c>
    </row>
    <row r="118" spans="52:72" ht="12" customHeight="1">
      <c r="AZ118" s="43">
        <v>110</v>
      </c>
      <c r="BA118" s="43" t="str">
        <f t="shared" si="43"/>
        <v/>
      </c>
      <c r="BB118" s="43" t="str">
        <f t="shared" si="24"/>
        <v/>
      </c>
      <c r="BC118" s="43" t="str">
        <f t="shared" si="25"/>
        <v/>
      </c>
      <c r="BD118" s="43" t="str">
        <f t="shared" si="26"/>
        <v/>
      </c>
      <c r="BE118" s="43" t="e">
        <f t="shared" si="27"/>
        <v>#N/A</v>
      </c>
      <c r="BF118" s="43" t="e">
        <f t="shared" si="28"/>
        <v>#N/A</v>
      </c>
      <c r="BG118" s="43" t="e">
        <f t="shared" si="29"/>
        <v>#N/A</v>
      </c>
      <c r="BH118" s="43" t="e">
        <f t="shared" si="30"/>
        <v>#N/A</v>
      </c>
      <c r="BI118" s="43" t="e">
        <f t="shared" si="31"/>
        <v>#N/A</v>
      </c>
      <c r="BJ118" s="43" t="e">
        <f t="shared" si="32"/>
        <v>#N/A</v>
      </c>
      <c r="BK118" s="43">
        <f t="shared" si="33"/>
        <v>-2.94</v>
      </c>
      <c r="BL118" s="43" t="e">
        <f t="shared" si="34"/>
        <v>#N/A</v>
      </c>
      <c r="BM118" s="43" t="e">
        <f t="shared" si="35"/>
        <v>#N/A</v>
      </c>
      <c r="BN118" s="43" t="e">
        <f t="shared" si="36"/>
        <v>#N/A</v>
      </c>
      <c r="BO118" s="43">
        <f t="shared" si="37"/>
        <v>-2.94</v>
      </c>
      <c r="BP118" s="43">
        <f t="shared" si="38"/>
        <v>-2.9249999999999998</v>
      </c>
      <c r="BQ118" s="43" t="e">
        <f t="shared" si="39"/>
        <v>#N/A</v>
      </c>
      <c r="BR118" s="43" t="str">
        <f t="shared" si="40"/>
        <v/>
      </c>
      <c r="BS118" s="43" t="str">
        <f t="shared" si="41"/>
        <v/>
      </c>
      <c r="BT118" s="43" t="str">
        <f t="shared" si="42"/>
        <v/>
      </c>
    </row>
    <row r="119" spans="52:72" ht="12" customHeight="1">
      <c r="AZ119" s="43">
        <v>111</v>
      </c>
      <c r="BA119" s="43" t="str">
        <f t="shared" si="43"/>
        <v/>
      </c>
      <c r="BB119" s="43" t="str">
        <f t="shared" si="24"/>
        <v/>
      </c>
      <c r="BC119" s="43" t="str">
        <f t="shared" si="25"/>
        <v/>
      </c>
      <c r="BD119" s="43" t="str">
        <f t="shared" si="26"/>
        <v/>
      </c>
      <c r="BE119" s="43" t="e">
        <f t="shared" si="27"/>
        <v>#N/A</v>
      </c>
      <c r="BF119" s="43" t="e">
        <f t="shared" si="28"/>
        <v>#N/A</v>
      </c>
      <c r="BG119" s="43" t="e">
        <f t="shared" si="29"/>
        <v>#N/A</v>
      </c>
      <c r="BH119" s="43" t="e">
        <f t="shared" si="30"/>
        <v>#N/A</v>
      </c>
      <c r="BI119" s="43" t="e">
        <f t="shared" si="31"/>
        <v>#N/A</v>
      </c>
      <c r="BJ119" s="43" t="e">
        <f t="shared" si="32"/>
        <v>#N/A</v>
      </c>
      <c r="BK119" s="43">
        <f t="shared" si="33"/>
        <v>-2.94</v>
      </c>
      <c r="BL119" s="43" t="e">
        <f t="shared" si="34"/>
        <v>#N/A</v>
      </c>
      <c r="BM119" s="43" t="e">
        <f t="shared" si="35"/>
        <v>#N/A</v>
      </c>
      <c r="BN119" s="43" t="e">
        <f t="shared" si="36"/>
        <v>#N/A</v>
      </c>
      <c r="BO119" s="43">
        <f t="shared" si="37"/>
        <v>-2.94</v>
      </c>
      <c r="BP119" s="43">
        <f t="shared" si="38"/>
        <v>-2.9249999999999998</v>
      </c>
      <c r="BQ119" s="43" t="e">
        <f t="shared" si="39"/>
        <v>#N/A</v>
      </c>
      <c r="BR119" s="43" t="str">
        <f t="shared" si="40"/>
        <v/>
      </c>
      <c r="BS119" s="43" t="str">
        <f t="shared" si="41"/>
        <v/>
      </c>
      <c r="BT119" s="43" t="str">
        <f t="shared" si="42"/>
        <v/>
      </c>
    </row>
    <row r="120" spans="52:72" ht="12" customHeight="1">
      <c r="AZ120" s="43">
        <v>112</v>
      </c>
      <c r="BA120" s="43" t="str">
        <f t="shared" si="43"/>
        <v/>
      </c>
      <c r="BB120" s="43" t="str">
        <f t="shared" si="24"/>
        <v/>
      </c>
      <c r="BC120" s="43" t="str">
        <f t="shared" si="25"/>
        <v/>
      </c>
      <c r="BD120" s="43" t="str">
        <f t="shared" si="26"/>
        <v/>
      </c>
      <c r="BE120" s="43" t="e">
        <f t="shared" si="27"/>
        <v>#N/A</v>
      </c>
      <c r="BF120" s="43" t="e">
        <f t="shared" si="28"/>
        <v>#N/A</v>
      </c>
      <c r="BG120" s="43" t="e">
        <f t="shared" si="29"/>
        <v>#N/A</v>
      </c>
      <c r="BH120" s="43" t="e">
        <f t="shared" si="30"/>
        <v>#N/A</v>
      </c>
      <c r="BI120" s="43" t="e">
        <f t="shared" si="31"/>
        <v>#N/A</v>
      </c>
      <c r="BJ120" s="43" t="e">
        <f t="shared" si="32"/>
        <v>#N/A</v>
      </c>
      <c r="BK120" s="43">
        <f t="shared" si="33"/>
        <v>-2.94</v>
      </c>
      <c r="BL120" s="43" t="e">
        <f t="shared" si="34"/>
        <v>#N/A</v>
      </c>
      <c r="BM120" s="43" t="e">
        <f t="shared" si="35"/>
        <v>#N/A</v>
      </c>
      <c r="BN120" s="43" t="e">
        <f t="shared" si="36"/>
        <v>#N/A</v>
      </c>
      <c r="BO120" s="43">
        <f t="shared" si="37"/>
        <v>-2.94</v>
      </c>
      <c r="BP120" s="43">
        <f t="shared" si="38"/>
        <v>-2.9249999999999998</v>
      </c>
      <c r="BQ120" s="43" t="e">
        <f t="shared" si="39"/>
        <v>#N/A</v>
      </c>
      <c r="BR120" s="43" t="str">
        <f t="shared" si="40"/>
        <v/>
      </c>
      <c r="BS120" s="43" t="str">
        <f t="shared" si="41"/>
        <v/>
      </c>
      <c r="BT120" s="43" t="str">
        <f t="shared" si="42"/>
        <v/>
      </c>
    </row>
    <row r="121" spans="52:72" ht="12" customHeight="1">
      <c r="AZ121" s="43">
        <v>113</v>
      </c>
      <c r="BA121" s="43" t="str">
        <f t="shared" si="43"/>
        <v/>
      </c>
      <c r="BB121" s="43" t="str">
        <f t="shared" si="24"/>
        <v/>
      </c>
      <c r="BC121" s="43" t="str">
        <f t="shared" si="25"/>
        <v/>
      </c>
      <c r="BD121" s="43" t="str">
        <f t="shared" si="26"/>
        <v/>
      </c>
      <c r="BE121" s="43" t="e">
        <f t="shared" si="27"/>
        <v>#N/A</v>
      </c>
      <c r="BF121" s="43" t="e">
        <f t="shared" si="28"/>
        <v>#N/A</v>
      </c>
      <c r="BG121" s="43" t="e">
        <f t="shared" si="29"/>
        <v>#N/A</v>
      </c>
      <c r="BH121" s="43" t="e">
        <f t="shared" si="30"/>
        <v>#N/A</v>
      </c>
      <c r="BI121" s="43" t="e">
        <f t="shared" si="31"/>
        <v>#N/A</v>
      </c>
      <c r="BJ121" s="43" t="e">
        <f t="shared" si="32"/>
        <v>#N/A</v>
      </c>
      <c r="BK121" s="43">
        <f t="shared" si="33"/>
        <v>-2.94</v>
      </c>
      <c r="BL121" s="43" t="e">
        <f t="shared" si="34"/>
        <v>#N/A</v>
      </c>
      <c r="BM121" s="43" t="e">
        <f t="shared" si="35"/>
        <v>#N/A</v>
      </c>
      <c r="BN121" s="43" t="e">
        <f t="shared" si="36"/>
        <v>#N/A</v>
      </c>
      <c r="BO121" s="43">
        <f t="shared" si="37"/>
        <v>-2.94</v>
      </c>
      <c r="BP121" s="43">
        <f t="shared" si="38"/>
        <v>-2.9249999999999998</v>
      </c>
      <c r="BQ121" s="43" t="e">
        <f t="shared" si="39"/>
        <v>#N/A</v>
      </c>
      <c r="BR121" s="43" t="str">
        <f t="shared" si="40"/>
        <v/>
      </c>
      <c r="BS121" s="43" t="str">
        <f t="shared" si="41"/>
        <v/>
      </c>
      <c r="BT121" s="43" t="str">
        <f t="shared" si="42"/>
        <v/>
      </c>
    </row>
    <row r="122" spans="52:72" ht="12" customHeight="1">
      <c r="AZ122" s="43">
        <v>114</v>
      </c>
      <c r="BA122" s="43" t="str">
        <f t="shared" si="43"/>
        <v/>
      </c>
      <c r="BB122" s="43" t="str">
        <f t="shared" si="24"/>
        <v/>
      </c>
      <c r="BC122" s="43" t="str">
        <f t="shared" si="25"/>
        <v/>
      </c>
      <c r="BD122" s="43" t="str">
        <f t="shared" si="26"/>
        <v/>
      </c>
      <c r="BE122" s="43" t="e">
        <f t="shared" si="27"/>
        <v>#N/A</v>
      </c>
      <c r="BF122" s="43" t="e">
        <f t="shared" si="28"/>
        <v>#N/A</v>
      </c>
      <c r="BG122" s="43" t="e">
        <f t="shared" si="29"/>
        <v>#N/A</v>
      </c>
      <c r="BH122" s="43" t="e">
        <f t="shared" si="30"/>
        <v>#N/A</v>
      </c>
      <c r="BI122" s="43" t="e">
        <f t="shared" si="31"/>
        <v>#N/A</v>
      </c>
      <c r="BJ122" s="43" t="e">
        <f t="shared" si="32"/>
        <v>#N/A</v>
      </c>
      <c r="BK122" s="43">
        <f t="shared" si="33"/>
        <v>-2.94</v>
      </c>
      <c r="BL122" s="43" t="e">
        <f t="shared" si="34"/>
        <v>#N/A</v>
      </c>
      <c r="BM122" s="43" t="e">
        <f t="shared" si="35"/>
        <v>#N/A</v>
      </c>
      <c r="BN122" s="43" t="e">
        <f t="shared" si="36"/>
        <v>#N/A</v>
      </c>
      <c r="BO122" s="43">
        <f t="shared" si="37"/>
        <v>-2.94</v>
      </c>
      <c r="BP122" s="43">
        <f t="shared" si="38"/>
        <v>-2.9249999999999998</v>
      </c>
      <c r="BQ122" s="43" t="e">
        <f t="shared" si="39"/>
        <v>#N/A</v>
      </c>
      <c r="BR122" s="43" t="str">
        <f t="shared" si="40"/>
        <v/>
      </c>
      <c r="BS122" s="43" t="str">
        <f t="shared" si="41"/>
        <v/>
      </c>
      <c r="BT122" s="43" t="str">
        <f t="shared" si="42"/>
        <v/>
      </c>
    </row>
    <row r="123" spans="52:72" ht="12" customHeight="1">
      <c r="AZ123" s="43">
        <v>115</v>
      </c>
      <c r="BA123" s="43" t="str">
        <f t="shared" si="43"/>
        <v/>
      </c>
      <c r="BB123" s="43" t="str">
        <f t="shared" si="24"/>
        <v/>
      </c>
      <c r="BC123" s="43" t="str">
        <f t="shared" si="25"/>
        <v/>
      </c>
      <c r="BD123" s="43" t="str">
        <f t="shared" si="26"/>
        <v/>
      </c>
      <c r="BE123" s="43" t="e">
        <f t="shared" si="27"/>
        <v>#N/A</v>
      </c>
      <c r="BF123" s="43" t="e">
        <f t="shared" si="28"/>
        <v>#N/A</v>
      </c>
      <c r="BG123" s="43" t="e">
        <f t="shared" si="29"/>
        <v>#N/A</v>
      </c>
      <c r="BH123" s="43" t="e">
        <f t="shared" si="30"/>
        <v>#N/A</v>
      </c>
      <c r="BI123" s="43" t="e">
        <f t="shared" si="31"/>
        <v>#N/A</v>
      </c>
      <c r="BJ123" s="43" t="e">
        <f t="shared" si="32"/>
        <v>#N/A</v>
      </c>
      <c r="BK123" s="43">
        <f t="shared" si="33"/>
        <v>-2.94</v>
      </c>
      <c r="BL123" s="43" t="e">
        <f t="shared" si="34"/>
        <v>#N/A</v>
      </c>
      <c r="BM123" s="43" t="e">
        <f t="shared" si="35"/>
        <v>#N/A</v>
      </c>
      <c r="BN123" s="43" t="e">
        <f t="shared" si="36"/>
        <v>#N/A</v>
      </c>
      <c r="BO123" s="43">
        <f t="shared" si="37"/>
        <v>-2.94</v>
      </c>
      <c r="BP123" s="43">
        <f t="shared" si="38"/>
        <v>-2.9249999999999998</v>
      </c>
      <c r="BQ123" s="43" t="e">
        <f t="shared" si="39"/>
        <v>#N/A</v>
      </c>
      <c r="BR123" s="43" t="str">
        <f t="shared" si="40"/>
        <v/>
      </c>
      <c r="BS123" s="43" t="str">
        <f t="shared" si="41"/>
        <v/>
      </c>
      <c r="BT123" s="43" t="str">
        <f t="shared" si="42"/>
        <v/>
      </c>
    </row>
    <row r="124" spans="52:72" ht="12" customHeight="1">
      <c r="AZ124" s="43">
        <v>116</v>
      </c>
      <c r="BA124" s="43" t="str">
        <f t="shared" si="43"/>
        <v/>
      </c>
      <c r="BB124" s="43" t="str">
        <f t="shared" si="24"/>
        <v/>
      </c>
      <c r="BC124" s="43" t="str">
        <f t="shared" si="25"/>
        <v/>
      </c>
      <c r="BD124" s="43" t="str">
        <f t="shared" si="26"/>
        <v/>
      </c>
      <c r="BE124" s="43" t="e">
        <f t="shared" si="27"/>
        <v>#N/A</v>
      </c>
      <c r="BF124" s="43" t="e">
        <f t="shared" si="28"/>
        <v>#N/A</v>
      </c>
      <c r="BG124" s="43" t="e">
        <f t="shared" si="29"/>
        <v>#N/A</v>
      </c>
      <c r="BH124" s="43" t="e">
        <f t="shared" si="30"/>
        <v>#N/A</v>
      </c>
      <c r="BI124" s="43" t="e">
        <f t="shared" si="31"/>
        <v>#N/A</v>
      </c>
      <c r="BJ124" s="43" t="e">
        <f t="shared" si="32"/>
        <v>#N/A</v>
      </c>
      <c r="BK124" s="43">
        <f t="shared" si="33"/>
        <v>-2.94</v>
      </c>
      <c r="BL124" s="43" t="e">
        <f t="shared" si="34"/>
        <v>#N/A</v>
      </c>
      <c r="BM124" s="43" t="e">
        <f t="shared" si="35"/>
        <v>#N/A</v>
      </c>
      <c r="BN124" s="43" t="e">
        <f t="shared" si="36"/>
        <v>#N/A</v>
      </c>
      <c r="BO124" s="43">
        <f t="shared" si="37"/>
        <v>-2.94</v>
      </c>
      <c r="BP124" s="43">
        <f t="shared" si="38"/>
        <v>-2.9249999999999998</v>
      </c>
      <c r="BQ124" s="43" t="e">
        <f t="shared" si="39"/>
        <v>#N/A</v>
      </c>
      <c r="BR124" s="43" t="str">
        <f t="shared" si="40"/>
        <v/>
      </c>
      <c r="BS124" s="43" t="str">
        <f t="shared" si="41"/>
        <v/>
      </c>
      <c r="BT124" s="43" t="str">
        <f t="shared" si="42"/>
        <v/>
      </c>
    </row>
    <row r="125" spans="52:72" ht="12" customHeight="1">
      <c r="AZ125" s="43">
        <v>117</v>
      </c>
      <c r="BA125" s="43" t="str">
        <f t="shared" si="43"/>
        <v/>
      </c>
      <c r="BB125" s="43" t="str">
        <f t="shared" si="24"/>
        <v/>
      </c>
      <c r="BC125" s="43" t="str">
        <f t="shared" si="25"/>
        <v/>
      </c>
      <c r="BD125" s="43" t="str">
        <f t="shared" si="26"/>
        <v/>
      </c>
      <c r="BE125" s="43" t="e">
        <f t="shared" si="27"/>
        <v>#N/A</v>
      </c>
      <c r="BF125" s="43" t="e">
        <f t="shared" si="28"/>
        <v>#N/A</v>
      </c>
      <c r="BG125" s="43" t="e">
        <f t="shared" si="29"/>
        <v>#N/A</v>
      </c>
      <c r="BH125" s="43" t="e">
        <f t="shared" si="30"/>
        <v>#N/A</v>
      </c>
      <c r="BI125" s="43" t="e">
        <f t="shared" si="31"/>
        <v>#N/A</v>
      </c>
      <c r="BJ125" s="43" t="e">
        <f t="shared" si="32"/>
        <v>#N/A</v>
      </c>
      <c r="BK125" s="43">
        <f t="shared" si="33"/>
        <v>-2.94</v>
      </c>
      <c r="BL125" s="43" t="e">
        <f t="shared" si="34"/>
        <v>#N/A</v>
      </c>
      <c r="BM125" s="43" t="e">
        <f t="shared" si="35"/>
        <v>#N/A</v>
      </c>
      <c r="BN125" s="43" t="e">
        <f t="shared" si="36"/>
        <v>#N/A</v>
      </c>
      <c r="BO125" s="43">
        <f t="shared" si="37"/>
        <v>-2.94</v>
      </c>
      <c r="BP125" s="43">
        <f t="shared" si="38"/>
        <v>-2.9249999999999998</v>
      </c>
      <c r="BQ125" s="43" t="e">
        <f t="shared" si="39"/>
        <v>#N/A</v>
      </c>
      <c r="BR125" s="43" t="str">
        <f t="shared" si="40"/>
        <v/>
      </c>
      <c r="BS125" s="43" t="str">
        <f t="shared" si="41"/>
        <v/>
      </c>
      <c r="BT125" s="43" t="str">
        <f t="shared" si="42"/>
        <v/>
      </c>
    </row>
    <row r="126" spans="52:72" ht="12" customHeight="1">
      <c r="AZ126" s="43">
        <v>118</v>
      </c>
      <c r="BA126" s="43" t="str">
        <f t="shared" si="43"/>
        <v/>
      </c>
      <c r="BB126" s="43" t="str">
        <f t="shared" si="24"/>
        <v/>
      </c>
      <c r="BC126" s="43" t="str">
        <f t="shared" si="25"/>
        <v/>
      </c>
      <c r="BD126" s="43" t="str">
        <f t="shared" si="26"/>
        <v/>
      </c>
      <c r="BE126" s="43" t="e">
        <f t="shared" si="27"/>
        <v>#N/A</v>
      </c>
      <c r="BF126" s="43" t="e">
        <f t="shared" si="28"/>
        <v>#N/A</v>
      </c>
      <c r="BG126" s="43" t="e">
        <f t="shared" si="29"/>
        <v>#N/A</v>
      </c>
      <c r="BH126" s="43" t="e">
        <f t="shared" si="30"/>
        <v>#N/A</v>
      </c>
      <c r="BI126" s="43" t="e">
        <f t="shared" si="31"/>
        <v>#N/A</v>
      </c>
      <c r="BJ126" s="43" t="e">
        <f t="shared" si="32"/>
        <v>#N/A</v>
      </c>
      <c r="BK126" s="43">
        <f t="shared" si="33"/>
        <v>-2.94</v>
      </c>
      <c r="BL126" s="43" t="e">
        <f t="shared" si="34"/>
        <v>#N/A</v>
      </c>
      <c r="BM126" s="43" t="e">
        <f t="shared" si="35"/>
        <v>#N/A</v>
      </c>
      <c r="BN126" s="43" t="e">
        <f t="shared" si="36"/>
        <v>#N/A</v>
      </c>
      <c r="BO126" s="43">
        <f t="shared" si="37"/>
        <v>-2.94</v>
      </c>
      <c r="BP126" s="43">
        <f t="shared" si="38"/>
        <v>-2.9249999999999998</v>
      </c>
      <c r="BQ126" s="43" t="e">
        <f t="shared" si="39"/>
        <v>#N/A</v>
      </c>
      <c r="BR126" s="43" t="str">
        <f t="shared" si="40"/>
        <v/>
      </c>
      <c r="BS126" s="43" t="str">
        <f t="shared" si="41"/>
        <v/>
      </c>
      <c r="BT126" s="43" t="str">
        <f t="shared" si="42"/>
        <v/>
      </c>
    </row>
    <row r="127" spans="52:72" ht="12" customHeight="1">
      <c r="AZ127" s="43">
        <v>119</v>
      </c>
      <c r="BA127" s="43" t="str">
        <f t="shared" si="43"/>
        <v/>
      </c>
      <c r="BB127" s="43" t="str">
        <f t="shared" si="24"/>
        <v/>
      </c>
      <c r="BC127" s="43" t="str">
        <f t="shared" si="25"/>
        <v/>
      </c>
      <c r="BD127" s="43" t="str">
        <f t="shared" si="26"/>
        <v/>
      </c>
      <c r="BE127" s="43" t="e">
        <f t="shared" si="27"/>
        <v>#N/A</v>
      </c>
      <c r="BF127" s="43" t="e">
        <f t="shared" si="28"/>
        <v>#N/A</v>
      </c>
      <c r="BG127" s="43" t="e">
        <f t="shared" si="29"/>
        <v>#N/A</v>
      </c>
      <c r="BH127" s="43" t="e">
        <f t="shared" si="30"/>
        <v>#N/A</v>
      </c>
      <c r="BI127" s="43" t="e">
        <f t="shared" si="31"/>
        <v>#N/A</v>
      </c>
      <c r="BJ127" s="43" t="e">
        <f t="shared" si="32"/>
        <v>#N/A</v>
      </c>
      <c r="BK127" s="43">
        <f t="shared" si="33"/>
        <v>-2.94</v>
      </c>
      <c r="BL127" s="43" t="e">
        <f t="shared" si="34"/>
        <v>#N/A</v>
      </c>
      <c r="BM127" s="43" t="e">
        <f t="shared" si="35"/>
        <v>#N/A</v>
      </c>
      <c r="BN127" s="43" t="e">
        <f t="shared" si="36"/>
        <v>#N/A</v>
      </c>
      <c r="BO127" s="43">
        <f t="shared" si="37"/>
        <v>-2.94</v>
      </c>
      <c r="BP127" s="43">
        <f t="shared" si="38"/>
        <v>-2.9249999999999998</v>
      </c>
      <c r="BQ127" s="43" t="e">
        <f t="shared" si="39"/>
        <v>#N/A</v>
      </c>
      <c r="BR127" s="43" t="str">
        <f t="shared" si="40"/>
        <v/>
      </c>
      <c r="BS127" s="43" t="str">
        <f t="shared" si="41"/>
        <v/>
      </c>
      <c r="BT127" s="43" t="str">
        <f t="shared" si="42"/>
        <v/>
      </c>
    </row>
    <row r="128" spans="52:72" ht="12" customHeight="1">
      <c r="AZ128" s="43">
        <v>120</v>
      </c>
      <c r="BA128" s="43" t="str">
        <f t="shared" si="43"/>
        <v/>
      </c>
      <c r="BB128" s="43" t="str">
        <f t="shared" si="24"/>
        <v/>
      </c>
      <c r="BC128" s="43" t="str">
        <f t="shared" si="25"/>
        <v/>
      </c>
      <c r="BD128" s="43" t="str">
        <f t="shared" si="26"/>
        <v/>
      </c>
      <c r="BE128" s="43" t="e">
        <f t="shared" si="27"/>
        <v>#N/A</v>
      </c>
      <c r="BF128" s="43" t="e">
        <f t="shared" si="28"/>
        <v>#N/A</v>
      </c>
      <c r="BG128" s="43" t="e">
        <f t="shared" si="29"/>
        <v>#N/A</v>
      </c>
      <c r="BH128" s="43" t="e">
        <f t="shared" si="30"/>
        <v>#N/A</v>
      </c>
      <c r="BI128" s="43" t="e">
        <f t="shared" si="31"/>
        <v>#N/A</v>
      </c>
      <c r="BJ128" s="43" t="e">
        <f t="shared" si="32"/>
        <v>#N/A</v>
      </c>
      <c r="BK128" s="43">
        <f t="shared" si="33"/>
        <v>-2.94</v>
      </c>
      <c r="BL128" s="43" t="e">
        <f t="shared" si="34"/>
        <v>#N/A</v>
      </c>
      <c r="BM128" s="43" t="e">
        <f t="shared" si="35"/>
        <v>#N/A</v>
      </c>
      <c r="BN128" s="43" t="e">
        <f t="shared" si="36"/>
        <v>#N/A</v>
      </c>
      <c r="BO128" s="43">
        <f t="shared" si="37"/>
        <v>-2.94</v>
      </c>
      <c r="BP128" s="43">
        <f t="shared" si="38"/>
        <v>-2.9249999999999998</v>
      </c>
      <c r="BQ128" s="43" t="e">
        <f t="shared" si="39"/>
        <v>#N/A</v>
      </c>
      <c r="BR128" s="43" t="str">
        <f t="shared" si="40"/>
        <v/>
      </c>
      <c r="BS128" s="43" t="str">
        <f t="shared" si="41"/>
        <v/>
      </c>
      <c r="BT128" s="43" t="str">
        <f t="shared" si="42"/>
        <v/>
      </c>
    </row>
    <row r="129" spans="52:72" ht="12" customHeight="1">
      <c r="AZ129" s="43">
        <v>121</v>
      </c>
      <c r="BA129" s="43" t="str">
        <f t="shared" si="43"/>
        <v/>
      </c>
      <c r="BB129" s="43" t="str">
        <f t="shared" si="24"/>
        <v/>
      </c>
      <c r="BC129" s="43" t="str">
        <f t="shared" si="25"/>
        <v/>
      </c>
      <c r="BD129" s="43" t="str">
        <f t="shared" si="26"/>
        <v/>
      </c>
      <c r="BE129" s="43" t="e">
        <f t="shared" si="27"/>
        <v>#N/A</v>
      </c>
      <c r="BF129" s="43" t="e">
        <f t="shared" si="28"/>
        <v>#N/A</v>
      </c>
      <c r="BG129" s="43" t="e">
        <f t="shared" si="29"/>
        <v>#N/A</v>
      </c>
      <c r="BH129" s="43" t="e">
        <f t="shared" si="30"/>
        <v>#N/A</v>
      </c>
      <c r="BI129" s="43" t="e">
        <f t="shared" si="31"/>
        <v>#N/A</v>
      </c>
      <c r="BJ129" s="43" t="e">
        <f t="shared" si="32"/>
        <v>#N/A</v>
      </c>
      <c r="BK129" s="43">
        <f t="shared" si="33"/>
        <v>-2.94</v>
      </c>
      <c r="BL129" s="43" t="e">
        <f t="shared" si="34"/>
        <v>#N/A</v>
      </c>
      <c r="BM129" s="43" t="e">
        <f t="shared" si="35"/>
        <v>#N/A</v>
      </c>
      <c r="BN129" s="43" t="e">
        <f t="shared" si="36"/>
        <v>#N/A</v>
      </c>
      <c r="BO129" s="43">
        <f t="shared" si="37"/>
        <v>-2.94</v>
      </c>
      <c r="BP129" s="43">
        <f t="shared" si="38"/>
        <v>-2.9249999999999998</v>
      </c>
      <c r="BQ129" s="43" t="e">
        <f t="shared" si="39"/>
        <v>#N/A</v>
      </c>
      <c r="BR129" s="43" t="str">
        <f t="shared" si="40"/>
        <v/>
      </c>
      <c r="BS129" s="43" t="str">
        <f t="shared" si="41"/>
        <v/>
      </c>
      <c r="BT129" s="43" t="str">
        <f t="shared" si="42"/>
        <v/>
      </c>
    </row>
    <row r="130" spans="52:72" ht="12" customHeight="1">
      <c r="AZ130" s="43">
        <v>122</v>
      </c>
      <c r="BA130" s="43" t="str">
        <f t="shared" si="43"/>
        <v/>
      </c>
      <c r="BB130" s="43" t="str">
        <f t="shared" si="24"/>
        <v/>
      </c>
      <c r="BC130" s="43" t="str">
        <f t="shared" si="25"/>
        <v/>
      </c>
      <c r="BD130" s="43" t="str">
        <f t="shared" si="26"/>
        <v/>
      </c>
      <c r="BE130" s="43" t="e">
        <f t="shared" si="27"/>
        <v>#N/A</v>
      </c>
      <c r="BF130" s="43" t="e">
        <f t="shared" si="28"/>
        <v>#N/A</v>
      </c>
      <c r="BG130" s="43" t="e">
        <f t="shared" si="29"/>
        <v>#N/A</v>
      </c>
      <c r="BH130" s="43" t="e">
        <f t="shared" si="30"/>
        <v>#N/A</v>
      </c>
      <c r="BI130" s="43" t="e">
        <f t="shared" si="31"/>
        <v>#N/A</v>
      </c>
      <c r="BJ130" s="43" t="e">
        <f t="shared" si="32"/>
        <v>#N/A</v>
      </c>
      <c r="BK130" s="43">
        <f t="shared" si="33"/>
        <v>-2.94</v>
      </c>
      <c r="BL130" s="43" t="e">
        <f t="shared" si="34"/>
        <v>#N/A</v>
      </c>
      <c r="BM130" s="43" t="e">
        <f t="shared" si="35"/>
        <v>#N/A</v>
      </c>
      <c r="BN130" s="43" t="e">
        <f t="shared" si="36"/>
        <v>#N/A</v>
      </c>
      <c r="BO130" s="43">
        <f t="shared" si="37"/>
        <v>-2.94</v>
      </c>
      <c r="BP130" s="43">
        <f t="shared" si="38"/>
        <v>-2.9249999999999998</v>
      </c>
      <c r="BQ130" s="43" t="e">
        <f t="shared" si="39"/>
        <v>#N/A</v>
      </c>
      <c r="BR130" s="43" t="str">
        <f t="shared" si="40"/>
        <v/>
      </c>
      <c r="BS130" s="43" t="str">
        <f t="shared" si="41"/>
        <v/>
      </c>
      <c r="BT130" s="43" t="str">
        <f t="shared" si="42"/>
        <v/>
      </c>
    </row>
    <row r="131" spans="52:72" ht="12" customHeight="1">
      <c r="AZ131" s="43">
        <v>123</v>
      </c>
      <c r="BA131" s="43" t="str">
        <f t="shared" si="43"/>
        <v/>
      </c>
      <c r="BB131" s="43" t="str">
        <f t="shared" si="24"/>
        <v/>
      </c>
      <c r="BC131" s="43" t="str">
        <f t="shared" si="25"/>
        <v/>
      </c>
      <c r="BD131" s="43" t="str">
        <f t="shared" si="26"/>
        <v/>
      </c>
      <c r="BE131" s="43" t="e">
        <f t="shared" si="27"/>
        <v>#N/A</v>
      </c>
      <c r="BF131" s="43" t="e">
        <f t="shared" si="28"/>
        <v>#N/A</v>
      </c>
      <c r="BG131" s="43" t="e">
        <f t="shared" si="29"/>
        <v>#N/A</v>
      </c>
      <c r="BH131" s="43" t="e">
        <f t="shared" si="30"/>
        <v>#N/A</v>
      </c>
      <c r="BI131" s="43" t="e">
        <f t="shared" si="31"/>
        <v>#N/A</v>
      </c>
      <c r="BJ131" s="43" t="e">
        <f t="shared" si="32"/>
        <v>#N/A</v>
      </c>
      <c r="BK131" s="43">
        <f t="shared" si="33"/>
        <v>-2.94</v>
      </c>
      <c r="BL131" s="43" t="e">
        <f t="shared" si="34"/>
        <v>#N/A</v>
      </c>
      <c r="BM131" s="43" t="e">
        <f t="shared" si="35"/>
        <v>#N/A</v>
      </c>
      <c r="BN131" s="43" t="e">
        <f t="shared" si="36"/>
        <v>#N/A</v>
      </c>
      <c r="BO131" s="43">
        <f t="shared" si="37"/>
        <v>-2.94</v>
      </c>
      <c r="BP131" s="43">
        <f t="shared" si="38"/>
        <v>-2.9249999999999998</v>
      </c>
      <c r="BQ131" s="43" t="e">
        <f t="shared" si="39"/>
        <v>#N/A</v>
      </c>
      <c r="BR131" s="43" t="str">
        <f t="shared" si="40"/>
        <v/>
      </c>
      <c r="BS131" s="43" t="str">
        <f t="shared" si="41"/>
        <v/>
      </c>
      <c r="BT131" s="43" t="str">
        <f t="shared" si="42"/>
        <v/>
      </c>
    </row>
    <row r="132" spans="52:72" ht="12" customHeight="1">
      <c r="AZ132" s="43">
        <v>124</v>
      </c>
      <c r="BA132" s="43" t="str">
        <f t="shared" si="43"/>
        <v/>
      </c>
      <c r="BB132" s="43" t="str">
        <f t="shared" si="24"/>
        <v/>
      </c>
      <c r="BC132" s="43" t="str">
        <f t="shared" si="25"/>
        <v/>
      </c>
      <c r="BD132" s="43" t="str">
        <f t="shared" si="26"/>
        <v/>
      </c>
      <c r="BE132" s="43" t="e">
        <f t="shared" si="27"/>
        <v>#N/A</v>
      </c>
      <c r="BF132" s="43" t="e">
        <f t="shared" si="28"/>
        <v>#N/A</v>
      </c>
      <c r="BG132" s="43" t="e">
        <f t="shared" si="29"/>
        <v>#N/A</v>
      </c>
      <c r="BH132" s="43" t="e">
        <f t="shared" si="30"/>
        <v>#N/A</v>
      </c>
      <c r="BI132" s="43" t="e">
        <f t="shared" si="31"/>
        <v>#N/A</v>
      </c>
      <c r="BJ132" s="43" t="e">
        <f t="shared" si="32"/>
        <v>#N/A</v>
      </c>
      <c r="BK132" s="43">
        <f t="shared" si="33"/>
        <v>-2.94</v>
      </c>
      <c r="BL132" s="43" t="e">
        <f t="shared" si="34"/>
        <v>#N/A</v>
      </c>
      <c r="BM132" s="43" t="e">
        <f t="shared" si="35"/>
        <v>#N/A</v>
      </c>
      <c r="BN132" s="43" t="e">
        <f t="shared" si="36"/>
        <v>#N/A</v>
      </c>
      <c r="BO132" s="43">
        <f t="shared" si="37"/>
        <v>-2.94</v>
      </c>
      <c r="BP132" s="43">
        <f t="shared" si="38"/>
        <v>-2.9249999999999998</v>
      </c>
      <c r="BQ132" s="43" t="e">
        <f t="shared" si="39"/>
        <v>#N/A</v>
      </c>
      <c r="BR132" s="43" t="str">
        <f t="shared" si="40"/>
        <v/>
      </c>
      <c r="BS132" s="43" t="str">
        <f t="shared" si="41"/>
        <v/>
      </c>
      <c r="BT132" s="43" t="str">
        <f t="shared" si="42"/>
        <v/>
      </c>
    </row>
    <row r="133" spans="52:72" ht="12" customHeight="1">
      <c r="AZ133" s="43">
        <v>125</v>
      </c>
      <c r="BA133" s="43" t="str">
        <f t="shared" si="43"/>
        <v/>
      </c>
      <c r="BB133" s="43" t="str">
        <f t="shared" si="24"/>
        <v/>
      </c>
      <c r="BC133" s="43" t="str">
        <f t="shared" si="25"/>
        <v/>
      </c>
      <c r="BD133" s="43" t="str">
        <f t="shared" si="26"/>
        <v/>
      </c>
      <c r="BE133" s="43" t="e">
        <f t="shared" si="27"/>
        <v>#N/A</v>
      </c>
      <c r="BF133" s="43" t="e">
        <f t="shared" si="28"/>
        <v>#N/A</v>
      </c>
      <c r="BG133" s="43" t="e">
        <f t="shared" si="29"/>
        <v>#N/A</v>
      </c>
      <c r="BH133" s="43" t="e">
        <f t="shared" si="30"/>
        <v>#N/A</v>
      </c>
      <c r="BI133" s="43" t="e">
        <f t="shared" si="31"/>
        <v>#N/A</v>
      </c>
      <c r="BJ133" s="43" t="e">
        <f t="shared" si="32"/>
        <v>#N/A</v>
      </c>
      <c r="BK133" s="43">
        <f t="shared" si="33"/>
        <v>-2.94</v>
      </c>
      <c r="BL133" s="43" t="e">
        <f t="shared" si="34"/>
        <v>#N/A</v>
      </c>
      <c r="BM133" s="43" t="e">
        <f t="shared" si="35"/>
        <v>#N/A</v>
      </c>
      <c r="BN133" s="43" t="e">
        <f t="shared" si="36"/>
        <v>#N/A</v>
      </c>
      <c r="BO133" s="43">
        <f t="shared" si="37"/>
        <v>-2.94</v>
      </c>
      <c r="BP133" s="43">
        <f t="shared" si="38"/>
        <v>-2.9249999999999998</v>
      </c>
      <c r="BQ133" s="43" t="e">
        <f t="shared" si="39"/>
        <v>#N/A</v>
      </c>
      <c r="BR133" s="43" t="str">
        <f t="shared" si="40"/>
        <v/>
      </c>
      <c r="BS133" s="43" t="str">
        <f t="shared" si="41"/>
        <v/>
      </c>
      <c r="BT133" s="43" t="str">
        <f t="shared" si="42"/>
        <v/>
      </c>
    </row>
    <row r="134" spans="52:72" ht="12" customHeight="1">
      <c r="AZ134" s="43">
        <v>126</v>
      </c>
      <c r="BA134" s="43" t="str">
        <f t="shared" si="43"/>
        <v/>
      </c>
      <c r="BB134" s="43" t="str">
        <f t="shared" si="24"/>
        <v/>
      </c>
      <c r="BC134" s="43" t="str">
        <f t="shared" si="25"/>
        <v/>
      </c>
      <c r="BD134" s="43" t="str">
        <f t="shared" si="26"/>
        <v/>
      </c>
      <c r="BE134" s="43" t="e">
        <f t="shared" si="27"/>
        <v>#N/A</v>
      </c>
      <c r="BF134" s="43" t="e">
        <f t="shared" si="28"/>
        <v>#N/A</v>
      </c>
      <c r="BG134" s="43" t="e">
        <f t="shared" si="29"/>
        <v>#N/A</v>
      </c>
      <c r="BH134" s="43" t="e">
        <f t="shared" si="30"/>
        <v>#N/A</v>
      </c>
      <c r="BI134" s="43" t="e">
        <f t="shared" si="31"/>
        <v>#N/A</v>
      </c>
      <c r="BJ134" s="43" t="e">
        <f t="shared" si="32"/>
        <v>#N/A</v>
      </c>
      <c r="BK134" s="43">
        <f t="shared" si="33"/>
        <v>-2.94</v>
      </c>
      <c r="BL134" s="43" t="e">
        <f t="shared" si="34"/>
        <v>#N/A</v>
      </c>
      <c r="BM134" s="43" t="e">
        <f t="shared" si="35"/>
        <v>#N/A</v>
      </c>
      <c r="BN134" s="43" t="e">
        <f t="shared" si="36"/>
        <v>#N/A</v>
      </c>
      <c r="BO134" s="43">
        <f t="shared" si="37"/>
        <v>-2.94</v>
      </c>
      <c r="BP134" s="43">
        <f t="shared" si="38"/>
        <v>-2.9249999999999998</v>
      </c>
      <c r="BQ134" s="43" t="e">
        <f t="shared" si="39"/>
        <v>#N/A</v>
      </c>
      <c r="BR134" s="43" t="str">
        <f t="shared" si="40"/>
        <v/>
      </c>
      <c r="BS134" s="43" t="str">
        <f t="shared" si="41"/>
        <v/>
      </c>
      <c r="BT134" s="43" t="str">
        <f t="shared" si="42"/>
        <v/>
      </c>
    </row>
    <row r="135" spans="52:72" ht="12" customHeight="1">
      <c r="AZ135" s="43">
        <v>127</v>
      </c>
      <c r="BA135" s="43" t="str">
        <f t="shared" si="43"/>
        <v/>
      </c>
      <c r="BB135" s="43" t="str">
        <f t="shared" si="24"/>
        <v/>
      </c>
      <c r="BC135" s="43" t="str">
        <f t="shared" si="25"/>
        <v/>
      </c>
      <c r="BD135" s="43" t="str">
        <f t="shared" si="26"/>
        <v/>
      </c>
      <c r="BE135" s="43" t="e">
        <f t="shared" si="27"/>
        <v>#N/A</v>
      </c>
      <c r="BF135" s="43" t="e">
        <f t="shared" si="28"/>
        <v>#N/A</v>
      </c>
      <c r="BG135" s="43" t="e">
        <f t="shared" si="29"/>
        <v>#N/A</v>
      </c>
      <c r="BH135" s="43" t="e">
        <f t="shared" si="30"/>
        <v>#N/A</v>
      </c>
      <c r="BI135" s="43" t="e">
        <f t="shared" si="31"/>
        <v>#N/A</v>
      </c>
      <c r="BJ135" s="43" t="e">
        <f t="shared" si="32"/>
        <v>#N/A</v>
      </c>
      <c r="BK135" s="43">
        <f t="shared" si="33"/>
        <v>-2.94</v>
      </c>
      <c r="BL135" s="43" t="e">
        <f t="shared" si="34"/>
        <v>#N/A</v>
      </c>
      <c r="BM135" s="43" t="e">
        <f t="shared" si="35"/>
        <v>#N/A</v>
      </c>
      <c r="BN135" s="43" t="e">
        <f t="shared" si="36"/>
        <v>#N/A</v>
      </c>
      <c r="BO135" s="43">
        <f t="shared" si="37"/>
        <v>-2.94</v>
      </c>
      <c r="BP135" s="43">
        <f t="shared" si="38"/>
        <v>-2.9249999999999998</v>
      </c>
      <c r="BQ135" s="43" t="e">
        <f t="shared" si="39"/>
        <v>#N/A</v>
      </c>
      <c r="BR135" s="43" t="str">
        <f t="shared" si="40"/>
        <v/>
      </c>
      <c r="BS135" s="43" t="str">
        <f t="shared" si="41"/>
        <v/>
      </c>
      <c r="BT135" s="43" t="str">
        <f t="shared" si="42"/>
        <v/>
      </c>
    </row>
    <row r="136" spans="52:72" ht="12" customHeight="1">
      <c r="AZ136" s="43">
        <v>128</v>
      </c>
      <c r="BA136" s="43" t="str">
        <f t="shared" si="43"/>
        <v/>
      </c>
      <c r="BB136" s="43" t="str">
        <f t="shared" si="24"/>
        <v/>
      </c>
      <c r="BC136" s="43" t="str">
        <f t="shared" si="25"/>
        <v/>
      </c>
      <c r="BD136" s="43" t="str">
        <f t="shared" si="26"/>
        <v/>
      </c>
      <c r="BE136" s="43" t="e">
        <f t="shared" si="27"/>
        <v>#N/A</v>
      </c>
      <c r="BF136" s="43" t="e">
        <f t="shared" si="28"/>
        <v>#N/A</v>
      </c>
      <c r="BG136" s="43" t="e">
        <f t="shared" si="29"/>
        <v>#N/A</v>
      </c>
      <c r="BH136" s="43" t="e">
        <f t="shared" si="30"/>
        <v>#N/A</v>
      </c>
      <c r="BI136" s="43" t="e">
        <f t="shared" si="31"/>
        <v>#N/A</v>
      </c>
      <c r="BJ136" s="43" t="e">
        <f t="shared" si="32"/>
        <v>#N/A</v>
      </c>
      <c r="BK136" s="43">
        <f t="shared" si="33"/>
        <v>-2.94</v>
      </c>
      <c r="BL136" s="43" t="e">
        <f t="shared" si="34"/>
        <v>#N/A</v>
      </c>
      <c r="BM136" s="43" t="e">
        <f t="shared" si="35"/>
        <v>#N/A</v>
      </c>
      <c r="BN136" s="43" t="e">
        <f t="shared" si="36"/>
        <v>#N/A</v>
      </c>
      <c r="BO136" s="43">
        <f t="shared" si="37"/>
        <v>-2.94</v>
      </c>
      <c r="BP136" s="43">
        <f t="shared" si="38"/>
        <v>-2.9249999999999998</v>
      </c>
      <c r="BQ136" s="43" t="e">
        <f t="shared" si="39"/>
        <v>#N/A</v>
      </c>
      <c r="BR136" s="43" t="str">
        <f t="shared" si="40"/>
        <v/>
      </c>
      <c r="BS136" s="43" t="str">
        <f t="shared" si="41"/>
        <v/>
      </c>
      <c r="BT136" s="43" t="str">
        <f t="shared" si="42"/>
        <v/>
      </c>
    </row>
    <row r="137" spans="52:72" ht="12" customHeight="1">
      <c r="AZ137" s="43">
        <v>129</v>
      </c>
      <c r="BA137" s="43" t="str">
        <f t="shared" si="43"/>
        <v/>
      </c>
      <c r="BB137" s="43" t="str">
        <f t="shared" ref="BB137:BB200" si="44">IF(AZ137&gt;$H$6,"",MOD(BA137*100000013,1))</f>
        <v/>
      </c>
      <c r="BC137" s="43" t="str">
        <f t="shared" ref="BC137:BC200" si="45">IF(AZ137&gt;$H$6,"",NORMSINV(BA137))</f>
        <v/>
      </c>
      <c r="BD137" s="43" t="str">
        <f t="shared" ref="BD137:BD200" si="46">IF(AZ137&gt;$H$6,"",BC137*$BA$7*$BD$4+$BB$5*NORMSINV(BB137))</f>
        <v/>
      </c>
      <c r="BE137" s="43" t="e">
        <f t="shared" ref="BE137:BE200" si="47">IF($AY$22,IF(BC137="",NA(),BC137),NA())</f>
        <v>#N/A</v>
      </c>
      <c r="BF137" s="43" t="e">
        <f t="shared" ref="BF137:BF200" si="48">IF($AY$22,IF(BD137="",NA(),BD137),NA())</f>
        <v>#N/A</v>
      </c>
      <c r="BG137" s="43" t="e">
        <f t="shared" ref="BG137:BG200" si="49">OR(BE137&lt;-forzoom,BE137&gt;forzoom,BF137&lt;-forzoom,BF137&gt;forzoom)</f>
        <v>#N/A</v>
      </c>
      <c r="BH137" s="43" t="e">
        <f t="shared" ref="BH137:BH200" si="50">IF(BG137,IF(ISNA(BE137),NA(),IF(BE137&lt;-forzoom,-forzoom,IF(BE137&gt;forzoom,forzoom,BE137))),NA())</f>
        <v>#N/A</v>
      </c>
      <c r="BI137" s="43" t="e">
        <f t="shared" ref="BI137:BI200" si="51">IF(ISNA(BF137),NA(),IF(BF137&lt;-forzoom,-forzoom,IF(BF137&gt;forzoom,forzoom,BF137)))</f>
        <v>#N/A</v>
      </c>
      <c r="BJ137" s="43" t="e">
        <f t="shared" ref="BJ137:BJ200" si="52">IF($BI$5,BE137,NA())</f>
        <v>#N/A</v>
      </c>
      <c r="BK137" s="43">
        <f t="shared" ref="BK137:BK200" si="53">-forzoom*$BK$6</f>
        <v>-2.94</v>
      </c>
      <c r="BL137" s="43" t="e">
        <f t="shared" ref="BL137:BL200" si="54">IF($BI$6,-forzoom*$BL$6,NA())</f>
        <v>#N/A</v>
      </c>
      <c r="BM137" s="43" t="e">
        <f t="shared" ref="BM137:BM200" si="55">BF137</f>
        <v>#N/A</v>
      </c>
      <c r="BN137" s="43" t="e">
        <f t="shared" ref="BN137:BN200" si="56">IF($BI$5,IF(BE137&gt;forzoom,forzoom,IF(BE137&lt;-forzoom,-forzoom,NA())),NA())</f>
        <v>#N/A</v>
      </c>
      <c r="BO137" s="43">
        <f t="shared" ref="BO137:BO200" si="57">-forzoom*$BK$6</f>
        <v>-2.94</v>
      </c>
      <c r="BP137" s="43">
        <f t="shared" ref="BP137:BP200" si="58">-forzoom*$BL$6</f>
        <v>-2.9249999999999998</v>
      </c>
      <c r="BQ137" s="43" t="e">
        <f t="shared" ref="BQ137:BQ200" si="59">IF($BI$6,IF(BF137&gt;forzoom,forzoom,IF(BF137&lt;-forzoom,-forzoom,NA())),NA())</f>
        <v>#N/A</v>
      </c>
      <c r="BR137" s="43" t="str">
        <f t="shared" ref="BR137:BR200" si="60">IF(BC137="","",BC137-$BC$6)</f>
        <v/>
      </c>
      <c r="BS137" s="43" t="str">
        <f t="shared" ref="BS137:BS200" si="61">IF(BD137="","",BD137-$BD$6)</f>
        <v/>
      </c>
      <c r="BT137" s="43" t="str">
        <f t="shared" ref="BT137:BT200" si="62">IF(BR137="","",BR137*BS137)</f>
        <v/>
      </c>
    </row>
    <row r="138" spans="52:72" ht="12" customHeight="1">
      <c r="AZ138" s="43">
        <v>130</v>
      </c>
      <c r="BA138" s="43" t="str">
        <f t="shared" ref="BA138:BA201" si="63">IF(AZ138&gt;$H$6,"",MOD(BB137*100000013,1))</f>
        <v/>
      </c>
      <c r="BB138" s="43" t="str">
        <f t="shared" si="44"/>
        <v/>
      </c>
      <c r="BC138" s="43" t="str">
        <f t="shared" si="45"/>
        <v/>
      </c>
      <c r="BD138" s="43" t="str">
        <f t="shared" si="46"/>
        <v/>
      </c>
      <c r="BE138" s="43" t="e">
        <f t="shared" si="47"/>
        <v>#N/A</v>
      </c>
      <c r="BF138" s="43" t="e">
        <f t="shared" si="48"/>
        <v>#N/A</v>
      </c>
      <c r="BG138" s="43" t="e">
        <f t="shared" si="49"/>
        <v>#N/A</v>
      </c>
      <c r="BH138" s="43" t="e">
        <f t="shared" si="50"/>
        <v>#N/A</v>
      </c>
      <c r="BI138" s="43" t="e">
        <f t="shared" si="51"/>
        <v>#N/A</v>
      </c>
      <c r="BJ138" s="43" t="e">
        <f t="shared" si="52"/>
        <v>#N/A</v>
      </c>
      <c r="BK138" s="43">
        <f t="shared" si="53"/>
        <v>-2.94</v>
      </c>
      <c r="BL138" s="43" t="e">
        <f t="shared" si="54"/>
        <v>#N/A</v>
      </c>
      <c r="BM138" s="43" t="e">
        <f t="shared" si="55"/>
        <v>#N/A</v>
      </c>
      <c r="BN138" s="43" t="e">
        <f t="shared" si="56"/>
        <v>#N/A</v>
      </c>
      <c r="BO138" s="43">
        <f t="shared" si="57"/>
        <v>-2.94</v>
      </c>
      <c r="BP138" s="43">
        <f t="shared" si="58"/>
        <v>-2.9249999999999998</v>
      </c>
      <c r="BQ138" s="43" t="e">
        <f t="shared" si="59"/>
        <v>#N/A</v>
      </c>
      <c r="BR138" s="43" t="str">
        <f t="shared" si="60"/>
        <v/>
      </c>
      <c r="BS138" s="43" t="str">
        <f t="shared" si="61"/>
        <v/>
      </c>
      <c r="BT138" s="43" t="str">
        <f t="shared" si="62"/>
        <v/>
      </c>
    </row>
    <row r="139" spans="52:72" ht="12" customHeight="1">
      <c r="AZ139" s="43">
        <v>131</v>
      </c>
      <c r="BA139" s="43" t="str">
        <f t="shared" si="63"/>
        <v/>
      </c>
      <c r="BB139" s="43" t="str">
        <f t="shared" si="44"/>
        <v/>
      </c>
      <c r="BC139" s="43" t="str">
        <f t="shared" si="45"/>
        <v/>
      </c>
      <c r="BD139" s="43" t="str">
        <f t="shared" si="46"/>
        <v/>
      </c>
      <c r="BE139" s="43" t="e">
        <f t="shared" si="47"/>
        <v>#N/A</v>
      </c>
      <c r="BF139" s="43" t="e">
        <f t="shared" si="48"/>
        <v>#N/A</v>
      </c>
      <c r="BG139" s="43" t="e">
        <f t="shared" si="49"/>
        <v>#N/A</v>
      </c>
      <c r="BH139" s="43" t="e">
        <f t="shared" si="50"/>
        <v>#N/A</v>
      </c>
      <c r="BI139" s="43" t="e">
        <f t="shared" si="51"/>
        <v>#N/A</v>
      </c>
      <c r="BJ139" s="43" t="e">
        <f t="shared" si="52"/>
        <v>#N/A</v>
      </c>
      <c r="BK139" s="43">
        <f t="shared" si="53"/>
        <v>-2.94</v>
      </c>
      <c r="BL139" s="43" t="e">
        <f t="shared" si="54"/>
        <v>#N/A</v>
      </c>
      <c r="BM139" s="43" t="e">
        <f t="shared" si="55"/>
        <v>#N/A</v>
      </c>
      <c r="BN139" s="43" t="e">
        <f t="shared" si="56"/>
        <v>#N/A</v>
      </c>
      <c r="BO139" s="43">
        <f t="shared" si="57"/>
        <v>-2.94</v>
      </c>
      <c r="BP139" s="43">
        <f t="shared" si="58"/>
        <v>-2.9249999999999998</v>
      </c>
      <c r="BQ139" s="43" t="e">
        <f t="shared" si="59"/>
        <v>#N/A</v>
      </c>
      <c r="BR139" s="43" t="str">
        <f t="shared" si="60"/>
        <v/>
      </c>
      <c r="BS139" s="43" t="str">
        <f t="shared" si="61"/>
        <v/>
      </c>
      <c r="BT139" s="43" t="str">
        <f t="shared" si="62"/>
        <v/>
      </c>
    </row>
    <row r="140" spans="52:72" ht="12" customHeight="1">
      <c r="AZ140" s="43">
        <v>132</v>
      </c>
      <c r="BA140" s="43" t="str">
        <f t="shared" si="63"/>
        <v/>
      </c>
      <c r="BB140" s="43" t="str">
        <f t="shared" si="44"/>
        <v/>
      </c>
      <c r="BC140" s="43" t="str">
        <f t="shared" si="45"/>
        <v/>
      </c>
      <c r="BD140" s="43" t="str">
        <f t="shared" si="46"/>
        <v/>
      </c>
      <c r="BE140" s="43" t="e">
        <f t="shared" si="47"/>
        <v>#N/A</v>
      </c>
      <c r="BF140" s="43" t="e">
        <f t="shared" si="48"/>
        <v>#N/A</v>
      </c>
      <c r="BG140" s="43" t="e">
        <f t="shared" si="49"/>
        <v>#N/A</v>
      </c>
      <c r="BH140" s="43" t="e">
        <f t="shared" si="50"/>
        <v>#N/A</v>
      </c>
      <c r="BI140" s="43" t="e">
        <f t="shared" si="51"/>
        <v>#N/A</v>
      </c>
      <c r="BJ140" s="43" t="e">
        <f t="shared" si="52"/>
        <v>#N/A</v>
      </c>
      <c r="BK140" s="43">
        <f t="shared" si="53"/>
        <v>-2.94</v>
      </c>
      <c r="BL140" s="43" t="e">
        <f t="shared" si="54"/>
        <v>#N/A</v>
      </c>
      <c r="BM140" s="43" t="e">
        <f t="shared" si="55"/>
        <v>#N/A</v>
      </c>
      <c r="BN140" s="43" t="e">
        <f t="shared" si="56"/>
        <v>#N/A</v>
      </c>
      <c r="BO140" s="43">
        <f t="shared" si="57"/>
        <v>-2.94</v>
      </c>
      <c r="BP140" s="43">
        <f t="shared" si="58"/>
        <v>-2.9249999999999998</v>
      </c>
      <c r="BQ140" s="43" t="e">
        <f t="shared" si="59"/>
        <v>#N/A</v>
      </c>
      <c r="BR140" s="43" t="str">
        <f t="shared" si="60"/>
        <v/>
      </c>
      <c r="BS140" s="43" t="str">
        <f t="shared" si="61"/>
        <v/>
      </c>
      <c r="BT140" s="43" t="str">
        <f t="shared" si="62"/>
        <v/>
      </c>
    </row>
    <row r="141" spans="52:72" ht="12" customHeight="1">
      <c r="AZ141" s="43">
        <v>133</v>
      </c>
      <c r="BA141" s="43" t="str">
        <f t="shared" si="63"/>
        <v/>
      </c>
      <c r="BB141" s="43" t="str">
        <f t="shared" si="44"/>
        <v/>
      </c>
      <c r="BC141" s="43" t="str">
        <f t="shared" si="45"/>
        <v/>
      </c>
      <c r="BD141" s="43" t="str">
        <f t="shared" si="46"/>
        <v/>
      </c>
      <c r="BE141" s="43" t="e">
        <f t="shared" si="47"/>
        <v>#N/A</v>
      </c>
      <c r="BF141" s="43" t="e">
        <f t="shared" si="48"/>
        <v>#N/A</v>
      </c>
      <c r="BG141" s="43" t="e">
        <f t="shared" si="49"/>
        <v>#N/A</v>
      </c>
      <c r="BH141" s="43" t="e">
        <f t="shared" si="50"/>
        <v>#N/A</v>
      </c>
      <c r="BI141" s="43" t="e">
        <f t="shared" si="51"/>
        <v>#N/A</v>
      </c>
      <c r="BJ141" s="43" t="e">
        <f t="shared" si="52"/>
        <v>#N/A</v>
      </c>
      <c r="BK141" s="43">
        <f t="shared" si="53"/>
        <v>-2.94</v>
      </c>
      <c r="BL141" s="43" t="e">
        <f t="shared" si="54"/>
        <v>#N/A</v>
      </c>
      <c r="BM141" s="43" t="e">
        <f t="shared" si="55"/>
        <v>#N/A</v>
      </c>
      <c r="BN141" s="43" t="e">
        <f t="shared" si="56"/>
        <v>#N/A</v>
      </c>
      <c r="BO141" s="43">
        <f t="shared" si="57"/>
        <v>-2.94</v>
      </c>
      <c r="BP141" s="43">
        <f t="shared" si="58"/>
        <v>-2.9249999999999998</v>
      </c>
      <c r="BQ141" s="43" t="e">
        <f t="shared" si="59"/>
        <v>#N/A</v>
      </c>
      <c r="BR141" s="43" t="str">
        <f t="shared" si="60"/>
        <v/>
      </c>
      <c r="BS141" s="43" t="str">
        <f t="shared" si="61"/>
        <v/>
      </c>
      <c r="BT141" s="43" t="str">
        <f t="shared" si="62"/>
        <v/>
      </c>
    </row>
    <row r="142" spans="52:72" ht="12" customHeight="1">
      <c r="AZ142" s="43">
        <v>134</v>
      </c>
      <c r="BA142" s="43" t="str">
        <f t="shared" si="63"/>
        <v/>
      </c>
      <c r="BB142" s="43" t="str">
        <f t="shared" si="44"/>
        <v/>
      </c>
      <c r="BC142" s="43" t="str">
        <f t="shared" si="45"/>
        <v/>
      </c>
      <c r="BD142" s="43" t="str">
        <f t="shared" si="46"/>
        <v/>
      </c>
      <c r="BE142" s="43" t="e">
        <f t="shared" si="47"/>
        <v>#N/A</v>
      </c>
      <c r="BF142" s="43" t="e">
        <f t="shared" si="48"/>
        <v>#N/A</v>
      </c>
      <c r="BG142" s="43" t="e">
        <f t="shared" si="49"/>
        <v>#N/A</v>
      </c>
      <c r="BH142" s="43" t="e">
        <f t="shared" si="50"/>
        <v>#N/A</v>
      </c>
      <c r="BI142" s="43" t="e">
        <f t="shared" si="51"/>
        <v>#N/A</v>
      </c>
      <c r="BJ142" s="43" t="e">
        <f t="shared" si="52"/>
        <v>#N/A</v>
      </c>
      <c r="BK142" s="43">
        <f t="shared" si="53"/>
        <v>-2.94</v>
      </c>
      <c r="BL142" s="43" t="e">
        <f t="shared" si="54"/>
        <v>#N/A</v>
      </c>
      <c r="BM142" s="43" t="e">
        <f t="shared" si="55"/>
        <v>#N/A</v>
      </c>
      <c r="BN142" s="43" t="e">
        <f t="shared" si="56"/>
        <v>#N/A</v>
      </c>
      <c r="BO142" s="43">
        <f t="shared" si="57"/>
        <v>-2.94</v>
      </c>
      <c r="BP142" s="43">
        <f t="shared" si="58"/>
        <v>-2.9249999999999998</v>
      </c>
      <c r="BQ142" s="43" t="e">
        <f t="shared" si="59"/>
        <v>#N/A</v>
      </c>
      <c r="BR142" s="43" t="str">
        <f t="shared" si="60"/>
        <v/>
      </c>
      <c r="BS142" s="43" t="str">
        <f t="shared" si="61"/>
        <v/>
      </c>
      <c r="BT142" s="43" t="str">
        <f t="shared" si="62"/>
        <v/>
      </c>
    </row>
    <row r="143" spans="52:72" ht="12" customHeight="1">
      <c r="AZ143" s="43">
        <v>135</v>
      </c>
      <c r="BA143" s="43" t="str">
        <f t="shared" si="63"/>
        <v/>
      </c>
      <c r="BB143" s="43" t="str">
        <f t="shared" si="44"/>
        <v/>
      </c>
      <c r="BC143" s="43" t="str">
        <f t="shared" si="45"/>
        <v/>
      </c>
      <c r="BD143" s="43" t="str">
        <f t="shared" si="46"/>
        <v/>
      </c>
      <c r="BE143" s="43" t="e">
        <f t="shared" si="47"/>
        <v>#N/A</v>
      </c>
      <c r="BF143" s="43" t="e">
        <f t="shared" si="48"/>
        <v>#N/A</v>
      </c>
      <c r="BG143" s="43" t="e">
        <f t="shared" si="49"/>
        <v>#N/A</v>
      </c>
      <c r="BH143" s="43" t="e">
        <f t="shared" si="50"/>
        <v>#N/A</v>
      </c>
      <c r="BI143" s="43" t="e">
        <f t="shared" si="51"/>
        <v>#N/A</v>
      </c>
      <c r="BJ143" s="43" t="e">
        <f t="shared" si="52"/>
        <v>#N/A</v>
      </c>
      <c r="BK143" s="43">
        <f t="shared" si="53"/>
        <v>-2.94</v>
      </c>
      <c r="BL143" s="43" t="e">
        <f t="shared" si="54"/>
        <v>#N/A</v>
      </c>
      <c r="BM143" s="43" t="e">
        <f t="shared" si="55"/>
        <v>#N/A</v>
      </c>
      <c r="BN143" s="43" t="e">
        <f t="shared" si="56"/>
        <v>#N/A</v>
      </c>
      <c r="BO143" s="43">
        <f t="shared" si="57"/>
        <v>-2.94</v>
      </c>
      <c r="BP143" s="43">
        <f t="shared" si="58"/>
        <v>-2.9249999999999998</v>
      </c>
      <c r="BQ143" s="43" t="e">
        <f t="shared" si="59"/>
        <v>#N/A</v>
      </c>
      <c r="BR143" s="43" t="str">
        <f t="shared" si="60"/>
        <v/>
      </c>
      <c r="BS143" s="43" t="str">
        <f t="shared" si="61"/>
        <v/>
      </c>
      <c r="BT143" s="43" t="str">
        <f t="shared" si="62"/>
        <v/>
      </c>
    </row>
    <row r="144" spans="52:72" ht="12" customHeight="1">
      <c r="AZ144" s="43">
        <v>136</v>
      </c>
      <c r="BA144" s="43" t="str">
        <f t="shared" si="63"/>
        <v/>
      </c>
      <c r="BB144" s="43" t="str">
        <f t="shared" si="44"/>
        <v/>
      </c>
      <c r="BC144" s="43" t="str">
        <f t="shared" si="45"/>
        <v/>
      </c>
      <c r="BD144" s="43" t="str">
        <f t="shared" si="46"/>
        <v/>
      </c>
      <c r="BE144" s="43" t="e">
        <f t="shared" si="47"/>
        <v>#N/A</v>
      </c>
      <c r="BF144" s="43" t="e">
        <f t="shared" si="48"/>
        <v>#N/A</v>
      </c>
      <c r="BG144" s="43" t="e">
        <f t="shared" si="49"/>
        <v>#N/A</v>
      </c>
      <c r="BH144" s="43" t="e">
        <f t="shared" si="50"/>
        <v>#N/A</v>
      </c>
      <c r="BI144" s="43" t="e">
        <f t="shared" si="51"/>
        <v>#N/A</v>
      </c>
      <c r="BJ144" s="43" t="e">
        <f t="shared" si="52"/>
        <v>#N/A</v>
      </c>
      <c r="BK144" s="43">
        <f t="shared" si="53"/>
        <v>-2.94</v>
      </c>
      <c r="BL144" s="43" t="e">
        <f t="shared" si="54"/>
        <v>#N/A</v>
      </c>
      <c r="BM144" s="43" t="e">
        <f t="shared" si="55"/>
        <v>#N/A</v>
      </c>
      <c r="BN144" s="43" t="e">
        <f t="shared" si="56"/>
        <v>#N/A</v>
      </c>
      <c r="BO144" s="43">
        <f t="shared" si="57"/>
        <v>-2.94</v>
      </c>
      <c r="BP144" s="43">
        <f t="shared" si="58"/>
        <v>-2.9249999999999998</v>
      </c>
      <c r="BQ144" s="43" t="e">
        <f t="shared" si="59"/>
        <v>#N/A</v>
      </c>
      <c r="BR144" s="43" t="str">
        <f t="shared" si="60"/>
        <v/>
      </c>
      <c r="BS144" s="43" t="str">
        <f t="shared" si="61"/>
        <v/>
      </c>
      <c r="BT144" s="43" t="str">
        <f t="shared" si="62"/>
        <v/>
      </c>
    </row>
    <row r="145" spans="52:72" ht="12" customHeight="1">
      <c r="AZ145" s="43">
        <v>137</v>
      </c>
      <c r="BA145" s="43" t="str">
        <f t="shared" si="63"/>
        <v/>
      </c>
      <c r="BB145" s="43" t="str">
        <f t="shared" si="44"/>
        <v/>
      </c>
      <c r="BC145" s="43" t="str">
        <f t="shared" si="45"/>
        <v/>
      </c>
      <c r="BD145" s="43" t="str">
        <f t="shared" si="46"/>
        <v/>
      </c>
      <c r="BE145" s="43" t="e">
        <f t="shared" si="47"/>
        <v>#N/A</v>
      </c>
      <c r="BF145" s="43" t="e">
        <f t="shared" si="48"/>
        <v>#N/A</v>
      </c>
      <c r="BG145" s="43" t="e">
        <f t="shared" si="49"/>
        <v>#N/A</v>
      </c>
      <c r="BH145" s="43" t="e">
        <f t="shared" si="50"/>
        <v>#N/A</v>
      </c>
      <c r="BI145" s="43" t="e">
        <f t="shared" si="51"/>
        <v>#N/A</v>
      </c>
      <c r="BJ145" s="43" t="e">
        <f t="shared" si="52"/>
        <v>#N/A</v>
      </c>
      <c r="BK145" s="43">
        <f t="shared" si="53"/>
        <v>-2.94</v>
      </c>
      <c r="BL145" s="43" t="e">
        <f t="shared" si="54"/>
        <v>#N/A</v>
      </c>
      <c r="BM145" s="43" t="e">
        <f t="shared" si="55"/>
        <v>#N/A</v>
      </c>
      <c r="BN145" s="43" t="e">
        <f t="shared" si="56"/>
        <v>#N/A</v>
      </c>
      <c r="BO145" s="43">
        <f t="shared" si="57"/>
        <v>-2.94</v>
      </c>
      <c r="BP145" s="43">
        <f t="shared" si="58"/>
        <v>-2.9249999999999998</v>
      </c>
      <c r="BQ145" s="43" t="e">
        <f t="shared" si="59"/>
        <v>#N/A</v>
      </c>
      <c r="BR145" s="43" t="str">
        <f t="shared" si="60"/>
        <v/>
      </c>
      <c r="BS145" s="43" t="str">
        <f t="shared" si="61"/>
        <v/>
      </c>
      <c r="BT145" s="43" t="str">
        <f t="shared" si="62"/>
        <v/>
      </c>
    </row>
    <row r="146" spans="52:72" ht="12" customHeight="1">
      <c r="AZ146" s="43">
        <v>138</v>
      </c>
      <c r="BA146" s="43" t="str">
        <f t="shared" si="63"/>
        <v/>
      </c>
      <c r="BB146" s="43" t="str">
        <f t="shared" si="44"/>
        <v/>
      </c>
      <c r="BC146" s="43" t="str">
        <f t="shared" si="45"/>
        <v/>
      </c>
      <c r="BD146" s="43" t="str">
        <f t="shared" si="46"/>
        <v/>
      </c>
      <c r="BE146" s="43" t="e">
        <f t="shared" si="47"/>
        <v>#N/A</v>
      </c>
      <c r="BF146" s="43" t="e">
        <f t="shared" si="48"/>
        <v>#N/A</v>
      </c>
      <c r="BG146" s="43" t="e">
        <f t="shared" si="49"/>
        <v>#N/A</v>
      </c>
      <c r="BH146" s="43" t="e">
        <f t="shared" si="50"/>
        <v>#N/A</v>
      </c>
      <c r="BI146" s="43" t="e">
        <f t="shared" si="51"/>
        <v>#N/A</v>
      </c>
      <c r="BJ146" s="43" t="e">
        <f t="shared" si="52"/>
        <v>#N/A</v>
      </c>
      <c r="BK146" s="43">
        <f t="shared" si="53"/>
        <v>-2.94</v>
      </c>
      <c r="BL146" s="43" t="e">
        <f t="shared" si="54"/>
        <v>#N/A</v>
      </c>
      <c r="BM146" s="43" t="e">
        <f t="shared" si="55"/>
        <v>#N/A</v>
      </c>
      <c r="BN146" s="43" t="e">
        <f t="shared" si="56"/>
        <v>#N/A</v>
      </c>
      <c r="BO146" s="43">
        <f t="shared" si="57"/>
        <v>-2.94</v>
      </c>
      <c r="BP146" s="43">
        <f t="shared" si="58"/>
        <v>-2.9249999999999998</v>
      </c>
      <c r="BQ146" s="43" t="e">
        <f t="shared" si="59"/>
        <v>#N/A</v>
      </c>
      <c r="BR146" s="43" t="str">
        <f t="shared" si="60"/>
        <v/>
      </c>
      <c r="BS146" s="43" t="str">
        <f t="shared" si="61"/>
        <v/>
      </c>
      <c r="BT146" s="43" t="str">
        <f t="shared" si="62"/>
        <v/>
      </c>
    </row>
    <row r="147" spans="52:72" ht="12" customHeight="1">
      <c r="AZ147" s="43">
        <v>139</v>
      </c>
      <c r="BA147" s="43" t="str">
        <f t="shared" si="63"/>
        <v/>
      </c>
      <c r="BB147" s="43" t="str">
        <f t="shared" si="44"/>
        <v/>
      </c>
      <c r="BC147" s="43" t="str">
        <f t="shared" si="45"/>
        <v/>
      </c>
      <c r="BD147" s="43" t="str">
        <f t="shared" si="46"/>
        <v/>
      </c>
      <c r="BE147" s="43" t="e">
        <f t="shared" si="47"/>
        <v>#N/A</v>
      </c>
      <c r="BF147" s="43" t="e">
        <f t="shared" si="48"/>
        <v>#N/A</v>
      </c>
      <c r="BG147" s="43" t="e">
        <f t="shared" si="49"/>
        <v>#N/A</v>
      </c>
      <c r="BH147" s="43" t="e">
        <f t="shared" si="50"/>
        <v>#N/A</v>
      </c>
      <c r="BI147" s="43" t="e">
        <f t="shared" si="51"/>
        <v>#N/A</v>
      </c>
      <c r="BJ147" s="43" t="e">
        <f t="shared" si="52"/>
        <v>#N/A</v>
      </c>
      <c r="BK147" s="43">
        <f t="shared" si="53"/>
        <v>-2.94</v>
      </c>
      <c r="BL147" s="43" t="e">
        <f t="shared" si="54"/>
        <v>#N/A</v>
      </c>
      <c r="BM147" s="43" t="e">
        <f t="shared" si="55"/>
        <v>#N/A</v>
      </c>
      <c r="BN147" s="43" t="e">
        <f t="shared" si="56"/>
        <v>#N/A</v>
      </c>
      <c r="BO147" s="43">
        <f t="shared" si="57"/>
        <v>-2.94</v>
      </c>
      <c r="BP147" s="43">
        <f t="shared" si="58"/>
        <v>-2.9249999999999998</v>
      </c>
      <c r="BQ147" s="43" t="e">
        <f t="shared" si="59"/>
        <v>#N/A</v>
      </c>
      <c r="BR147" s="43" t="str">
        <f t="shared" si="60"/>
        <v/>
      </c>
      <c r="BS147" s="43" t="str">
        <f t="shared" si="61"/>
        <v/>
      </c>
      <c r="BT147" s="43" t="str">
        <f t="shared" si="62"/>
        <v/>
      </c>
    </row>
    <row r="148" spans="52:72" ht="12" customHeight="1">
      <c r="AZ148" s="43">
        <v>140</v>
      </c>
      <c r="BA148" s="43" t="str">
        <f t="shared" si="63"/>
        <v/>
      </c>
      <c r="BB148" s="43" t="str">
        <f t="shared" si="44"/>
        <v/>
      </c>
      <c r="BC148" s="43" t="str">
        <f t="shared" si="45"/>
        <v/>
      </c>
      <c r="BD148" s="43" t="str">
        <f t="shared" si="46"/>
        <v/>
      </c>
      <c r="BE148" s="43" t="e">
        <f t="shared" si="47"/>
        <v>#N/A</v>
      </c>
      <c r="BF148" s="43" t="e">
        <f t="shared" si="48"/>
        <v>#N/A</v>
      </c>
      <c r="BG148" s="43" t="e">
        <f t="shared" si="49"/>
        <v>#N/A</v>
      </c>
      <c r="BH148" s="43" t="e">
        <f t="shared" si="50"/>
        <v>#N/A</v>
      </c>
      <c r="BI148" s="43" t="e">
        <f t="shared" si="51"/>
        <v>#N/A</v>
      </c>
      <c r="BJ148" s="43" t="e">
        <f t="shared" si="52"/>
        <v>#N/A</v>
      </c>
      <c r="BK148" s="43">
        <f t="shared" si="53"/>
        <v>-2.94</v>
      </c>
      <c r="BL148" s="43" t="e">
        <f t="shared" si="54"/>
        <v>#N/A</v>
      </c>
      <c r="BM148" s="43" t="e">
        <f t="shared" si="55"/>
        <v>#N/A</v>
      </c>
      <c r="BN148" s="43" t="e">
        <f t="shared" si="56"/>
        <v>#N/A</v>
      </c>
      <c r="BO148" s="43">
        <f t="shared" si="57"/>
        <v>-2.94</v>
      </c>
      <c r="BP148" s="43">
        <f t="shared" si="58"/>
        <v>-2.9249999999999998</v>
      </c>
      <c r="BQ148" s="43" t="e">
        <f t="shared" si="59"/>
        <v>#N/A</v>
      </c>
      <c r="BR148" s="43" t="str">
        <f t="shared" si="60"/>
        <v/>
      </c>
      <c r="BS148" s="43" t="str">
        <f t="shared" si="61"/>
        <v/>
      </c>
      <c r="BT148" s="43" t="str">
        <f t="shared" si="62"/>
        <v/>
      </c>
    </row>
    <row r="149" spans="52:72" ht="12" customHeight="1">
      <c r="AZ149" s="43">
        <v>141</v>
      </c>
      <c r="BA149" s="43" t="str">
        <f t="shared" si="63"/>
        <v/>
      </c>
      <c r="BB149" s="43" t="str">
        <f t="shared" si="44"/>
        <v/>
      </c>
      <c r="BC149" s="43" t="str">
        <f t="shared" si="45"/>
        <v/>
      </c>
      <c r="BD149" s="43" t="str">
        <f t="shared" si="46"/>
        <v/>
      </c>
      <c r="BE149" s="43" t="e">
        <f t="shared" si="47"/>
        <v>#N/A</v>
      </c>
      <c r="BF149" s="43" t="e">
        <f t="shared" si="48"/>
        <v>#N/A</v>
      </c>
      <c r="BG149" s="43" t="e">
        <f t="shared" si="49"/>
        <v>#N/A</v>
      </c>
      <c r="BH149" s="43" t="e">
        <f t="shared" si="50"/>
        <v>#N/A</v>
      </c>
      <c r="BI149" s="43" t="e">
        <f t="shared" si="51"/>
        <v>#N/A</v>
      </c>
      <c r="BJ149" s="43" t="e">
        <f t="shared" si="52"/>
        <v>#N/A</v>
      </c>
      <c r="BK149" s="43">
        <f t="shared" si="53"/>
        <v>-2.94</v>
      </c>
      <c r="BL149" s="43" t="e">
        <f t="shared" si="54"/>
        <v>#N/A</v>
      </c>
      <c r="BM149" s="43" t="e">
        <f t="shared" si="55"/>
        <v>#N/A</v>
      </c>
      <c r="BN149" s="43" t="e">
        <f t="shared" si="56"/>
        <v>#N/A</v>
      </c>
      <c r="BO149" s="43">
        <f t="shared" si="57"/>
        <v>-2.94</v>
      </c>
      <c r="BP149" s="43">
        <f t="shared" si="58"/>
        <v>-2.9249999999999998</v>
      </c>
      <c r="BQ149" s="43" t="e">
        <f t="shared" si="59"/>
        <v>#N/A</v>
      </c>
      <c r="BR149" s="43" t="str">
        <f t="shared" si="60"/>
        <v/>
      </c>
      <c r="BS149" s="43" t="str">
        <f t="shared" si="61"/>
        <v/>
      </c>
      <c r="BT149" s="43" t="str">
        <f t="shared" si="62"/>
        <v/>
      </c>
    </row>
    <row r="150" spans="52:72" ht="12" customHeight="1">
      <c r="AZ150" s="43">
        <v>142</v>
      </c>
      <c r="BA150" s="43" t="str">
        <f t="shared" si="63"/>
        <v/>
      </c>
      <c r="BB150" s="43" t="str">
        <f t="shared" si="44"/>
        <v/>
      </c>
      <c r="BC150" s="43" t="str">
        <f t="shared" si="45"/>
        <v/>
      </c>
      <c r="BD150" s="43" t="str">
        <f t="shared" si="46"/>
        <v/>
      </c>
      <c r="BE150" s="43" t="e">
        <f t="shared" si="47"/>
        <v>#N/A</v>
      </c>
      <c r="BF150" s="43" t="e">
        <f t="shared" si="48"/>
        <v>#N/A</v>
      </c>
      <c r="BG150" s="43" t="e">
        <f t="shared" si="49"/>
        <v>#N/A</v>
      </c>
      <c r="BH150" s="43" t="e">
        <f t="shared" si="50"/>
        <v>#N/A</v>
      </c>
      <c r="BI150" s="43" t="e">
        <f t="shared" si="51"/>
        <v>#N/A</v>
      </c>
      <c r="BJ150" s="43" t="e">
        <f t="shared" si="52"/>
        <v>#N/A</v>
      </c>
      <c r="BK150" s="43">
        <f t="shared" si="53"/>
        <v>-2.94</v>
      </c>
      <c r="BL150" s="43" t="e">
        <f t="shared" si="54"/>
        <v>#N/A</v>
      </c>
      <c r="BM150" s="43" t="e">
        <f t="shared" si="55"/>
        <v>#N/A</v>
      </c>
      <c r="BN150" s="43" t="e">
        <f t="shared" si="56"/>
        <v>#N/A</v>
      </c>
      <c r="BO150" s="43">
        <f t="shared" si="57"/>
        <v>-2.94</v>
      </c>
      <c r="BP150" s="43">
        <f t="shared" si="58"/>
        <v>-2.9249999999999998</v>
      </c>
      <c r="BQ150" s="43" t="e">
        <f t="shared" si="59"/>
        <v>#N/A</v>
      </c>
      <c r="BR150" s="43" t="str">
        <f t="shared" si="60"/>
        <v/>
      </c>
      <c r="BS150" s="43" t="str">
        <f t="shared" si="61"/>
        <v/>
      </c>
      <c r="BT150" s="43" t="str">
        <f t="shared" si="62"/>
        <v/>
      </c>
    </row>
    <row r="151" spans="52:72" ht="12" customHeight="1">
      <c r="AZ151" s="43">
        <v>143</v>
      </c>
      <c r="BA151" s="43" t="str">
        <f t="shared" si="63"/>
        <v/>
      </c>
      <c r="BB151" s="43" t="str">
        <f t="shared" si="44"/>
        <v/>
      </c>
      <c r="BC151" s="43" t="str">
        <f t="shared" si="45"/>
        <v/>
      </c>
      <c r="BD151" s="43" t="str">
        <f t="shared" si="46"/>
        <v/>
      </c>
      <c r="BE151" s="43" t="e">
        <f t="shared" si="47"/>
        <v>#N/A</v>
      </c>
      <c r="BF151" s="43" t="e">
        <f t="shared" si="48"/>
        <v>#N/A</v>
      </c>
      <c r="BG151" s="43" t="e">
        <f t="shared" si="49"/>
        <v>#N/A</v>
      </c>
      <c r="BH151" s="43" t="e">
        <f t="shared" si="50"/>
        <v>#N/A</v>
      </c>
      <c r="BI151" s="43" t="e">
        <f t="shared" si="51"/>
        <v>#N/A</v>
      </c>
      <c r="BJ151" s="43" t="e">
        <f t="shared" si="52"/>
        <v>#N/A</v>
      </c>
      <c r="BK151" s="43">
        <f t="shared" si="53"/>
        <v>-2.94</v>
      </c>
      <c r="BL151" s="43" t="e">
        <f t="shared" si="54"/>
        <v>#N/A</v>
      </c>
      <c r="BM151" s="43" t="e">
        <f t="shared" si="55"/>
        <v>#N/A</v>
      </c>
      <c r="BN151" s="43" t="e">
        <f t="shared" si="56"/>
        <v>#N/A</v>
      </c>
      <c r="BO151" s="43">
        <f t="shared" si="57"/>
        <v>-2.94</v>
      </c>
      <c r="BP151" s="43">
        <f t="shared" si="58"/>
        <v>-2.9249999999999998</v>
      </c>
      <c r="BQ151" s="43" t="e">
        <f t="shared" si="59"/>
        <v>#N/A</v>
      </c>
      <c r="BR151" s="43" t="str">
        <f t="shared" si="60"/>
        <v/>
      </c>
      <c r="BS151" s="43" t="str">
        <f t="shared" si="61"/>
        <v/>
      </c>
      <c r="BT151" s="43" t="str">
        <f t="shared" si="62"/>
        <v/>
      </c>
    </row>
    <row r="152" spans="52:72" ht="12" customHeight="1">
      <c r="AZ152" s="43">
        <v>144</v>
      </c>
      <c r="BA152" s="43" t="str">
        <f t="shared" si="63"/>
        <v/>
      </c>
      <c r="BB152" s="43" t="str">
        <f t="shared" si="44"/>
        <v/>
      </c>
      <c r="BC152" s="43" t="str">
        <f t="shared" si="45"/>
        <v/>
      </c>
      <c r="BD152" s="43" t="str">
        <f t="shared" si="46"/>
        <v/>
      </c>
      <c r="BE152" s="43" t="e">
        <f t="shared" si="47"/>
        <v>#N/A</v>
      </c>
      <c r="BF152" s="43" t="e">
        <f t="shared" si="48"/>
        <v>#N/A</v>
      </c>
      <c r="BG152" s="43" t="e">
        <f t="shared" si="49"/>
        <v>#N/A</v>
      </c>
      <c r="BH152" s="43" t="e">
        <f t="shared" si="50"/>
        <v>#N/A</v>
      </c>
      <c r="BI152" s="43" t="e">
        <f t="shared" si="51"/>
        <v>#N/A</v>
      </c>
      <c r="BJ152" s="43" t="e">
        <f t="shared" si="52"/>
        <v>#N/A</v>
      </c>
      <c r="BK152" s="43">
        <f t="shared" si="53"/>
        <v>-2.94</v>
      </c>
      <c r="BL152" s="43" t="e">
        <f t="shared" si="54"/>
        <v>#N/A</v>
      </c>
      <c r="BM152" s="43" t="e">
        <f t="shared" si="55"/>
        <v>#N/A</v>
      </c>
      <c r="BN152" s="43" t="e">
        <f t="shared" si="56"/>
        <v>#N/A</v>
      </c>
      <c r="BO152" s="43">
        <f t="shared" si="57"/>
        <v>-2.94</v>
      </c>
      <c r="BP152" s="43">
        <f t="shared" si="58"/>
        <v>-2.9249999999999998</v>
      </c>
      <c r="BQ152" s="43" t="e">
        <f t="shared" si="59"/>
        <v>#N/A</v>
      </c>
      <c r="BR152" s="43" t="str">
        <f t="shared" si="60"/>
        <v/>
      </c>
      <c r="BS152" s="43" t="str">
        <f t="shared" si="61"/>
        <v/>
      </c>
      <c r="BT152" s="43" t="str">
        <f t="shared" si="62"/>
        <v/>
      </c>
    </row>
    <row r="153" spans="52:72" ht="12" customHeight="1">
      <c r="AZ153" s="43">
        <v>145</v>
      </c>
      <c r="BA153" s="43" t="str">
        <f t="shared" si="63"/>
        <v/>
      </c>
      <c r="BB153" s="43" t="str">
        <f t="shared" si="44"/>
        <v/>
      </c>
      <c r="BC153" s="43" t="str">
        <f t="shared" si="45"/>
        <v/>
      </c>
      <c r="BD153" s="43" t="str">
        <f t="shared" si="46"/>
        <v/>
      </c>
      <c r="BE153" s="43" t="e">
        <f t="shared" si="47"/>
        <v>#N/A</v>
      </c>
      <c r="BF153" s="43" t="e">
        <f t="shared" si="48"/>
        <v>#N/A</v>
      </c>
      <c r="BG153" s="43" t="e">
        <f t="shared" si="49"/>
        <v>#N/A</v>
      </c>
      <c r="BH153" s="43" t="e">
        <f t="shared" si="50"/>
        <v>#N/A</v>
      </c>
      <c r="BI153" s="43" t="e">
        <f t="shared" si="51"/>
        <v>#N/A</v>
      </c>
      <c r="BJ153" s="43" t="e">
        <f t="shared" si="52"/>
        <v>#N/A</v>
      </c>
      <c r="BK153" s="43">
        <f t="shared" si="53"/>
        <v>-2.94</v>
      </c>
      <c r="BL153" s="43" t="e">
        <f t="shared" si="54"/>
        <v>#N/A</v>
      </c>
      <c r="BM153" s="43" t="e">
        <f t="shared" si="55"/>
        <v>#N/A</v>
      </c>
      <c r="BN153" s="43" t="e">
        <f t="shared" si="56"/>
        <v>#N/A</v>
      </c>
      <c r="BO153" s="43">
        <f t="shared" si="57"/>
        <v>-2.94</v>
      </c>
      <c r="BP153" s="43">
        <f t="shared" si="58"/>
        <v>-2.9249999999999998</v>
      </c>
      <c r="BQ153" s="43" t="e">
        <f t="shared" si="59"/>
        <v>#N/A</v>
      </c>
      <c r="BR153" s="43" t="str">
        <f t="shared" si="60"/>
        <v/>
      </c>
      <c r="BS153" s="43" t="str">
        <f t="shared" si="61"/>
        <v/>
      </c>
      <c r="BT153" s="43" t="str">
        <f t="shared" si="62"/>
        <v/>
      </c>
    </row>
    <row r="154" spans="52:72" ht="12" customHeight="1">
      <c r="AZ154" s="43">
        <v>146</v>
      </c>
      <c r="BA154" s="43" t="str">
        <f t="shared" si="63"/>
        <v/>
      </c>
      <c r="BB154" s="43" t="str">
        <f t="shared" si="44"/>
        <v/>
      </c>
      <c r="BC154" s="43" t="str">
        <f t="shared" si="45"/>
        <v/>
      </c>
      <c r="BD154" s="43" t="str">
        <f t="shared" si="46"/>
        <v/>
      </c>
      <c r="BE154" s="43" t="e">
        <f t="shared" si="47"/>
        <v>#N/A</v>
      </c>
      <c r="BF154" s="43" t="e">
        <f t="shared" si="48"/>
        <v>#N/A</v>
      </c>
      <c r="BG154" s="43" t="e">
        <f t="shared" si="49"/>
        <v>#N/A</v>
      </c>
      <c r="BH154" s="43" t="e">
        <f t="shared" si="50"/>
        <v>#N/A</v>
      </c>
      <c r="BI154" s="43" t="e">
        <f t="shared" si="51"/>
        <v>#N/A</v>
      </c>
      <c r="BJ154" s="43" t="e">
        <f t="shared" si="52"/>
        <v>#N/A</v>
      </c>
      <c r="BK154" s="43">
        <f t="shared" si="53"/>
        <v>-2.94</v>
      </c>
      <c r="BL154" s="43" t="e">
        <f t="shared" si="54"/>
        <v>#N/A</v>
      </c>
      <c r="BM154" s="43" t="e">
        <f t="shared" si="55"/>
        <v>#N/A</v>
      </c>
      <c r="BN154" s="43" t="e">
        <f t="shared" si="56"/>
        <v>#N/A</v>
      </c>
      <c r="BO154" s="43">
        <f t="shared" si="57"/>
        <v>-2.94</v>
      </c>
      <c r="BP154" s="43">
        <f t="shared" si="58"/>
        <v>-2.9249999999999998</v>
      </c>
      <c r="BQ154" s="43" t="e">
        <f t="shared" si="59"/>
        <v>#N/A</v>
      </c>
      <c r="BR154" s="43" t="str">
        <f t="shared" si="60"/>
        <v/>
      </c>
      <c r="BS154" s="43" t="str">
        <f t="shared" si="61"/>
        <v/>
      </c>
      <c r="BT154" s="43" t="str">
        <f t="shared" si="62"/>
        <v/>
      </c>
    </row>
    <row r="155" spans="52:72" ht="12" customHeight="1">
      <c r="AZ155" s="43">
        <v>147</v>
      </c>
      <c r="BA155" s="43" t="str">
        <f t="shared" si="63"/>
        <v/>
      </c>
      <c r="BB155" s="43" t="str">
        <f t="shared" si="44"/>
        <v/>
      </c>
      <c r="BC155" s="43" t="str">
        <f t="shared" si="45"/>
        <v/>
      </c>
      <c r="BD155" s="43" t="str">
        <f t="shared" si="46"/>
        <v/>
      </c>
      <c r="BE155" s="43" t="e">
        <f t="shared" si="47"/>
        <v>#N/A</v>
      </c>
      <c r="BF155" s="43" t="e">
        <f t="shared" si="48"/>
        <v>#N/A</v>
      </c>
      <c r="BG155" s="43" t="e">
        <f t="shared" si="49"/>
        <v>#N/A</v>
      </c>
      <c r="BH155" s="43" t="e">
        <f t="shared" si="50"/>
        <v>#N/A</v>
      </c>
      <c r="BI155" s="43" t="e">
        <f t="shared" si="51"/>
        <v>#N/A</v>
      </c>
      <c r="BJ155" s="43" t="e">
        <f t="shared" si="52"/>
        <v>#N/A</v>
      </c>
      <c r="BK155" s="43">
        <f t="shared" si="53"/>
        <v>-2.94</v>
      </c>
      <c r="BL155" s="43" t="e">
        <f t="shared" si="54"/>
        <v>#N/A</v>
      </c>
      <c r="BM155" s="43" t="e">
        <f t="shared" si="55"/>
        <v>#N/A</v>
      </c>
      <c r="BN155" s="43" t="e">
        <f t="shared" si="56"/>
        <v>#N/A</v>
      </c>
      <c r="BO155" s="43">
        <f t="shared" si="57"/>
        <v>-2.94</v>
      </c>
      <c r="BP155" s="43">
        <f t="shared" si="58"/>
        <v>-2.9249999999999998</v>
      </c>
      <c r="BQ155" s="43" t="e">
        <f t="shared" si="59"/>
        <v>#N/A</v>
      </c>
      <c r="BR155" s="43" t="str">
        <f t="shared" si="60"/>
        <v/>
      </c>
      <c r="BS155" s="43" t="str">
        <f t="shared" si="61"/>
        <v/>
      </c>
      <c r="BT155" s="43" t="str">
        <f t="shared" si="62"/>
        <v/>
      </c>
    </row>
    <row r="156" spans="52:72" ht="12" customHeight="1">
      <c r="AZ156" s="43">
        <v>148</v>
      </c>
      <c r="BA156" s="43" t="str">
        <f t="shared" si="63"/>
        <v/>
      </c>
      <c r="BB156" s="43" t="str">
        <f t="shared" si="44"/>
        <v/>
      </c>
      <c r="BC156" s="43" t="str">
        <f t="shared" si="45"/>
        <v/>
      </c>
      <c r="BD156" s="43" t="str">
        <f t="shared" si="46"/>
        <v/>
      </c>
      <c r="BE156" s="43" t="e">
        <f t="shared" si="47"/>
        <v>#N/A</v>
      </c>
      <c r="BF156" s="43" t="e">
        <f t="shared" si="48"/>
        <v>#N/A</v>
      </c>
      <c r="BG156" s="43" t="e">
        <f t="shared" si="49"/>
        <v>#N/A</v>
      </c>
      <c r="BH156" s="43" t="e">
        <f t="shared" si="50"/>
        <v>#N/A</v>
      </c>
      <c r="BI156" s="43" t="e">
        <f t="shared" si="51"/>
        <v>#N/A</v>
      </c>
      <c r="BJ156" s="43" t="e">
        <f t="shared" si="52"/>
        <v>#N/A</v>
      </c>
      <c r="BK156" s="43">
        <f t="shared" si="53"/>
        <v>-2.94</v>
      </c>
      <c r="BL156" s="43" t="e">
        <f t="shared" si="54"/>
        <v>#N/A</v>
      </c>
      <c r="BM156" s="43" t="e">
        <f t="shared" si="55"/>
        <v>#N/A</v>
      </c>
      <c r="BN156" s="43" t="e">
        <f t="shared" si="56"/>
        <v>#N/A</v>
      </c>
      <c r="BO156" s="43">
        <f t="shared" si="57"/>
        <v>-2.94</v>
      </c>
      <c r="BP156" s="43">
        <f t="shared" si="58"/>
        <v>-2.9249999999999998</v>
      </c>
      <c r="BQ156" s="43" t="e">
        <f t="shared" si="59"/>
        <v>#N/A</v>
      </c>
      <c r="BR156" s="43" t="str">
        <f t="shared" si="60"/>
        <v/>
      </c>
      <c r="BS156" s="43" t="str">
        <f t="shared" si="61"/>
        <v/>
      </c>
      <c r="BT156" s="43" t="str">
        <f t="shared" si="62"/>
        <v/>
      </c>
    </row>
    <row r="157" spans="52:72" ht="12" customHeight="1">
      <c r="AZ157" s="43">
        <v>149</v>
      </c>
      <c r="BA157" s="43" t="str">
        <f t="shared" si="63"/>
        <v/>
      </c>
      <c r="BB157" s="43" t="str">
        <f t="shared" si="44"/>
        <v/>
      </c>
      <c r="BC157" s="43" t="str">
        <f t="shared" si="45"/>
        <v/>
      </c>
      <c r="BD157" s="43" t="str">
        <f t="shared" si="46"/>
        <v/>
      </c>
      <c r="BE157" s="43" t="e">
        <f t="shared" si="47"/>
        <v>#N/A</v>
      </c>
      <c r="BF157" s="43" t="e">
        <f t="shared" si="48"/>
        <v>#N/A</v>
      </c>
      <c r="BG157" s="43" t="e">
        <f t="shared" si="49"/>
        <v>#N/A</v>
      </c>
      <c r="BH157" s="43" t="e">
        <f t="shared" si="50"/>
        <v>#N/A</v>
      </c>
      <c r="BI157" s="43" t="e">
        <f t="shared" si="51"/>
        <v>#N/A</v>
      </c>
      <c r="BJ157" s="43" t="e">
        <f t="shared" si="52"/>
        <v>#N/A</v>
      </c>
      <c r="BK157" s="43">
        <f t="shared" si="53"/>
        <v>-2.94</v>
      </c>
      <c r="BL157" s="43" t="e">
        <f t="shared" si="54"/>
        <v>#N/A</v>
      </c>
      <c r="BM157" s="43" t="e">
        <f t="shared" si="55"/>
        <v>#N/A</v>
      </c>
      <c r="BN157" s="43" t="e">
        <f t="shared" si="56"/>
        <v>#N/A</v>
      </c>
      <c r="BO157" s="43">
        <f t="shared" si="57"/>
        <v>-2.94</v>
      </c>
      <c r="BP157" s="43">
        <f t="shared" si="58"/>
        <v>-2.9249999999999998</v>
      </c>
      <c r="BQ157" s="43" t="e">
        <f t="shared" si="59"/>
        <v>#N/A</v>
      </c>
      <c r="BR157" s="43" t="str">
        <f t="shared" si="60"/>
        <v/>
      </c>
      <c r="BS157" s="43" t="str">
        <f t="shared" si="61"/>
        <v/>
      </c>
      <c r="BT157" s="43" t="str">
        <f t="shared" si="62"/>
        <v/>
      </c>
    </row>
    <row r="158" spans="52:72" ht="12" customHeight="1">
      <c r="AZ158" s="43">
        <v>150</v>
      </c>
      <c r="BA158" s="43" t="str">
        <f t="shared" si="63"/>
        <v/>
      </c>
      <c r="BB158" s="43" t="str">
        <f t="shared" si="44"/>
        <v/>
      </c>
      <c r="BC158" s="43" t="str">
        <f t="shared" si="45"/>
        <v/>
      </c>
      <c r="BD158" s="43" t="str">
        <f t="shared" si="46"/>
        <v/>
      </c>
      <c r="BE158" s="43" t="e">
        <f t="shared" si="47"/>
        <v>#N/A</v>
      </c>
      <c r="BF158" s="43" t="e">
        <f t="shared" si="48"/>
        <v>#N/A</v>
      </c>
      <c r="BG158" s="43" t="e">
        <f t="shared" si="49"/>
        <v>#N/A</v>
      </c>
      <c r="BH158" s="43" t="e">
        <f t="shared" si="50"/>
        <v>#N/A</v>
      </c>
      <c r="BI158" s="43" t="e">
        <f t="shared" si="51"/>
        <v>#N/A</v>
      </c>
      <c r="BJ158" s="43" t="e">
        <f t="shared" si="52"/>
        <v>#N/A</v>
      </c>
      <c r="BK158" s="43">
        <f t="shared" si="53"/>
        <v>-2.94</v>
      </c>
      <c r="BL158" s="43" t="e">
        <f t="shared" si="54"/>
        <v>#N/A</v>
      </c>
      <c r="BM158" s="43" t="e">
        <f t="shared" si="55"/>
        <v>#N/A</v>
      </c>
      <c r="BN158" s="43" t="e">
        <f t="shared" si="56"/>
        <v>#N/A</v>
      </c>
      <c r="BO158" s="43">
        <f t="shared" si="57"/>
        <v>-2.94</v>
      </c>
      <c r="BP158" s="43">
        <f t="shared" si="58"/>
        <v>-2.9249999999999998</v>
      </c>
      <c r="BQ158" s="43" t="e">
        <f t="shared" si="59"/>
        <v>#N/A</v>
      </c>
      <c r="BR158" s="43" t="str">
        <f t="shared" si="60"/>
        <v/>
      </c>
      <c r="BS158" s="43" t="str">
        <f t="shared" si="61"/>
        <v/>
      </c>
      <c r="BT158" s="43" t="str">
        <f t="shared" si="62"/>
        <v/>
      </c>
    </row>
    <row r="159" spans="52:72" ht="12" customHeight="1">
      <c r="AZ159" s="43">
        <v>151</v>
      </c>
      <c r="BA159" s="43" t="str">
        <f t="shared" si="63"/>
        <v/>
      </c>
      <c r="BB159" s="43" t="str">
        <f t="shared" si="44"/>
        <v/>
      </c>
      <c r="BC159" s="43" t="str">
        <f t="shared" si="45"/>
        <v/>
      </c>
      <c r="BD159" s="43" t="str">
        <f t="shared" si="46"/>
        <v/>
      </c>
      <c r="BE159" s="43" t="e">
        <f t="shared" si="47"/>
        <v>#N/A</v>
      </c>
      <c r="BF159" s="43" t="e">
        <f t="shared" si="48"/>
        <v>#N/A</v>
      </c>
      <c r="BG159" s="43" t="e">
        <f t="shared" si="49"/>
        <v>#N/A</v>
      </c>
      <c r="BH159" s="43" t="e">
        <f t="shared" si="50"/>
        <v>#N/A</v>
      </c>
      <c r="BI159" s="43" t="e">
        <f t="shared" si="51"/>
        <v>#N/A</v>
      </c>
      <c r="BJ159" s="43" t="e">
        <f t="shared" si="52"/>
        <v>#N/A</v>
      </c>
      <c r="BK159" s="43">
        <f t="shared" si="53"/>
        <v>-2.94</v>
      </c>
      <c r="BL159" s="43" t="e">
        <f t="shared" si="54"/>
        <v>#N/A</v>
      </c>
      <c r="BM159" s="43" t="e">
        <f t="shared" si="55"/>
        <v>#N/A</v>
      </c>
      <c r="BN159" s="43" t="e">
        <f t="shared" si="56"/>
        <v>#N/A</v>
      </c>
      <c r="BO159" s="43">
        <f t="shared" si="57"/>
        <v>-2.94</v>
      </c>
      <c r="BP159" s="43">
        <f t="shared" si="58"/>
        <v>-2.9249999999999998</v>
      </c>
      <c r="BQ159" s="43" t="e">
        <f t="shared" si="59"/>
        <v>#N/A</v>
      </c>
      <c r="BR159" s="43" t="str">
        <f t="shared" si="60"/>
        <v/>
      </c>
      <c r="BS159" s="43" t="str">
        <f t="shared" si="61"/>
        <v/>
      </c>
      <c r="BT159" s="43" t="str">
        <f t="shared" si="62"/>
        <v/>
      </c>
    </row>
    <row r="160" spans="52:72" ht="12" customHeight="1">
      <c r="AZ160" s="43">
        <v>152</v>
      </c>
      <c r="BA160" s="43" t="str">
        <f t="shared" si="63"/>
        <v/>
      </c>
      <c r="BB160" s="43" t="str">
        <f t="shared" si="44"/>
        <v/>
      </c>
      <c r="BC160" s="43" t="str">
        <f t="shared" si="45"/>
        <v/>
      </c>
      <c r="BD160" s="43" t="str">
        <f t="shared" si="46"/>
        <v/>
      </c>
      <c r="BE160" s="43" t="e">
        <f t="shared" si="47"/>
        <v>#N/A</v>
      </c>
      <c r="BF160" s="43" t="e">
        <f t="shared" si="48"/>
        <v>#N/A</v>
      </c>
      <c r="BG160" s="43" t="e">
        <f t="shared" si="49"/>
        <v>#N/A</v>
      </c>
      <c r="BH160" s="43" t="e">
        <f t="shared" si="50"/>
        <v>#N/A</v>
      </c>
      <c r="BI160" s="43" t="e">
        <f t="shared" si="51"/>
        <v>#N/A</v>
      </c>
      <c r="BJ160" s="43" t="e">
        <f t="shared" si="52"/>
        <v>#N/A</v>
      </c>
      <c r="BK160" s="43">
        <f t="shared" si="53"/>
        <v>-2.94</v>
      </c>
      <c r="BL160" s="43" t="e">
        <f t="shared" si="54"/>
        <v>#N/A</v>
      </c>
      <c r="BM160" s="43" t="e">
        <f t="shared" si="55"/>
        <v>#N/A</v>
      </c>
      <c r="BN160" s="43" t="e">
        <f t="shared" si="56"/>
        <v>#N/A</v>
      </c>
      <c r="BO160" s="43">
        <f t="shared" si="57"/>
        <v>-2.94</v>
      </c>
      <c r="BP160" s="43">
        <f t="shared" si="58"/>
        <v>-2.9249999999999998</v>
      </c>
      <c r="BQ160" s="43" t="e">
        <f t="shared" si="59"/>
        <v>#N/A</v>
      </c>
      <c r="BR160" s="43" t="str">
        <f t="shared" si="60"/>
        <v/>
      </c>
      <c r="BS160" s="43" t="str">
        <f t="shared" si="61"/>
        <v/>
      </c>
      <c r="BT160" s="43" t="str">
        <f t="shared" si="62"/>
        <v/>
      </c>
    </row>
    <row r="161" spans="52:72" ht="12" customHeight="1">
      <c r="AZ161" s="43">
        <v>153</v>
      </c>
      <c r="BA161" s="43" t="str">
        <f t="shared" si="63"/>
        <v/>
      </c>
      <c r="BB161" s="43" t="str">
        <f t="shared" si="44"/>
        <v/>
      </c>
      <c r="BC161" s="43" t="str">
        <f t="shared" si="45"/>
        <v/>
      </c>
      <c r="BD161" s="43" t="str">
        <f t="shared" si="46"/>
        <v/>
      </c>
      <c r="BE161" s="43" t="e">
        <f t="shared" si="47"/>
        <v>#N/A</v>
      </c>
      <c r="BF161" s="43" t="e">
        <f t="shared" si="48"/>
        <v>#N/A</v>
      </c>
      <c r="BG161" s="43" t="e">
        <f t="shared" si="49"/>
        <v>#N/A</v>
      </c>
      <c r="BH161" s="43" t="e">
        <f t="shared" si="50"/>
        <v>#N/A</v>
      </c>
      <c r="BI161" s="43" t="e">
        <f t="shared" si="51"/>
        <v>#N/A</v>
      </c>
      <c r="BJ161" s="43" t="e">
        <f t="shared" si="52"/>
        <v>#N/A</v>
      </c>
      <c r="BK161" s="43">
        <f t="shared" si="53"/>
        <v>-2.94</v>
      </c>
      <c r="BL161" s="43" t="e">
        <f t="shared" si="54"/>
        <v>#N/A</v>
      </c>
      <c r="BM161" s="43" t="e">
        <f t="shared" si="55"/>
        <v>#N/A</v>
      </c>
      <c r="BN161" s="43" t="e">
        <f t="shared" si="56"/>
        <v>#N/A</v>
      </c>
      <c r="BO161" s="43">
        <f t="shared" si="57"/>
        <v>-2.94</v>
      </c>
      <c r="BP161" s="43">
        <f t="shared" si="58"/>
        <v>-2.9249999999999998</v>
      </c>
      <c r="BQ161" s="43" t="e">
        <f t="shared" si="59"/>
        <v>#N/A</v>
      </c>
      <c r="BR161" s="43" t="str">
        <f t="shared" si="60"/>
        <v/>
      </c>
      <c r="BS161" s="43" t="str">
        <f t="shared" si="61"/>
        <v/>
      </c>
      <c r="BT161" s="43" t="str">
        <f t="shared" si="62"/>
        <v/>
      </c>
    </row>
    <row r="162" spans="52:72" ht="12" customHeight="1">
      <c r="AZ162" s="43">
        <v>154</v>
      </c>
      <c r="BA162" s="43" t="str">
        <f t="shared" si="63"/>
        <v/>
      </c>
      <c r="BB162" s="43" t="str">
        <f t="shared" si="44"/>
        <v/>
      </c>
      <c r="BC162" s="43" t="str">
        <f t="shared" si="45"/>
        <v/>
      </c>
      <c r="BD162" s="43" t="str">
        <f t="shared" si="46"/>
        <v/>
      </c>
      <c r="BE162" s="43" t="e">
        <f t="shared" si="47"/>
        <v>#N/A</v>
      </c>
      <c r="BF162" s="43" t="e">
        <f t="shared" si="48"/>
        <v>#N/A</v>
      </c>
      <c r="BG162" s="43" t="e">
        <f t="shared" si="49"/>
        <v>#N/A</v>
      </c>
      <c r="BH162" s="43" t="e">
        <f t="shared" si="50"/>
        <v>#N/A</v>
      </c>
      <c r="BI162" s="43" t="e">
        <f t="shared" si="51"/>
        <v>#N/A</v>
      </c>
      <c r="BJ162" s="43" t="e">
        <f t="shared" si="52"/>
        <v>#N/A</v>
      </c>
      <c r="BK162" s="43">
        <f t="shared" si="53"/>
        <v>-2.94</v>
      </c>
      <c r="BL162" s="43" t="e">
        <f t="shared" si="54"/>
        <v>#N/A</v>
      </c>
      <c r="BM162" s="43" t="e">
        <f t="shared" si="55"/>
        <v>#N/A</v>
      </c>
      <c r="BN162" s="43" t="e">
        <f t="shared" si="56"/>
        <v>#N/A</v>
      </c>
      <c r="BO162" s="43">
        <f t="shared" si="57"/>
        <v>-2.94</v>
      </c>
      <c r="BP162" s="43">
        <f t="shared" si="58"/>
        <v>-2.9249999999999998</v>
      </c>
      <c r="BQ162" s="43" t="e">
        <f t="shared" si="59"/>
        <v>#N/A</v>
      </c>
      <c r="BR162" s="43" t="str">
        <f t="shared" si="60"/>
        <v/>
      </c>
      <c r="BS162" s="43" t="str">
        <f t="shared" si="61"/>
        <v/>
      </c>
      <c r="BT162" s="43" t="str">
        <f t="shared" si="62"/>
        <v/>
      </c>
    </row>
    <row r="163" spans="52:72" ht="12" customHeight="1">
      <c r="AZ163" s="43">
        <v>155</v>
      </c>
      <c r="BA163" s="43" t="str">
        <f t="shared" si="63"/>
        <v/>
      </c>
      <c r="BB163" s="43" t="str">
        <f t="shared" si="44"/>
        <v/>
      </c>
      <c r="BC163" s="43" t="str">
        <f t="shared" si="45"/>
        <v/>
      </c>
      <c r="BD163" s="43" t="str">
        <f t="shared" si="46"/>
        <v/>
      </c>
      <c r="BE163" s="43" t="e">
        <f t="shared" si="47"/>
        <v>#N/A</v>
      </c>
      <c r="BF163" s="43" t="e">
        <f t="shared" si="48"/>
        <v>#N/A</v>
      </c>
      <c r="BG163" s="43" t="e">
        <f t="shared" si="49"/>
        <v>#N/A</v>
      </c>
      <c r="BH163" s="43" t="e">
        <f t="shared" si="50"/>
        <v>#N/A</v>
      </c>
      <c r="BI163" s="43" t="e">
        <f t="shared" si="51"/>
        <v>#N/A</v>
      </c>
      <c r="BJ163" s="43" t="e">
        <f t="shared" si="52"/>
        <v>#N/A</v>
      </c>
      <c r="BK163" s="43">
        <f t="shared" si="53"/>
        <v>-2.94</v>
      </c>
      <c r="BL163" s="43" t="e">
        <f t="shared" si="54"/>
        <v>#N/A</v>
      </c>
      <c r="BM163" s="43" t="e">
        <f t="shared" si="55"/>
        <v>#N/A</v>
      </c>
      <c r="BN163" s="43" t="e">
        <f t="shared" si="56"/>
        <v>#N/A</v>
      </c>
      <c r="BO163" s="43">
        <f t="shared" si="57"/>
        <v>-2.94</v>
      </c>
      <c r="BP163" s="43">
        <f t="shared" si="58"/>
        <v>-2.9249999999999998</v>
      </c>
      <c r="BQ163" s="43" t="e">
        <f t="shared" si="59"/>
        <v>#N/A</v>
      </c>
      <c r="BR163" s="43" t="str">
        <f t="shared" si="60"/>
        <v/>
      </c>
      <c r="BS163" s="43" t="str">
        <f t="shared" si="61"/>
        <v/>
      </c>
      <c r="BT163" s="43" t="str">
        <f t="shared" si="62"/>
        <v/>
      </c>
    </row>
    <row r="164" spans="52:72" ht="12" customHeight="1">
      <c r="AZ164" s="43">
        <v>156</v>
      </c>
      <c r="BA164" s="43" t="str">
        <f t="shared" si="63"/>
        <v/>
      </c>
      <c r="BB164" s="43" t="str">
        <f t="shared" si="44"/>
        <v/>
      </c>
      <c r="BC164" s="43" t="str">
        <f t="shared" si="45"/>
        <v/>
      </c>
      <c r="BD164" s="43" t="str">
        <f t="shared" si="46"/>
        <v/>
      </c>
      <c r="BE164" s="43" t="e">
        <f t="shared" si="47"/>
        <v>#N/A</v>
      </c>
      <c r="BF164" s="43" t="e">
        <f t="shared" si="48"/>
        <v>#N/A</v>
      </c>
      <c r="BG164" s="43" t="e">
        <f t="shared" si="49"/>
        <v>#N/A</v>
      </c>
      <c r="BH164" s="43" t="e">
        <f t="shared" si="50"/>
        <v>#N/A</v>
      </c>
      <c r="BI164" s="43" t="e">
        <f t="shared" si="51"/>
        <v>#N/A</v>
      </c>
      <c r="BJ164" s="43" t="e">
        <f t="shared" si="52"/>
        <v>#N/A</v>
      </c>
      <c r="BK164" s="43">
        <f t="shared" si="53"/>
        <v>-2.94</v>
      </c>
      <c r="BL164" s="43" t="e">
        <f t="shared" si="54"/>
        <v>#N/A</v>
      </c>
      <c r="BM164" s="43" t="e">
        <f t="shared" si="55"/>
        <v>#N/A</v>
      </c>
      <c r="BN164" s="43" t="e">
        <f t="shared" si="56"/>
        <v>#N/A</v>
      </c>
      <c r="BO164" s="43">
        <f t="shared" si="57"/>
        <v>-2.94</v>
      </c>
      <c r="BP164" s="43">
        <f t="shared" si="58"/>
        <v>-2.9249999999999998</v>
      </c>
      <c r="BQ164" s="43" t="e">
        <f t="shared" si="59"/>
        <v>#N/A</v>
      </c>
      <c r="BR164" s="43" t="str">
        <f t="shared" si="60"/>
        <v/>
      </c>
      <c r="BS164" s="43" t="str">
        <f t="shared" si="61"/>
        <v/>
      </c>
      <c r="BT164" s="43" t="str">
        <f t="shared" si="62"/>
        <v/>
      </c>
    </row>
    <row r="165" spans="52:72" ht="12" customHeight="1">
      <c r="AZ165" s="43">
        <v>157</v>
      </c>
      <c r="BA165" s="43" t="str">
        <f t="shared" si="63"/>
        <v/>
      </c>
      <c r="BB165" s="43" t="str">
        <f t="shared" si="44"/>
        <v/>
      </c>
      <c r="BC165" s="43" t="str">
        <f t="shared" si="45"/>
        <v/>
      </c>
      <c r="BD165" s="43" t="str">
        <f t="shared" si="46"/>
        <v/>
      </c>
      <c r="BE165" s="43" t="e">
        <f t="shared" si="47"/>
        <v>#N/A</v>
      </c>
      <c r="BF165" s="43" t="e">
        <f t="shared" si="48"/>
        <v>#N/A</v>
      </c>
      <c r="BG165" s="43" t="e">
        <f t="shared" si="49"/>
        <v>#N/A</v>
      </c>
      <c r="BH165" s="43" t="e">
        <f t="shared" si="50"/>
        <v>#N/A</v>
      </c>
      <c r="BI165" s="43" t="e">
        <f t="shared" si="51"/>
        <v>#N/A</v>
      </c>
      <c r="BJ165" s="43" t="e">
        <f t="shared" si="52"/>
        <v>#N/A</v>
      </c>
      <c r="BK165" s="43">
        <f t="shared" si="53"/>
        <v>-2.94</v>
      </c>
      <c r="BL165" s="43" t="e">
        <f t="shared" si="54"/>
        <v>#N/A</v>
      </c>
      <c r="BM165" s="43" t="e">
        <f t="shared" si="55"/>
        <v>#N/A</v>
      </c>
      <c r="BN165" s="43" t="e">
        <f t="shared" si="56"/>
        <v>#N/A</v>
      </c>
      <c r="BO165" s="43">
        <f t="shared" si="57"/>
        <v>-2.94</v>
      </c>
      <c r="BP165" s="43">
        <f t="shared" si="58"/>
        <v>-2.9249999999999998</v>
      </c>
      <c r="BQ165" s="43" t="e">
        <f t="shared" si="59"/>
        <v>#N/A</v>
      </c>
      <c r="BR165" s="43" t="str">
        <f t="shared" si="60"/>
        <v/>
      </c>
      <c r="BS165" s="43" t="str">
        <f t="shared" si="61"/>
        <v/>
      </c>
      <c r="BT165" s="43" t="str">
        <f t="shared" si="62"/>
        <v/>
      </c>
    </row>
    <row r="166" spans="52:72" ht="12" customHeight="1">
      <c r="AZ166" s="43">
        <v>158</v>
      </c>
      <c r="BA166" s="43" t="str">
        <f t="shared" si="63"/>
        <v/>
      </c>
      <c r="BB166" s="43" t="str">
        <f t="shared" si="44"/>
        <v/>
      </c>
      <c r="BC166" s="43" t="str">
        <f t="shared" si="45"/>
        <v/>
      </c>
      <c r="BD166" s="43" t="str">
        <f t="shared" si="46"/>
        <v/>
      </c>
      <c r="BE166" s="43" t="e">
        <f t="shared" si="47"/>
        <v>#N/A</v>
      </c>
      <c r="BF166" s="43" t="e">
        <f t="shared" si="48"/>
        <v>#N/A</v>
      </c>
      <c r="BG166" s="43" t="e">
        <f t="shared" si="49"/>
        <v>#N/A</v>
      </c>
      <c r="BH166" s="43" t="e">
        <f t="shared" si="50"/>
        <v>#N/A</v>
      </c>
      <c r="BI166" s="43" t="e">
        <f t="shared" si="51"/>
        <v>#N/A</v>
      </c>
      <c r="BJ166" s="43" t="e">
        <f t="shared" si="52"/>
        <v>#N/A</v>
      </c>
      <c r="BK166" s="43">
        <f t="shared" si="53"/>
        <v>-2.94</v>
      </c>
      <c r="BL166" s="43" t="e">
        <f t="shared" si="54"/>
        <v>#N/A</v>
      </c>
      <c r="BM166" s="43" t="e">
        <f t="shared" si="55"/>
        <v>#N/A</v>
      </c>
      <c r="BN166" s="43" t="e">
        <f t="shared" si="56"/>
        <v>#N/A</v>
      </c>
      <c r="BO166" s="43">
        <f t="shared" si="57"/>
        <v>-2.94</v>
      </c>
      <c r="BP166" s="43">
        <f t="shared" si="58"/>
        <v>-2.9249999999999998</v>
      </c>
      <c r="BQ166" s="43" t="e">
        <f t="shared" si="59"/>
        <v>#N/A</v>
      </c>
      <c r="BR166" s="43" t="str">
        <f t="shared" si="60"/>
        <v/>
      </c>
      <c r="BS166" s="43" t="str">
        <f t="shared" si="61"/>
        <v/>
      </c>
      <c r="BT166" s="43" t="str">
        <f t="shared" si="62"/>
        <v/>
      </c>
    </row>
    <row r="167" spans="52:72" ht="12" customHeight="1">
      <c r="AZ167" s="43">
        <v>159</v>
      </c>
      <c r="BA167" s="43" t="str">
        <f t="shared" si="63"/>
        <v/>
      </c>
      <c r="BB167" s="43" t="str">
        <f t="shared" si="44"/>
        <v/>
      </c>
      <c r="BC167" s="43" t="str">
        <f t="shared" si="45"/>
        <v/>
      </c>
      <c r="BD167" s="43" t="str">
        <f t="shared" si="46"/>
        <v/>
      </c>
      <c r="BE167" s="43" t="e">
        <f t="shared" si="47"/>
        <v>#N/A</v>
      </c>
      <c r="BF167" s="43" t="e">
        <f t="shared" si="48"/>
        <v>#N/A</v>
      </c>
      <c r="BG167" s="43" t="e">
        <f t="shared" si="49"/>
        <v>#N/A</v>
      </c>
      <c r="BH167" s="43" t="e">
        <f t="shared" si="50"/>
        <v>#N/A</v>
      </c>
      <c r="BI167" s="43" t="e">
        <f t="shared" si="51"/>
        <v>#N/A</v>
      </c>
      <c r="BJ167" s="43" t="e">
        <f t="shared" si="52"/>
        <v>#N/A</v>
      </c>
      <c r="BK167" s="43">
        <f t="shared" si="53"/>
        <v>-2.94</v>
      </c>
      <c r="BL167" s="43" t="e">
        <f t="shared" si="54"/>
        <v>#N/A</v>
      </c>
      <c r="BM167" s="43" t="e">
        <f t="shared" si="55"/>
        <v>#N/A</v>
      </c>
      <c r="BN167" s="43" t="e">
        <f t="shared" si="56"/>
        <v>#N/A</v>
      </c>
      <c r="BO167" s="43">
        <f t="shared" si="57"/>
        <v>-2.94</v>
      </c>
      <c r="BP167" s="43">
        <f t="shared" si="58"/>
        <v>-2.9249999999999998</v>
      </c>
      <c r="BQ167" s="43" t="e">
        <f t="shared" si="59"/>
        <v>#N/A</v>
      </c>
      <c r="BR167" s="43" t="str">
        <f t="shared" si="60"/>
        <v/>
      </c>
      <c r="BS167" s="43" t="str">
        <f t="shared" si="61"/>
        <v/>
      </c>
      <c r="BT167" s="43" t="str">
        <f t="shared" si="62"/>
        <v/>
      </c>
    </row>
    <row r="168" spans="52:72" ht="12" customHeight="1">
      <c r="AZ168" s="43">
        <v>160</v>
      </c>
      <c r="BA168" s="43" t="str">
        <f t="shared" si="63"/>
        <v/>
      </c>
      <c r="BB168" s="43" t="str">
        <f t="shared" si="44"/>
        <v/>
      </c>
      <c r="BC168" s="43" t="str">
        <f t="shared" si="45"/>
        <v/>
      </c>
      <c r="BD168" s="43" t="str">
        <f t="shared" si="46"/>
        <v/>
      </c>
      <c r="BE168" s="43" t="e">
        <f t="shared" si="47"/>
        <v>#N/A</v>
      </c>
      <c r="BF168" s="43" t="e">
        <f t="shared" si="48"/>
        <v>#N/A</v>
      </c>
      <c r="BG168" s="43" t="e">
        <f t="shared" si="49"/>
        <v>#N/A</v>
      </c>
      <c r="BH168" s="43" t="e">
        <f t="shared" si="50"/>
        <v>#N/A</v>
      </c>
      <c r="BI168" s="43" t="e">
        <f t="shared" si="51"/>
        <v>#N/A</v>
      </c>
      <c r="BJ168" s="43" t="e">
        <f t="shared" si="52"/>
        <v>#N/A</v>
      </c>
      <c r="BK168" s="43">
        <f t="shared" si="53"/>
        <v>-2.94</v>
      </c>
      <c r="BL168" s="43" t="e">
        <f t="shared" si="54"/>
        <v>#N/A</v>
      </c>
      <c r="BM168" s="43" t="e">
        <f t="shared" si="55"/>
        <v>#N/A</v>
      </c>
      <c r="BN168" s="43" t="e">
        <f t="shared" si="56"/>
        <v>#N/A</v>
      </c>
      <c r="BO168" s="43">
        <f t="shared" si="57"/>
        <v>-2.94</v>
      </c>
      <c r="BP168" s="43">
        <f t="shared" si="58"/>
        <v>-2.9249999999999998</v>
      </c>
      <c r="BQ168" s="43" t="e">
        <f t="shared" si="59"/>
        <v>#N/A</v>
      </c>
      <c r="BR168" s="43" t="str">
        <f t="shared" si="60"/>
        <v/>
      </c>
      <c r="BS168" s="43" t="str">
        <f t="shared" si="61"/>
        <v/>
      </c>
      <c r="BT168" s="43" t="str">
        <f t="shared" si="62"/>
        <v/>
      </c>
    </row>
    <row r="169" spans="52:72" ht="12" customHeight="1">
      <c r="AZ169" s="43">
        <v>161</v>
      </c>
      <c r="BA169" s="43" t="str">
        <f t="shared" si="63"/>
        <v/>
      </c>
      <c r="BB169" s="43" t="str">
        <f t="shared" si="44"/>
        <v/>
      </c>
      <c r="BC169" s="43" t="str">
        <f t="shared" si="45"/>
        <v/>
      </c>
      <c r="BD169" s="43" t="str">
        <f t="shared" si="46"/>
        <v/>
      </c>
      <c r="BE169" s="43" t="e">
        <f t="shared" si="47"/>
        <v>#N/A</v>
      </c>
      <c r="BF169" s="43" t="e">
        <f t="shared" si="48"/>
        <v>#N/A</v>
      </c>
      <c r="BG169" s="43" t="e">
        <f t="shared" si="49"/>
        <v>#N/A</v>
      </c>
      <c r="BH169" s="43" t="e">
        <f t="shared" si="50"/>
        <v>#N/A</v>
      </c>
      <c r="BI169" s="43" t="e">
        <f t="shared" si="51"/>
        <v>#N/A</v>
      </c>
      <c r="BJ169" s="43" t="e">
        <f t="shared" si="52"/>
        <v>#N/A</v>
      </c>
      <c r="BK169" s="43">
        <f t="shared" si="53"/>
        <v>-2.94</v>
      </c>
      <c r="BL169" s="43" t="e">
        <f t="shared" si="54"/>
        <v>#N/A</v>
      </c>
      <c r="BM169" s="43" t="e">
        <f t="shared" si="55"/>
        <v>#N/A</v>
      </c>
      <c r="BN169" s="43" t="e">
        <f t="shared" si="56"/>
        <v>#N/A</v>
      </c>
      <c r="BO169" s="43">
        <f t="shared" si="57"/>
        <v>-2.94</v>
      </c>
      <c r="BP169" s="43">
        <f t="shared" si="58"/>
        <v>-2.9249999999999998</v>
      </c>
      <c r="BQ169" s="43" t="e">
        <f t="shared" si="59"/>
        <v>#N/A</v>
      </c>
      <c r="BR169" s="43" t="str">
        <f t="shared" si="60"/>
        <v/>
      </c>
      <c r="BS169" s="43" t="str">
        <f t="shared" si="61"/>
        <v/>
      </c>
      <c r="BT169" s="43" t="str">
        <f t="shared" si="62"/>
        <v/>
      </c>
    </row>
    <row r="170" spans="52:72" ht="12" customHeight="1">
      <c r="AZ170" s="43">
        <v>162</v>
      </c>
      <c r="BA170" s="43" t="str">
        <f t="shared" si="63"/>
        <v/>
      </c>
      <c r="BB170" s="43" t="str">
        <f t="shared" si="44"/>
        <v/>
      </c>
      <c r="BC170" s="43" t="str">
        <f t="shared" si="45"/>
        <v/>
      </c>
      <c r="BD170" s="43" t="str">
        <f t="shared" si="46"/>
        <v/>
      </c>
      <c r="BE170" s="43" t="e">
        <f t="shared" si="47"/>
        <v>#N/A</v>
      </c>
      <c r="BF170" s="43" t="e">
        <f t="shared" si="48"/>
        <v>#N/A</v>
      </c>
      <c r="BG170" s="43" t="e">
        <f t="shared" si="49"/>
        <v>#N/A</v>
      </c>
      <c r="BH170" s="43" t="e">
        <f t="shared" si="50"/>
        <v>#N/A</v>
      </c>
      <c r="BI170" s="43" t="e">
        <f t="shared" si="51"/>
        <v>#N/A</v>
      </c>
      <c r="BJ170" s="43" t="e">
        <f t="shared" si="52"/>
        <v>#N/A</v>
      </c>
      <c r="BK170" s="43">
        <f t="shared" si="53"/>
        <v>-2.94</v>
      </c>
      <c r="BL170" s="43" t="e">
        <f t="shared" si="54"/>
        <v>#N/A</v>
      </c>
      <c r="BM170" s="43" t="e">
        <f t="shared" si="55"/>
        <v>#N/A</v>
      </c>
      <c r="BN170" s="43" t="e">
        <f t="shared" si="56"/>
        <v>#N/A</v>
      </c>
      <c r="BO170" s="43">
        <f t="shared" si="57"/>
        <v>-2.94</v>
      </c>
      <c r="BP170" s="43">
        <f t="shared" si="58"/>
        <v>-2.9249999999999998</v>
      </c>
      <c r="BQ170" s="43" t="e">
        <f t="shared" si="59"/>
        <v>#N/A</v>
      </c>
      <c r="BR170" s="43" t="str">
        <f t="shared" si="60"/>
        <v/>
      </c>
      <c r="BS170" s="43" t="str">
        <f t="shared" si="61"/>
        <v/>
      </c>
      <c r="BT170" s="43" t="str">
        <f t="shared" si="62"/>
        <v/>
      </c>
    </row>
    <row r="171" spans="52:72" ht="12" customHeight="1">
      <c r="AZ171" s="43">
        <v>163</v>
      </c>
      <c r="BA171" s="43" t="str">
        <f t="shared" si="63"/>
        <v/>
      </c>
      <c r="BB171" s="43" t="str">
        <f t="shared" si="44"/>
        <v/>
      </c>
      <c r="BC171" s="43" t="str">
        <f t="shared" si="45"/>
        <v/>
      </c>
      <c r="BD171" s="43" t="str">
        <f t="shared" si="46"/>
        <v/>
      </c>
      <c r="BE171" s="43" t="e">
        <f t="shared" si="47"/>
        <v>#N/A</v>
      </c>
      <c r="BF171" s="43" t="e">
        <f t="shared" si="48"/>
        <v>#N/A</v>
      </c>
      <c r="BG171" s="43" t="e">
        <f t="shared" si="49"/>
        <v>#N/A</v>
      </c>
      <c r="BH171" s="43" t="e">
        <f t="shared" si="50"/>
        <v>#N/A</v>
      </c>
      <c r="BI171" s="43" t="e">
        <f t="shared" si="51"/>
        <v>#N/A</v>
      </c>
      <c r="BJ171" s="43" t="e">
        <f t="shared" si="52"/>
        <v>#N/A</v>
      </c>
      <c r="BK171" s="43">
        <f t="shared" si="53"/>
        <v>-2.94</v>
      </c>
      <c r="BL171" s="43" t="e">
        <f t="shared" si="54"/>
        <v>#N/A</v>
      </c>
      <c r="BM171" s="43" t="e">
        <f t="shared" si="55"/>
        <v>#N/A</v>
      </c>
      <c r="BN171" s="43" t="e">
        <f t="shared" si="56"/>
        <v>#N/A</v>
      </c>
      <c r="BO171" s="43">
        <f t="shared" si="57"/>
        <v>-2.94</v>
      </c>
      <c r="BP171" s="43">
        <f t="shared" si="58"/>
        <v>-2.9249999999999998</v>
      </c>
      <c r="BQ171" s="43" t="e">
        <f t="shared" si="59"/>
        <v>#N/A</v>
      </c>
      <c r="BR171" s="43" t="str">
        <f t="shared" si="60"/>
        <v/>
      </c>
      <c r="BS171" s="43" t="str">
        <f t="shared" si="61"/>
        <v/>
      </c>
      <c r="BT171" s="43" t="str">
        <f t="shared" si="62"/>
        <v/>
      </c>
    </row>
    <row r="172" spans="52:72" ht="12" customHeight="1">
      <c r="AZ172" s="43">
        <v>164</v>
      </c>
      <c r="BA172" s="43" t="str">
        <f t="shared" si="63"/>
        <v/>
      </c>
      <c r="BB172" s="43" t="str">
        <f t="shared" si="44"/>
        <v/>
      </c>
      <c r="BC172" s="43" t="str">
        <f t="shared" si="45"/>
        <v/>
      </c>
      <c r="BD172" s="43" t="str">
        <f t="shared" si="46"/>
        <v/>
      </c>
      <c r="BE172" s="43" t="e">
        <f t="shared" si="47"/>
        <v>#N/A</v>
      </c>
      <c r="BF172" s="43" t="e">
        <f t="shared" si="48"/>
        <v>#N/A</v>
      </c>
      <c r="BG172" s="43" t="e">
        <f t="shared" si="49"/>
        <v>#N/A</v>
      </c>
      <c r="BH172" s="43" t="e">
        <f t="shared" si="50"/>
        <v>#N/A</v>
      </c>
      <c r="BI172" s="43" t="e">
        <f t="shared" si="51"/>
        <v>#N/A</v>
      </c>
      <c r="BJ172" s="43" t="e">
        <f t="shared" si="52"/>
        <v>#N/A</v>
      </c>
      <c r="BK172" s="43">
        <f t="shared" si="53"/>
        <v>-2.94</v>
      </c>
      <c r="BL172" s="43" t="e">
        <f t="shared" si="54"/>
        <v>#N/A</v>
      </c>
      <c r="BM172" s="43" t="e">
        <f t="shared" si="55"/>
        <v>#N/A</v>
      </c>
      <c r="BN172" s="43" t="e">
        <f t="shared" si="56"/>
        <v>#N/A</v>
      </c>
      <c r="BO172" s="43">
        <f t="shared" si="57"/>
        <v>-2.94</v>
      </c>
      <c r="BP172" s="43">
        <f t="shared" si="58"/>
        <v>-2.9249999999999998</v>
      </c>
      <c r="BQ172" s="43" t="e">
        <f t="shared" si="59"/>
        <v>#N/A</v>
      </c>
      <c r="BR172" s="43" t="str">
        <f t="shared" si="60"/>
        <v/>
      </c>
      <c r="BS172" s="43" t="str">
        <f t="shared" si="61"/>
        <v/>
      </c>
      <c r="BT172" s="43" t="str">
        <f t="shared" si="62"/>
        <v/>
      </c>
    </row>
    <row r="173" spans="52:72" ht="12" customHeight="1">
      <c r="AZ173" s="43">
        <v>165</v>
      </c>
      <c r="BA173" s="43" t="str">
        <f t="shared" si="63"/>
        <v/>
      </c>
      <c r="BB173" s="43" t="str">
        <f t="shared" si="44"/>
        <v/>
      </c>
      <c r="BC173" s="43" t="str">
        <f t="shared" si="45"/>
        <v/>
      </c>
      <c r="BD173" s="43" t="str">
        <f t="shared" si="46"/>
        <v/>
      </c>
      <c r="BE173" s="43" t="e">
        <f t="shared" si="47"/>
        <v>#N/A</v>
      </c>
      <c r="BF173" s="43" t="e">
        <f t="shared" si="48"/>
        <v>#N/A</v>
      </c>
      <c r="BG173" s="43" t="e">
        <f t="shared" si="49"/>
        <v>#N/A</v>
      </c>
      <c r="BH173" s="43" t="e">
        <f t="shared" si="50"/>
        <v>#N/A</v>
      </c>
      <c r="BI173" s="43" t="e">
        <f t="shared" si="51"/>
        <v>#N/A</v>
      </c>
      <c r="BJ173" s="43" t="e">
        <f t="shared" si="52"/>
        <v>#N/A</v>
      </c>
      <c r="BK173" s="43">
        <f t="shared" si="53"/>
        <v>-2.94</v>
      </c>
      <c r="BL173" s="43" t="e">
        <f t="shared" si="54"/>
        <v>#N/A</v>
      </c>
      <c r="BM173" s="43" t="e">
        <f t="shared" si="55"/>
        <v>#N/A</v>
      </c>
      <c r="BN173" s="43" t="e">
        <f t="shared" si="56"/>
        <v>#N/A</v>
      </c>
      <c r="BO173" s="43">
        <f t="shared" si="57"/>
        <v>-2.94</v>
      </c>
      <c r="BP173" s="43">
        <f t="shared" si="58"/>
        <v>-2.9249999999999998</v>
      </c>
      <c r="BQ173" s="43" t="e">
        <f t="shared" si="59"/>
        <v>#N/A</v>
      </c>
      <c r="BR173" s="43" t="str">
        <f t="shared" si="60"/>
        <v/>
      </c>
      <c r="BS173" s="43" t="str">
        <f t="shared" si="61"/>
        <v/>
      </c>
      <c r="BT173" s="43" t="str">
        <f t="shared" si="62"/>
        <v/>
      </c>
    </row>
    <row r="174" spans="52:72" ht="12" customHeight="1">
      <c r="AZ174" s="43">
        <v>166</v>
      </c>
      <c r="BA174" s="43" t="str">
        <f t="shared" si="63"/>
        <v/>
      </c>
      <c r="BB174" s="43" t="str">
        <f t="shared" si="44"/>
        <v/>
      </c>
      <c r="BC174" s="43" t="str">
        <f t="shared" si="45"/>
        <v/>
      </c>
      <c r="BD174" s="43" t="str">
        <f t="shared" si="46"/>
        <v/>
      </c>
      <c r="BE174" s="43" t="e">
        <f t="shared" si="47"/>
        <v>#N/A</v>
      </c>
      <c r="BF174" s="43" t="e">
        <f t="shared" si="48"/>
        <v>#N/A</v>
      </c>
      <c r="BG174" s="43" t="e">
        <f t="shared" si="49"/>
        <v>#N/A</v>
      </c>
      <c r="BH174" s="43" t="e">
        <f t="shared" si="50"/>
        <v>#N/A</v>
      </c>
      <c r="BI174" s="43" t="e">
        <f t="shared" si="51"/>
        <v>#N/A</v>
      </c>
      <c r="BJ174" s="43" t="e">
        <f t="shared" si="52"/>
        <v>#N/A</v>
      </c>
      <c r="BK174" s="43">
        <f t="shared" si="53"/>
        <v>-2.94</v>
      </c>
      <c r="BL174" s="43" t="e">
        <f t="shared" si="54"/>
        <v>#N/A</v>
      </c>
      <c r="BM174" s="43" t="e">
        <f t="shared" si="55"/>
        <v>#N/A</v>
      </c>
      <c r="BN174" s="43" t="e">
        <f t="shared" si="56"/>
        <v>#N/A</v>
      </c>
      <c r="BO174" s="43">
        <f t="shared" si="57"/>
        <v>-2.94</v>
      </c>
      <c r="BP174" s="43">
        <f t="shared" si="58"/>
        <v>-2.9249999999999998</v>
      </c>
      <c r="BQ174" s="43" t="e">
        <f t="shared" si="59"/>
        <v>#N/A</v>
      </c>
      <c r="BR174" s="43" t="str">
        <f t="shared" si="60"/>
        <v/>
      </c>
      <c r="BS174" s="43" t="str">
        <f t="shared" si="61"/>
        <v/>
      </c>
      <c r="BT174" s="43" t="str">
        <f t="shared" si="62"/>
        <v/>
      </c>
    </row>
    <row r="175" spans="52:72" ht="12" customHeight="1">
      <c r="AZ175" s="43">
        <v>167</v>
      </c>
      <c r="BA175" s="43" t="str">
        <f t="shared" si="63"/>
        <v/>
      </c>
      <c r="BB175" s="43" t="str">
        <f t="shared" si="44"/>
        <v/>
      </c>
      <c r="BC175" s="43" t="str">
        <f t="shared" si="45"/>
        <v/>
      </c>
      <c r="BD175" s="43" t="str">
        <f t="shared" si="46"/>
        <v/>
      </c>
      <c r="BE175" s="43" t="e">
        <f t="shared" si="47"/>
        <v>#N/A</v>
      </c>
      <c r="BF175" s="43" t="e">
        <f t="shared" si="48"/>
        <v>#N/A</v>
      </c>
      <c r="BG175" s="43" t="e">
        <f t="shared" si="49"/>
        <v>#N/A</v>
      </c>
      <c r="BH175" s="43" t="e">
        <f t="shared" si="50"/>
        <v>#N/A</v>
      </c>
      <c r="BI175" s="43" t="e">
        <f t="shared" si="51"/>
        <v>#N/A</v>
      </c>
      <c r="BJ175" s="43" t="e">
        <f t="shared" si="52"/>
        <v>#N/A</v>
      </c>
      <c r="BK175" s="43">
        <f t="shared" si="53"/>
        <v>-2.94</v>
      </c>
      <c r="BL175" s="43" t="e">
        <f t="shared" si="54"/>
        <v>#N/A</v>
      </c>
      <c r="BM175" s="43" t="e">
        <f t="shared" si="55"/>
        <v>#N/A</v>
      </c>
      <c r="BN175" s="43" t="e">
        <f t="shared" si="56"/>
        <v>#N/A</v>
      </c>
      <c r="BO175" s="43">
        <f t="shared" si="57"/>
        <v>-2.94</v>
      </c>
      <c r="BP175" s="43">
        <f t="shared" si="58"/>
        <v>-2.9249999999999998</v>
      </c>
      <c r="BQ175" s="43" t="e">
        <f t="shared" si="59"/>
        <v>#N/A</v>
      </c>
      <c r="BR175" s="43" t="str">
        <f t="shared" si="60"/>
        <v/>
      </c>
      <c r="BS175" s="43" t="str">
        <f t="shared" si="61"/>
        <v/>
      </c>
      <c r="BT175" s="43" t="str">
        <f t="shared" si="62"/>
        <v/>
      </c>
    </row>
    <row r="176" spans="52:72" ht="12" customHeight="1">
      <c r="AZ176" s="43">
        <v>168</v>
      </c>
      <c r="BA176" s="43" t="str">
        <f t="shared" si="63"/>
        <v/>
      </c>
      <c r="BB176" s="43" t="str">
        <f t="shared" si="44"/>
        <v/>
      </c>
      <c r="BC176" s="43" t="str">
        <f t="shared" si="45"/>
        <v/>
      </c>
      <c r="BD176" s="43" t="str">
        <f t="shared" si="46"/>
        <v/>
      </c>
      <c r="BE176" s="43" t="e">
        <f t="shared" si="47"/>
        <v>#N/A</v>
      </c>
      <c r="BF176" s="43" t="e">
        <f t="shared" si="48"/>
        <v>#N/A</v>
      </c>
      <c r="BG176" s="43" t="e">
        <f t="shared" si="49"/>
        <v>#N/A</v>
      </c>
      <c r="BH176" s="43" t="e">
        <f t="shared" si="50"/>
        <v>#N/A</v>
      </c>
      <c r="BI176" s="43" t="e">
        <f t="shared" si="51"/>
        <v>#N/A</v>
      </c>
      <c r="BJ176" s="43" t="e">
        <f t="shared" si="52"/>
        <v>#N/A</v>
      </c>
      <c r="BK176" s="43">
        <f t="shared" si="53"/>
        <v>-2.94</v>
      </c>
      <c r="BL176" s="43" t="e">
        <f t="shared" si="54"/>
        <v>#N/A</v>
      </c>
      <c r="BM176" s="43" t="e">
        <f t="shared" si="55"/>
        <v>#N/A</v>
      </c>
      <c r="BN176" s="43" t="e">
        <f t="shared" si="56"/>
        <v>#N/A</v>
      </c>
      <c r="BO176" s="43">
        <f t="shared" si="57"/>
        <v>-2.94</v>
      </c>
      <c r="BP176" s="43">
        <f t="shared" si="58"/>
        <v>-2.9249999999999998</v>
      </c>
      <c r="BQ176" s="43" t="e">
        <f t="shared" si="59"/>
        <v>#N/A</v>
      </c>
      <c r="BR176" s="43" t="str">
        <f t="shared" si="60"/>
        <v/>
      </c>
      <c r="BS176" s="43" t="str">
        <f t="shared" si="61"/>
        <v/>
      </c>
      <c r="BT176" s="43" t="str">
        <f t="shared" si="62"/>
        <v/>
      </c>
    </row>
    <row r="177" spans="52:72" ht="12" customHeight="1">
      <c r="AZ177" s="43">
        <v>169</v>
      </c>
      <c r="BA177" s="43" t="str">
        <f t="shared" si="63"/>
        <v/>
      </c>
      <c r="BB177" s="43" t="str">
        <f t="shared" si="44"/>
        <v/>
      </c>
      <c r="BC177" s="43" t="str">
        <f t="shared" si="45"/>
        <v/>
      </c>
      <c r="BD177" s="43" t="str">
        <f t="shared" si="46"/>
        <v/>
      </c>
      <c r="BE177" s="43" t="e">
        <f t="shared" si="47"/>
        <v>#N/A</v>
      </c>
      <c r="BF177" s="43" t="e">
        <f t="shared" si="48"/>
        <v>#N/A</v>
      </c>
      <c r="BG177" s="43" t="e">
        <f t="shared" si="49"/>
        <v>#N/A</v>
      </c>
      <c r="BH177" s="43" t="e">
        <f t="shared" si="50"/>
        <v>#N/A</v>
      </c>
      <c r="BI177" s="43" t="e">
        <f t="shared" si="51"/>
        <v>#N/A</v>
      </c>
      <c r="BJ177" s="43" t="e">
        <f t="shared" si="52"/>
        <v>#N/A</v>
      </c>
      <c r="BK177" s="43">
        <f t="shared" si="53"/>
        <v>-2.94</v>
      </c>
      <c r="BL177" s="43" t="e">
        <f t="shared" si="54"/>
        <v>#N/A</v>
      </c>
      <c r="BM177" s="43" t="e">
        <f t="shared" si="55"/>
        <v>#N/A</v>
      </c>
      <c r="BN177" s="43" t="e">
        <f t="shared" si="56"/>
        <v>#N/A</v>
      </c>
      <c r="BO177" s="43">
        <f t="shared" si="57"/>
        <v>-2.94</v>
      </c>
      <c r="BP177" s="43">
        <f t="shared" si="58"/>
        <v>-2.9249999999999998</v>
      </c>
      <c r="BQ177" s="43" t="e">
        <f t="shared" si="59"/>
        <v>#N/A</v>
      </c>
      <c r="BR177" s="43" t="str">
        <f t="shared" si="60"/>
        <v/>
      </c>
      <c r="BS177" s="43" t="str">
        <f t="shared" si="61"/>
        <v/>
      </c>
      <c r="BT177" s="43" t="str">
        <f t="shared" si="62"/>
        <v/>
      </c>
    </row>
    <row r="178" spans="52:72" ht="12" customHeight="1">
      <c r="AZ178" s="43">
        <v>170</v>
      </c>
      <c r="BA178" s="43" t="str">
        <f t="shared" si="63"/>
        <v/>
      </c>
      <c r="BB178" s="43" t="str">
        <f t="shared" si="44"/>
        <v/>
      </c>
      <c r="BC178" s="43" t="str">
        <f t="shared" si="45"/>
        <v/>
      </c>
      <c r="BD178" s="43" t="str">
        <f t="shared" si="46"/>
        <v/>
      </c>
      <c r="BE178" s="43" t="e">
        <f t="shared" si="47"/>
        <v>#N/A</v>
      </c>
      <c r="BF178" s="43" t="e">
        <f t="shared" si="48"/>
        <v>#N/A</v>
      </c>
      <c r="BG178" s="43" t="e">
        <f t="shared" si="49"/>
        <v>#N/A</v>
      </c>
      <c r="BH178" s="43" t="e">
        <f t="shared" si="50"/>
        <v>#N/A</v>
      </c>
      <c r="BI178" s="43" t="e">
        <f t="shared" si="51"/>
        <v>#N/A</v>
      </c>
      <c r="BJ178" s="43" t="e">
        <f t="shared" si="52"/>
        <v>#N/A</v>
      </c>
      <c r="BK178" s="43">
        <f t="shared" si="53"/>
        <v>-2.94</v>
      </c>
      <c r="BL178" s="43" t="e">
        <f t="shared" si="54"/>
        <v>#N/A</v>
      </c>
      <c r="BM178" s="43" t="e">
        <f t="shared" si="55"/>
        <v>#N/A</v>
      </c>
      <c r="BN178" s="43" t="e">
        <f t="shared" si="56"/>
        <v>#N/A</v>
      </c>
      <c r="BO178" s="43">
        <f t="shared" si="57"/>
        <v>-2.94</v>
      </c>
      <c r="BP178" s="43">
        <f t="shared" si="58"/>
        <v>-2.9249999999999998</v>
      </c>
      <c r="BQ178" s="43" t="e">
        <f t="shared" si="59"/>
        <v>#N/A</v>
      </c>
      <c r="BR178" s="43" t="str">
        <f t="shared" si="60"/>
        <v/>
      </c>
      <c r="BS178" s="43" t="str">
        <f t="shared" si="61"/>
        <v/>
      </c>
      <c r="BT178" s="43" t="str">
        <f t="shared" si="62"/>
        <v/>
      </c>
    </row>
    <row r="179" spans="52:72" ht="12" customHeight="1">
      <c r="AZ179" s="43">
        <v>171</v>
      </c>
      <c r="BA179" s="43" t="str">
        <f t="shared" si="63"/>
        <v/>
      </c>
      <c r="BB179" s="43" t="str">
        <f t="shared" si="44"/>
        <v/>
      </c>
      <c r="BC179" s="43" t="str">
        <f t="shared" si="45"/>
        <v/>
      </c>
      <c r="BD179" s="43" t="str">
        <f t="shared" si="46"/>
        <v/>
      </c>
      <c r="BE179" s="43" t="e">
        <f t="shared" si="47"/>
        <v>#N/A</v>
      </c>
      <c r="BF179" s="43" t="e">
        <f t="shared" si="48"/>
        <v>#N/A</v>
      </c>
      <c r="BG179" s="43" t="e">
        <f t="shared" si="49"/>
        <v>#N/A</v>
      </c>
      <c r="BH179" s="43" t="e">
        <f t="shared" si="50"/>
        <v>#N/A</v>
      </c>
      <c r="BI179" s="43" t="e">
        <f t="shared" si="51"/>
        <v>#N/A</v>
      </c>
      <c r="BJ179" s="43" t="e">
        <f t="shared" si="52"/>
        <v>#N/A</v>
      </c>
      <c r="BK179" s="43">
        <f t="shared" si="53"/>
        <v>-2.94</v>
      </c>
      <c r="BL179" s="43" t="e">
        <f t="shared" si="54"/>
        <v>#N/A</v>
      </c>
      <c r="BM179" s="43" t="e">
        <f t="shared" si="55"/>
        <v>#N/A</v>
      </c>
      <c r="BN179" s="43" t="e">
        <f t="shared" si="56"/>
        <v>#N/A</v>
      </c>
      <c r="BO179" s="43">
        <f t="shared" si="57"/>
        <v>-2.94</v>
      </c>
      <c r="BP179" s="43">
        <f t="shared" si="58"/>
        <v>-2.9249999999999998</v>
      </c>
      <c r="BQ179" s="43" t="e">
        <f t="shared" si="59"/>
        <v>#N/A</v>
      </c>
      <c r="BR179" s="43" t="str">
        <f t="shared" si="60"/>
        <v/>
      </c>
      <c r="BS179" s="43" t="str">
        <f t="shared" si="61"/>
        <v/>
      </c>
      <c r="BT179" s="43" t="str">
        <f t="shared" si="62"/>
        <v/>
      </c>
    </row>
    <row r="180" spans="52:72" ht="12" customHeight="1">
      <c r="AZ180" s="43">
        <v>172</v>
      </c>
      <c r="BA180" s="43" t="str">
        <f t="shared" si="63"/>
        <v/>
      </c>
      <c r="BB180" s="43" t="str">
        <f t="shared" si="44"/>
        <v/>
      </c>
      <c r="BC180" s="43" t="str">
        <f t="shared" si="45"/>
        <v/>
      </c>
      <c r="BD180" s="43" t="str">
        <f t="shared" si="46"/>
        <v/>
      </c>
      <c r="BE180" s="43" t="e">
        <f t="shared" si="47"/>
        <v>#N/A</v>
      </c>
      <c r="BF180" s="43" t="e">
        <f t="shared" si="48"/>
        <v>#N/A</v>
      </c>
      <c r="BG180" s="43" t="e">
        <f t="shared" si="49"/>
        <v>#N/A</v>
      </c>
      <c r="BH180" s="43" t="e">
        <f t="shared" si="50"/>
        <v>#N/A</v>
      </c>
      <c r="BI180" s="43" t="e">
        <f t="shared" si="51"/>
        <v>#N/A</v>
      </c>
      <c r="BJ180" s="43" t="e">
        <f t="shared" si="52"/>
        <v>#N/A</v>
      </c>
      <c r="BK180" s="43">
        <f t="shared" si="53"/>
        <v>-2.94</v>
      </c>
      <c r="BL180" s="43" t="e">
        <f t="shared" si="54"/>
        <v>#N/A</v>
      </c>
      <c r="BM180" s="43" t="e">
        <f t="shared" si="55"/>
        <v>#N/A</v>
      </c>
      <c r="BN180" s="43" t="e">
        <f t="shared" si="56"/>
        <v>#N/A</v>
      </c>
      <c r="BO180" s="43">
        <f t="shared" si="57"/>
        <v>-2.94</v>
      </c>
      <c r="BP180" s="43">
        <f t="shared" si="58"/>
        <v>-2.9249999999999998</v>
      </c>
      <c r="BQ180" s="43" t="e">
        <f t="shared" si="59"/>
        <v>#N/A</v>
      </c>
      <c r="BR180" s="43" t="str">
        <f t="shared" si="60"/>
        <v/>
      </c>
      <c r="BS180" s="43" t="str">
        <f t="shared" si="61"/>
        <v/>
      </c>
      <c r="BT180" s="43" t="str">
        <f t="shared" si="62"/>
        <v/>
      </c>
    </row>
    <row r="181" spans="52:72" ht="12" customHeight="1">
      <c r="AZ181" s="43">
        <v>173</v>
      </c>
      <c r="BA181" s="43" t="str">
        <f t="shared" si="63"/>
        <v/>
      </c>
      <c r="BB181" s="43" t="str">
        <f t="shared" si="44"/>
        <v/>
      </c>
      <c r="BC181" s="43" t="str">
        <f t="shared" si="45"/>
        <v/>
      </c>
      <c r="BD181" s="43" t="str">
        <f t="shared" si="46"/>
        <v/>
      </c>
      <c r="BE181" s="43" t="e">
        <f t="shared" si="47"/>
        <v>#N/A</v>
      </c>
      <c r="BF181" s="43" t="e">
        <f t="shared" si="48"/>
        <v>#N/A</v>
      </c>
      <c r="BG181" s="43" t="e">
        <f t="shared" si="49"/>
        <v>#N/A</v>
      </c>
      <c r="BH181" s="43" t="e">
        <f t="shared" si="50"/>
        <v>#N/A</v>
      </c>
      <c r="BI181" s="43" t="e">
        <f t="shared" si="51"/>
        <v>#N/A</v>
      </c>
      <c r="BJ181" s="43" t="e">
        <f t="shared" si="52"/>
        <v>#N/A</v>
      </c>
      <c r="BK181" s="43">
        <f t="shared" si="53"/>
        <v>-2.94</v>
      </c>
      <c r="BL181" s="43" t="e">
        <f t="shared" si="54"/>
        <v>#N/A</v>
      </c>
      <c r="BM181" s="43" t="e">
        <f t="shared" si="55"/>
        <v>#N/A</v>
      </c>
      <c r="BN181" s="43" t="e">
        <f t="shared" si="56"/>
        <v>#N/A</v>
      </c>
      <c r="BO181" s="43">
        <f t="shared" si="57"/>
        <v>-2.94</v>
      </c>
      <c r="BP181" s="43">
        <f t="shared" si="58"/>
        <v>-2.9249999999999998</v>
      </c>
      <c r="BQ181" s="43" t="e">
        <f t="shared" si="59"/>
        <v>#N/A</v>
      </c>
      <c r="BR181" s="43" t="str">
        <f t="shared" si="60"/>
        <v/>
      </c>
      <c r="BS181" s="43" t="str">
        <f t="shared" si="61"/>
        <v/>
      </c>
      <c r="BT181" s="43" t="str">
        <f t="shared" si="62"/>
        <v/>
      </c>
    </row>
    <row r="182" spans="52:72" ht="12" customHeight="1">
      <c r="AZ182" s="43">
        <v>174</v>
      </c>
      <c r="BA182" s="43" t="str">
        <f t="shared" si="63"/>
        <v/>
      </c>
      <c r="BB182" s="43" t="str">
        <f t="shared" si="44"/>
        <v/>
      </c>
      <c r="BC182" s="43" t="str">
        <f t="shared" si="45"/>
        <v/>
      </c>
      <c r="BD182" s="43" t="str">
        <f t="shared" si="46"/>
        <v/>
      </c>
      <c r="BE182" s="43" t="e">
        <f t="shared" si="47"/>
        <v>#N/A</v>
      </c>
      <c r="BF182" s="43" t="e">
        <f t="shared" si="48"/>
        <v>#N/A</v>
      </c>
      <c r="BG182" s="43" t="e">
        <f t="shared" si="49"/>
        <v>#N/A</v>
      </c>
      <c r="BH182" s="43" t="e">
        <f t="shared" si="50"/>
        <v>#N/A</v>
      </c>
      <c r="BI182" s="43" t="e">
        <f t="shared" si="51"/>
        <v>#N/A</v>
      </c>
      <c r="BJ182" s="43" t="e">
        <f t="shared" si="52"/>
        <v>#N/A</v>
      </c>
      <c r="BK182" s="43">
        <f t="shared" si="53"/>
        <v>-2.94</v>
      </c>
      <c r="BL182" s="43" t="e">
        <f t="shared" si="54"/>
        <v>#N/A</v>
      </c>
      <c r="BM182" s="43" t="e">
        <f t="shared" si="55"/>
        <v>#N/A</v>
      </c>
      <c r="BN182" s="43" t="e">
        <f t="shared" si="56"/>
        <v>#N/A</v>
      </c>
      <c r="BO182" s="43">
        <f t="shared" si="57"/>
        <v>-2.94</v>
      </c>
      <c r="BP182" s="43">
        <f t="shared" si="58"/>
        <v>-2.9249999999999998</v>
      </c>
      <c r="BQ182" s="43" t="e">
        <f t="shared" si="59"/>
        <v>#N/A</v>
      </c>
      <c r="BR182" s="43" t="str">
        <f t="shared" si="60"/>
        <v/>
      </c>
      <c r="BS182" s="43" t="str">
        <f t="shared" si="61"/>
        <v/>
      </c>
      <c r="BT182" s="43" t="str">
        <f t="shared" si="62"/>
        <v/>
      </c>
    </row>
    <row r="183" spans="52:72" ht="12" customHeight="1">
      <c r="AZ183" s="43">
        <v>175</v>
      </c>
      <c r="BA183" s="43" t="str">
        <f t="shared" si="63"/>
        <v/>
      </c>
      <c r="BB183" s="43" t="str">
        <f t="shared" si="44"/>
        <v/>
      </c>
      <c r="BC183" s="43" t="str">
        <f t="shared" si="45"/>
        <v/>
      </c>
      <c r="BD183" s="43" t="str">
        <f t="shared" si="46"/>
        <v/>
      </c>
      <c r="BE183" s="43" t="e">
        <f t="shared" si="47"/>
        <v>#N/A</v>
      </c>
      <c r="BF183" s="43" t="e">
        <f t="shared" si="48"/>
        <v>#N/A</v>
      </c>
      <c r="BG183" s="43" t="e">
        <f t="shared" si="49"/>
        <v>#N/A</v>
      </c>
      <c r="BH183" s="43" t="e">
        <f t="shared" si="50"/>
        <v>#N/A</v>
      </c>
      <c r="BI183" s="43" t="e">
        <f t="shared" si="51"/>
        <v>#N/A</v>
      </c>
      <c r="BJ183" s="43" t="e">
        <f t="shared" si="52"/>
        <v>#N/A</v>
      </c>
      <c r="BK183" s="43">
        <f t="shared" si="53"/>
        <v>-2.94</v>
      </c>
      <c r="BL183" s="43" t="e">
        <f t="shared" si="54"/>
        <v>#N/A</v>
      </c>
      <c r="BM183" s="43" t="e">
        <f t="shared" si="55"/>
        <v>#N/A</v>
      </c>
      <c r="BN183" s="43" t="e">
        <f t="shared" si="56"/>
        <v>#N/A</v>
      </c>
      <c r="BO183" s="43">
        <f t="shared" si="57"/>
        <v>-2.94</v>
      </c>
      <c r="BP183" s="43">
        <f t="shared" si="58"/>
        <v>-2.9249999999999998</v>
      </c>
      <c r="BQ183" s="43" t="e">
        <f t="shared" si="59"/>
        <v>#N/A</v>
      </c>
      <c r="BR183" s="43" t="str">
        <f t="shared" si="60"/>
        <v/>
      </c>
      <c r="BS183" s="43" t="str">
        <f t="shared" si="61"/>
        <v/>
      </c>
      <c r="BT183" s="43" t="str">
        <f t="shared" si="62"/>
        <v/>
      </c>
    </row>
    <row r="184" spans="52:72" ht="12" customHeight="1">
      <c r="AZ184" s="43">
        <v>176</v>
      </c>
      <c r="BA184" s="43" t="str">
        <f t="shared" si="63"/>
        <v/>
      </c>
      <c r="BB184" s="43" t="str">
        <f t="shared" si="44"/>
        <v/>
      </c>
      <c r="BC184" s="43" t="str">
        <f t="shared" si="45"/>
        <v/>
      </c>
      <c r="BD184" s="43" t="str">
        <f t="shared" si="46"/>
        <v/>
      </c>
      <c r="BE184" s="43" t="e">
        <f t="shared" si="47"/>
        <v>#N/A</v>
      </c>
      <c r="BF184" s="43" t="e">
        <f t="shared" si="48"/>
        <v>#N/A</v>
      </c>
      <c r="BG184" s="43" t="e">
        <f t="shared" si="49"/>
        <v>#N/A</v>
      </c>
      <c r="BH184" s="43" t="e">
        <f t="shared" si="50"/>
        <v>#N/A</v>
      </c>
      <c r="BI184" s="43" t="e">
        <f t="shared" si="51"/>
        <v>#N/A</v>
      </c>
      <c r="BJ184" s="43" t="e">
        <f t="shared" si="52"/>
        <v>#N/A</v>
      </c>
      <c r="BK184" s="43">
        <f t="shared" si="53"/>
        <v>-2.94</v>
      </c>
      <c r="BL184" s="43" t="e">
        <f t="shared" si="54"/>
        <v>#N/A</v>
      </c>
      <c r="BM184" s="43" t="e">
        <f t="shared" si="55"/>
        <v>#N/A</v>
      </c>
      <c r="BN184" s="43" t="e">
        <f t="shared" si="56"/>
        <v>#N/A</v>
      </c>
      <c r="BO184" s="43">
        <f t="shared" si="57"/>
        <v>-2.94</v>
      </c>
      <c r="BP184" s="43">
        <f t="shared" si="58"/>
        <v>-2.9249999999999998</v>
      </c>
      <c r="BQ184" s="43" t="e">
        <f t="shared" si="59"/>
        <v>#N/A</v>
      </c>
      <c r="BR184" s="43" t="str">
        <f t="shared" si="60"/>
        <v/>
      </c>
      <c r="BS184" s="43" t="str">
        <f t="shared" si="61"/>
        <v/>
      </c>
      <c r="BT184" s="43" t="str">
        <f t="shared" si="62"/>
        <v/>
      </c>
    </row>
    <row r="185" spans="52:72" ht="12" customHeight="1">
      <c r="AZ185" s="43">
        <v>177</v>
      </c>
      <c r="BA185" s="43" t="str">
        <f t="shared" si="63"/>
        <v/>
      </c>
      <c r="BB185" s="43" t="str">
        <f t="shared" si="44"/>
        <v/>
      </c>
      <c r="BC185" s="43" t="str">
        <f t="shared" si="45"/>
        <v/>
      </c>
      <c r="BD185" s="43" t="str">
        <f t="shared" si="46"/>
        <v/>
      </c>
      <c r="BE185" s="43" t="e">
        <f t="shared" si="47"/>
        <v>#N/A</v>
      </c>
      <c r="BF185" s="43" t="e">
        <f t="shared" si="48"/>
        <v>#N/A</v>
      </c>
      <c r="BG185" s="43" t="e">
        <f t="shared" si="49"/>
        <v>#N/A</v>
      </c>
      <c r="BH185" s="43" t="e">
        <f t="shared" si="50"/>
        <v>#N/A</v>
      </c>
      <c r="BI185" s="43" t="e">
        <f t="shared" si="51"/>
        <v>#N/A</v>
      </c>
      <c r="BJ185" s="43" t="e">
        <f t="shared" si="52"/>
        <v>#N/A</v>
      </c>
      <c r="BK185" s="43">
        <f t="shared" si="53"/>
        <v>-2.94</v>
      </c>
      <c r="BL185" s="43" t="e">
        <f t="shared" si="54"/>
        <v>#N/A</v>
      </c>
      <c r="BM185" s="43" t="e">
        <f t="shared" si="55"/>
        <v>#N/A</v>
      </c>
      <c r="BN185" s="43" t="e">
        <f t="shared" si="56"/>
        <v>#N/A</v>
      </c>
      <c r="BO185" s="43">
        <f t="shared" si="57"/>
        <v>-2.94</v>
      </c>
      <c r="BP185" s="43">
        <f t="shared" si="58"/>
        <v>-2.9249999999999998</v>
      </c>
      <c r="BQ185" s="43" t="e">
        <f t="shared" si="59"/>
        <v>#N/A</v>
      </c>
      <c r="BR185" s="43" t="str">
        <f t="shared" si="60"/>
        <v/>
      </c>
      <c r="BS185" s="43" t="str">
        <f t="shared" si="61"/>
        <v/>
      </c>
      <c r="BT185" s="43" t="str">
        <f t="shared" si="62"/>
        <v/>
      </c>
    </row>
    <row r="186" spans="52:72" ht="12" customHeight="1">
      <c r="AZ186" s="43">
        <v>178</v>
      </c>
      <c r="BA186" s="43" t="str">
        <f t="shared" si="63"/>
        <v/>
      </c>
      <c r="BB186" s="43" t="str">
        <f t="shared" si="44"/>
        <v/>
      </c>
      <c r="BC186" s="43" t="str">
        <f t="shared" si="45"/>
        <v/>
      </c>
      <c r="BD186" s="43" t="str">
        <f t="shared" si="46"/>
        <v/>
      </c>
      <c r="BE186" s="43" t="e">
        <f t="shared" si="47"/>
        <v>#N/A</v>
      </c>
      <c r="BF186" s="43" t="e">
        <f t="shared" si="48"/>
        <v>#N/A</v>
      </c>
      <c r="BG186" s="43" t="e">
        <f t="shared" si="49"/>
        <v>#N/A</v>
      </c>
      <c r="BH186" s="43" t="e">
        <f t="shared" si="50"/>
        <v>#N/A</v>
      </c>
      <c r="BI186" s="43" t="e">
        <f t="shared" si="51"/>
        <v>#N/A</v>
      </c>
      <c r="BJ186" s="43" t="e">
        <f t="shared" si="52"/>
        <v>#N/A</v>
      </c>
      <c r="BK186" s="43">
        <f t="shared" si="53"/>
        <v>-2.94</v>
      </c>
      <c r="BL186" s="43" t="e">
        <f t="shared" si="54"/>
        <v>#N/A</v>
      </c>
      <c r="BM186" s="43" t="e">
        <f t="shared" si="55"/>
        <v>#N/A</v>
      </c>
      <c r="BN186" s="43" t="e">
        <f t="shared" si="56"/>
        <v>#N/A</v>
      </c>
      <c r="BO186" s="43">
        <f t="shared" si="57"/>
        <v>-2.94</v>
      </c>
      <c r="BP186" s="43">
        <f t="shared" si="58"/>
        <v>-2.9249999999999998</v>
      </c>
      <c r="BQ186" s="43" t="e">
        <f t="shared" si="59"/>
        <v>#N/A</v>
      </c>
      <c r="BR186" s="43" t="str">
        <f t="shared" si="60"/>
        <v/>
      </c>
      <c r="BS186" s="43" t="str">
        <f t="shared" si="61"/>
        <v/>
      </c>
      <c r="BT186" s="43" t="str">
        <f t="shared" si="62"/>
        <v/>
      </c>
    </row>
    <row r="187" spans="52:72" ht="12" customHeight="1">
      <c r="AZ187" s="43">
        <v>179</v>
      </c>
      <c r="BA187" s="43" t="str">
        <f t="shared" si="63"/>
        <v/>
      </c>
      <c r="BB187" s="43" t="str">
        <f t="shared" si="44"/>
        <v/>
      </c>
      <c r="BC187" s="43" t="str">
        <f t="shared" si="45"/>
        <v/>
      </c>
      <c r="BD187" s="43" t="str">
        <f t="shared" si="46"/>
        <v/>
      </c>
      <c r="BE187" s="43" t="e">
        <f t="shared" si="47"/>
        <v>#N/A</v>
      </c>
      <c r="BF187" s="43" t="e">
        <f t="shared" si="48"/>
        <v>#N/A</v>
      </c>
      <c r="BG187" s="43" t="e">
        <f t="shared" si="49"/>
        <v>#N/A</v>
      </c>
      <c r="BH187" s="43" t="e">
        <f t="shared" si="50"/>
        <v>#N/A</v>
      </c>
      <c r="BI187" s="43" t="e">
        <f t="shared" si="51"/>
        <v>#N/A</v>
      </c>
      <c r="BJ187" s="43" t="e">
        <f t="shared" si="52"/>
        <v>#N/A</v>
      </c>
      <c r="BK187" s="43">
        <f t="shared" si="53"/>
        <v>-2.94</v>
      </c>
      <c r="BL187" s="43" t="e">
        <f t="shared" si="54"/>
        <v>#N/A</v>
      </c>
      <c r="BM187" s="43" t="e">
        <f t="shared" si="55"/>
        <v>#N/A</v>
      </c>
      <c r="BN187" s="43" t="e">
        <f t="shared" si="56"/>
        <v>#N/A</v>
      </c>
      <c r="BO187" s="43">
        <f t="shared" si="57"/>
        <v>-2.94</v>
      </c>
      <c r="BP187" s="43">
        <f t="shared" si="58"/>
        <v>-2.9249999999999998</v>
      </c>
      <c r="BQ187" s="43" t="e">
        <f t="shared" si="59"/>
        <v>#N/A</v>
      </c>
      <c r="BR187" s="43" t="str">
        <f t="shared" si="60"/>
        <v/>
      </c>
      <c r="BS187" s="43" t="str">
        <f t="shared" si="61"/>
        <v/>
      </c>
      <c r="BT187" s="43" t="str">
        <f t="shared" si="62"/>
        <v/>
      </c>
    </row>
    <row r="188" spans="52:72" ht="12" customHeight="1">
      <c r="AZ188" s="43">
        <v>180</v>
      </c>
      <c r="BA188" s="43" t="str">
        <f t="shared" si="63"/>
        <v/>
      </c>
      <c r="BB188" s="43" t="str">
        <f t="shared" si="44"/>
        <v/>
      </c>
      <c r="BC188" s="43" t="str">
        <f t="shared" si="45"/>
        <v/>
      </c>
      <c r="BD188" s="43" t="str">
        <f t="shared" si="46"/>
        <v/>
      </c>
      <c r="BE188" s="43" t="e">
        <f t="shared" si="47"/>
        <v>#N/A</v>
      </c>
      <c r="BF188" s="43" t="e">
        <f t="shared" si="48"/>
        <v>#N/A</v>
      </c>
      <c r="BG188" s="43" t="e">
        <f t="shared" si="49"/>
        <v>#N/A</v>
      </c>
      <c r="BH188" s="43" t="e">
        <f t="shared" si="50"/>
        <v>#N/A</v>
      </c>
      <c r="BI188" s="43" t="e">
        <f t="shared" si="51"/>
        <v>#N/A</v>
      </c>
      <c r="BJ188" s="43" t="e">
        <f t="shared" si="52"/>
        <v>#N/A</v>
      </c>
      <c r="BK188" s="43">
        <f t="shared" si="53"/>
        <v>-2.94</v>
      </c>
      <c r="BL188" s="43" t="e">
        <f t="shared" si="54"/>
        <v>#N/A</v>
      </c>
      <c r="BM188" s="43" t="e">
        <f t="shared" si="55"/>
        <v>#N/A</v>
      </c>
      <c r="BN188" s="43" t="e">
        <f t="shared" si="56"/>
        <v>#N/A</v>
      </c>
      <c r="BO188" s="43">
        <f t="shared" si="57"/>
        <v>-2.94</v>
      </c>
      <c r="BP188" s="43">
        <f t="shared" si="58"/>
        <v>-2.9249999999999998</v>
      </c>
      <c r="BQ188" s="43" t="e">
        <f t="shared" si="59"/>
        <v>#N/A</v>
      </c>
      <c r="BR188" s="43" t="str">
        <f t="shared" si="60"/>
        <v/>
      </c>
      <c r="BS188" s="43" t="str">
        <f t="shared" si="61"/>
        <v/>
      </c>
      <c r="BT188" s="43" t="str">
        <f t="shared" si="62"/>
        <v/>
      </c>
    </row>
    <row r="189" spans="52:72" ht="12" customHeight="1">
      <c r="AZ189" s="43">
        <v>181</v>
      </c>
      <c r="BA189" s="43" t="str">
        <f t="shared" si="63"/>
        <v/>
      </c>
      <c r="BB189" s="43" t="str">
        <f t="shared" si="44"/>
        <v/>
      </c>
      <c r="BC189" s="43" t="str">
        <f t="shared" si="45"/>
        <v/>
      </c>
      <c r="BD189" s="43" t="str">
        <f t="shared" si="46"/>
        <v/>
      </c>
      <c r="BE189" s="43" t="e">
        <f t="shared" si="47"/>
        <v>#N/A</v>
      </c>
      <c r="BF189" s="43" t="e">
        <f t="shared" si="48"/>
        <v>#N/A</v>
      </c>
      <c r="BG189" s="43" t="e">
        <f t="shared" si="49"/>
        <v>#N/A</v>
      </c>
      <c r="BH189" s="43" t="e">
        <f t="shared" si="50"/>
        <v>#N/A</v>
      </c>
      <c r="BI189" s="43" t="e">
        <f t="shared" si="51"/>
        <v>#N/A</v>
      </c>
      <c r="BJ189" s="43" t="e">
        <f t="shared" si="52"/>
        <v>#N/A</v>
      </c>
      <c r="BK189" s="43">
        <f t="shared" si="53"/>
        <v>-2.94</v>
      </c>
      <c r="BL189" s="43" t="e">
        <f t="shared" si="54"/>
        <v>#N/A</v>
      </c>
      <c r="BM189" s="43" t="e">
        <f t="shared" si="55"/>
        <v>#N/A</v>
      </c>
      <c r="BN189" s="43" t="e">
        <f t="shared" si="56"/>
        <v>#N/A</v>
      </c>
      <c r="BO189" s="43">
        <f t="shared" si="57"/>
        <v>-2.94</v>
      </c>
      <c r="BP189" s="43">
        <f t="shared" si="58"/>
        <v>-2.9249999999999998</v>
      </c>
      <c r="BQ189" s="43" t="e">
        <f t="shared" si="59"/>
        <v>#N/A</v>
      </c>
      <c r="BR189" s="43" t="str">
        <f t="shared" si="60"/>
        <v/>
      </c>
      <c r="BS189" s="43" t="str">
        <f t="shared" si="61"/>
        <v/>
      </c>
      <c r="BT189" s="43" t="str">
        <f t="shared" si="62"/>
        <v/>
      </c>
    </row>
    <row r="190" spans="52:72" ht="12" customHeight="1">
      <c r="AZ190" s="43">
        <v>182</v>
      </c>
      <c r="BA190" s="43" t="str">
        <f t="shared" si="63"/>
        <v/>
      </c>
      <c r="BB190" s="43" t="str">
        <f t="shared" si="44"/>
        <v/>
      </c>
      <c r="BC190" s="43" t="str">
        <f t="shared" si="45"/>
        <v/>
      </c>
      <c r="BD190" s="43" t="str">
        <f t="shared" si="46"/>
        <v/>
      </c>
      <c r="BE190" s="43" t="e">
        <f t="shared" si="47"/>
        <v>#N/A</v>
      </c>
      <c r="BF190" s="43" t="e">
        <f t="shared" si="48"/>
        <v>#N/A</v>
      </c>
      <c r="BG190" s="43" t="e">
        <f t="shared" si="49"/>
        <v>#N/A</v>
      </c>
      <c r="BH190" s="43" t="e">
        <f t="shared" si="50"/>
        <v>#N/A</v>
      </c>
      <c r="BI190" s="43" t="e">
        <f t="shared" si="51"/>
        <v>#N/A</v>
      </c>
      <c r="BJ190" s="43" t="e">
        <f t="shared" si="52"/>
        <v>#N/A</v>
      </c>
      <c r="BK190" s="43">
        <f t="shared" si="53"/>
        <v>-2.94</v>
      </c>
      <c r="BL190" s="43" t="e">
        <f t="shared" si="54"/>
        <v>#N/A</v>
      </c>
      <c r="BM190" s="43" t="e">
        <f t="shared" si="55"/>
        <v>#N/A</v>
      </c>
      <c r="BN190" s="43" t="e">
        <f t="shared" si="56"/>
        <v>#N/A</v>
      </c>
      <c r="BO190" s="43">
        <f t="shared" si="57"/>
        <v>-2.94</v>
      </c>
      <c r="BP190" s="43">
        <f t="shared" si="58"/>
        <v>-2.9249999999999998</v>
      </c>
      <c r="BQ190" s="43" t="e">
        <f t="shared" si="59"/>
        <v>#N/A</v>
      </c>
      <c r="BR190" s="43" t="str">
        <f t="shared" si="60"/>
        <v/>
      </c>
      <c r="BS190" s="43" t="str">
        <f t="shared" si="61"/>
        <v/>
      </c>
      <c r="BT190" s="43" t="str">
        <f t="shared" si="62"/>
        <v/>
      </c>
    </row>
    <row r="191" spans="52:72" ht="12" customHeight="1">
      <c r="AZ191" s="43">
        <v>183</v>
      </c>
      <c r="BA191" s="43" t="str">
        <f t="shared" si="63"/>
        <v/>
      </c>
      <c r="BB191" s="43" t="str">
        <f t="shared" si="44"/>
        <v/>
      </c>
      <c r="BC191" s="43" t="str">
        <f t="shared" si="45"/>
        <v/>
      </c>
      <c r="BD191" s="43" t="str">
        <f t="shared" si="46"/>
        <v/>
      </c>
      <c r="BE191" s="43" t="e">
        <f t="shared" si="47"/>
        <v>#N/A</v>
      </c>
      <c r="BF191" s="43" t="e">
        <f t="shared" si="48"/>
        <v>#N/A</v>
      </c>
      <c r="BG191" s="43" t="e">
        <f t="shared" si="49"/>
        <v>#N/A</v>
      </c>
      <c r="BH191" s="43" t="e">
        <f t="shared" si="50"/>
        <v>#N/A</v>
      </c>
      <c r="BI191" s="43" t="e">
        <f t="shared" si="51"/>
        <v>#N/A</v>
      </c>
      <c r="BJ191" s="43" t="e">
        <f t="shared" si="52"/>
        <v>#N/A</v>
      </c>
      <c r="BK191" s="43">
        <f t="shared" si="53"/>
        <v>-2.94</v>
      </c>
      <c r="BL191" s="43" t="e">
        <f t="shared" si="54"/>
        <v>#N/A</v>
      </c>
      <c r="BM191" s="43" t="e">
        <f t="shared" si="55"/>
        <v>#N/A</v>
      </c>
      <c r="BN191" s="43" t="e">
        <f t="shared" si="56"/>
        <v>#N/A</v>
      </c>
      <c r="BO191" s="43">
        <f t="shared" si="57"/>
        <v>-2.94</v>
      </c>
      <c r="BP191" s="43">
        <f t="shared" si="58"/>
        <v>-2.9249999999999998</v>
      </c>
      <c r="BQ191" s="43" t="e">
        <f t="shared" si="59"/>
        <v>#N/A</v>
      </c>
      <c r="BR191" s="43" t="str">
        <f t="shared" si="60"/>
        <v/>
      </c>
      <c r="BS191" s="43" t="str">
        <f t="shared" si="61"/>
        <v/>
      </c>
      <c r="BT191" s="43" t="str">
        <f t="shared" si="62"/>
        <v/>
      </c>
    </row>
    <row r="192" spans="52:72" ht="12" customHeight="1">
      <c r="AZ192" s="43">
        <v>184</v>
      </c>
      <c r="BA192" s="43" t="str">
        <f t="shared" si="63"/>
        <v/>
      </c>
      <c r="BB192" s="43" t="str">
        <f t="shared" si="44"/>
        <v/>
      </c>
      <c r="BC192" s="43" t="str">
        <f t="shared" si="45"/>
        <v/>
      </c>
      <c r="BD192" s="43" t="str">
        <f t="shared" si="46"/>
        <v/>
      </c>
      <c r="BE192" s="43" t="e">
        <f t="shared" si="47"/>
        <v>#N/A</v>
      </c>
      <c r="BF192" s="43" t="e">
        <f t="shared" si="48"/>
        <v>#N/A</v>
      </c>
      <c r="BG192" s="43" t="e">
        <f t="shared" si="49"/>
        <v>#N/A</v>
      </c>
      <c r="BH192" s="43" t="e">
        <f t="shared" si="50"/>
        <v>#N/A</v>
      </c>
      <c r="BI192" s="43" t="e">
        <f t="shared" si="51"/>
        <v>#N/A</v>
      </c>
      <c r="BJ192" s="43" t="e">
        <f t="shared" si="52"/>
        <v>#N/A</v>
      </c>
      <c r="BK192" s="43">
        <f t="shared" si="53"/>
        <v>-2.94</v>
      </c>
      <c r="BL192" s="43" t="e">
        <f t="shared" si="54"/>
        <v>#N/A</v>
      </c>
      <c r="BM192" s="43" t="e">
        <f t="shared" si="55"/>
        <v>#N/A</v>
      </c>
      <c r="BN192" s="43" t="e">
        <f t="shared" si="56"/>
        <v>#N/A</v>
      </c>
      <c r="BO192" s="43">
        <f t="shared" si="57"/>
        <v>-2.94</v>
      </c>
      <c r="BP192" s="43">
        <f t="shared" si="58"/>
        <v>-2.9249999999999998</v>
      </c>
      <c r="BQ192" s="43" t="e">
        <f t="shared" si="59"/>
        <v>#N/A</v>
      </c>
      <c r="BR192" s="43" t="str">
        <f t="shared" si="60"/>
        <v/>
      </c>
      <c r="BS192" s="43" t="str">
        <f t="shared" si="61"/>
        <v/>
      </c>
      <c r="BT192" s="43" t="str">
        <f t="shared" si="62"/>
        <v/>
      </c>
    </row>
    <row r="193" spans="52:72" ht="12" customHeight="1">
      <c r="AZ193" s="43">
        <v>185</v>
      </c>
      <c r="BA193" s="43" t="str">
        <f t="shared" si="63"/>
        <v/>
      </c>
      <c r="BB193" s="43" t="str">
        <f t="shared" si="44"/>
        <v/>
      </c>
      <c r="BC193" s="43" t="str">
        <f t="shared" si="45"/>
        <v/>
      </c>
      <c r="BD193" s="43" t="str">
        <f t="shared" si="46"/>
        <v/>
      </c>
      <c r="BE193" s="43" t="e">
        <f t="shared" si="47"/>
        <v>#N/A</v>
      </c>
      <c r="BF193" s="43" t="e">
        <f t="shared" si="48"/>
        <v>#N/A</v>
      </c>
      <c r="BG193" s="43" t="e">
        <f t="shared" si="49"/>
        <v>#N/A</v>
      </c>
      <c r="BH193" s="43" t="e">
        <f t="shared" si="50"/>
        <v>#N/A</v>
      </c>
      <c r="BI193" s="43" t="e">
        <f t="shared" si="51"/>
        <v>#N/A</v>
      </c>
      <c r="BJ193" s="43" t="e">
        <f t="shared" si="52"/>
        <v>#N/A</v>
      </c>
      <c r="BK193" s="43">
        <f t="shared" si="53"/>
        <v>-2.94</v>
      </c>
      <c r="BL193" s="43" t="e">
        <f t="shared" si="54"/>
        <v>#N/A</v>
      </c>
      <c r="BM193" s="43" t="e">
        <f t="shared" si="55"/>
        <v>#N/A</v>
      </c>
      <c r="BN193" s="43" t="e">
        <f t="shared" si="56"/>
        <v>#N/A</v>
      </c>
      <c r="BO193" s="43">
        <f t="shared" si="57"/>
        <v>-2.94</v>
      </c>
      <c r="BP193" s="43">
        <f t="shared" si="58"/>
        <v>-2.9249999999999998</v>
      </c>
      <c r="BQ193" s="43" t="e">
        <f t="shared" si="59"/>
        <v>#N/A</v>
      </c>
      <c r="BR193" s="43" t="str">
        <f t="shared" si="60"/>
        <v/>
      </c>
      <c r="BS193" s="43" t="str">
        <f t="shared" si="61"/>
        <v/>
      </c>
      <c r="BT193" s="43" t="str">
        <f t="shared" si="62"/>
        <v/>
      </c>
    </row>
    <row r="194" spans="52:72" ht="12" customHeight="1">
      <c r="AZ194" s="43">
        <v>186</v>
      </c>
      <c r="BA194" s="43" t="str">
        <f t="shared" si="63"/>
        <v/>
      </c>
      <c r="BB194" s="43" t="str">
        <f t="shared" si="44"/>
        <v/>
      </c>
      <c r="BC194" s="43" t="str">
        <f t="shared" si="45"/>
        <v/>
      </c>
      <c r="BD194" s="43" t="str">
        <f t="shared" si="46"/>
        <v/>
      </c>
      <c r="BE194" s="43" t="e">
        <f t="shared" si="47"/>
        <v>#N/A</v>
      </c>
      <c r="BF194" s="43" t="e">
        <f t="shared" si="48"/>
        <v>#N/A</v>
      </c>
      <c r="BG194" s="43" t="e">
        <f t="shared" si="49"/>
        <v>#N/A</v>
      </c>
      <c r="BH194" s="43" t="e">
        <f t="shared" si="50"/>
        <v>#N/A</v>
      </c>
      <c r="BI194" s="43" t="e">
        <f t="shared" si="51"/>
        <v>#N/A</v>
      </c>
      <c r="BJ194" s="43" t="e">
        <f t="shared" si="52"/>
        <v>#N/A</v>
      </c>
      <c r="BK194" s="43">
        <f t="shared" si="53"/>
        <v>-2.94</v>
      </c>
      <c r="BL194" s="43" t="e">
        <f t="shared" si="54"/>
        <v>#N/A</v>
      </c>
      <c r="BM194" s="43" t="e">
        <f t="shared" si="55"/>
        <v>#N/A</v>
      </c>
      <c r="BN194" s="43" t="e">
        <f t="shared" si="56"/>
        <v>#N/A</v>
      </c>
      <c r="BO194" s="43">
        <f t="shared" si="57"/>
        <v>-2.94</v>
      </c>
      <c r="BP194" s="43">
        <f t="shared" si="58"/>
        <v>-2.9249999999999998</v>
      </c>
      <c r="BQ194" s="43" t="e">
        <f t="shared" si="59"/>
        <v>#N/A</v>
      </c>
      <c r="BR194" s="43" t="str">
        <f t="shared" si="60"/>
        <v/>
      </c>
      <c r="BS194" s="43" t="str">
        <f t="shared" si="61"/>
        <v/>
      </c>
      <c r="BT194" s="43" t="str">
        <f t="shared" si="62"/>
        <v/>
      </c>
    </row>
    <row r="195" spans="52:72" ht="12" customHeight="1">
      <c r="AZ195" s="43">
        <v>187</v>
      </c>
      <c r="BA195" s="43" t="str">
        <f t="shared" si="63"/>
        <v/>
      </c>
      <c r="BB195" s="43" t="str">
        <f t="shared" si="44"/>
        <v/>
      </c>
      <c r="BC195" s="43" t="str">
        <f t="shared" si="45"/>
        <v/>
      </c>
      <c r="BD195" s="43" t="str">
        <f t="shared" si="46"/>
        <v/>
      </c>
      <c r="BE195" s="43" t="e">
        <f t="shared" si="47"/>
        <v>#N/A</v>
      </c>
      <c r="BF195" s="43" t="e">
        <f t="shared" si="48"/>
        <v>#N/A</v>
      </c>
      <c r="BG195" s="43" t="e">
        <f t="shared" si="49"/>
        <v>#N/A</v>
      </c>
      <c r="BH195" s="43" t="e">
        <f t="shared" si="50"/>
        <v>#N/A</v>
      </c>
      <c r="BI195" s="43" t="e">
        <f t="shared" si="51"/>
        <v>#N/A</v>
      </c>
      <c r="BJ195" s="43" t="e">
        <f t="shared" si="52"/>
        <v>#N/A</v>
      </c>
      <c r="BK195" s="43">
        <f t="shared" si="53"/>
        <v>-2.94</v>
      </c>
      <c r="BL195" s="43" t="e">
        <f t="shared" si="54"/>
        <v>#N/A</v>
      </c>
      <c r="BM195" s="43" t="e">
        <f t="shared" si="55"/>
        <v>#N/A</v>
      </c>
      <c r="BN195" s="43" t="e">
        <f t="shared" si="56"/>
        <v>#N/A</v>
      </c>
      <c r="BO195" s="43">
        <f t="shared" si="57"/>
        <v>-2.94</v>
      </c>
      <c r="BP195" s="43">
        <f t="shared" si="58"/>
        <v>-2.9249999999999998</v>
      </c>
      <c r="BQ195" s="43" t="e">
        <f t="shared" si="59"/>
        <v>#N/A</v>
      </c>
      <c r="BR195" s="43" t="str">
        <f t="shared" si="60"/>
        <v/>
      </c>
      <c r="BS195" s="43" t="str">
        <f t="shared" si="61"/>
        <v/>
      </c>
      <c r="BT195" s="43" t="str">
        <f t="shared" si="62"/>
        <v/>
      </c>
    </row>
    <row r="196" spans="52:72" ht="12" customHeight="1">
      <c r="AZ196" s="43">
        <v>188</v>
      </c>
      <c r="BA196" s="43" t="str">
        <f t="shared" si="63"/>
        <v/>
      </c>
      <c r="BB196" s="43" t="str">
        <f t="shared" si="44"/>
        <v/>
      </c>
      <c r="BC196" s="43" t="str">
        <f t="shared" si="45"/>
        <v/>
      </c>
      <c r="BD196" s="43" t="str">
        <f t="shared" si="46"/>
        <v/>
      </c>
      <c r="BE196" s="43" t="e">
        <f t="shared" si="47"/>
        <v>#N/A</v>
      </c>
      <c r="BF196" s="43" t="e">
        <f t="shared" si="48"/>
        <v>#N/A</v>
      </c>
      <c r="BG196" s="43" t="e">
        <f t="shared" si="49"/>
        <v>#N/A</v>
      </c>
      <c r="BH196" s="43" t="e">
        <f t="shared" si="50"/>
        <v>#N/A</v>
      </c>
      <c r="BI196" s="43" t="e">
        <f t="shared" si="51"/>
        <v>#N/A</v>
      </c>
      <c r="BJ196" s="43" t="e">
        <f t="shared" si="52"/>
        <v>#N/A</v>
      </c>
      <c r="BK196" s="43">
        <f t="shared" si="53"/>
        <v>-2.94</v>
      </c>
      <c r="BL196" s="43" t="e">
        <f t="shared" si="54"/>
        <v>#N/A</v>
      </c>
      <c r="BM196" s="43" t="e">
        <f t="shared" si="55"/>
        <v>#N/A</v>
      </c>
      <c r="BN196" s="43" t="e">
        <f t="shared" si="56"/>
        <v>#N/A</v>
      </c>
      <c r="BO196" s="43">
        <f t="shared" si="57"/>
        <v>-2.94</v>
      </c>
      <c r="BP196" s="43">
        <f t="shared" si="58"/>
        <v>-2.9249999999999998</v>
      </c>
      <c r="BQ196" s="43" t="e">
        <f t="shared" si="59"/>
        <v>#N/A</v>
      </c>
      <c r="BR196" s="43" t="str">
        <f t="shared" si="60"/>
        <v/>
      </c>
      <c r="BS196" s="43" t="str">
        <f t="shared" si="61"/>
        <v/>
      </c>
      <c r="BT196" s="43" t="str">
        <f t="shared" si="62"/>
        <v/>
      </c>
    </row>
    <row r="197" spans="52:72" ht="12" customHeight="1">
      <c r="AZ197" s="43">
        <v>189</v>
      </c>
      <c r="BA197" s="43" t="str">
        <f t="shared" si="63"/>
        <v/>
      </c>
      <c r="BB197" s="43" t="str">
        <f t="shared" si="44"/>
        <v/>
      </c>
      <c r="BC197" s="43" t="str">
        <f t="shared" si="45"/>
        <v/>
      </c>
      <c r="BD197" s="43" t="str">
        <f t="shared" si="46"/>
        <v/>
      </c>
      <c r="BE197" s="43" t="e">
        <f t="shared" si="47"/>
        <v>#N/A</v>
      </c>
      <c r="BF197" s="43" t="e">
        <f t="shared" si="48"/>
        <v>#N/A</v>
      </c>
      <c r="BG197" s="43" t="e">
        <f t="shared" si="49"/>
        <v>#N/A</v>
      </c>
      <c r="BH197" s="43" t="e">
        <f t="shared" si="50"/>
        <v>#N/A</v>
      </c>
      <c r="BI197" s="43" t="e">
        <f t="shared" si="51"/>
        <v>#N/A</v>
      </c>
      <c r="BJ197" s="43" t="e">
        <f t="shared" si="52"/>
        <v>#N/A</v>
      </c>
      <c r="BK197" s="43">
        <f t="shared" si="53"/>
        <v>-2.94</v>
      </c>
      <c r="BL197" s="43" t="e">
        <f t="shared" si="54"/>
        <v>#N/A</v>
      </c>
      <c r="BM197" s="43" t="e">
        <f t="shared" si="55"/>
        <v>#N/A</v>
      </c>
      <c r="BN197" s="43" t="e">
        <f t="shared" si="56"/>
        <v>#N/A</v>
      </c>
      <c r="BO197" s="43">
        <f t="shared" si="57"/>
        <v>-2.94</v>
      </c>
      <c r="BP197" s="43">
        <f t="shared" si="58"/>
        <v>-2.9249999999999998</v>
      </c>
      <c r="BQ197" s="43" t="e">
        <f t="shared" si="59"/>
        <v>#N/A</v>
      </c>
      <c r="BR197" s="43" t="str">
        <f t="shared" si="60"/>
        <v/>
      </c>
      <c r="BS197" s="43" t="str">
        <f t="shared" si="61"/>
        <v/>
      </c>
      <c r="BT197" s="43" t="str">
        <f t="shared" si="62"/>
        <v/>
      </c>
    </row>
    <row r="198" spans="52:72" ht="12" customHeight="1">
      <c r="AZ198" s="43">
        <v>190</v>
      </c>
      <c r="BA198" s="43" t="str">
        <f t="shared" si="63"/>
        <v/>
      </c>
      <c r="BB198" s="43" t="str">
        <f t="shared" si="44"/>
        <v/>
      </c>
      <c r="BC198" s="43" t="str">
        <f t="shared" si="45"/>
        <v/>
      </c>
      <c r="BD198" s="43" t="str">
        <f t="shared" si="46"/>
        <v/>
      </c>
      <c r="BE198" s="43" t="e">
        <f t="shared" si="47"/>
        <v>#N/A</v>
      </c>
      <c r="BF198" s="43" t="e">
        <f t="shared" si="48"/>
        <v>#N/A</v>
      </c>
      <c r="BG198" s="43" t="e">
        <f t="shared" si="49"/>
        <v>#N/A</v>
      </c>
      <c r="BH198" s="43" t="e">
        <f t="shared" si="50"/>
        <v>#N/A</v>
      </c>
      <c r="BI198" s="43" t="e">
        <f t="shared" si="51"/>
        <v>#N/A</v>
      </c>
      <c r="BJ198" s="43" t="e">
        <f t="shared" si="52"/>
        <v>#N/A</v>
      </c>
      <c r="BK198" s="43">
        <f t="shared" si="53"/>
        <v>-2.94</v>
      </c>
      <c r="BL198" s="43" t="e">
        <f t="shared" si="54"/>
        <v>#N/A</v>
      </c>
      <c r="BM198" s="43" t="e">
        <f t="shared" si="55"/>
        <v>#N/A</v>
      </c>
      <c r="BN198" s="43" t="e">
        <f t="shared" si="56"/>
        <v>#N/A</v>
      </c>
      <c r="BO198" s="43">
        <f t="shared" si="57"/>
        <v>-2.94</v>
      </c>
      <c r="BP198" s="43">
        <f t="shared" si="58"/>
        <v>-2.9249999999999998</v>
      </c>
      <c r="BQ198" s="43" t="e">
        <f t="shared" si="59"/>
        <v>#N/A</v>
      </c>
      <c r="BR198" s="43" t="str">
        <f t="shared" si="60"/>
        <v/>
      </c>
      <c r="BS198" s="43" t="str">
        <f t="shared" si="61"/>
        <v/>
      </c>
      <c r="BT198" s="43" t="str">
        <f t="shared" si="62"/>
        <v/>
      </c>
    </row>
    <row r="199" spans="52:72" ht="12" customHeight="1">
      <c r="AZ199" s="43">
        <v>191</v>
      </c>
      <c r="BA199" s="43" t="str">
        <f t="shared" si="63"/>
        <v/>
      </c>
      <c r="BB199" s="43" t="str">
        <f t="shared" si="44"/>
        <v/>
      </c>
      <c r="BC199" s="43" t="str">
        <f t="shared" si="45"/>
        <v/>
      </c>
      <c r="BD199" s="43" t="str">
        <f t="shared" si="46"/>
        <v/>
      </c>
      <c r="BE199" s="43" t="e">
        <f t="shared" si="47"/>
        <v>#N/A</v>
      </c>
      <c r="BF199" s="43" t="e">
        <f t="shared" si="48"/>
        <v>#N/A</v>
      </c>
      <c r="BG199" s="43" t="e">
        <f t="shared" si="49"/>
        <v>#N/A</v>
      </c>
      <c r="BH199" s="43" t="e">
        <f t="shared" si="50"/>
        <v>#N/A</v>
      </c>
      <c r="BI199" s="43" t="e">
        <f t="shared" si="51"/>
        <v>#N/A</v>
      </c>
      <c r="BJ199" s="43" t="e">
        <f t="shared" si="52"/>
        <v>#N/A</v>
      </c>
      <c r="BK199" s="43">
        <f t="shared" si="53"/>
        <v>-2.94</v>
      </c>
      <c r="BL199" s="43" t="e">
        <f t="shared" si="54"/>
        <v>#N/A</v>
      </c>
      <c r="BM199" s="43" t="e">
        <f t="shared" si="55"/>
        <v>#N/A</v>
      </c>
      <c r="BN199" s="43" t="e">
        <f t="shared" si="56"/>
        <v>#N/A</v>
      </c>
      <c r="BO199" s="43">
        <f t="shared" si="57"/>
        <v>-2.94</v>
      </c>
      <c r="BP199" s="43">
        <f t="shared" si="58"/>
        <v>-2.9249999999999998</v>
      </c>
      <c r="BQ199" s="43" t="e">
        <f t="shared" si="59"/>
        <v>#N/A</v>
      </c>
      <c r="BR199" s="43" t="str">
        <f t="shared" si="60"/>
        <v/>
      </c>
      <c r="BS199" s="43" t="str">
        <f t="shared" si="61"/>
        <v/>
      </c>
      <c r="BT199" s="43" t="str">
        <f t="shared" si="62"/>
        <v/>
      </c>
    </row>
    <row r="200" spans="52:72" ht="12" customHeight="1">
      <c r="AZ200" s="43">
        <v>192</v>
      </c>
      <c r="BA200" s="43" t="str">
        <f t="shared" si="63"/>
        <v/>
      </c>
      <c r="BB200" s="43" t="str">
        <f t="shared" si="44"/>
        <v/>
      </c>
      <c r="BC200" s="43" t="str">
        <f t="shared" si="45"/>
        <v/>
      </c>
      <c r="BD200" s="43" t="str">
        <f t="shared" si="46"/>
        <v/>
      </c>
      <c r="BE200" s="43" t="e">
        <f t="shared" si="47"/>
        <v>#N/A</v>
      </c>
      <c r="BF200" s="43" t="e">
        <f t="shared" si="48"/>
        <v>#N/A</v>
      </c>
      <c r="BG200" s="43" t="e">
        <f t="shared" si="49"/>
        <v>#N/A</v>
      </c>
      <c r="BH200" s="43" t="e">
        <f t="shared" si="50"/>
        <v>#N/A</v>
      </c>
      <c r="BI200" s="43" t="e">
        <f t="shared" si="51"/>
        <v>#N/A</v>
      </c>
      <c r="BJ200" s="43" t="e">
        <f t="shared" si="52"/>
        <v>#N/A</v>
      </c>
      <c r="BK200" s="43">
        <f t="shared" si="53"/>
        <v>-2.94</v>
      </c>
      <c r="BL200" s="43" t="e">
        <f t="shared" si="54"/>
        <v>#N/A</v>
      </c>
      <c r="BM200" s="43" t="e">
        <f t="shared" si="55"/>
        <v>#N/A</v>
      </c>
      <c r="BN200" s="43" t="e">
        <f t="shared" si="56"/>
        <v>#N/A</v>
      </c>
      <c r="BO200" s="43">
        <f t="shared" si="57"/>
        <v>-2.94</v>
      </c>
      <c r="BP200" s="43">
        <f t="shared" si="58"/>
        <v>-2.9249999999999998</v>
      </c>
      <c r="BQ200" s="43" t="e">
        <f t="shared" si="59"/>
        <v>#N/A</v>
      </c>
      <c r="BR200" s="43" t="str">
        <f t="shared" si="60"/>
        <v/>
      </c>
      <c r="BS200" s="43" t="str">
        <f t="shared" si="61"/>
        <v/>
      </c>
      <c r="BT200" s="43" t="str">
        <f t="shared" si="62"/>
        <v/>
      </c>
    </row>
    <row r="201" spans="52:72" ht="12" customHeight="1">
      <c r="AZ201" s="43">
        <v>193</v>
      </c>
      <c r="BA201" s="43" t="str">
        <f t="shared" si="63"/>
        <v/>
      </c>
      <c r="BB201" s="43" t="str">
        <f t="shared" ref="BB201:BB264" si="64">IF(AZ201&gt;$H$6,"",MOD(BA201*100000013,1))</f>
        <v/>
      </c>
      <c r="BC201" s="43" t="str">
        <f t="shared" ref="BC201:BC264" si="65">IF(AZ201&gt;$H$6,"",NORMSINV(BA201))</f>
        <v/>
      </c>
      <c r="BD201" s="43" t="str">
        <f t="shared" ref="BD201:BD264" si="66">IF(AZ201&gt;$H$6,"",BC201*$BA$7*$BD$4+$BB$5*NORMSINV(BB201))</f>
        <v/>
      </c>
      <c r="BE201" s="43" t="e">
        <f t="shared" ref="BE201:BE264" si="67">IF($AY$22,IF(BC201="",NA(),BC201),NA())</f>
        <v>#N/A</v>
      </c>
      <c r="BF201" s="43" t="e">
        <f t="shared" ref="BF201:BF264" si="68">IF($AY$22,IF(BD201="",NA(),BD201),NA())</f>
        <v>#N/A</v>
      </c>
      <c r="BG201" s="43" t="e">
        <f t="shared" ref="BG201:BG264" si="69">OR(BE201&lt;-forzoom,BE201&gt;forzoom,BF201&lt;-forzoom,BF201&gt;forzoom)</f>
        <v>#N/A</v>
      </c>
      <c r="BH201" s="43" t="e">
        <f t="shared" ref="BH201:BH264" si="70">IF(BG201,IF(ISNA(BE201),NA(),IF(BE201&lt;-forzoom,-forzoom,IF(BE201&gt;forzoom,forzoom,BE201))),NA())</f>
        <v>#N/A</v>
      </c>
      <c r="BI201" s="43" t="e">
        <f t="shared" ref="BI201:BI264" si="71">IF(ISNA(BF201),NA(),IF(BF201&lt;-forzoom,-forzoom,IF(BF201&gt;forzoom,forzoom,BF201)))</f>
        <v>#N/A</v>
      </c>
      <c r="BJ201" s="43" t="e">
        <f t="shared" ref="BJ201:BJ264" si="72">IF($BI$5,BE201,NA())</f>
        <v>#N/A</v>
      </c>
      <c r="BK201" s="43">
        <f t="shared" ref="BK201:BK264" si="73">-forzoom*$BK$6</f>
        <v>-2.94</v>
      </c>
      <c r="BL201" s="43" t="e">
        <f t="shared" ref="BL201:BL264" si="74">IF($BI$6,-forzoom*$BL$6,NA())</f>
        <v>#N/A</v>
      </c>
      <c r="BM201" s="43" t="e">
        <f t="shared" ref="BM201:BM264" si="75">BF201</f>
        <v>#N/A</v>
      </c>
      <c r="BN201" s="43" t="e">
        <f t="shared" ref="BN201:BN264" si="76">IF($BI$5,IF(BE201&gt;forzoom,forzoom,IF(BE201&lt;-forzoom,-forzoom,NA())),NA())</f>
        <v>#N/A</v>
      </c>
      <c r="BO201" s="43">
        <f t="shared" ref="BO201:BO264" si="77">-forzoom*$BK$6</f>
        <v>-2.94</v>
      </c>
      <c r="BP201" s="43">
        <f t="shared" ref="BP201:BP264" si="78">-forzoom*$BL$6</f>
        <v>-2.9249999999999998</v>
      </c>
      <c r="BQ201" s="43" t="e">
        <f t="shared" ref="BQ201:BQ264" si="79">IF($BI$6,IF(BF201&gt;forzoom,forzoom,IF(BF201&lt;-forzoom,-forzoom,NA())),NA())</f>
        <v>#N/A</v>
      </c>
      <c r="BR201" s="43" t="str">
        <f t="shared" ref="BR201:BR264" si="80">IF(BC201="","",BC201-$BC$6)</f>
        <v/>
      </c>
      <c r="BS201" s="43" t="str">
        <f t="shared" ref="BS201:BS264" si="81">IF(BD201="","",BD201-$BD$6)</f>
        <v/>
      </c>
      <c r="BT201" s="43" t="str">
        <f t="shared" ref="BT201:BT264" si="82">IF(BR201="","",BR201*BS201)</f>
        <v/>
      </c>
    </row>
    <row r="202" spans="52:72" ht="12" customHeight="1">
      <c r="AZ202" s="43">
        <v>194</v>
      </c>
      <c r="BA202" s="43" t="str">
        <f t="shared" ref="BA202:BA265" si="83">IF(AZ202&gt;$H$6,"",MOD(BB201*100000013,1))</f>
        <v/>
      </c>
      <c r="BB202" s="43" t="str">
        <f t="shared" si="64"/>
        <v/>
      </c>
      <c r="BC202" s="43" t="str">
        <f t="shared" si="65"/>
        <v/>
      </c>
      <c r="BD202" s="43" t="str">
        <f t="shared" si="66"/>
        <v/>
      </c>
      <c r="BE202" s="43" t="e">
        <f t="shared" si="67"/>
        <v>#N/A</v>
      </c>
      <c r="BF202" s="43" t="e">
        <f t="shared" si="68"/>
        <v>#N/A</v>
      </c>
      <c r="BG202" s="43" t="e">
        <f t="shared" si="69"/>
        <v>#N/A</v>
      </c>
      <c r="BH202" s="43" t="e">
        <f t="shared" si="70"/>
        <v>#N/A</v>
      </c>
      <c r="BI202" s="43" t="e">
        <f t="shared" si="71"/>
        <v>#N/A</v>
      </c>
      <c r="BJ202" s="43" t="e">
        <f t="shared" si="72"/>
        <v>#N/A</v>
      </c>
      <c r="BK202" s="43">
        <f t="shared" si="73"/>
        <v>-2.94</v>
      </c>
      <c r="BL202" s="43" t="e">
        <f t="shared" si="74"/>
        <v>#N/A</v>
      </c>
      <c r="BM202" s="43" t="e">
        <f t="shared" si="75"/>
        <v>#N/A</v>
      </c>
      <c r="BN202" s="43" t="e">
        <f t="shared" si="76"/>
        <v>#N/A</v>
      </c>
      <c r="BO202" s="43">
        <f t="shared" si="77"/>
        <v>-2.94</v>
      </c>
      <c r="BP202" s="43">
        <f t="shared" si="78"/>
        <v>-2.9249999999999998</v>
      </c>
      <c r="BQ202" s="43" t="e">
        <f t="shared" si="79"/>
        <v>#N/A</v>
      </c>
      <c r="BR202" s="43" t="str">
        <f t="shared" si="80"/>
        <v/>
      </c>
      <c r="BS202" s="43" t="str">
        <f t="shared" si="81"/>
        <v/>
      </c>
      <c r="BT202" s="43" t="str">
        <f t="shared" si="82"/>
        <v/>
      </c>
    </row>
    <row r="203" spans="52:72" ht="12" customHeight="1">
      <c r="AZ203" s="43">
        <v>195</v>
      </c>
      <c r="BA203" s="43" t="str">
        <f t="shared" si="83"/>
        <v/>
      </c>
      <c r="BB203" s="43" t="str">
        <f t="shared" si="64"/>
        <v/>
      </c>
      <c r="BC203" s="43" t="str">
        <f t="shared" si="65"/>
        <v/>
      </c>
      <c r="BD203" s="43" t="str">
        <f t="shared" si="66"/>
        <v/>
      </c>
      <c r="BE203" s="43" t="e">
        <f t="shared" si="67"/>
        <v>#N/A</v>
      </c>
      <c r="BF203" s="43" t="e">
        <f t="shared" si="68"/>
        <v>#N/A</v>
      </c>
      <c r="BG203" s="43" t="e">
        <f t="shared" si="69"/>
        <v>#N/A</v>
      </c>
      <c r="BH203" s="43" t="e">
        <f t="shared" si="70"/>
        <v>#N/A</v>
      </c>
      <c r="BI203" s="43" t="e">
        <f t="shared" si="71"/>
        <v>#N/A</v>
      </c>
      <c r="BJ203" s="43" t="e">
        <f t="shared" si="72"/>
        <v>#N/A</v>
      </c>
      <c r="BK203" s="43">
        <f t="shared" si="73"/>
        <v>-2.94</v>
      </c>
      <c r="BL203" s="43" t="e">
        <f t="shared" si="74"/>
        <v>#N/A</v>
      </c>
      <c r="BM203" s="43" t="e">
        <f t="shared" si="75"/>
        <v>#N/A</v>
      </c>
      <c r="BN203" s="43" t="e">
        <f t="shared" si="76"/>
        <v>#N/A</v>
      </c>
      <c r="BO203" s="43">
        <f t="shared" si="77"/>
        <v>-2.94</v>
      </c>
      <c r="BP203" s="43">
        <f t="shared" si="78"/>
        <v>-2.9249999999999998</v>
      </c>
      <c r="BQ203" s="43" t="e">
        <f t="shared" si="79"/>
        <v>#N/A</v>
      </c>
      <c r="BR203" s="43" t="str">
        <f t="shared" si="80"/>
        <v/>
      </c>
      <c r="BS203" s="43" t="str">
        <f t="shared" si="81"/>
        <v/>
      </c>
      <c r="BT203" s="43" t="str">
        <f t="shared" si="82"/>
        <v/>
      </c>
    </row>
    <row r="204" spans="52:72" ht="12" customHeight="1">
      <c r="AZ204" s="43">
        <v>196</v>
      </c>
      <c r="BA204" s="43" t="str">
        <f t="shared" si="83"/>
        <v/>
      </c>
      <c r="BB204" s="43" t="str">
        <f t="shared" si="64"/>
        <v/>
      </c>
      <c r="BC204" s="43" t="str">
        <f t="shared" si="65"/>
        <v/>
      </c>
      <c r="BD204" s="43" t="str">
        <f t="shared" si="66"/>
        <v/>
      </c>
      <c r="BE204" s="43" t="e">
        <f t="shared" si="67"/>
        <v>#N/A</v>
      </c>
      <c r="BF204" s="43" t="e">
        <f t="shared" si="68"/>
        <v>#N/A</v>
      </c>
      <c r="BG204" s="43" t="e">
        <f t="shared" si="69"/>
        <v>#N/A</v>
      </c>
      <c r="BH204" s="43" t="e">
        <f t="shared" si="70"/>
        <v>#N/A</v>
      </c>
      <c r="BI204" s="43" t="e">
        <f t="shared" si="71"/>
        <v>#N/A</v>
      </c>
      <c r="BJ204" s="43" t="e">
        <f t="shared" si="72"/>
        <v>#N/A</v>
      </c>
      <c r="BK204" s="43">
        <f t="shared" si="73"/>
        <v>-2.94</v>
      </c>
      <c r="BL204" s="43" t="e">
        <f t="shared" si="74"/>
        <v>#N/A</v>
      </c>
      <c r="BM204" s="43" t="e">
        <f t="shared" si="75"/>
        <v>#N/A</v>
      </c>
      <c r="BN204" s="43" t="e">
        <f t="shared" si="76"/>
        <v>#N/A</v>
      </c>
      <c r="BO204" s="43">
        <f t="shared" si="77"/>
        <v>-2.94</v>
      </c>
      <c r="BP204" s="43">
        <f t="shared" si="78"/>
        <v>-2.9249999999999998</v>
      </c>
      <c r="BQ204" s="43" t="e">
        <f t="shared" si="79"/>
        <v>#N/A</v>
      </c>
      <c r="BR204" s="43" t="str">
        <f t="shared" si="80"/>
        <v/>
      </c>
      <c r="BS204" s="43" t="str">
        <f t="shared" si="81"/>
        <v/>
      </c>
      <c r="BT204" s="43" t="str">
        <f t="shared" si="82"/>
        <v/>
      </c>
    </row>
    <row r="205" spans="52:72" ht="12" customHeight="1">
      <c r="AZ205" s="43">
        <v>197</v>
      </c>
      <c r="BA205" s="43" t="str">
        <f t="shared" si="83"/>
        <v/>
      </c>
      <c r="BB205" s="43" t="str">
        <f t="shared" si="64"/>
        <v/>
      </c>
      <c r="BC205" s="43" t="str">
        <f t="shared" si="65"/>
        <v/>
      </c>
      <c r="BD205" s="43" t="str">
        <f t="shared" si="66"/>
        <v/>
      </c>
      <c r="BE205" s="43" t="e">
        <f t="shared" si="67"/>
        <v>#N/A</v>
      </c>
      <c r="BF205" s="43" t="e">
        <f t="shared" si="68"/>
        <v>#N/A</v>
      </c>
      <c r="BG205" s="43" t="e">
        <f t="shared" si="69"/>
        <v>#N/A</v>
      </c>
      <c r="BH205" s="43" t="e">
        <f t="shared" si="70"/>
        <v>#N/A</v>
      </c>
      <c r="BI205" s="43" t="e">
        <f t="shared" si="71"/>
        <v>#N/A</v>
      </c>
      <c r="BJ205" s="43" t="e">
        <f t="shared" si="72"/>
        <v>#N/A</v>
      </c>
      <c r="BK205" s="43">
        <f t="shared" si="73"/>
        <v>-2.94</v>
      </c>
      <c r="BL205" s="43" t="e">
        <f t="shared" si="74"/>
        <v>#N/A</v>
      </c>
      <c r="BM205" s="43" t="e">
        <f t="shared" si="75"/>
        <v>#N/A</v>
      </c>
      <c r="BN205" s="43" t="e">
        <f t="shared" si="76"/>
        <v>#N/A</v>
      </c>
      <c r="BO205" s="43">
        <f t="shared" si="77"/>
        <v>-2.94</v>
      </c>
      <c r="BP205" s="43">
        <f t="shared" si="78"/>
        <v>-2.9249999999999998</v>
      </c>
      <c r="BQ205" s="43" t="e">
        <f t="shared" si="79"/>
        <v>#N/A</v>
      </c>
      <c r="BR205" s="43" t="str">
        <f t="shared" si="80"/>
        <v/>
      </c>
      <c r="BS205" s="43" t="str">
        <f t="shared" si="81"/>
        <v/>
      </c>
      <c r="BT205" s="43" t="str">
        <f t="shared" si="82"/>
        <v/>
      </c>
    </row>
    <row r="206" spans="52:72" ht="12" customHeight="1">
      <c r="AZ206" s="43">
        <v>198</v>
      </c>
      <c r="BA206" s="43" t="str">
        <f t="shared" si="83"/>
        <v/>
      </c>
      <c r="BB206" s="43" t="str">
        <f t="shared" si="64"/>
        <v/>
      </c>
      <c r="BC206" s="43" t="str">
        <f t="shared" si="65"/>
        <v/>
      </c>
      <c r="BD206" s="43" t="str">
        <f t="shared" si="66"/>
        <v/>
      </c>
      <c r="BE206" s="43" t="e">
        <f t="shared" si="67"/>
        <v>#N/A</v>
      </c>
      <c r="BF206" s="43" t="e">
        <f t="shared" si="68"/>
        <v>#N/A</v>
      </c>
      <c r="BG206" s="43" t="e">
        <f t="shared" si="69"/>
        <v>#N/A</v>
      </c>
      <c r="BH206" s="43" t="e">
        <f t="shared" si="70"/>
        <v>#N/A</v>
      </c>
      <c r="BI206" s="43" t="e">
        <f t="shared" si="71"/>
        <v>#N/A</v>
      </c>
      <c r="BJ206" s="43" t="e">
        <f t="shared" si="72"/>
        <v>#N/A</v>
      </c>
      <c r="BK206" s="43">
        <f t="shared" si="73"/>
        <v>-2.94</v>
      </c>
      <c r="BL206" s="43" t="e">
        <f t="shared" si="74"/>
        <v>#N/A</v>
      </c>
      <c r="BM206" s="43" t="e">
        <f t="shared" si="75"/>
        <v>#N/A</v>
      </c>
      <c r="BN206" s="43" t="e">
        <f t="shared" si="76"/>
        <v>#N/A</v>
      </c>
      <c r="BO206" s="43">
        <f t="shared" si="77"/>
        <v>-2.94</v>
      </c>
      <c r="BP206" s="43">
        <f t="shared" si="78"/>
        <v>-2.9249999999999998</v>
      </c>
      <c r="BQ206" s="43" t="e">
        <f t="shared" si="79"/>
        <v>#N/A</v>
      </c>
      <c r="BR206" s="43" t="str">
        <f t="shared" si="80"/>
        <v/>
      </c>
      <c r="BS206" s="43" t="str">
        <f t="shared" si="81"/>
        <v/>
      </c>
      <c r="BT206" s="43" t="str">
        <f t="shared" si="82"/>
        <v/>
      </c>
    </row>
    <row r="207" spans="52:72" ht="12" customHeight="1">
      <c r="AZ207" s="43">
        <v>199</v>
      </c>
      <c r="BA207" s="43" t="str">
        <f t="shared" si="83"/>
        <v/>
      </c>
      <c r="BB207" s="43" t="str">
        <f t="shared" si="64"/>
        <v/>
      </c>
      <c r="BC207" s="43" t="str">
        <f t="shared" si="65"/>
        <v/>
      </c>
      <c r="BD207" s="43" t="str">
        <f t="shared" si="66"/>
        <v/>
      </c>
      <c r="BE207" s="43" t="e">
        <f t="shared" si="67"/>
        <v>#N/A</v>
      </c>
      <c r="BF207" s="43" t="e">
        <f t="shared" si="68"/>
        <v>#N/A</v>
      </c>
      <c r="BG207" s="43" t="e">
        <f t="shared" si="69"/>
        <v>#N/A</v>
      </c>
      <c r="BH207" s="43" t="e">
        <f t="shared" si="70"/>
        <v>#N/A</v>
      </c>
      <c r="BI207" s="43" t="e">
        <f t="shared" si="71"/>
        <v>#N/A</v>
      </c>
      <c r="BJ207" s="43" t="e">
        <f t="shared" si="72"/>
        <v>#N/A</v>
      </c>
      <c r="BK207" s="43">
        <f t="shared" si="73"/>
        <v>-2.94</v>
      </c>
      <c r="BL207" s="43" t="e">
        <f t="shared" si="74"/>
        <v>#N/A</v>
      </c>
      <c r="BM207" s="43" t="e">
        <f t="shared" si="75"/>
        <v>#N/A</v>
      </c>
      <c r="BN207" s="43" t="e">
        <f t="shared" si="76"/>
        <v>#N/A</v>
      </c>
      <c r="BO207" s="43">
        <f t="shared" si="77"/>
        <v>-2.94</v>
      </c>
      <c r="BP207" s="43">
        <f t="shared" si="78"/>
        <v>-2.9249999999999998</v>
      </c>
      <c r="BQ207" s="43" t="e">
        <f t="shared" si="79"/>
        <v>#N/A</v>
      </c>
      <c r="BR207" s="43" t="str">
        <f t="shared" si="80"/>
        <v/>
      </c>
      <c r="BS207" s="43" t="str">
        <f t="shared" si="81"/>
        <v/>
      </c>
      <c r="BT207" s="43" t="str">
        <f t="shared" si="82"/>
        <v/>
      </c>
    </row>
    <row r="208" spans="52:72" ht="12" customHeight="1">
      <c r="AZ208" s="43">
        <v>200</v>
      </c>
      <c r="BA208" s="43" t="str">
        <f t="shared" si="83"/>
        <v/>
      </c>
      <c r="BB208" s="43" t="str">
        <f t="shared" si="64"/>
        <v/>
      </c>
      <c r="BC208" s="43" t="str">
        <f t="shared" si="65"/>
        <v/>
      </c>
      <c r="BD208" s="43" t="str">
        <f t="shared" si="66"/>
        <v/>
      </c>
      <c r="BE208" s="43" t="e">
        <f t="shared" si="67"/>
        <v>#N/A</v>
      </c>
      <c r="BF208" s="43" t="e">
        <f t="shared" si="68"/>
        <v>#N/A</v>
      </c>
      <c r="BG208" s="43" t="e">
        <f t="shared" si="69"/>
        <v>#N/A</v>
      </c>
      <c r="BH208" s="43" t="e">
        <f t="shared" si="70"/>
        <v>#N/A</v>
      </c>
      <c r="BI208" s="43" t="e">
        <f t="shared" si="71"/>
        <v>#N/A</v>
      </c>
      <c r="BJ208" s="43" t="e">
        <f t="shared" si="72"/>
        <v>#N/A</v>
      </c>
      <c r="BK208" s="43">
        <f t="shared" si="73"/>
        <v>-2.94</v>
      </c>
      <c r="BL208" s="43" t="e">
        <f t="shared" si="74"/>
        <v>#N/A</v>
      </c>
      <c r="BM208" s="43" t="e">
        <f t="shared" si="75"/>
        <v>#N/A</v>
      </c>
      <c r="BN208" s="43" t="e">
        <f t="shared" si="76"/>
        <v>#N/A</v>
      </c>
      <c r="BO208" s="43">
        <f t="shared" si="77"/>
        <v>-2.94</v>
      </c>
      <c r="BP208" s="43">
        <f t="shared" si="78"/>
        <v>-2.9249999999999998</v>
      </c>
      <c r="BQ208" s="43" t="e">
        <f t="shared" si="79"/>
        <v>#N/A</v>
      </c>
      <c r="BR208" s="43" t="str">
        <f t="shared" si="80"/>
        <v/>
      </c>
      <c r="BS208" s="43" t="str">
        <f t="shared" si="81"/>
        <v/>
      </c>
      <c r="BT208" s="43" t="str">
        <f t="shared" si="82"/>
        <v/>
      </c>
    </row>
    <row r="209" spans="52:72" ht="12" customHeight="1">
      <c r="AZ209" s="43">
        <v>201</v>
      </c>
      <c r="BA209" s="43" t="str">
        <f t="shared" si="83"/>
        <v/>
      </c>
      <c r="BB209" s="43" t="str">
        <f t="shared" si="64"/>
        <v/>
      </c>
      <c r="BC209" s="43" t="str">
        <f t="shared" si="65"/>
        <v/>
      </c>
      <c r="BD209" s="43" t="str">
        <f t="shared" si="66"/>
        <v/>
      </c>
      <c r="BE209" s="43" t="e">
        <f t="shared" si="67"/>
        <v>#N/A</v>
      </c>
      <c r="BF209" s="43" t="e">
        <f t="shared" si="68"/>
        <v>#N/A</v>
      </c>
      <c r="BG209" s="43" t="e">
        <f t="shared" si="69"/>
        <v>#N/A</v>
      </c>
      <c r="BH209" s="43" t="e">
        <f t="shared" si="70"/>
        <v>#N/A</v>
      </c>
      <c r="BI209" s="43" t="e">
        <f t="shared" si="71"/>
        <v>#N/A</v>
      </c>
      <c r="BJ209" s="43" t="e">
        <f t="shared" si="72"/>
        <v>#N/A</v>
      </c>
      <c r="BK209" s="43">
        <f t="shared" si="73"/>
        <v>-2.94</v>
      </c>
      <c r="BL209" s="43" t="e">
        <f t="shared" si="74"/>
        <v>#N/A</v>
      </c>
      <c r="BM209" s="43" t="e">
        <f t="shared" si="75"/>
        <v>#N/A</v>
      </c>
      <c r="BN209" s="43" t="e">
        <f t="shared" si="76"/>
        <v>#N/A</v>
      </c>
      <c r="BO209" s="43">
        <f t="shared" si="77"/>
        <v>-2.94</v>
      </c>
      <c r="BP209" s="43">
        <f t="shared" si="78"/>
        <v>-2.9249999999999998</v>
      </c>
      <c r="BQ209" s="43" t="e">
        <f t="shared" si="79"/>
        <v>#N/A</v>
      </c>
      <c r="BR209" s="43" t="str">
        <f t="shared" si="80"/>
        <v/>
      </c>
      <c r="BS209" s="43" t="str">
        <f t="shared" si="81"/>
        <v/>
      </c>
      <c r="BT209" s="43" t="str">
        <f t="shared" si="82"/>
        <v/>
      </c>
    </row>
    <row r="210" spans="52:72" ht="12" customHeight="1">
      <c r="AZ210" s="43">
        <v>202</v>
      </c>
      <c r="BA210" s="43" t="str">
        <f t="shared" si="83"/>
        <v/>
      </c>
      <c r="BB210" s="43" t="str">
        <f t="shared" si="64"/>
        <v/>
      </c>
      <c r="BC210" s="43" t="str">
        <f t="shared" si="65"/>
        <v/>
      </c>
      <c r="BD210" s="43" t="str">
        <f t="shared" si="66"/>
        <v/>
      </c>
      <c r="BE210" s="43" t="e">
        <f t="shared" si="67"/>
        <v>#N/A</v>
      </c>
      <c r="BF210" s="43" t="e">
        <f t="shared" si="68"/>
        <v>#N/A</v>
      </c>
      <c r="BG210" s="43" t="e">
        <f t="shared" si="69"/>
        <v>#N/A</v>
      </c>
      <c r="BH210" s="43" t="e">
        <f t="shared" si="70"/>
        <v>#N/A</v>
      </c>
      <c r="BI210" s="43" t="e">
        <f t="shared" si="71"/>
        <v>#N/A</v>
      </c>
      <c r="BJ210" s="43" t="e">
        <f t="shared" si="72"/>
        <v>#N/A</v>
      </c>
      <c r="BK210" s="43">
        <f t="shared" si="73"/>
        <v>-2.94</v>
      </c>
      <c r="BL210" s="43" t="e">
        <f t="shared" si="74"/>
        <v>#N/A</v>
      </c>
      <c r="BM210" s="43" t="e">
        <f t="shared" si="75"/>
        <v>#N/A</v>
      </c>
      <c r="BN210" s="43" t="e">
        <f t="shared" si="76"/>
        <v>#N/A</v>
      </c>
      <c r="BO210" s="43">
        <f t="shared" si="77"/>
        <v>-2.94</v>
      </c>
      <c r="BP210" s="43">
        <f t="shared" si="78"/>
        <v>-2.9249999999999998</v>
      </c>
      <c r="BQ210" s="43" t="e">
        <f t="shared" si="79"/>
        <v>#N/A</v>
      </c>
      <c r="BR210" s="43" t="str">
        <f t="shared" si="80"/>
        <v/>
      </c>
      <c r="BS210" s="43" t="str">
        <f t="shared" si="81"/>
        <v/>
      </c>
      <c r="BT210" s="43" t="str">
        <f t="shared" si="82"/>
        <v/>
      </c>
    </row>
    <row r="211" spans="52:72" ht="12" customHeight="1">
      <c r="AZ211" s="43">
        <v>203</v>
      </c>
      <c r="BA211" s="43" t="str">
        <f t="shared" si="83"/>
        <v/>
      </c>
      <c r="BB211" s="43" t="str">
        <f t="shared" si="64"/>
        <v/>
      </c>
      <c r="BC211" s="43" t="str">
        <f t="shared" si="65"/>
        <v/>
      </c>
      <c r="BD211" s="43" t="str">
        <f t="shared" si="66"/>
        <v/>
      </c>
      <c r="BE211" s="43" t="e">
        <f t="shared" si="67"/>
        <v>#N/A</v>
      </c>
      <c r="BF211" s="43" t="e">
        <f t="shared" si="68"/>
        <v>#N/A</v>
      </c>
      <c r="BG211" s="43" t="e">
        <f t="shared" si="69"/>
        <v>#N/A</v>
      </c>
      <c r="BH211" s="43" t="e">
        <f t="shared" si="70"/>
        <v>#N/A</v>
      </c>
      <c r="BI211" s="43" t="e">
        <f t="shared" si="71"/>
        <v>#N/A</v>
      </c>
      <c r="BJ211" s="43" t="e">
        <f t="shared" si="72"/>
        <v>#N/A</v>
      </c>
      <c r="BK211" s="43">
        <f t="shared" si="73"/>
        <v>-2.94</v>
      </c>
      <c r="BL211" s="43" t="e">
        <f t="shared" si="74"/>
        <v>#N/A</v>
      </c>
      <c r="BM211" s="43" t="e">
        <f t="shared" si="75"/>
        <v>#N/A</v>
      </c>
      <c r="BN211" s="43" t="e">
        <f t="shared" si="76"/>
        <v>#N/A</v>
      </c>
      <c r="BO211" s="43">
        <f t="shared" si="77"/>
        <v>-2.94</v>
      </c>
      <c r="BP211" s="43">
        <f t="shared" si="78"/>
        <v>-2.9249999999999998</v>
      </c>
      <c r="BQ211" s="43" t="e">
        <f t="shared" si="79"/>
        <v>#N/A</v>
      </c>
      <c r="BR211" s="43" t="str">
        <f t="shared" si="80"/>
        <v/>
      </c>
      <c r="BS211" s="43" t="str">
        <f t="shared" si="81"/>
        <v/>
      </c>
      <c r="BT211" s="43" t="str">
        <f t="shared" si="82"/>
        <v/>
      </c>
    </row>
    <row r="212" spans="52:72" ht="12" customHeight="1">
      <c r="AZ212" s="43">
        <v>204</v>
      </c>
      <c r="BA212" s="43" t="str">
        <f t="shared" si="83"/>
        <v/>
      </c>
      <c r="BB212" s="43" t="str">
        <f t="shared" si="64"/>
        <v/>
      </c>
      <c r="BC212" s="43" t="str">
        <f t="shared" si="65"/>
        <v/>
      </c>
      <c r="BD212" s="43" t="str">
        <f t="shared" si="66"/>
        <v/>
      </c>
      <c r="BE212" s="43" t="e">
        <f t="shared" si="67"/>
        <v>#N/A</v>
      </c>
      <c r="BF212" s="43" t="e">
        <f t="shared" si="68"/>
        <v>#N/A</v>
      </c>
      <c r="BG212" s="43" t="e">
        <f t="shared" si="69"/>
        <v>#N/A</v>
      </c>
      <c r="BH212" s="43" t="e">
        <f t="shared" si="70"/>
        <v>#N/A</v>
      </c>
      <c r="BI212" s="43" t="e">
        <f t="shared" si="71"/>
        <v>#N/A</v>
      </c>
      <c r="BJ212" s="43" t="e">
        <f t="shared" si="72"/>
        <v>#N/A</v>
      </c>
      <c r="BK212" s="43">
        <f t="shared" si="73"/>
        <v>-2.94</v>
      </c>
      <c r="BL212" s="43" t="e">
        <f t="shared" si="74"/>
        <v>#N/A</v>
      </c>
      <c r="BM212" s="43" t="e">
        <f t="shared" si="75"/>
        <v>#N/A</v>
      </c>
      <c r="BN212" s="43" t="e">
        <f t="shared" si="76"/>
        <v>#N/A</v>
      </c>
      <c r="BO212" s="43">
        <f t="shared" si="77"/>
        <v>-2.94</v>
      </c>
      <c r="BP212" s="43">
        <f t="shared" si="78"/>
        <v>-2.9249999999999998</v>
      </c>
      <c r="BQ212" s="43" t="e">
        <f t="shared" si="79"/>
        <v>#N/A</v>
      </c>
      <c r="BR212" s="43" t="str">
        <f t="shared" si="80"/>
        <v/>
      </c>
      <c r="BS212" s="43" t="str">
        <f t="shared" si="81"/>
        <v/>
      </c>
      <c r="BT212" s="43" t="str">
        <f t="shared" si="82"/>
        <v/>
      </c>
    </row>
    <row r="213" spans="52:72" ht="12" customHeight="1">
      <c r="AZ213" s="43">
        <v>205</v>
      </c>
      <c r="BA213" s="43" t="str">
        <f t="shared" si="83"/>
        <v/>
      </c>
      <c r="BB213" s="43" t="str">
        <f t="shared" si="64"/>
        <v/>
      </c>
      <c r="BC213" s="43" t="str">
        <f t="shared" si="65"/>
        <v/>
      </c>
      <c r="BD213" s="43" t="str">
        <f t="shared" si="66"/>
        <v/>
      </c>
      <c r="BE213" s="43" t="e">
        <f t="shared" si="67"/>
        <v>#N/A</v>
      </c>
      <c r="BF213" s="43" t="e">
        <f t="shared" si="68"/>
        <v>#N/A</v>
      </c>
      <c r="BG213" s="43" t="e">
        <f t="shared" si="69"/>
        <v>#N/A</v>
      </c>
      <c r="BH213" s="43" t="e">
        <f t="shared" si="70"/>
        <v>#N/A</v>
      </c>
      <c r="BI213" s="43" t="e">
        <f t="shared" si="71"/>
        <v>#N/A</v>
      </c>
      <c r="BJ213" s="43" t="e">
        <f t="shared" si="72"/>
        <v>#N/A</v>
      </c>
      <c r="BK213" s="43">
        <f t="shared" si="73"/>
        <v>-2.94</v>
      </c>
      <c r="BL213" s="43" t="e">
        <f t="shared" si="74"/>
        <v>#N/A</v>
      </c>
      <c r="BM213" s="43" t="e">
        <f t="shared" si="75"/>
        <v>#N/A</v>
      </c>
      <c r="BN213" s="43" t="e">
        <f t="shared" si="76"/>
        <v>#N/A</v>
      </c>
      <c r="BO213" s="43">
        <f t="shared" si="77"/>
        <v>-2.94</v>
      </c>
      <c r="BP213" s="43">
        <f t="shared" si="78"/>
        <v>-2.9249999999999998</v>
      </c>
      <c r="BQ213" s="43" t="e">
        <f t="shared" si="79"/>
        <v>#N/A</v>
      </c>
      <c r="BR213" s="43" t="str">
        <f t="shared" si="80"/>
        <v/>
      </c>
      <c r="BS213" s="43" t="str">
        <f t="shared" si="81"/>
        <v/>
      </c>
      <c r="BT213" s="43" t="str">
        <f t="shared" si="82"/>
        <v/>
      </c>
    </row>
    <row r="214" spans="52:72" ht="12" customHeight="1">
      <c r="AZ214" s="43">
        <v>206</v>
      </c>
      <c r="BA214" s="43" t="str">
        <f t="shared" si="83"/>
        <v/>
      </c>
      <c r="BB214" s="43" t="str">
        <f t="shared" si="64"/>
        <v/>
      </c>
      <c r="BC214" s="43" t="str">
        <f t="shared" si="65"/>
        <v/>
      </c>
      <c r="BD214" s="43" t="str">
        <f t="shared" si="66"/>
        <v/>
      </c>
      <c r="BE214" s="43" t="e">
        <f t="shared" si="67"/>
        <v>#N/A</v>
      </c>
      <c r="BF214" s="43" t="e">
        <f t="shared" si="68"/>
        <v>#N/A</v>
      </c>
      <c r="BG214" s="43" t="e">
        <f t="shared" si="69"/>
        <v>#N/A</v>
      </c>
      <c r="BH214" s="43" t="e">
        <f t="shared" si="70"/>
        <v>#N/A</v>
      </c>
      <c r="BI214" s="43" t="e">
        <f t="shared" si="71"/>
        <v>#N/A</v>
      </c>
      <c r="BJ214" s="43" t="e">
        <f t="shared" si="72"/>
        <v>#N/A</v>
      </c>
      <c r="BK214" s="43">
        <f t="shared" si="73"/>
        <v>-2.94</v>
      </c>
      <c r="BL214" s="43" t="e">
        <f t="shared" si="74"/>
        <v>#N/A</v>
      </c>
      <c r="BM214" s="43" t="e">
        <f t="shared" si="75"/>
        <v>#N/A</v>
      </c>
      <c r="BN214" s="43" t="e">
        <f t="shared" si="76"/>
        <v>#N/A</v>
      </c>
      <c r="BO214" s="43">
        <f t="shared" si="77"/>
        <v>-2.94</v>
      </c>
      <c r="BP214" s="43">
        <f t="shared" si="78"/>
        <v>-2.9249999999999998</v>
      </c>
      <c r="BQ214" s="43" t="e">
        <f t="shared" si="79"/>
        <v>#N/A</v>
      </c>
      <c r="BR214" s="43" t="str">
        <f t="shared" si="80"/>
        <v/>
      </c>
      <c r="BS214" s="43" t="str">
        <f t="shared" si="81"/>
        <v/>
      </c>
      <c r="BT214" s="43" t="str">
        <f t="shared" si="82"/>
        <v/>
      </c>
    </row>
    <row r="215" spans="52:72" ht="12" customHeight="1">
      <c r="AZ215" s="43">
        <v>207</v>
      </c>
      <c r="BA215" s="43" t="str">
        <f t="shared" si="83"/>
        <v/>
      </c>
      <c r="BB215" s="43" t="str">
        <f t="shared" si="64"/>
        <v/>
      </c>
      <c r="BC215" s="43" t="str">
        <f t="shared" si="65"/>
        <v/>
      </c>
      <c r="BD215" s="43" t="str">
        <f t="shared" si="66"/>
        <v/>
      </c>
      <c r="BE215" s="43" t="e">
        <f t="shared" si="67"/>
        <v>#N/A</v>
      </c>
      <c r="BF215" s="43" t="e">
        <f t="shared" si="68"/>
        <v>#N/A</v>
      </c>
      <c r="BG215" s="43" t="e">
        <f t="shared" si="69"/>
        <v>#N/A</v>
      </c>
      <c r="BH215" s="43" t="e">
        <f t="shared" si="70"/>
        <v>#N/A</v>
      </c>
      <c r="BI215" s="43" t="e">
        <f t="shared" si="71"/>
        <v>#N/A</v>
      </c>
      <c r="BJ215" s="43" t="e">
        <f t="shared" si="72"/>
        <v>#N/A</v>
      </c>
      <c r="BK215" s="43">
        <f t="shared" si="73"/>
        <v>-2.94</v>
      </c>
      <c r="BL215" s="43" t="e">
        <f t="shared" si="74"/>
        <v>#N/A</v>
      </c>
      <c r="BM215" s="43" t="e">
        <f t="shared" si="75"/>
        <v>#N/A</v>
      </c>
      <c r="BN215" s="43" t="e">
        <f t="shared" si="76"/>
        <v>#N/A</v>
      </c>
      <c r="BO215" s="43">
        <f t="shared" si="77"/>
        <v>-2.94</v>
      </c>
      <c r="BP215" s="43">
        <f t="shared" si="78"/>
        <v>-2.9249999999999998</v>
      </c>
      <c r="BQ215" s="43" t="e">
        <f t="shared" si="79"/>
        <v>#N/A</v>
      </c>
      <c r="BR215" s="43" t="str">
        <f t="shared" si="80"/>
        <v/>
      </c>
      <c r="BS215" s="43" t="str">
        <f t="shared" si="81"/>
        <v/>
      </c>
      <c r="BT215" s="43" t="str">
        <f t="shared" si="82"/>
        <v/>
      </c>
    </row>
    <row r="216" spans="52:72" ht="12" customHeight="1">
      <c r="AZ216" s="43">
        <v>208</v>
      </c>
      <c r="BA216" s="43" t="str">
        <f t="shared" si="83"/>
        <v/>
      </c>
      <c r="BB216" s="43" t="str">
        <f t="shared" si="64"/>
        <v/>
      </c>
      <c r="BC216" s="43" t="str">
        <f t="shared" si="65"/>
        <v/>
      </c>
      <c r="BD216" s="43" t="str">
        <f t="shared" si="66"/>
        <v/>
      </c>
      <c r="BE216" s="43" t="e">
        <f t="shared" si="67"/>
        <v>#N/A</v>
      </c>
      <c r="BF216" s="43" t="e">
        <f t="shared" si="68"/>
        <v>#N/A</v>
      </c>
      <c r="BG216" s="43" t="e">
        <f t="shared" si="69"/>
        <v>#N/A</v>
      </c>
      <c r="BH216" s="43" t="e">
        <f t="shared" si="70"/>
        <v>#N/A</v>
      </c>
      <c r="BI216" s="43" t="e">
        <f t="shared" si="71"/>
        <v>#N/A</v>
      </c>
      <c r="BJ216" s="43" t="e">
        <f t="shared" si="72"/>
        <v>#N/A</v>
      </c>
      <c r="BK216" s="43">
        <f t="shared" si="73"/>
        <v>-2.94</v>
      </c>
      <c r="BL216" s="43" t="e">
        <f t="shared" si="74"/>
        <v>#N/A</v>
      </c>
      <c r="BM216" s="43" t="e">
        <f t="shared" si="75"/>
        <v>#N/A</v>
      </c>
      <c r="BN216" s="43" t="e">
        <f t="shared" si="76"/>
        <v>#N/A</v>
      </c>
      <c r="BO216" s="43">
        <f t="shared" si="77"/>
        <v>-2.94</v>
      </c>
      <c r="BP216" s="43">
        <f t="shared" si="78"/>
        <v>-2.9249999999999998</v>
      </c>
      <c r="BQ216" s="43" t="e">
        <f t="shared" si="79"/>
        <v>#N/A</v>
      </c>
      <c r="BR216" s="43" t="str">
        <f t="shared" si="80"/>
        <v/>
      </c>
      <c r="BS216" s="43" t="str">
        <f t="shared" si="81"/>
        <v/>
      </c>
      <c r="BT216" s="43" t="str">
        <f t="shared" si="82"/>
        <v/>
      </c>
    </row>
    <row r="217" spans="52:72" ht="12" customHeight="1">
      <c r="AZ217" s="43">
        <v>209</v>
      </c>
      <c r="BA217" s="43" t="str">
        <f t="shared" si="83"/>
        <v/>
      </c>
      <c r="BB217" s="43" t="str">
        <f t="shared" si="64"/>
        <v/>
      </c>
      <c r="BC217" s="43" t="str">
        <f t="shared" si="65"/>
        <v/>
      </c>
      <c r="BD217" s="43" t="str">
        <f t="shared" si="66"/>
        <v/>
      </c>
      <c r="BE217" s="43" t="e">
        <f t="shared" si="67"/>
        <v>#N/A</v>
      </c>
      <c r="BF217" s="43" t="e">
        <f t="shared" si="68"/>
        <v>#N/A</v>
      </c>
      <c r="BG217" s="43" t="e">
        <f t="shared" si="69"/>
        <v>#N/A</v>
      </c>
      <c r="BH217" s="43" t="e">
        <f t="shared" si="70"/>
        <v>#N/A</v>
      </c>
      <c r="BI217" s="43" t="e">
        <f t="shared" si="71"/>
        <v>#N/A</v>
      </c>
      <c r="BJ217" s="43" t="e">
        <f t="shared" si="72"/>
        <v>#N/A</v>
      </c>
      <c r="BK217" s="43">
        <f t="shared" si="73"/>
        <v>-2.94</v>
      </c>
      <c r="BL217" s="43" t="e">
        <f t="shared" si="74"/>
        <v>#N/A</v>
      </c>
      <c r="BM217" s="43" t="e">
        <f t="shared" si="75"/>
        <v>#N/A</v>
      </c>
      <c r="BN217" s="43" t="e">
        <f t="shared" si="76"/>
        <v>#N/A</v>
      </c>
      <c r="BO217" s="43">
        <f t="shared" si="77"/>
        <v>-2.94</v>
      </c>
      <c r="BP217" s="43">
        <f t="shared" si="78"/>
        <v>-2.9249999999999998</v>
      </c>
      <c r="BQ217" s="43" t="e">
        <f t="shared" si="79"/>
        <v>#N/A</v>
      </c>
      <c r="BR217" s="43" t="str">
        <f t="shared" si="80"/>
        <v/>
      </c>
      <c r="BS217" s="43" t="str">
        <f t="shared" si="81"/>
        <v/>
      </c>
      <c r="BT217" s="43" t="str">
        <f t="shared" si="82"/>
        <v/>
      </c>
    </row>
    <row r="218" spans="52:72" ht="12" customHeight="1">
      <c r="AZ218" s="43">
        <v>210</v>
      </c>
      <c r="BA218" s="43" t="str">
        <f t="shared" si="83"/>
        <v/>
      </c>
      <c r="BB218" s="43" t="str">
        <f t="shared" si="64"/>
        <v/>
      </c>
      <c r="BC218" s="43" t="str">
        <f t="shared" si="65"/>
        <v/>
      </c>
      <c r="BD218" s="43" t="str">
        <f t="shared" si="66"/>
        <v/>
      </c>
      <c r="BE218" s="43" t="e">
        <f t="shared" si="67"/>
        <v>#N/A</v>
      </c>
      <c r="BF218" s="43" t="e">
        <f t="shared" si="68"/>
        <v>#N/A</v>
      </c>
      <c r="BG218" s="43" t="e">
        <f t="shared" si="69"/>
        <v>#N/A</v>
      </c>
      <c r="BH218" s="43" t="e">
        <f t="shared" si="70"/>
        <v>#N/A</v>
      </c>
      <c r="BI218" s="43" t="e">
        <f t="shared" si="71"/>
        <v>#N/A</v>
      </c>
      <c r="BJ218" s="43" t="e">
        <f t="shared" si="72"/>
        <v>#N/A</v>
      </c>
      <c r="BK218" s="43">
        <f t="shared" si="73"/>
        <v>-2.94</v>
      </c>
      <c r="BL218" s="43" t="e">
        <f t="shared" si="74"/>
        <v>#N/A</v>
      </c>
      <c r="BM218" s="43" t="e">
        <f t="shared" si="75"/>
        <v>#N/A</v>
      </c>
      <c r="BN218" s="43" t="e">
        <f t="shared" si="76"/>
        <v>#N/A</v>
      </c>
      <c r="BO218" s="43">
        <f t="shared" si="77"/>
        <v>-2.94</v>
      </c>
      <c r="BP218" s="43">
        <f t="shared" si="78"/>
        <v>-2.9249999999999998</v>
      </c>
      <c r="BQ218" s="43" t="e">
        <f t="shared" si="79"/>
        <v>#N/A</v>
      </c>
      <c r="BR218" s="43" t="str">
        <f t="shared" si="80"/>
        <v/>
      </c>
      <c r="BS218" s="43" t="str">
        <f t="shared" si="81"/>
        <v/>
      </c>
      <c r="BT218" s="43" t="str">
        <f t="shared" si="82"/>
        <v/>
      </c>
    </row>
    <row r="219" spans="52:72" ht="12" customHeight="1">
      <c r="AZ219" s="43">
        <v>211</v>
      </c>
      <c r="BA219" s="43" t="str">
        <f t="shared" si="83"/>
        <v/>
      </c>
      <c r="BB219" s="43" t="str">
        <f t="shared" si="64"/>
        <v/>
      </c>
      <c r="BC219" s="43" t="str">
        <f t="shared" si="65"/>
        <v/>
      </c>
      <c r="BD219" s="43" t="str">
        <f t="shared" si="66"/>
        <v/>
      </c>
      <c r="BE219" s="43" t="e">
        <f t="shared" si="67"/>
        <v>#N/A</v>
      </c>
      <c r="BF219" s="43" t="e">
        <f t="shared" si="68"/>
        <v>#N/A</v>
      </c>
      <c r="BG219" s="43" t="e">
        <f t="shared" si="69"/>
        <v>#N/A</v>
      </c>
      <c r="BH219" s="43" t="e">
        <f t="shared" si="70"/>
        <v>#N/A</v>
      </c>
      <c r="BI219" s="43" t="e">
        <f t="shared" si="71"/>
        <v>#N/A</v>
      </c>
      <c r="BJ219" s="43" t="e">
        <f t="shared" si="72"/>
        <v>#N/A</v>
      </c>
      <c r="BK219" s="43">
        <f t="shared" si="73"/>
        <v>-2.94</v>
      </c>
      <c r="BL219" s="43" t="e">
        <f t="shared" si="74"/>
        <v>#N/A</v>
      </c>
      <c r="BM219" s="43" t="e">
        <f t="shared" si="75"/>
        <v>#N/A</v>
      </c>
      <c r="BN219" s="43" t="e">
        <f t="shared" si="76"/>
        <v>#N/A</v>
      </c>
      <c r="BO219" s="43">
        <f t="shared" si="77"/>
        <v>-2.94</v>
      </c>
      <c r="BP219" s="43">
        <f t="shared" si="78"/>
        <v>-2.9249999999999998</v>
      </c>
      <c r="BQ219" s="43" t="e">
        <f t="shared" si="79"/>
        <v>#N/A</v>
      </c>
      <c r="BR219" s="43" t="str">
        <f t="shared" si="80"/>
        <v/>
      </c>
      <c r="BS219" s="43" t="str">
        <f t="shared" si="81"/>
        <v/>
      </c>
      <c r="BT219" s="43" t="str">
        <f t="shared" si="82"/>
        <v/>
      </c>
    </row>
    <row r="220" spans="52:72" ht="12" customHeight="1">
      <c r="AZ220" s="43">
        <v>212</v>
      </c>
      <c r="BA220" s="43" t="str">
        <f t="shared" si="83"/>
        <v/>
      </c>
      <c r="BB220" s="43" t="str">
        <f t="shared" si="64"/>
        <v/>
      </c>
      <c r="BC220" s="43" t="str">
        <f t="shared" si="65"/>
        <v/>
      </c>
      <c r="BD220" s="43" t="str">
        <f t="shared" si="66"/>
        <v/>
      </c>
      <c r="BE220" s="43" t="e">
        <f t="shared" si="67"/>
        <v>#N/A</v>
      </c>
      <c r="BF220" s="43" t="e">
        <f t="shared" si="68"/>
        <v>#N/A</v>
      </c>
      <c r="BG220" s="43" t="e">
        <f t="shared" si="69"/>
        <v>#N/A</v>
      </c>
      <c r="BH220" s="43" t="e">
        <f t="shared" si="70"/>
        <v>#N/A</v>
      </c>
      <c r="BI220" s="43" t="e">
        <f t="shared" si="71"/>
        <v>#N/A</v>
      </c>
      <c r="BJ220" s="43" t="e">
        <f t="shared" si="72"/>
        <v>#N/A</v>
      </c>
      <c r="BK220" s="43">
        <f t="shared" si="73"/>
        <v>-2.94</v>
      </c>
      <c r="BL220" s="43" t="e">
        <f t="shared" si="74"/>
        <v>#N/A</v>
      </c>
      <c r="BM220" s="43" t="e">
        <f t="shared" si="75"/>
        <v>#N/A</v>
      </c>
      <c r="BN220" s="43" t="e">
        <f t="shared" si="76"/>
        <v>#N/A</v>
      </c>
      <c r="BO220" s="43">
        <f t="shared" si="77"/>
        <v>-2.94</v>
      </c>
      <c r="BP220" s="43">
        <f t="shared" si="78"/>
        <v>-2.9249999999999998</v>
      </c>
      <c r="BQ220" s="43" t="e">
        <f t="shared" si="79"/>
        <v>#N/A</v>
      </c>
      <c r="BR220" s="43" t="str">
        <f t="shared" si="80"/>
        <v/>
      </c>
      <c r="BS220" s="43" t="str">
        <f t="shared" si="81"/>
        <v/>
      </c>
      <c r="BT220" s="43" t="str">
        <f t="shared" si="82"/>
        <v/>
      </c>
    </row>
    <row r="221" spans="52:72" ht="12" customHeight="1">
      <c r="AZ221" s="43">
        <v>213</v>
      </c>
      <c r="BA221" s="43" t="str">
        <f t="shared" si="83"/>
        <v/>
      </c>
      <c r="BB221" s="43" t="str">
        <f t="shared" si="64"/>
        <v/>
      </c>
      <c r="BC221" s="43" t="str">
        <f t="shared" si="65"/>
        <v/>
      </c>
      <c r="BD221" s="43" t="str">
        <f t="shared" si="66"/>
        <v/>
      </c>
      <c r="BE221" s="43" t="e">
        <f t="shared" si="67"/>
        <v>#N/A</v>
      </c>
      <c r="BF221" s="43" t="e">
        <f t="shared" si="68"/>
        <v>#N/A</v>
      </c>
      <c r="BG221" s="43" t="e">
        <f t="shared" si="69"/>
        <v>#N/A</v>
      </c>
      <c r="BH221" s="43" t="e">
        <f t="shared" si="70"/>
        <v>#N/A</v>
      </c>
      <c r="BI221" s="43" t="e">
        <f t="shared" si="71"/>
        <v>#N/A</v>
      </c>
      <c r="BJ221" s="43" t="e">
        <f t="shared" si="72"/>
        <v>#N/A</v>
      </c>
      <c r="BK221" s="43">
        <f t="shared" si="73"/>
        <v>-2.94</v>
      </c>
      <c r="BL221" s="43" t="e">
        <f t="shared" si="74"/>
        <v>#N/A</v>
      </c>
      <c r="BM221" s="43" t="e">
        <f t="shared" si="75"/>
        <v>#N/A</v>
      </c>
      <c r="BN221" s="43" t="e">
        <f t="shared" si="76"/>
        <v>#N/A</v>
      </c>
      <c r="BO221" s="43">
        <f t="shared" si="77"/>
        <v>-2.94</v>
      </c>
      <c r="BP221" s="43">
        <f t="shared" si="78"/>
        <v>-2.9249999999999998</v>
      </c>
      <c r="BQ221" s="43" t="e">
        <f t="shared" si="79"/>
        <v>#N/A</v>
      </c>
      <c r="BR221" s="43" t="str">
        <f t="shared" si="80"/>
        <v/>
      </c>
      <c r="BS221" s="43" t="str">
        <f t="shared" si="81"/>
        <v/>
      </c>
      <c r="BT221" s="43" t="str">
        <f t="shared" si="82"/>
        <v/>
      </c>
    </row>
    <row r="222" spans="52:72" ht="12" customHeight="1">
      <c r="AZ222" s="43">
        <v>214</v>
      </c>
      <c r="BA222" s="43" t="str">
        <f t="shared" si="83"/>
        <v/>
      </c>
      <c r="BB222" s="43" t="str">
        <f t="shared" si="64"/>
        <v/>
      </c>
      <c r="BC222" s="43" t="str">
        <f t="shared" si="65"/>
        <v/>
      </c>
      <c r="BD222" s="43" t="str">
        <f t="shared" si="66"/>
        <v/>
      </c>
      <c r="BE222" s="43" t="e">
        <f t="shared" si="67"/>
        <v>#N/A</v>
      </c>
      <c r="BF222" s="43" t="e">
        <f t="shared" si="68"/>
        <v>#N/A</v>
      </c>
      <c r="BG222" s="43" t="e">
        <f t="shared" si="69"/>
        <v>#N/A</v>
      </c>
      <c r="BH222" s="43" t="e">
        <f t="shared" si="70"/>
        <v>#N/A</v>
      </c>
      <c r="BI222" s="43" t="e">
        <f t="shared" si="71"/>
        <v>#N/A</v>
      </c>
      <c r="BJ222" s="43" t="e">
        <f t="shared" si="72"/>
        <v>#N/A</v>
      </c>
      <c r="BK222" s="43">
        <f t="shared" si="73"/>
        <v>-2.94</v>
      </c>
      <c r="BL222" s="43" t="e">
        <f t="shared" si="74"/>
        <v>#N/A</v>
      </c>
      <c r="BM222" s="43" t="e">
        <f t="shared" si="75"/>
        <v>#N/A</v>
      </c>
      <c r="BN222" s="43" t="e">
        <f t="shared" si="76"/>
        <v>#N/A</v>
      </c>
      <c r="BO222" s="43">
        <f t="shared" si="77"/>
        <v>-2.94</v>
      </c>
      <c r="BP222" s="43">
        <f t="shared" si="78"/>
        <v>-2.9249999999999998</v>
      </c>
      <c r="BQ222" s="43" t="e">
        <f t="shared" si="79"/>
        <v>#N/A</v>
      </c>
      <c r="BR222" s="43" t="str">
        <f t="shared" si="80"/>
        <v/>
      </c>
      <c r="BS222" s="43" t="str">
        <f t="shared" si="81"/>
        <v/>
      </c>
      <c r="BT222" s="43" t="str">
        <f t="shared" si="82"/>
        <v/>
      </c>
    </row>
    <row r="223" spans="52:72" ht="12" customHeight="1">
      <c r="AZ223" s="43">
        <v>215</v>
      </c>
      <c r="BA223" s="43" t="str">
        <f t="shared" si="83"/>
        <v/>
      </c>
      <c r="BB223" s="43" t="str">
        <f t="shared" si="64"/>
        <v/>
      </c>
      <c r="BC223" s="43" t="str">
        <f t="shared" si="65"/>
        <v/>
      </c>
      <c r="BD223" s="43" t="str">
        <f t="shared" si="66"/>
        <v/>
      </c>
      <c r="BE223" s="43" t="e">
        <f t="shared" si="67"/>
        <v>#N/A</v>
      </c>
      <c r="BF223" s="43" t="e">
        <f t="shared" si="68"/>
        <v>#N/A</v>
      </c>
      <c r="BG223" s="43" t="e">
        <f t="shared" si="69"/>
        <v>#N/A</v>
      </c>
      <c r="BH223" s="43" t="e">
        <f t="shared" si="70"/>
        <v>#N/A</v>
      </c>
      <c r="BI223" s="43" t="e">
        <f t="shared" si="71"/>
        <v>#N/A</v>
      </c>
      <c r="BJ223" s="43" t="e">
        <f t="shared" si="72"/>
        <v>#N/A</v>
      </c>
      <c r="BK223" s="43">
        <f t="shared" si="73"/>
        <v>-2.94</v>
      </c>
      <c r="BL223" s="43" t="e">
        <f t="shared" si="74"/>
        <v>#N/A</v>
      </c>
      <c r="BM223" s="43" t="e">
        <f t="shared" si="75"/>
        <v>#N/A</v>
      </c>
      <c r="BN223" s="43" t="e">
        <f t="shared" si="76"/>
        <v>#N/A</v>
      </c>
      <c r="BO223" s="43">
        <f t="shared" si="77"/>
        <v>-2.94</v>
      </c>
      <c r="BP223" s="43">
        <f t="shared" si="78"/>
        <v>-2.9249999999999998</v>
      </c>
      <c r="BQ223" s="43" t="e">
        <f t="shared" si="79"/>
        <v>#N/A</v>
      </c>
      <c r="BR223" s="43" t="str">
        <f t="shared" si="80"/>
        <v/>
      </c>
      <c r="BS223" s="43" t="str">
        <f t="shared" si="81"/>
        <v/>
      </c>
      <c r="BT223" s="43" t="str">
        <f t="shared" si="82"/>
        <v/>
      </c>
    </row>
    <row r="224" spans="52:72" ht="12" customHeight="1">
      <c r="AZ224" s="43">
        <v>216</v>
      </c>
      <c r="BA224" s="43" t="str">
        <f t="shared" si="83"/>
        <v/>
      </c>
      <c r="BB224" s="43" t="str">
        <f t="shared" si="64"/>
        <v/>
      </c>
      <c r="BC224" s="43" t="str">
        <f t="shared" si="65"/>
        <v/>
      </c>
      <c r="BD224" s="43" t="str">
        <f t="shared" si="66"/>
        <v/>
      </c>
      <c r="BE224" s="43" t="e">
        <f t="shared" si="67"/>
        <v>#N/A</v>
      </c>
      <c r="BF224" s="43" t="e">
        <f t="shared" si="68"/>
        <v>#N/A</v>
      </c>
      <c r="BG224" s="43" t="e">
        <f t="shared" si="69"/>
        <v>#N/A</v>
      </c>
      <c r="BH224" s="43" t="e">
        <f t="shared" si="70"/>
        <v>#N/A</v>
      </c>
      <c r="BI224" s="43" t="e">
        <f t="shared" si="71"/>
        <v>#N/A</v>
      </c>
      <c r="BJ224" s="43" t="e">
        <f t="shared" si="72"/>
        <v>#N/A</v>
      </c>
      <c r="BK224" s="43">
        <f t="shared" si="73"/>
        <v>-2.94</v>
      </c>
      <c r="BL224" s="43" t="e">
        <f t="shared" si="74"/>
        <v>#N/A</v>
      </c>
      <c r="BM224" s="43" t="e">
        <f t="shared" si="75"/>
        <v>#N/A</v>
      </c>
      <c r="BN224" s="43" t="e">
        <f t="shared" si="76"/>
        <v>#N/A</v>
      </c>
      <c r="BO224" s="43">
        <f t="shared" si="77"/>
        <v>-2.94</v>
      </c>
      <c r="BP224" s="43">
        <f t="shared" si="78"/>
        <v>-2.9249999999999998</v>
      </c>
      <c r="BQ224" s="43" t="e">
        <f t="shared" si="79"/>
        <v>#N/A</v>
      </c>
      <c r="BR224" s="43" t="str">
        <f t="shared" si="80"/>
        <v/>
      </c>
      <c r="BS224" s="43" t="str">
        <f t="shared" si="81"/>
        <v/>
      </c>
      <c r="BT224" s="43" t="str">
        <f t="shared" si="82"/>
        <v/>
      </c>
    </row>
    <row r="225" spans="52:72" ht="12" customHeight="1">
      <c r="AZ225" s="43">
        <v>217</v>
      </c>
      <c r="BA225" s="43" t="str">
        <f t="shared" si="83"/>
        <v/>
      </c>
      <c r="BB225" s="43" t="str">
        <f t="shared" si="64"/>
        <v/>
      </c>
      <c r="BC225" s="43" t="str">
        <f t="shared" si="65"/>
        <v/>
      </c>
      <c r="BD225" s="43" t="str">
        <f t="shared" si="66"/>
        <v/>
      </c>
      <c r="BE225" s="43" t="e">
        <f t="shared" si="67"/>
        <v>#N/A</v>
      </c>
      <c r="BF225" s="43" t="e">
        <f t="shared" si="68"/>
        <v>#N/A</v>
      </c>
      <c r="BG225" s="43" t="e">
        <f t="shared" si="69"/>
        <v>#N/A</v>
      </c>
      <c r="BH225" s="43" t="e">
        <f t="shared" si="70"/>
        <v>#N/A</v>
      </c>
      <c r="BI225" s="43" t="e">
        <f t="shared" si="71"/>
        <v>#N/A</v>
      </c>
      <c r="BJ225" s="43" t="e">
        <f t="shared" si="72"/>
        <v>#N/A</v>
      </c>
      <c r="BK225" s="43">
        <f t="shared" si="73"/>
        <v>-2.94</v>
      </c>
      <c r="BL225" s="43" t="e">
        <f t="shared" si="74"/>
        <v>#N/A</v>
      </c>
      <c r="BM225" s="43" t="e">
        <f t="shared" si="75"/>
        <v>#N/A</v>
      </c>
      <c r="BN225" s="43" t="e">
        <f t="shared" si="76"/>
        <v>#N/A</v>
      </c>
      <c r="BO225" s="43">
        <f t="shared" si="77"/>
        <v>-2.94</v>
      </c>
      <c r="BP225" s="43">
        <f t="shared" si="78"/>
        <v>-2.9249999999999998</v>
      </c>
      <c r="BQ225" s="43" t="e">
        <f t="shared" si="79"/>
        <v>#N/A</v>
      </c>
      <c r="BR225" s="43" t="str">
        <f t="shared" si="80"/>
        <v/>
      </c>
      <c r="BS225" s="43" t="str">
        <f t="shared" si="81"/>
        <v/>
      </c>
      <c r="BT225" s="43" t="str">
        <f t="shared" si="82"/>
        <v/>
      </c>
    </row>
    <row r="226" spans="52:72" ht="12" customHeight="1">
      <c r="AZ226" s="43">
        <v>218</v>
      </c>
      <c r="BA226" s="43" t="str">
        <f t="shared" si="83"/>
        <v/>
      </c>
      <c r="BB226" s="43" t="str">
        <f t="shared" si="64"/>
        <v/>
      </c>
      <c r="BC226" s="43" t="str">
        <f t="shared" si="65"/>
        <v/>
      </c>
      <c r="BD226" s="43" t="str">
        <f t="shared" si="66"/>
        <v/>
      </c>
      <c r="BE226" s="43" t="e">
        <f t="shared" si="67"/>
        <v>#N/A</v>
      </c>
      <c r="BF226" s="43" t="e">
        <f t="shared" si="68"/>
        <v>#N/A</v>
      </c>
      <c r="BG226" s="43" t="e">
        <f t="shared" si="69"/>
        <v>#N/A</v>
      </c>
      <c r="BH226" s="43" t="e">
        <f t="shared" si="70"/>
        <v>#N/A</v>
      </c>
      <c r="BI226" s="43" t="e">
        <f t="shared" si="71"/>
        <v>#N/A</v>
      </c>
      <c r="BJ226" s="43" t="e">
        <f t="shared" si="72"/>
        <v>#N/A</v>
      </c>
      <c r="BK226" s="43">
        <f t="shared" si="73"/>
        <v>-2.94</v>
      </c>
      <c r="BL226" s="43" t="e">
        <f t="shared" si="74"/>
        <v>#N/A</v>
      </c>
      <c r="BM226" s="43" t="e">
        <f t="shared" si="75"/>
        <v>#N/A</v>
      </c>
      <c r="BN226" s="43" t="e">
        <f t="shared" si="76"/>
        <v>#N/A</v>
      </c>
      <c r="BO226" s="43">
        <f t="shared" si="77"/>
        <v>-2.94</v>
      </c>
      <c r="BP226" s="43">
        <f t="shared" si="78"/>
        <v>-2.9249999999999998</v>
      </c>
      <c r="BQ226" s="43" t="e">
        <f t="shared" si="79"/>
        <v>#N/A</v>
      </c>
      <c r="BR226" s="43" t="str">
        <f t="shared" si="80"/>
        <v/>
      </c>
      <c r="BS226" s="43" t="str">
        <f t="shared" si="81"/>
        <v/>
      </c>
      <c r="BT226" s="43" t="str">
        <f t="shared" si="82"/>
        <v/>
      </c>
    </row>
    <row r="227" spans="52:72" ht="12" customHeight="1">
      <c r="AZ227" s="43">
        <v>219</v>
      </c>
      <c r="BA227" s="43" t="str">
        <f t="shared" si="83"/>
        <v/>
      </c>
      <c r="BB227" s="43" t="str">
        <f t="shared" si="64"/>
        <v/>
      </c>
      <c r="BC227" s="43" t="str">
        <f t="shared" si="65"/>
        <v/>
      </c>
      <c r="BD227" s="43" t="str">
        <f t="shared" si="66"/>
        <v/>
      </c>
      <c r="BE227" s="43" t="e">
        <f t="shared" si="67"/>
        <v>#N/A</v>
      </c>
      <c r="BF227" s="43" t="e">
        <f t="shared" si="68"/>
        <v>#N/A</v>
      </c>
      <c r="BG227" s="43" t="e">
        <f t="shared" si="69"/>
        <v>#N/A</v>
      </c>
      <c r="BH227" s="43" t="e">
        <f t="shared" si="70"/>
        <v>#N/A</v>
      </c>
      <c r="BI227" s="43" t="e">
        <f t="shared" si="71"/>
        <v>#N/A</v>
      </c>
      <c r="BJ227" s="43" t="e">
        <f t="shared" si="72"/>
        <v>#N/A</v>
      </c>
      <c r="BK227" s="43">
        <f t="shared" si="73"/>
        <v>-2.94</v>
      </c>
      <c r="BL227" s="43" t="e">
        <f t="shared" si="74"/>
        <v>#N/A</v>
      </c>
      <c r="BM227" s="43" t="e">
        <f t="shared" si="75"/>
        <v>#N/A</v>
      </c>
      <c r="BN227" s="43" t="e">
        <f t="shared" si="76"/>
        <v>#N/A</v>
      </c>
      <c r="BO227" s="43">
        <f t="shared" si="77"/>
        <v>-2.94</v>
      </c>
      <c r="BP227" s="43">
        <f t="shared" si="78"/>
        <v>-2.9249999999999998</v>
      </c>
      <c r="BQ227" s="43" t="e">
        <f t="shared" si="79"/>
        <v>#N/A</v>
      </c>
      <c r="BR227" s="43" t="str">
        <f t="shared" si="80"/>
        <v/>
      </c>
      <c r="BS227" s="43" t="str">
        <f t="shared" si="81"/>
        <v/>
      </c>
      <c r="BT227" s="43" t="str">
        <f t="shared" si="82"/>
        <v/>
      </c>
    </row>
    <row r="228" spans="52:72" ht="12" customHeight="1">
      <c r="AZ228" s="43">
        <v>220</v>
      </c>
      <c r="BA228" s="43" t="str">
        <f t="shared" si="83"/>
        <v/>
      </c>
      <c r="BB228" s="43" t="str">
        <f t="shared" si="64"/>
        <v/>
      </c>
      <c r="BC228" s="43" t="str">
        <f t="shared" si="65"/>
        <v/>
      </c>
      <c r="BD228" s="43" t="str">
        <f t="shared" si="66"/>
        <v/>
      </c>
      <c r="BE228" s="43" t="e">
        <f t="shared" si="67"/>
        <v>#N/A</v>
      </c>
      <c r="BF228" s="43" t="e">
        <f t="shared" si="68"/>
        <v>#N/A</v>
      </c>
      <c r="BG228" s="43" t="e">
        <f t="shared" si="69"/>
        <v>#N/A</v>
      </c>
      <c r="BH228" s="43" t="e">
        <f t="shared" si="70"/>
        <v>#N/A</v>
      </c>
      <c r="BI228" s="43" t="e">
        <f t="shared" si="71"/>
        <v>#N/A</v>
      </c>
      <c r="BJ228" s="43" t="e">
        <f t="shared" si="72"/>
        <v>#N/A</v>
      </c>
      <c r="BK228" s="43">
        <f t="shared" si="73"/>
        <v>-2.94</v>
      </c>
      <c r="BL228" s="43" t="e">
        <f t="shared" si="74"/>
        <v>#N/A</v>
      </c>
      <c r="BM228" s="43" t="e">
        <f t="shared" si="75"/>
        <v>#N/A</v>
      </c>
      <c r="BN228" s="43" t="e">
        <f t="shared" si="76"/>
        <v>#N/A</v>
      </c>
      <c r="BO228" s="43">
        <f t="shared" si="77"/>
        <v>-2.94</v>
      </c>
      <c r="BP228" s="43">
        <f t="shared" si="78"/>
        <v>-2.9249999999999998</v>
      </c>
      <c r="BQ228" s="43" t="e">
        <f t="shared" si="79"/>
        <v>#N/A</v>
      </c>
      <c r="BR228" s="43" t="str">
        <f t="shared" si="80"/>
        <v/>
      </c>
      <c r="BS228" s="43" t="str">
        <f t="shared" si="81"/>
        <v/>
      </c>
      <c r="BT228" s="43" t="str">
        <f t="shared" si="82"/>
        <v/>
      </c>
    </row>
    <row r="229" spans="52:72" ht="12" customHeight="1">
      <c r="AZ229" s="43">
        <v>221</v>
      </c>
      <c r="BA229" s="43" t="str">
        <f t="shared" si="83"/>
        <v/>
      </c>
      <c r="BB229" s="43" t="str">
        <f t="shared" si="64"/>
        <v/>
      </c>
      <c r="BC229" s="43" t="str">
        <f t="shared" si="65"/>
        <v/>
      </c>
      <c r="BD229" s="43" t="str">
        <f t="shared" si="66"/>
        <v/>
      </c>
      <c r="BE229" s="43" t="e">
        <f t="shared" si="67"/>
        <v>#N/A</v>
      </c>
      <c r="BF229" s="43" t="e">
        <f t="shared" si="68"/>
        <v>#N/A</v>
      </c>
      <c r="BG229" s="43" t="e">
        <f t="shared" si="69"/>
        <v>#N/A</v>
      </c>
      <c r="BH229" s="43" t="e">
        <f t="shared" si="70"/>
        <v>#N/A</v>
      </c>
      <c r="BI229" s="43" t="e">
        <f t="shared" si="71"/>
        <v>#N/A</v>
      </c>
      <c r="BJ229" s="43" t="e">
        <f t="shared" si="72"/>
        <v>#N/A</v>
      </c>
      <c r="BK229" s="43">
        <f t="shared" si="73"/>
        <v>-2.94</v>
      </c>
      <c r="BL229" s="43" t="e">
        <f t="shared" si="74"/>
        <v>#N/A</v>
      </c>
      <c r="BM229" s="43" t="e">
        <f t="shared" si="75"/>
        <v>#N/A</v>
      </c>
      <c r="BN229" s="43" t="e">
        <f t="shared" si="76"/>
        <v>#N/A</v>
      </c>
      <c r="BO229" s="43">
        <f t="shared" si="77"/>
        <v>-2.94</v>
      </c>
      <c r="BP229" s="43">
        <f t="shared" si="78"/>
        <v>-2.9249999999999998</v>
      </c>
      <c r="BQ229" s="43" t="e">
        <f t="shared" si="79"/>
        <v>#N/A</v>
      </c>
      <c r="BR229" s="43" t="str">
        <f t="shared" si="80"/>
        <v/>
      </c>
      <c r="BS229" s="43" t="str">
        <f t="shared" si="81"/>
        <v/>
      </c>
      <c r="BT229" s="43" t="str">
        <f t="shared" si="82"/>
        <v/>
      </c>
    </row>
    <row r="230" spans="52:72" ht="12" customHeight="1">
      <c r="AZ230" s="43">
        <v>222</v>
      </c>
      <c r="BA230" s="43" t="str">
        <f t="shared" si="83"/>
        <v/>
      </c>
      <c r="BB230" s="43" t="str">
        <f t="shared" si="64"/>
        <v/>
      </c>
      <c r="BC230" s="43" t="str">
        <f t="shared" si="65"/>
        <v/>
      </c>
      <c r="BD230" s="43" t="str">
        <f t="shared" si="66"/>
        <v/>
      </c>
      <c r="BE230" s="43" t="e">
        <f t="shared" si="67"/>
        <v>#N/A</v>
      </c>
      <c r="BF230" s="43" t="e">
        <f t="shared" si="68"/>
        <v>#N/A</v>
      </c>
      <c r="BG230" s="43" t="e">
        <f t="shared" si="69"/>
        <v>#N/A</v>
      </c>
      <c r="BH230" s="43" t="e">
        <f t="shared" si="70"/>
        <v>#N/A</v>
      </c>
      <c r="BI230" s="43" t="e">
        <f t="shared" si="71"/>
        <v>#N/A</v>
      </c>
      <c r="BJ230" s="43" t="e">
        <f t="shared" si="72"/>
        <v>#N/A</v>
      </c>
      <c r="BK230" s="43">
        <f t="shared" si="73"/>
        <v>-2.94</v>
      </c>
      <c r="BL230" s="43" t="e">
        <f t="shared" si="74"/>
        <v>#N/A</v>
      </c>
      <c r="BM230" s="43" t="e">
        <f t="shared" si="75"/>
        <v>#N/A</v>
      </c>
      <c r="BN230" s="43" t="e">
        <f t="shared" si="76"/>
        <v>#N/A</v>
      </c>
      <c r="BO230" s="43">
        <f t="shared" si="77"/>
        <v>-2.94</v>
      </c>
      <c r="BP230" s="43">
        <f t="shared" si="78"/>
        <v>-2.9249999999999998</v>
      </c>
      <c r="BQ230" s="43" t="e">
        <f t="shared" si="79"/>
        <v>#N/A</v>
      </c>
      <c r="BR230" s="43" t="str">
        <f t="shared" si="80"/>
        <v/>
      </c>
      <c r="BS230" s="43" t="str">
        <f t="shared" si="81"/>
        <v/>
      </c>
      <c r="BT230" s="43" t="str">
        <f t="shared" si="82"/>
        <v/>
      </c>
    </row>
    <row r="231" spans="52:72" ht="12" customHeight="1">
      <c r="AZ231" s="43">
        <v>223</v>
      </c>
      <c r="BA231" s="43" t="str">
        <f t="shared" si="83"/>
        <v/>
      </c>
      <c r="BB231" s="43" t="str">
        <f t="shared" si="64"/>
        <v/>
      </c>
      <c r="BC231" s="43" t="str">
        <f t="shared" si="65"/>
        <v/>
      </c>
      <c r="BD231" s="43" t="str">
        <f t="shared" si="66"/>
        <v/>
      </c>
      <c r="BE231" s="43" t="e">
        <f t="shared" si="67"/>
        <v>#N/A</v>
      </c>
      <c r="BF231" s="43" t="e">
        <f t="shared" si="68"/>
        <v>#N/A</v>
      </c>
      <c r="BG231" s="43" t="e">
        <f t="shared" si="69"/>
        <v>#N/A</v>
      </c>
      <c r="BH231" s="43" t="e">
        <f t="shared" si="70"/>
        <v>#N/A</v>
      </c>
      <c r="BI231" s="43" t="e">
        <f t="shared" si="71"/>
        <v>#N/A</v>
      </c>
      <c r="BJ231" s="43" t="e">
        <f t="shared" si="72"/>
        <v>#N/A</v>
      </c>
      <c r="BK231" s="43">
        <f t="shared" si="73"/>
        <v>-2.94</v>
      </c>
      <c r="BL231" s="43" t="e">
        <f t="shared" si="74"/>
        <v>#N/A</v>
      </c>
      <c r="BM231" s="43" t="e">
        <f t="shared" si="75"/>
        <v>#N/A</v>
      </c>
      <c r="BN231" s="43" t="e">
        <f t="shared" si="76"/>
        <v>#N/A</v>
      </c>
      <c r="BO231" s="43">
        <f t="shared" si="77"/>
        <v>-2.94</v>
      </c>
      <c r="BP231" s="43">
        <f t="shared" si="78"/>
        <v>-2.9249999999999998</v>
      </c>
      <c r="BQ231" s="43" t="e">
        <f t="shared" si="79"/>
        <v>#N/A</v>
      </c>
      <c r="BR231" s="43" t="str">
        <f t="shared" si="80"/>
        <v/>
      </c>
      <c r="BS231" s="43" t="str">
        <f t="shared" si="81"/>
        <v/>
      </c>
      <c r="BT231" s="43" t="str">
        <f t="shared" si="82"/>
        <v/>
      </c>
    </row>
    <row r="232" spans="52:72" ht="12" customHeight="1">
      <c r="AZ232" s="43">
        <v>224</v>
      </c>
      <c r="BA232" s="43" t="str">
        <f t="shared" si="83"/>
        <v/>
      </c>
      <c r="BB232" s="43" t="str">
        <f t="shared" si="64"/>
        <v/>
      </c>
      <c r="BC232" s="43" t="str">
        <f t="shared" si="65"/>
        <v/>
      </c>
      <c r="BD232" s="43" t="str">
        <f t="shared" si="66"/>
        <v/>
      </c>
      <c r="BE232" s="43" t="e">
        <f t="shared" si="67"/>
        <v>#N/A</v>
      </c>
      <c r="BF232" s="43" t="e">
        <f t="shared" si="68"/>
        <v>#N/A</v>
      </c>
      <c r="BG232" s="43" t="e">
        <f t="shared" si="69"/>
        <v>#N/A</v>
      </c>
      <c r="BH232" s="43" t="e">
        <f t="shared" si="70"/>
        <v>#N/A</v>
      </c>
      <c r="BI232" s="43" t="e">
        <f t="shared" si="71"/>
        <v>#N/A</v>
      </c>
      <c r="BJ232" s="43" t="e">
        <f t="shared" si="72"/>
        <v>#N/A</v>
      </c>
      <c r="BK232" s="43">
        <f t="shared" si="73"/>
        <v>-2.94</v>
      </c>
      <c r="BL232" s="43" t="e">
        <f t="shared" si="74"/>
        <v>#N/A</v>
      </c>
      <c r="BM232" s="43" t="e">
        <f t="shared" si="75"/>
        <v>#N/A</v>
      </c>
      <c r="BN232" s="43" t="e">
        <f t="shared" si="76"/>
        <v>#N/A</v>
      </c>
      <c r="BO232" s="43">
        <f t="shared" si="77"/>
        <v>-2.94</v>
      </c>
      <c r="BP232" s="43">
        <f t="shared" si="78"/>
        <v>-2.9249999999999998</v>
      </c>
      <c r="BQ232" s="43" t="e">
        <f t="shared" si="79"/>
        <v>#N/A</v>
      </c>
      <c r="BR232" s="43" t="str">
        <f t="shared" si="80"/>
        <v/>
      </c>
      <c r="BS232" s="43" t="str">
        <f t="shared" si="81"/>
        <v/>
      </c>
      <c r="BT232" s="43" t="str">
        <f t="shared" si="82"/>
        <v/>
      </c>
    </row>
    <row r="233" spans="52:72" ht="12" customHeight="1">
      <c r="AZ233" s="43">
        <v>225</v>
      </c>
      <c r="BA233" s="43" t="str">
        <f t="shared" si="83"/>
        <v/>
      </c>
      <c r="BB233" s="43" t="str">
        <f t="shared" si="64"/>
        <v/>
      </c>
      <c r="BC233" s="43" t="str">
        <f t="shared" si="65"/>
        <v/>
      </c>
      <c r="BD233" s="43" t="str">
        <f t="shared" si="66"/>
        <v/>
      </c>
      <c r="BE233" s="43" t="e">
        <f t="shared" si="67"/>
        <v>#N/A</v>
      </c>
      <c r="BF233" s="43" t="e">
        <f t="shared" si="68"/>
        <v>#N/A</v>
      </c>
      <c r="BG233" s="43" t="e">
        <f t="shared" si="69"/>
        <v>#N/A</v>
      </c>
      <c r="BH233" s="43" t="e">
        <f t="shared" si="70"/>
        <v>#N/A</v>
      </c>
      <c r="BI233" s="43" t="e">
        <f t="shared" si="71"/>
        <v>#N/A</v>
      </c>
      <c r="BJ233" s="43" t="e">
        <f t="shared" si="72"/>
        <v>#N/A</v>
      </c>
      <c r="BK233" s="43">
        <f t="shared" si="73"/>
        <v>-2.94</v>
      </c>
      <c r="BL233" s="43" t="e">
        <f t="shared" si="74"/>
        <v>#N/A</v>
      </c>
      <c r="BM233" s="43" t="e">
        <f t="shared" si="75"/>
        <v>#N/A</v>
      </c>
      <c r="BN233" s="43" t="e">
        <f t="shared" si="76"/>
        <v>#N/A</v>
      </c>
      <c r="BO233" s="43">
        <f t="shared" si="77"/>
        <v>-2.94</v>
      </c>
      <c r="BP233" s="43">
        <f t="shared" si="78"/>
        <v>-2.9249999999999998</v>
      </c>
      <c r="BQ233" s="43" t="e">
        <f t="shared" si="79"/>
        <v>#N/A</v>
      </c>
      <c r="BR233" s="43" t="str">
        <f t="shared" si="80"/>
        <v/>
      </c>
      <c r="BS233" s="43" t="str">
        <f t="shared" si="81"/>
        <v/>
      </c>
      <c r="BT233" s="43" t="str">
        <f t="shared" si="82"/>
        <v/>
      </c>
    </row>
    <row r="234" spans="52:72" ht="12" customHeight="1">
      <c r="AZ234" s="43">
        <v>226</v>
      </c>
      <c r="BA234" s="43" t="str">
        <f t="shared" si="83"/>
        <v/>
      </c>
      <c r="BB234" s="43" t="str">
        <f t="shared" si="64"/>
        <v/>
      </c>
      <c r="BC234" s="43" t="str">
        <f t="shared" si="65"/>
        <v/>
      </c>
      <c r="BD234" s="43" t="str">
        <f t="shared" si="66"/>
        <v/>
      </c>
      <c r="BE234" s="43" t="e">
        <f t="shared" si="67"/>
        <v>#N/A</v>
      </c>
      <c r="BF234" s="43" t="e">
        <f t="shared" si="68"/>
        <v>#N/A</v>
      </c>
      <c r="BG234" s="43" t="e">
        <f t="shared" si="69"/>
        <v>#N/A</v>
      </c>
      <c r="BH234" s="43" t="e">
        <f t="shared" si="70"/>
        <v>#N/A</v>
      </c>
      <c r="BI234" s="43" t="e">
        <f t="shared" si="71"/>
        <v>#N/A</v>
      </c>
      <c r="BJ234" s="43" t="e">
        <f t="shared" si="72"/>
        <v>#N/A</v>
      </c>
      <c r="BK234" s="43">
        <f t="shared" si="73"/>
        <v>-2.94</v>
      </c>
      <c r="BL234" s="43" t="e">
        <f t="shared" si="74"/>
        <v>#N/A</v>
      </c>
      <c r="BM234" s="43" t="e">
        <f t="shared" si="75"/>
        <v>#N/A</v>
      </c>
      <c r="BN234" s="43" t="e">
        <f t="shared" si="76"/>
        <v>#N/A</v>
      </c>
      <c r="BO234" s="43">
        <f t="shared" si="77"/>
        <v>-2.94</v>
      </c>
      <c r="BP234" s="43">
        <f t="shared" si="78"/>
        <v>-2.9249999999999998</v>
      </c>
      <c r="BQ234" s="43" t="e">
        <f t="shared" si="79"/>
        <v>#N/A</v>
      </c>
      <c r="BR234" s="43" t="str">
        <f t="shared" si="80"/>
        <v/>
      </c>
      <c r="BS234" s="43" t="str">
        <f t="shared" si="81"/>
        <v/>
      </c>
      <c r="BT234" s="43" t="str">
        <f t="shared" si="82"/>
        <v/>
      </c>
    </row>
    <row r="235" spans="52:72" ht="12" customHeight="1">
      <c r="AZ235" s="43">
        <v>227</v>
      </c>
      <c r="BA235" s="43" t="str">
        <f t="shared" si="83"/>
        <v/>
      </c>
      <c r="BB235" s="43" t="str">
        <f t="shared" si="64"/>
        <v/>
      </c>
      <c r="BC235" s="43" t="str">
        <f t="shared" si="65"/>
        <v/>
      </c>
      <c r="BD235" s="43" t="str">
        <f t="shared" si="66"/>
        <v/>
      </c>
      <c r="BE235" s="43" t="e">
        <f t="shared" si="67"/>
        <v>#N/A</v>
      </c>
      <c r="BF235" s="43" t="e">
        <f t="shared" si="68"/>
        <v>#N/A</v>
      </c>
      <c r="BG235" s="43" t="e">
        <f t="shared" si="69"/>
        <v>#N/A</v>
      </c>
      <c r="BH235" s="43" t="e">
        <f t="shared" si="70"/>
        <v>#N/A</v>
      </c>
      <c r="BI235" s="43" t="e">
        <f t="shared" si="71"/>
        <v>#N/A</v>
      </c>
      <c r="BJ235" s="43" t="e">
        <f t="shared" si="72"/>
        <v>#N/A</v>
      </c>
      <c r="BK235" s="43">
        <f t="shared" si="73"/>
        <v>-2.94</v>
      </c>
      <c r="BL235" s="43" t="e">
        <f t="shared" si="74"/>
        <v>#N/A</v>
      </c>
      <c r="BM235" s="43" t="e">
        <f t="shared" si="75"/>
        <v>#N/A</v>
      </c>
      <c r="BN235" s="43" t="e">
        <f t="shared" si="76"/>
        <v>#N/A</v>
      </c>
      <c r="BO235" s="43">
        <f t="shared" si="77"/>
        <v>-2.94</v>
      </c>
      <c r="BP235" s="43">
        <f t="shared" si="78"/>
        <v>-2.9249999999999998</v>
      </c>
      <c r="BQ235" s="43" t="e">
        <f t="shared" si="79"/>
        <v>#N/A</v>
      </c>
      <c r="BR235" s="43" t="str">
        <f t="shared" si="80"/>
        <v/>
      </c>
      <c r="BS235" s="43" t="str">
        <f t="shared" si="81"/>
        <v/>
      </c>
      <c r="BT235" s="43" t="str">
        <f t="shared" si="82"/>
        <v/>
      </c>
    </row>
    <row r="236" spans="52:72" ht="12" customHeight="1">
      <c r="AZ236" s="43">
        <v>228</v>
      </c>
      <c r="BA236" s="43" t="str">
        <f t="shared" si="83"/>
        <v/>
      </c>
      <c r="BB236" s="43" t="str">
        <f t="shared" si="64"/>
        <v/>
      </c>
      <c r="BC236" s="43" t="str">
        <f t="shared" si="65"/>
        <v/>
      </c>
      <c r="BD236" s="43" t="str">
        <f t="shared" si="66"/>
        <v/>
      </c>
      <c r="BE236" s="43" t="e">
        <f t="shared" si="67"/>
        <v>#N/A</v>
      </c>
      <c r="BF236" s="43" t="e">
        <f t="shared" si="68"/>
        <v>#N/A</v>
      </c>
      <c r="BG236" s="43" t="e">
        <f t="shared" si="69"/>
        <v>#N/A</v>
      </c>
      <c r="BH236" s="43" t="e">
        <f t="shared" si="70"/>
        <v>#N/A</v>
      </c>
      <c r="BI236" s="43" t="e">
        <f t="shared" si="71"/>
        <v>#N/A</v>
      </c>
      <c r="BJ236" s="43" t="e">
        <f t="shared" si="72"/>
        <v>#N/A</v>
      </c>
      <c r="BK236" s="43">
        <f t="shared" si="73"/>
        <v>-2.94</v>
      </c>
      <c r="BL236" s="43" t="e">
        <f t="shared" si="74"/>
        <v>#N/A</v>
      </c>
      <c r="BM236" s="43" t="e">
        <f t="shared" si="75"/>
        <v>#N/A</v>
      </c>
      <c r="BN236" s="43" t="e">
        <f t="shared" si="76"/>
        <v>#N/A</v>
      </c>
      <c r="BO236" s="43">
        <f t="shared" si="77"/>
        <v>-2.94</v>
      </c>
      <c r="BP236" s="43">
        <f t="shared" si="78"/>
        <v>-2.9249999999999998</v>
      </c>
      <c r="BQ236" s="43" t="e">
        <f t="shared" si="79"/>
        <v>#N/A</v>
      </c>
      <c r="BR236" s="43" t="str">
        <f t="shared" si="80"/>
        <v/>
      </c>
      <c r="BS236" s="43" t="str">
        <f t="shared" si="81"/>
        <v/>
      </c>
      <c r="BT236" s="43" t="str">
        <f t="shared" si="82"/>
        <v/>
      </c>
    </row>
    <row r="237" spans="52:72" ht="12" customHeight="1">
      <c r="AZ237" s="43">
        <v>229</v>
      </c>
      <c r="BA237" s="43" t="str">
        <f t="shared" si="83"/>
        <v/>
      </c>
      <c r="BB237" s="43" t="str">
        <f t="shared" si="64"/>
        <v/>
      </c>
      <c r="BC237" s="43" t="str">
        <f t="shared" si="65"/>
        <v/>
      </c>
      <c r="BD237" s="43" t="str">
        <f t="shared" si="66"/>
        <v/>
      </c>
      <c r="BE237" s="43" t="e">
        <f t="shared" si="67"/>
        <v>#N/A</v>
      </c>
      <c r="BF237" s="43" t="e">
        <f t="shared" si="68"/>
        <v>#N/A</v>
      </c>
      <c r="BG237" s="43" t="e">
        <f t="shared" si="69"/>
        <v>#N/A</v>
      </c>
      <c r="BH237" s="43" t="e">
        <f t="shared" si="70"/>
        <v>#N/A</v>
      </c>
      <c r="BI237" s="43" t="e">
        <f t="shared" si="71"/>
        <v>#N/A</v>
      </c>
      <c r="BJ237" s="43" t="e">
        <f t="shared" si="72"/>
        <v>#N/A</v>
      </c>
      <c r="BK237" s="43">
        <f t="shared" si="73"/>
        <v>-2.94</v>
      </c>
      <c r="BL237" s="43" t="e">
        <f t="shared" si="74"/>
        <v>#N/A</v>
      </c>
      <c r="BM237" s="43" t="e">
        <f t="shared" si="75"/>
        <v>#N/A</v>
      </c>
      <c r="BN237" s="43" t="e">
        <f t="shared" si="76"/>
        <v>#N/A</v>
      </c>
      <c r="BO237" s="43">
        <f t="shared" si="77"/>
        <v>-2.94</v>
      </c>
      <c r="BP237" s="43">
        <f t="shared" si="78"/>
        <v>-2.9249999999999998</v>
      </c>
      <c r="BQ237" s="43" t="e">
        <f t="shared" si="79"/>
        <v>#N/A</v>
      </c>
      <c r="BR237" s="43" t="str">
        <f t="shared" si="80"/>
        <v/>
      </c>
      <c r="BS237" s="43" t="str">
        <f t="shared" si="81"/>
        <v/>
      </c>
      <c r="BT237" s="43" t="str">
        <f t="shared" si="82"/>
        <v/>
      </c>
    </row>
    <row r="238" spans="52:72" ht="12" customHeight="1">
      <c r="AZ238" s="43">
        <v>230</v>
      </c>
      <c r="BA238" s="43" t="str">
        <f t="shared" si="83"/>
        <v/>
      </c>
      <c r="BB238" s="43" t="str">
        <f t="shared" si="64"/>
        <v/>
      </c>
      <c r="BC238" s="43" t="str">
        <f t="shared" si="65"/>
        <v/>
      </c>
      <c r="BD238" s="43" t="str">
        <f t="shared" si="66"/>
        <v/>
      </c>
      <c r="BE238" s="43" t="e">
        <f t="shared" si="67"/>
        <v>#N/A</v>
      </c>
      <c r="BF238" s="43" t="e">
        <f t="shared" si="68"/>
        <v>#N/A</v>
      </c>
      <c r="BG238" s="43" t="e">
        <f t="shared" si="69"/>
        <v>#N/A</v>
      </c>
      <c r="BH238" s="43" t="e">
        <f t="shared" si="70"/>
        <v>#N/A</v>
      </c>
      <c r="BI238" s="43" t="e">
        <f t="shared" si="71"/>
        <v>#N/A</v>
      </c>
      <c r="BJ238" s="43" t="e">
        <f t="shared" si="72"/>
        <v>#N/A</v>
      </c>
      <c r="BK238" s="43">
        <f t="shared" si="73"/>
        <v>-2.94</v>
      </c>
      <c r="BL238" s="43" t="e">
        <f t="shared" si="74"/>
        <v>#N/A</v>
      </c>
      <c r="BM238" s="43" t="e">
        <f t="shared" si="75"/>
        <v>#N/A</v>
      </c>
      <c r="BN238" s="43" t="e">
        <f t="shared" si="76"/>
        <v>#N/A</v>
      </c>
      <c r="BO238" s="43">
        <f t="shared" si="77"/>
        <v>-2.94</v>
      </c>
      <c r="BP238" s="43">
        <f t="shared" si="78"/>
        <v>-2.9249999999999998</v>
      </c>
      <c r="BQ238" s="43" t="e">
        <f t="shared" si="79"/>
        <v>#N/A</v>
      </c>
      <c r="BR238" s="43" t="str">
        <f t="shared" si="80"/>
        <v/>
      </c>
      <c r="BS238" s="43" t="str">
        <f t="shared" si="81"/>
        <v/>
      </c>
      <c r="BT238" s="43" t="str">
        <f t="shared" si="82"/>
        <v/>
      </c>
    </row>
    <row r="239" spans="52:72" ht="12" customHeight="1">
      <c r="AZ239" s="43">
        <v>231</v>
      </c>
      <c r="BA239" s="43" t="str">
        <f t="shared" si="83"/>
        <v/>
      </c>
      <c r="BB239" s="43" t="str">
        <f t="shared" si="64"/>
        <v/>
      </c>
      <c r="BC239" s="43" t="str">
        <f t="shared" si="65"/>
        <v/>
      </c>
      <c r="BD239" s="43" t="str">
        <f t="shared" si="66"/>
        <v/>
      </c>
      <c r="BE239" s="43" t="e">
        <f t="shared" si="67"/>
        <v>#N/A</v>
      </c>
      <c r="BF239" s="43" t="e">
        <f t="shared" si="68"/>
        <v>#N/A</v>
      </c>
      <c r="BG239" s="43" t="e">
        <f t="shared" si="69"/>
        <v>#N/A</v>
      </c>
      <c r="BH239" s="43" t="e">
        <f t="shared" si="70"/>
        <v>#N/A</v>
      </c>
      <c r="BI239" s="43" t="e">
        <f t="shared" si="71"/>
        <v>#N/A</v>
      </c>
      <c r="BJ239" s="43" t="e">
        <f t="shared" si="72"/>
        <v>#N/A</v>
      </c>
      <c r="BK239" s="43">
        <f t="shared" si="73"/>
        <v>-2.94</v>
      </c>
      <c r="BL239" s="43" t="e">
        <f t="shared" si="74"/>
        <v>#N/A</v>
      </c>
      <c r="BM239" s="43" t="e">
        <f t="shared" si="75"/>
        <v>#N/A</v>
      </c>
      <c r="BN239" s="43" t="e">
        <f t="shared" si="76"/>
        <v>#N/A</v>
      </c>
      <c r="BO239" s="43">
        <f t="shared" si="77"/>
        <v>-2.94</v>
      </c>
      <c r="BP239" s="43">
        <f t="shared" si="78"/>
        <v>-2.9249999999999998</v>
      </c>
      <c r="BQ239" s="43" t="e">
        <f t="shared" si="79"/>
        <v>#N/A</v>
      </c>
      <c r="BR239" s="43" t="str">
        <f t="shared" si="80"/>
        <v/>
      </c>
      <c r="BS239" s="43" t="str">
        <f t="shared" si="81"/>
        <v/>
      </c>
      <c r="BT239" s="43" t="str">
        <f t="shared" si="82"/>
        <v/>
      </c>
    </row>
    <row r="240" spans="52:72" ht="12" customHeight="1">
      <c r="AZ240" s="43">
        <v>232</v>
      </c>
      <c r="BA240" s="43" t="str">
        <f t="shared" si="83"/>
        <v/>
      </c>
      <c r="BB240" s="43" t="str">
        <f t="shared" si="64"/>
        <v/>
      </c>
      <c r="BC240" s="43" t="str">
        <f t="shared" si="65"/>
        <v/>
      </c>
      <c r="BD240" s="43" t="str">
        <f t="shared" si="66"/>
        <v/>
      </c>
      <c r="BE240" s="43" t="e">
        <f t="shared" si="67"/>
        <v>#N/A</v>
      </c>
      <c r="BF240" s="43" t="e">
        <f t="shared" si="68"/>
        <v>#N/A</v>
      </c>
      <c r="BG240" s="43" t="e">
        <f t="shared" si="69"/>
        <v>#N/A</v>
      </c>
      <c r="BH240" s="43" t="e">
        <f t="shared" si="70"/>
        <v>#N/A</v>
      </c>
      <c r="BI240" s="43" t="e">
        <f t="shared" si="71"/>
        <v>#N/A</v>
      </c>
      <c r="BJ240" s="43" t="e">
        <f t="shared" si="72"/>
        <v>#N/A</v>
      </c>
      <c r="BK240" s="43">
        <f t="shared" si="73"/>
        <v>-2.94</v>
      </c>
      <c r="BL240" s="43" t="e">
        <f t="shared" si="74"/>
        <v>#N/A</v>
      </c>
      <c r="BM240" s="43" t="e">
        <f t="shared" si="75"/>
        <v>#N/A</v>
      </c>
      <c r="BN240" s="43" t="e">
        <f t="shared" si="76"/>
        <v>#N/A</v>
      </c>
      <c r="BO240" s="43">
        <f t="shared" si="77"/>
        <v>-2.94</v>
      </c>
      <c r="BP240" s="43">
        <f t="shared" si="78"/>
        <v>-2.9249999999999998</v>
      </c>
      <c r="BQ240" s="43" t="e">
        <f t="shared" si="79"/>
        <v>#N/A</v>
      </c>
      <c r="BR240" s="43" t="str">
        <f t="shared" si="80"/>
        <v/>
      </c>
      <c r="BS240" s="43" t="str">
        <f t="shared" si="81"/>
        <v/>
      </c>
      <c r="BT240" s="43" t="str">
        <f t="shared" si="82"/>
        <v/>
      </c>
    </row>
    <row r="241" spans="52:72" ht="12" customHeight="1">
      <c r="AZ241" s="43">
        <v>233</v>
      </c>
      <c r="BA241" s="43" t="str">
        <f t="shared" si="83"/>
        <v/>
      </c>
      <c r="BB241" s="43" t="str">
        <f t="shared" si="64"/>
        <v/>
      </c>
      <c r="BC241" s="43" t="str">
        <f t="shared" si="65"/>
        <v/>
      </c>
      <c r="BD241" s="43" t="str">
        <f t="shared" si="66"/>
        <v/>
      </c>
      <c r="BE241" s="43" t="e">
        <f t="shared" si="67"/>
        <v>#N/A</v>
      </c>
      <c r="BF241" s="43" t="e">
        <f t="shared" si="68"/>
        <v>#N/A</v>
      </c>
      <c r="BG241" s="43" t="e">
        <f t="shared" si="69"/>
        <v>#N/A</v>
      </c>
      <c r="BH241" s="43" t="e">
        <f t="shared" si="70"/>
        <v>#N/A</v>
      </c>
      <c r="BI241" s="43" t="e">
        <f t="shared" si="71"/>
        <v>#N/A</v>
      </c>
      <c r="BJ241" s="43" t="e">
        <f t="shared" si="72"/>
        <v>#N/A</v>
      </c>
      <c r="BK241" s="43">
        <f t="shared" si="73"/>
        <v>-2.94</v>
      </c>
      <c r="BL241" s="43" t="e">
        <f t="shared" si="74"/>
        <v>#N/A</v>
      </c>
      <c r="BM241" s="43" t="e">
        <f t="shared" si="75"/>
        <v>#N/A</v>
      </c>
      <c r="BN241" s="43" t="e">
        <f t="shared" si="76"/>
        <v>#N/A</v>
      </c>
      <c r="BO241" s="43">
        <f t="shared" si="77"/>
        <v>-2.94</v>
      </c>
      <c r="BP241" s="43">
        <f t="shared" si="78"/>
        <v>-2.9249999999999998</v>
      </c>
      <c r="BQ241" s="43" t="e">
        <f t="shared" si="79"/>
        <v>#N/A</v>
      </c>
      <c r="BR241" s="43" t="str">
        <f t="shared" si="80"/>
        <v/>
      </c>
      <c r="BS241" s="43" t="str">
        <f t="shared" si="81"/>
        <v/>
      </c>
      <c r="BT241" s="43" t="str">
        <f t="shared" si="82"/>
        <v/>
      </c>
    </row>
    <row r="242" spans="52:72" ht="12" customHeight="1">
      <c r="AZ242" s="43">
        <v>234</v>
      </c>
      <c r="BA242" s="43" t="str">
        <f t="shared" si="83"/>
        <v/>
      </c>
      <c r="BB242" s="43" t="str">
        <f t="shared" si="64"/>
        <v/>
      </c>
      <c r="BC242" s="43" t="str">
        <f t="shared" si="65"/>
        <v/>
      </c>
      <c r="BD242" s="43" t="str">
        <f t="shared" si="66"/>
        <v/>
      </c>
      <c r="BE242" s="43" t="e">
        <f t="shared" si="67"/>
        <v>#N/A</v>
      </c>
      <c r="BF242" s="43" t="e">
        <f t="shared" si="68"/>
        <v>#N/A</v>
      </c>
      <c r="BG242" s="43" t="e">
        <f t="shared" si="69"/>
        <v>#N/A</v>
      </c>
      <c r="BH242" s="43" t="e">
        <f t="shared" si="70"/>
        <v>#N/A</v>
      </c>
      <c r="BI242" s="43" t="e">
        <f t="shared" si="71"/>
        <v>#N/A</v>
      </c>
      <c r="BJ242" s="43" t="e">
        <f t="shared" si="72"/>
        <v>#N/A</v>
      </c>
      <c r="BK242" s="43">
        <f t="shared" si="73"/>
        <v>-2.94</v>
      </c>
      <c r="BL242" s="43" t="e">
        <f t="shared" si="74"/>
        <v>#N/A</v>
      </c>
      <c r="BM242" s="43" t="e">
        <f t="shared" si="75"/>
        <v>#N/A</v>
      </c>
      <c r="BN242" s="43" t="e">
        <f t="shared" si="76"/>
        <v>#N/A</v>
      </c>
      <c r="BO242" s="43">
        <f t="shared" si="77"/>
        <v>-2.94</v>
      </c>
      <c r="BP242" s="43">
        <f t="shared" si="78"/>
        <v>-2.9249999999999998</v>
      </c>
      <c r="BQ242" s="43" t="e">
        <f t="shared" si="79"/>
        <v>#N/A</v>
      </c>
      <c r="BR242" s="43" t="str">
        <f t="shared" si="80"/>
        <v/>
      </c>
      <c r="BS242" s="43" t="str">
        <f t="shared" si="81"/>
        <v/>
      </c>
      <c r="BT242" s="43" t="str">
        <f t="shared" si="82"/>
        <v/>
      </c>
    </row>
    <row r="243" spans="52:72" ht="12" customHeight="1">
      <c r="AZ243" s="43">
        <v>235</v>
      </c>
      <c r="BA243" s="43" t="str">
        <f t="shared" si="83"/>
        <v/>
      </c>
      <c r="BB243" s="43" t="str">
        <f t="shared" si="64"/>
        <v/>
      </c>
      <c r="BC243" s="43" t="str">
        <f t="shared" si="65"/>
        <v/>
      </c>
      <c r="BD243" s="43" t="str">
        <f t="shared" si="66"/>
        <v/>
      </c>
      <c r="BE243" s="43" t="e">
        <f t="shared" si="67"/>
        <v>#N/A</v>
      </c>
      <c r="BF243" s="43" t="e">
        <f t="shared" si="68"/>
        <v>#N/A</v>
      </c>
      <c r="BG243" s="43" t="e">
        <f t="shared" si="69"/>
        <v>#N/A</v>
      </c>
      <c r="BH243" s="43" t="e">
        <f t="shared" si="70"/>
        <v>#N/A</v>
      </c>
      <c r="BI243" s="43" t="e">
        <f t="shared" si="71"/>
        <v>#N/A</v>
      </c>
      <c r="BJ243" s="43" t="e">
        <f t="shared" si="72"/>
        <v>#N/A</v>
      </c>
      <c r="BK243" s="43">
        <f t="shared" si="73"/>
        <v>-2.94</v>
      </c>
      <c r="BL243" s="43" t="e">
        <f t="shared" si="74"/>
        <v>#N/A</v>
      </c>
      <c r="BM243" s="43" t="e">
        <f t="shared" si="75"/>
        <v>#N/A</v>
      </c>
      <c r="BN243" s="43" t="e">
        <f t="shared" si="76"/>
        <v>#N/A</v>
      </c>
      <c r="BO243" s="43">
        <f t="shared" si="77"/>
        <v>-2.94</v>
      </c>
      <c r="BP243" s="43">
        <f t="shared" si="78"/>
        <v>-2.9249999999999998</v>
      </c>
      <c r="BQ243" s="43" t="e">
        <f t="shared" si="79"/>
        <v>#N/A</v>
      </c>
      <c r="BR243" s="43" t="str">
        <f t="shared" si="80"/>
        <v/>
      </c>
      <c r="BS243" s="43" t="str">
        <f t="shared" si="81"/>
        <v/>
      </c>
      <c r="BT243" s="43" t="str">
        <f t="shared" si="82"/>
        <v/>
      </c>
    </row>
    <row r="244" spans="52:72" ht="12" customHeight="1">
      <c r="AZ244" s="43">
        <v>236</v>
      </c>
      <c r="BA244" s="43" t="str">
        <f t="shared" si="83"/>
        <v/>
      </c>
      <c r="BB244" s="43" t="str">
        <f t="shared" si="64"/>
        <v/>
      </c>
      <c r="BC244" s="43" t="str">
        <f t="shared" si="65"/>
        <v/>
      </c>
      <c r="BD244" s="43" t="str">
        <f t="shared" si="66"/>
        <v/>
      </c>
      <c r="BE244" s="43" t="e">
        <f t="shared" si="67"/>
        <v>#N/A</v>
      </c>
      <c r="BF244" s="43" t="e">
        <f t="shared" si="68"/>
        <v>#N/A</v>
      </c>
      <c r="BG244" s="43" t="e">
        <f t="shared" si="69"/>
        <v>#N/A</v>
      </c>
      <c r="BH244" s="43" t="e">
        <f t="shared" si="70"/>
        <v>#N/A</v>
      </c>
      <c r="BI244" s="43" t="e">
        <f t="shared" si="71"/>
        <v>#N/A</v>
      </c>
      <c r="BJ244" s="43" t="e">
        <f t="shared" si="72"/>
        <v>#N/A</v>
      </c>
      <c r="BK244" s="43">
        <f t="shared" si="73"/>
        <v>-2.94</v>
      </c>
      <c r="BL244" s="43" t="e">
        <f t="shared" si="74"/>
        <v>#N/A</v>
      </c>
      <c r="BM244" s="43" t="e">
        <f t="shared" si="75"/>
        <v>#N/A</v>
      </c>
      <c r="BN244" s="43" t="e">
        <f t="shared" si="76"/>
        <v>#N/A</v>
      </c>
      <c r="BO244" s="43">
        <f t="shared" si="77"/>
        <v>-2.94</v>
      </c>
      <c r="BP244" s="43">
        <f t="shared" si="78"/>
        <v>-2.9249999999999998</v>
      </c>
      <c r="BQ244" s="43" t="e">
        <f t="shared" si="79"/>
        <v>#N/A</v>
      </c>
      <c r="BR244" s="43" t="str">
        <f t="shared" si="80"/>
        <v/>
      </c>
      <c r="BS244" s="43" t="str">
        <f t="shared" si="81"/>
        <v/>
      </c>
      <c r="BT244" s="43" t="str">
        <f t="shared" si="82"/>
        <v/>
      </c>
    </row>
    <row r="245" spans="52:72" ht="12" customHeight="1">
      <c r="AZ245" s="43">
        <v>237</v>
      </c>
      <c r="BA245" s="43" t="str">
        <f t="shared" si="83"/>
        <v/>
      </c>
      <c r="BB245" s="43" t="str">
        <f t="shared" si="64"/>
        <v/>
      </c>
      <c r="BC245" s="43" t="str">
        <f t="shared" si="65"/>
        <v/>
      </c>
      <c r="BD245" s="43" t="str">
        <f t="shared" si="66"/>
        <v/>
      </c>
      <c r="BE245" s="43" t="e">
        <f t="shared" si="67"/>
        <v>#N/A</v>
      </c>
      <c r="BF245" s="43" t="e">
        <f t="shared" si="68"/>
        <v>#N/A</v>
      </c>
      <c r="BG245" s="43" t="e">
        <f t="shared" si="69"/>
        <v>#N/A</v>
      </c>
      <c r="BH245" s="43" t="e">
        <f t="shared" si="70"/>
        <v>#N/A</v>
      </c>
      <c r="BI245" s="43" t="e">
        <f t="shared" si="71"/>
        <v>#N/A</v>
      </c>
      <c r="BJ245" s="43" t="e">
        <f t="shared" si="72"/>
        <v>#N/A</v>
      </c>
      <c r="BK245" s="43">
        <f t="shared" si="73"/>
        <v>-2.94</v>
      </c>
      <c r="BL245" s="43" t="e">
        <f t="shared" si="74"/>
        <v>#N/A</v>
      </c>
      <c r="BM245" s="43" t="e">
        <f t="shared" si="75"/>
        <v>#N/A</v>
      </c>
      <c r="BN245" s="43" t="e">
        <f t="shared" si="76"/>
        <v>#N/A</v>
      </c>
      <c r="BO245" s="43">
        <f t="shared" si="77"/>
        <v>-2.94</v>
      </c>
      <c r="BP245" s="43">
        <f t="shared" si="78"/>
        <v>-2.9249999999999998</v>
      </c>
      <c r="BQ245" s="43" t="e">
        <f t="shared" si="79"/>
        <v>#N/A</v>
      </c>
      <c r="BR245" s="43" t="str">
        <f t="shared" si="80"/>
        <v/>
      </c>
      <c r="BS245" s="43" t="str">
        <f t="shared" si="81"/>
        <v/>
      </c>
      <c r="BT245" s="43" t="str">
        <f t="shared" si="82"/>
        <v/>
      </c>
    </row>
    <row r="246" spans="52:72" ht="12" customHeight="1">
      <c r="AZ246" s="43">
        <v>238</v>
      </c>
      <c r="BA246" s="43" t="str">
        <f t="shared" si="83"/>
        <v/>
      </c>
      <c r="BB246" s="43" t="str">
        <f t="shared" si="64"/>
        <v/>
      </c>
      <c r="BC246" s="43" t="str">
        <f t="shared" si="65"/>
        <v/>
      </c>
      <c r="BD246" s="43" t="str">
        <f t="shared" si="66"/>
        <v/>
      </c>
      <c r="BE246" s="43" t="e">
        <f t="shared" si="67"/>
        <v>#N/A</v>
      </c>
      <c r="BF246" s="43" t="e">
        <f t="shared" si="68"/>
        <v>#N/A</v>
      </c>
      <c r="BG246" s="43" t="e">
        <f t="shared" si="69"/>
        <v>#N/A</v>
      </c>
      <c r="BH246" s="43" t="e">
        <f t="shared" si="70"/>
        <v>#N/A</v>
      </c>
      <c r="BI246" s="43" t="e">
        <f t="shared" si="71"/>
        <v>#N/A</v>
      </c>
      <c r="BJ246" s="43" t="e">
        <f t="shared" si="72"/>
        <v>#N/A</v>
      </c>
      <c r="BK246" s="43">
        <f t="shared" si="73"/>
        <v>-2.94</v>
      </c>
      <c r="BL246" s="43" t="e">
        <f t="shared" si="74"/>
        <v>#N/A</v>
      </c>
      <c r="BM246" s="43" t="e">
        <f t="shared" si="75"/>
        <v>#N/A</v>
      </c>
      <c r="BN246" s="43" t="e">
        <f t="shared" si="76"/>
        <v>#N/A</v>
      </c>
      <c r="BO246" s="43">
        <f t="shared" si="77"/>
        <v>-2.94</v>
      </c>
      <c r="BP246" s="43">
        <f t="shared" si="78"/>
        <v>-2.9249999999999998</v>
      </c>
      <c r="BQ246" s="43" t="e">
        <f t="shared" si="79"/>
        <v>#N/A</v>
      </c>
      <c r="BR246" s="43" t="str">
        <f t="shared" si="80"/>
        <v/>
      </c>
      <c r="BS246" s="43" t="str">
        <f t="shared" si="81"/>
        <v/>
      </c>
      <c r="BT246" s="43" t="str">
        <f t="shared" si="82"/>
        <v/>
      </c>
    </row>
    <row r="247" spans="52:72" ht="12" customHeight="1">
      <c r="AZ247" s="43">
        <v>239</v>
      </c>
      <c r="BA247" s="43" t="str">
        <f t="shared" si="83"/>
        <v/>
      </c>
      <c r="BB247" s="43" t="str">
        <f t="shared" si="64"/>
        <v/>
      </c>
      <c r="BC247" s="43" t="str">
        <f t="shared" si="65"/>
        <v/>
      </c>
      <c r="BD247" s="43" t="str">
        <f t="shared" si="66"/>
        <v/>
      </c>
      <c r="BE247" s="43" t="e">
        <f t="shared" si="67"/>
        <v>#N/A</v>
      </c>
      <c r="BF247" s="43" t="e">
        <f t="shared" si="68"/>
        <v>#N/A</v>
      </c>
      <c r="BG247" s="43" t="e">
        <f t="shared" si="69"/>
        <v>#N/A</v>
      </c>
      <c r="BH247" s="43" t="e">
        <f t="shared" si="70"/>
        <v>#N/A</v>
      </c>
      <c r="BI247" s="43" t="e">
        <f t="shared" si="71"/>
        <v>#N/A</v>
      </c>
      <c r="BJ247" s="43" t="e">
        <f t="shared" si="72"/>
        <v>#N/A</v>
      </c>
      <c r="BK247" s="43">
        <f t="shared" si="73"/>
        <v>-2.94</v>
      </c>
      <c r="BL247" s="43" t="e">
        <f t="shared" si="74"/>
        <v>#N/A</v>
      </c>
      <c r="BM247" s="43" t="e">
        <f t="shared" si="75"/>
        <v>#N/A</v>
      </c>
      <c r="BN247" s="43" t="e">
        <f t="shared" si="76"/>
        <v>#N/A</v>
      </c>
      <c r="BO247" s="43">
        <f t="shared" si="77"/>
        <v>-2.94</v>
      </c>
      <c r="BP247" s="43">
        <f t="shared" si="78"/>
        <v>-2.9249999999999998</v>
      </c>
      <c r="BQ247" s="43" t="e">
        <f t="shared" si="79"/>
        <v>#N/A</v>
      </c>
      <c r="BR247" s="43" t="str">
        <f t="shared" si="80"/>
        <v/>
      </c>
      <c r="BS247" s="43" t="str">
        <f t="shared" si="81"/>
        <v/>
      </c>
      <c r="BT247" s="43" t="str">
        <f t="shared" si="82"/>
        <v/>
      </c>
    </row>
    <row r="248" spans="52:72" ht="12" customHeight="1">
      <c r="AZ248" s="43">
        <v>240</v>
      </c>
      <c r="BA248" s="43" t="str">
        <f t="shared" si="83"/>
        <v/>
      </c>
      <c r="BB248" s="43" t="str">
        <f t="shared" si="64"/>
        <v/>
      </c>
      <c r="BC248" s="43" t="str">
        <f t="shared" si="65"/>
        <v/>
      </c>
      <c r="BD248" s="43" t="str">
        <f t="shared" si="66"/>
        <v/>
      </c>
      <c r="BE248" s="43" t="e">
        <f t="shared" si="67"/>
        <v>#N/A</v>
      </c>
      <c r="BF248" s="43" t="e">
        <f t="shared" si="68"/>
        <v>#N/A</v>
      </c>
      <c r="BG248" s="43" t="e">
        <f t="shared" si="69"/>
        <v>#N/A</v>
      </c>
      <c r="BH248" s="43" t="e">
        <f t="shared" si="70"/>
        <v>#N/A</v>
      </c>
      <c r="BI248" s="43" t="e">
        <f t="shared" si="71"/>
        <v>#N/A</v>
      </c>
      <c r="BJ248" s="43" t="e">
        <f t="shared" si="72"/>
        <v>#N/A</v>
      </c>
      <c r="BK248" s="43">
        <f t="shared" si="73"/>
        <v>-2.94</v>
      </c>
      <c r="BL248" s="43" t="e">
        <f t="shared" si="74"/>
        <v>#N/A</v>
      </c>
      <c r="BM248" s="43" t="e">
        <f t="shared" si="75"/>
        <v>#N/A</v>
      </c>
      <c r="BN248" s="43" t="e">
        <f t="shared" si="76"/>
        <v>#N/A</v>
      </c>
      <c r="BO248" s="43">
        <f t="shared" si="77"/>
        <v>-2.94</v>
      </c>
      <c r="BP248" s="43">
        <f t="shared" si="78"/>
        <v>-2.9249999999999998</v>
      </c>
      <c r="BQ248" s="43" t="e">
        <f t="shared" si="79"/>
        <v>#N/A</v>
      </c>
      <c r="BR248" s="43" t="str">
        <f t="shared" si="80"/>
        <v/>
      </c>
      <c r="BS248" s="43" t="str">
        <f t="shared" si="81"/>
        <v/>
      </c>
      <c r="BT248" s="43" t="str">
        <f t="shared" si="82"/>
        <v/>
      </c>
    </row>
    <row r="249" spans="52:72" ht="12" customHeight="1">
      <c r="AZ249" s="43">
        <v>241</v>
      </c>
      <c r="BA249" s="43" t="str">
        <f t="shared" si="83"/>
        <v/>
      </c>
      <c r="BB249" s="43" t="str">
        <f t="shared" si="64"/>
        <v/>
      </c>
      <c r="BC249" s="43" t="str">
        <f t="shared" si="65"/>
        <v/>
      </c>
      <c r="BD249" s="43" t="str">
        <f t="shared" si="66"/>
        <v/>
      </c>
      <c r="BE249" s="43" t="e">
        <f t="shared" si="67"/>
        <v>#N/A</v>
      </c>
      <c r="BF249" s="43" t="e">
        <f t="shared" si="68"/>
        <v>#N/A</v>
      </c>
      <c r="BG249" s="43" t="e">
        <f t="shared" si="69"/>
        <v>#N/A</v>
      </c>
      <c r="BH249" s="43" t="e">
        <f t="shared" si="70"/>
        <v>#N/A</v>
      </c>
      <c r="BI249" s="43" t="e">
        <f t="shared" si="71"/>
        <v>#N/A</v>
      </c>
      <c r="BJ249" s="43" t="e">
        <f t="shared" si="72"/>
        <v>#N/A</v>
      </c>
      <c r="BK249" s="43">
        <f t="shared" si="73"/>
        <v>-2.94</v>
      </c>
      <c r="BL249" s="43" t="e">
        <f t="shared" si="74"/>
        <v>#N/A</v>
      </c>
      <c r="BM249" s="43" t="e">
        <f t="shared" si="75"/>
        <v>#N/A</v>
      </c>
      <c r="BN249" s="43" t="e">
        <f t="shared" si="76"/>
        <v>#N/A</v>
      </c>
      <c r="BO249" s="43">
        <f t="shared" si="77"/>
        <v>-2.94</v>
      </c>
      <c r="BP249" s="43">
        <f t="shared" si="78"/>
        <v>-2.9249999999999998</v>
      </c>
      <c r="BQ249" s="43" t="e">
        <f t="shared" si="79"/>
        <v>#N/A</v>
      </c>
      <c r="BR249" s="43" t="str">
        <f t="shared" si="80"/>
        <v/>
      </c>
      <c r="BS249" s="43" t="str">
        <f t="shared" si="81"/>
        <v/>
      </c>
      <c r="BT249" s="43" t="str">
        <f t="shared" si="82"/>
        <v/>
      </c>
    </row>
    <row r="250" spans="52:72" ht="12" customHeight="1">
      <c r="AZ250" s="43">
        <v>242</v>
      </c>
      <c r="BA250" s="43" t="str">
        <f t="shared" si="83"/>
        <v/>
      </c>
      <c r="BB250" s="43" t="str">
        <f t="shared" si="64"/>
        <v/>
      </c>
      <c r="BC250" s="43" t="str">
        <f t="shared" si="65"/>
        <v/>
      </c>
      <c r="BD250" s="43" t="str">
        <f t="shared" si="66"/>
        <v/>
      </c>
      <c r="BE250" s="43" t="e">
        <f t="shared" si="67"/>
        <v>#N/A</v>
      </c>
      <c r="BF250" s="43" t="e">
        <f t="shared" si="68"/>
        <v>#N/A</v>
      </c>
      <c r="BG250" s="43" t="e">
        <f t="shared" si="69"/>
        <v>#N/A</v>
      </c>
      <c r="BH250" s="43" t="e">
        <f t="shared" si="70"/>
        <v>#N/A</v>
      </c>
      <c r="BI250" s="43" t="e">
        <f t="shared" si="71"/>
        <v>#N/A</v>
      </c>
      <c r="BJ250" s="43" t="e">
        <f t="shared" si="72"/>
        <v>#N/A</v>
      </c>
      <c r="BK250" s="43">
        <f t="shared" si="73"/>
        <v>-2.94</v>
      </c>
      <c r="BL250" s="43" t="e">
        <f t="shared" si="74"/>
        <v>#N/A</v>
      </c>
      <c r="BM250" s="43" t="e">
        <f t="shared" si="75"/>
        <v>#N/A</v>
      </c>
      <c r="BN250" s="43" t="e">
        <f t="shared" si="76"/>
        <v>#N/A</v>
      </c>
      <c r="BO250" s="43">
        <f t="shared" si="77"/>
        <v>-2.94</v>
      </c>
      <c r="BP250" s="43">
        <f t="shared" si="78"/>
        <v>-2.9249999999999998</v>
      </c>
      <c r="BQ250" s="43" t="e">
        <f t="shared" si="79"/>
        <v>#N/A</v>
      </c>
      <c r="BR250" s="43" t="str">
        <f t="shared" si="80"/>
        <v/>
      </c>
      <c r="BS250" s="43" t="str">
        <f t="shared" si="81"/>
        <v/>
      </c>
      <c r="BT250" s="43" t="str">
        <f t="shared" si="82"/>
        <v/>
      </c>
    </row>
    <row r="251" spans="52:72" ht="12" customHeight="1">
      <c r="AZ251" s="43">
        <v>243</v>
      </c>
      <c r="BA251" s="43" t="str">
        <f t="shared" si="83"/>
        <v/>
      </c>
      <c r="BB251" s="43" t="str">
        <f t="shared" si="64"/>
        <v/>
      </c>
      <c r="BC251" s="43" t="str">
        <f t="shared" si="65"/>
        <v/>
      </c>
      <c r="BD251" s="43" t="str">
        <f t="shared" si="66"/>
        <v/>
      </c>
      <c r="BE251" s="43" t="e">
        <f t="shared" si="67"/>
        <v>#N/A</v>
      </c>
      <c r="BF251" s="43" t="e">
        <f t="shared" si="68"/>
        <v>#N/A</v>
      </c>
      <c r="BG251" s="43" t="e">
        <f t="shared" si="69"/>
        <v>#N/A</v>
      </c>
      <c r="BH251" s="43" t="e">
        <f t="shared" si="70"/>
        <v>#N/A</v>
      </c>
      <c r="BI251" s="43" t="e">
        <f t="shared" si="71"/>
        <v>#N/A</v>
      </c>
      <c r="BJ251" s="43" t="e">
        <f t="shared" si="72"/>
        <v>#N/A</v>
      </c>
      <c r="BK251" s="43">
        <f t="shared" si="73"/>
        <v>-2.94</v>
      </c>
      <c r="BL251" s="43" t="e">
        <f t="shared" si="74"/>
        <v>#N/A</v>
      </c>
      <c r="BM251" s="43" t="e">
        <f t="shared" si="75"/>
        <v>#N/A</v>
      </c>
      <c r="BN251" s="43" t="e">
        <f t="shared" si="76"/>
        <v>#N/A</v>
      </c>
      <c r="BO251" s="43">
        <f t="shared" si="77"/>
        <v>-2.94</v>
      </c>
      <c r="BP251" s="43">
        <f t="shared" si="78"/>
        <v>-2.9249999999999998</v>
      </c>
      <c r="BQ251" s="43" t="e">
        <f t="shared" si="79"/>
        <v>#N/A</v>
      </c>
      <c r="BR251" s="43" t="str">
        <f t="shared" si="80"/>
        <v/>
      </c>
      <c r="BS251" s="43" t="str">
        <f t="shared" si="81"/>
        <v/>
      </c>
      <c r="BT251" s="43" t="str">
        <f t="shared" si="82"/>
        <v/>
      </c>
    </row>
    <row r="252" spans="52:72" ht="12" customHeight="1">
      <c r="AZ252" s="43">
        <v>244</v>
      </c>
      <c r="BA252" s="43" t="str">
        <f t="shared" si="83"/>
        <v/>
      </c>
      <c r="BB252" s="43" t="str">
        <f t="shared" si="64"/>
        <v/>
      </c>
      <c r="BC252" s="43" t="str">
        <f t="shared" si="65"/>
        <v/>
      </c>
      <c r="BD252" s="43" t="str">
        <f t="shared" si="66"/>
        <v/>
      </c>
      <c r="BE252" s="43" t="e">
        <f t="shared" si="67"/>
        <v>#N/A</v>
      </c>
      <c r="BF252" s="43" t="e">
        <f t="shared" si="68"/>
        <v>#N/A</v>
      </c>
      <c r="BG252" s="43" t="e">
        <f t="shared" si="69"/>
        <v>#N/A</v>
      </c>
      <c r="BH252" s="43" t="e">
        <f t="shared" si="70"/>
        <v>#N/A</v>
      </c>
      <c r="BI252" s="43" t="e">
        <f t="shared" si="71"/>
        <v>#N/A</v>
      </c>
      <c r="BJ252" s="43" t="e">
        <f t="shared" si="72"/>
        <v>#N/A</v>
      </c>
      <c r="BK252" s="43">
        <f t="shared" si="73"/>
        <v>-2.94</v>
      </c>
      <c r="BL252" s="43" t="e">
        <f t="shared" si="74"/>
        <v>#N/A</v>
      </c>
      <c r="BM252" s="43" t="e">
        <f t="shared" si="75"/>
        <v>#N/A</v>
      </c>
      <c r="BN252" s="43" t="e">
        <f t="shared" si="76"/>
        <v>#N/A</v>
      </c>
      <c r="BO252" s="43">
        <f t="shared" si="77"/>
        <v>-2.94</v>
      </c>
      <c r="BP252" s="43">
        <f t="shared" si="78"/>
        <v>-2.9249999999999998</v>
      </c>
      <c r="BQ252" s="43" t="e">
        <f t="shared" si="79"/>
        <v>#N/A</v>
      </c>
      <c r="BR252" s="43" t="str">
        <f t="shared" si="80"/>
        <v/>
      </c>
      <c r="BS252" s="43" t="str">
        <f t="shared" si="81"/>
        <v/>
      </c>
      <c r="BT252" s="43" t="str">
        <f t="shared" si="82"/>
        <v/>
      </c>
    </row>
    <row r="253" spans="52:72" ht="12" customHeight="1">
      <c r="AZ253" s="43">
        <v>245</v>
      </c>
      <c r="BA253" s="43" t="str">
        <f t="shared" si="83"/>
        <v/>
      </c>
      <c r="BB253" s="43" t="str">
        <f t="shared" si="64"/>
        <v/>
      </c>
      <c r="BC253" s="43" t="str">
        <f t="shared" si="65"/>
        <v/>
      </c>
      <c r="BD253" s="43" t="str">
        <f t="shared" si="66"/>
        <v/>
      </c>
      <c r="BE253" s="43" t="e">
        <f t="shared" si="67"/>
        <v>#N/A</v>
      </c>
      <c r="BF253" s="43" t="e">
        <f t="shared" si="68"/>
        <v>#N/A</v>
      </c>
      <c r="BG253" s="43" t="e">
        <f t="shared" si="69"/>
        <v>#N/A</v>
      </c>
      <c r="BH253" s="43" t="e">
        <f t="shared" si="70"/>
        <v>#N/A</v>
      </c>
      <c r="BI253" s="43" t="e">
        <f t="shared" si="71"/>
        <v>#N/A</v>
      </c>
      <c r="BJ253" s="43" t="e">
        <f t="shared" si="72"/>
        <v>#N/A</v>
      </c>
      <c r="BK253" s="43">
        <f t="shared" si="73"/>
        <v>-2.94</v>
      </c>
      <c r="BL253" s="43" t="e">
        <f t="shared" si="74"/>
        <v>#N/A</v>
      </c>
      <c r="BM253" s="43" t="e">
        <f t="shared" si="75"/>
        <v>#N/A</v>
      </c>
      <c r="BN253" s="43" t="e">
        <f t="shared" si="76"/>
        <v>#N/A</v>
      </c>
      <c r="BO253" s="43">
        <f t="shared" si="77"/>
        <v>-2.94</v>
      </c>
      <c r="BP253" s="43">
        <f t="shared" si="78"/>
        <v>-2.9249999999999998</v>
      </c>
      <c r="BQ253" s="43" t="e">
        <f t="shared" si="79"/>
        <v>#N/A</v>
      </c>
      <c r="BR253" s="43" t="str">
        <f t="shared" si="80"/>
        <v/>
      </c>
      <c r="BS253" s="43" t="str">
        <f t="shared" si="81"/>
        <v/>
      </c>
      <c r="BT253" s="43" t="str">
        <f t="shared" si="82"/>
        <v/>
      </c>
    </row>
    <row r="254" spans="52:72" ht="12" customHeight="1">
      <c r="AZ254" s="43">
        <v>246</v>
      </c>
      <c r="BA254" s="43" t="str">
        <f t="shared" si="83"/>
        <v/>
      </c>
      <c r="BB254" s="43" t="str">
        <f t="shared" si="64"/>
        <v/>
      </c>
      <c r="BC254" s="43" t="str">
        <f t="shared" si="65"/>
        <v/>
      </c>
      <c r="BD254" s="43" t="str">
        <f t="shared" si="66"/>
        <v/>
      </c>
      <c r="BE254" s="43" t="e">
        <f t="shared" si="67"/>
        <v>#N/A</v>
      </c>
      <c r="BF254" s="43" t="e">
        <f t="shared" si="68"/>
        <v>#N/A</v>
      </c>
      <c r="BG254" s="43" t="e">
        <f t="shared" si="69"/>
        <v>#N/A</v>
      </c>
      <c r="BH254" s="43" t="e">
        <f t="shared" si="70"/>
        <v>#N/A</v>
      </c>
      <c r="BI254" s="43" t="e">
        <f t="shared" si="71"/>
        <v>#N/A</v>
      </c>
      <c r="BJ254" s="43" t="e">
        <f t="shared" si="72"/>
        <v>#N/A</v>
      </c>
      <c r="BK254" s="43">
        <f t="shared" si="73"/>
        <v>-2.94</v>
      </c>
      <c r="BL254" s="43" t="e">
        <f t="shared" si="74"/>
        <v>#N/A</v>
      </c>
      <c r="BM254" s="43" t="e">
        <f t="shared" si="75"/>
        <v>#N/A</v>
      </c>
      <c r="BN254" s="43" t="e">
        <f t="shared" si="76"/>
        <v>#N/A</v>
      </c>
      <c r="BO254" s="43">
        <f t="shared" si="77"/>
        <v>-2.94</v>
      </c>
      <c r="BP254" s="43">
        <f t="shared" si="78"/>
        <v>-2.9249999999999998</v>
      </c>
      <c r="BQ254" s="43" t="e">
        <f t="shared" si="79"/>
        <v>#N/A</v>
      </c>
      <c r="BR254" s="43" t="str">
        <f t="shared" si="80"/>
        <v/>
      </c>
      <c r="BS254" s="43" t="str">
        <f t="shared" si="81"/>
        <v/>
      </c>
      <c r="BT254" s="43" t="str">
        <f t="shared" si="82"/>
        <v/>
      </c>
    </row>
    <row r="255" spans="52:72" ht="12" customHeight="1">
      <c r="AZ255" s="43">
        <v>247</v>
      </c>
      <c r="BA255" s="43" t="str">
        <f t="shared" si="83"/>
        <v/>
      </c>
      <c r="BB255" s="43" t="str">
        <f t="shared" si="64"/>
        <v/>
      </c>
      <c r="BC255" s="43" t="str">
        <f t="shared" si="65"/>
        <v/>
      </c>
      <c r="BD255" s="43" t="str">
        <f t="shared" si="66"/>
        <v/>
      </c>
      <c r="BE255" s="43" t="e">
        <f t="shared" si="67"/>
        <v>#N/A</v>
      </c>
      <c r="BF255" s="43" t="e">
        <f t="shared" si="68"/>
        <v>#N/A</v>
      </c>
      <c r="BG255" s="43" t="e">
        <f t="shared" si="69"/>
        <v>#N/A</v>
      </c>
      <c r="BH255" s="43" t="e">
        <f t="shared" si="70"/>
        <v>#N/A</v>
      </c>
      <c r="BI255" s="43" t="e">
        <f t="shared" si="71"/>
        <v>#N/A</v>
      </c>
      <c r="BJ255" s="43" t="e">
        <f t="shared" si="72"/>
        <v>#N/A</v>
      </c>
      <c r="BK255" s="43">
        <f t="shared" si="73"/>
        <v>-2.94</v>
      </c>
      <c r="BL255" s="43" t="e">
        <f t="shared" si="74"/>
        <v>#N/A</v>
      </c>
      <c r="BM255" s="43" t="e">
        <f t="shared" si="75"/>
        <v>#N/A</v>
      </c>
      <c r="BN255" s="43" t="e">
        <f t="shared" si="76"/>
        <v>#N/A</v>
      </c>
      <c r="BO255" s="43">
        <f t="shared" si="77"/>
        <v>-2.94</v>
      </c>
      <c r="BP255" s="43">
        <f t="shared" si="78"/>
        <v>-2.9249999999999998</v>
      </c>
      <c r="BQ255" s="43" t="e">
        <f t="shared" si="79"/>
        <v>#N/A</v>
      </c>
      <c r="BR255" s="43" t="str">
        <f t="shared" si="80"/>
        <v/>
      </c>
      <c r="BS255" s="43" t="str">
        <f t="shared" si="81"/>
        <v/>
      </c>
      <c r="BT255" s="43" t="str">
        <f t="shared" si="82"/>
        <v/>
      </c>
    </row>
    <row r="256" spans="52:72" ht="12" customHeight="1">
      <c r="AZ256" s="43">
        <v>248</v>
      </c>
      <c r="BA256" s="43" t="str">
        <f t="shared" si="83"/>
        <v/>
      </c>
      <c r="BB256" s="43" t="str">
        <f t="shared" si="64"/>
        <v/>
      </c>
      <c r="BC256" s="43" t="str">
        <f t="shared" si="65"/>
        <v/>
      </c>
      <c r="BD256" s="43" t="str">
        <f t="shared" si="66"/>
        <v/>
      </c>
      <c r="BE256" s="43" t="e">
        <f t="shared" si="67"/>
        <v>#N/A</v>
      </c>
      <c r="BF256" s="43" t="e">
        <f t="shared" si="68"/>
        <v>#N/A</v>
      </c>
      <c r="BG256" s="43" t="e">
        <f t="shared" si="69"/>
        <v>#N/A</v>
      </c>
      <c r="BH256" s="43" t="e">
        <f t="shared" si="70"/>
        <v>#N/A</v>
      </c>
      <c r="BI256" s="43" t="e">
        <f t="shared" si="71"/>
        <v>#N/A</v>
      </c>
      <c r="BJ256" s="43" t="e">
        <f t="shared" si="72"/>
        <v>#N/A</v>
      </c>
      <c r="BK256" s="43">
        <f t="shared" si="73"/>
        <v>-2.94</v>
      </c>
      <c r="BL256" s="43" t="e">
        <f t="shared" si="74"/>
        <v>#N/A</v>
      </c>
      <c r="BM256" s="43" t="e">
        <f t="shared" si="75"/>
        <v>#N/A</v>
      </c>
      <c r="BN256" s="43" t="e">
        <f t="shared" si="76"/>
        <v>#N/A</v>
      </c>
      <c r="BO256" s="43">
        <f t="shared" si="77"/>
        <v>-2.94</v>
      </c>
      <c r="BP256" s="43">
        <f t="shared" si="78"/>
        <v>-2.9249999999999998</v>
      </c>
      <c r="BQ256" s="43" t="e">
        <f t="shared" si="79"/>
        <v>#N/A</v>
      </c>
      <c r="BR256" s="43" t="str">
        <f t="shared" si="80"/>
        <v/>
      </c>
      <c r="BS256" s="43" t="str">
        <f t="shared" si="81"/>
        <v/>
      </c>
      <c r="BT256" s="43" t="str">
        <f t="shared" si="82"/>
        <v/>
      </c>
    </row>
    <row r="257" spans="52:72" ht="12" customHeight="1">
      <c r="AZ257" s="43">
        <v>249</v>
      </c>
      <c r="BA257" s="43" t="str">
        <f t="shared" si="83"/>
        <v/>
      </c>
      <c r="BB257" s="43" t="str">
        <f t="shared" si="64"/>
        <v/>
      </c>
      <c r="BC257" s="43" t="str">
        <f t="shared" si="65"/>
        <v/>
      </c>
      <c r="BD257" s="43" t="str">
        <f t="shared" si="66"/>
        <v/>
      </c>
      <c r="BE257" s="43" t="e">
        <f t="shared" si="67"/>
        <v>#N/A</v>
      </c>
      <c r="BF257" s="43" t="e">
        <f t="shared" si="68"/>
        <v>#N/A</v>
      </c>
      <c r="BG257" s="43" t="e">
        <f t="shared" si="69"/>
        <v>#N/A</v>
      </c>
      <c r="BH257" s="43" t="e">
        <f t="shared" si="70"/>
        <v>#N/A</v>
      </c>
      <c r="BI257" s="43" t="e">
        <f t="shared" si="71"/>
        <v>#N/A</v>
      </c>
      <c r="BJ257" s="43" t="e">
        <f t="shared" si="72"/>
        <v>#N/A</v>
      </c>
      <c r="BK257" s="43">
        <f t="shared" si="73"/>
        <v>-2.94</v>
      </c>
      <c r="BL257" s="43" t="e">
        <f t="shared" si="74"/>
        <v>#N/A</v>
      </c>
      <c r="BM257" s="43" t="e">
        <f t="shared" si="75"/>
        <v>#N/A</v>
      </c>
      <c r="BN257" s="43" t="e">
        <f t="shared" si="76"/>
        <v>#N/A</v>
      </c>
      <c r="BO257" s="43">
        <f t="shared" si="77"/>
        <v>-2.94</v>
      </c>
      <c r="BP257" s="43">
        <f t="shared" si="78"/>
        <v>-2.9249999999999998</v>
      </c>
      <c r="BQ257" s="43" t="e">
        <f t="shared" si="79"/>
        <v>#N/A</v>
      </c>
      <c r="BR257" s="43" t="str">
        <f t="shared" si="80"/>
        <v/>
      </c>
      <c r="BS257" s="43" t="str">
        <f t="shared" si="81"/>
        <v/>
      </c>
      <c r="BT257" s="43" t="str">
        <f t="shared" si="82"/>
        <v/>
      </c>
    </row>
    <row r="258" spans="52:72" ht="12" customHeight="1">
      <c r="AZ258" s="43">
        <v>250</v>
      </c>
      <c r="BA258" s="43" t="str">
        <f t="shared" si="83"/>
        <v/>
      </c>
      <c r="BB258" s="43" t="str">
        <f t="shared" si="64"/>
        <v/>
      </c>
      <c r="BC258" s="43" t="str">
        <f t="shared" si="65"/>
        <v/>
      </c>
      <c r="BD258" s="43" t="str">
        <f t="shared" si="66"/>
        <v/>
      </c>
      <c r="BE258" s="43" t="e">
        <f t="shared" si="67"/>
        <v>#N/A</v>
      </c>
      <c r="BF258" s="43" t="e">
        <f t="shared" si="68"/>
        <v>#N/A</v>
      </c>
      <c r="BG258" s="43" t="e">
        <f t="shared" si="69"/>
        <v>#N/A</v>
      </c>
      <c r="BH258" s="43" t="e">
        <f t="shared" si="70"/>
        <v>#N/A</v>
      </c>
      <c r="BI258" s="43" t="e">
        <f t="shared" si="71"/>
        <v>#N/A</v>
      </c>
      <c r="BJ258" s="43" t="e">
        <f t="shared" si="72"/>
        <v>#N/A</v>
      </c>
      <c r="BK258" s="43">
        <f t="shared" si="73"/>
        <v>-2.94</v>
      </c>
      <c r="BL258" s="43" t="e">
        <f t="shared" si="74"/>
        <v>#N/A</v>
      </c>
      <c r="BM258" s="43" t="e">
        <f t="shared" si="75"/>
        <v>#N/A</v>
      </c>
      <c r="BN258" s="43" t="e">
        <f t="shared" si="76"/>
        <v>#N/A</v>
      </c>
      <c r="BO258" s="43">
        <f t="shared" si="77"/>
        <v>-2.94</v>
      </c>
      <c r="BP258" s="43">
        <f t="shared" si="78"/>
        <v>-2.9249999999999998</v>
      </c>
      <c r="BQ258" s="43" t="e">
        <f t="shared" si="79"/>
        <v>#N/A</v>
      </c>
      <c r="BR258" s="43" t="str">
        <f t="shared" si="80"/>
        <v/>
      </c>
      <c r="BS258" s="43" t="str">
        <f t="shared" si="81"/>
        <v/>
      </c>
      <c r="BT258" s="43" t="str">
        <f t="shared" si="82"/>
        <v/>
      </c>
    </row>
    <row r="259" spans="52:72" ht="12" customHeight="1">
      <c r="AZ259" s="43">
        <v>251</v>
      </c>
      <c r="BA259" s="43" t="str">
        <f t="shared" si="83"/>
        <v/>
      </c>
      <c r="BB259" s="43" t="str">
        <f t="shared" si="64"/>
        <v/>
      </c>
      <c r="BC259" s="43" t="str">
        <f t="shared" si="65"/>
        <v/>
      </c>
      <c r="BD259" s="43" t="str">
        <f t="shared" si="66"/>
        <v/>
      </c>
      <c r="BE259" s="43" t="e">
        <f t="shared" si="67"/>
        <v>#N/A</v>
      </c>
      <c r="BF259" s="43" t="e">
        <f t="shared" si="68"/>
        <v>#N/A</v>
      </c>
      <c r="BG259" s="43" t="e">
        <f t="shared" si="69"/>
        <v>#N/A</v>
      </c>
      <c r="BH259" s="43" t="e">
        <f t="shared" si="70"/>
        <v>#N/A</v>
      </c>
      <c r="BI259" s="43" t="e">
        <f t="shared" si="71"/>
        <v>#N/A</v>
      </c>
      <c r="BJ259" s="43" t="e">
        <f t="shared" si="72"/>
        <v>#N/A</v>
      </c>
      <c r="BK259" s="43">
        <f t="shared" si="73"/>
        <v>-2.94</v>
      </c>
      <c r="BL259" s="43" t="e">
        <f t="shared" si="74"/>
        <v>#N/A</v>
      </c>
      <c r="BM259" s="43" t="e">
        <f t="shared" si="75"/>
        <v>#N/A</v>
      </c>
      <c r="BN259" s="43" t="e">
        <f t="shared" si="76"/>
        <v>#N/A</v>
      </c>
      <c r="BO259" s="43">
        <f t="shared" si="77"/>
        <v>-2.94</v>
      </c>
      <c r="BP259" s="43">
        <f t="shared" si="78"/>
        <v>-2.9249999999999998</v>
      </c>
      <c r="BQ259" s="43" t="e">
        <f t="shared" si="79"/>
        <v>#N/A</v>
      </c>
      <c r="BR259" s="43" t="str">
        <f t="shared" si="80"/>
        <v/>
      </c>
      <c r="BS259" s="43" t="str">
        <f t="shared" si="81"/>
        <v/>
      </c>
      <c r="BT259" s="43" t="str">
        <f t="shared" si="82"/>
        <v/>
      </c>
    </row>
    <row r="260" spans="52:72" ht="12" customHeight="1">
      <c r="AZ260" s="43">
        <v>252</v>
      </c>
      <c r="BA260" s="43" t="str">
        <f t="shared" si="83"/>
        <v/>
      </c>
      <c r="BB260" s="43" t="str">
        <f t="shared" si="64"/>
        <v/>
      </c>
      <c r="BC260" s="43" t="str">
        <f t="shared" si="65"/>
        <v/>
      </c>
      <c r="BD260" s="43" t="str">
        <f t="shared" si="66"/>
        <v/>
      </c>
      <c r="BE260" s="43" t="e">
        <f t="shared" si="67"/>
        <v>#N/A</v>
      </c>
      <c r="BF260" s="43" t="e">
        <f t="shared" si="68"/>
        <v>#N/A</v>
      </c>
      <c r="BG260" s="43" t="e">
        <f t="shared" si="69"/>
        <v>#N/A</v>
      </c>
      <c r="BH260" s="43" t="e">
        <f t="shared" si="70"/>
        <v>#N/A</v>
      </c>
      <c r="BI260" s="43" t="e">
        <f t="shared" si="71"/>
        <v>#N/A</v>
      </c>
      <c r="BJ260" s="43" t="e">
        <f t="shared" si="72"/>
        <v>#N/A</v>
      </c>
      <c r="BK260" s="43">
        <f t="shared" si="73"/>
        <v>-2.94</v>
      </c>
      <c r="BL260" s="43" t="e">
        <f t="shared" si="74"/>
        <v>#N/A</v>
      </c>
      <c r="BM260" s="43" t="e">
        <f t="shared" si="75"/>
        <v>#N/A</v>
      </c>
      <c r="BN260" s="43" t="e">
        <f t="shared" si="76"/>
        <v>#N/A</v>
      </c>
      <c r="BO260" s="43">
        <f t="shared" si="77"/>
        <v>-2.94</v>
      </c>
      <c r="BP260" s="43">
        <f t="shared" si="78"/>
        <v>-2.9249999999999998</v>
      </c>
      <c r="BQ260" s="43" t="e">
        <f t="shared" si="79"/>
        <v>#N/A</v>
      </c>
      <c r="BR260" s="43" t="str">
        <f t="shared" si="80"/>
        <v/>
      </c>
      <c r="BS260" s="43" t="str">
        <f t="shared" si="81"/>
        <v/>
      </c>
      <c r="BT260" s="43" t="str">
        <f t="shared" si="82"/>
        <v/>
      </c>
    </row>
    <row r="261" spans="52:72" ht="12" customHeight="1">
      <c r="AZ261" s="43">
        <v>253</v>
      </c>
      <c r="BA261" s="43" t="str">
        <f t="shared" si="83"/>
        <v/>
      </c>
      <c r="BB261" s="43" t="str">
        <f t="shared" si="64"/>
        <v/>
      </c>
      <c r="BC261" s="43" t="str">
        <f t="shared" si="65"/>
        <v/>
      </c>
      <c r="BD261" s="43" t="str">
        <f t="shared" si="66"/>
        <v/>
      </c>
      <c r="BE261" s="43" t="e">
        <f t="shared" si="67"/>
        <v>#N/A</v>
      </c>
      <c r="BF261" s="43" t="e">
        <f t="shared" si="68"/>
        <v>#N/A</v>
      </c>
      <c r="BG261" s="43" t="e">
        <f t="shared" si="69"/>
        <v>#N/A</v>
      </c>
      <c r="BH261" s="43" t="e">
        <f t="shared" si="70"/>
        <v>#N/A</v>
      </c>
      <c r="BI261" s="43" t="e">
        <f t="shared" si="71"/>
        <v>#N/A</v>
      </c>
      <c r="BJ261" s="43" t="e">
        <f t="shared" si="72"/>
        <v>#N/A</v>
      </c>
      <c r="BK261" s="43">
        <f t="shared" si="73"/>
        <v>-2.94</v>
      </c>
      <c r="BL261" s="43" t="e">
        <f t="shared" si="74"/>
        <v>#N/A</v>
      </c>
      <c r="BM261" s="43" t="e">
        <f t="shared" si="75"/>
        <v>#N/A</v>
      </c>
      <c r="BN261" s="43" t="e">
        <f t="shared" si="76"/>
        <v>#N/A</v>
      </c>
      <c r="BO261" s="43">
        <f t="shared" si="77"/>
        <v>-2.94</v>
      </c>
      <c r="BP261" s="43">
        <f t="shared" si="78"/>
        <v>-2.9249999999999998</v>
      </c>
      <c r="BQ261" s="43" t="e">
        <f t="shared" si="79"/>
        <v>#N/A</v>
      </c>
      <c r="BR261" s="43" t="str">
        <f t="shared" si="80"/>
        <v/>
      </c>
      <c r="BS261" s="43" t="str">
        <f t="shared" si="81"/>
        <v/>
      </c>
      <c r="BT261" s="43" t="str">
        <f t="shared" si="82"/>
        <v/>
      </c>
    </row>
    <row r="262" spans="52:72" ht="12" customHeight="1">
      <c r="AZ262" s="43">
        <v>254</v>
      </c>
      <c r="BA262" s="43" t="str">
        <f t="shared" si="83"/>
        <v/>
      </c>
      <c r="BB262" s="43" t="str">
        <f t="shared" si="64"/>
        <v/>
      </c>
      <c r="BC262" s="43" t="str">
        <f t="shared" si="65"/>
        <v/>
      </c>
      <c r="BD262" s="43" t="str">
        <f t="shared" si="66"/>
        <v/>
      </c>
      <c r="BE262" s="43" t="e">
        <f t="shared" si="67"/>
        <v>#N/A</v>
      </c>
      <c r="BF262" s="43" t="e">
        <f t="shared" si="68"/>
        <v>#N/A</v>
      </c>
      <c r="BG262" s="43" t="e">
        <f t="shared" si="69"/>
        <v>#N/A</v>
      </c>
      <c r="BH262" s="43" t="e">
        <f t="shared" si="70"/>
        <v>#N/A</v>
      </c>
      <c r="BI262" s="43" t="e">
        <f t="shared" si="71"/>
        <v>#N/A</v>
      </c>
      <c r="BJ262" s="43" t="e">
        <f t="shared" si="72"/>
        <v>#N/A</v>
      </c>
      <c r="BK262" s="43">
        <f t="shared" si="73"/>
        <v>-2.94</v>
      </c>
      <c r="BL262" s="43" t="e">
        <f t="shared" si="74"/>
        <v>#N/A</v>
      </c>
      <c r="BM262" s="43" t="e">
        <f t="shared" si="75"/>
        <v>#N/A</v>
      </c>
      <c r="BN262" s="43" t="e">
        <f t="shared" si="76"/>
        <v>#N/A</v>
      </c>
      <c r="BO262" s="43">
        <f t="shared" si="77"/>
        <v>-2.94</v>
      </c>
      <c r="BP262" s="43">
        <f t="shared" si="78"/>
        <v>-2.9249999999999998</v>
      </c>
      <c r="BQ262" s="43" t="e">
        <f t="shared" si="79"/>
        <v>#N/A</v>
      </c>
      <c r="BR262" s="43" t="str">
        <f t="shared" si="80"/>
        <v/>
      </c>
      <c r="BS262" s="43" t="str">
        <f t="shared" si="81"/>
        <v/>
      </c>
      <c r="BT262" s="43" t="str">
        <f t="shared" si="82"/>
        <v/>
      </c>
    </row>
    <row r="263" spans="52:72" ht="12" customHeight="1">
      <c r="AZ263" s="43">
        <v>255</v>
      </c>
      <c r="BA263" s="43" t="str">
        <f t="shared" si="83"/>
        <v/>
      </c>
      <c r="BB263" s="43" t="str">
        <f t="shared" si="64"/>
        <v/>
      </c>
      <c r="BC263" s="43" t="str">
        <f t="shared" si="65"/>
        <v/>
      </c>
      <c r="BD263" s="43" t="str">
        <f t="shared" si="66"/>
        <v/>
      </c>
      <c r="BE263" s="43" t="e">
        <f t="shared" si="67"/>
        <v>#N/A</v>
      </c>
      <c r="BF263" s="43" t="e">
        <f t="shared" si="68"/>
        <v>#N/A</v>
      </c>
      <c r="BG263" s="43" t="e">
        <f t="shared" si="69"/>
        <v>#N/A</v>
      </c>
      <c r="BH263" s="43" t="e">
        <f t="shared" si="70"/>
        <v>#N/A</v>
      </c>
      <c r="BI263" s="43" t="e">
        <f t="shared" si="71"/>
        <v>#N/A</v>
      </c>
      <c r="BJ263" s="43" t="e">
        <f t="shared" si="72"/>
        <v>#N/A</v>
      </c>
      <c r="BK263" s="43">
        <f t="shared" si="73"/>
        <v>-2.94</v>
      </c>
      <c r="BL263" s="43" t="e">
        <f t="shared" si="74"/>
        <v>#N/A</v>
      </c>
      <c r="BM263" s="43" t="e">
        <f t="shared" si="75"/>
        <v>#N/A</v>
      </c>
      <c r="BN263" s="43" t="e">
        <f t="shared" si="76"/>
        <v>#N/A</v>
      </c>
      <c r="BO263" s="43">
        <f t="shared" si="77"/>
        <v>-2.94</v>
      </c>
      <c r="BP263" s="43">
        <f t="shared" si="78"/>
        <v>-2.9249999999999998</v>
      </c>
      <c r="BQ263" s="43" t="e">
        <f t="shared" si="79"/>
        <v>#N/A</v>
      </c>
      <c r="BR263" s="43" t="str">
        <f t="shared" si="80"/>
        <v/>
      </c>
      <c r="BS263" s="43" t="str">
        <f t="shared" si="81"/>
        <v/>
      </c>
      <c r="BT263" s="43" t="str">
        <f t="shared" si="82"/>
        <v/>
      </c>
    </row>
    <row r="264" spans="52:72" ht="12" customHeight="1">
      <c r="AZ264" s="43">
        <v>256</v>
      </c>
      <c r="BA264" s="43" t="str">
        <f t="shared" si="83"/>
        <v/>
      </c>
      <c r="BB264" s="43" t="str">
        <f t="shared" si="64"/>
        <v/>
      </c>
      <c r="BC264" s="43" t="str">
        <f t="shared" si="65"/>
        <v/>
      </c>
      <c r="BD264" s="43" t="str">
        <f t="shared" si="66"/>
        <v/>
      </c>
      <c r="BE264" s="43" t="e">
        <f t="shared" si="67"/>
        <v>#N/A</v>
      </c>
      <c r="BF264" s="43" t="e">
        <f t="shared" si="68"/>
        <v>#N/A</v>
      </c>
      <c r="BG264" s="43" t="e">
        <f t="shared" si="69"/>
        <v>#N/A</v>
      </c>
      <c r="BH264" s="43" t="e">
        <f t="shared" si="70"/>
        <v>#N/A</v>
      </c>
      <c r="BI264" s="43" t="e">
        <f t="shared" si="71"/>
        <v>#N/A</v>
      </c>
      <c r="BJ264" s="43" t="e">
        <f t="shared" si="72"/>
        <v>#N/A</v>
      </c>
      <c r="BK264" s="43">
        <f t="shared" si="73"/>
        <v>-2.94</v>
      </c>
      <c r="BL264" s="43" t="e">
        <f t="shared" si="74"/>
        <v>#N/A</v>
      </c>
      <c r="BM264" s="43" t="e">
        <f t="shared" si="75"/>
        <v>#N/A</v>
      </c>
      <c r="BN264" s="43" t="e">
        <f t="shared" si="76"/>
        <v>#N/A</v>
      </c>
      <c r="BO264" s="43">
        <f t="shared" si="77"/>
        <v>-2.94</v>
      </c>
      <c r="BP264" s="43">
        <f t="shared" si="78"/>
        <v>-2.9249999999999998</v>
      </c>
      <c r="BQ264" s="43" t="e">
        <f t="shared" si="79"/>
        <v>#N/A</v>
      </c>
      <c r="BR264" s="43" t="str">
        <f t="shared" si="80"/>
        <v/>
      </c>
      <c r="BS264" s="43" t="str">
        <f t="shared" si="81"/>
        <v/>
      </c>
      <c r="BT264" s="43" t="str">
        <f t="shared" si="82"/>
        <v/>
      </c>
    </row>
    <row r="265" spans="52:72" ht="12" customHeight="1">
      <c r="AZ265" s="43">
        <v>257</v>
      </c>
      <c r="BA265" s="43" t="str">
        <f t="shared" si="83"/>
        <v/>
      </c>
      <c r="BB265" s="43" t="str">
        <f t="shared" ref="BB265:BB308" si="84">IF(AZ265&gt;$H$6,"",MOD(BA265*100000013,1))</f>
        <v/>
      </c>
      <c r="BC265" s="43" t="str">
        <f t="shared" ref="BC265:BC308" si="85">IF(AZ265&gt;$H$6,"",NORMSINV(BA265))</f>
        <v/>
      </c>
      <c r="BD265" s="43" t="str">
        <f t="shared" ref="BD265:BD308" si="86">IF(AZ265&gt;$H$6,"",BC265*$BA$7*$BD$4+$BB$5*NORMSINV(BB265))</f>
        <v/>
      </c>
      <c r="BE265" s="43" t="e">
        <f t="shared" ref="BE265:BE308" si="87">IF($AY$22,IF(BC265="",NA(),BC265),NA())</f>
        <v>#N/A</v>
      </c>
      <c r="BF265" s="43" t="e">
        <f t="shared" ref="BF265:BF308" si="88">IF($AY$22,IF(BD265="",NA(),BD265),NA())</f>
        <v>#N/A</v>
      </c>
      <c r="BG265" s="43" t="e">
        <f t="shared" ref="BG265:BG308" si="89">OR(BE265&lt;-forzoom,BE265&gt;forzoom,BF265&lt;-forzoom,BF265&gt;forzoom)</f>
        <v>#N/A</v>
      </c>
      <c r="BH265" s="43" t="e">
        <f t="shared" ref="BH265:BH308" si="90">IF(BG265,IF(ISNA(BE265),NA(),IF(BE265&lt;-forzoom,-forzoom,IF(BE265&gt;forzoom,forzoom,BE265))),NA())</f>
        <v>#N/A</v>
      </c>
      <c r="BI265" s="43" t="e">
        <f t="shared" ref="BI265:BI308" si="91">IF(ISNA(BF265),NA(),IF(BF265&lt;-forzoom,-forzoom,IF(BF265&gt;forzoom,forzoom,BF265)))</f>
        <v>#N/A</v>
      </c>
      <c r="BJ265" s="43" t="e">
        <f t="shared" ref="BJ265:BJ308" si="92">IF($BI$5,BE265,NA())</f>
        <v>#N/A</v>
      </c>
      <c r="BK265" s="43">
        <f t="shared" ref="BK265:BK308" si="93">-forzoom*$BK$6</f>
        <v>-2.94</v>
      </c>
      <c r="BL265" s="43" t="e">
        <f t="shared" ref="BL265:BL308" si="94">IF($BI$6,-forzoom*$BL$6,NA())</f>
        <v>#N/A</v>
      </c>
      <c r="BM265" s="43" t="e">
        <f t="shared" ref="BM265:BM308" si="95">BF265</f>
        <v>#N/A</v>
      </c>
      <c r="BN265" s="43" t="e">
        <f t="shared" ref="BN265:BN308" si="96">IF($BI$5,IF(BE265&gt;forzoom,forzoom,IF(BE265&lt;-forzoom,-forzoom,NA())),NA())</f>
        <v>#N/A</v>
      </c>
      <c r="BO265" s="43">
        <f t="shared" ref="BO265:BO308" si="97">-forzoom*$BK$6</f>
        <v>-2.94</v>
      </c>
      <c r="BP265" s="43">
        <f t="shared" ref="BP265:BP308" si="98">-forzoom*$BL$6</f>
        <v>-2.9249999999999998</v>
      </c>
      <c r="BQ265" s="43" t="e">
        <f t="shared" ref="BQ265:BQ308" si="99">IF($BI$6,IF(BF265&gt;forzoom,forzoom,IF(BF265&lt;-forzoom,-forzoom,NA())),NA())</f>
        <v>#N/A</v>
      </c>
      <c r="BR265" s="43" t="str">
        <f t="shared" ref="BR265:BR308" si="100">IF(BC265="","",BC265-$BC$6)</f>
        <v/>
      </c>
      <c r="BS265" s="43" t="str">
        <f t="shared" ref="BS265:BS308" si="101">IF(BD265="","",BD265-$BD$6)</f>
        <v/>
      </c>
      <c r="BT265" s="43" t="str">
        <f t="shared" ref="BT265:BT308" si="102">IF(BR265="","",BR265*BS265)</f>
        <v/>
      </c>
    </row>
    <row r="266" spans="52:72" ht="12" customHeight="1">
      <c r="AZ266" s="43">
        <v>258</v>
      </c>
      <c r="BA266" s="43" t="str">
        <f t="shared" ref="BA266:BA308" si="103">IF(AZ266&gt;$H$6,"",MOD(BB265*100000013,1))</f>
        <v/>
      </c>
      <c r="BB266" s="43" t="str">
        <f t="shared" si="84"/>
        <v/>
      </c>
      <c r="BC266" s="43" t="str">
        <f t="shared" si="85"/>
        <v/>
      </c>
      <c r="BD266" s="43" t="str">
        <f t="shared" si="86"/>
        <v/>
      </c>
      <c r="BE266" s="43" t="e">
        <f t="shared" si="87"/>
        <v>#N/A</v>
      </c>
      <c r="BF266" s="43" t="e">
        <f t="shared" si="88"/>
        <v>#N/A</v>
      </c>
      <c r="BG266" s="43" t="e">
        <f t="shared" si="89"/>
        <v>#N/A</v>
      </c>
      <c r="BH266" s="43" t="e">
        <f t="shared" si="90"/>
        <v>#N/A</v>
      </c>
      <c r="BI266" s="43" t="e">
        <f t="shared" si="91"/>
        <v>#N/A</v>
      </c>
      <c r="BJ266" s="43" t="e">
        <f t="shared" si="92"/>
        <v>#N/A</v>
      </c>
      <c r="BK266" s="43">
        <f t="shared" si="93"/>
        <v>-2.94</v>
      </c>
      <c r="BL266" s="43" t="e">
        <f t="shared" si="94"/>
        <v>#N/A</v>
      </c>
      <c r="BM266" s="43" t="e">
        <f t="shared" si="95"/>
        <v>#N/A</v>
      </c>
      <c r="BN266" s="43" t="e">
        <f t="shared" si="96"/>
        <v>#N/A</v>
      </c>
      <c r="BO266" s="43">
        <f t="shared" si="97"/>
        <v>-2.94</v>
      </c>
      <c r="BP266" s="43">
        <f t="shared" si="98"/>
        <v>-2.9249999999999998</v>
      </c>
      <c r="BQ266" s="43" t="e">
        <f t="shared" si="99"/>
        <v>#N/A</v>
      </c>
      <c r="BR266" s="43" t="str">
        <f t="shared" si="100"/>
        <v/>
      </c>
      <c r="BS266" s="43" t="str">
        <f t="shared" si="101"/>
        <v/>
      </c>
      <c r="BT266" s="43" t="str">
        <f t="shared" si="102"/>
        <v/>
      </c>
    </row>
    <row r="267" spans="52:72" ht="12" customHeight="1">
      <c r="AZ267" s="43">
        <v>259</v>
      </c>
      <c r="BA267" s="43" t="str">
        <f t="shared" si="103"/>
        <v/>
      </c>
      <c r="BB267" s="43" t="str">
        <f t="shared" si="84"/>
        <v/>
      </c>
      <c r="BC267" s="43" t="str">
        <f t="shared" si="85"/>
        <v/>
      </c>
      <c r="BD267" s="43" t="str">
        <f t="shared" si="86"/>
        <v/>
      </c>
      <c r="BE267" s="43" t="e">
        <f t="shared" si="87"/>
        <v>#N/A</v>
      </c>
      <c r="BF267" s="43" t="e">
        <f t="shared" si="88"/>
        <v>#N/A</v>
      </c>
      <c r="BG267" s="43" t="e">
        <f t="shared" si="89"/>
        <v>#N/A</v>
      </c>
      <c r="BH267" s="43" t="e">
        <f t="shared" si="90"/>
        <v>#N/A</v>
      </c>
      <c r="BI267" s="43" t="e">
        <f t="shared" si="91"/>
        <v>#N/A</v>
      </c>
      <c r="BJ267" s="43" t="e">
        <f t="shared" si="92"/>
        <v>#N/A</v>
      </c>
      <c r="BK267" s="43">
        <f t="shared" si="93"/>
        <v>-2.94</v>
      </c>
      <c r="BL267" s="43" t="e">
        <f t="shared" si="94"/>
        <v>#N/A</v>
      </c>
      <c r="BM267" s="43" t="e">
        <f t="shared" si="95"/>
        <v>#N/A</v>
      </c>
      <c r="BN267" s="43" t="e">
        <f t="shared" si="96"/>
        <v>#N/A</v>
      </c>
      <c r="BO267" s="43">
        <f t="shared" si="97"/>
        <v>-2.94</v>
      </c>
      <c r="BP267" s="43">
        <f t="shared" si="98"/>
        <v>-2.9249999999999998</v>
      </c>
      <c r="BQ267" s="43" t="e">
        <f t="shared" si="99"/>
        <v>#N/A</v>
      </c>
      <c r="BR267" s="43" t="str">
        <f t="shared" si="100"/>
        <v/>
      </c>
      <c r="BS267" s="43" t="str">
        <f t="shared" si="101"/>
        <v/>
      </c>
      <c r="BT267" s="43" t="str">
        <f t="shared" si="102"/>
        <v/>
      </c>
    </row>
    <row r="268" spans="52:72" ht="12" customHeight="1">
      <c r="AZ268" s="43">
        <v>260</v>
      </c>
      <c r="BA268" s="43" t="str">
        <f t="shared" si="103"/>
        <v/>
      </c>
      <c r="BB268" s="43" t="str">
        <f t="shared" si="84"/>
        <v/>
      </c>
      <c r="BC268" s="43" t="str">
        <f t="shared" si="85"/>
        <v/>
      </c>
      <c r="BD268" s="43" t="str">
        <f t="shared" si="86"/>
        <v/>
      </c>
      <c r="BE268" s="43" t="e">
        <f t="shared" si="87"/>
        <v>#N/A</v>
      </c>
      <c r="BF268" s="43" t="e">
        <f t="shared" si="88"/>
        <v>#N/A</v>
      </c>
      <c r="BG268" s="43" t="e">
        <f t="shared" si="89"/>
        <v>#N/A</v>
      </c>
      <c r="BH268" s="43" t="e">
        <f t="shared" si="90"/>
        <v>#N/A</v>
      </c>
      <c r="BI268" s="43" t="e">
        <f t="shared" si="91"/>
        <v>#N/A</v>
      </c>
      <c r="BJ268" s="43" t="e">
        <f t="shared" si="92"/>
        <v>#N/A</v>
      </c>
      <c r="BK268" s="43">
        <f t="shared" si="93"/>
        <v>-2.94</v>
      </c>
      <c r="BL268" s="43" t="e">
        <f t="shared" si="94"/>
        <v>#N/A</v>
      </c>
      <c r="BM268" s="43" t="e">
        <f t="shared" si="95"/>
        <v>#N/A</v>
      </c>
      <c r="BN268" s="43" t="e">
        <f t="shared" si="96"/>
        <v>#N/A</v>
      </c>
      <c r="BO268" s="43">
        <f t="shared" si="97"/>
        <v>-2.94</v>
      </c>
      <c r="BP268" s="43">
        <f t="shared" si="98"/>
        <v>-2.9249999999999998</v>
      </c>
      <c r="BQ268" s="43" t="e">
        <f t="shared" si="99"/>
        <v>#N/A</v>
      </c>
      <c r="BR268" s="43" t="str">
        <f t="shared" si="100"/>
        <v/>
      </c>
      <c r="BS268" s="43" t="str">
        <f t="shared" si="101"/>
        <v/>
      </c>
      <c r="BT268" s="43" t="str">
        <f t="shared" si="102"/>
        <v/>
      </c>
    </row>
    <row r="269" spans="52:72" ht="12" customHeight="1">
      <c r="AZ269" s="43">
        <v>261</v>
      </c>
      <c r="BA269" s="43" t="str">
        <f t="shared" si="103"/>
        <v/>
      </c>
      <c r="BB269" s="43" t="str">
        <f t="shared" si="84"/>
        <v/>
      </c>
      <c r="BC269" s="43" t="str">
        <f t="shared" si="85"/>
        <v/>
      </c>
      <c r="BD269" s="43" t="str">
        <f t="shared" si="86"/>
        <v/>
      </c>
      <c r="BE269" s="43" t="e">
        <f t="shared" si="87"/>
        <v>#N/A</v>
      </c>
      <c r="BF269" s="43" t="e">
        <f t="shared" si="88"/>
        <v>#N/A</v>
      </c>
      <c r="BG269" s="43" t="e">
        <f t="shared" si="89"/>
        <v>#N/A</v>
      </c>
      <c r="BH269" s="43" t="e">
        <f t="shared" si="90"/>
        <v>#N/A</v>
      </c>
      <c r="BI269" s="43" t="e">
        <f t="shared" si="91"/>
        <v>#N/A</v>
      </c>
      <c r="BJ269" s="43" t="e">
        <f t="shared" si="92"/>
        <v>#N/A</v>
      </c>
      <c r="BK269" s="43">
        <f t="shared" si="93"/>
        <v>-2.94</v>
      </c>
      <c r="BL269" s="43" t="e">
        <f t="shared" si="94"/>
        <v>#N/A</v>
      </c>
      <c r="BM269" s="43" t="e">
        <f t="shared" si="95"/>
        <v>#N/A</v>
      </c>
      <c r="BN269" s="43" t="e">
        <f t="shared" si="96"/>
        <v>#N/A</v>
      </c>
      <c r="BO269" s="43">
        <f t="shared" si="97"/>
        <v>-2.94</v>
      </c>
      <c r="BP269" s="43">
        <f t="shared" si="98"/>
        <v>-2.9249999999999998</v>
      </c>
      <c r="BQ269" s="43" t="e">
        <f t="shared" si="99"/>
        <v>#N/A</v>
      </c>
      <c r="BR269" s="43" t="str">
        <f t="shared" si="100"/>
        <v/>
      </c>
      <c r="BS269" s="43" t="str">
        <f t="shared" si="101"/>
        <v/>
      </c>
      <c r="BT269" s="43" t="str">
        <f t="shared" si="102"/>
        <v/>
      </c>
    </row>
    <row r="270" spans="52:72" ht="12" customHeight="1">
      <c r="AZ270" s="43">
        <v>262</v>
      </c>
      <c r="BA270" s="43" t="str">
        <f t="shared" si="103"/>
        <v/>
      </c>
      <c r="BB270" s="43" t="str">
        <f t="shared" si="84"/>
        <v/>
      </c>
      <c r="BC270" s="43" t="str">
        <f t="shared" si="85"/>
        <v/>
      </c>
      <c r="BD270" s="43" t="str">
        <f t="shared" si="86"/>
        <v/>
      </c>
      <c r="BE270" s="43" t="e">
        <f t="shared" si="87"/>
        <v>#N/A</v>
      </c>
      <c r="BF270" s="43" t="e">
        <f t="shared" si="88"/>
        <v>#N/A</v>
      </c>
      <c r="BG270" s="43" t="e">
        <f t="shared" si="89"/>
        <v>#N/A</v>
      </c>
      <c r="BH270" s="43" t="e">
        <f t="shared" si="90"/>
        <v>#N/A</v>
      </c>
      <c r="BI270" s="43" t="e">
        <f t="shared" si="91"/>
        <v>#N/A</v>
      </c>
      <c r="BJ270" s="43" t="e">
        <f t="shared" si="92"/>
        <v>#N/A</v>
      </c>
      <c r="BK270" s="43">
        <f t="shared" si="93"/>
        <v>-2.94</v>
      </c>
      <c r="BL270" s="43" t="e">
        <f t="shared" si="94"/>
        <v>#N/A</v>
      </c>
      <c r="BM270" s="43" t="e">
        <f t="shared" si="95"/>
        <v>#N/A</v>
      </c>
      <c r="BN270" s="43" t="e">
        <f t="shared" si="96"/>
        <v>#N/A</v>
      </c>
      <c r="BO270" s="43">
        <f t="shared" si="97"/>
        <v>-2.94</v>
      </c>
      <c r="BP270" s="43">
        <f t="shared" si="98"/>
        <v>-2.9249999999999998</v>
      </c>
      <c r="BQ270" s="43" t="e">
        <f t="shared" si="99"/>
        <v>#N/A</v>
      </c>
      <c r="BR270" s="43" t="str">
        <f t="shared" si="100"/>
        <v/>
      </c>
      <c r="BS270" s="43" t="str">
        <f t="shared" si="101"/>
        <v/>
      </c>
      <c r="BT270" s="43" t="str">
        <f t="shared" si="102"/>
        <v/>
      </c>
    </row>
    <row r="271" spans="52:72" ht="12" customHeight="1">
      <c r="AZ271" s="43">
        <v>263</v>
      </c>
      <c r="BA271" s="43" t="str">
        <f t="shared" si="103"/>
        <v/>
      </c>
      <c r="BB271" s="43" t="str">
        <f t="shared" si="84"/>
        <v/>
      </c>
      <c r="BC271" s="43" t="str">
        <f t="shared" si="85"/>
        <v/>
      </c>
      <c r="BD271" s="43" t="str">
        <f t="shared" si="86"/>
        <v/>
      </c>
      <c r="BE271" s="43" t="e">
        <f t="shared" si="87"/>
        <v>#N/A</v>
      </c>
      <c r="BF271" s="43" t="e">
        <f t="shared" si="88"/>
        <v>#N/A</v>
      </c>
      <c r="BG271" s="43" t="e">
        <f t="shared" si="89"/>
        <v>#N/A</v>
      </c>
      <c r="BH271" s="43" t="e">
        <f t="shared" si="90"/>
        <v>#N/A</v>
      </c>
      <c r="BI271" s="43" t="e">
        <f t="shared" si="91"/>
        <v>#N/A</v>
      </c>
      <c r="BJ271" s="43" t="e">
        <f t="shared" si="92"/>
        <v>#N/A</v>
      </c>
      <c r="BK271" s="43">
        <f t="shared" si="93"/>
        <v>-2.94</v>
      </c>
      <c r="BL271" s="43" t="e">
        <f t="shared" si="94"/>
        <v>#N/A</v>
      </c>
      <c r="BM271" s="43" t="e">
        <f t="shared" si="95"/>
        <v>#N/A</v>
      </c>
      <c r="BN271" s="43" t="e">
        <f t="shared" si="96"/>
        <v>#N/A</v>
      </c>
      <c r="BO271" s="43">
        <f t="shared" si="97"/>
        <v>-2.94</v>
      </c>
      <c r="BP271" s="43">
        <f t="shared" si="98"/>
        <v>-2.9249999999999998</v>
      </c>
      <c r="BQ271" s="43" t="e">
        <f t="shared" si="99"/>
        <v>#N/A</v>
      </c>
      <c r="BR271" s="43" t="str">
        <f t="shared" si="100"/>
        <v/>
      </c>
      <c r="BS271" s="43" t="str">
        <f t="shared" si="101"/>
        <v/>
      </c>
      <c r="BT271" s="43" t="str">
        <f t="shared" si="102"/>
        <v/>
      </c>
    </row>
    <row r="272" spans="52:72" ht="12" customHeight="1">
      <c r="AZ272" s="43">
        <v>264</v>
      </c>
      <c r="BA272" s="43" t="str">
        <f t="shared" si="103"/>
        <v/>
      </c>
      <c r="BB272" s="43" t="str">
        <f t="shared" si="84"/>
        <v/>
      </c>
      <c r="BC272" s="43" t="str">
        <f t="shared" si="85"/>
        <v/>
      </c>
      <c r="BD272" s="43" t="str">
        <f t="shared" si="86"/>
        <v/>
      </c>
      <c r="BE272" s="43" t="e">
        <f t="shared" si="87"/>
        <v>#N/A</v>
      </c>
      <c r="BF272" s="43" t="e">
        <f t="shared" si="88"/>
        <v>#N/A</v>
      </c>
      <c r="BG272" s="43" t="e">
        <f t="shared" si="89"/>
        <v>#N/A</v>
      </c>
      <c r="BH272" s="43" t="e">
        <f t="shared" si="90"/>
        <v>#N/A</v>
      </c>
      <c r="BI272" s="43" t="e">
        <f t="shared" si="91"/>
        <v>#N/A</v>
      </c>
      <c r="BJ272" s="43" t="e">
        <f t="shared" si="92"/>
        <v>#N/A</v>
      </c>
      <c r="BK272" s="43">
        <f t="shared" si="93"/>
        <v>-2.94</v>
      </c>
      <c r="BL272" s="43" t="e">
        <f t="shared" si="94"/>
        <v>#N/A</v>
      </c>
      <c r="BM272" s="43" t="e">
        <f t="shared" si="95"/>
        <v>#N/A</v>
      </c>
      <c r="BN272" s="43" t="e">
        <f t="shared" si="96"/>
        <v>#N/A</v>
      </c>
      <c r="BO272" s="43">
        <f t="shared" si="97"/>
        <v>-2.94</v>
      </c>
      <c r="BP272" s="43">
        <f t="shared" si="98"/>
        <v>-2.9249999999999998</v>
      </c>
      <c r="BQ272" s="43" t="e">
        <f t="shared" si="99"/>
        <v>#N/A</v>
      </c>
      <c r="BR272" s="43" t="str">
        <f t="shared" si="100"/>
        <v/>
      </c>
      <c r="BS272" s="43" t="str">
        <f t="shared" si="101"/>
        <v/>
      </c>
      <c r="BT272" s="43" t="str">
        <f t="shared" si="102"/>
        <v/>
      </c>
    </row>
    <row r="273" spans="52:72" ht="12" customHeight="1">
      <c r="AZ273" s="43">
        <v>265</v>
      </c>
      <c r="BA273" s="43" t="str">
        <f t="shared" si="103"/>
        <v/>
      </c>
      <c r="BB273" s="43" t="str">
        <f t="shared" si="84"/>
        <v/>
      </c>
      <c r="BC273" s="43" t="str">
        <f t="shared" si="85"/>
        <v/>
      </c>
      <c r="BD273" s="43" t="str">
        <f t="shared" si="86"/>
        <v/>
      </c>
      <c r="BE273" s="43" t="e">
        <f t="shared" si="87"/>
        <v>#N/A</v>
      </c>
      <c r="BF273" s="43" t="e">
        <f t="shared" si="88"/>
        <v>#N/A</v>
      </c>
      <c r="BG273" s="43" t="e">
        <f t="shared" si="89"/>
        <v>#N/A</v>
      </c>
      <c r="BH273" s="43" t="e">
        <f t="shared" si="90"/>
        <v>#N/A</v>
      </c>
      <c r="BI273" s="43" t="e">
        <f t="shared" si="91"/>
        <v>#N/A</v>
      </c>
      <c r="BJ273" s="43" t="e">
        <f t="shared" si="92"/>
        <v>#N/A</v>
      </c>
      <c r="BK273" s="43">
        <f t="shared" si="93"/>
        <v>-2.94</v>
      </c>
      <c r="BL273" s="43" t="e">
        <f t="shared" si="94"/>
        <v>#N/A</v>
      </c>
      <c r="BM273" s="43" t="e">
        <f t="shared" si="95"/>
        <v>#N/A</v>
      </c>
      <c r="BN273" s="43" t="e">
        <f t="shared" si="96"/>
        <v>#N/A</v>
      </c>
      <c r="BO273" s="43">
        <f t="shared" si="97"/>
        <v>-2.94</v>
      </c>
      <c r="BP273" s="43">
        <f t="shared" si="98"/>
        <v>-2.9249999999999998</v>
      </c>
      <c r="BQ273" s="43" t="e">
        <f t="shared" si="99"/>
        <v>#N/A</v>
      </c>
      <c r="BR273" s="43" t="str">
        <f t="shared" si="100"/>
        <v/>
      </c>
      <c r="BS273" s="43" t="str">
        <f t="shared" si="101"/>
        <v/>
      </c>
      <c r="BT273" s="43" t="str">
        <f t="shared" si="102"/>
        <v/>
      </c>
    </row>
    <row r="274" spans="52:72" ht="12" customHeight="1">
      <c r="AZ274" s="43">
        <v>266</v>
      </c>
      <c r="BA274" s="43" t="str">
        <f t="shared" si="103"/>
        <v/>
      </c>
      <c r="BB274" s="43" t="str">
        <f t="shared" si="84"/>
        <v/>
      </c>
      <c r="BC274" s="43" t="str">
        <f t="shared" si="85"/>
        <v/>
      </c>
      <c r="BD274" s="43" t="str">
        <f t="shared" si="86"/>
        <v/>
      </c>
      <c r="BE274" s="43" t="e">
        <f t="shared" si="87"/>
        <v>#N/A</v>
      </c>
      <c r="BF274" s="43" t="e">
        <f t="shared" si="88"/>
        <v>#N/A</v>
      </c>
      <c r="BG274" s="43" t="e">
        <f t="shared" si="89"/>
        <v>#N/A</v>
      </c>
      <c r="BH274" s="43" t="e">
        <f t="shared" si="90"/>
        <v>#N/A</v>
      </c>
      <c r="BI274" s="43" t="e">
        <f t="shared" si="91"/>
        <v>#N/A</v>
      </c>
      <c r="BJ274" s="43" t="e">
        <f t="shared" si="92"/>
        <v>#N/A</v>
      </c>
      <c r="BK274" s="43">
        <f t="shared" si="93"/>
        <v>-2.94</v>
      </c>
      <c r="BL274" s="43" t="e">
        <f t="shared" si="94"/>
        <v>#N/A</v>
      </c>
      <c r="BM274" s="43" t="e">
        <f t="shared" si="95"/>
        <v>#N/A</v>
      </c>
      <c r="BN274" s="43" t="e">
        <f t="shared" si="96"/>
        <v>#N/A</v>
      </c>
      <c r="BO274" s="43">
        <f t="shared" si="97"/>
        <v>-2.94</v>
      </c>
      <c r="BP274" s="43">
        <f t="shared" si="98"/>
        <v>-2.9249999999999998</v>
      </c>
      <c r="BQ274" s="43" t="e">
        <f t="shared" si="99"/>
        <v>#N/A</v>
      </c>
      <c r="BR274" s="43" t="str">
        <f t="shared" si="100"/>
        <v/>
      </c>
      <c r="BS274" s="43" t="str">
        <f t="shared" si="101"/>
        <v/>
      </c>
      <c r="BT274" s="43" t="str">
        <f t="shared" si="102"/>
        <v/>
      </c>
    </row>
    <row r="275" spans="52:72" ht="12" customHeight="1">
      <c r="AZ275" s="43">
        <v>267</v>
      </c>
      <c r="BA275" s="43" t="str">
        <f t="shared" si="103"/>
        <v/>
      </c>
      <c r="BB275" s="43" t="str">
        <f t="shared" si="84"/>
        <v/>
      </c>
      <c r="BC275" s="43" t="str">
        <f t="shared" si="85"/>
        <v/>
      </c>
      <c r="BD275" s="43" t="str">
        <f t="shared" si="86"/>
        <v/>
      </c>
      <c r="BE275" s="43" t="e">
        <f t="shared" si="87"/>
        <v>#N/A</v>
      </c>
      <c r="BF275" s="43" t="e">
        <f t="shared" si="88"/>
        <v>#N/A</v>
      </c>
      <c r="BG275" s="43" t="e">
        <f t="shared" si="89"/>
        <v>#N/A</v>
      </c>
      <c r="BH275" s="43" t="e">
        <f t="shared" si="90"/>
        <v>#N/A</v>
      </c>
      <c r="BI275" s="43" t="e">
        <f t="shared" si="91"/>
        <v>#N/A</v>
      </c>
      <c r="BJ275" s="43" t="e">
        <f t="shared" si="92"/>
        <v>#N/A</v>
      </c>
      <c r="BK275" s="43">
        <f t="shared" si="93"/>
        <v>-2.94</v>
      </c>
      <c r="BL275" s="43" t="e">
        <f t="shared" si="94"/>
        <v>#N/A</v>
      </c>
      <c r="BM275" s="43" t="e">
        <f t="shared" si="95"/>
        <v>#N/A</v>
      </c>
      <c r="BN275" s="43" t="e">
        <f t="shared" si="96"/>
        <v>#N/A</v>
      </c>
      <c r="BO275" s="43">
        <f t="shared" si="97"/>
        <v>-2.94</v>
      </c>
      <c r="BP275" s="43">
        <f t="shared" si="98"/>
        <v>-2.9249999999999998</v>
      </c>
      <c r="BQ275" s="43" t="e">
        <f t="shared" si="99"/>
        <v>#N/A</v>
      </c>
      <c r="BR275" s="43" t="str">
        <f t="shared" si="100"/>
        <v/>
      </c>
      <c r="BS275" s="43" t="str">
        <f t="shared" si="101"/>
        <v/>
      </c>
      <c r="BT275" s="43" t="str">
        <f t="shared" si="102"/>
        <v/>
      </c>
    </row>
    <row r="276" spans="52:72" ht="12" customHeight="1">
      <c r="AZ276" s="43">
        <v>268</v>
      </c>
      <c r="BA276" s="43" t="str">
        <f t="shared" si="103"/>
        <v/>
      </c>
      <c r="BB276" s="43" t="str">
        <f t="shared" si="84"/>
        <v/>
      </c>
      <c r="BC276" s="43" t="str">
        <f t="shared" si="85"/>
        <v/>
      </c>
      <c r="BD276" s="43" t="str">
        <f t="shared" si="86"/>
        <v/>
      </c>
      <c r="BE276" s="43" t="e">
        <f t="shared" si="87"/>
        <v>#N/A</v>
      </c>
      <c r="BF276" s="43" t="e">
        <f t="shared" si="88"/>
        <v>#N/A</v>
      </c>
      <c r="BG276" s="43" t="e">
        <f t="shared" si="89"/>
        <v>#N/A</v>
      </c>
      <c r="BH276" s="43" t="e">
        <f t="shared" si="90"/>
        <v>#N/A</v>
      </c>
      <c r="BI276" s="43" t="e">
        <f t="shared" si="91"/>
        <v>#N/A</v>
      </c>
      <c r="BJ276" s="43" t="e">
        <f t="shared" si="92"/>
        <v>#N/A</v>
      </c>
      <c r="BK276" s="43">
        <f t="shared" si="93"/>
        <v>-2.94</v>
      </c>
      <c r="BL276" s="43" t="e">
        <f t="shared" si="94"/>
        <v>#N/A</v>
      </c>
      <c r="BM276" s="43" t="e">
        <f t="shared" si="95"/>
        <v>#N/A</v>
      </c>
      <c r="BN276" s="43" t="e">
        <f t="shared" si="96"/>
        <v>#N/A</v>
      </c>
      <c r="BO276" s="43">
        <f t="shared" si="97"/>
        <v>-2.94</v>
      </c>
      <c r="BP276" s="43">
        <f t="shared" si="98"/>
        <v>-2.9249999999999998</v>
      </c>
      <c r="BQ276" s="43" t="e">
        <f t="shared" si="99"/>
        <v>#N/A</v>
      </c>
      <c r="BR276" s="43" t="str">
        <f t="shared" si="100"/>
        <v/>
      </c>
      <c r="BS276" s="43" t="str">
        <f t="shared" si="101"/>
        <v/>
      </c>
      <c r="BT276" s="43" t="str">
        <f t="shared" si="102"/>
        <v/>
      </c>
    </row>
    <row r="277" spans="52:72" ht="12" customHeight="1">
      <c r="AZ277" s="43">
        <v>269</v>
      </c>
      <c r="BA277" s="43" t="str">
        <f t="shared" si="103"/>
        <v/>
      </c>
      <c r="BB277" s="43" t="str">
        <f t="shared" si="84"/>
        <v/>
      </c>
      <c r="BC277" s="43" t="str">
        <f t="shared" si="85"/>
        <v/>
      </c>
      <c r="BD277" s="43" t="str">
        <f t="shared" si="86"/>
        <v/>
      </c>
      <c r="BE277" s="43" t="e">
        <f t="shared" si="87"/>
        <v>#N/A</v>
      </c>
      <c r="BF277" s="43" t="e">
        <f t="shared" si="88"/>
        <v>#N/A</v>
      </c>
      <c r="BG277" s="43" t="e">
        <f t="shared" si="89"/>
        <v>#N/A</v>
      </c>
      <c r="BH277" s="43" t="e">
        <f t="shared" si="90"/>
        <v>#N/A</v>
      </c>
      <c r="BI277" s="43" t="e">
        <f t="shared" si="91"/>
        <v>#N/A</v>
      </c>
      <c r="BJ277" s="43" t="e">
        <f t="shared" si="92"/>
        <v>#N/A</v>
      </c>
      <c r="BK277" s="43">
        <f t="shared" si="93"/>
        <v>-2.94</v>
      </c>
      <c r="BL277" s="43" t="e">
        <f t="shared" si="94"/>
        <v>#N/A</v>
      </c>
      <c r="BM277" s="43" t="e">
        <f t="shared" si="95"/>
        <v>#N/A</v>
      </c>
      <c r="BN277" s="43" t="e">
        <f t="shared" si="96"/>
        <v>#N/A</v>
      </c>
      <c r="BO277" s="43">
        <f t="shared" si="97"/>
        <v>-2.94</v>
      </c>
      <c r="BP277" s="43">
        <f t="shared" si="98"/>
        <v>-2.9249999999999998</v>
      </c>
      <c r="BQ277" s="43" t="e">
        <f t="shared" si="99"/>
        <v>#N/A</v>
      </c>
      <c r="BR277" s="43" t="str">
        <f t="shared" si="100"/>
        <v/>
      </c>
      <c r="BS277" s="43" t="str">
        <f t="shared" si="101"/>
        <v/>
      </c>
      <c r="BT277" s="43" t="str">
        <f t="shared" si="102"/>
        <v/>
      </c>
    </row>
    <row r="278" spans="52:72" ht="12" customHeight="1">
      <c r="AZ278" s="43">
        <v>270</v>
      </c>
      <c r="BA278" s="43" t="str">
        <f t="shared" si="103"/>
        <v/>
      </c>
      <c r="BB278" s="43" t="str">
        <f t="shared" si="84"/>
        <v/>
      </c>
      <c r="BC278" s="43" t="str">
        <f t="shared" si="85"/>
        <v/>
      </c>
      <c r="BD278" s="43" t="str">
        <f t="shared" si="86"/>
        <v/>
      </c>
      <c r="BE278" s="43" t="e">
        <f t="shared" si="87"/>
        <v>#N/A</v>
      </c>
      <c r="BF278" s="43" t="e">
        <f t="shared" si="88"/>
        <v>#N/A</v>
      </c>
      <c r="BG278" s="43" t="e">
        <f t="shared" si="89"/>
        <v>#N/A</v>
      </c>
      <c r="BH278" s="43" t="e">
        <f t="shared" si="90"/>
        <v>#N/A</v>
      </c>
      <c r="BI278" s="43" t="e">
        <f t="shared" si="91"/>
        <v>#N/A</v>
      </c>
      <c r="BJ278" s="43" t="e">
        <f t="shared" si="92"/>
        <v>#N/A</v>
      </c>
      <c r="BK278" s="43">
        <f t="shared" si="93"/>
        <v>-2.94</v>
      </c>
      <c r="BL278" s="43" t="e">
        <f t="shared" si="94"/>
        <v>#N/A</v>
      </c>
      <c r="BM278" s="43" t="e">
        <f t="shared" si="95"/>
        <v>#N/A</v>
      </c>
      <c r="BN278" s="43" t="e">
        <f t="shared" si="96"/>
        <v>#N/A</v>
      </c>
      <c r="BO278" s="43">
        <f t="shared" si="97"/>
        <v>-2.94</v>
      </c>
      <c r="BP278" s="43">
        <f t="shared" si="98"/>
        <v>-2.9249999999999998</v>
      </c>
      <c r="BQ278" s="43" t="e">
        <f t="shared" si="99"/>
        <v>#N/A</v>
      </c>
      <c r="BR278" s="43" t="str">
        <f t="shared" si="100"/>
        <v/>
      </c>
      <c r="BS278" s="43" t="str">
        <f t="shared" si="101"/>
        <v/>
      </c>
      <c r="BT278" s="43" t="str">
        <f t="shared" si="102"/>
        <v/>
      </c>
    </row>
    <row r="279" spans="52:72" ht="12" customHeight="1">
      <c r="AZ279" s="43">
        <v>271</v>
      </c>
      <c r="BA279" s="43" t="str">
        <f t="shared" si="103"/>
        <v/>
      </c>
      <c r="BB279" s="43" t="str">
        <f t="shared" si="84"/>
        <v/>
      </c>
      <c r="BC279" s="43" t="str">
        <f t="shared" si="85"/>
        <v/>
      </c>
      <c r="BD279" s="43" t="str">
        <f t="shared" si="86"/>
        <v/>
      </c>
      <c r="BE279" s="43" t="e">
        <f t="shared" si="87"/>
        <v>#N/A</v>
      </c>
      <c r="BF279" s="43" t="e">
        <f t="shared" si="88"/>
        <v>#N/A</v>
      </c>
      <c r="BG279" s="43" t="e">
        <f t="shared" si="89"/>
        <v>#N/A</v>
      </c>
      <c r="BH279" s="43" t="e">
        <f t="shared" si="90"/>
        <v>#N/A</v>
      </c>
      <c r="BI279" s="43" t="e">
        <f t="shared" si="91"/>
        <v>#N/A</v>
      </c>
      <c r="BJ279" s="43" t="e">
        <f t="shared" si="92"/>
        <v>#N/A</v>
      </c>
      <c r="BK279" s="43">
        <f t="shared" si="93"/>
        <v>-2.94</v>
      </c>
      <c r="BL279" s="43" t="e">
        <f t="shared" si="94"/>
        <v>#N/A</v>
      </c>
      <c r="BM279" s="43" t="e">
        <f t="shared" si="95"/>
        <v>#N/A</v>
      </c>
      <c r="BN279" s="43" t="e">
        <f t="shared" si="96"/>
        <v>#N/A</v>
      </c>
      <c r="BO279" s="43">
        <f t="shared" si="97"/>
        <v>-2.94</v>
      </c>
      <c r="BP279" s="43">
        <f t="shared" si="98"/>
        <v>-2.9249999999999998</v>
      </c>
      <c r="BQ279" s="43" t="e">
        <f t="shared" si="99"/>
        <v>#N/A</v>
      </c>
      <c r="BR279" s="43" t="str">
        <f t="shared" si="100"/>
        <v/>
      </c>
      <c r="BS279" s="43" t="str">
        <f t="shared" si="101"/>
        <v/>
      </c>
      <c r="BT279" s="43" t="str">
        <f t="shared" si="102"/>
        <v/>
      </c>
    </row>
    <row r="280" spans="52:72" ht="12" customHeight="1">
      <c r="AZ280" s="43">
        <v>272</v>
      </c>
      <c r="BA280" s="43" t="str">
        <f t="shared" si="103"/>
        <v/>
      </c>
      <c r="BB280" s="43" t="str">
        <f t="shared" si="84"/>
        <v/>
      </c>
      <c r="BC280" s="43" t="str">
        <f t="shared" si="85"/>
        <v/>
      </c>
      <c r="BD280" s="43" t="str">
        <f t="shared" si="86"/>
        <v/>
      </c>
      <c r="BE280" s="43" t="e">
        <f t="shared" si="87"/>
        <v>#N/A</v>
      </c>
      <c r="BF280" s="43" t="e">
        <f t="shared" si="88"/>
        <v>#N/A</v>
      </c>
      <c r="BG280" s="43" t="e">
        <f t="shared" si="89"/>
        <v>#N/A</v>
      </c>
      <c r="BH280" s="43" t="e">
        <f t="shared" si="90"/>
        <v>#N/A</v>
      </c>
      <c r="BI280" s="43" t="e">
        <f t="shared" si="91"/>
        <v>#N/A</v>
      </c>
      <c r="BJ280" s="43" t="e">
        <f t="shared" si="92"/>
        <v>#N/A</v>
      </c>
      <c r="BK280" s="43">
        <f t="shared" si="93"/>
        <v>-2.94</v>
      </c>
      <c r="BL280" s="43" t="e">
        <f t="shared" si="94"/>
        <v>#N/A</v>
      </c>
      <c r="BM280" s="43" t="e">
        <f t="shared" si="95"/>
        <v>#N/A</v>
      </c>
      <c r="BN280" s="43" t="e">
        <f t="shared" si="96"/>
        <v>#N/A</v>
      </c>
      <c r="BO280" s="43">
        <f t="shared" si="97"/>
        <v>-2.94</v>
      </c>
      <c r="BP280" s="43">
        <f t="shared" si="98"/>
        <v>-2.9249999999999998</v>
      </c>
      <c r="BQ280" s="43" t="e">
        <f t="shared" si="99"/>
        <v>#N/A</v>
      </c>
      <c r="BR280" s="43" t="str">
        <f t="shared" si="100"/>
        <v/>
      </c>
      <c r="BS280" s="43" t="str">
        <f t="shared" si="101"/>
        <v/>
      </c>
      <c r="BT280" s="43" t="str">
        <f t="shared" si="102"/>
        <v/>
      </c>
    </row>
    <row r="281" spans="52:72" ht="12" customHeight="1">
      <c r="AZ281" s="43">
        <v>273</v>
      </c>
      <c r="BA281" s="43" t="str">
        <f t="shared" si="103"/>
        <v/>
      </c>
      <c r="BB281" s="43" t="str">
        <f t="shared" si="84"/>
        <v/>
      </c>
      <c r="BC281" s="43" t="str">
        <f t="shared" si="85"/>
        <v/>
      </c>
      <c r="BD281" s="43" t="str">
        <f t="shared" si="86"/>
        <v/>
      </c>
      <c r="BE281" s="43" t="e">
        <f t="shared" si="87"/>
        <v>#N/A</v>
      </c>
      <c r="BF281" s="43" t="e">
        <f t="shared" si="88"/>
        <v>#N/A</v>
      </c>
      <c r="BG281" s="43" t="e">
        <f t="shared" si="89"/>
        <v>#N/A</v>
      </c>
      <c r="BH281" s="43" t="e">
        <f t="shared" si="90"/>
        <v>#N/A</v>
      </c>
      <c r="BI281" s="43" t="e">
        <f t="shared" si="91"/>
        <v>#N/A</v>
      </c>
      <c r="BJ281" s="43" t="e">
        <f t="shared" si="92"/>
        <v>#N/A</v>
      </c>
      <c r="BK281" s="43">
        <f t="shared" si="93"/>
        <v>-2.94</v>
      </c>
      <c r="BL281" s="43" t="e">
        <f t="shared" si="94"/>
        <v>#N/A</v>
      </c>
      <c r="BM281" s="43" t="e">
        <f t="shared" si="95"/>
        <v>#N/A</v>
      </c>
      <c r="BN281" s="43" t="e">
        <f t="shared" si="96"/>
        <v>#N/A</v>
      </c>
      <c r="BO281" s="43">
        <f t="shared" si="97"/>
        <v>-2.94</v>
      </c>
      <c r="BP281" s="43">
        <f t="shared" si="98"/>
        <v>-2.9249999999999998</v>
      </c>
      <c r="BQ281" s="43" t="e">
        <f t="shared" si="99"/>
        <v>#N/A</v>
      </c>
      <c r="BR281" s="43" t="str">
        <f t="shared" si="100"/>
        <v/>
      </c>
      <c r="BS281" s="43" t="str">
        <f t="shared" si="101"/>
        <v/>
      </c>
      <c r="BT281" s="43" t="str">
        <f t="shared" si="102"/>
        <v/>
      </c>
    </row>
    <row r="282" spans="52:72" ht="12" customHeight="1">
      <c r="AZ282" s="43">
        <v>274</v>
      </c>
      <c r="BA282" s="43" t="str">
        <f t="shared" si="103"/>
        <v/>
      </c>
      <c r="BB282" s="43" t="str">
        <f t="shared" si="84"/>
        <v/>
      </c>
      <c r="BC282" s="43" t="str">
        <f t="shared" si="85"/>
        <v/>
      </c>
      <c r="BD282" s="43" t="str">
        <f t="shared" si="86"/>
        <v/>
      </c>
      <c r="BE282" s="43" t="e">
        <f t="shared" si="87"/>
        <v>#N/A</v>
      </c>
      <c r="BF282" s="43" t="e">
        <f t="shared" si="88"/>
        <v>#N/A</v>
      </c>
      <c r="BG282" s="43" t="e">
        <f t="shared" si="89"/>
        <v>#N/A</v>
      </c>
      <c r="BH282" s="43" t="e">
        <f t="shared" si="90"/>
        <v>#N/A</v>
      </c>
      <c r="BI282" s="43" t="e">
        <f t="shared" si="91"/>
        <v>#N/A</v>
      </c>
      <c r="BJ282" s="43" t="e">
        <f t="shared" si="92"/>
        <v>#N/A</v>
      </c>
      <c r="BK282" s="43">
        <f t="shared" si="93"/>
        <v>-2.94</v>
      </c>
      <c r="BL282" s="43" t="e">
        <f t="shared" si="94"/>
        <v>#N/A</v>
      </c>
      <c r="BM282" s="43" t="e">
        <f t="shared" si="95"/>
        <v>#N/A</v>
      </c>
      <c r="BN282" s="43" t="e">
        <f t="shared" si="96"/>
        <v>#N/A</v>
      </c>
      <c r="BO282" s="43">
        <f t="shared" si="97"/>
        <v>-2.94</v>
      </c>
      <c r="BP282" s="43">
        <f t="shared" si="98"/>
        <v>-2.9249999999999998</v>
      </c>
      <c r="BQ282" s="43" t="e">
        <f t="shared" si="99"/>
        <v>#N/A</v>
      </c>
      <c r="BR282" s="43" t="str">
        <f t="shared" si="100"/>
        <v/>
      </c>
      <c r="BS282" s="43" t="str">
        <f t="shared" si="101"/>
        <v/>
      </c>
      <c r="BT282" s="43" t="str">
        <f t="shared" si="102"/>
        <v/>
      </c>
    </row>
    <row r="283" spans="52:72" ht="12" customHeight="1">
      <c r="AZ283" s="43">
        <v>275</v>
      </c>
      <c r="BA283" s="43" t="str">
        <f t="shared" si="103"/>
        <v/>
      </c>
      <c r="BB283" s="43" t="str">
        <f t="shared" si="84"/>
        <v/>
      </c>
      <c r="BC283" s="43" t="str">
        <f t="shared" si="85"/>
        <v/>
      </c>
      <c r="BD283" s="43" t="str">
        <f t="shared" si="86"/>
        <v/>
      </c>
      <c r="BE283" s="43" t="e">
        <f t="shared" si="87"/>
        <v>#N/A</v>
      </c>
      <c r="BF283" s="43" t="e">
        <f t="shared" si="88"/>
        <v>#N/A</v>
      </c>
      <c r="BG283" s="43" t="e">
        <f t="shared" si="89"/>
        <v>#N/A</v>
      </c>
      <c r="BH283" s="43" t="e">
        <f t="shared" si="90"/>
        <v>#N/A</v>
      </c>
      <c r="BI283" s="43" t="e">
        <f t="shared" si="91"/>
        <v>#N/A</v>
      </c>
      <c r="BJ283" s="43" t="e">
        <f t="shared" si="92"/>
        <v>#N/A</v>
      </c>
      <c r="BK283" s="43">
        <f t="shared" si="93"/>
        <v>-2.94</v>
      </c>
      <c r="BL283" s="43" t="e">
        <f t="shared" si="94"/>
        <v>#N/A</v>
      </c>
      <c r="BM283" s="43" t="e">
        <f t="shared" si="95"/>
        <v>#N/A</v>
      </c>
      <c r="BN283" s="43" t="e">
        <f t="shared" si="96"/>
        <v>#N/A</v>
      </c>
      <c r="BO283" s="43">
        <f t="shared" si="97"/>
        <v>-2.94</v>
      </c>
      <c r="BP283" s="43">
        <f t="shared" si="98"/>
        <v>-2.9249999999999998</v>
      </c>
      <c r="BQ283" s="43" t="e">
        <f t="shared" si="99"/>
        <v>#N/A</v>
      </c>
      <c r="BR283" s="43" t="str">
        <f t="shared" si="100"/>
        <v/>
      </c>
      <c r="BS283" s="43" t="str">
        <f t="shared" si="101"/>
        <v/>
      </c>
      <c r="BT283" s="43" t="str">
        <f t="shared" si="102"/>
        <v/>
      </c>
    </row>
    <row r="284" spans="52:72" ht="12" customHeight="1">
      <c r="AZ284" s="43">
        <v>276</v>
      </c>
      <c r="BA284" s="43" t="str">
        <f t="shared" si="103"/>
        <v/>
      </c>
      <c r="BB284" s="43" t="str">
        <f t="shared" si="84"/>
        <v/>
      </c>
      <c r="BC284" s="43" t="str">
        <f t="shared" si="85"/>
        <v/>
      </c>
      <c r="BD284" s="43" t="str">
        <f t="shared" si="86"/>
        <v/>
      </c>
      <c r="BE284" s="43" t="e">
        <f t="shared" si="87"/>
        <v>#N/A</v>
      </c>
      <c r="BF284" s="43" t="e">
        <f t="shared" si="88"/>
        <v>#N/A</v>
      </c>
      <c r="BG284" s="43" t="e">
        <f t="shared" si="89"/>
        <v>#N/A</v>
      </c>
      <c r="BH284" s="43" t="e">
        <f t="shared" si="90"/>
        <v>#N/A</v>
      </c>
      <c r="BI284" s="43" t="e">
        <f t="shared" si="91"/>
        <v>#N/A</v>
      </c>
      <c r="BJ284" s="43" t="e">
        <f t="shared" si="92"/>
        <v>#N/A</v>
      </c>
      <c r="BK284" s="43">
        <f t="shared" si="93"/>
        <v>-2.94</v>
      </c>
      <c r="BL284" s="43" t="e">
        <f t="shared" si="94"/>
        <v>#N/A</v>
      </c>
      <c r="BM284" s="43" t="e">
        <f t="shared" si="95"/>
        <v>#N/A</v>
      </c>
      <c r="BN284" s="43" t="e">
        <f t="shared" si="96"/>
        <v>#N/A</v>
      </c>
      <c r="BO284" s="43">
        <f t="shared" si="97"/>
        <v>-2.94</v>
      </c>
      <c r="BP284" s="43">
        <f t="shared" si="98"/>
        <v>-2.9249999999999998</v>
      </c>
      <c r="BQ284" s="43" t="e">
        <f t="shared" si="99"/>
        <v>#N/A</v>
      </c>
      <c r="BR284" s="43" t="str">
        <f t="shared" si="100"/>
        <v/>
      </c>
      <c r="BS284" s="43" t="str">
        <f t="shared" si="101"/>
        <v/>
      </c>
      <c r="BT284" s="43" t="str">
        <f t="shared" si="102"/>
        <v/>
      </c>
    </row>
    <row r="285" spans="52:72" ht="12" customHeight="1">
      <c r="AZ285" s="43">
        <v>277</v>
      </c>
      <c r="BA285" s="43" t="str">
        <f t="shared" si="103"/>
        <v/>
      </c>
      <c r="BB285" s="43" t="str">
        <f t="shared" si="84"/>
        <v/>
      </c>
      <c r="BC285" s="43" t="str">
        <f t="shared" si="85"/>
        <v/>
      </c>
      <c r="BD285" s="43" t="str">
        <f t="shared" si="86"/>
        <v/>
      </c>
      <c r="BE285" s="43" t="e">
        <f t="shared" si="87"/>
        <v>#N/A</v>
      </c>
      <c r="BF285" s="43" t="e">
        <f t="shared" si="88"/>
        <v>#N/A</v>
      </c>
      <c r="BG285" s="43" t="e">
        <f t="shared" si="89"/>
        <v>#N/A</v>
      </c>
      <c r="BH285" s="43" t="e">
        <f t="shared" si="90"/>
        <v>#N/A</v>
      </c>
      <c r="BI285" s="43" t="e">
        <f t="shared" si="91"/>
        <v>#N/A</v>
      </c>
      <c r="BJ285" s="43" t="e">
        <f t="shared" si="92"/>
        <v>#N/A</v>
      </c>
      <c r="BK285" s="43">
        <f t="shared" si="93"/>
        <v>-2.94</v>
      </c>
      <c r="BL285" s="43" t="e">
        <f t="shared" si="94"/>
        <v>#N/A</v>
      </c>
      <c r="BM285" s="43" t="e">
        <f t="shared" si="95"/>
        <v>#N/A</v>
      </c>
      <c r="BN285" s="43" t="e">
        <f t="shared" si="96"/>
        <v>#N/A</v>
      </c>
      <c r="BO285" s="43">
        <f t="shared" si="97"/>
        <v>-2.94</v>
      </c>
      <c r="BP285" s="43">
        <f t="shared" si="98"/>
        <v>-2.9249999999999998</v>
      </c>
      <c r="BQ285" s="43" t="e">
        <f t="shared" si="99"/>
        <v>#N/A</v>
      </c>
      <c r="BR285" s="43" t="str">
        <f t="shared" si="100"/>
        <v/>
      </c>
      <c r="BS285" s="43" t="str">
        <f t="shared" si="101"/>
        <v/>
      </c>
      <c r="BT285" s="43" t="str">
        <f t="shared" si="102"/>
        <v/>
      </c>
    </row>
    <row r="286" spans="52:72" ht="12" customHeight="1">
      <c r="AZ286" s="43">
        <v>278</v>
      </c>
      <c r="BA286" s="43" t="str">
        <f t="shared" si="103"/>
        <v/>
      </c>
      <c r="BB286" s="43" t="str">
        <f t="shared" si="84"/>
        <v/>
      </c>
      <c r="BC286" s="43" t="str">
        <f t="shared" si="85"/>
        <v/>
      </c>
      <c r="BD286" s="43" t="str">
        <f t="shared" si="86"/>
        <v/>
      </c>
      <c r="BE286" s="43" t="e">
        <f t="shared" si="87"/>
        <v>#N/A</v>
      </c>
      <c r="BF286" s="43" t="e">
        <f t="shared" si="88"/>
        <v>#N/A</v>
      </c>
      <c r="BG286" s="43" t="e">
        <f t="shared" si="89"/>
        <v>#N/A</v>
      </c>
      <c r="BH286" s="43" t="e">
        <f t="shared" si="90"/>
        <v>#N/A</v>
      </c>
      <c r="BI286" s="43" t="e">
        <f t="shared" si="91"/>
        <v>#N/A</v>
      </c>
      <c r="BJ286" s="43" t="e">
        <f t="shared" si="92"/>
        <v>#N/A</v>
      </c>
      <c r="BK286" s="43">
        <f t="shared" si="93"/>
        <v>-2.94</v>
      </c>
      <c r="BL286" s="43" t="e">
        <f t="shared" si="94"/>
        <v>#N/A</v>
      </c>
      <c r="BM286" s="43" t="e">
        <f t="shared" si="95"/>
        <v>#N/A</v>
      </c>
      <c r="BN286" s="43" t="e">
        <f t="shared" si="96"/>
        <v>#N/A</v>
      </c>
      <c r="BO286" s="43">
        <f t="shared" si="97"/>
        <v>-2.94</v>
      </c>
      <c r="BP286" s="43">
        <f t="shared" si="98"/>
        <v>-2.9249999999999998</v>
      </c>
      <c r="BQ286" s="43" t="e">
        <f t="shared" si="99"/>
        <v>#N/A</v>
      </c>
      <c r="BR286" s="43" t="str">
        <f t="shared" si="100"/>
        <v/>
      </c>
      <c r="BS286" s="43" t="str">
        <f t="shared" si="101"/>
        <v/>
      </c>
      <c r="BT286" s="43" t="str">
        <f t="shared" si="102"/>
        <v/>
      </c>
    </row>
    <row r="287" spans="52:72" ht="12" customHeight="1">
      <c r="AZ287" s="43">
        <v>279</v>
      </c>
      <c r="BA287" s="43" t="str">
        <f t="shared" si="103"/>
        <v/>
      </c>
      <c r="BB287" s="43" t="str">
        <f t="shared" si="84"/>
        <v/>
      </c>
      <c r="BC287" s="43" t="str">
        <f t="shared" si="85"/>
        <v/>
      </c>
      <c r="BD287" s="43" t="str">
        <f t="shared" si="86"/>
        <v/>
      </c>
      <c r="BE287" s="43" t="e">
        <f t="shared" si="87"/>
        <v>#N/A</v>
      </c>
      <c r="BF287" s="43" t="e">
        <f t="shared" si="88"/>
        <v>#N/A</v>
      </c>
      <c r="BG287" s="43" t="e">
        <f t="shared" si="89"/>
        <v>#N/A</v>
      </c>
      <c r="BH287" s="43" t="e">
        <f t="shared" si="90"/>
        <v>#N/A</v>
      </c>
      <c r="BI287" s="43" t="e">
        <f t="shared" si="91"/>
        <v>#N/A</v>
      </c>
      <c r="BJ287" s="43" t="e">
        <f t="shared" si="92"/>
        <v>#N/A</v>
      </c>
      <c r="BK287" s="43">
        <f t="shared" si="93"/>
        <v>-2.94</v>
      </c>
      <c r="BL287" s="43" t="e">
        <f t="shared" si="94"/>
        <v>#N/A</v>
      </c>
      <c r="BM287" s="43" t="e">
        <f t="shared" si="95"/>
        <v>#N/A</v>
      </c>
      <c r="BN287" s="43" t="e">
        <f t="shared" si="96"/>
        <v>#N/A</v>
      </c>
      <c r="BO287" s="43">
        <f t="shared" si="97"/>
        <v>-2.94</v>
      </c>
      <c r="BP287" s="43">
        <f t="shared" si="98"/>
        <v>-2.9249999999999998</v>
      </c>
      <c r="BQ287" s="43" t="e">
        <f t="shared" si="99"/>
        <v>#N/A</v>
      </c>
      <c r="BR287" s="43" t="str">
        <f t="shared" si="100"/>
        <v/>
      </c>
      <c r="BS287" s="43" t="str">
        <f t="shared" si="101"/>
        <v/>
      </c>
      <c r="BT287" s="43" t="str">
        <f t="shared" si="102"/>
        <v/>
      </c>
    </row>
    <row r="288" spans="52:72" ht="12" customHeight="1">
      <c r="AZ288" s="43">
        <v>280</v>
      </c>
      <c r="BA288" s="43" t="str">
        <f t="shared" si="103"/>
        <v/>
      </c>
      <c r="BB288" s="43" t="str">
        <f t="shared" si="84"/>
        <v/>
      </c>
      <c r="BC288" s="43" t="str">
        <f t="shared" si="85"/>
        <v/>
      </c>
      <c r="BD288" s="43" t="str">
        <f t="shared" si="86"/>
        <v/>
      </c>
      <c r="BE288" s="43" t="e">
        <f t="shared" si="87"/>
        <v>#N/A</v>
      </c>
      <c r="BF288" s="43" t="e">
        <f t="shared" si="88"/>
        <v>#N/A</v>
      </c>
      <c r="BG288" s="43" t="e">
        <f t="shared" si="89"/>
        <v>#N/A</v>
      </c>
      <c r="BH288" s="43" t="e">
        <f t="shared" si="90"/>
        <v>#N/A</v>
      </c>
      <c r="BI288" s="43" t="e">
        <f t="shared" si="91"/>
        <v>#N/A</v>
      </c>
      <c r="BJ288" s="43" t="e">
        <f t="shared" si="92"/>
        <v>#N/A</v>
      </c>
      <c r="BK288" s="43">
        <f t="shared" si="93"/>
        <v>-2.94</v>
      </c>
      <c r="BL288" s="43" t="e">
        <f t="shared" si="94"/>
        <v>#N/A</v>
      </c>
      <c r="BM288" s="43" t="e">
        <f t="shared" si="95"/>
        <v>#N/A</v>
      </c>
      <c r="BN288" s="43" t="e">
        <f t="shared" si="96"/>
        <v>#N/A</v>
      </c>
      <c r="BO288" s="43">
        <f t="shared" si="97"/>
        <v>-2.94</v>
      </c>
      <c r="BP288" s="43">
        <f t="shared" si="98"/>
        <v>-2.9249999999999998</v>
      </c>
      <c r="BQ288" s="43" t="e">
        <f t="shared" si="99"/>
        <v>#N/A</v>
      </c>
      <c r="BR288" s="43" t="str">
        <f t="shared" si="100"/>
        <v/>
      </c>
      <c r="BS288" s="43" t="str">
        <f t="shared" si="101"/>
        <v/>
      </c>
      <c r="BT288" s="43" t="str">
        <f t="shared" si="102"/>
        <v/>
      </c>
    </row>
    <row r="289" spans="52:72" ht="12" customHeight="1">
      <c r="AZ289" s="43">
        <v>281</v>
      </c>
      <c r="BA289" s="43" t="str">
        <f t="shared" si="103"/>
        <v/>
      </c>
      <c r="BB289" s="43" t="str">
        <f t="shared" si="84"/>
        <v/>
      </c>
      <c r="BC289" s="43" t="str">
        <f t="shared" si="85"/>
        <v/>
      </c>
      <c r="BD289" s="43" t="str">
        <f t="shared" si="86"/>
        <v/>
      </c>
      <c r="BE289" s="43" t="e">
        <f t="shared" si="87"/>
        <v>#N/A</v>
      </c>
      <c r="BF289" s="43" t="e">
        <f t="shared" si="88"/>
        <v>#N/A</v>
      </c>
      <c r="BG289" s="43" t="e">
        <f t="shared" si="89"/>
        <v>#N/A</v>
      </c>
      <c r="BH289" s="43" t="e">
        <f t="shared" si="90"/>
        <v>#N/A</v>
      </c>
      <c r="BI289" s="43" t="e">
        <f t="shared" si="91"/>
        <v>#N/A</v>
      </c>
      <c r="BJ289" s="43" t="e">
        <f t="shared" si="92"/>
        <v>#N/A</v>
      </c>
      <c r="BK289" s="43">
        <f t="shared" si="93"/>
        <v>-2.94</v>
      </c>
      <c r="BL289" s="43" t="e">
        <f t="shared" si="94"/>
        <v>#N/A</v>
      </c>
      <c r="BM289" s="43" t="e">
        <f t="shared" si="95"/>
        <v>#N/A</v>
      </c>
      <c r="BN289" s="43" t="e">
        <f t="shared" si="96"/>
        <v>#N/A</v>
      </c>
      <c r="BO289" s="43">
        <f t="shared" si="97"/>
        <v>-2.94</v>
      </c>
      <c r="BP289" s="43">
        <f t="shared" si="98"/>
        <v>-2.9249999999999998</v>
      </c>
      <c r="BQ289" s="43" t="e">
        <f t="shared" si="99"/>
        <v>#N/A</v>
      </c>
      <c r="BR289" s="43" t="str">
        <f t="shared" si="100"/>
        <v/>
      </c>
      <c r="BS289" s="43" t="str">
        <f t="shared" si="101"/>
        <v/>
      </c>
      <c r="BT289" s="43" t="str">
        <f t="shared" si="102"/>
        <v/>
      </c>
    </row>
    <row r="290" spans="52:72" ht="12" customHeight="1">
      <c r="AZ290" s="43">
        <v>282</v>
      </c>
      <c r="BA290" s="43" t="str">
        <f t="shared" si="103"/>
        <v/>
      </c>
      <c r="BB290" s="43" t="str">
        <f t="shared" si="84"/>
        <v/>
      </c>
      <c r="BC290" s="43" t="str">
        <f t="shared" si="85"/>
        <v/>
      </c>
      <c r="BD290" s="43" t="str">
        <f t="shared" si="86"/>
        <v/>
      </c>
      <c r="BE290" s="43" t="e">
        <f t="shared" si="87"/>
        <v>#N/A</v>
      </c>
      <c r="BF290" s="43" t="e">
        <f t="shared" si="88"/>
        <v>#N/A</v>
      </c>
      <c r="BG290" s="43" t="e">
        <f t="shared" si="89"/>
        <v>#N/A</v>
      </c>
      <c r="BH290" s="43" t="e">
        <f t="shared" si="90"/>
        <v>#N/A</v>
      </c>
      <c r="BI290" s="43" t="e">
        <f t="shared" si="91"/>
        <v>#N/A</v>
      </c>
      <c r="BJ290" s="43" t="e">
        <f t="shared" si="92"/>
        <v>#N/A</v>
      </c>
      <c r="BK290" s="43">
        <f t="shared" si="93"/>
        <v>-2.94</v>
      </c>
      <c r="BL290" s="43" t="e">
        <f t="shared" si="94"/>
        <v>#N/A</v>
      </c>
      <c r="BM290" s="43" t="e">
        <f t="shared" si="95"/>
        <v>#N/A</v>
      </c>
      <c r="BN290" s="43" t="e">
        <f t="shared" si="96"/>
        <v>#N/A</v>
      </c>
      <c r="BO290" s="43">
        <f t="shared" si="97"/>
        <v>-2.94</v>
      </c>
      <c r="BP290" s="43">
        <f t="shared" si="98"/>
        <v>-2.9249999999999998</v>
      </c>
      <c r="BQ290" s="43" t="e">
        <f t="shared" si="99"/>
        <v>#N/A</v>
      </c>
      <c r="BR290" s="43" t="str">
        <f t="shared" si="100"/>
        <v/>
      </c>
      <c r="BS290" s="43" t="str">
        <f t="shared" si="101"/>
        <v/>
      </c>
      <c r="BT290" s="43" t="str">
        <f t="shared" si="102"/>
        <v/>
      </c>
    </row>
    <row r="291" spans="52:72" ht="12" customHeight="1">
      <c r="AZ291" s="43">
        <v>283</v>
      </c>
      <c r="BA291" s="43" t="str">
        <f t="shared" si="103"/>
        <v/>
      </c>
      <c r="BB291" s="43" t="str">
        <f t="shared" si="84"/>
        <v/>
      </c>
      <c r="BC291" s="43" t="str">
        <f t="shared" si="85"/>
        <v/>
      </c>
      <c r="BD291" s="43" t="str">
        <f t="shared" si="86"/>
        <v/>
      </c>
      <c r="BE291" s="43" t="e">
        <f t="shared" si="87"/>
        <v>#N/A</v>
      </c>
      <c r="BF291" s="43" t="e">
        <f t="shared" si="88"/>
        <v>#N/A</v>
      </c>
      <c r="BG291" s="43" t="e">
        <f t="shared" si="89"/>
        <v>#N/A</v>
      </c>
      <c r="BH291" s="43" t="e">
        <f t="shared" si="90"/>
        <v>#N/A</v>
      </c>
      <c r="BI291" s="43" t="e">
        <f t="shared" si="91"/>
        <v>#N/A</v>
      </c>
      <c r="BJ291" s="43" t="e">
        <f t="shared" si="92"/>
        <v>#N/A</v>
      </c>
      <c r="BK291" s="43">
        <f t="shared" si="93"/>
        <v>-2.94</v>
      </c>
      <c r="BL291" s="43" t="e">
        <f t="shared" si="94"/>
        <v>#N/A</v>
      </c>
      <c r="BM291" s="43" t="e">
        <f t="shared" si="95"/>
        <v>#N/A</v>
      </c>
      <c r="BN291" s="43" t="e">
        <f t="shared" si="96"/>
        <v>#N/A</v>
      </c>
      <c r="BO291" s="43">
        <f t="shared" si="97"/>
        <v>-2.94</v>
      </c>
      <c r="BP291" s="43">
        <f t="shared" si="98"/>
        <v>-2.9249999999999998</v>
      </c>
      <c r="BQ291" s="43" t="e">
        <f t="shared" si="99"/>
        <v>#N/A</v>
      </c>
      <c r="BR291" s="43" t="str">
        <f t="shared" si="100"/>
        <v/>
      </c>
      <c r="BS291" s="43" t="str">
        <f t="shared" si="101"/>
        <v/>
      </c>
      <c r="BT291" s="43" t="str">
        <f t="shared" si="102"/>
        <v/>
      </c>
    </row>
    <row r="292" spans="52:72" ht="12" customHeight="1">
      <c r="AZ292" s="43">
        <v>284</v>
      </c>
      <c r="BA292" s="43" t="str">
        <f t="shared" si="103"/>
        <v/>
      </c>
      <c r="BB292" s="43" t="str">
        <f t="shared" si="84"/>
        <v/>
      </c>
      <c r="BC292" s="43" t="str">
        <f t="shared" si="85"/>
        <v/>
      </c>
      <c r="BD292" s="43" t="str">
        <f t="shared" si="86"/>
        <v/>
      </c>
      <c r="BE292" s="43" t="e">
        <f t="shared" si="87"/>
        <v>#N/A</v>
      </c>
      <c r="BF292" s="43" t="e">
        <f t="shared" si="88"/>
        <v>#N/A</v>
      </c>
      <c r="BG292" s="43" t="e">
        <f t="shared" si="89"/>
        <v>#N/A</v>
      </c>
      <c r="BH292" s="43" t="e">
        <f t="shared" si="90"/>
        <v>#N/A</v>
      </c>
      <c r="BI292" s="43" t="e">
        <f t="shared" si="91"/>
        <v>#N/A</v>
      </c>
      <c r="BJ292" s="43" t="e">
        <f t="shared" si="92"/>
        <v>#N/A</v>
      </c>
      <c r="BK292" s="43">
        <f t="shared" si="93"/>
        <v>-2.94</v>
      </c>
      <c r="BL292" s="43" t="e">
        <f t="shared" si="94"/>
        <v>#N/A</v>
      </c>
      <c r="BM292" s="43" t="e">
        <f t="shared" si="95"/>
        <v>#N/A</v>
      </c>
      <c r="BN292" s="43" t="e">
        <f t="shared" si="96"/>
        <v>#N/A</v>
      </c>
      <c r="BO292" s="43">
        <f t="shared" si="97"/>
        <v>-2.94</v>
      </c>
      <c r="BP292" s="43">
        <f t="shared" si="98"/>
        <v>-2.9249999999999998</v>
      </c>
      <c r="BQ292" s="43" t="e">
        <f t="shared" si="99"/>
        <v>#N/A</v>
      </c>
      <c r="BR292" s="43" t="str">
        <f t="shared" si="100"/>
        <v/>
      </c>
      <c r="BS292" s="43" t="str">
        <f t="shared" si="101"/>
        <v/>
      </c>
      <c r="BT292" s="43" t="str">
        <f t="shared" si="102"/>
        <v/>
      </c>
    </row>
    <row r="293" spans="52:72" ht="12" customHeight="1">
      <c r="AZ293" s="43">
        <v>285</v>
      </c>
      <c r="BA293" s="43" t="str">
        <f t="shared" si="103"/>
        <v/>
      </c>
      <c r="BB293" s="43" t="str">
        <f t="shared" si="84"/>
        <v/>
      </c>
      <c r="BC293" s="43" t="str">
        <f t="shared" si="85"/>
        <v/>
      </c>
      <c r="BD293" s="43" t="str">
        <f t="shared" si="86"/>
        <v/>
      </c>
      <c r="BE293" s="43" t="e">
        <f t="shared" si="87"/>
        <v>#N/A</v>
      </c>
      <c r="BF293" s="43" t="e">
        <f t="shared" si="88"/>
        <v>#N/A</v>
      </c>
      <c r="BG293" s="43" t="e">
        <f t="shared" si="89"/>
        <v>#N/A</v>
      </c>
      <c r="BH293" s="43" t="e">
        <f t="shared" si="90"/>
        <v>#N/A</v>
      </c>
      <c r="BI293" s="43" t="e">
        <f t="shared" si="91"/>
        <v>#N/A</v>
      </c>
      <c r="BJ293" s="43" t="e">
        <f t="shared" si="92"/>
        <v>#N/A</v>
      </c>
      <c r="BK293" s="43">
        <f t="shared" si="93"/>
        <v>-2.94</v>
      </c>
      <c r="BL293" s="43" t="e">
        <f t="shared" si="94"/>
        <v>#N/A</v>
      </c>
      <c r="BM293" s="43" t="e">
        <f t="shared" si="95"/>
        <v>#N/A</v>
      </c>
      <c r="BN293" s="43" t="e">
        <f t="shared" si="96"/>
        <v>#N/A</v>
      </c>
      <c r="BO293" s="43">
        <f t="shared" si="97"/>
        <v>-2.94</v>
      </c>
      <c r="BP293" s="43">
        <f t="shared" si="98"/>
        <v>-2.9249999999999998</v>
      </c>
      <c r="BQ293" s="43" t="e">
        <f t="shared" si="99"/>
        <v>#N/A</v>
      </c>
      <c r="BR293" s="43" t="str">
        <f t="shared" si="100"/>
        <v/>
      </c>
      <c r="BS293" s="43" t="str">
        <f t="shared" si="101"/>
        <v/>
      </c>
      <c r="BT293" s="43" t="str">
        <f t="shared" si="102"/>
        <v/>
      </c>
    </row>
    <row r="294" spans="52:72" ht="12" customHeight="1">
      <c r="AZ294" s="43">
        <v>286</v>
      </c>
      <c r="BA294" s="43" t="str">
        <f t="shared" si="103"/>
        <v/>
      </c>
      <c r="BB294" s="43" t="str">
        <f t="shared" si="84"/>
        <v/>
      </c>
      <c r="BC294" s="43" t="str">
        <f t="shared" si="85"/>
        <v/>
      </c>
      <c r="BD294" s="43" t="str">
        <f t="shared" si="86"/>
        <v/>
      </c>
      <c r="BE294" s="43" t="e">
        <f t="shared" si="87"/>
        <v>#N/A</v>
      </c>
      <c r="BF294" s="43" t="e">
        <f t="shared" si="88"/>
        <v>#N/A</v>
      </c>
      <c r="BG294" s="43" t="e">
        <f t="shared" si="89"/>
        <v>#N/A</v>
      </c>
      <c r="BH294" s="43" t="e">
        <f t="shared" si="90"/>
        <v>#N/A</v>
      </c>
      <c r="BI294" s="43" t="e">
        <f t="shared" si="91"/>
        <v>#N/A</v>
      </c>
      <c r="BJ294" s="43" t="e">
        <f t="shared" si="92"/>
        <v>#N/A</v>
      </c>
      <c r="BK294" s="43">
        <f t="shared" si="93"/>
        <v>-2.94</v>
      </c>
      <c r="BL294" s="43" t="e">
        <f t="shared" si="94"/>
        <v>#N/A</v>
      </c>
      <c r="BM294" s="43" t="e">
        <f t="shared" si="95"/>
        <v>#N/A</v>
      </c>
      <c r="BN294" s="43" t="e">
        <f t="shared" si="96"/>
        <v>#N/A</v>
      </c>
      <c r="BO294" s="43">
        <f t="shared" si="97"/>
        <v>-2.94</v>
      </c>
      <c r="BP294" s="43">
        <f t="shared" si="98"/>
        <v>-2.9249999999999998</v>
      </c>
      <c r="BQ294" s="43" t="e">
        <f t="shared" si="99"/>
        <v>#N/A</v>
      </c>
      <c r="BR294" s="43" t="str">
        <f t="shared" si="100"/>
        <v/>
      </c>
      <c r="BS294" s="43" t="str">
        <f t="shared" si="101"/>
        <v/>
      </c>
      <c r="BT294" s="43" t="str">
        <f t="shared" si="102"/>
        <v/>
      </c>
    </row>
    <row r="295" spans="52:72" ht="12" customHeight="1">
      <c r="AZ295" s="43">
        <v>287</v>
      </c>
      <c r="BA295" s="43" t="str">
        <f t="shared" si="103"/>
        <v/>
      </c>
      <c r="BB295" s="43" t="str">
        <f t="shared" si="84"/>
        <v/>
      </c>
      <c r="BC295" s="43" t="str">
        <f t="shared" si="85"/>
        <v/>
      </c>
      <c r="BD295" s="43" t="str">
        <f t="shared" si="86"/>
        <v/>
      </c>
      <c r="BE295" s="43" t="e">
        <f t="shared" si="87"/>
        <v>#N/A</v>
      </c>
      <c r="BF295" s="43" t="e">
        <f t="shared" si="88"/>
        <v>#N/A</v>
      </c>
      <c r="BG295" s="43" t="e">
        <f t="shared" si="89"/>
        <v>#N/A</v>
      </c>
      <c r="BH295" s="43" t="e">
        <f t="shared" si="90"/>
        <v>#N/A</v>
      </c>
      <c r="BI295" s="43" t="e">
        <f t="shared" si="91"/>
        <v>#N/A</v>
      </c>
      <c r="BJ295" s="43" t="e">
        <f t="shared" si="92"/>
        <v>#N/A</v>
      </c>
      <c r="BK295" s="43">
        <f t="shared" si="93"/>
        <v>-2.94</v>
      </c>
      <c r="BL295" s="43" t="e">
        <f t="shared" si="94"/>
        <v>#N/A</v>
      </c>
      <c r="BM295" s="43" t="e">
        <f t="shared" si="95"/>
        <v>#N/A</v>
      </c>
      <c r="BN295" s="43" t="e">
        <f t="shared" si="96"/>
        <v>#N/A</v>
      </c>
      <c r="BO295" s="43">
        <f t="shared" si="97"/>
        <v>-2.94</v>
      </c>
      <c r="BP295" s="43">
        <f t="shared" si="98"/>
        <v>-2.9249999999999998</v>
      </c>
      <c r="BQ295" s="43" t="e">
        <f t="shared" si="99"/>
        <v>#N/A</v>
      </c>
      <c r="BR295" s="43" t="str">
        <f t="shared" si="100"/>
        <v/>
      </c>
      <c r="BS295" s="43" t="str">
        <f t="shared" si="101"/>
        <v/>
      </c>
      <c r="BT295" s="43" t="str">
        <f t="shared" si="102"/>
        <v/>
      </c>
    </row>
    <row r="296" spans="52:72" ht="12" customHeight="1">
      <c r="AZ296" s="43">
        <v>288</v>
      </c>
      <c r="BA296" s="43" t="str">
        <f t="shared" si="103"/>
        <v/>
      </c>
      <c r="BB296" s="43" t="str">
        <f t="shared" si="84"/>
        <v/>
      </c>
      <c r="BC296" s="43" t="str">
        <f t="shared" si="85"/>
        <v/>
      </c>
      <c r="BD296" s="43" t="str">
        <f t="shared" si="86"/>
        <v/>
      </c>
      <c r="BE296" s="43" t="e">
        <f t="shared" si="87"/>
        <v>#N/A</v>
      </c>
      <c r="BF296" s="43" t="e">
        <f t="shared" si="88"/>
        <v>#N/A</v>
      </c>
      <c r="BG296" s="43" t="e">
        <f t="shared" si="89"/>
        <v>#N/A</v>
      </c>
      <c r="BH296" s="43" t="e">
        <f t="shared" si="90"/>
        <v>#N/A</v>
      </c>
      <c r="BI296" s="43" t="e">
        <f t="shared" si="91"/>
        <v>#N/A</v>
      </c>
      <c r="BJ296" s="43" t="e">
        <f t="shared" si="92"/>
        <v>#N/A</v>
      </c>
      <c r="BK296" s="43">
        <f t="shared" si="93"/>
        <v>-2.94</v>
      </c>
      <c r="BL296" s="43" t="e">
        <f t="shared" si="94"/>
        <v>#N/A</v>
      </c>
      <c r="BM296" s="43" t="e">
        <f t="shared" si="95"/>
        <v>#N/A</v>
      </c>
      <c r="BN296" s="43" t="e">
        <f t="shared" si="96"/>
        <v>#N/A</v>
      </c>
      <c r="BO296" s="43">
        <f t="shared" si="97"/>
        <v>-2.94</v>
      </c>
      <c r="BP296" s="43">
        <f t="shared" si="98"/>
        <v>-2.9249999999999998</v>
      </c>
      <c r="BQ296" s="43" t="e">
        <f t="shared" si="99"/>
        <v>#N/A</v>
      </c>
      <c r="BR296" s="43" t="str">
        <f t="shared" si="100"/>
        <v/>
      </c>
      <c r="BS296" s="43" t="str">
        <f t="shared" si="101"/>
        <v/>
      </c>
      <c r="BT296" s="43" t="str">
        <f t="shared" si="102"/>
        <v/>
      </c>
    </row>
    <row r="297" spans="52:72" ht="12" customHeight="1">
      <c r="AZ297" s="43">
        <v>289</v>
      </c>
      <c r="BA297" s="43" t="str">
        <f t="shared" si="103"/>
        <v/>
      </c>
      <c r="BB297" s="43" t="str">
        <f t="shared" si="84"/>
        <v/>
      </c>
      <c r="BC297" s="43" t="str">
        <f t="shared" si="85"/>
        <v/>
      </c>
      <c r="BD297" s="43" t="str">
        <f t="shared" si="86"/>
        <v/>
      </c>
      <c r="BE297" s="43" t="e">
        <f t="shared" si="87"/>
        <v>#N/A</v>
      </c>
      <c r="BF297" s="43" t="e">
        <f t="shared" si="88"/>
        <v>#N/A</v>
      </c>
      <c r="BG297" s="43" t="e">
        <f t="shared" si="89"/>
        <v>#N/A</v>
      </c>
      <c r="BH297" s="43" t="e">
        <f t="shared" si="90"/>
        <v>#N/A</v>
      </c>
      <c r="BI297" s="43" t="e">
        <f t="shared" si="91"/>
        <v>#N/A</v>
      </c>
      <c r="BJ297" s="43" t="e">
        <f t="shared" si="92"/>
        <v>#N/A</v>
      </c>
      <c r="BK297" s="43">
        <f t="shared" si="93"/>
        <v>-2.94</v>
      </c>
      <c r="BL297" s="43" t="e">
        <f t="shared" si="94"/>
        <v>#N/A</v>
      </c>
      <c r="BM297" s="43" t="e">
        <f t="shared" si="95"/>
        <v>#N/A</v>
      </c>
      <c r="BN297" s="43" t="e">
        <f t="shared" si="96"/>
        <v>#N/A</v>
      </c>
      <c r="BO297" s="43">
        <f t="shared" si="97"/>
        <v>-2.94</v>
      </c>
      <c r="BP297" s="43">
        <f t="shared" si="98"/>
        <v>-2.9249999999999998</v>
      </c>
      <c r="BQ297" s="43" t="e">
        <f t="shared" si="99"/>
        <v>#N/A</v>
      </c>
      <c r="BR297" s="43" t="str">
        <f t="shared" si="100"/>
        <v/>
      </c>
      <c r="BS297" s="43" t="str">
        <f t="shared" si="101"/>
        <v/>
      </c>
      <c r="BT297" s="43" t="str">
        <f t="shared" si="102"/>
        <v/>
      </c>
    </row>
    <row r="298" spans="52:72" ht="12" customHeight="1">
      <c r="AZ298" s="43">
        <v>290</v>
      </c>
      <c r="BA298" s="43" t="str">
        <f t="shared" si="103"/>
        <v/>
      </c>
      <c r="BB298" s="43" t="str">
        <f t="shared" si="84"/>
        <v/>
      </c>
      <c r="BC298" s="43" t="str">
        <f t="shared" si="85"/>
        <v/>
      </c>
      <c r="BD298" s="43" t="str">
        <f t="shared" si="86"/>
        <v/>
      </c>
      <c r="BE298" s="43" t="e">
        <f t="shared" si="87"/>
        <v>#N/A</v>
      </c>
      <c r="BF298" s="43" t="e">
        <f t="shared" si="88"/>
        <v>#N/A</v>
      </c>
      <c r="BG298" s="43" t="e">
        <f t="shared" si="89"/>
        <v>#N/A</v>
      </c>
      <c r="BH298" s="43" t="e">
        <f t="shared" si="90"/>
        <v>#N/A</v>
      </c>
      <c r="BI298" s="43" t="e">
        <f t="shared" si="91"/>
        <v>#N/A</v>
      </c>
      <c r="BJ298" s="43" t="e">
        <f t="shared" si="92"/>
        <v>#N/A</v>
      </c>
      <c r="BK298" s="43">
        <f t="shared" si="93"/>
        <v>-2.94</v>
      </c>
      <c r="BL298" s="43" t="e">
        <f t="shared" si="94"/>
        <v>#N/A</v>
      </c>
      <c r="BM298" s="43" t="e">
        <f t="shared" si="95"/>
        <v>#N/A</v>
      </c>
      <c r="BN298" s="43" t="e">
        <f t="shared" si="96"/>
        <v>#N/A</v>
      </c>
      <c r="BO298" s="43">
        <f t="shared" si="97"/>
        <v>-2.94</v>
      </c>
      <c r="BP298" s="43">
        <f t="shared" si="98"/>
        <v>-2.9249999999999998</v>
      </c>
      <c r="BQ298" s="43" t="e">
        <f t="shared" si="99"/>
        <v>#N/A</v>
      </c>
      <c r="BR298" s="43" t="str">
        <f t="shared" si="100"/>
        <v/>
      </c>
      <c r="BS298" s="43" t="str">
        <f t="shared" si="101"/>
        <v/>
      </c>
      <c r="BT298" s="43" t="str">
        <f t="shared" si="102"/>
        <v/>
      </c>
    </row>
    <row r="299" spans="52:72" ht="12" customHeight="1">
      <c r="AZ299" s="43">
        <v>291</v>
      </c>
      <c r="BA299" s="43" t="str">
        <f t="shared" si="103"/>
        <v/>
      </c>
      <c r="BB299" s="43" t="str">
        <f t="shared" si="84"/>
        <v/>
      </c>
      <c r="BC299" s="43" t="str">
        <f t="shared" si="85"/>
        <v/>
      </c>
      <c r="BD299" s="43" t="str">
        <f t="shared" si="86"/>
        <v/>
      </c>
      <c r="BE299" s="43" t="e">
        <f t="shared" si="87"/>
        <v>#N/A</v>
      </c>
      <c r="BF299" s="43" t="e">
        <f t="shared" si="88"/>
        <v>#N/A</v>
      </c>
      <c r="BG299" s="43" t="e">
        <f t="shared" si="89"/>
        <v>#N/A</v>
      </c>
      <c r="BH299" s="43" t="e">
        <f t="shared" si="90"/>
        <v>#N/A</v>
      </c>
      <c r="BI299" s="43" t="e">
        <f t="shared" si="91"/>
        <v>#N/A</v>
      </c>
      <c r="BJ299" s="43" t="e">
        <f t="shared" si="92"/>
        <v>#N/A</v>
      </c>
      <c r="BK299" s="43">
        <f t="shared" si="93"/>
        <v>-2.94</v>
      </c>
      <c r="BL299" s="43" t="e">
        <f t="shared" si="94"/>
        <v>#N/A</v>
      </c>
      <c r="BM299" s="43" t="e">
        <f t="shared" si="95"/>
        <v>#N/A</v>
      </c>
      <c r="BN299" s="43" t="e">
        <f t="shared" si="96"/>
        <v>#N/A</v>
      </c>
      <c r="BO299" s="43">
        <f t="shared" si="97"/>
        <v>-2.94</v>
      </c>
      <c r="BP299" s="43">
        <f t="shared" si="98"/>
        <v>-2.9249999999999998</v>
      </c>
      <c r="BQ299" s="43" t="e">
        <f t="shared" si="99"/>
        <v>#N/A</v>
      </c>
      <c r="BR299" s="43" t="str">
        <f t="shared" si="100"/>
        <v/>
      </c>
      <c r="BS299" s="43" t="str">
        <f t="shared" si="101"/>
        <v/>
      </c>
      <c r="BT299" s="43" t="str">
        <f t="shared" si="102"/>
        <v/>
      </c>
    </row>
    <row r="300" spans="52:72" ht="12" customHeight="1">
      <c r="AZ300" s="43">
        <v>292</v>
      </c>
      <c r="BA300" s="43" t="str">
        <f t="shared" si="103"/>
        <v/>
      </c>
      <c r="BB300" s="43" t="str">
        <f t="shared" si="84"/>
        <v/>
      </c>
      <c r="BC300" s="43" t="str">
        <f t="shared" si="85"/>
        <v/>
      </c>
      <c r="BD300" s="43" t="str">
        <f t="shared" si="86"/>
        <v/>
      </c>
      <c r="BE300" s="43" t="e">
        <f t="shared" si="87"/>
        <v>#N/A</v>
      </c>
      <c r="BF300" s="43" t="e">
        <f t="shared" si="88"/>
        <v>#N/A</v>
      </c>
      <c r="BG300" s="43" t="e">
        <f t="shared" si="89"/>
        <v>#N/A</v>
      </c>
      <c r="BH300" s="43" t="e">
        <f t="shared" si="90"/>
        <v>#N/A</v>
      </c>
      <c r="BI300" s="43" t="e">
        <f t="shared" si="91"/>
        <v>#N/A</v>
      </c>
      <c r="BJ300" s="43" t="e">
        <f t="shared" si="92"/>
        <v>#N/A</v>
      </c>
      <c r="BK300" s="43">
        <f t="shared" si="93"/>
        <v>-2.94</v>
      </c>
      <c r="BL300" s="43" t="e">
        <f t="shared" si="94"/>
        <v>#N/A</v>
      </c>
      <c r="BM300" s="43" t="e">
        <f t="shared" si="95"/>
        <v>#N/A</v>
      </c>
      <c r="BN300" s="43" t="e">
        <f t="shared" si="96"/>
        <v>#N/A</v>
      </c>
      <c r="BO300" s="43">
        <f t="shared" si="97"/>
        <v>-2.94</v>
      </c>
      <c r="BP300" s="43">
        <f t="shared" si="98"/>
        <v>-2.9249999999999998</v>
      </c>
      <c r="BQ300" s="43" t="e">
        <f t="shared" si="99"/>
        <v>#N/A</v>
      </c>
      <c r="BR300" s="43" t="str">
        <f t="shared" si="100"/>
        <v/>
      </c>
      <c r="BS300" s="43" t="str">
        <f t="shared" si="101"/>
        <v/>
      </c>
      <c r="BT300" s="43" t="str">
        <f t="shared" si="102"/>
        <v/>
      </c>
    </row>
    <row r="301" spans="52:72" ht="12" customHeight="1">
      <c r="AZ301" s="43">
        <v>293</v>
      </c>
      <c r="BA301" s="43" t="str">
        <f t="shared" si="103"/>
        <v/>
      </c>
      <c r="BB301" s="43" t="str">
        <f t="shared" si="84"/>
        <v/>
      </c>
      <c r="BC301" s="43" t="str">
        <f t="shared" si="85"/>
        <v/>
      </c>
      <c r="BD301" s="43" t="str">
        <f t="shared" si="86"/>
        <v/>
      </c>
      <c r="BE301" s="43" t="e">
        <f t="shared" si="87"/>
        <v>#N/A</v>
      </c>
      <c r="BF301" s="43" t="e">
        <f t="shared" si="88"/>
        <v>#N/A</v>
      </c>
      <c r="BG301" s="43" t="e">
        <f t="shared" si="89"/>
        <v>#N/A</v>
      </c>
      <c r="BH301" s="43" t="e">
        <f t="shared" si="90"/>
        <v>#N/A</v>
      </c>
      <c r="BI301" s="43" t="e">
        <f t="shared" si="91"/>
        <v>#N/A</v>
      </c>
      <c r="BJ301" s="43" t="e">
        <f t="shared" si="92"/>
        <v>#N/A</v>
      </c>
      <c r="BK301" s="43">
        <f t="shared" si="93"/>
        <v>-2.94</v>
      </c>
      <c r="BL301" s="43" t="e">
        <f t="shared" si="94"/>
        <v>#N/A</v>
      </c>
      <c r="BM301" s="43" t="e">
        <f t="shared" si="95"/>
        <v>#N/A</v>
      </c>
      <c r="BN301" s="43" t="e">
        <f t="shared" si="96"/>
        <v>#N/A</v>
      </c>
      <c r="BO301" s="43">
        <f t="shared" si="97"/>
        <v>-2.94</v>
      </c>
      <c r="BP301" s="43">
        <f t="shared" si="98"/>
        <v>-2.9249999999999998</v>
      </c>
      <c r="BQ301" s="43" t="e">
        <f t="shared" si="99"/>
        <v>#N/A</v>
      </c>
      <c r="BR301" s="43" t="str">
        <f t="shared" si="100"/>
        <v/>
      </c>
      <c r="BS301" s="43" t="str">
        <f t="shared" si="101"/>
        <v/>
      </c>
      <c r="BT301" s="43" t="str">
        <f t="shared" si="102"/>
        <v/>
      </c>
    </row>
    <row r="302" spans="52:72" ht="12" customHeight="1">
      <c r="AZ302" s="43">
        <v>294</v>
      </c>
      <c r="BA302" s="43" t="str">
        <f t="shared" si="103"/>
        <v/>
      </c>
      <c r="BB302" s="43" t="str">
        <f t="shared" si="84"/>
        <v/>
      </c>
      <c r="BC302" s="43" t="str">
        <f t="shared" si="85"/>
        <v/>
      </c>
      <c r="BD302" s="43" t="str">
        <f t="shared" si="86"/>
        <v/>
      </c>
      <c r="BE302" s="43" t="e">
        <f t="shared" si="87"/>
        <v>#N/A</v>
      </c>
      <c r="BF302" s="43" t="e">
        <f t="shared" si="88"/>
        <v>#N/A</v>
      </c>
      <c r="BG302" s="43" t="e">
        <f t="shared" si="89"/>
        <v>#N/A</v>
      </c>
      <c r="BH302" s="43" t="e">
        <f t="shared" si="90"/>
        <v>#N/A</v>
      </c>
      <c r="BI302" s="43" t="e">
        <f t="shared" si="91"/>
        <v>#N/A</v>
      </c>
      <c r="BJ302" s="43" t="e">
        <f t="shared" si="92"/>
        <v>#N/A</v>
      </c>
      <c r="BK302" s="43">
        <f t="shared" si="93"/>
        <v>-2.94</v>
      </c>
      <c r="BL302" s="43" t="e">
        <f t="shared" si="94"/>
        <v>#N/A</v>
      </c>
      <c r="BM302" s="43" t="e">
        <f t="shared" si="95"/>
        <v>#N/A</v>
      </c>
      <c r="BN302" s="43" t="e">
        <f t="shared" si="96"/>
        <v>#N/A</v>
      </c>
      <c r="BO302" s="43">
        <f t="shared" si="97"/>
        <v>-2.94</v>
      </c>
      <c r="BP302" s="43">
        <f t="shared" si="98"/>
        <v>-2.9249999999999998</v>
      </c>
      <c r="BQ302" s="43" t="e">
        <f t="shared" si="99"/>
        <v>#N/A</v>
      </c>
      <c r="BR302" s="43" t="str">
        <f t="shared" si="100"/>
        <v/>
      </c>
      <c r="BS302" s="43" t="str">
        <f t="shared" si="101"/>
        <v/>
      </c>
      <c r="BT302" s="43" t="str">
        <f t="shared" si="102"/>
        <v/>
      </c>
    </row>
    <row r="303" spans="52:72" ht="12" customHeight="1">
      <c r="AZ303" s="43">
        <v>295</v>
      </c>
      <c r="BA303" s="43" t="str">
        <f t="shared" si="103"/>
        <v/>
      </c>
      <c r="BB303" s="43" t="str">
        <f t="shared" si="84"/>
        <v/>
      </c>
      <c r="BC303" s="43" t="str">
        <f t="shared" si="85"/>
        <v/>
      </c>
      <c r="BD303" s="43" t="str">
        <f t="shared" si="86"/>
        <v/>
      </c>
      <c r="BE303" s="43" t="e">
        <f t="shared" si="87"/>
        <v>#N/A</v>
      </c>
      <c r="BF303" s="43" t="e">
        <f t="shared" si="88"/>
        <v>#N/A</v>
      </c>
      <c r="BG303" s="43" t="e">
        <f t="shared" si="89"/>
        <v>#N/A</v>
      </c>
      <c r="BH303" s="43" t="e">
        <f t="shared" si="90"/>
        <v>#N/A</v>
      </c>
      <c r="BI303" s="43" t="e">
        <f t="shared" si="91"/>
        <v>#N/A</v>
      </c>
      <c r="BJ303" s="43" t="e">
        <f t="shared" si="92"/>
        <v>#N/A</v>
      </c>
      <c r="BK303" s="43">
        <f t="shared" si="93"/>
        <v>-2.94</v>
      </c>
      <c r="BL303" s="43" t="e">
        <f t="shared" si="94"/>
        <v>#N/A</v>
      </c>
      <c r="BM303" s="43" t="e">
        <f t="shared" si="95"/>
        <v>#N/A</v>
      </c>
      <c r="BN303" s="43" t="e">
        <f t="shared" si="96"/>
        <v>#N/A</v>
      </c>
      <c r="BO303" s="43">
        <f t="shared" si="97"/>
        <v>-2.94</v>
      </c>
      <c r="BP303" s="43">
        <f t="shared" si="98"/>
        <v>-2.9249999999999998</v>
      </c>
      <c r="BQ303" s="43" t="e">
        <f t="shared" si="99"/>
        <v>#N/A</v>
      </c>
      <c r="BR303" s="43" t="str">
        <f t="shared" si="100"/>
        <v/>
      </c>
      <c r="BS303" s="43" t="str">
        <f t="shared" si="101"/>
        <v/>
      </c>
      <c r="BT303" s="43" t="str">
        <f t="shared" si="102"/>
        <v/>
      </c>
    </row>
    <row r="304" spans="52:72" ht="12" customHeight="1">
      <c r="AZ304" s="43">
        <v>296</v>
      </c>
      <c r="BA304" s="43" t="str">
        <f t="shared" si="103"/>
        <v/>
      </c>
      <c r="BB304" s="43" t="str">
        <f t="shared" si="84"/>
        <v/>
      </c>
      <c r="BC304" s="43" t="str">
        <f t="shared" si="85"/>
        <v/>
      </c>
      <c r="BD304" s="43" t="str">
        <f t="shared" si="86"/>
        <v/>
      </c>
      <c r="BE304" s="43" t="e">
        <f t="shared" si="87"/>
        <v>#N/A</v>
      </c>
      <c r="BF304" s="43" t="e">
        <f t="shared" si="88"/>
        <v>#N/A</v>
      </c>
      <c r="BG304" s="43" t="e">
        <f t="shared" si="89"/>
        <v>#N/A</v>
      </c>
      <c r="BH304" s="43" t="e">
        <f t="shared" si="90"/>
        <v>#N/A</v>
      </c>
      <c r="BI304" s="43" t="e">
        <f t="shared" si="91"/>
        <v>#N/A</v>
      </c>
      <c r="BJ304" s="43" t="e">
        <f t="shared" si="92"/>
        <v>#N/A</v>
      </c>
      <c r="BK304" s="43">
        <f t="shared" si="93"/>
        <v>-2.94</v>
      </c>
      <c r="BL304" s="43" t="e">
        <f t="shared" si="94"/>
        <v>#N/A</v>
      </c>
      <c r="BM304" s="43" t="e">
        <f t="shared" si="95"/>
        <v>#N/A</v>
      </c>
      <c r="BN304" s="43" t="e">
        <f t="shared" si="96"/>
        <v>#N/A</v>
      </c>
      <c r="BO304" s="43">
        <f t="shared" si="97"/>
        <v>-2.94</v>
      </c>
      <c r="BP304" s="43">
        <f t="shared" si="98"/>
        <v>-2.9249999999999998</v>
      </c>
      <c r="BQ304" s="43" t="e">
        <f t="shared" si="99"/>
        <v>#N/A</v>
      </c>
      <c r="BR304" s="43" t="str">
        <f t="shared" si="100"/>
        <v/>
      </c>
      <c r="BS304" s="43" t="str">
        <f t="shared" si="101"/>
        <v/>
      </c>
      <c r="BT304" s="43" t="str">
        <f t="shared" si="102"/>
        <v/>
      </c>
    </row>
    <row r="305" spans="52:72" ht="12" customHeight="1">
      <c r="AZ305" s="43">
        <v>297</v>
      </c>
      <c r="BA305" s="43" t="str">
        <f t="shared" si="103"/>
        <v/>
      </c>
      <c r="BB305" s="43" t="str">
        <f t="shared" si="84"/>
        <v/>
      </c>
      <c r="BC305" s="43" t="str">
        <f t="shared" si="85"/>
        <v/>
      </c>
      <c r="BD305" s="43" t="str">
        <f t="shared" si="86"/>
        <v/>
      </c>
      <c r="BE305" s="43" t="e">
        <f t="shared" si="87"/>
        <v>#N/A</v>
      </c>
      <c r="BF305" s="43" t="e">
        <f t="shared" si="88"/>
        <v>#N/A</v>
      </c>
      <c r="BG305" s="43" t="e">
        <f t="shared" si="89"/>
        <v>#N/A</v>
      </c>
      <c r="BH305" s="43" t="e">
        <f t="shared" si="90"/>
        <v>#N/A</v>
      </c>
      <c r="BI305" s="43" t="e">
        <f t="shared" si="91"/>
        <v>#N/A</v>
      </c>
      <c r="BJ305" s="43" t="e">
        <f t="shared" si="92"/>
        <v>#N/A</v>
      </c>
      <c r="BK305" s="43">
        <f t="shared" si="93"/>
        <v>-2.94</v>
      </c>
      <c r="BL305" s="43" t="e">
        <f t="shared" si="94"/>
        <v>#N/A</v>
      </c>
      <c r="BM305" s="43" t="e">
        <f t="shared" si="95"/>
        <v>#N/A</v>
      </c>
      <c r="BN305" s="43" t="e">
        <f t="shared" si="96"/>
        <v>#N/A</v>
      </c>
      <c r="BO305" s="43">
        <f t="shared" si="97"/>
        <v>-2.94</v>
      </c>
      <c r="BP305" s="43">
        <f t="shared" si="98"/>
        <v>-2.9249999999999998</v>
      </c>
      <c r="BQ305" s="43" t="e">
        <f t="shared" si="99"/>
        <v>#N/A</v>
      </c>
      <c r="BR305" s="43" t="str">
        <f t="shared" si="100"/>
        <v/>
      </c>
      <c r="BS305" s="43" t="str">
        <f t="shared" si="101"/>
        <v/>
      </c>
      <c r="BT305" s="43" t="str">
        <f t="shared" si="102"/>
        <v/>
      </c>
    </row>
    <row r="306" spans="52:72" ht="12" customHeight="1">
      <c r="AZ306" s="43">
        <v>298</v>
      </c>
      <c r="BA306" s="43" t="str">
        <f t="shared" si="103"/>
        <v/>
      </c>
      <c r="BB306" s="43" t="str">
        <f t="shared" si="84"/>
        <v/>
      </c>
      <c r="BC306" s="43" t="str">
        <f t="shared" si="85"/>
        <v/>
      </c>
      <c r="BD306" s="43" t="str">
        <f t="shared" si="86"/>
        <v/>
      </c>
      <c r="BE306" s="43" t="e">
        <f t="shared" si="87"/>
        <v>#N/A</v>
      </c>
      <c r="BF306" s="43" t="e">
        <f t="shared" si="88"/>
        <v>#N/A</v>
      </c>
      <c r="BG306" s="43" t="e">
        <f t="shared" si="89"/>
        <v>#N/A</v>
      </c>
      <c r="BH306" s="43" t="e">
        <f t="shared" si="90"/>
        <v>#N/A</v>
      </c>
      <c r="BI306" s="43" t="e">
        <f t="shared" si="91"/>
        <v>#N/A</v>
      </c>
      <c r="BJ306" s="43" t="e">
        <f t="shared" si="92"/>
        <v>#N/A</v>
      </c>
      <c r="BK306" s="43">
        <f t="shared" si="93"/>
        <v>-2.94</v>
      </c>
      <c r="BL306" s="43" t="e">
        <f t="shared" si="94"/>
        <v>#N/A</v>
      </c>
      <c r="BM306" s="43" t="e">
        <f t="shared" si="95"/>
        <v>#N/A</v>
      </c>
      <c r="BN306" s="43" t="e">
        <f t="shared" si="96"/>
        <v>#N/A</v>
      </c>
      <c r="BO306" s="43">
        <f t="shared" si="97"/>
        <v>-2.94</v>
      </c>
      <c r="BP306" s="43">
        <f t="shared" si="98"/>
        <v>-2.9249999999999998</v>
      </c>
      <c r="BQ306" s="43" t="e">
        <f t="shared" si="99"/>
        <v>#N/A</v>
      </c>
      <c r="BR306" s="43" t="str">
        <f t="shared" si="100"/>
        <v/>
      </c>
      <c r="BS306" s="43" t="str">
        <f t="shared" si="101"/>
        <v/>
      </c>
      <c r="BT306" s="43" t="str">
        <f t="shared" si="102"/>
        <v/>
      </c>
    </row>
    <row r="307" spans="52:72" ht="12" customHeight="1">
      <c r="AZ307" s="43">
        <v>299</v>
      </c>
      <c r="BA307" s="43" t="str">
        <f t="shared" si="103"/>
        <v/>
      </c>
      <c r="BB307" s="43" t="str">
        <f t="shared" si="84"/>
        <v/>
      </c>
      <c r="BC307" s="43" t="str">
        <f t="shared" si="85"/>
        <v/>
      </c>
      <c r="BD307" s="43" t="str">
        <f t="shared" si="86"/>
        <v/>
      </c>
      <c r="BE307" s="43" t="e">
        <f t="shared" si="87"/>
        <v>#N/A</v>
      </c>
      <c r="BF307" s="43" t="e">
        <f t="shared" si="88"/>
        <v>#N/A</v>
      </c>
      <c r="BG307" s="43" t="e">
        <f t="shared" si="89"/>
        <v>#N/A</v>
      </c>
      <c r="BH307" s="43" t="e">
        <f t="shared" si="90"/>
        <v>#N/A</v>
      </c>
      <c r="BI307" s="43" t="e">
        <f t="shared" si="91"/>
        <v>#N/A</v>
      </c>
      <c r="BJ307" s="43" t="e">
        <f t="shared" si="92"/>
        <v>#N/A</v>
      </c>
      <c r="BK307" s="43">
        <f t="shared" si="93"/>
        <v>-2.94</v>
      </c>
      <c r="BL307" s="43" t="e">
        <f t="shared" si="94"/>
        <v>#N/A</v>
      </c>
      <c r="BM307" s="43" t="e">
        <f t="shared" si="95"/>
        <v>#N/A</v>
      </c>
      <c r="BN307" s="43" t="e">
        <f t="shared" si="96"/>
        <v>#N/A</v>
      </c>
      <c r="BO307" s="43">
        <f t="shared" si="97"/>
        <v>-2.94</v>
      </c>
      <c r="BP307" s="43">
        <f t="shared" si="98"/>
        <v>-2.9249999999999998</v>
      </c>
      <c r="BQ307" s="43" t="e">
        <f t="shared" si="99"/>
        <v>#N/A</v>
      </c>
      <c r="BR307" s="43" t="str">
        <f t="shared" si="100"/>
        <v/>
      </c>
      <c r="BS307" s="43" t="str">
        <f t="shared" si="101"/>
        <v/>
      </c>
      <c r="BT307" s="43" t="str">
        <f t="shared" si="102"/>
        <v/>
      </c>
    </row>
    <row r="308" spans="52:72" ht="12" customHeight="1">
      <c r="AZ308" s="43">
        <v>300</v>
      </c>
      <c r="BA308" s="43" t="str">
        <f t="shared" si="103"/>
        <v/>
      </c>
      <c r="BB308" s="43" t="str">
        <f t="shared" si="84"/>
        <v/>
      </c>
      <c r="BC308" s="43" t="str">
        <f t="shared" si="85"/>
        <v/>
      </c>
      <c r="BD308" s="43" t="str">
        <f t="shared" si="86"/>
        <v/>
      </c>
      <c r="BE308" s="43" t="e">
        <f t="shared" si="87"/>
        <v>#N/A</v>
      </c>
      <c r="BF308" s="43" t="e">
        <f t="shared" si="88"/>
        <v>#N/A</v>
      </c>
      <c r="BG308" s="43" t="e">
        <f t="shared" si="89"/>
        <v>#N/A</v>
      </c>
      <c r="BH308" s="43" t="e">
        <f t="shared" si="90"/>
        <v>#N/A</v>
      </c>
      <c r="BI308" s="43" t="e">
        <f t="shared" si="91"/>
        <v>#N/A</v>
      </c>
      <c r="BJ308" s="43" t="e">
        <f t="shared" si="92"/>
        <v>#N/A</v>
      </c>
      <c r="BK308" s="43">
        <f t="shared" si="93"/>
        <v>-2.94</v>
      </c>
      <c r="BL308" s="43" t="e">
        <f t="shared" si="94"/>
        <v>#N/A</v>
      </c>
      <c r="BM308" s="43" t="e">
        <f t="shared" si="95"/>
        <v>#N/A</v>
      </c>
      <c r="BN308" s="43" t="e">
        <f t="shared" si="96"/>
        <v>#N/A</v>
      </c>
      <c r="BO308" s="43">
        <f t="shared" si="97"/>
        <v>-2.94</v>
      </c>
      <c r="BP308" s="43">
        <f t="shared" si="98"/>
        <v>-2.9249999999999998</v>
      </c>
      <c r="BQ308" s="43" t="e">
        <f t="shared" si="99"/>
        <v>#N/A</v>
      </c>
      <c r="BR308" s="43" t="str">
        <f t="shared" si="100"/>
        <v/>
      </c>
      <c r="BS308" s="43" t="str">
        <f t="shared" si="101"/>
        <v/>
      </c>
      <c r="BT308" s="43" t="str">
        <f t="shared" si="102"/>
        <v/>
      </c>
    </row>
  </sheetData>
  <sheetProtection sheet="1" objects="1" scenarios="1" selectLockedCells="1"/>
  <phoneticPr fontId="2" type="noConversion"/>
  <dataValidations count="1">
    <dataValidation type="whole" allowBlank="1" showInputMessage="1" showErrorMessage="1" errorTitle="Number of data points, N" error="Min 4, max 300" sqref="H6">
      <formula1>4</formula1>
      <formula2>300</formula2>
    </dataValidation>
  </dataValidations>
  <pageMargins left="0.75" right="0.75" top="1" bottom="1" header="0.5" footer="0.5"/>
  <pageSetup paperSize="9" orientation="portrait" horizontalDpi="300" verticalDpi="300" r:id="rId1"/>
  <headerFooter alignWithMargins="0"/>
  <drawing r:id="rId2"/>
  <legacyDrawing r:id="rId3"/>
  <oleObjects>
    <oleObject progId="Paint.Picture" shapeId="785426" r:id="rId4"/>
    <oleObject progId="PBrush" shapeId="785431" r:id="rId5"/>
  </oleObjects>
</worksheet>
</file>

<file path=xl/worksheets/sheet5.xml><?xml version="1.0" encoding="utf-8"?>
<worksheet xmlns="http://schemas.openxmlformats.org/spreadsheetml/2006/main" xmlns:r="http://schemas.openxmlformats.org/officeDocument/2006/relationships">
  <sheetPr codeName="Sheet2"/>
  <dimension ref="A1:EJ313"/>
  <sheetViews>
    <sheetView showGridLines="0" showRowColHeaders="0" zoomScale="120" workbookViewId="0">
      <selection activeCell="C6" sqref="C6"/>
    </sheetView>
  </sheetViews>
  <sheetFormatPr defaultColWidth="6.85546875" defaultRowHeight="12" customHeight="1"/>
  <cols>
    <col min="1" max="1" width="5.140625" style="109" customWidth="1"/>
    <col min="2" max="3" width="8.5703125" style="68" customWidth="1"/>
    <col min="4" max="4" width="4.28515625" style="68" customWidth="1"/>
    <col min="5" max="5" width="5.140625" style="43" customWidth="1"/>
    <col min="6" max="7" width="6.140625" style="43" customWidth="1"/>
    <col min="8" max="8" width="1.7109375" style="43" customWidth="1"/>
    <col min="9" max="9" width="7.140625" style="43" customWidth="1"/>
    <col min="10" max="10" width="1.7109375" style="43" customWidth="1"/>
    <col min="11" max="11" width="3.42578125" style="43" customWidth="1"/>
    <col min="12" max="12" width="6.28515625" style="43" customWidth="1"/>
    <col min="13" max="13" width="1.140625" style="43" customWidth="1"/>
    <col min="14" max="15" width="6.28515625" style="43" customWidth="1"/>
    <col min="16" max="16" width="1.140625" style="43" customWidth="1"/>
    <col min="17" max="17" width="6.28515625" style="43" customWidth="1"/>
    <col min="18" max="18" width="4.140625" style="43" customWidth="1"/>
    <col min="19" max="19" width="2" style="43" customWidth="1"/>
    <col min="20" max="21" width="6.28515625" style="43" customWidth="1"/>
    <col min="22" max="22" width="4.5703125" style="43" customWidth="1"/>
    <col min="23" max="23" width="6.28515625" style="43" customWidth="1"/>
    <col min="24" max="24" width="1.140625" style="43" customWidth="1"/>
    <col min="25" max="26" width="6.28515625" style="43" customWidth="1"/>
    <col min="27" max="27" width="1.85546875" style="43" customWidth="1"/>
    <col min="28" max="28" width="3.7109375" style="53" customWidth="1"/>
    <col min="29" max="29" width="3.42578125" style="43" customWidth="1"/>
    <col min="30" max="30" width="4" style="43" customWidth="1"/>
    <col min="31" max="35" width="6.28515625" style="43" customWidth="1"/>
    <col min="36" max="36" width="3.42578125" style="43" customWidth="1"/>
    <col min="37" max="37" width="9.140625" style="43" customWidth="1"/>
    <col min="38" max="38" width="6.28515625" style="913" customWidth="1"/>
    <col min="39" max="39" width="5.85546875" style="913" customWidth="1"/>
    <col min="40" max="40" width="6.85546875" style="913"/>
    <col min="41" max="52" width="6.85546875" style="913" customWidth="1"/>
    <col min="53" max="53" width="5.140625" style="43" customWidth="1"/>
    <col min="54" max="55" width="8.5703125" style="43" customWidth="1"/>
    <col min="56" max="56" width="4.28515625" style="43" customWidth="1"/>
    <col min="57" max="57" width="6.85546875" style="43" customWidth="1"/>
    <col min="58" max="58" width="4.28515625" style="43" customWidth="1"/>
    <col min="59" max="60" width="8.5703125" style="43" customWidth="1"/>
    <col min="61" max="61" width="4.28515625" style="43" customWidth="1"/>
    <col min="62" max="62" width="6.85546875" style="43" customWidth="1"/>
    <col min="63" max="63" width="4.28515625" style="43" customWidth="1"/>
    <col min="64" max="65" width="8.5703125" style="43" customWidth="1"/>
    <col min="66" max="66" width="4.28515625" style="43" customWidth="1"/>
    <col min="67" max="67" width="6.85546875" style="43" customWidth="1"/>
    <col min="68" max="68" width="5.140625" style="43" customWidth="1"/>
    <col min="69" max="70" width="8.5703125" style="43" customWidth="1"/>
    <col min="71" max="71" width="4.28515625" style="43" customWidth="1"/>
    <col min="72" max="72" width="6.85546875" style="43" customWidth="1"/>
    <col min="73" max="73" width="4.28515625" style="43" customWidth="1"/>
    <col min="74" max="75" width="8.5703125" style="43" customWidth="1"/>
    <col min="76" max="76" width="4.28515625" style="43" customWidth="1"/>
    <col min="77" max="77" width="6.85546875" style="43" customWidth="1"/>
    <col min="78" max="78" width="4.28515625" style="43" customWidth="1"/>
    <col min="79" max="80" width="8.5703125" style="43" customWidth="1"/>
    <col min="81" max="81" width="4.28515625" style="43" customWidth="1"/>
    <col min="82" max="105" width="6.85546875" style="43" customWidth="1"/>
    <col min="106" max="118" width="6.85546875" style="43"/>
    <col min="119" max="119" width="8.140625" style="43" customWidth="1"/>
    <col min="120" max="124" width="6.85546875" style="43"/>
    <col min="125" max="125" width="7.85546875" style="43" bestFit="1" customWidth="1"/>
    <col min="126" max="128" width="6.85546875" style="43"/>
    <col min="129" max="140" width="6.85546875" style="50"/>
    <col min="141" max="16384" width="6.85546875" style="43"/>
  </cols>
  <sheetData>
    <row r="1" spans="1:140" ht="15" customHeight="1">
      <c r="B1" s="914" t="s">
        <v>884</v>
      </c>
      <c r="C1" s="5"/>
      <c r="G1" s="915"/>
      <c r="H1" s="48"/>
      <c r="I1" s="916" t="s">
        <v>906</v>
      </c>
      <c r="K1" s="917" t="s">
        <v>893</v>
      </c>
      <c r="L1" s="918" t="s">
        <v>56</v>
      </c>
      <c r="M1" s="855"/>
      <c r="N1" s="855"/>
      <c r="O1" s="855"/>
      <c r="P1" s="855"/>
      <c r="Q1" s="855"/>
      <c r="R1" s="857"/>
      <c r="S1" s="1316">
        <v>8</v>
      </c>
      <c r="T1" s="919" t="s">
        <v>721</v>
      </c>
      <c r="U1" s="900"/>
      <c r="V1" s="900"/>
      <c r="W1" s="900"/>
      <c r="X1" s="920"/>
      <c r="Y1" s="900"/>
      <c r="Z1" s="900"/>
      <c r="AA1" s="900"/>
      <c r="AB1" s="1317" t="s">
        <v>910</v>
      </c>
      <c r="AC1" s="902"/>
      <c r="AD1" s="50"/>
      <c r="AE1" s="922" t="s">
        <v>51</v>
      </c>
      <c r="AF1" s="1342" t="s">
        <v>57</v>
      </c>
      <c r="BA1" s="923"/>
      <c r="BB1" s="924"/>
      <c r="BC1" s="133"/>
      <c r="BD1" s="835"/>
      <c r="BE1" s="48"/>
      <c r="BF1" s="925"/>
      <c r="BG1" s="133"/>
      <c r="BH1" s="133"/>
      <c r="BI1" s="835"/>
      <c r="BK1" s="925"/>
      <c r="BL1" s="133"/>
      <c r="BM1" s="133"/>
      <c r="BN1" s="835"/>
      <c r="BP1" s="923"/>
      <c r="BQ1" s="924"/>
      <c r="BR1" s="133"/>
      <c r="BS1" s="835"/>
      <c r="BT1" s="48"/>
      <c r="BU1" s="925"/>
      <c r="BV1" s="133"/>
      <c r="BW1" s="133"/>
      <c r="BX1" s="835"/>
      <c r="BZ1" s="925"/>
      <c r="CA1" s="133"/>
      <c r="CB1" s="133"/>
      <c r="CC1" s="835"/>
      <c r="DC1" s="791" t="s">
        <v>886</v>
      </c>
      <c r="DD1" s="805" t="s">
        <v>779</v>
      </c>
      <c r="DE1" s="459"/>
      <c r="DF1" s="865"/>
      <c r="DG1" s="824" t="s">
        <v>772</v>
      </c>
      <c r="DH1" s="223" t="b">
        <v>1</v>
      </c>
      <c r="DI1" s="864"/>
      <c r="DJ1" s="824" t="s">
        <v>902</v>
      </c>
      <c r="DK1" s="223" t="b">
        <v>0</v>
      </c>
      <c r="DL1" s="53" t="s">
        <v>850</v>
      </c>
      <c r="DM1" s="95" t="b">
        <v>0</v>
      </c>
      <c r="DN1" s="53" t="s">
        <v>854</v>
      </c>
      <c r="DO1" s="95" t="b">
        <v>0</v>
      </c>
      <c r="DP1" s="53" t="s">
        <v>857</v>
      </c>
      <c r="DQ1" s="95">
        <v>25</v>
      </c>
      <c r="DR1" s="53" t="s">
        <v>858</v>
      </c>
      <c r="DS1" s="95" t="b">
        <v>0</v>
      </c>
      <c r="DT1" s="53" t="s">
        <v>868</v>
      </c>
      <c r="DU1" s="95" t="b">
        <v>0</v>
      </c>
      <c r="DV1" s="53" t="s">
        <v>870</v>
      </c>
      <c r="DW1" s="95" t="b">
        <v>0</v>
      </c>
      <c r="DY1" s="920" t="s">
        <v>880</v>
      </c>
    </row>
    <row r="2" spans="1:140" ht="12" customHeight="1">
      <c r="B2" s="926" t="s">
        <v>58</v>
      </c>
      <c r="C2" s="5"/>
      <c r="K2" s="927" t="s">
        <v>52</v>
      </c>
      <c r="L2" s="928">
        <f>IF(DJ5&lt;&gt;"",DS6,"")</f>
        <v>0.65283513093275458</v>
      </c>
      <c r="M2" s="929" t="s">
        <v>1535</v>
      </c>
      <c r="N2" s="928">
        <f>IF(DJ5&lt;&gt;"",DS5,"")</f>
        <v>0.96967743372288751</v>
      </c>
      <c r="O2" s="866"/>
      <c r="P2" s="930" t="s">
        <v>59</v>
      </c>
      <c r="Q2" s="931">
        <v>95</v>
      </c>
      <c r="R2" s="124"/>
      <c r="S2" s="903"/>
      <c r="T2" s="905" t="s">
        <v>60</v>
      </c>
      <c r="U2" s="906"/>
      <c r="V2" s="906"/>
      <c r="W2" s="905"/>
      <c r="X2" s="905"/>
      <c r="Y2" s="905"/>
      <c r="Z2" s="906"/>
      <c r="AA2" s="906"/>
      <c r="AB2" s="1271"/>
      <c r="AC2" s="907"/>
      <c r="AD2" s="50"/>
      <c r="BA2" s="617" t="s">
        <v>911</v>
      </c>
      <c r="BB2" s="383"/>
      <c r="BC2" s="383"/>
      <c r="BD2" s="134"/>
      <c r="BE2" s="48"/>
      <c r="BF2" s="617" t="s">
        <v>912</v>
      </c>
      <c r="BG2" s="383"/>
      <c r="BH2" s="383"/>
      <c r="BI2" s="134"/>
      <c r="BK2" s="617" t="s">
        <v>913</v>
      </c>
      <c r="BL2" s="383"/>
      <c r="BM2" s="383"/>
      <c r="BN2" s="134"/>
      <c r="BP2" s="617" t="s">
        <v>822</v>
      </c>
      <c r="BQ2" s="383"/>
      <c r="BR2" s="383"/>
      <c r="BS2" s="134"/>
      <c r="BT2" s="48"/>
      <c r="BU2" s="617" t="s">
        <v>823</v>
      </c>
      <c r="BV2" s="383"/>
      <c r="BW2" s="383"/>
      <c r="BX2" s="134"/>
      <c r="BZ2" s="617" t="s">
        <v>824</v>
      </c>
      <c r="CA2" s="383"/>
      <c r="CB2" s="383"/>
      <c r="CC2" s="134"/>
      <c r="DC2" s="92"/>
      <c r="DD2" s="48" t="e">
        <f>IF(B9="",NA(),IF(DM2,B9,NA()))</f>
        <v>#N/A</v>
      </c>
      <c r="DE2" s="792" t="e">
        <f>IF(C9="",NA(),IF(DM2,C9,NA()))</f>
        <v>#N/A</v>
      </c>
      <c r="DG2" s="824" t="s">
        <v>892</v>
      </c>
      <c r="DH2" s="43">
        <f>IF(AND(DM6,DM5),DJ5,"")</f>
        <v>0.89239080809841009</v>
      </c>
      <c r="DI2" s="791" t="s">
        <v>641</v>
      </c>
      <c r="DJ2" s="459">
        <f>DJ3/2</f>
        <v>4</v>
      </c>
      <c r="DK2" s="791"/>
      <c r="DL2" s="804" t="s">
        <v>672</v>
      </c>
      <c r="DM2" s="836" t="b">
        <v>0</v>
      </c>
      <c r="DN2" s="806" t="s">
        <v>645</v>
      </c>
      <c r="DO2" s="932">
        <f>IF(ABS(DJ4)&lt;0.01,NA(),IF(DJ4&gt;0,1,-1))</f>
        <v>1</v>
      </c>
      <c r="DP2" s="932" t="e">
        <f>IF(AND(DM6,DM4,DJ6),-11,NA())</f>
        <v>#N/A</v>
      </c>
      <c r="DQ2" s="933" t="e">
        <f>$DO$3+$DO$2*DP2</f>
        <v>#N/A</v>
      </c>
      <c r="DR2" s="43" t="s">
        <v>734</v>
      </c>
      <c r="DS2" s="95" t="b">
        <v>0</v>
      </c>
      <c r="DT2" s="53" t="s">
        <v>889</v>
      </c>
      <c r="DU2" s="95" t="b">
        <v>0</v>
      </c>
      <c r="DV2" s="53" t="s">
        <v>844</v>
      </c>
      <c r="DW2" s="95" t="b">
        <v>0</v>
      </c>
      <c r="DZ2" s="1051" t="s">
        <v>47</v>
      </c>
      <c r="EA2" s="43"/>
      <c r="EB2" s="43"/>
      <c r="EC2" s="947" t="s">
        <v>64</v>
      </c>
    </row>
    <row r="3" spans="1:140" ht="12" customHeight="1">
      <c r="B3" s="934" t="s">
        <v>61</v>
      </c>
      <c r="C3" s="5"/>
      <c r="D3" s="935"/>
      <c r="K3" s="936"/>
      <c r="L3" s="937"/>
      <c r="M3" s="937"/>
      <c r="N3" s="937"/>
      <c r="O3" s="937"/>
      <c r="P3" s="937"/>
      <c r="Q3" s="938"/>
      <c r="R3" s="939"/>
      <c r="S3" s="908"/>
      <c r="T3" s="910"/>
      <c r="U3" s="910"/>
      <c r="V3" s="910"/>
      <c r="W3" s="910"/>
      <c r="X3" s="940" t="s">
        <v>909</v>
      </c>
      <c r="Y3" s="910" t="s">
        <v>49</v>
      </c>
      <c r="Z3" s="941"/>
      <c r="AA3" s="910"/>
      <c r="AB3" s="909"/>
      <c r="AC3" s="912"/>
      <c r="BA3" s="137"/>
      <c r="BB3" s="383"/>
      <c r="BC3" s="383"/>
      <c r="BD3" s="134"/>
      <c r="BE3" s="48"/>
      <c r="BF3" s="137"/>
      <c r="BG3" s="383"/>
      <c r="BH3" s="383"/>
      <c r="BI3" s="134"/>
      <c r="BK3" s="137"/>
      <c r="BL3" s="383"/>
      <c r="BM3" s="383"/>
      <c r="BN3" s="134"/>
      <c r="BP3" s="137"/>
      <c r="BQ3" s="383"/>
      <c r="BR3" s="383"/>
      <c r="BS3" s="134"/>
      <c r="BT3" s="48"/>
      <c r="BU3" s="137"/>
      <c r="BV3" s="383"/>
      <c r="BW3" s="383"/>
      <c r="BX3" s="134"/>
      <c r="BZ3" s="137"/>
      <c r="CA3" s="383"/>
      <c r="CB3" s="383"/>
      <c r="CC3" s="134"/>
      <c r="DC3" s="821" t="s">
        <v>1114</v>
      </c>
      <c r="DD3" s="48">
        <f>MAX(B13:B312)</f>
        <v>17</v>
      </c>
      <c r="DE3" s="792">
        <f>MAX(C13:C312)</f>
        <v>18</v>
      </c>
      <c r="DF3" s="865"/>
      <c r="DG3" s="824" t="s">
        <v>891</v>
      </c>
      <c r="DH3" s="942">
        <f>IF(AND(DM6,DM5),DJ4,"")</f>
        <v>0.8923908080984102</v>
      </c>
      <c r="DI3" s="826" t="s">
        <v>649</v>
      </c>
      <c r="DJ3" s="827">
        <v>8</v>
      </c>
      <c r="DK3" s="826" t="e">
        <f>IF(AND(DM6,DM2,DJ6),0,NA())</f>
        <v>#N/A</v>
      </c>
      <c r="DL3" s="454" t="e">
        <f>IF(AND(DM6,DM2,DJ6),0,NA())</f>
        <v>#N/A</v>
      </c>
      <c r="DM3" s="829"/>
      <c r="DN3" s="821" t="s">
        <v>651</v>
      </c>
      <c r="DO3" s="50">
        <v>0</v>
      </c>
      <c r="DP3" s="50" t="e">
        <f>IF(AND(DM6,DM4,DJ6),11,NA())</f>
        <v>#N/A</v>
      </c>
      <c r="DQ3" s="896" t="e">
        <f>$DO$3+$DO$2*DP3</f>
        <v>#N/A</v>
      </c>
      <c r="DR3" s="53" t="s">
        <v>915</v>
      </c>
      <c r="DS3" s="95" t="b">
        <v>0</v>
      </c>
      <c r="DT3" s="53" t="s">
        <v>890</v>
      </c>
      <c r="DU3" s="95" t="b">
        <v>0</v>
      </c>
      <c r="DZ3" s="913"/>
      <c r="EA3" s="913" t="s">
        <v>881</v>
      </c>
      <c r="EB3" s="43"/>
      <c r="EC3" s="43"/>
      <c r="EI3" s="55"/>
    </row>
    <row r="4" spans="1:140" ht="15" customHeight="1">
      <c r="B4" s="68" t="s">
        <v>899</v>
      </c>
      <c r="D4" s="935"/>
      <c r="E4" s="48"/>
      <c r="F4" s="48"/>
      <c r="G4" s="48"/>
      <c r="H4" s="48"/>
      <c r="I4" s="48"/>
      <c r="J4" s="48"/>
      <c r="K4" s="872"/>
      <c r="L4" s="943" t="s">
        <v>62</v>
      </c>
      <c r="M4" s="873"/>
      <c r="N4" s="873"/>
      <c r="O4" s="866"/>
      <c r="P4" s="944" t="s">
        <v>967</v>
      </c>
      <c r="Q4" s="945" t="str">
        <f>IF(OR(NOT(DU2),C8=""),"",IF(ABS(C8)=1,"",TDIST(ABS(C8*SQRT(C7-2)/SQRT(1-C8^2)),C7-2,2)))</f>
        <v/>
      </c>
      <c r="R4" s="874"/>
      <c r="T4" s="946" t="s">
        <v>63</v>
      </c>
      <c r="AB4" s="801"/>
      <c r="AE4" s="947" t="s">
        <v>64</v>
      </c>
      <c r="BA4" s="137"/>
      <c r="BB4" s="783" t="s">
        <v>849</v>
      </c>
      <c r="BC4" s="619" t="s">
        <v>903</v>
      </c>
      <c r="BD4" s="948"/>
      <c r="BE4" s="48"/>
      <c r="BF4" s="137"/>
      <c r="BG4" s="783" t="s">
        <v>849</v>
      </c>
      <c r="BH4" s="619" t="s">
        <v>904</v>
      </c>
      <c r="BI4" s="948"/>
      <c r="BK4" s="137"/>
      <c r="BL4" s="783" t="s">
        <v>849</v>
      </c>
      <c r="BM4" s="619" t="s">
        <v>546</v>
      </c>
      <c r="BN4" s="948"/>
      <c r="BP4" s="137"/>
      <c r="BQ4" s="783" t="s">
        <v>849</v>
      </c>
      <c r="BR4" s="619" t="s">
        <v>395</v>
      </c>
      <c r="BS4" s="948"/>
      <c r="BT4" s="48"/>
      <c r="BU4" s="137"/>
      <c r="BV4" s="783" t="s">
        <v>849</v>
      </c>
      <c r="BW4" s="619" t="s">
        <v>396</v>
      </c>
      <c r="BX4" s="948"/>
      <c r="BZ4" s="137"/>
      <c r="CA4" s="783" t="s">
        <v>849</v>
      </c>
      <c r="CB4" s="619" t="s">
        <v>397</v>
      </c>
      <c r="CC4" s="948"/>
      <c r="DC4" s="821" t="s">
        <v>1115</v>
      </c>
      <c r="DD4" s="48">
        <f>MIN(B13:B312)</f>
        <v>6</v>
      </c>
      <c r="DE4" s="792">
        <f>MIN(C13:C312)</f>
        <v>8</v>
      </c>
      <c r="DF4" s="824" t="s">
        <v>710</v>
      </c>
      <c r="DG4" s="865">
        <v>-2</v>
      </c>
      <c r="DH4" s="52">
        <f>IF(AND(DM6,DM5,DJ6),forzoom,NA())</f>
        <v>4</v>
      </c>
      <c r="DI4" s="823" t="s">
        <v>762</v>
      </c>
      <c r="DJ4" s="949">
        <f>IF(DJ6,CORREL(DI11:DI310,DJ11:DJ310),"")</f>
        <v>0.8923908080984102</v>
      </c>
      <c r="DK4" s="823"/>
      <c r="DL4" s="824" t="s">
        <v>778</v>
      </c>
      <c r="DM4" s="223" t="b">
        <v>0</v>
      </c>
      <c r="DN4" s="791" t="s">
        <v>737</v>
      </c>
      <c r="DO4" s="805"/>
      <c r="DP4" s="805"/>
      <c r="DQ4" s="805"/>
      <c r="DR4" s="805"/>
      <c r="DS4" s="459"/>
      <c r="DT4" s="43" t="s">
        <v>864</v>
      </c>
      <c r="DU4" s="43">
        <v>200</v>
      </c>
      <c r="DX4" s="53"/>
      <c r="DZ4" s="53"/>
      <c r="EA4" s="43"/>
      <c r="EB4" s="43" t="s">
        <v>908</v>
      </c>
      <c r="EC4" s="43"/>
    </row>
    <row r="5" spans="1:140" ht="12" customHeight="1">
      <c r="A5" s="261"/>
      <c r="B5" s="70"/>
      <c r="C5" s="70"/>
      <c r="D5" s="950"/>
      <c r="E5" s="454"/>
      <c r="F5" s="454"/>
      <c r="G5" s="454"/>
      <c r="H5" s="454"/>
      <c r="I5" s="454"/>
      <c r="J5" s="454"/>
      <c r="K5" s="801">
        <f>($Q$2+$DQ$1+$DE$36)/1000000</f>
        <v>8.9300000000000002E-4</v>
      </c>
      <c r="L5" s="83">
        <f>$K$5</f>
        <v>8.9300000000000002E-4</v>
      </c>
      <c r="M5" s="83">
        <f>$K$5</f>
        <v>8.9300000000000002E-4</v>
      </c>
      <c r="N5" s="83">
        <f>$K$5</f>
        <v>8.9300000000000002E-4</v>
      </c>
      <c r="O5" s="83">
        <f>$K$5</f>
        <v>8.9300000000000002E-4</v>
      </c>
      <c r="P5" s="83"/>
      <c r="Q5" s="199">
        <f t="shared" ref="Q5:W5" si="0">$K$5</f>
        <v>8.9300000000000002E-4</v>
      </c>
      <c r="R5" s="83">
        <f t="shared" si="0"/>
        <v>8.9300000000000002E-4</v>
      </c>
      <c r="S5" s="83">
        <f t="shared" si="0"/>
        <v>8.9300000000000002E-4</v>
      </c>
      <c r="T5" s="83">
        <f t="shared" si="0"/>
        <v>8.9300000000000002E-4</v>
      </c>
      <c r="U5" s="83">
        <f t="shared" si="0"/>
        <v>8.9300000000000002E-4</v>
      </c>
      <c r="V5" s="83">
        <f t="shared" si="0"/>
        <v>8.9300000000000002E-4</v>
      </c>
      <c r="W5" s="83">
        <f t="shared" si="0"/>
        <v>8.9300000000000002E-4</v>
      </c>
      <c r="X5" s="83"/>
      <c r="Y5" s="83">
        <f t="shared" ref="Y5:AM5" si="1">$K$5</f>
        <v>8.9300000000000002E-4</v>
      </c>
      <c r="Z5" s="83">
        <f t="shared" si="1"/>
        <v>8.9300000000000002E-4</v>
      </c>
      <c r="AA5" s="83">
        <f t="shared" si="1"/>
        <v>8.9300000000000002E-4</v>
      </c>
      <c r="AB5" s="801">
        <f t="shared" si="1"/>
        <v>8.9300000000000002E-4</v>
      </c>
      <c r="AC5" s="83">
        <f t="shared" si="1"/>
        <v>8.9300000000000002E-4</v>
      </c>
      <c r="AD5" s="83">
        <f t="shared" si="1"/>
        <v>8.9300000000000002E-4</v>
      </c>
      <c r="AE5" s="83">
        <f t="shared" si="1"/>
        <v>8.9300000000000002E-4</v>
      </c>
      <c r="AF5" s="83">
        <f t="shared" si="1"/>
        <v>8.9300000000000002E-4</v>
      </c>
      <c r="AG5" s="83">
        <f t="shared" si="1"/>
        <v>8.9300000000000002E-4</v>
      </c>
      <c r="AH5" s="83">
        <f t="shared" si="1"/>
        <v>8.9300000000000002E-4</v>
      </c>
      <c r="AI5" s="83">
        <f t="shared" si="1"/>
        <v>8.9300000000000002E-4</v>
      </c>
      <c r="AJ5" s="83">
        <f t="shared" si="1"/>
        <v>8.9300000000000002E-4</v>
      </c>
      <c r="AK5" s="83">
        <f t="shared" si="1"/>
        <v>8.9300000000000002E-4</v>
      </c>
      <c r="AL5" s="802">
        <f t="shared" si="1"/>
        <v>8.9300000000000002E-4</v>
      </c>
      <c r="AM5" s="802">
        <f t="shared" si="1"/>
        <v>8.9300000000000002E-4</v>
      </c>
      <c r="AN5" s="802"/>
      <c r="BA5" s="951"/>
      <c r="BB5" s="952" t="s">
        <v>770</v>
      </c>
      <c r="BC5" s="952" t="s">
        <v>771</v>
      </c>
      <c r="BD5" s="953"/>
      <c r="BF5" s="617"/>
      <c r="BG5" s="954" t="s">
        <v>770</v>
      </c>
      <c r="BH5" s="952" t="s">
        <v>771</v>
      </c>
      <c r="BI5" s="953"/>
      <c r="BK5" s="617"/>
      <c r="BL5" s="954" t="s">
        <v>770</v>
      </c>
      <c r="BM5" s="952" t="s">
        <v>771</v>
      </c>
      <c r="BN5" s="953"/>
      <c r="BP5" s="951"/>
      <c r="BQ5" s="952" t="s">
        <v>770</v>
      </c>
      <c r="BR5" s="952" t="s">
        <v>771</v>
      </c>
      <c r="BS5" s="953"/>
      <c r="BU5" s="617"/>
      <c r="BV5" s="954" t="s">
        <v>770</v>
      </c>
      <c r="BW5" s="952" t="s">
        <v>771</v>
      </c>
      <c r="BX5" s="953"/>
      <c r="BZ5" s="617"/>
      <c r="CA5" s="954" t="s">
        <v>770</v>
      </c>
      <c r="CB5" s="952" t="s">
        <v>771</v>
      </c>
      <c r="CC5" s="953"/>
      <c r="DC5" s="955" t="s">
        <v>780</v>
      </c>
      <c r="DD5" s="956" t="e">
        <f>IF(ISNA(DD2),NA(),DD2-MIN(B13:B312))</f>
        <v>#N/A</v>
      </c>
      <c r="DE5" s="957" t="e">
        <f>IF(ISNA(DD2),NA(),MAX(B13:B312)-DD2)</f>
        <v>#N/A</v>
      </c>
      <c r="DF5" s="958" t="s">
        <v>711</v>
      </c>
      <c r="DG5" s="959">
        <v>-2.2000000000000002</v>
      </c>
      <c r="DH5" s="960">
        <f>IF(AND(DM6,DM5,DJ6),forzoom,NA())</f>
        <v>4</v>
      </c>
      <c r="DI5" s="961" t="s">
        <v>763</v>
      </c>
      <c r="DJ5" s="962">
        <f>IF(DJ7,CORREL(DG11:DG310,DH11:DH310),"")</f>
        <v>0.89239080809841009</v>
      </c>
      <c r="DK5" s="823"/>
      <c r="DL5" s="958" t="s">
        <v>666</v>
      </c>
      <c r="DM5" s="963" t="b">
        <v>1</v>
      </c>
      <c r="DN5" s="114" t="s">
        <v>65</v>
      </c>
      <c r="DO5" s="66">
        <f>NORMSINV(0.5+Q2/200)</f>
        <v>1.959963984540054</v>
      </c>
      <c r="DP5" s="114" t="s">
        <v>921</v>
      </c>
      <c r="DQ5" s="93">
        <f>DO6+DO5*DO7</f>
        <v>2.0868664360797302</v>
      </c>
      <c r="DR5" s="114" t="s">
        <v>735</v>
      </c>
      <c r="DS5" s="459">
        <f>IF(ABS(DJ5)=1,"",(EXP(2*DQ5)-1)/(EXP(2*DQ5)+1))</f>
        <v>0.96967743372288751</v>
      </c>
      <c r="DT5" s="815" t="s">
        <v>865</v>
      </c>
      <c r="DU5" s="107">
        <f>(DD3-DD4)/DU4</f>
        <v>5.5E-2</v>
      </c>
      <c r="DV5" s="48"/>
      <c r="DX5" s="53" t="s">
        <v>900</v>
      </c>
      <c r="DY5" s="50">
        <f>SQRT(SUM(DS11:DS310)/(C7-2))</f>
        <v>0</v>
      </c>
      <c r="DZ5" s="53"/>
      <c r="EA5" s="43"/>
      <c r="EB5" s="43" t="s">
        <v>1438</v>
      </c>
      <c r="EC5" s="43"/>
      <c r="EH5" s="55"/>
    </row>
    <row r="6" spans="1:140" ht="12.75" customHeight="1">
      <c r="A6" s="964"/>
      <c r="B6" s="965" t="s">
        <v>66</v>
      </c>
      <c r="C6" s="966" t="s">
        <v>903</v>
      </c>
      <c r="D6" s="967"/>
      <c r="E6" s="968" t="s">
        <v>894</v>
      </c>
      <c r="F6" s="969" t="s">
        <v>67</v>
      </c>
      <c r="G6" s="204"/>
      <c r="H6" s="204"/>
      <c r="I6" s="204"/>
      <c r="J6" s="886"/>
      <c r="K6" s="801">
        <f t="shared" ref="K6:K37" si="2">$K$5</f>
        <v>8.9300000000000002E-4</v>
      </c>
      <c r="L6" s="83"/>
      <c r="M6" s="83"/>
      <c r="N6" s="83"/>
      <c r="O6" s="83"/>
      <c r="P6" s="83"/>
      <c r="Q6" s="477"/>
      <c r="R6" s="477"/>
      <c r="S6" s="477"/>
      <c r="T6" s="477"/>
      <c r="U6" s="83"/>
      <c r="V6" s="83"/>
      <c r="W6" s="83"/>
      <c r="X6" s="83"/>
      <c r="Y6" s="83"/>
      <c r="Z6" s="83">
        <f t="shared" ref="Z6:AB37" si="3">$K$5</f>
        <v>8.9300000000000002E-4</v>
      </c>
      <c r="AA6" s="82">
        <f t="shared" si="3"/>
        <v>8.9300000000000002E-4</v>
      </c>
      <c r="AB6" s="801">
        <f t="shared" si="3"/>
        <v>8.9300000000000002E-4</v>
      </c>
      <c r="AC6" s="83"/>
      <c r="AD6" s="83"/>
      <c r="AE6" s="83"/>
      <c r="AF6" s="83"/>
      <c r="AG6" s="83"/>
      <c r="AH6" s="83"/>
      <c r="AI6" s="83"/>
      <c r="AJ6" s="83"/>
      <c r="AK6" s="83"/>
      <c r="AL6" s="802"/>
      <c r="AM6" s="802">
        <f t="shared" ref="AM6:AM37" si="4">$K$5</f>
        <v>8.9300000000000002E-4</v>
      </c>
      <c r="AN6" s="802"/>
      <c r="BA6" s="864"/>
      <c r="BB6" s="970" t="s">
        <v>53</v>
      </c>
      <c r="BC6" s="971" t="s">
        <v>54</v>
      </c>
      <c r="BD6" s="972"/>
      <c r="BF6" s="823"/>
      <c r="BG6" s="973" t="s">
        <v>53</v>
      </c>
      <c r="BH6" s="974" t="s">
        <v>54</v>
      </c>
      <c r="BI6" s="975"/>
      <c r="BK6" s="864"/>
      <c r="BL6" s="973" t="s">
        <v>742</v>
      </c>
      <c r="BM6" s="974" t="s">
        <v>743</v>
      </c>
      <c r="BN6" s="975"/>
      <c r="BP6" s="864"/>
      <c r="BQ6" s="970" t="s">
        <v>398</v>
      </c>
      <c r="BR6" s="971" t="s">
        <v>399</v>
      </c>
      <c r="BS6" s="972"/>
      <c r="BU6" s="823"/>
      <c r="BV6" s="973" t="s">
        <v>398</v>
      </c>
      <c r="BW6" s="974" t="s">
        <v>399</v>
      </c>
      <c r="BX6" s="975"/>
      <c r="BZ6" s="864"/>
      <c r="CA6" s="973" t="s">
        <v>398</v>
      </c>
      <c r="CB6" s="974" t="s">
        <v>399</v>
      </c>
      <c r="CC6" s="975"/>
      <c r="DC6" s="813" t="s">
        <v>781</v>
      </c>
      <c r="DD6" s="976" t="e">
        <f>IF(ISNA(DE2),NA(),DE2-MIN(C13:C312))</f>
        <v>#N/A</v>
      </c>
      <c r="DE6" s="977" t="e">
        <f>IF(ISNA(DE2),NA(),MAX(C13:C312)-DE2)</f>
        <v>#N/A</v>
      </c>
      <c r="DG6" s="791" t="s">
        <v>777</v>
      </c>
      <c r="DH6" s="459" t="str">
        <f>IF(C12="","Y",C12)</f>
        <v>LSAT Posttest</v>
      </c>
      <c r="DI6" s="978" t="s">
        <v>882</v>
      </c>
      <c r="DJ6" s="543" t="b">
        <f>IF(AND(C7&gt;3,F10&lt;&gt;"",G10&lt;&gt;""),TRUE,FALSE)</f>
        <v>1</v>
      </c>
      <c r="DK6" s="864"/>
      <c r="DL6" s="824" t="s">
        <v>776</v>
      </c>
      <c r="DM6" s="52" t="b">
        <v>1</v>
      </c>
      <c r="DN6" s="260" t="s">
        <v>717</v>
      </c>
      <c r="DO6" s="68">
        <f>0.5*LN((1+DJ5)/(1-DJ5))</f>
        <v>1.4335451078997121</v>
      </c>
      <c r="DP6" s="260" t="s">
        <v>922</v>
      </c>
      <c r="DQ6" s="91">
        <f>DO6-DO5*DO7</f>
        <v>0.78022377971969414</v>
      </c>
      <c r="DR6" s="115" t="s">
        <v>736</v>
      </c>
      <c r="DS6" s="829">
        <f>IF(ABS(DJ5)=1,"",(EXP(2*DQ6)-1)/(EXP(2*DQ6)+1))</f>
        <v>0.65283513093275458</v>
      </c>
      <c r="DT6" s="815" t="s">
        <v>1102</v>
      </c>
      <c r="DU6" s="48">
        <f>TINV((100-$Q$2)/100,C7-2)</f>
        <v>2.2281388424258681</v>
      </c>
      <c r="DV6" s="48"/>
      <c r="DW6" s="53" t="s">
        <v>888</v>
      </c>
      <c r="DX6" s="43">
        <f>W40/(DU7/(B10*SQRT(C7-1)))</f>
        <v>6.253526409953218</v>
      </c>
      <c r="EB6" s="383"/>
      <c r="EC6" s="383"/>
      <c r="ED6" s="1243" t="s">
        <v>48</v>
      </c>
      <c r="EE6" s="383"/>
      <c r="EF6" s="383"/>
      <c r="EG6" s="1070" t="s">
        <v>1437</v>
      </c>
      <c r="EH6" s="1053">
        <f>IF(DJ7,IF(C8=0,"",IF(C8&gt;0,C10/B10,-C10/B10)),"")</f>
        <v>0.87345413312549924</v>
      </c>
    </row>
    <row r="7" spans="1:140" ht="13.5" customHeight="1">
      <c r="A7" s="979" t="s">
        <v>820</v>
      </c>
      <c r="B7" s="980" t="s">
        <v>1186</v>
      </c>
      <c r="C7" s="981">
        <f>COUNT(DG11:DG310)</f>
        <v>12</v>
      </c>
      <c r="D7" s="835"/>
      <c r="E7" s="842"/>
      <c r="F7" s="842"/>
      <c r="G7" s="982"/>
      <c r="H7" s="204"/>
      <c r="I7" s="204"/>
      <c r="J7" s="886"/>
      <c r="K7" s="801">
        <f t="shared" si="2"/>
        <v>8.9300000000000002E-4</v>
      </c>
      <c r="L7" s="83"/>
      <c r="M7" s="83"/>
      <c r="N7" s="83"/>
      <c r="O7" s="83"/>
      <c r="P7" s="83"/>
      <c r="Q7" s="477"/>
      <c r="R7" s="477"/>
      <c r="S7" s="477"/>
      <c r="T7" s="477"/>
      <c r="U7" s="83"/>
      <c r="V7" s="83"/>
      <c r="W7" s="83"/>
      <c r="X7" s="83"/>
      <c r="Y7" s="83"/>
      <c r="Z7" s="83">
        <f t="shared" si="3"/>
        <v>8.9300000000000002E-4</v>
      </c>
      <c r="AA7" s="82">
        <f t="shared" si="3"/>
        <v>8.9300000000000002E-4</v>
      </c>
      <c r="AB7" s="801">
        <f t="shared" si="3"/>
        <v>8.9300000000000002E-4</v>
      </c>
      <c r="AC7" s="83"/>
      <c r="AD7" s="83"/>
      <c r="AE7" s="83"/>
      <c r="AF7" s="83"/>
      <c r="AG7" s="83"/>
      <c r="AH7" s="83"/>
      <c r="AI7" s="83"/>
      <c r="AJ7" s="83"/>
      <c r="AK7" s="83"/>
      <c r="AL7" s="802"/>
      <c r="AM7" s="802">
        <f t="shared" si="4"/>
        <v>8.9300000000000002E-4</v>
      </c>
      <c r="AN7" s="802"/>
      <c r="BA7" s="983">
        <v>1</v>
      </c>
      <c r="BB7" s="984">
        <v>13</v>
      </c>
      <c r="BC7" s="985">
        <v>14</v>
      </c>
      <c r="BD7" s="986"/>
      <c r="BF7" s="983">
        <v>1</v>
      </c>
      <c r="BG7" s="984">
        <v>10</v>
      </c>
      <c r="BH7" s="985">
        <v>12</v>
      </c>
      <c r="BI7" s="986"/>
      <c r="BK7" s="983">
        <v>1</v>
      </c>
      <c r="BL7" s="984">
        <v>41</v>
      </c>
      <c r="BM7" s="985">
        <v>52</v>
      </c>
      <c r="BN7" s="986"/>
      <c r="BP7" s="983">
        <v>1</v>
      </c>
      <c r="BQ7" s="987">
        <v>4</v>
      </c>
      <c r="BR7" s="988">
        <v>1</v>
      </c>
      <c r="BS7" s="986"/>
      <c r="BU7" s="983">
        <v>1</v>
      </c>
      <c r="BV7" s="987">
        <v>4</v>
      </c>
      <c r="BW7" s="988">
        <v>1</v>
      </c>
      <c r="BX7" s="986"/>
      <c r="BZ7" s="983">
        <v>1</v>
      </c>
      <c r="CA7" s="987">
        <v>4</v>
      </c>
      <c r="CB7" s="988">
        <v>2.8</v>
      </c>
      <c r="CC7" s="986"/>
      <c r="DC7" s="989" t="s">
        <v>765</v>
      </c>
      <c r="DD7" s="459"/>
      <c r="DG7" s="826" t="s">
        <v>1261</v>
      </c>
      <c r="DH7" s="454" t="str">
        <f>IF(B12="","X",B12)</f>
        <v>LSAT Pretest</v>
      </c>
      <c r="DI7" s="978" t="s">
        <v>883</v>
      </c>
      <c r="DJ7" s="43" t="b">
        <f>IF(AND(C7&gt;3,B10&lt;&gt;"",C10&lt;&gt;""),TRUE,FALSE)</f>
        <v>1</v>
      </c>
      <c r="DK7" s="50"/>
      <c r="DL7" s="50"/>
      <c r="DM7" s="990"/>
      <c r="DN7" s="115" t="s">
        <v>920</v>
      </c>
      <c r="DO7" s="70">
        <f>1/SQRT(C7-3)</f>
        <v>0.33333333333333331</v>
      </c>
      <c r="DP7" s="69" t="s">
        <v>927</v>
      </c>
      <c r="DQ7" s="97">
        <f>DO5*DO7</f>
        <v>0.65332132818001798</v>
      </c>
      <c r="DR7" s="178"/>
      <c r="DS7" s="829"/>
      <c r="DT7" s="53" t="s">
        <v>863</v>
      </c>
      <c r="DU7" s="43">
        <f>C10*SQRT((1-C8^2)*(C7-1)/(C7-2))</f>
        <v>1.3706080788679269</v>
      </c>
      <c r="DV7" s="815"/>
      <c r="DZ7" s="56" t="s">
        <v>465</v>
      </c>
      <c r="ED7" s="56" t="s">
        <v>465</v>
      </c>
      <c r="EH7" s="55"/>
    </row>
    <row r="8" spans="1:140" ht="12" customHeight="1">
      <c r="A8" s="447"/>
      <c r="B8" s="991" t="s">
        <v>68</v>
      </c>
      <c r="C8" s="992">
        <f>IF(DJ5&lt;&gt;"",DJ5,"")</f>
        <v>0.89239080809841009</v>
      </c>
      <c r="D8" s="447"/>
      <c r="E8" s="891"/>
      <c r="F8" s="842"/>
      <c r="G8" s="842"/>
      <c r="H8" s="887" t="s">
        <v>69</v>
      </c>
      <c r="I8" s="993">
        <f>IF(DJ4&lt;&gt;"",DJ4,"")</f>
        <v>0.8923908080984102</v>
      </c>
      <c r="J8" s="893"/>
      <c r="K8" s="801">
        <f t="shared" si="2"/>
        <v>8.9300000000000002E-4</v>
      </c>
      <c r="L8" s="83"/>
      <c r="M8" s="83"/>
      <c r="N8" s="83"/>
      <c r="O8" s="83"/>
      <c r="P8" s="83"/>
      <c r="Q8" s="477"/>
      <c r="R8" s="477"/>
      <c r="S8" s="477"/>
      <c r="T8" s="477"/>
      <c r="U8" s="477"/>
      <c r="V8" s="477"/>
      <c r="W8" s="477"/>
      <c r="X8" s="477"/>
      <c r="Y8" s="477"/>
      <c r="Z8" s="82">
        <f t="shared" si="3"/>
        <v>8.9300000000000002E-4</v>
      </c>
      <c r="AA8" s="82">
        <f t="shared" si="3"/>
        <v>8.9300000000000002E-4</v>
      </c>
      <c r="AB8" s="801">
        <f t="shared" si="3"/>
        <v>8.9300000000000002E-4</v>
      </c>
      <c r="AC8" s="83"/>
      <c r="AD8" s="83"/>
      <c r="AE8" s="83"/>
      <c r="AF8" s="83"/>
      <c r="AG8" s="83"/>
      <c r="AH8" s="83"/>
      <c r="AI8" s="83"/>
      <c r="AJ8" s="83"/>
      <c r="AK8" s="83"/>
      <c r="AL8" s="802"/>
      <c r="AM8" s="802">
        <f t="shared" si="4"/>
        <v>8.9300000000000002E-4</v>
      </c>
      <c r="AN8" s="802"/>
      <c r="AP8" s="802"/>
      <c r="AQ8" s="802"/>
      <c r="AR8" s="802"/>
      <c r="AS8" s="802"/>
      <c r="AT8" s="802"/>
      <c r="AU8" s="802"/>
      <c r="AV8" s="802"/>
      <c r="AX8" s="802"/>
      <c r="AY8" s="802"/>
      <c r="BA8" s="983">
        <v>2</v>
      </c>
      <c r="BB8" s="994">
        <v>12</v>
      </c>
      <c r="BC8" s="995">
        <v>13</v>
      </c>
      <c r="BD8" s="986"/>
      <c r="BE8" s="50"/>
      <c r="BF8" s="983">
        <v>2</v>
      </c>
      <c r="BG8" s="994">
        <v>14</v>
      </c>
      <c r="BH8" s="995">
        <v>19</v>
      </c>
      <c r="BI8" s="986"/>
      <c r="BK8" s="983">
        <v>2</v>
      </c>
      <c r="BL8" s="994">
        <v>50</v>
      </c>
      <c r="BM8" s="995">
        <v>63</v>
      </c>
      <c r="BN8" s="986"/>
      <c r="BP8" s="983">
        <v>2</v>
      </c>
      <c r="BQ8" s="996">
        <v>3</v>
      </c>
      <c r="BR8" s="997">
        <v>2.2999999999999998</v>
      </c>
      <c r="BS8" s="986"/>
      <c r="BT8" s="50"/>
      <c r="BU8" s="983">
        <v>2</v>
      </c>
      <c r="BV8" s="996">
        <v>2.4285714285714284</v>
      </c>
      <c r="BW8" s="997">
        <v>2.4</v>
      </c>
      <c r="BX8" s="986"/>
      <c r="BZ8" s="983">
        <v>2</v>
      </c>
      <c r="CA8" s="996">
        <v>2.4285714285714284</v>
      </c>
      <c r="CB8" s="997">
        <v>3</v>
      </c>
      <c r="CC8" s="986"/>
      <c r="DC8" s="826" t="str">
        <f>IF(DH2="","","r")</f>
        <v>r</v>
      </c>
      <c r="DD8" s="998" t="str">
        <f>IF(DH2="",""," = "&amp;TEXT(DH2,".00;-.00;0"))</f>
        <v xml:space="preserve"> = .89</v>
      </c>
      <c r="DF8" s="43" t="s">
        <v>773</v>
      </c>
      <c r="DH8" s="962" t="s">
        <v>1114</v>
      </c>
      <c r="DI8" s="962">
        <f>MAX(DI11:DI310)</f>
        <v>1.6337491324829556</v>
      </c>
      <c r="DK8" s="50"/>
      <c r="DL8" s="55"/>
      <c r="DM8" s="832"/>
      <c r="DN8" s="50"/>
      <c r="DO8" s="50"/>
      <c r="DP8" s="55"/>
      <c r="DQ8" s="55"/>
      <c r="DR8" s="55"/>
      <c r="DS8" s="999">
        <f>SUM(DS11:DS310)</f>
        <v>0</v>
      </c>
      <c r="DT8" s="1000" t="s">
        <v>887</v>
      </c>
      <c r="DU8" s="956">
        <f>(DU6*DU7/B10)/SQRT(C7-1)</f>
        <v>0.27772338745322028</v>
      </c>
      <c r="DV8" s="48"/>
      <c r="DW8" s="815"/>
      <c r="DZ8" s="50">
        <f>MIN(DZ11:DZ211)</f>
        <v>0</v>
      </c>
      <c r="EC8" s="1001"/>
      <c r="ED8" s="50">
        <f>MIN(ED11:ED211)</f>
        <v>0</v>
      </c>
      <c r="EG8" s="55"/>
      <c r="EH8" s="55"/>
      <c r="EI8" s="55"/>
    </row>
    <row r="9" spans="1:140" ht="12" customHeight="1">
      <c r="A9" s="1002" t="s">
        <v>905</v>
      </c>
      <c r="B9" s="1003">
        <f>IF(COUNT(DG11:DG310)=0,"",AVERAGE(DG11:DG310))</f>
        <v>11.583333333333334</v>
      </c>
      <c r="C9" s="1004">
        <f>IF(COUNT(DH11:DH310)=0,"",AVERAGE(DH11:DH310))</f>
        <v>13.25</v>
      </c>
      <c r="D9" s="1005"/>
      <c r="E9" s="1006" t="s">
        <v>905</v>
      </c>
      <c r="F9" s="1007">
        <f>IF($DH$1,IF(COUNT(F13:F312)=0,"",AVERAGE(F13:F312)),"")</f>
        <v>-1.8503717077085943E-16</v>
      </c>
      <c r="G9" s="1008">
        <f>IF($DH$1,IF(COUNT(G13:G312)=0,"",AVERAGE(G13:G312)),"")</f>
        <v>-3.7007434154171883E-17</v>
      </c>
      <c r="H9" s="1009"/>
      <c r="I9" s="842"/>
      <c r="J9" s="886"/>
      <c r="K9" s="801">
        <f t="shared" si="2"/>
        <v>8.9300000000000002E-4</v>
      </c>
      <c r="L9" s="83"/>
      <c r="M9" s="83"/>
      <c r="N9" s="83"/>
      <c r="O9" s="83"/>
      <c r="P9" s="83"/>
      <c r="Q9" s="477"/>
      <c r="R9" s="477"/>
      <c r="S9" s="477"/>
      <c r="T9" s="477"/>
      <c r="U9" s="477"/>
      <c r="V9" s="477"/>
      <c r="W9" s="477"/>
      <c r="X9" s="477"/>
      <c r="Y9" s="477"/>
      <c r="Z9" s="82">
        <f t="shared" si="3"/>
        <v>8.9300000000000002E-4</v>
      </c>
      <c r="AA9" s="82">
        <f t="shared" si="3"/>
        <v>8.9300000000000002E-4</v>
      </c>
      <c r="AB9" s="801">
        <f t="shared" si="3"/>
        <v>8.9300000000000002E-4</v>
      </c>
      <c r="AC9" s="83"/>
      <c r="AD9" s="83"/>
      <c r="AE9" s="83"/>
      <c r="AF9" s="83"/>
      <c r="AG9" s="83"/>
      <c r="AH9" s="83"/>
      <c r="AI9" s="83"/>
      <c r="AJ9" s="83"/>
      <c r="AK9" s="83"/>
      <c r="AL9" s="802"/>
      <c r="AM9" s="802">
        <f t="shared" si="4"/>
        <v>8.9300000000000002E-4</v>
      </c>
      <c r="AN9" s="802"/>
      <c r="AP9" s="802"/>
      <c r="AQ9" s="802"/>
      <c r="AR9" s="802"/>
      <c r="AS9" s="802"/>
      <c r="AT9" s="802"/>
      <c r="AU9" s="802"/>
      <c r="AV9" s="802"/>
      <c r="AW9" s="802"/>
      <c r="AX9" s="802"/>
      <c r="AY9" s="802"/>
      <c r="AZ9" s="802"/>
      <c r="BA9" s="983">
        <v>3</v>
      </c>
      <c r="BB9" s="994">
        <v>12</v>
      </c>
      <c r="BC9" s="995">
        <v>16</v>
      </c>
      <c r="BD9" s="986"/>
      <c r="BE9" s="50"/>
      <c r="BF9" s="983">
        <v>3</v>
      </c>
      <c r="BG9" s="994">
        <v>7</v>
      </c>
      <c r="BH9" s="995">
        <v>6</v>
      </c>
      <c r="BI9" s="986"/>
      <c r="BK9" s="983">
        <v>3</v>
      </c>
      <c r="BL9" s="994">
        <v>71</v>
      </c>
      <c r="BM9" s="995">
        <v>69</v>
      </c>
      <c r="BN9" s="986"/>
      <c r="BP9" s="983">
        <v>3</v>
      </c>
      <c r="BQ9" s="996">
        <v>2.4285714285714284</v>
      </c>
      <c r="BR9" s="997">
        <v>2.4</v>
      </c>
      <c r="BS9" s="986"/>
      <c r="BT9" s="50"/>
      <c r="BU9" s="983">
        <v>3</v>
      </c>
      <c r="BV9" s="996">
        <v>3</v>
      </c>
      <c r="BW9" s="997">
        <v>2.2999999999999998</v>
      </c>
      <c r="BX9" s="986"/>
      <c r="BZ9" s="983">
        <v>3</v>
      </c>
      <c r="CA9" s="996">
        <v>3.7142857142857144</v>
      </c>
      <c r="CB9" s="997">
        <v>3.2</v>
      </c>
      <c r="CC9" s="986"/>
      <c r="CD9" s="50"/>
      <c r="CE9" s="50"/>
      <c r="CF9" s="50"/>
      <c r="CG9" s="50"/>
      <c r="CH9" s="50"/>
      <c r="CI9" s="50"/>
      <c r="CJ9" s="50"/>
      <c r="CK9" s="50"/>
      <c r="CL9" s="50"/>
      <c r="CM9" s="50"/>
      <c r="CN9" s="50"/>
      <c r="CO9" s="50"/>
      <c r="CP9" s="50"/>
      <c r="CQ9" s="50"/>
      <c r="CR9" s="50"/>
      <c r="CS9" s="50"/>
      <c r="CT9" s="50"/>
      <c r="CU9" s="50"/>
      <c r="CV9" s="50"/>
      <c r="CW9" s="50"/>
      <c r="CX9" s="50"/>
      <c r="CY9" s="50"/>
      <c r="CZ9" s="50"/>
      <c r="DA9" s="50"/>
      <c r="DB9" s="50"/>
      <c r="DC9" s="791" t="s">
        <v>885</v>
      </c>
      <c r="DD9" s="459"/>
      <c r="DF9" s="43" t="s">
        <v>774</v>
      </c>
      <c r="DH9" s="43" t="s">
        <v>1115</v>
      </c>
      <c r="DI9" s="43">
        <f>MIN(DI11:DI310)</f>
        <v>-1.6840183365593546</v>
      </c>
      <c r="DK9" s="847" t="s">
        <v>683</v>
      </c>
      <c r="DL9" s="847"/>
      <c r="DM9" s="848" t="s">
        <v>684</v>
      </c>
      <c r="DN9" s="848" t="s">
        <v>685</v>
      </c>
      <c r="DO9" s="848"/>
      <c r="DP9" s="1010" t="s">
        <v>855</v>
      </c>
      <c r="DQ9" s="906"/>
      <c r="DR9" s="906"/>
      <c r="DS9" s="906"/>
      <c r="DW9" s="1011" t="s">
        <v>895</v>
      </c>
      <c r="DX9" s="1011"/>
      <c r="DY9" s="817"/>
      <c r="DZ9" s="1012" t="s">
        <v>838</v>
      </c>
      <c r="EA9" s="383" t="s">
        <v>896</v>
      </c>
      <c r="EB9" s="383"/>
      <c r="EC9" s="383"/>
      <c r="ED9" s="1013" t="s">
        <v>838</v>
      </c>
    </row>
    <row r="10" spans="1:140" ht="12.75" customHeight="1">
      <c r="A10" s="1002" t="s">
        <v>718</v>
      </c>
      <c r="B10" s="1003">
        <f>IF(COUNT(DG11:DG310)&lt;2,"",IF(STDEV(DG11:DG310)=0,"",STDEV(DG11:DG310)))</f>
        <v>3.315482505220658</v>
      </c>
      <c r="C10" s="1014">
        <f>IF(COUNT(DH11:DH310)&lt;2,"",IF(STDEV(DH11:DH310)=0,"",STDEV(DH11:DH310)))</f>
        <v>2.8959218974902683</v>
      </c>
      <c r="D10" s="1005"/>
      <c r="E10" s="1006" t="s">
        <v>718</v>
      </c>
      <c r="F10" s="1007">
        <f>IF(OR(NOT($DH$1),COUNT(F13:F312)&lt;2),"",IF(STDEV(F13:F312)=0,"",STDEV(F13:F312)))</f>
        <v>0.99999999999999967</v>
      </c>
      <c r="G10" s="1008">
        <f>IF(OR(NOT($DH$1),COUNT(G13:G312)&lt;2),"",IF(STDEV(G13:G312)=0,"",STDEV(G13:G312)))</f>
        <v>1</v>
      </c>
      <c r="H10" s="1015"/>
      <c r="I10" s="884"/>
      <c r="J10" s="886"/>
      <c r="K10" s="801">
        <f t="shared" si="2"/>
        <v>8.9300000000000002E-4</v>
      </c>
      <c r="L10" s="83"/>
      <c r="M10" s="83"/>
      <c r="N10" s="83"/>
      <c r="O10" s="83"/>
      <c r="P10" s="83"/>
      <c r="Q10" s="477"/>
      <c r="R10" s="477"/>
      <c r="S10" s="477"/>
      <c r="T10" s="477"/>
      <c r="U10" s="477"/>
      <c r="V10" s="477"/>
      <c r="W10" s="477"/>
      <c r="X10" s="477"/>
      <c r="Y10" s="477"/>
      <c r="Z10" s="82">
        <f t="shared" si="3"/>
        <v>8.9300000000000002E-4</v>
      </c>
      <c r="AA10" s="82">
        <f t="shared" si="3"/>
        <v>8.9300000000000002E-4</v>
      </c>
      <c r="AB10" s="801">
        <f t="shared" si="3"/>
        <v>8.9300000000000002E-4</v>
      </c>
      <c r="AC10" s="83"/>
      <c r="AD10" s="83"/>
      <c r="AE10" s="83"/>
      <c r="AF10" s="83"/>
      <c r="AG10" s="83"/>
      <c r="AH10" s="83"/>
      <c r="AI10" s="83"/>
      <c r="AJ10" s="83"/>
      <c r="AK10" s="83"/>
      <c r="AL10" s="802"/>
      <c r="AM10" s="802">
        <f t="shared" si="4"/>
        <v>8.9300000000000002E-4</v>
      </c>
      <c r="AN10" s="802"/>
      <c r="AP10" s="802"/>
      <c r="AQ10" s="802"/>
      <c r="AR10" s="802"/>
      <c r="AS10" s="802"/>
      <c r="AT10" s="802"/>
      <c r="AU10" s="802"/>
      <c r="AV10" s="802"/>
      <c r="AW10" s="802"/>
      <c r="AX10" s="802"/>
      <c r="AY10" s="802"/>
      <c r="AZ10" s="802"/>
      <c r="BA10" s="983">
        <v>4</v>
      </c>
      <c r="BB10" s="994">
        <v>9</v>
      </c>
      <c r="BC10" s="995">
        <v>12</v>
      </c>
      <c r="BD10" s="986"/>
      <c r="BE10" s="50"/>
      <c r="BF10" s="983">
        <v>4</v>
      </c>
      <c r="BG10" s="994">
        <v>12</v>
      </c>
      <c r="BH10" s="995">
        <v>9</v>
      </c>
      <c r="BI10" s="986"/>
      <c r="BJ10" s="50"/>
      <c r="BK10" s="983">
        <v>4</v>
      </c>
      <c r="BL10" s="994">
        <v>70</v>
      </c>
      <c r="BM10" s="995">
        <v>71</v>
      </c>
      <c r="BN10" s="986"/>
      <c r="BO10" s="50"/>
      <c r="BP10" s="983">
        <v>4</v>
      </c>
      <c r="BQ10" s="996">
        <v>3</v>
      </c>
      <c r="BR10" s="997">
        <v>2.4</v>
      </c>
      <c r="BS10" s="986"/>
      <c r="BT10" s="50"/>
      <c r="BU10" s="983">
        <v>4</v>
      </c>
      <c r="BV10" s="996">
        <v>3</v>
      </c>
      <c r="BW10" s="997">
        <v>2.4</v>
      </c>
      <c r="BX10" s="986"/>
      <c r="BY10" s="50"/>
      <c r="BZ10" s="983">
        <v>4</v>
      </c>
      <c r="CA10" s="996">
        <v>3</v>
      </c>
      <c r="CB10" s="997">
        <v>3.2</v>
      </c>
      <c r="CC10" s="986"/>
      <c r="CD10" s="50"/>
      <c r="CE10" s="50"/>
      <c r="CF10" s="50"/>
      <c r="CG10" s="50"/>
      <c r="CH10" s="50"/>
      <c r="CI10" s="50"/>
      <c r="CJ10" s="50"/>
      <c r="CK10" s="50"/>
      <c r="CL10" s="50"/>
      <c r="CM10" s="50"/>
      <c r="CN10" s="50"/>
      <c r="CO10" s="50"/>
      <c r="CP10" s="50"/>
      <c r="CQ10" s="50"/>
      <c r="CR10" s="50"/>
      <c r="CS10" s="50"/>
      <c r="CT10" s="50"/>
      <c r="CU10" s="50"/>
      <c r="CV10" s="50"/>
      <c r="CW10" s="50"/>
      <c r="CX10" s="50"/>
      <c r="CY10" s="50"/>
      <c r="CZ10" s="50"/>
      <c r="DA10" s="50"/>
      <c r="DB10" s="50"/>
      <c r="DC10" s="92" t="s">
        <v>643</v>
      </c>
      <c r="DD10" s="792">
        <f>IF(AND(C10&lt;&gt;"",B10&lt;&gt;""),IF(ABS(C8)&lt;0.01,NA(),IF(C8&gt;0,1,-1)*C10/B10),"")</f>
        <v>0.87345413312549924</v>
      </c>
      <c r="DF10" s="43" t="s">
        <v>775</v>
      </c>
      <c r="DG10" s="49" t="s">
        <v>770</v>
      </c>
      <c r="DH10" s="49" t="s">
        <v>771</v>
      </c>
      <c r="DI10" s="1016" t="s">
        <v>70</v>
      </c>
      <c r="DJ10" s="1016" t="s">
        <v>71</v>
      </c>
      <c r="DK10" s="859" t="s">
        <v>695</v>
      </c>
      <c r="DL10" s="859" t="s">
        <v>1263</v>
      </c>
      <c r="DM10" s="860" t="s">
        <v>696</v>
      </c>
      <c r="DN10" s="860" t="s">
        <v>697</v>
      </c>
      <c r="DO10" s="860" t="s">
        <v>698</v>
      </c>
      <c r="DP10" s="1017" t="s">
        <v>770</v>
      </c>
      <c r="DQ10" s="1017" t="s">
        <v>771</v>
      </c>
      <c r="DR10" s="1017" t="s">
        <v>856</v>
      </c>
      <c r="DS10" s="1017" t="s">
        <v>897</v>
      </c>
      <c r="DU10" s="49" t="s">
        <v>770</v>
      </c>
      <c r="DV10" s="49" t="s">
        <v>866</v>
      </c>
      <c r="DW10" s="1018" t="s">
        <v>867</v>
      </c>
      <c r="DX10" s="1018" t="s">
        <v>1538</v>
      </c>
      <c r="DY10" s="1012" t="s">
        <v>1537</v>
      </c>
      <c r="DZ10" s="1012" t="s">
        <v>839</v>
      </c>
      <c r="EA10" s="1013" t="s">
        <v>869</v>
      </c>
      <c r="EB10" s="1013" t="s">
        <v>1538</v>
      </c>
      <c r="EC10" s="1013" t="s">
        <v>1537</v>
      </c>
      <c r="ED10" s="1013" t="s">
        <v>839</v>
      </c>
      <c r="EE10" s="56"/>
      <c r="EF10" s="56"/>
      <c r="EG10" s="56"/>
      <c r="EH10" s="56"/>
      <c r="EI10" s="56"/>
      <c r="EJ10" s="56"/>
    </row>
    <row r="11" spans="1:140" ht="12" customHeight="1">
      <c r="A11" s="979" t="s">
        <v>740</v>
      </c>
      <c r="B11" s="1019" t="s">
        <v>770</v>
      </c>
      <c r="C11" s="1019" t="s">
        <v>771</v>
      </c>
      <c r="D11" s="1020"/>
      <c r="E11" s="1021"/>
      <c r="F11" s="208"/>
      <c r="G11" s="1016"/>
      <c r="H11" s="886"/>
      <c r="I11" s="1022" t="s">
        <v>741</v>
      </c>
      <c r="J11" s="886"/>
      <c r="K11" s="801">
        <f t="shared" si="2"/>
        <v>8.9300000000000002E-4</v>
      </c>
      <c r="L11" s="83"/>
      <c r="M11" s="83"/>
      <c r="N11" s="83"/>
      <c r="O11" s="83"/>
      <c r="P11" s="83"/>
      <c r="Q11" s="477"/>
      <c r="R11" s="477"/>
      <c r="S11" s="477"/>
      <c r="T11" s="477"/>
      <c r="U11" s="477"/>
      <c r="V11" s="477"/>
      <c r="W11" s="477"/>
      <c r="X11" s="477"/>
      <c r="Y11" s="477"/>
      <c r="Z11" s="82">
        <f t="shared" si="3"/>
        <v>8.9300000000000002E-4</v>
      </c>
      <c r="AA11" s="82">
        <f t="shared" si="3"/>
        <v>8.9300000000000002E-4</v>
      </c>
      <c r="AB11" s="801">
        <f t="shared" si="3"/>
        <v>8.9300000000000002E-4</v>
      </c>
      <c r="AC11" s="83"/>
      <c r="AD11" s="83"/>
      <c r="AE11" s="83"/>
      <c r="AF11" s="83"/>
      <c r="AG11" s="83"/>
      <c r="AH11" s="83"/>
      <c r="AI11" s="83"/>
      <c r="AJ11" s="83"/>
      <c r="AK11" s="83"/>
      <c r="AL11" s="802"/>
      <c r="AM11" s="802">
        <f t="shared" si="4"/>
        <v>8.9300000000000002E-4</v>
      </c>
      <c r="AN11" s="802"/>
      <c r="AP11" s="802"/>
      <c r="AQ11" s="802"/>
      <c r="AR11" s="802"/>
      <c r="AS11" s="802"/>
      <c r="AT11" s="802"/>
      <c r="AU11" s="802"/>
      <c r="AV11" s="802"/>
      <c r="AW11" s="802"/>
      <c r="AX11" s="802"/>
      <c r="AY11" s="802"/>
      <c r="AZ11" s="802"/>
      <c r="BA11" s="983">
        <v>5</v>
      </c>
      <c r="BB11" s="994">
        <v>14</v>
      </c>
      <c r="BC11" s="995">
        <v>15</v>
      </c>
      <c r="BD11" s="986"/>
      <c r="BE11" s="55"/>
      <c r="BF11" s="983">
        <v>5</v>
      </c>
      <c r="BG11" s="994">
        <v>11</v>
      </c>
      <c r="BH11" s="995">
        <v>15</v>
      </c>
      <c r="BI11" s="986"/>
      <c r="BJ11" s="50"/>
      <c r="BK11" s="983">
        <v>5</v>
      </c>
      <c r="BL11" s="994">
        <v>74</v>
      </c>
      <c r="BM11" s="995">
        <v>80</v>
      </c>
      <c r="BN11" s="986"/>
      <c r="BO11" s="50"/>
      <c r="BP11" s="983">
        <v>5</v>
      </c>
      <c r="BQ11" s="996">
        <v>3.1428571428571428</v>
      </c>
      <c r="BR11" s="997">
        <v>2.8</v>
      </c>
      <c r="BS11" s="986"/>
      <c r="BT11" s="55"/>
      <c r="BU11" s="983">
        <v>5</v>
      </c>
      <c r="BV11" s="996">
        <v>3.1428571428571428</v>
      </c>
      <c r="BW11" s="997">
        <v>2.8</v>
      </c>
      <c r="BX11" s="986"/>
      <c r="BY11" s="50"/>
      <c r="BZ11" s="983">
        <v>5</v>
      </c>
      <c r="CA11" s="996">
        <v>3.5714285714285716</v>
      </c>
      <c r="CB11" s="997">
        <v>3.4</v>
      </c>
      <c r="CC11" s="986"/>
      <c r="CD11" s="50"/>
      <c r="CE11" s="50"/>
      <c r="CF11" s="50"/>
      <c r="CG11" s="50"/>
      <c r="CH11" s="50"/>
      <c r="CI11" s="50"/>
      <c r="CJ11" s="50"/>
      <c r="CK11" s="50"/>
      <c r="CL11" s="50"/>
      <c r="CM11" s="50"/>
      <c r="CN11" s="50"/>
      <c r="CO11" s="50"/>
      <c r="CP11" s="50"/>
      <c r="CQ11" s="50"/>
      <c r="CR11" s="50"/>
      <c r="CS11" s="50"/>
      <c r="CT11" s="50"/>
      <c r="CU11" s="50"/>
      <c r="CV11" s="50"/>
      <c r="CW11" s="50"/>
      <c r="CX11" s="50"/>
      <c r="CY11" s="50"/>
      <c r="CZ11" s="50"/>
      <c r="DA11" s="50"/>
      <c r="DB11" s="50"/>
      <c r="DC11" s="92" t="s">
        <v>764</v>
      </c>
      <c r="DD11" s="792"/>
      <c r="DF11" s="43" t="b">
        <f t="shared" ref="DF11:DF74" si="5">IF(AND(ISNUMBER(B13),ISNUMBER(C13)),TRUE,FALSE)</f>
        <v>1</v>
      </c>
      <c r="DG11" s="43">
        <f t="shared" ref="DG11:DG74" si="6">IF(DF11,B13,"")</f>
        <v>13</v>
      </c>
      <c r="DH11" s="43">
        <f t="shared" ref="DH11:DH74" si="7">IF(DF11,C13,"")</f>
        <v>14</v>
      </c>
      <c r="DI11" s="43">
        <f t="shared" ref="DI11:DI74" si="8">IF(DF11,F13,"")</f>
        <v>0.42728823464938825</v>
      </c>
      <c r="DJ11" s="43">
        <f t="shared" ref="DJ11:DJ74" si="9">IF(DF11,G13,"")</f>
        <v>0.25898488514140611</v>
      </c>
      <c r="DK11" s="43">
        <f t="shared" ref="DK11:DK74" si="10">IF($DM$6,IF(AND(DF11,DI11&lt;&gt;""),DI11,NA()),NA())</f>
        <v>0.42728823464938825</v>
      </c>
      <c r="DL11" s="43">
        <f t="shared" ref="DL11:DL74" si="11">IF($DM$6,IF(AND(DF11,DJ11&lt;&gt;""),DJ11,NA()),NA())</f>
        <v>0.25898488514140611</v>
      </c>
      <c r="DM11" s="43" t="b">
        <f t="shared" ref="DM11:DM74" si="12">OR(DK11&lt;-forzoom,DK11&gt;forzoom,DL11&lt;-forzoom,DL11&gt;forzoom)</f>
        <v>0</v>
      </c>
      <c r="DN11" s="43" t="e">
        <f t="shared" ref="DN11:DN74" si="13">IF(DM11,IF(ISNA(DK11),NA(),IF(DK11&lt;-forzoom,-forzoom,IF(DK11&gt;forzoom,forzoom,DK11))),NA())</f>
        <v>#N/A</v>
      </c>
      <c r="DO11" s="43">
        <f t="shared" ref="DO11:DO74" si="14">IF(ISNA(DL11),NA(),IF(DL11&lt;-forzoom,-forzoom,IF(DL11&gt;forzoom,forzoom,DL11)))</f>
        <v>0.25898488514140611</v>
      </c>
      <c r="DP11" s="43" t="e">
        <f t="shared" ref="DP11:DP74" si="15">IF(AND($DJ$7,DF11,$DO$1),B13,NA())</f>
        <v>#N/A</v>
      </c>
      <c r="DQ11" s="43" t="e">
        <f t="shared" ref="DQ11:DQ74" si="16">IF(AND($DJ$7,DF11,$DO$1),IF($DS$1,$C$9-($DD$20*$C$10/$B$10)*$B$9,$U$40)+IF($DS$1,$DD$20*$C$10/$B$10,$W$40)*DP11,NA())</f>
        <v>#N/A</v>
      </c>
      <c r="DR11" s="43" t="e">
        <f t="shared" ref="DR11:DR74" si="17">IF(AND(DF11,$DO$1),C13-DQ11,NA())</f>
        <v>#N/A</v>
      </c>
      <c r="DS11" s="43">
        <f t="shared" ref="DS11:DS74" si="18">IF(ISNA(DR11),0,DR11^2)</f>
        <v>0</v>
      </c>
      <c r="DT11" s="43">
        <v>1</v>
      </c>
      <c r="DU11" s="43">
        <f>DD4</f>
        <v>6</v>
      </c>
      <c r="DV11" s="43">
        <f t="shared" ref="DV11:DV74" si="19">$U$40+$W$40*DU11</f>
        <v>8.8980013783597549</v>
      </c>
      <c r="DW11" s="43">
        <f t="shared" ref="DW11:DW74" si="20">$DU$7*SQRT((1/$C$7)+((DU11-$B$9)^2)/(($C$7-1)*$B$10^2))</f>
        <v>0.80053842167379086</v>
      </c>
      <c r="DX11" s="43" t="e">
        <f t="shared" ref="DX11:DX74" si="21">IF(AND($DJ$7,$DU$1),DV11-$DU$6*DW11,NA())</f>
        <v>#N/A</v>
      </c>
      <c r="DY11" s="50" t="e">
        <f t="shared" ref="DY11:DY74" si="22">IF(AND($DJ$7,$DU$1),DV11+$DU$6*DW11,NA())</f>
        <v>#N/A</v>
      </c>
      <c r="DZ11" s="50" t="str">
        <f t="shared" ref="DZ11:DZ74" si="23">IF(ISNA(DX11),"",DX11)</f>
        <v/>
      </c>
      <c r="EA11" s="50">
        <f t="shared" ref="EA11:EA74" si="24">$DU$7*SQRT(1+(1/$C$7)+((DU11-$B$9)^2)/(($C$7-1)*$B$10^2))</f>
        <v>1.5872706985369551</v>
      </c>
      <c r="EB11" s="43" t="e">
        <f t="shared" ref="EB11:EB74" si="25">IF(AND($DJ$7,$DW$1),DV11-$DU$6*EA11,NA())</f>
        <v>#N/A</v>
      </c>
      <c r="EC11" s="50" t="e">
        <f t="shared" ref="EC11:EC74" si="26">IF(AND($DJ$7,$DW$1),DV11+$DU$6*EA11,NA())</f>
        <v>#N/A</v>
      </c>
      <c r="ED11" s="50" t="str">
        <f t="shared" ref="ED11:ED74" si="27">IF(ISNA(EB11),"",EB11)</f>
        <v/>
      </c>
    </row>
    <row r="12" spans="1:140" ht="12" customHeight="1">
      <c r="A12" s="275"/>
      <c r="B12" s="973" t="s">
        <v>53</v>
      </c>
      <c r="C12" s="971" t="s">
        <v>54</v>
      </c>
      <c r="D12" s="1023"/>
      <c r="E12" s="884"/>
      <c r="F12" s="1024" t="s">
        <v>72</v>
      </c>
      <c r="G12" s="1024" t="s">
        <v>73</v>
      </c>
      <c r="H12" s="886"/>
      <c r="I12" s="1024" t="s">
        <v>74</v>
      </c>
      <c r="J12" s="886"/>
      <c r="K12" s="801">
        <f t="shared" si="2"/>
        <v>8.9300000000000002E-4</v>
      </c>
      <c r="L12" s="83"/>
      <c r="M12" s="83"/>
      <c r="N12" s="83"/>
      <c r="O12" s="83"/>
      <c r="P12" s="83"/>
      <c r="Q12" s="477"/>
      <c r="R12" s="477"/>
      <c r="S12" s="477"/>
      <c r="T12" s="477"/>
      <c r="U12" s="477"/>
      <c r="V12" s="477"/>
      <c r="W12" s="477"/>
      <c r="X12" s="477"/>
      <c r="Y12" s="477"/>
      <c r="Z12" s="82">
        <f t="shared" si="3"/>
        <v>8.9300000000000002E-4</v>
      </c>
      <c r="AA12" s="82">
        <f t="shared" si="3"/>
        <v>8.9300000000000002E-4</v>
      </c>
      <c r="AB12" s="801">
        <f t="shared" si="3"/>
        <v>8.9300000000000002E-4</v>
      </c>
      <c r="AC12" s="83"/>
      <c r="AD12" s="83"/>
      <c r="AE12" s="83"/>
      <c r="AF12" s="83"/>
      <c r="AG12" s="83"/>
      <c r="AH12" s="83"/>
      <c r="AI12" s="83"/>
      <c r="AJ12" s="83"/>
      <c r="AK12" s="83"/>
      <c r="AL12" s="802"/>
      <c r="AM12" s="802">
        <f t="shared" si="4"/>
        <v>8.9300000000000002E-4</v>
      </c>
      <c r="AN12" s="802"/>
      <c r="AO12" s="802"/>
      <c r="AP12" s="802"/>
      <c r="AQ12" s="802"/>
      <c r="AR12" s="802"/>
      <c r="AS12" s="802"/>
      <c r="AT12" s="802"/>
      <c r="AU12" s="802"/>
      <c r="AV12" s="802"/>
      <c r="AW12" s="802"/>
      <c r="AX12" s="802"/>
      <c r="AY12" s="802"/>
      <c r="AZ12" s="802"/>
      <c r="BA12" s="983">
        <v>6</v>
      </c>
      <c r="BB12" s="994">
        <v>17</v>
      </c>
      <c r="BC12" s="995">
        <v>18</v>
      </c>
      <c r="BD12" s="986"/>
      <c r="BF12" s="983">
        <v>6</v>
      </c>
      <c r="BG12" s="994">
        <v>11</v>
      </c>
      <c r="BH12" s="995">
        <v>13</v>
      </c>
      <c r="BI12" s="986"/>
      <c r="BJ12" s="50"/>
      <c r="BK12" s="983">
        <v>6</v>
      </c>
      <c r="BL12" s="994">
        <v>75</v>
      </c>
      <c r="BM12" s="995">
        <v>80</v>
      </c>
      <c r="BN12" s="986"/>
      <c r="BO12" s="50"/>
      <c r="BP12" s="983">
        <v>6</v>
      </c>
      <c r="BQ12" s="996">
        <v>4</v>
      </c>
      <c r="BR12" s="997">
        <v>2.8</v>
      </c>
      <c r="BS12" s="986"/>
      <c r="BU12" s="983">
        <v>6</v>
      </c>
      <c r="BV12" s="996">
        <v>2.4285714285714284</v>
      </c>
      <c r="BW12" s="997">
        <v>3.2</v>
      </c>
      <c r="BX12" s="986"/>
      <c r="BY12" s="50"/>
      <c r="BZ12" s="983">
        <v>6</v>
      </c>
      <c r="CA12" s="996">
        <v>2.8571428571428572</v>
      </c>
      <c r="CB12" s="997">
        <v>3.4</v>
      </c>
      <c r="CC12" s="986"/>
      <c r="CD12" s="47"/>
      <c r="CE12" s="47"/>
      <c r="CF12" s="47"/>
      <c r="CG12" s="47"/>
      <c r="CH12" s="47"/>
      <c r="CI12" s="47"/>
      <c r="CJ12" s="47"/>
      <c r="CK12" s="47"/>
      <c r="CL12" s="47"/>
      <c r="CM12" s="47"/>
      <c r="CN12" s="47"/>
      <c r="CO12" s="47"/>
      <c r="CP12" s="47"/>
      <c r="CQ12" s="47"/>
      <c r="CR12" s="47"/>
      <c r="CS12" s="47"/>
      <c r="CT12" s="47"/>
      <c r="CU12" s="47"/>
      <c r="CV12" s="47"/>
      <c r="CW12" s="47"/>
      <c r="CX12" s="47"/>
      <c r="CY12" s="47"/>
      <c r="CZ12" s="47"/>
      <c r="DA12" s="47"/>
      <c r="DB12" s="47"/>
      <c r="DC12" s="1025" t="e">
        <f>IF(DM4,DD3,NA())</f>
        <v>#N/A</v>
      </c>
      <c r="DD12" s="792" t="e">
        <f>IF(DM4,C9+DD10*(DD3-B9),NA())</f>
        <v>#N/A</v>
      </c>
      <c r="DF12" s="43" t="b">
        <f t="shared" si="5"/>
        <v>1</v>
      </c>
      <c r="DG12" s="43">
        <f t="shared" si="6"/>
        <v>12</v>
      </c>
      <c r="DH12" s="43">
        <f t="shared" si="7"/>
        <v>13</v>
      </c>
      <c r="DI12" s="43">
        <f t="shared" si="8"/>
        <v>0.12567301019099641</v>
      </c>
      <c r="DJ12" s="43">
        <f t="shared" si="9"/>
        <v>-8.6328295047135378E-2</v>
      </c>
      <c r="DK12" s="43">
        <f t="shared" si="10"/>
        <v>0.12567301019099641</v>
      </c>
      <c r="DL12" s="43">
        <f t="shared" si="11"/>
        <v>-8.6328295047135378E-2</v>
      </c>
      <c r="DM12" s="43" t="b">
        <f t="shared" si="12"/>
        <v>0</v>
      </c>
      <c r="DN12" s="43" t="e">
        <f t="shared" si="13"/>
        <v>#N/A</v>
      </c>
      <c r="DO12" s="43">
        <f t="shared" si="14"/>
        <v>-8.6328295047135378E-2</v>
      </c>
      <c r="DP12" s="43" t="e">
        <f t="shared" si="15"/>
        <v>#N/A</v>
      </c>
      <c r="DQ12" s="43" t="e">
        <f t="shared" si="16"/>
        <v>#N/A</v>
      </c>
      <c r="DR12" s="43" t="e">
        <f t="shared" si="17"/>
        <v>#N/A</v>
      </c>
      <c r="DS12" s="43">
        <f t="shared" si="18"/>
        <v>0</v>
      </c>
      <c r="DT12" s="43">
        <v>2</v>
      </c>
      <c r="DU12" s="43">
        <f t="shared" ref="DU12:DU43" si="28">DU11+$DU$5</f>
        <v>6.0549999999999997</v>
      </c>
      <c r="DV12" s="43">
        <f t="shared" si="19"/>
        <v>8.9408718125430759</v>
      </c>
      <c r="DW12" s="43">
        <f t="shared" si="20"/>
        <v>0.79458608186870339</v>
      </c>
      <c r="DX12" s="43" t="e">
        <f t="shared" si="21"/>
        <v>#N/A</v>
      </c>
      <c r="DY12" s="50" t="e">
        <f t="shared" si="22"/>
        <v>#N/A</v>
      </c>
      <c r="DZ12" s="50" t="str">
        <f t="shared" si="23"/>
        <v/>
      </c>
      <c r="EA12" s="50">
        <f t="shared" si="24"/>
        <v>1.5842769793686606</v>
      </c>
      <c r="EB12" s="43" t="e">
        <f t="shared" si="25"/>
        <v>#N/A</v>
      </c>
      <c r="EC12" s="50" t="e">
        <f t="shared" si="26"/>
        <v>#N/A</v>
      </c>
      <c r="ED12" s="50" t="str">
        <f t="shared" si="27"/>
        <v/>
      </c>
    </row>
    <row r="13" spans="1:140" ht="12" customHeight="1">
      <c r="A13" s="640">
        <v>1</v>
      </c>
      <c r="B13" s="984">
        <v>13</v>
      </c>
      <c r="C13" s="985">
        <v>14</v>
      </c>
      <c r="D13" s="1026"/>
      <c r="E13" s="884"/>
      <c r="F13" s="1027">
        <f t="shared" ref="F13:F76" si="29">IF(AND($DH$1,$B$10&lt;&gt;""),IF(OR(COUNT($DG$11:$DG$310)&lt;2,DG11=""),"",(DG11-$B$9)/$B$10),"")</f>
        <v>0.42728823464938825</v>
      </c>
      <c r="G13" s="1028">
        <f t="shared" ref="G13:G76" si="30">IF(AND($DH$1,$C$10&lt;&gt;""),IF(OR(COUNT($DH$11:$DH$310)&lt;2,DH11=""),"",(DH11-$C$9)/$C$10),"")</f>
        <v>0.25898488514140611</v>
      </c>
      <c r="H13" s="886"/>
      <c r="I13" s="458">
        <f t="shared" ref="I13:I76" si="31">IF(AND(F13&lt;&gt;"",G13&lt;&gt;""),F13*G13,"")</f>
        <v>0.110661194372946</v>
      </c>
      <c r="J13" s="886"/>
      <c r="K13" s="801">
        <f t="shared" si="2"/>
        <v>8.9300000000000002E-4</v>
      </c>
      <c r="L13" s="83"/>
      <c r="M13" s="83"/>
      <c r="N13" s="83"/>
      <c r="O13" s="83"/>
      <c r="P13" s="83"/>
      <c r="Q13" s="477"/>
      <c r="R13" s="477"/>
      <c r="S13" s="477"/>
      <c r="T13" s="477"/>
      <c r="U13" s="477"/>
      <c r="V13" s="477"/>
      <c r="W13" s="477"/>
      <c r="X13" s="477"/>
      <c r="Y13" s="477"/>
      <c r="Z13" s="82">
        <f t="shared" si="3"/>
        <v>8.9300000000000002E-4</v>
      </c>
      <c r="AA13" s="82">
        <f t="shared" si="3"/>
        <v>8.9300000000000002E-4</v>
      </c>
      <c r="AB13" s="801">
        <f t="shared" si="3"/>
        <v>8.9300000000000002E-4</v>
      </c>
      <c r="AC13" s="83"/>
      <c r="AD13" s="83"/>
      <c r="AE13" s="83"/>
      <c r="AF13" s="83"/>
      <c r="AG13" s="83"/>
      <c r="AH13" s="83"/>
      <c r="AI13" s="83"/>
      <c r="AJ13" s="83"/>
      <c r="AK13" s="83"/>
      <c r="AL13" s="802"/>
      <c r="AM13" s="802">
        <f t="shared" si="4"/>
        <v>8.9300000000000002E-4</v>
      </c>
      <c r="AN13" s="802"/>
      <c r="AO13" s="802"/>
      <c r="AP13" s="802"/>
      <c r="AQ13" s="802"/>
      <c r="AR13" s="802"/>
      <c r="AS13" s="802"/>
      <c r="AT13" s="802"/>
      <c r="AU13" s="802"/>
      <c r="AV13" s="802"/>
      <c r="AW13" s="802"/>
      <c r="AX13" s="802"/>
      <c r="AY13" s="802"/>
      <c r="AZ13" s="802"/>
      <c r="BA13" s="983">
        <v>7</v>
      </c>
      <c r="BB13" s="994">
        <v>14</v>
      </c>
      <c r="BC13" s="995">
        <v>13</v>
      </c>
      <c r="BD13" s="986"/>
      <c r="BF13" s="983">
        <v>7</v>
      </c>
      <c r="BG13" s="994">
        <v>15</v>
      </c>
      <c r="BH13" s="995">
        <v>17</v>
      </c>
      <c r="BI13" s="986"/>
      <c r="BJ13" s="47"/>
      <c r="BK13" s="983">
        <v>7</v>
      </c>
      <c r="BL13" s="994">
        <v>64</v>
      </c>
      <c r="BM13" s="995">
        <v>69</v>
      </c>
      <c r="BN13" s="986"/>
      <c r="BO13" s="47"/>
      <c r="BP13" s="983">
        <v>7</v>
      </c>
      <c r="BQ13" s="996">
        <v>2.4285714285714284</v>
      </c>
      <c r="BR13" s="997">
        <v>3</v>
      </c>
      <c r="BS13" s="986"/>
      <c r="BU13" s="983">
        <v>7</v>
      </c>
      <c r="BV13" s="996">
        <v>2.8571428571428572</v>
      </c>
      <c r="BW13" s="997">
        <v>3.4</v>
      </c>
      <c r="BX13" s="986"/>
      <c r="BY13" s="47"/>
      <c r="BZ13" s="983">
        <v>7</v>
      </c>
      <c r="CA13" s="996">
        <v>2.7142857142857144</v>
      </c>
      <c r="CB13" s="997">
        <v>3.8</v>
      </c>
      <c r="CC13" s="986"/>
      <c r="CD13" s="47"/>
      <c r="CE13" s="47"/>
      <c r="CF13" s="47"/>
      <c r="CG13" s="47"/>
      <c r="CH13" s="47"/>
      <c r="CI13" s="47"/>
      <c r="CJ13" s="47"/>
      <c r="CK13" s="47"/>
      <c r="CL13" s="47"/>
      <c r="CM13" s="47"/>
      <c r="CN13" s="47"/>
      <c r="CO13" s="47"/>
      <c r="CP13" s="47"/>
      <c r="CQ13" s="47"/>
      <c r="CR13" s="47"/>
      <c r="CS13" s="47"/>
      <c r="CT13" s="47"/>
      <c r="CU13" s="47"/>
      <c r="CV13" s="47"/>
      <c r="CW13" s="47"/>
      <c r="CX13" s="47"/>
      <c r="CY13" s="47"/>
      <c r="CZ13" s="47"/>
      <c r="DA13" s="47"/>
      <c r="DB13" s="47"/>
      <c r="DC13" s="1029" t="e">
        <f>IF(DM4,DD4,NA())</f>
        <v>#N/A</v>
      </c>
      <c r="DD13" s="977" t="e">
        <f>IF(DM4,C9-DD10*(B9-DD4),NA())</f>
        <v>#N/A</v>
      </c>
      <c r="DF13" s="43" t="b">
        <f t="shared" si="5"/>
        <v>1</v>
      </c>
      <c r="DG13" s="43">
        <f t="shared" si="6"/>
        <v>12</v>
      </c>
      <c r="DH13" s="43">
        <f t="shared" si="7"/>
        <v>16</v>
      </c>
      <c r="DI13" s="43">
        <f t="shared" si="8"/>
        <v>0.12567301019099641</v>
      </c>
      <c r="DJ13" s="43">
        <f t="shared" si="9"/>
        <v>0.94961124551848908</v>
      </c>
      <c r="DK13" s="43">
        <f t="shared" si="10"/>
        <v>0.12567301019099641</v>
      </c>
      <c r="DL13" s="43">
        <f t="shared" si="11"/>
        <v>0.94961124551848908</v>
      </c>
      <c r="DM13" s="43" t="b">
        <f t="shared" si="12"/>
        <v>0</v>
      </c>
      <c r="DN13" s="43" t="e">
        <f t="shared" si="13"/>
        <v>#N/A</v>
      </c>
      <c r="DO13" s="43">
        <f t="shared" si="14"/>
        <v>0.94961124551848908</v>
      </c>
      <c r="DP13" s="43" t="e">
        <f t="shared" si="15"/>
        <v>#N/A</v>
      </c>
      <c r="DQ13" s="43" t="e">
        <f t="shared" si="16"/>
        <v>#N/A</v>
      </c>
      <c r="DR13" s="43" t="e">
        <f t="shared" si="17"/>
        <v>#N/A</v>
      </c>
      <c r="DS13" s="43">
        <f t="shared" si="18"/>
        <v>0</v>
      </c>
      <c r="DT13" s="43">
        <v>3</v>
      </c>
      <c r="DU13" s="43">
        <f t="shared" si="28"/>
        <v>6.1099999999999994</v>
      </c>
      <c r="DV13" s="43">
        <f t="shared" si="19"/>
        <v>8.983742246726397</v>
      </c>
      <c r="DW13" s="43">
        <f t="shared" si="20"/>
        <v>0.78864840802588043</v>
      </c>
      <c r="DX13" s="43" t="e">
        <f t="shared" si="21"/>
        <v>#N/A</v>
      </c>
      <c r="DY13" s="50" t="e">
        <f t="shared" si="22"/>
        <v>#N/A</v>
      </c>
      <c r="DZ13" s="50" t="str">
        <f t="shared" si="23"/>
        <v/>
      </c>
      <c r="EA13" s="50">
        <f t="shared" si="24"/>
        <v>1.5813073127446748</v>
      </c>
      <c r="EB13" s="43" t="e">
        <f t="shared" si="25"/>
        <v>#N/A</v>
      </c>
      <c r="EC13" s="50" t="e">
        <f t="shared" si="26"/>
        <v>#N/A</v>
      </c>
      <c r="ED13" s="50" t="str">
        <f t="shared" si="27"/>
        <v/>
      </c>
    </row>
    <row r="14" spans="1:140" ht="12" customHeight="1">
      <c r="A14" s="640">
        <v>2</v>
      </c>
      <c r="B14" s="994">
        <v>12</v>
      </c>
      <c r="C14" s="995">
        <v>13</v>
      </c>
      <c r="D14" s="1026"/>
      <c r="E14" s="884"/>
      <c r="F14" s="1027">
        <f t="shared" si="29"/>
        <v>0.12567301019099641</v>
      </c>
      <c r="G14" s="1028">
        <f t="shared" si="30"/>
        <v>-8.6328295047135378E-2</v>
      </c>
      <c r="H14" s="886"/>
      <c r="I14" s="458">
        <f t="shared" si="31"/>
        <v>-1.084913670322999E-2</v>
      </c>
      <c r="J14" s="886"/>
      <c r="K14" s="801">
        <f t="shared" si="2"/>
        <v>8.9300000000000002E-4</v>
      </c>
      <c r="L14" s="83"/>
      <c r="M14" s="83"/>
      <c r="N14" s="83"/>
      <c r="O14" s="83"/>
      <c r="P14" s="83"/>
      <c r="Q14" s="477"/>
      <c r="R14" s="477"/>
      <c r="S14" s="477"/>
      <c r="T14" s="477"/>
      <c r="U14" s="477"/>
      <c r="V14" s="477"/>
      <c r="W14" s="477"/>
      <c r="X14" s="477"/>
      <c r="Y14" s="477"/>
      <c r="Z14" s="82">
        <f t="shared" si="3"/>
        <v>8.9300000000000002E-4</v>
      </c>
      <c r="AA14" s="82">
        <f t="shared" si="3"/>
        <v>8.9300000000000002E-4</v>
      </c>
      <c r="AB14" s="801">
        <f t="shared" si="3"/>
        <v>8.9300000000000002E-4</v>
      </c>
      <c r="AC14" s="83"/>
      <c r="AD14" s="83"/>
      <c r="AE14" s="83"/>
      <c r="AF14" s="83"/>
      <c r="AG14" s="83"/>
      <c r="AH14" s="83"/>
      <c r="AI14" s="83"/>
      <c r="AJ14" s="83"/>
      <c r="AK14" s="83"/>
      <c r="AL14" s="802"/>
      <c r="AM14" s="802">
        <f t="shared" si="4"/>
        <v>8.9300000000000002E-4</v>
      </c>
      <c r="AN14" s="802"/>
      <c r="AO14" s="802"/>
      <c r="AP14" s="802"/>
      <c r="AQ14" s="802"/>
      <c r="AR14" s="802"/>
      <c r="AS14" s="802"/>
      <c r="AT14" s="802"/>
      <c r="AU14" s="802"/>
      <c r="AV14" s="802"/>
      <c r="AW14" s="802"/>
      <c r="AX14" s="802"/>
      <c r="AY14" s="802"/>
      <c r="AZ14" s="802"/>
      <c r="BA14" s="983">
        <v>8</v>
      </c>
      <c r="BB14" s="994">
        <v>9</v>
      </c>
      <c r="BC14" s="995">
        <v>10</v>
      </c>
      <c r="BD14" s="986"/>
      <c r="BF14" s="983">
        <v>8</v>
      </c>
      <c r="BG14" s="994">
        <v>14</v>
      </c>
      <c r="BH14" s="995">
        <v>14</v>
      </c>
      <c r="BI14" s="986"/>
      <c r="BJ14" s="47"/>
      <c r="BK14" s="983">
        <v>8</v>
      </c>
      <c r="BL14" s="994">
        <v>72</v>
      </c>
      <c r="BM14" s="995">
        <v>76</v>
      </c>
      <c r="BN14" s="986"/>
      <c r="BO14" s="47"/>
      <c r="BP14" s="983">
        <v>8</v>
      </c>
      <c r="BQ14" s="996">
        <v>2.4285714285714284</v>
      </c>
      <c r="BR14" s="997">
        <v>3.2</v>
      </c>
      <c r="BS14" s="986"/>
      <c r="BU14" s="983">
        <v>8</v>
      </c>
      <c r="BV14" s="996">
        <v>3.1428571428571428</v>
      </c>
      <c r="BW14" s="997">
        <v>3.4</v>
      </c>
      <c r="BX14" s="986"/>
      <c r="BY14" s="47"/>
      <c r="BZ14" s="983">
        <v>8</v>
      </c>
      <c r="CA14" s="996">
        <v>3.2857142857142856</v>
      </c>
      <c r="CB14" s="997">
        <v>4.2</v>
      </c>
      <c r="CC14" s="986"/>
      <c r="CD14" s="47"/>
      <c r="CE14" s="47"/>
      <c r="CF14" s="47"/>
      <c r="CG14" s="47"/>
      <c r="CH14" s="47"/>
      <c r="CI14" s="47"/>
      <c r="CJ14" s="47"/>
      <c r="CK14" s="47"/>
      <c r="CL14" s="47"/>
      <c r="CM14" s="47"/>
      <c r="CN14" s="47"/>
      <c r="CO14" s="47"/>
      <c r="CP14" s="47"/>
      <c r="CQ14" s="47"/>
      <c r="CR14" s="47"/>
      <c r="CS14" s="47"/>
      <c r="CT14" s="47"/>
      <c r="CU14" s="47"/>
      <c r="CV14" s="47"/>
      <c r="CW14" s="47"/>
      <c r="CX14" s="47"/>
      <c r="CY14" s="47"/>
      <c r="CZ14" s="47"/>
      <c r="DA14" s="47"/>
      <c r="DB14" s="47"/>
      <c r="DC14" s="1030" t="s">
        <v>851</v>
      </c>
      <c r="DD14" s="47" t="b">
        <f>AND(DM1,DJ7)</f>
        <v>0</v>
      </c>
      <c r="DF14" s="43" t="b">
        <f t="shared" si="5"/>
        <v>1</v>
      </c>
      <c r="DG14" s="43">
        <f t="shared" si="6"/>
        <v>9</v>
      </c>
      <c r="DH14" s="43">
        <f t="shared" si="7"/>
        <v>12</v>
      </c>
      <c r="DI14" s="43">
        <f t="shared" si="8"/>
        <v>-0.7791726631841791</v>
      </c>
      <c r="DJ14" s="43">
        <f t="shared" si="9"/>
        <v>-0.43164147523567686</v>
      </c>
      <c r="DK14" s="43">
        <f t="shared" si="10"/>
        <v>-0.7791726631841791</v>
      </c>
      <c r="DL14" s="43">
        <f t="shared" si="11"/>
        <v>-0.43164147523567686</v>
      </c>
      <c r="DM14" s="43" t="b">
        <f t="shared" si="12"/>
        <v>0</v>
      </c>
      <c r="DN14" s="43" t="e">
        <f t="shared" si="13"/>
        <v>#N/A</v>
      </c>
      <c r="DO14" s="43">
        <f t="shared" si="14"/>
        <v>-0.43164147523567686</v>
      </c>
      <c r="DP14" s="43" t="e">
        <f t="shared" si="15"/>
        <v>#N/A</v>
      </c>
      <c r="DQ14" s="43" t="e">
        <f t="shared" si="16"/>
        <v>#N/A</v>
      </c>
      <c r="DR14" s="43" t="e">
        <f t="shared" si="17"/>
        <v>#N/A</v>
      </c>
      <c r="DS14" s="43">
        <f t="shared" si="18"/>
        <v>0</v>
      </c>
      <c r="DT14" s="43">
        <v>4</v>
      </c>
      <c r="DU14" s="43">
        <f t="shared" si="28"/>
        <v>6.1649999999999991</v>
      </c>
      <c r="DV14" s="43">
        <f t="shared" si="19"/>
        <v>9.026612680909718</v>
      </c>
      <c r="DW14" s="43">
        <f t="shared" si="20"/>
        <v>0.78272573390866484</v>
      </c>
      <c r="DX14" s="43" t="e">
        <f t="shared" si="21"/>
        <v>#N/A</v>
      </c>
      <c r="DY14" s="50" t="e">
        <f t="shared" si="22"/>
        <v>#N/A</v>
      </c>
      <c r="DZ14" s="50" t="str">
        <f t="shared" si="23"/>
        <v/>
      </c>
      <c r="EA14" s="50">
        <f t="shared" si="24"/>
        <v>1.5783618344286225</v>
      </c>
      <c r="EB14" s="43" t="e">
        <f t="shared" si="25"/>
        <v>#N/A</v>
      </c>
      <c r="EC14" s="50" t="e">
        <f t="shared" si="26"/>
        <v>#N/A</v>
      </c>
      <c r="ED14" s="50" t="str">
        <f t="shared" si="27"/>
        <v/>
      </c>
    </row>
    <row r="15" spans="1:140" ht="12" customHeight="1">
      <c r="A15" s="640">
        <v>3</v>
      </c>
      <c r="B15" s="994">
        <v>12</v>
      </c>
      <c r="C15" s="995">
        <v>16</v>
      </c>
      <c r="D15" s="1026"/>
      <c r="E15" s="884"/>
      <c r="F15" s="1027">
        <f t="shared" si="29"/>
        <v>0.12567301019099641</v>
      </c>
      <c r="G15" s="1028">
        <f t="shared" si="30"/>
        <v>0.94961124551848908</v>
      </c>
      <c r="H15" s="886"/>
      <c r="I15" s="458">
        <f t="shared" si="31"/>
        <v>0.11934050373552987</v>
      </c>
      <c r="J15" s="886"/>
      <c r="K15" s="801">
        <f t="shared" si="2"/>
        <v>8.9300000000000002E-4</v>
      </c>
      <c r="L15" s="83"/>
      <c r="M15" s="83"/>
      <c r="N15" s="83"/>
      <c r="O15" s="83"/>
      <c r="P15" s="83"/>
      <c r="Q15" s="477"/>
      <c r="R15" s="477"/>
      <c r="S15" s="477"/>
      <c r="T15" s="477"/>
      <c r="U15" s="477"/>
      <c r="V15" s="477"/>
      <c r="W15" s="477"/>
      <c r="X15" s="477"/>
      <c r="Y15" s="477"/>
      <c r="Z15" s="82">
        <f t="shared" si="3"/>
        <v>8.9300000000000002E-4</v>
      </c>
      <c r="AA15" s="82">
        <f t="shared" si="3"/>
        <v>8.9300000000000002E-4</v>
      </c>
      <c r="AB15" s="801">
        <f t="shared" si="3"/>
        <v>8.9300000000000002E-4</v>
      </c>
      <c r="AC15" s="83"/>
      <c r="AD15" s="83"/>
      <c r="AE15" s="83"/>
      <c r="AF15" s="83"/>
      <c r="AG15" s="83"/>
      <c r="AH15" s="83"/>
      <c r="AI15" s="83"/>
      <c r="AJ15" s="83"/>
      <c r="AK15" s="83"/>
      <c r="AL15" s="802"/>
      <c r="AM15" s="802">
        <f t="shared" si="4"/>
        <v>8.9300000000000002E-4</v>
      </c>
      <c r="AN15" s="802"/>
      <c r="AO15" s="802"/>
      <c r="AP15" s="802"/>
      <c r="AQ15" s="802"/>
      <c r="AR15" s="802"/>
      <c r="AS15" s="802"/>
      <c r="AT15" s="802"/>
      <c r="AU15" s="802"/>
      <c r="AV15" s="802"/>
      <c r="AW15" s="802"/>
      <c r="AX15" s="802"/>
      <c r="AY15" s="802"/>
      <c r="AZ15" s="802"/>
      <c r="BA15" s="983">
        <v>9</v>
      </c>
      <c r="BB15" s="994">
        <v>6</v>
      </c>
      <c r="BC15" s="995">
        <v>10</v>
      </c>
      <c r="BD15" s="986"/>
      <c r="BF15" s="983">
        <v>9</v>
      </c>
      <c r="BG15" s="994">
        <v>9</v>
      </c>
      <c r="BH15" s="995">
        <v>10</v>
      </c>
      <c r="BI15" s="986"/>
      <c r="BJ15" s="47"/>
      <c r="BK15" s="983">
        <v>9</v>
      </c>
      <c r="BL15" s="994">
        <v>77</v>
      </c>
      <c r="BM15" s="995">
        <v>78</v>
      </c>
      <c r="BN15" s="986"/>
      <c r="BO15" s="47"/>
      <c r="BP15" s="983">
        <v>9</v>
      </c>
      <c r="BQ15" s="996">
        <v>3</v>
      </c>
      <c r="BR15" s="997">
        <v>3.2</v>
      </c>
      <c r="BS15" s="986"/>
      <c r="BU15" s="983">
        <v>9</v>
      </c>
      <c r="BV15" s="996">
        <v>3</v>
      </c>
      <c r="BW15" s="997">
        <v>3.6</v>
      </c>
      <c r="BX15" s="986"/>
      <c r="BY15" s="47"/>
      <c r="BZ15" s="983">
        <v>9</v>
      </c>
      <c r="CA15" s="996">
        <v>4.2857142857142856</v>
      </c>
      <c r="CB15" s="997">
        <v>4.4000000000000004</v>
      </c>
      <c r="CC15" s="986"/>
      <c r="CD15" s="47"/>
      <c r="CE15" s="47"/>
      <c r="CF15" s="47"/>
      <c r="CG15" s="47"/>
      <c r="CH15" s="47"/>
      <c r="CI15" s="47"/>
      <c r="CJ15" s="47"/>
      <c r="CK15" s="47"/>
      <c r="CL15" s="47"/>
      <c r="CM15" s="47"/>
      <c r="CN15" s="47"/>
      <c r="CO15" s="47"/>
      <c r="CP15" s="47"/>
      <c r="CQ15" s="47"/>
      <c r="CR15" s="47"/>
      <c r="CS15" s="47"/>
      <c r="CT15" s="47"/>
      <c r="CU15" s="47"/>
      <c r="CV15" s="47"/>
      <c r="CW15" s="47"/>
      <c r="CX15" s="47"/>
      <c r="CY15" s="47"/>
      <c r="CZ15" s="47"/>
      <c r="DA15" s="47"/>
      <c r="DB15" s="47"/>
      <c r="DC15" s="47"/>
      <c r="DD15" s="47"/>
      <c r="DF15" s="43" t="b">
        <f t="shared" si="5"/>
        <v>1</v>
      </c>
      <c r="DG15" s="43">
        <f t="shared" si="6"/>
        <v>14</v>
      </c>
      <c r="DH15" s="43">
        <f t="shared" si="7"/>
        <v>15</v>
      </c>
      <c r="DI15" s="43">
        <f t="shared" si="8"/>
        <v>0.72890345910778009</v>
      </c>
      <c r="DJ15" s="43">
        <f t="shared" si="9"/>
        <v>0.60429806532994756</v>
      </c>
      <c r="DK15" s="43">
        <f t="shared" si="10"/>
        <v>0.72890345910778009</v>
      </c>
      <c r="DL15" s="43">
        <f t="shared" si="11"/>
        <v>0.60429806532994756</v>
      </c>
      <c r="DM15" s="43" t="b">
        <f t="shared" si="12"/>
        <v>0</v>
      </c>
      <c r="DN15" s="43" t="e">
        <f t="shared" si="13"/>
        <v>#N/A</v>
      </c>
      <c r="DO15" s="43">
        <f t="shared" si="14"/>
        <v>0.60429806532994756</v>
      </c>
      <c r="DP15" s="43" t="e">
        <f t="shared" si="15"/>
        <v>#N/A</v>
      </c>
      <c r="DQ15" s="43" t="e">
        <f t="shared" si="16"/>
        <v>#N/A</v>
      </c>
      <c r="DR15" s="43" t="e">
        <f t="shared" si="17"/>
        <v>#N/A</v>
      </c>
      <c r="DS15" s="43">
        <f t="shared" si="18"/>
        <v>0</v>
      </c>
      <c r="DT15" s="43">
        <v>5</v>
      </c>
      <c r="DU15" s="43">
        <f t="shared" si="28"/>
        <v>6.2199999999999989</v>
      </c>
      <c r="DV15" s="43">
        <f t="shared" si="19"/>
        <v>9.0694831150930391</v>
      </c>
      <c r="DW15" s="43">
        <f t="shared" si="20"/>
        <v>0.77681840260305701</v>
      </c>
      <c r="DX15" s="43" t="e">
        <f t="shared" si="21"/>
        <v>#N/A</v>
      </c>
      <c r="DY15" s="50" t="e">
        <f t="shared" si="22"/>
        <v>#N/A</v>
      </c>
      <c r="DZ15" s="50" t="str">
        <f t="shared" si="23"/>
        <v/>
      </c>
      <c r="EA15" s="50">
        <f t="shared" si="24"/>
        <v>1.5754406800894774</v>
      </c>
      <c r="EB15" s="43" t="e">
        <f t="shared" si="25"/>
        <v>#N/A</v>
      </c>
      <c r="EC15" s="50" t="e">
        <f t="shared" si="26"/>
        <v>#N/A</v>
      </c>
      <c r="ED15" s="50" t="str">
        <f t="shared" si="27"/>
        <v/>
      </c>
    </row>
    <row r="16" spans="1:140" ht="12" customHeight="1">
      <c r="A16" s="640">
        <v>4</v>
      </c>
      <c r="B16" s="994">
        <v>9</v>
      </c>
      <c r="C16" s="995">
        <v>12</v>
      </c>
      <c r="D16" s="1026"/>
      <c r="E16" s="884"/>
      <c r="F16" s="1027">
        <f t="shared" si="29"/>
        <v>-0.7791726631841791</v>
      </c>
      <c r="G16" s="1028">
        <f t="shared" si="30"/>
        <v>-0.43164147523567686</v>
      </c>
      <c r="H16" s="886"/>
      <c r="I16" s="458">
        <f t="shared" si="31"/>
        <v>0.33632323780013024</v>
      </c>
      <c r="J16" s="886"/>
      <c r="K16" s="801">
        <f t="shared" si="2"/>
        <v>8.9300000000000002E-4</v>
      </c>
      <c r="L16" s="83"/>
      <c r="M16" s="83"/>
      <c r="N16" s="83"/>
      <c r="O16" s="83"/>
      <c r="P16" s="83"/>
      <c r="Q16" s="477"/>
      <c r="R16" s="477"/>
      <c r="S16" s="477"/>
      <c r="T16" s="477"/>
      <c r="U16" s="477"/>
      <c r="V16" s="477"/>
      <c r="W16" s="477"/>
      <c r="X16" s="477"/>
      <c r="Y16" s="477"/>
      <c r="Z16" s="82">
        <f t="shared" si="3"/>
        <v>8.9300000000000002E-4</v>
      </c>
      <c r="AA16" s="82">
        <f t="shared" si="3"/>
        <v>8.9300000000000002E-4</v>
      </c>
      <c r="AB16" s="801">
        <f t="shared" si="3"/>
        <v>8.9300000000000002E-4</v>
      </c>
      <c r="AC16" s="83"/>
      <c r="AD16" s="83"/>
      <c r="AE16" s="83"/>
      <c r="AF16" s="83"/>
      <c r="AG16" s="83"/>
      <c r="AH16" s="83"/>
      <c r="AI16" s="83"/>
      <c r="AJ16" s="83"/>
      <c r="AK16" s="83"/>
      <c r="AL16" s="802"/>
      <c r="AM16" s="802">
        <f t="shared" si="4"/>
        <v>8.9300000000000002E-4</v>
      </c>
      <c r="AN16" s="802"/>
      <c r="AO16" s="802"/>
      <c r="AP16" s="802"/>
      <c r="AQ16" s="802"/>
      <c r="AR16" s="802"/>
      <c r="AS16" s="802"/>
      <c r="AT16" s="802"/>
      <c r="AU16" s="802"/>
      <c r="AV16" s="802"/>
      <c r="AW16" s="802"/>
      <c r="AX16" s="802"/>
      <c r="AY16" s="802"/>
      <c r="AZ16" s="802"/>
      <c r="BA16" s="983">
        <v>10</v>
      </c>
      <c r="BB16" s="994">
        <v>7</v>
      </c>
      <c r="BC16" s="995">
        <v>8</v>
      </c>
      <c r="BD16" s="986"/>
      <c r="BF16" s="983">
        <v>10</v>
      </c>
      <c r="BG16" s="994">
        <v>16</v>
      </c>
      <c r="BH16" s="995">
        <v>17</v>
      </c>
      <c r="BI16" s="986"/>
      <c r="BJ16" s="47"/>
      <c r="BK16" s="983">
        <v>10</v>
      </c>
      <c r="BL16" s="994">
        <v>53</v>
      </c>
      <c r="BM16" s="995">
        <v>77</v>
      </c>
      <c r="BN16" s="986"/>
      <c r="BO16" s="47"/>
      <c r="BP16" s="983">
        <v>10</v>
      </c>
      <c r="BQ16" s="996">
        <v>3.7142857142857144</v>
      </c>
      <c r="BR16" s="997">
        <v>3.2</v>
      </c>
      <c r="BS16" s="986"/>
      <c r="BU16" s="983">
        <v>10</v>
      </c>
      <c r="BV16" s="996">
        <v>3.2857142857142856</v>
      </c>
      <c r="BW16" s="997">
        <v>3.6</v>
      </c>
      <c r="BX16" s="986"/>
      <c r="BY16" s="47"/>
      <c r="BZ16" s="983">
        <v>10</v>
      </c>
      <c r="CA16" s="996">
        <v>3.1428571428571428</v>
      </c>
      <c r="CB16" s="997">
        <v>4.4000000000000004</v>
      </c>
      <c r="CC16" s="986"/>
      <c r="CD16" s="47"/>
      <c r="CE16" s="47"/>
      <c r="CF16" s="47"/>
      <c r="CG16" s="47"/>
      <c r="CH16" s="47"/>
      <c r="CI16" s="47"/>
      <c r="CJ16" s="47"/>
      <c r="CK16" s="47"/>
      <c r="CL16" s="47"/>
      <c r="CM16" s="47"/>
      <c r="CN16" s="47"/>
      <c r="CO16" s="47"/>
      <c r="CP16" s="47"/>
      <c r="CQ16" s="47"/>
      <c r="CR16" s="47"/>
      <c r="CS16" s="47"/>
      <c r="CT16" s="47"/>
      <c r="CU16" s="47"/>
      <c r="CV16" s="47"/>
      <c r="CW16" s="47"/>
      <c r="CX16" s="47"/>
      <c r="CY16" s="47"/>
      <c r="CZ16" s="47"/>
      <c r="DA16" s="47"/>
      <c r="DB16" s="47"/>
      <c r="DC16" s="47"/>
      <c r="DD16" s="47"/>
      <c r="DF16" s="43" t="b">
        <f t="shared" si="5"/>
        <v>1</v>
      </c>
      <c r="DG16" s="43">
        <f t="shared" si="6"/>
        <v>17</v>
      </c>
      <c r="DH16" s="43">
        <f t="shared" si="7"/>
        <v>18</v>
      </c>
      <c r="DI16" s="43">
        <f t="shared" si="8"/>
        <v>1.6337491324829556</v>
      </c>
      <c r="DJ16" s="43">
        <f t="shared" si="9"/>
        <v>1.6402376058955721</v>
      </c>
      <c r="DK16" s="43">
        <f t="shared" si="10"/>
        <v>1.6337491324829556</v>
      </c>
      <c r="DL16" s="43">
        <f t="shared" si="11"/>
        <v>1.6402376058955721</v>
      </c>
      <c r="DM16" s="43" t="b">
        <f t="shared" si="12"/>
        <v>0</v>
      </c>
      <c r="DN16" s="43" t="e">
        <f t="shared" si="13"/>
        <v>#N/A</v>
      </c>
      <c r="DO16" s="43">
        <f t="shared" si="14"/>
        <v>1.6402376058955721</v>
      </c>
      <c r="DP16" s="43" t="e">
        <f t="shared" si="15"/>
        <v>#N/A</v>
      </c>
      <c r="DQ16" s="43" t="e">
        <f t="shared" si="16"/>
        <v>#N/A</v>
      </c>
      <c r="DR16" s="43" t="e">
        <f t="shared" si="17"/>
        <v>#N/A</v>
      </c>
      <c r="DS16" s="43">
        <f t="shared" si="18"/>
        <v>0</v>
      </c>
      <c r="DT16" s="43">
        <v>6</v>
      </c>
      <c r="DU16" s="43">
        <f t="shared" si="28"/>
        <v>6.2749999999999986</v>
      </c>
      <c r="DV16" s="43">
        <f t="shared" si="19"/>
        <v>9.1123535492763619</v>
      </c>
      <c r="DW16" s="43">
        <f t="shared" si="20"/>
        <v>0.77092676680828542</v>
      </c>
      <c r="DX16" s="43" t="e">
        <f t="shared" si="21"/>
        <v>#N/A</v>
      </c>
      <c r="DY16" s="50" t="e">
        <f t="shared" si="22"/>
        <v>#N/A</v>
      </c>
      <c r="DZ16" s="50" t="str">
        <f t="shared" si="23"/>
        <v/>
      </c>
      <c r="EA16" s="50">
        <f t="shared" si="24"/>
        <v>1.5725439852797458</v>
      </c>
      <c r="EB16" s="43" t="e">
        <f t="shared" si="25"/>
        <v>#N/A</v>
      </c>
      <c r="EC16" s="50" t="e">
        <f t="shared" si="26"/>
        <v>#N/A</v>
      </c>
      <c r="ED16" s="50" t="str">
        <f t="shared" si="27"/>
        <v/>
      </c>
    </row>
    <row r="17" spans="1:134" ht="12" customHeight="1">
      <c r="A17" s="640">
        <v>5</v>
      </c>
      <c r="B17" s="994">
        <v>14</v>
      </c>
      <c r="C17" s="995">
        <v>15</v>
      </c>
      <c r="D17" s="1026"/>
      <c r="E17" s="884"/>
      <c r="F17" s="1027">
        <f t="shared" si="29"/>
        <v>0.72890345910778009</v>
      </c>
      <c r="G17" s="1028">
        <f t="shared" si="30"/>
        <v>0.60429806532994756</v>
      </c>
      <c r="H17" s="886"/>
      <c r="I17" s="458">
        <f t="shared" si="31"/>
        <v>0.44047495015113808</v>
      </c>
      <c r="J17" s="886"/>
      <c r="K17" s="801">
        <f t="shared" si="2"/>
        <v>8.9300000000000002E-4</v>
      </c>
      <c r="L17" s="83"/>
      <c r="M17" s="83"/>
      <c r="N17" s="83"/>
      <c r="O17" s="83"/>
      <c r="P17" s="83"/>
      <c r="Q17" s="477"/>
      <c r="R17" s="477"/>
      <c r="S17" s="477"/>
      <c r="T17" s="477"/>
      <c r="U17" s="477"/>
      <c r="V17" s="477"/>
      <c r="W17" s="477"/>
      <c r="X17" s="477"/>
      <c r="Y17" s="477"/>
      <c r="Z17" s="82">
        <f t="shared" si="3"/>
        <v>8.9300000000000002E-4</v>
      </c>
      <c r="AA17" s="82">
        <f t="shared" si="3"/>
        <v>8.9300000000000002E-4</v>
      </c>
      <c r="AB17" s="801">
        <f t="shared" si="3"/>
        <v>8.9300000000000002E-4</v>
      </c>
      <c r="AC17" s="83"/>
      <c r="AD17" s="83"/>
      <c r="AE17" s="83"/>
      <c r="AF17" s="83"/>
      <c r="AG17" s="83"/>
      <c r="AH17" s="83"/>
      <c r="AI17" s="83"/>
      <c r="AJ17" s="83"/>
      <c r="AK17" s="83"/>
      <c r="AL17" s="802"/>
      <c r="AM17" s="802">
        <f t="shared" si="4"/>
        <v>8.9300000000000002E-4</v>
      </c>
      <c r="AN17" s="802"/>
      <c r="AO17" s="802"/>
      <c r="AP17" s="802"/>
      <c r="AQ17" s="802"/>
      <c r="AR17" s="802"/>
      <c r="AS17" s="802"/>
      <c r="AT17" s="802"/>
      <c r="AU17" s="802"/>
      <c r="AV17" s="802"/>
      <c r="AW17" s="802"/>
      <c r="AX17" s="802"/>
      <c r="AY17" s="802"/>
      <c r="AZ17" s="802"/>
      <c r="BA17" s="983">
        <v>11</v>
      </c>
      <c r="BB17" s="994">
        <v>11</v>
      </c>
      <c r="BC17" s="995">
        <v>14</v>
      </c>
      <c r="BD17" s="986"/>
      <c r="BF17" s="983">
        <v>11</v>
      </c>
      <c r="BG17" s="994">
        <v>10</v>
      </c>
      <c r="BH17" s="995">
        <v>9</v>
      </c>
      <c r="BI17" s="986"/>
      <c r="BJ17" s="47"/>
      <c r="BK17" s="983">
        <v>11</v>
      </c>
      <c r="BL17" s="994">
        <v>60</v>
      </c>
      <c r="BM17" s="995">
        <v>67</v>
      </c>
      <c r="BN17" s="986"/>
      <c r="BO17" s="47"/>
      <c r="BP17" s="983">
        <v>11</v>
      </c>
      <c r="BQ17" s="996">
        <v>2.8571428571428572</v>
      </c>
      <c r="BR17" s="997">
        <v>3.4</v>
      </c>
      <c r="BS17" s="986"/>
      <c r="BU17" s="983">
        <v>11</v>
      </c>
      <c r="BV17" s="996">
        <v>2</v>
      </c>
      <c r="BW17" s="997">
        <v>3.8</v>
      </c>
      <c r="BX17" s="986"/>
      <c r="BY17" s="47"/>
      <c r="BZ17" s="983">
        <v>11</v>
      </c>
      <c r="CA17" s="996">
        <v>4.2857142857142856</v>
      </c>
      <c r="CB17" s="997">
        <v>4.5999999999999996</v>
      </c>
      <c r="CC17" s="986"/>
      <c r="DC17" s="43" t="s">
        <v>859</v>
      </c>
      <c r="DF17" s="43" t="b">
        <f t="shared" si="5"/>
        <v>1</v>
      </c>
      <c r="DG17" s="43">
        <f t="shared" si="6"/>
        <v>14</v>
      </c>
      <c r="DH17" s="43">
        <f t="shared" si="7"/>
        <v>13</v>
      </c>
      <c r="DI17" s="43">
        <f t="shared" si="8"/>
        <v>0.72890345910778009</v>
      </c>
      <c r="DJ17" s="43">
        <f t="shared" si="9"/>
        <v>-8.6328295047135378E-2</v>
      </c>
      <c r="DK17" s="43">
        <f t="shared" si="10"/>
        <v>0.72890345910778009</v>
      </c>
      <c r="DL17" s="43">
        <f t="shared" si="11"/>
        <v>-8.6328295047135378E-2</v>
      </c>
      <c r="DM17" s="43" t="b">
        <f t="shared" si="12"/>
        <v>0</v>
      </c>
      <c r="DN17" s="43" t="e">
        <f t="shared" si="13"/>
        <v>#N/A</v>
      </c>
      <c r="DO17" s="43">
        <f t="shared" si="14"/>
        <v>-8.6328295047135378E-2</v>
      </c>
      <c r="DP17" s="43" t="e">
        <f t="shared" si="15"/>
        <v>#N/A</v>
      </c>
      <c r="DQ17" s="43" t="e">
        <f t="shared" si="16"/>
        <v>#N/A</v>
      </c>
      <c r="DR17" s="43" t="e">
        <f t="shared" si="17"/>
        <v>#N/A</v>
      </c>
      <c r="DS17" s="43">
        <f t="shared" si="18"/>
        <v>0</v>
      </c>
      <c r="DT17" s="43">
        <v>7</v>
      </c>
      <c r="DU17" s="43">
        <f t="shared" si="28"/>
        <v>6.3299999999999983</v>
      </c>
      <c r="DV17" s="43">
        <f t="shared" si="19"/>
        <v>9.1552239834596847</v>
      </c>
      <c r="DW17" s="43">
        <f t="shared" si="20"/>
        <v>0.76505118913638204</v>
      </c>
      <c r="DX17" s="43" t="e">
        <f t="shared" si="21"/>
        <v>#N/A</v>
      </c>
      <c r="DY17" s="50" t="e">
        <f t="shared" si="22"/>
        <v>#N/A</v>
      </c>
      <c r="DZ17" s="50" t="str">
        <f t="shared" si="23"/>
        <v/>
      </c>
      <c r="EA17" s="50">
        <f t="shared" si="24"/>
        <v>1.5696718854133247</v>
      </c>
      <c r="EB17" s="43" t="e">
        <f t="shared" si="25"/>
        <v>#N/A</v>
      </c>
      <c r="EC17" s="50" t="e">
        <f t="shared" si="26"/>
        <v>#N/A</v>
      </c>
      <c r="ED17" s="50" t="str">
        <f t="shared" si="27"/>
        <v/>
      </c>
    </row>
    <row r="18" spans="1:134" ht="12" customHeight="1">
      <c r="A18" s="640">
        <v>6</v>
      </c>
      <c r="B18" s="994">
        <v>17</v>
      </c>
      <c r="C18" s="995">
        <v>18</v>
      </c>
      <c r="D18" s="1026"/>
      <c r="E18" s="884"/>
      <c r="F18" s="1027">
        <f t="shared" si="29"/>
        <v>1.6337491324829556</v>
      </c>
      <c r="G18" s="1028">
        <f t="shared" si="30"/>
        <v>1.6402376058955721</v>
      </c>
      <c r="H18" s="886"/>
      <c r="I18" s="458">
        <f t="shared" si="31"/>
        <v>2.6797367656978111</v>
      </c>
      <c r="J18" s="886"/>
      <c r="K18" s="801">
        <f t="shared" si="2"/>
        <v>8.9300000000000002E-4</v>
      </c>
      <c r="L18" s="83"/>
      <c r="M18" s="83"/>
      <c r="N18" s="83"/>
      <c r="O18" s="83"/>
      <c r="P18" s="83"/>
      <c r="Q18" s="477"/>
      <c r="R18" s="477"/>
      <c r="S18" s="477"/>
      <c r="T18" s="477"/>
      <c r="U18" s="477"/>
      <c r="V18" s="477"/>
      <c r="W18" s="477"/>
      <c r="X18" s="477"/>
      <c r="Y18" s="477"/>
      <c r="Z18" s="82">
        <f t="shared" si="3"/>
        <v>8.9300000000000002E-4</v>
      </c>
      <c r="AA18" s="82">
        <f t="shared" si="3"/>
        <v>8.9300000000000002E-4</v>
      </c>
      <c r="AB18" s="801">
        <f t="shared" si="3"/>
        <v>8.9300000000000002E-4</v>
      </c>
      <c r="AC18" s="83"/>
      <c r="AD18" s="83"/>
      <c r="AE18" s="83"/>
      <c r="AF18" s="83"/>
      <c r="AG18" s="83"/>
      <c r="AH18" s="83"/>
      <c r="AI18" s="83"/>
      <c r="AJ18" s="83"/>
      <c r="AK18" s="83"/>
      <c r="AL18" s="802"/>
      <c r="AM18" s="802">
        <f t="shared" si="4"/>
        <v>8.9300000000000002E-4</v>
      </c>
      <c r="AN18" s="802"/>
      <c r="AO18" s="802"/>
      <c r="AP18" s="802"/>
      <c r="AQ18" s="802"/>
      <c r="AR18" s="802"/>
      <c r="AS18" s="802"/>
      <c r="AT18" s="802"/>
      <c r="AU18" s="802"/>
      <c r="AV18" s="802"/>
      <c r="AW18" s="802"/>
      <c r="AX18" s="802"/>
      <c r="AY18" s="802"/>
      <c r="AZ18" s="802"/>
      <c r="BA18" s="983">
        <v>12</v>
      </c>
      <c r="BB18" s="994">
        <v>15</v>
      </c>
      <c r="BC18" s="995">
        <v>16</v>
      </c>
      <c r="BD18" s="986"/>
      <c r="BF18" s="983">
        <v>12</v>
      </c>
      <c r="BG18" s="994">
        <v>11</v>
      </c>
      <c r="BH18" s="995">
        <v>14</v>
      </c>
      <c r="BI18" s="986"/>
      <c r="BK18" s="983">
        <v>12</v>
      </c>
      <c r="BL18" s="994">
        <v>73</v>
      </c>
      <c r="BM18" s="995">
        <v>76</v>
      </c>
      <c r="BN18" s="986"/>
      <c r="BP18" s="983">
        <v>12</v>
      </c>
      <c r="BQ18" s="996">
        <v>2.8571428571428572</v>
      </c>
      <c r="BR18" s="997">
        <v>3.3</v>
      </c>
      <c r="BS18" s="986"/>
      <c r="BU18" s="983">
        <v>12</v>
      </c>
      <c r="BV18" s="996">
        <v>3.1428571428571428</v>
      </c>
      <c r="BW18" s="997">
        <v>3.8</v>
      </c>
      <c r="BX18" s="986"/>
      <c r="BZ18" s="983">
        <v>12</v>
      </c>
      <c r="CA18" s="996">
        <v>4.4285714285714288</v>
      </c>
      <c r="CB18" s="997">
        <v>4.5999999999999996</v>
      </c>
      <c r="CC18" s="986"/>
      <c r="DC18" s="43" t="e">
        <f>IF($DD$14,IF(OR(NOT($DS$1),ABS($DJ$5-$DD$20)&lt;=$DD$21),DD4,NA()),NA())</f>
        <v>#N/A</v>
      </c>
      <c r="DD18" s="43" t="e">
        <f>IF($DD$14,IF(OR(NOT($DS$1),ABS($DJ$5-$DD$20)&lt;=$DD$21),C9-(B9-DD4)*IF(DS1,DD20,C8)*C10/B10,NA()),NA())</f>
        <v>#N/A</v>
      </c>
      <c r="DF18" s="43" t="b">
        <f t="shared" si="5"/>
        <v>1</v>
      </c>
      <c r="DG18" s="43">
        <f t="shared" si="6"/>
        <v>9</v>
      </c>
      <c r="DH18" s="43">
        <f t="shared" si="7"/>
        <v>10</v>
      </c>
      <c r="DI18" s="43">
        <f t="shared" si="8"/>
        <v>-0.7791726631841791</v>
      </c>
      <c r="DJ18" s="43">
        <f t="shared" si="9"/>
        <v>-1.1222678356127598</v>
      </c>
      <c r="DK18" s="43">
        <f t="shared" si="10"/>
        <v>-0.7791726631841791</v>
      </c>
      <c r="DL18" s="43">
        <f t="shared" si="11"/>
        <v>-1.1222678356127598</v>
      </c>
      <c r="DM18" s="43" t="b">
        <f t="shared" si="12"/>
        <v>0</v>
      </c>
      <c r="DN18" s="43" t="e">
        <f t="shared" si="13"/>
        <v>#N/A</v>
      </c>
      <c r="DO18" s="43">
        <f t="shared" si="14"/>
        <v>-1.1222678356127598</v>
      </c>
      <c r="DP18" s="43" t="e">
        <f t="shared" si="15"/>
        <v>#N/A</v>
      </c>
      <c r="DQ18" s="43" t="e">
        <f t="shared" si="16"/>
        <v>#N/A</v>
      </c>
      <c r="DR18" s="43" t="e">
        <f t="shared" si="17"/>
        <v>#N/A</v>
      </c>
      <c r="DS18" s="43">
        <f t="shared" si="18"/>
        <v>0</v>
      </c>
      <c r="DT18" s="43">
        <v>8</v>
      </c>
      <c r="DU18" s="43">
        <f t="shared" si="28"/>
        <v>6.384999999999998</v>
      </c>
      <c r="DV18" s="43">
        <f t="shared" si="19"/>
        <v>9.1980944176430057</v>
      </c>
      <c r="DW18" s="43">
        <f t="shared" si="20"/>
        <v>0.75919204242096261</v>
      </c>
      <c r="DX18" s="43" t="e">
        <f t="shared" si="21"/>
        <v>#N/A</v>
      </c>
      <c r="DY18" s="50" t="e">
        <f t="shared" si="22"/>
        <v>#N/A</v>
      </c>
      <c r="DZ18" s="50" t="str">
        <f t="shared" si="23"/>
        <v/>
      </c>
      <c r="EA18" s="50">
        <f t="shared" si="24"/>
        <v>1.5668245157430178</v>
      </c>
      <c r="EB18" s="43" t="e">
        <f t="shared" si="25"/>
        <v>#N/A</v>
      </c>
      <c r="EC18" s="50" t="e">
        <f t="shared" si="26"/>
        <v>#N/A</v>
      </c>
      <c r="ED18" s="50" t="str">
        <f t="shared" si="27"/>
        <v/>
      </c>
    </row>
    <row r="19" spans="1:134" ht="12" customHeight="1">
      <c r="A19" s="640">
        <v>7</v>
      </c>
      <c r="B19" s="994">
        <v>14</v>
      </c>
      <c r="C19" s="995">
        <v>13</v>
      </c>
      <c r="D19" s="1026"/>
      <c r="E19" s="884"/>
      <c r="F19" s="1027">
        <f t="shared" si="29"/>
        <v>0.72890345910778009</v>
      </c>
      <c r="G19" s="1028">
        <f t="shared" si="30"/>
        <v>-8.6328295047135378E-2</v>
      </c>
      <c r="H19" s="886"/>
      <c r="I19" s="458">
        <f t="shared" si="31"/>
        <v>-6.2924992878734015E-2</v>
      </c>
      <c r="J19" s="886"/>
      <c r="K19" s="801">
        <f t="shared" si="2"/>
        <v>8.9300000000000002E-4</v>
      </c>
      <c r="L19" s="83"/>
      <c r="M19" s="83"/>
      <c r="N19" s="83"/>
      <c r="O19" s="83"/>
      <c r="P19" s="83"/>
      <c r="Q19" s="477"/>
      <c r="R19" s="477"/>
      <c r="S19" s="477"/>
      <c r="T19" s="477"/>
      <c r="U19" s="477"/>
      <c r="V19" s="477"/>
      <c r="W19" s="477"/>
      <c r="X19" s="477"/>
      <c r="Y19" s="477"/>
      <c r="Z19" s="82">
        <f t="shared" si="3"/>
        <v>8.9300000000000002E-4</v>
      </c>
      <c r="AA19" s="82">
        <f t="shared" si="3"/>
        <v>8.9300000000000002E-4</v>
      </c>
      <c r="AB19" s="801">
        <f t="shared" si="3"/>
        <v>8.9300000000000002E-4</v>
      </c>
      <c r="AC19" s="83"/>
      <c r="AD19" s="83"/>
      <c r="AE19" s="83"/>
      <c r="AF19" s="83"/>
      <c r="AG19" s="83"/>
      <c r="AH19" s="83"/>
      <c r="AI19" s="83"/>
      <c r="AJ19" s="83"/>
      <c r="AK19" s="83"/>
      <c r="AL19" s="802"/>
      <c r="AM19" s="802">
        <f t="shared" si="4"/>
        <v>8.9300000000000002E-4</v>
      </c>
      <c r="AN19" s="802"/>
      <c r="AO19" s="802"/>
      <c r="AP19" s="802"/>
      <c r="AQ19" s="802"/>
      <c r="AR19" s="802"/>
      <c r="AS19" s="802"/>
      <c r="AT19" s="802"/>
      <c r="AU19" s="802"/>
      <c r="AV19" s="802"/>
      <c r="AW19" s="802"/>
      <c r="AX19" s="802"/>
      <c r="AY19" s="802"/>
      <c r="AZ19" s="802"/>
      <c r="BA19" s="983">
        <v>13</v>
      </c>
      <c r="BB19" s="994"/>
      <c r="BC19" s="995"/>
      <c r="BD19" s="986"/>
      <c r="BF19" s="983">
        <v>13</v>
      </c>
      <c r="BG19" s="994">
        <v>13</v>
      </c>
      <c r="BH19" s="995">
        <v>15</v>
      </c>
      <c r="BI19" s="986"/>
      <c r="BK19" s="983">
        <v>13</v>
      </c>
      <c r="BL19" s="994">
        <v>72</v>
      </c>
      <c r="BM19" s="995">
        <v>69</v>
      </c>
      <c r="BN19" s="986"/>
      <c r="BP19" s="983">
        <v>13</v>
      </c>
      <c r="BQ19" s="996">
        <v>3.1428571428571428</v>
      </c>
      <c r="BR19" s="997">
        <v>3.4</v>
      </c>
      <c r="BS19" s="986"/>
      <c r="BU19" s="983">
        <v>13</v>
      </c>
      <c r="BV19" s="996">
        <v>2.4285714285714284</v>
      </c>
      <c r="BW19" s="997">
        <v>4</v>
      </c>
      <c r="BX19" s="986"/>
      <c r="BZ19" s="983">
        <v>13</v>
      </c>
      <c r="CA19" s="996">
        <v>4</v>
      </c>
      <c r="CB19" s="997">
        <v>4.5999999999999996</v>
      </c>
      <c r="CC19" s="986"/>
      <c r="CZ19" s="49"/>
      <c r="DA19" s="49"/>
      <c r="DC19" s="43" t="e">
        <f>IF($DD$14,IF(OR(NOT($DS$1),ABS($DJ$5-$DD$20)&lt;=$DD$21),DD3,NA()),NA())</f>
        <v>#N/A</v>
      </c>
      <c r="DD19" s="43" t="e">
        <f>IF($DD$14,IF(OR(NOT($DS$1),ABS($DJ$5-$DD$20)&lt;=$DD$21),C9+(DD3-B9)*IF(DS1,DD20,C8)*C10/B10,NA()),NA())</f>
        <v>#N/A</v>
      </c>
      <c r="DF19" s="43" t="b">
        <f t="shared" si="5"/>
        <v>1</v>
      </c>
      <c r="DG19" s="43">
        <f t="shared" si="6"/>
        <v>6</v>
      </c>
      <c r="DH19" s="43">
        <f t="shared" si="7"/>
        <v>10</v>
      </c>
      <c r="DI19" s="43">
        <f t="shared" si="8"/>
        <v>-1.6840183365593546</v>
      </c>
      <c r="DJ19" s="43">
        <f t="shared" si="9"/>
        <v>-1.1222678356127598</v>
      </c>
      <c r="DK19" s="43">
        <f t="shared" si="10"/>
        <v>-1.6840183365593546</v>
      </c>
      <c r="DL19" s="43">
        <f t="shared" si="11"/>
        <v>-1.1222678356127598</v>
      </c>
      <c r="DM19" s="43" t="b">
        <f t="shared" si="12"/>
        <v>0</v>
      </c>
      <c r="DN19" s="43" t="e">
        <f t="shared" si="13"/>
        <v>#N/A</v>
      </c>
      <c r="DO19" s="43">
        <f t="shared" si="14"/>
        <v>-1.1222678356127598</v>
      </c>
      <c r="DP19" s="43" t="e">
        <f t="shared" si="15"/>
        <v>#N/A</v>
      </c>
      <c r="DQ19" s="43" t="e">
        <f t="shared" si="16"/>
        <v>#N/A</v>
      </c>
      <c r="DR19" s="43" t="e">
        <f t="shared" si="17"/>
        <v>#N/A</v>
      </c>
      <c r="DS19" s="43">
        <f t="shared" si="18"/>
        <v>0</v>
      </c>
      <c r="DT19" s="43">
        <v>9</v>
      </c>
      <c r="DU19" s="43">
        <f t="shared" si="28"/>
        <v>6.4399999999999977</v>
      </c>
      <c r="DV19" s="43">
        <f t="shared" si="19"/>
        <v>9.2409648518263268</v>
      </c>
      <c r="DW19" s="43">
        <f t="shared" si="20"/>
        <v>0.75334971003541074</v>
      </c>
      <c r="DX19" s="43" t="e">
        <f t="shared" si="21"/>
        <v>#N/A</v>
      </c>
      <c r="DY19" s="50" t="e">
        <f t="shared" si="22"/>
        <v>#N/A</v>
      </c>
      <c r="DZ19" s="50" t="str">
        <f t="shared" si="23"/>
        <v/>
      </c>
      <c r="EA19" s="50">
        <f t="shared" si="24"/>
        <v>1.5640020113377304</v>
      </c>
      <c r="EB19" s="43" t="e">
        <f t="shared" si="25"/>
        <v>#N/A</v>
      </c>
      <c r="EC19" s="50" t="e">
        <f t="shared" si="26"/>
        <v>#N/A</v>
      </c>
      <c r="ED19" s="50" t="str">
        <f t="shared" si="27"/>
        <v/>
      </c>
    </row>
    <row r="20" spans="1:134" ht="12" customHeight="1">
      <c r="A20" s="640">
        <v>8</v>
      </c>
      <c r="B20" s="994">
        <v>9</v>
      </c>
      <c r="C20" s="995">
        <v>10</v>
      </c>
      <c r="D20" s="1026"/>
      <c r="E20" s="884"/>
      <c r="F20" s="1027">
        <f t="shared" si="29"/>
        <v>-0.7791726631841791</v>
      </c>
      <c r="G20" s="1028">
        <f t="shared" si="30"/>
        <v>-1.1222678356127598</v>
      </c>
      <c r="H20" s="886"/>
      <c r="I20" s="458">
        <f t="shared" si="31"/>
        <v>0.87444041828033858</v>
      </c>
      <c r="J20" s="886"/>
      <c r="K20" s="801">
        <f t="shared" si="2"/>
        <v>8.9300000000000002E-4</v>
      </c>
      <c r="L20" s="83"/>
      <c r="M20" s="83"/>
      <c r="N20" s="83"/>
      <c r="O20" s="83"/>
      <c r="P20" s="83"/>
      <c r="Q20" s="477"/>
      <c r="R20" s="477"/>
      <c r="S20" s="477"/>
      <c r="T20" s="477"/>
      <c r="U20" s="477"/>
      <c r="V20" s="477"/>
      <c r="W20" s="477"/>
      <c r="X20" s="477"/>
      <c r="Y20" s="477"/>
      <c r="Z20" s="82">
        <f t="shared" si="3"/>
        <v>8.9300000000000002E-4</v>
      </c>
      <c r="AA20" s="82">
        <f t="shared" si="3"/>
        <v>8.9300000000000002E-4</v>
      </c>
      <c r="AB20" s="801">
        <f t="shared" si="3"/>
        <v>8.9300000000000002E-4</v>
      </c>
      <c r="AC20" s="83"/>
      <c r="AD20" s="83"/>
      <c r="AE20" s="83"/>
      <c r="AF20" s="83"/>
      <c r="AG20" s="83"/>
      <c r="AH20" s="83"/>
      <c r="AI20" s="83"/>
      <c r="AJ20" s="83"/>
      <c r="AK20" s="83"/>
      <c r="AL20" s="802"/>
      <c r="AM20" s="802">
        <f t="shared" si="4"/>
        <v>8.9300000000000002E-4</v>
      </c>
      <c r="AN20" s="802"/>
      <c r="AO20" s="802"/>
      <c r="AP20" s="802"/>
      <c r="AQ20" s="802"/>
      <c r="AR20" s="802"/>
      <c r="AS20" s="802"/>
      <c r="AT20" s="802"/>
      <c r="AU20" s="802"/>
      <c r="AV20" s="802"/>
      <c r="AW20" s="802"/>
      <c r="AX20" s="802"/>
      <c r="AY20" s="802"/>
      <c r="AZ20" s="802"/>
      <c r="BA20" s="983">
        <v>14</v>
      </c>
      <c r="BB20" s="994"/>
      <c r="BC20" s="995"/>
      <c r="BD20" s="986"/>
      <c r="BF20" s="983">
        <v>14</v>
      </c>
      <c r="BG20" s="994">
        <v>19</v>
      </c>
      <c r="BH20" s="995">
        <v>22</v>
      </c>
      <c r="BI20" s="986"/>
      <c r="BK20" s="983">
        <v>14</v>
      </c>
      <c r="BL20" s="994">
        <v>62</v>
      </c>
      <c r="BM20" s="995">
        <v>73</v>
      </c>
      <c r="BN20" s="986"/>
      <c r="BP20" s="983">
        <v>14</v>
      </c>
      <c r="BQ20" s="996">
        <v>3.5714285714285716</v>
      </c>
      <c r="BR20" s="997">
        <v>3.4</v>
      </c>
      <c r="BS20" s="986"/>
      <c r="BU20" s="983">
        <v>14</v>
      </c>
      <c r="BV20" s="996">
        <v>3.1428571428571428</v>
      </c>
      <c r="BW20" s="997">
        <v>4</v>
      </c>
      <c r="BX20" s="986"/>
      <c r="BZ20" s="983">
        <v>14</v>
      </c>
      <c r="CA20" s="996">
        <v>3.2857142857142856</v>
      </c>
      <c r="CB20" s="997">
        <v>4.8</v>
      </c>
      <c r="CC20" s="986"/>
      <c r="DC20" s="43" t="s">
        <v>862</v>
      </c>
      <c r="DD20" s="43">
        <f>IF(DJ5=0,(50-DQ1)/100,IF(DJ5&gt;0,(100-DQ1)/100,-(100-DQ1)/100))</f>
        <v>0.75</v>
      </c>
      <c r="DF20" s="43" t="b">
        <f t="shared" si="5"/>
        <v>1</v>
      </c>
      <c r="DG20" s="43">
        <f t="shared" si="6"/>
        <v>7</v>
      </c>
      <c r="DH20" s="43">
        <f t="shared" si="7"/>
        <v>8</v>
      </c>
      <c r="DI20" s="43">
        <f t="shared" si="8"/>
        <v>-1.3824031121009628</v>
      </c>
      <c r="DJ20" s="43">
        <f t="shared" si="9"/>
        <v>-1.8128941959898428</v>
      </c>
      <c r="DK20" s="43">
        <f t="shared" si="10"/>
        <v>-1.3824031121009628</v>
      </c>
      <c r="DL20" s="43">
        <f t="shared" si="11"/>
        <v>-1.8128941959898428</v>
      </c>
      <c r="DM20" s="43" t="b">
        <f t="shared" si="12"/>
        <v>0</v>
      </c>
      <c r="DN20" s="43" t="e">
        <f t="shared" si="13"/>
        <v>#N/A</v>
      </c>
      <c r="DO20" s="43">
        <f t="shared" si="14"/>
        <v>-1.8128941959898428</v>
      </c>
      <c r="DP20" s="43" t="e">
        <f t="shared" si="15"/>
        <v>#N/A</v>
      </c>
      <c r="DQ20" s="43" t="e">
        <f t="shared" si="16"/>
        <v>#N/A</v>
      </c>
      <c r="DR20" s="43" t="e">
        <f t="shared" si="17"/>
        <v>#N/A</v>
      </c>
      <c r="DS20" s="43">
        <f t="shared" si="18"/>
        <v>0</v>
      </c>
      <c r="DT20" s="43">
        <v>10</v>
      </c>
      <c r="DU20" s="43">
        <f t="shared" si="28"/>
        <v>6.4949999999999974</v>
      </c>
      <c r="DV20" s="43">
        <f t="shared" si="19"/>
        <v>9.2838352860096478</v>
      </c>
      <c r="DW20" s="43">
        <f t="shared" si="20"/>
        <v>0.74752458622065854</v>
      </c>
      <c r="DX20" s="43" t="e">
        <f t="shared" si="21"/>
        <v>#N/A</v>
      </c>
      <c r="DY20" s="50" t="e">
        <f t="shared" si="22"/>
        <v>#N/A</v>
      </c>
      <c r="DZ20" s="50" t="str">
        <f t="shared" si="23"/>
        <v/>
      </c>
      <c r="EA20" s="50">
        <f t="shared" si="24"/>
        <v>1.5612045070593397</v>
      </c>
      <c r="EB20" s="43" t="e">
        <f t="shared" si="25"/>
        <v>#N/A</v>
      </c>
      <c r="EC20" s="50" t="e">
        <f t="shared" si="26"/>
        <v>#N/A</v>
      </c>
      <c r="ED20" s="50" t="str">
        <f t="shared" si="27"/>
        <v/>
      </c>
    </row>
    <row r="21" spans="1:134" ht="12" customHeight="1">
      <c r="A21" s="640">
        <v>9</v>
      </c>
      <c r="B21" s="994">
        <v>6</v>
      </c>
      <c r="C21" s="995">
        <v>10</v>
      </c>
      <c r="D21" s="1026"/>
      <c r="E21" s="884"/>
      <c r="F21" s="1027">
        <f t="shared" si="29"/>
        <v>-1.6840183365593546</v>
      </c>
      <c r="G21" s="1028">
        <f t="shared" si="30"/>
        <v>-1.1222678356127598</v>
      </c>
      <c r="H21" s="886"/>
      <c r="I21" s="458">
        <f t="shared" si="31"/>
        <v>1.889919613702667</v>
      </c>
      <c r="J21" s="886"/>
      <c r="K21" s="801">
        <f t="shared" si="2"/>
        <v>8.9300000000000002E-4</v>
      </c>
      <c r="L21" s="83"/>
      <c r="M21" s="83"/>
      <c r="N21" s="83"/>
      <c r="O21" s="83"/>
      <c r="P21" s="83"/>
      <c r="Q21" s="477"/>
      <c r="R21" s="477"/>
      <c r="S21" s="477"/>
      <c r="T21" s="477"/>
      <c r="U21" s="477"/>
      <c r="V21" s="477"/>
      <c r="W21" s="477"/>
      <c r="X21" s="477"/>
      <c r="Y21" s="477"/>
      <c r="Z21" s="82">
        <f t="shared" si="3"/>
        <v>8.9300000000000002E-4</v>
      </c>
      <c r="AA21" s="82">
        <f t="shared" si="3"/>
        <v>8.9300000000000002E-4</v>
      </c>
      <c r="AB21" s="801">
        <f t="shared" si="3"/>
        <v>8.9300000000000002E-4</v>
      </c>
      <c r="AC21" s="83"/>
      <c r="AD21" s="83"/>
      <c r="AE21" s="83"/>
      <c r="AF21" s="83"/>
      <c r="AG21" s="83"/>
      <c r="AH21" s="83"/>
      <c r="AI21" s="83"/>
      <c r="AJ21" s="83"/>
      <c r="AK21" s="83"/>
      <c r="AL21" s="802"/>
      <c r="AM21" s="802">
        <f t="shared" si="4"/>
        <v>8.9300000000000002E-4</v>
      </c>
      <c r="AN21" s="802"/>
      <c r="AO21" s="802"/>
      <c r="AP21" s="802"/>
      <c r="AQ21" s="802"/>
      <c r="AR21" s="802"/>
      <c r="AS21" s="802"/>
      <c r="AT21" s="802"/>
      <c r="AU21" s="802"/>
      <c r="AV21" s="802"/>
      <c r="AW21" s="802"/>
      <c r="AX21" s="802"/>
      <c r="AY21" s="802"/>
      <c r="AZ21" s="802"/>
      <c r="BA21" s="983">
        <v>15</v>
      </c>
      <c r="BB21" s="994"/>
      <c r="BC21" s="995"/>
      <c r="BD21" s="986"/>
      <c r="BF21" s="983">
        <v>15</v>
      </c>
      <c r="BG21" s="994">
        <v>19</v>
      </c>
      <c r="BH21" s="995">
        <v>18</v>
      </c>
      <c r="BI21" s="986"/>
      <c r="BK21" s="983">
        <v>15</v>
      </c>
      <c r="BL21" s="994">
        <v>68</v>
      </c>
      <c r="BM21" s="995">
        <v>73</v>
      </c>
      <c r="BN21" s="986"/>
      <c r="BP21" s="983">
        <v>15</v>
      </c>
      <c r="BQ21" s="996">
        <v>3</v>
      </c>
      <c r="BR21" s="997">
        <v>3.6</v>
      </c>
      <c r="BS21" s="986"/>
      <c r="BU21" s="983">
        <v>15</v>
      </c>
      <c r="BV21" s="996">
        <v>3.2857142857142856</v>
      </c>
      <c r="BW21" s="997">
        <v>4.2</v>
      </c>
      <c r="BX21" s="986"/>
      <c r="BZ21" s="983">
        <v>15</v>
      </c>
      <c r="CA21" s="996">
        <v>3.7142857142857144</v>
      </c>
      <c r="CB21" s="997">
        <v>4.8</v>
      </c>
      <c r="CC21" s="986"/>
      <c r="DC21" s="43" t="s">
        <v>861</v>
      </c>
      <c r="DD21" s="43">
        <f>0.006</f>
        <v>6.0000000000000001E-3</v>
      </c>
      <c r="DF21" s="43" t="b">
        <f t="shared" si="5"/>
        <v>1</v>
      </c>
      <c r="DG21" s="43">
        <f t="shared" si="6"/>
        <v>11</v>
      </c>
      <c r="DH21" s="43">
        <f t="shared" si="7"/>
        <v>14</v>
      </c>
      <c r="DI21" s="43">
        <f t="shared" si="8"/>
        <v>-0.1759422142673954</v>
      </c>
      <c r="DJ21" s="43">
        <f t="shared" si="9"/>
        <v>0.25898488514140611</v>
      </c>
      <c r="DK21" s="43">
        <f t="shared" si="10"/>
        <v>-0.1759422142673954</v>
      </c>
      <c r="DL21" s="43">
        <f t="shared" si="11"/>
        <v>0.25898488514140611</v>
      </c>
      <c r="DM21" s="43" t="b">
        <f t="shared" si="12"/>
        <v>0</v>
      </c>
      <c r="DN21" s="43" t="e">
        <f t="shared" si="13"/>
        <v>#N/A</v>
      </c>
      <c r="DO21" s="43">
        <f t="shared" si="14"/>
        <v>0.25898488514140611</v>
      </c>
      <c r="DP21" s="43" t="e">
        <f t="shared" si="15"/>
        <v>#N/A</v>
      </c>
      <c r="DQ21" s="43" t="e">
        <f t="shared" si="16"/>
        <v>#N/A</v>
      </c>
      <c r="DR21" s="43" t="e">
        <f t="shared" si="17"/>
        <v>#N/A</v>
      </c>
      <c r="DS21" s="43">
        <f t="shared" si="18"/>
        <v>0</v>
      </c>
      <c r="DT21" s="43">
        <v>11</v>
      </c>
      <c r="DU21" s="43">
        <f t="shared" si="28"/>
        <v>6.5499999999999972</v>
      </c>
      <c r="DV21" s="43">
        <f t="shared" si="19"/>
        <v>9.3267057201929688</v>
      </c>
      <c r="DW21" s="43">
        <f t="shared" si="20"/>
        <v>0.74171707642274243</v>
      </c>
      <c r="DX21" s="43" t="e">
        <f t="shared" si="21"/>
        <v>#N/A</v>
      </c>
      <c r="DY21" s="50" t="e">
        <f t="shared" si="22"/>
        <v>#N/A</v>
      </c>
      <c r="DZ21" s="50" t="str">
        <f t="shared" si="23"/>
        <v/>
      </c>
      <c r="EA21" s="50">
        <f t="shared" si="24"/>
        <v>1.5584321375392416</v>
      </c>
      <c r="EB21" s="43" t="e">
        <f t="shared" si="25"/>
        <v>#N/A</v>
      </c>
      <c r="EC21" s="50" t="e">
        <f t="shared" si="26"/>
        <v>#N/A</v>
      </c>
      <c r="ED21" s="50" t="str">
        <f t="shared" si="27"/>
        <v/>
      </c>
    </row>
    <row r="22" spans="1:134" ht="12" customHeight="1">
      <c r="A22" s="640">
        <v>10</v>
      </c>
      <c r="B22" s="994">
        <v>7</v>
      </c>
      <c r="C22" s="995">
        <v>8</v>
      </c>
      <c r="D22" s="1026"/>
      <c r="E22" s="884"/>
      <c r="F22" s="1027">
        <f t="shared" si="29"/>
        <v>-1.3824031121009628</v>
      </c>
      <c r="G22" s="1028">
        <f t="shared" si="30"/>
        <v>-1.8128941959898428</v>
      </c>
      <c r="H22" s="886"/>
      <c r="I22" s="458">
        <f t="shared" si="31"/>
        <v>2.5061505784461313</v>
      </c>
      <c r="J22" s="886"/>
      <c r="K22" s="801">
        <f t="shared" si="2"/>
        <v>8.9300000000000002E-4</v>
      </c>
      <c r="L22" s="83"/>
      <c r="M22" s="83"/>
      <c r="N22" s="83"/>
      <c r="O22" s="83"/>
      <c r="P22" s="83"/>
      <c r="Q22" s="477"/>
      <c r="R22" s="1031"/>
      <c r="S22" s="1031"/>
      <c r="T22" s="1031"/>
      <c r="U22" s="1031"/>
      <c r="V22" s="1031"/>
      <c r="W22" s="1032"/>
      <c r="X22" s="1032"/>
      <c r="Y22" s="1031"/>
      <c r="Z22" s="1031">
        <f t="shared" si="3"/>
        <v>8.9300000000000002E-4</v>
      </c>
      <c r="AA22" s="1031">
        <f t="shared" si="3"/>
        <v>8.9300000000000002E-4</v>
      </c>
      <c r="AB22" s="1033">
        <f t="shared" si="3"/>
        <v>8.9300000000000002E-4</v>
      </c>
      <c r="AC22" s="83"/>
      <c r="AD22" s="83"/>
      <c r="AE22" s="83"/>
      <c r="AF22" s="83"/>
      <c r="AG22" s="83"/>
      <c r="AH22" s="83"/>
      <c r="AI22" s="83"/>
      <c r="AJ22" s="83"/>
      <c r="AK22" s="83"/>
      <c r="AL22" s="802"/>
      <c r="AM22" s="802">
        <f t="shared" si="4"/>
        <v>8.9300000000000002E-4</v>
      </c>
      <c r="AN22" s="802"/>
      <c r="AO22" s="802"/>
      <c r="AP22" s="802"/>
      <c r="AQ22" s="802"/>
      <c r="AR22" s="802"/>
      <c r="AS22" s="802"/>
      <c r="AT22" s="802"/>
      <c r="AU22" s="802"/>
      <c r="AV22" s="802"/>
      <c r="AW22" s="802"/>
      <c r="AX22" s="802"/>
      <c r="AY22" s="802"/>
      <c r="AZ22" s="802"/>
      <c r="BA22" s="983">
        <v>16</v>
      </c>
      <c r="BB22" s="994"/>
      <c r="BC22" s="995"/>
      <c r="BD22" s="986"/>
      <c r="BF22" s="983">
        <v>16</v>
      </c>
      <c r="BG22" s="994">
        <v>15</v>
      </c>
      <c r="BH22" s="995">
        <v>18</v>
      </c>
      <c r="BI22" s="986"/>
      <c r="BK22" s="983">
        <v>16</v>
      </c>
      <c r="BL22" s="994">
        <v>63</v>
      </c>
      <c r="BM22" s="995">
        <v>68</v>
      </c>
      <c r="BN22" s="986"/>
      <c r="BP22" s="983">
        <v>16</v>
      </c>
      <c r="BQ22" s="996">
        <v>3.2857142857142856</v>
      </c>
      <c r="BR22" s="997">
        <v>3.6</v>
      </c>
      <c r="BS22" s="986"/>
      <c r="BU22" s="983">
        <v>16</v>
      </c>
      <c r="BV22" s="996">
        <v>3.4285714285714284</v>
      </c>
      <c r="BW22" s="997">
        <v>4.2</v>
      </c>
      <c r="BX22" s="986"/>
      <c r="BZ22" s="983">
        <v>16</v>
      </c>
      <c r="CA22" s="996">
        <v>2.8571428571428572</v>
      </c>
      <c r="CB22" s="997">
        <v>4.8</v>
      </c>
      <c r="CC22" s="986"/>
      <c r="DC22" s="43" t="s">
        <v>860</v>
      </c>
      <c r="DF22" s="43" t="b">
        <f t="shared" si="5"/>
        <v>1</v>
      </c>
      <c r="DG22" s="43">
        <f t="shared" si="6"/>
        <v>15</v>
      </c>
      <c r="DH22" s="43">
        <f t="shared" si="7"/>
        <v>16</v>
      </c>
      <c r="DI22" s="43">
        <f t="shared" si="8"/>
        <v>1.0305186835661719</v>
      </c>
      <c r="DJ22" s="43">
        <f t="shared" si="9"/>
        <v>0.94961124551848908</v>
      </c>
      <c r="DK22" s="43">
        <f t="shared" si="10"/>
        <v>1.0305186835661719</v>
      </c>
      <c r="DL22" s="43">
        <f t="shared" si="11"/>
        <v>0.94961124551848908</v>
      </c>
      <c r="DM22" s="43" t="b">
        <f t="shared" si="12"/>
        <v>0</v>
      </c>
      <c r="DN22" s="43" t="e">
        <f t="shared" si="13"/>
        <v>#N/A</v>
      </c>
      <c r="DO22" s="43">
        <f t="shared" si="14"/>
        <v>0.94961124551848908</v>
      </c>
      <c r="DP22" s="43" t="e">
        <f t="shared" si="15"/>
        <v>#N/A</v>
      </c>
      <c r="DQ22" s="43" t="e">
        <f t="shared" si="16"/>
        <v>#N/A</v>
      </c>
      <c r="DR22" s="43" t="e">
        <f t="shared" si="17"/>
        <v>#N/A</v>
      </c>
      <c r="DS22" s="43">
        <f t="shared" si="18"/>
        <v>0</v>
      </c>
      <c r="DT22" s="43">
        <v>12</v>
      </c>
      <c r="DU22" s="43">
        <f t="shared" si="28"/>
        <v>6.6049999999999969</v>
      </c>
      <c r="DV22" s="43">
        <f t="shared" si="19"/>
        <v>9.3695761543762917</v>
      </c>
      <c r="DW22" s="43">
        <f t="shared" si="20"/>
        <v>0.73592759764031046</v>
      </c>
      <c r="DX22" s="43" t="e">
        <f t="shared" si="21"/>
        <v>#N/A</v>
      </c>
      <c r="DY22" s="50" t="e">
        <f t="shared" si="22"/>
        <v>#N/A</v>
      </c>
      <c r="DZ22" s="50" t="str">
        <f t="shared" si="23"/>
        <v/>
      </c>
      <c r="EA22" s="50">
        <f t="shared" si="24"/>
        <v>1.5556850371545867</v>
      </c>
      <c r="EB22" s="43" t="e">
        <f t="shared" si="25"/>
        <v>#N/A</v>
      </c>
      <c r="EC22" s="50" t="e">
        <f t="shared" si="26"/>
        <v>#N/A</v>
      </c>
      <c r="ED22" s="50" t="str">
        <f t="shared" si="27"/>
        <v/>
      </c>
    </row>
    <row r="23" spans="1:134" ht="12" customHeight="1">
      <c r="A23" s="640">
        <v>11</v>
      </c>
      <c r="B23" s="994">
        <v>11</v>
      </c>
      <c r="C23" s="995">
        <v>14</v>
      </c>
      <c r="D23" s="1026"/>
      <c r="E23" s="884"/>
      <c r="F23" s="1027">
        <f t="shared" si="29"/>
        <v>-0.1759422142673954</v>
      </c>
      <c r="G23" s="1028">
        <f t="shared" si="30"/>
        <v>0.25898488514140611</v>
      </c>
      <c r="H23" s="886"/>
      <c r="I23" s="458">
        <f t="shared" si="31"/>
        <v>-4.5566374153566062E-2</v>
      </c>
      <c r="J23" s="886"/>
      <c r="K23" s="801">
        <f t="shared" si="2"/>
        <v>8.9300000000000002E-4</v>
      </c>
      <c r="L23" s="83"/>
      <c r="M23" s="83"/>
      <c r="N23" s="83"/>
      <c r="O23" s="83"/>
      <c r="P23" s="83"/>
      <c r="Q23" s="477"/>
      <c r="R23" s="1031"/>
      <c r="S23" s="1031"/>
      <c r="T23" s="1031"/>
      <c r="U23" s="1032"/>
      <c r="V23" s="1032"/>
      <c r="W23" s="1032"/>
      <c r="X23" s="1032"/>
      <c r="Y23" s="1031"/>
      <c r="Z23" s="1031">
        <f t="shared" si="3"/>
        <v>8.9300000000000002E-4</v>
      </c>
      <c r="AA23" s="1031">
        <f t="shared" si="3"/>
        <v>8.9300000000000002E-4</v>
      </c>
      <c r="AB23" s="1033">
        <f t="shared" si="3"/>
        <v>8.9300000000000002E-4</v>
      </c>
      <c r="AC23" s="83"/>
      <c r="AD23" s="83"/>
      <c r="AE23" s="83"/>
      <c r="AF23" s="83"/>
      <c r="AG23" s="83"/>
      <c r="AH23" s="83"/>
      <c r="AI23" s="83"/>
      <c r="AJ23" s="83"/>
      <c r="AK23" s="83"/>
      <c r="AL23" s="802"/>
      <c r="AM23" s="802">
        <f t="shared" si="4"/>
        <v>8.9300000000000002E-4</v>
      </c>
      <c r="AN23" s="802"/>
      <c r="AO23" s="802"/>
      <c r="AP23" s="802"/>
      <c r="AQ23" s="802"/>
      <c r="AR23" s="802"/>
      <c r="AS23" s="802"/>
      <c r="AT23" s="802"/>
      <c r="AU23" s="802"/>
      <c r="AV23" s="802"/>
      <c r="AW23" s="802"/>
      <c r="AX23" s="802"/>
      <c r="AY23" s="802"/>
      <c r="AZ23" s="802"/>
      <c r="BA23" s="1034">
        <v>17</v>
      </c>
      <c r="BB23" s="994"/>
      <c r="BC23" s="995"/>
      <c r="BD23" s="986"/>
      <c r="BF23" s="1034">
        <v>17</v>
      </c>
      <c r="BG23" s="994"/>
      <c r="BH23" s="995"/>
      <c r="BI23" s="986"/>
      <c r="BK23" s="1034">
        <v>17</v>
      </c>
      <c r="BL23" s="994">
        <v>69</v>
      </c>
      <c r="BM23" s="995">
        <v>70</v>
      </c>
      <c r="BN23" s="986"/>
      <c r="BP23" s="1034">
        <v>17</v>
      </c>
      <c r="BQ23" s="996">
        <v>2</v>
      </c>
      <c r="BR23" s="997">
        <v>3.8</v>
      </c>
      <c r="BS23" s="986"/>
      <c r="BU23" s="1034">
        <v>17</v>
      </c>
      <c r="BV23" s="996">
        <v>3.2857142857142856</v>
      </c>
      <c r="BW23" s="997">
        <v>4.4000000000000004</v>
      </c>
      <c r="BX23" s="986"/>
      <c r="BZ23" s="1034">
        <v>17</v>
      </c>
      <c r="CA23" s="996">
        <v>3.4285714285714284</v>
      </c>
      <c r="CB23" s="997">
        <v>5</v>
      </c>
      <c r="CC23" s="986"/>
      <c r="DC23" s="43" t="e">
        <f>IF(AND($DS$1,$DD$14,ABS($DJ$5-$DD$20)&gt;$DD$21),DD4,NA())</f>
        <v>#N/A</v>
      </c>
      <c r="DD23" s="43" t="e">
        <f>IF(AND($DS$1,$DD$14,ABS($DJ$5-$DD$20)&gt;$DD$21),C9-(B9-DD4)*IF(DS1,DD20,C8)*C10/B10,NA())</f>
        <v>#N/A</v>
      </c>
      <c r="DF23" s="43" t="b">
        <f t="shared" si="5"/>
        <v>0</v>
      </c>
      <c r="DG23" s="43" t="str">
        <f t="shared" si="6"/>
        <v/>
      </c>
      <c r="DH23" s="43" t="str">
        <f t="shared" si="7"/>
        <v/>
      </c>
      <c r="DI23" s="43" t="str">
        <f t="shared" si="8"/>
        <v/>
      </c>
      <c r="DJ23" s="43" t="str">
        <f t="shared" si="9"/>
        <v/>
      </c>
      <c r="DK23" s="43" t="e">
        <f t="shared" si="10"/>
        <v>#N/A</v>
      </c>
      <c r="DL23" s="43" t="e">
        <f t="shared" si="11"/>
        <v>#N/A</v>
      </c>
      <c r="DM23" s="43" t="e">
        <f t="shared" si="12"/>
        <v>#N/A</v>
      </c>
      <c r="DN23" s="43" t="e">
        <f t="shared" si="13"/>
        <v>#N/A</v>
      </c>
      <c r="DO23" s="43" t="e">
        <f t="shared" si="14"/>
        <v>#N/A</v>
      </c>
      <c r="DP23" s="43" t="e">
        <f t="shared" si="15"/>
        <v>#N/A</v>
      </c>
      <c r="DQ23" s="43" t="e">
        <f t="shared" si="16"/>
        <v>#N/A</v>
      </c>
      <c r="DR23" s="43" t="e">
        <f t="shared" si="17"/>
        <v>#N/A</v>
      </c>
      <c r="DS23" s="43">
        <f t="shared" si="18"/>
        <v>0</v>
      </c>
      <c r="DT23" s="43">
        <v>13</v>
      </c>
      <c r="DU23" s="43">
        <f t="shared" si="28"/>
        <v>6.6599999999999966</v>
      </c>
      <c r="DV23" s="43">
        <f t="shared" si="19"/>
        <v>9.4124465885596127</v>
      </c>
      <c r="DW23" s="43">
        <f t="shared" si="20"/>
        <v>0.73015657878223716</v>
      </c>
      <c r="DX23" s="43" t="e">
        <f t="shared" si="21"/>
        <v>#N/A</v>
      </c>
      <c r="DY23" s="50" t="e">
        <f t="shared" si="22"/>
        <v>#N/A</v>
      </c>
      <c r="DZ23" s="50" t="str">
        <f t="shared" si="23"/>
        <v/>
      </c>
      <c r="EA23" s="50">
        <f t="shared" si="24"/>
        <v>1.5529633400042033</v>
      </c>
      <c r="EB23" s="43" t="e">
        <f t="shared" si="25"/>
        <v>#N/A</v>
      </c>
      <c r="EC23" s="50" t="e">
        <f t="shared" si="26"/>
        <v>#N/A</v>
      </c>
      <c r="ED23" s="50" t="str">
        <f t="shared" si="27"/>
        <v/>
      </c>
    </row>
    <row r="24" spans="1:134" ht="12" customHeight="1">
      <c r="A24" s="640">
        <v>12</v>
      </c>
      <c r="B24" s="994">
        <v>15</v>
      </c>
      <c r="C24" s="995">
        <v>16</v>
      </c>
      <c r="D24" s="1026"/>
      <c r="E24" s="884"/>
      <c r="F24" s="1027">
        <f t="shared" si="29"/>
        <v>1.0305186835661719</v>
      </c>
      <c r="G24" s="1028">
        <f t="shared" si="30"/>
        <v>0.94961124551848908</v>
      </c>
      <c r="H24" s="886"/>
      <c r="I24" s="458">
        <f t="shared" si="31"/>
        <v>0.9785921306313462</v>
      </c>
      <c r="J24" s="886"/>
      <c r="K24" s="801">
        <f t="shared" si="2"/>
        <v>8.9300000000000002E-4</v>
      </c>
      <c r="L24" s="83"/>
      <c r="M24" s="83"/>
      <c r="N24" s="83"/>
      <c r="O24" s="83"/>
      <c r="P24" s="83"/>
      <c r="Q24" s="477"/>
      <c r="R24" s="83"/>
      <c r="S24" s="83"/>
      <c r="T24" s="83"/>
      <c r="U24" s="83"/>
      <c r="V24" s="83"/>
      <c r="W24" s="83"/>
      <c r="X24" s="83"/>
      <c r="Y24" s="83"/>
      <c r="Z24" s="83">
        <f t="shared" si="3"/>
        <v>8.9300000000000002E-4</v>
      </c>
      <c r="AA24" s="83">
        <f t="shared" si="3"/>
        <v>8.9300000000000002E-4</v>
      </c>
      <c r="AB24" s="801">
        <f t="shared" si="3"/>
        <v>8.9300000000000002E-4</v>
      </c>
      <c r="AC24" s="83"/>
      <c r="AD24" s="83"/>
      <c r="AE24" s="83"/>
      <c r="AF24" s="83"/>
      <c r="AG24" s="83"/>
      <c r="AH24" s="83"/>
      <c r="AI24" s="83"/>
      <c r="AJ24" s="83"/>
      <c r="AK24" s="83"/>
      <c r="AL24" s="802"/>
      <c r="AM24" s="802">
        <f t="shared" si="4"/>
        <v>8.9300000000000002E-4</v>
      </c>
      <c r="AN24" s="802"/>
      <c r="AO24" s="802"/>
      <c r="AP24" s="802"/>
      <c r="AQ24" s="802"/>
      <c r="AR24" s="802"/>
      <c r="AS24" s="802"/>
      <c r="AT24" s="802"/>
      <c r="AU24" s="802"/>
      <c r="AV24" s="802"/>
      <c r="AW24" s="802"/>
      <c r="AX24" s="802"/>
      <c r="AY24" s="802"/>
      <c r="AZ24" s="802"/>
      <c r="BA24" s="1034">
        <v>18</v>
      </c>
      <c r="BB24" s="994"/>
      <c r="BC24" s="995"/>
      <c r="BD24" s="986"/>
      <c r="BF24" s="1034">
        <v>18</v>
      </c>
      <c r="BG24" s="994"/>
      <c r="BH24" s="995"/>
      <c r="BI24" s="986"/>
      <c r="BK24" s="1034">
        <v>18</v>
      </c>
      <c r="BL24" s="994">
        <v>71</v>
      </c>
      <c r="BM24" s="995">
        <v>81</v>
      </c>
      <c r="BN24" s="986"/>
      <c r="BP24" s="1034">
        <v>18</v>
      </c>
      <c r="BQ24" s="996">
        <v>2.7142857142857144</v>
      </c>
      <c r="BR24" s="997">
        <v>3.8</v>
      </c>
      <c r="BS24" s="986"/>
      <c r="BU24" s="1034">
        <v>18</v>
      </c>
      <c r="BV24" s="996">
        <v>3.5714285714285716</v>
      </c>
      <c r="BW24" s="997">
        <v>4.4000000000000004</v>
      </c>
      <c r="BX24" s="986"/>
      <c r="BZ24" s="1034">
        <v>18</v>
      </c>
      <c r="CA24" s="996">
        <v>3.5714285714285716</v>
      </c>
      <c r="CB24" s="997">
        <v>5</v>
      </c>
      <c r="CC24" s="986"/>
      <c r="DC24" s="43" t="e">
        <f>IF(AND($DS$1,$DD$14,ABS($DJ$5-$DD$20)&gt;$DD$21),DD3,NA())</f>
        <v>#N/A</v>
      </c>
      <c r="DD24" s="43" t="e">
        <f>IF(AND($DS$1,$DD$14,ABS($DJ$5-$DD$20)&gt;$DD$21),C9+(DD3-B9)*IF(DS1,DD20,C8)*C10/B10,NA())</f>
        <v>#N/A</v>
      </c>
      <c r="DF24" s="43" t="b">
        <f t="shared" si="5"/>
        <v>0</v>
      </c>
      <c r="DG24" s="43" t="str">
        <f t="shared" si="6"/>
        <v/>
      </c>
      <c r="DH24" s="43" t="str">
        <f t="shared" si="7"/>
        <v/>
      </c>
      <c r="DI24" s="43" t="str">
        <f t="shared" si="8"/>
        <v/>
      </c>
      <c r="DJ24" s="43" t="str">
        <f t="shared" si="9"/>
        <v/>
      </c>
      <c r="DK24" s="43" t="e">
        <f t="shared" si="10"/>
        <v>#N/A</v>
      </c>
      <c r="DL24" s="43" t="e">
        <f t="shared" si="11"/>
        <v>#N/A</v>
      </c>
      <c r="DM24" s="43" t="e">
        <f t="shared" si="12"/>
        <v>#N/A</v>
      </c>
      <c r="DN24" s="43" t="e">
        <f t="shared" si="13"/>
        <v>#N/A</v>
      </c>
      <c r="DO24" s="43" t="e">
        <f t="shared" si="14"/>
        <v>#N/A</v>
      </c>
      <c r="DP24" s="43" t="e">
        <f t="shared" si="15"/>
        <v>#N/A</v>
      </c>
      <c r="DQ24" s="43" t="e">
        <f t="shared" si="16"/>
        <v>#N/A</v>
      </c>
      <c r="DR24" s="43" t="e">
        <f t="shared" si="17"/>
        <v>#N/A</v>
      </c>
      <c r="DS24" s="43">
        <f t="shared" si="18"/>
        <v>0</v>
      </c>
      <c r="DT24" s="43">
        <v>14</v>
      </c>
      <c r="DU24" s="43">
        <f t="shared" si="28"/>
        <v>6.7149999999999963</v>
      </c>
      <c r="DV24" s="43">
        <f t="shared" si="19"/>
        <v>9.4553170227429355</v>
      </c>
      <c r="DW24" s="43">
        <f t="shared" si="20"/>
        <v>0.72440446103549683</v>
      </c>
      <c r="DX24" s="43" t="e">
        <f t="shared" si="21"/>
        <v>#N/A</v>
      </c>
      <c r="DY24" s="50" t="e">
        <f t="shared" si="22"/>
        <v>#N/A</v>
      </c>
      <c r="DZ24" s="50" t="str">
        <f t="shared" si="23"/>
        <v/>
      </c>
      <c r="EA24" s="50">
        <f t="shared" si="24"/>
        <v>1.5502671798842151</v>
      </c>
      <c r="EB24" s="43" t="e">
        <f t="shared" si="25"/>
        <v>#N/A</v>
      </c>
      <c r="EC24" s="50" t="e">
        <f t="shared" si="26"/>
        <v>#N/A</v>
      </c>
      <c r="ED24" s="50" t="str">
        <f t="shared" si="27"/>
        <v/>
      </c>
    </row>
    <row r="25" spans="1:134" ht="12" customHeight="1">
      <c r="A25" s="640">
        <v>13</v>
      </c>
      <c r="B25" s="994"/>
      <c r="C25" s="995"/>
      <c r="D25" s="1026"/>
      <c r="E25" s="884"/>
      <c r="F25" s="1027" t="str">
        <f t="shared" si="29"/>
        <v/>
      </c>
      <c r="G25" s="1028" t="str">
        <f t="shared" si="30"/>
        <v/>
      </c>
      <c r="H25" s="886"/>
      <c r="I25" s="458" t="str">
        <f t="shared" si="31"/>
        <v/>
      </c>
      <c r="J25" s="886"/>
      <c r="K25" s="801">
        <f t="shared" si="2"/>
        <v>8.9300000000000002E-4</v>
      </c>
      <c r="L25" s="83"/>
      <c r="M25" s="83"/>
      <c r="N25" s="83"/>
      <c r="O25" s="83"/>
      <c r="P25" s="83"/>
      <c r="Q25" s="477"/>
      <c r="R25" s="83"/>
      <c r="S25" s="83"/>
      <c r="T25" s="83"/>
      <c r="U25" s="83"/>
      <c r="V25" s="83"/>
      <c r="W25" s="83"/>
      <c r="X25" s="83"/>
      <c r="Y25" s="83"/>
      <c r="Z25" s="83">
        <f t="shared" si="3"/>
        <v>8.9300000000000002E-4</v>
      </c>
      <c r="AA25" s="83">
        <f t="shared" si="3"/>
        <v>8.9300000000000002E-4</v>
      </c>
      <c r="AB25" s="801">
        <f t="shared" si="3"/>
        <v>8.9300000000000002E-4</v>
      </c>
      <c r="AC25" s="83"/>
      <c r="AD25" s="83"/>
      <c r="AE25" s="83"/>
      <c r="AF25" s="83"/>
      <c r="AG25" s="83"/>
      <c r="AH25" s="83"/>
      <c r="AI25" s="83"/>
      <c r="AJ25" s="83"/>
      <c r="AK25" s="83"/>
      <c r="AL25" s="802"/>
      <c r="AM25" s="802">
        <f t="shared" si="4"/>
        <v>8.9300000000000002E-4</v>
      </c>
      <c r="AN25" s="802"/>
      <c r="AO25" s="802"/>
      <c r="AP25" s="802"/>
      <c r="AQ25" s="802"/>
      <c r="AR25" s="802"/>
      <c r="AS25" s="802"/>
      <c r="AT25" s="802"/>
      <c r="AU25" s="802"/>
      <c r="AV25" s="802"/>
      <c r="AW25" s="802"/>
      <c r="AX25" s="802"/>
      <c r="AY25" s="802"/>
      <c r="AZ25" s="802"/>
      <c r="BA25" s="1034">
        <v>19</v>
      </c>
      <c r="BB25" s="994"/>
      <c r="BC25" s="995"/>
      <c r="BD25" s="986"/>
      <c r="BE25" s="894"/>
      <c r="BF25" s="1034">
        <v>19</v>
      </c>
      <c r="BG25" s="994"/>
      <c r="BH25" s="995"/>
      <c r="BI25" s="986"/>
      <c r="BK25" s="1034">
        <v>19</v>
      </c>
      <c r="BL25" s="994">
        <v>70</v>
      </c>
      <c r="BM25" s="995">
        <v>70</v>
      </c>
      <c r="BN25" s="986"/>
      <c r="BP25" s="1034">
        <v>19</v>
      </c>
      <c r="BQ25" s="996">
        <v>3.1428571428571428</v>
      </c>
      <c r="BR25" s="997">
        <v>3.8</v>
      </c>
      <c r="BS25" s="986"/>
      <c r="BT25" s="894"/>
      <c r="BU25" s="1034">
        <v>19</v>
      </c>
      <c r="BV25" s="996">
        <v>2.7142857142857144</v>
      </c>
      <c r="BW25" s="997">
        <v>4.5999999999999996</v>
      </c>
      <c r="BX25" s="986"/>
      <c r="BZ25" s="1034">
        <v>19</v>
      </c>
      <c r="CA25" s="996">
        <v>4.7142857142857144</v>
      </c>
      <c r="CB25" s="997">
        <v>5.2</v>
      </c>
      <c r="CC25" s="986"/>
      <c r="CD25" s="894"/>
      <c r="CE25" s="894"/>
      <c r="CF25" s="894"/>
      <c r="CG25" s="894"/>
      <c r="CH25" s="894"/>
      <c r="CI25" s="894"/>
      <c r="CJ25" s="894"/>
      <c r="CK25" s="894"/>
      <c r="CL25" s="894"/>
      <c r="CM25" s="894"/>
      <c r="CN25" s="894"/>
      <c r="CO25" s="894"/>
      <c r="CP25" s="894"/>
      <c r="CQ25" s="894"/>
      <c r="CR25" s="894"/>
      <c r="CS25" s="894"/>
      <c r="CT25" s="894"/>
      <c r="CU25" s="894"/>
      <c r="CV25" s="894"/>
      <c r="CW25" s="894"/>
      <c r="CX25" s="894"/>
      <c r="CY25" s="894"/>
      <c r="CZ25" s="1035"/>
      <c r="DA25" s="1036"/>
      <c r="DB25" s="894"/>
      <c r="DC25" s="894" t="s">
        <v>898</v>
      </c>
      <c r="DD25" s="894"/>
      <c r="DE25" s="894"/>
      <c r="DF25" s="43" t="b">
        <f t="shared" si="5"/>
        <v>0</v>
      </c>
      <c r="DG25" s="43" t="str">
        <f t="shared" si="6"/>
        <v/>
      </c>
      <c r="DH25" s="43" t="str">
        <f t="shared" si="7"/>
        <v/>
      </c>
      <c r="DI25" s="43" t="str">
        <f t="shared" si="8"/>
        <v/>
      </c>
      <c r="DJ25" s="43" t="str">
        <f t="shared" si="9"/>
        <v/>
      </c>
      <c r="DK25" s="43" t="e">
        <f t="shared" si="10"/>
        <v>#N/A</v>
      </c>
      <c r="DL25" s="43" t="e">
        <f t="shared" si="11"/>
        <v>#N/A</v>
      </c>
      <c r="DM25" s="43" t="e">
        <f t="shared" si="12"/>
        <v>#N/A</v>
      </c>
      <c r="DN25" s="43" t="e">
        <f t="shared" si="13"/>
        <v>#N/A</v>
      </c>
      <c r="DO25" s="43" t="e">
        <f t="shared" si="14"/>
        <v>#N/A</v>
      </c>
      <c r="DP25" s="43" t="e">
        <f t="shared" si="15"/>
        <v>#N/A</v>
      </c>
      <c r="DQ25" s="43" t="e">
        <f t="shared" si="16"/>
        <v>#N/A</v>
      </c>
      <c r="DR25" s="43" t="e">
        <f t="shared" si="17"/>
        <v>#N/A</v>
      </c>
      <c r="DS25" s="43">
        <f t="shared" si="18"/>
        <v>0</v>
      </c>
      <c r="DT25" s="43">
        <v>15</v>
      </c>
      <c r="DU25" s="43">
        <f t="shared" si="28"/>
        <v>6.769999999999996</v>
      </c>
      <c r="DV25" s="43">
        <f t="shared" si="19"/>
        <v>9.4981874569262565</v>
      </c>
      <c r="DW25" s="43">
        <f t="shared" si="20"/>
        <v>0.71867169824341914</v>
      </c>
      <c r="DX25" s="43" t="e">
        <f t="shared" si="21"/>
        <v>#N/A</v>
      </c>
      <c r="DY25" s="50" t="e">
        <f t="shared" si="22"/>
        <v>#N/A</v>
      </c>
      <c r="DZ25" s="50" t="str">
        <f t="shared" si="23"/>
        <v/>
      </c>
      <c r="EA25" s="50">
        <f t="shared" si="24"/>
        <v>1.5475966902633611</v>
      </c>
      <c r="EB25" s="43" t="e">
        <f t="shared" si="25"/>
        <v>#N/A</v>
      </c>
      <c r="EC25" s="50" t="e">
        <f t="shared" si="26"/>
        <v>#N/A</v>
      </c>
      <c r="ED25" s="50" t="str">
        <f t="shared" si="27"/>
        <v/>
      </c>
    </row>
    <row r="26" spans="1:134" ht="12" customHeight="1">
      <c r="A26" s="640">
        <v>14</v>
      </c>
      <c r="B26" s="994"/>
      <c r="C26" s="995"/>
      <c r="D26" s="1026"/>
      <c r="E26" s="884"/>
      <c r="F26" s="1027" t="str">
        <f t="shared" si="29"/>
        <v/>
      </c>
      <c r="G26" s="1028" t="str">
        <f t="shared" si="30"/>
        <v/>
      </c>
      <c r="H26" s="886"/>
      <c r="I26" s="458" t="str">
        <f t="shared" si="31"/>
        <v/>
      </c>
      <c r="J26" s="886"/>
      <c r="K26" s="801">
        <f t="shared" si="2"/>
        <v>8.9300000000000002E-4</v>
      </c>
      <c r="L26" s="83"/>
      <c r="M26" s="83"/>
      <c r="N26" s="83"/>
      <c r="O26" s="83"/>
      <c r="P26" s="83"/>
      <c r="Q26" s="477"/>
      <c r="R26" s="83"/>
      <c r="S26" s="83"/>
      <c r="T26" s="83"/>
      <c r="U26" s="83"/>
      <c r="V26" s="83"/>
      <c r="W26" s="83"/>
      <c r="X26" s="83"/>
      <c r="Y26" s="83"/>
      <c r="Z26" s="83">
        <f t="shared" si="3"/>
        <v>8.9300000000000002E-4</v>
      </c>
      <c r="AA26" s="83">
        <f t="shared" si="3"/>
        <v>8.9300000000000002E-4</v>
      </c>
      <c r="AB26" s="801">
        <f t="shared" si="3"/>
        <v>8.9300000000000002E-4</v>
      </c>
      <c r="AC26" s="83"/>
      <c r="AD26" s="83"/>
      <c r="AE26" s="83"/>
      <c r="AF26" s="83"/>
      <c r="AG26" s="83"/>
      <c r="AH26" s="83"/>
      <c r="AI26" s="83"/>
      <c r="AJ26" s="83"/>
      <c r="AK26" s="83"/>
      <c r="AL26" s="802"/>
      <c r="AM26" s="802">
        <f t="shared" si="4"/>
        <v>8.9300000000000002E-4</v>
      </c>
      <c r="AN26" s="802"/>
      <c r="AO26" s="802"/>
      <c r="AP26" s="802"/>
      <c r="AQ26" s="802"/>
      <c r="AR26" s="802"/>
      <c r="AS26" s="802"/>
      <c r="AT26" s="802"/>
      <c r="AU26" s="802"/>
      <c r="AV26" s="802"/>
      <c r="AW26" s="802"/>
      <c r="AX26" s="802"/>
      <c r="AY26" s="802"/>
      <c r="AZ26" s="802"/>
      <c r="BA26" s="983">
        <v>20</v>
      </c>
      <c r="BB26" s="994"/>
      <c r="BC26" s="995"/>
      <c r="BD26" s="986"/>
      <c r="BF26" s="983">
        <v>20</v>
      </c>
      <c r="BG26" s="994"/>
      <c r="BH26" s="995"/>
      <c r="BI26" s="986"/>
      <c r="BJ26" s="894"/>
      <c r="BK26" s="983">
        <v>20</v>
      </c>
      <c r="BL26" s="994">
        <v>70</v>
      </c>
      <c r="BM26" s="995">
        <v>76</v>
      </c>
      <c r="BN26" s="986"/>
      <c r="BO26" s="894"/>
      <c r="BP26" s="983">
        <v>20</v>
      </c>
      <c r="BQ26" s="996">
        <v>2.4285714285714284</v>
      </c>
      <c r="BR26" s="997">
        <v>4</v>
      </c>
      <c r="BS26" s="986"/>
      <c r="BU26" s="983">
        <v>20</v>
      </c>
      <c r="BV26" s="996">
        <v>3.2857142857142856</v>
      </c>
      <c r="BW26" s="997">
        <v>4.5999999999999996</v>
      </c>
      <c r="BX26" s="986"/>
      <c r="BY26" s="894"/>
      <c r="BZ26" s="983">
        <v>20</v>
      </c>
      <c r="CA26" s="996">
        <v>4.1428571428571432</v>
      </c>
      <c r="CB26" s="997">
        <v>5.2</v>
      </c>
      <c r="CC26" s="986"/>
      <c r="DD26" s="43">
        <f>IF(AND($DS$1,ABS($DJ$5-$DD$20)&gt;$DD$21),999999999999,-999999999999)</f>
        <v>-999999999999</v>
      </c>
      <c r="DF26" s="43" t="b">
        <f t="shared" si="5"/>
        <v>0</v>
      </c>
      <c r="DG26" s="43" t="str">
        <f t="shared" si="6"/>
        <v/>
      </c>
      <c r="DH26" s="43" t="str">
        <f t="shared" si="7"/>
        <v/>
      </c>
      <c r="DI26" s="43" t="str">
        <f t="shared" si="8"/>
        <v/>
      </c>
      <c r="DJ26" s="43" t="str">
        <f t="shared" si="9"/>
        <v/>
      </c>
      <c r="DK26" s="43" t="e">
        <f t="shared" si="10"/>
        <v>#N/A</v>
      </c>
      <c r="DL26" s="43" t="e">
        <f t="shared" si="11"/>
        <v>#N/A</v>
      </c>
      <c r="DM26" s="43" t="e">
        <f t="shared" si="12"/>
        <v>#N/A</v>
      </c>
      <c r="DN26" s="43" t="e">
        <f t="shared" si="13"/>
        <v>#N/A</v>
      </c>
      <c r="DO26" s="43" t="e">
        <f t="shared" si="14"/>
        <v>#N/A</v>
      </c>
      <c r="DP26" s="43" t="e">
        <f t="shared" si="15"/>
        <v>#N/A</v>
      </c>
      <c r="DQ26" s="43" t="e">
        <f t="shared" si="16"/>
        <v>#N/A</v>
      </c>
      <c r="DR26" s="43" t="e">
        <f t="shared" si="17"/>
        <v>#N/A</v>
      </c>
      <c r="DS26" s="43">
        <f t="shared" si="18"/>
        <v>0</v>
      </c>
      <c r="DT26" s="43">
        <v>16</v>
      </c>
      <c r="DU26" s="43">
        <f t="shared" si="28"/>
        <v>6.8249999999999957</v>
      </c>
      <c r="DV26" s="43">
        <f t="shared" si="19"/>
        <v>9.5410578911095776</v>
      </c>
      <c r="DW26" s="43">
        <f t="shared" si="20"/>
        <v>0.71295875729444291</v>
      </c>
      <c r="DX26" s="43" t="e">
        <f t="shared" si="21"/>
        <v>#N/A</v>
      </c>
      <c r="DY26" s="50" t="e">
        <f t="shared" si="22"/>
        <v>#N/A</v>
      </c>
      <c r="DZ26" s="50" t="str">
        <f t="shared" si="23"/>
        <v/>
      </c>
      <c r="EA26" s="50">
        <f t="shared" si="24"/>
        <v>1.5449520042580176</v>
      </c>
      <c r="EB26" s="43" t="e">
        <f t="shared" si="25"/>
        <v>#N/A</v>
      </c>
      <c r="EC26" s="50" t="e">
        <f t="shared" si="26"/>
        <v>#N/A</v>
      </c>
      <c r="ED26" s="50" t="str">
        <f t="shared" si="27"/>
        <v/>
      </c>
    </row>
    <row r="27" spans="1:134" ht="12" customHeight="1">
      <c r="A27" s="640">
        <v>15</v>
      </c>
      <c r="B27" s="994"/>
      <c r="C27" s="995"/>
      <c r="D27" s="1026"/>
      <c r="E27" s="884"/>
      <c r="F27" s="1027" t="str">
        <f t="shared" si="29"/>
        <v/>
      </c>
      <c r="G27" s="1028" t="str">
        <f t="shared" si="30"/>
        <v/>
      </c>
      <c r="H27" s="886"/>
      <c r="I27" s="458" t="str">
        <f t="shared" si="31"/>
        <v/>
      </c>
      <c r="J27" s="886"/>
      <c r="K27" s="801">
        <f t="shared" si="2"/>
        <v>8.9300000000000002E-4</v>
      </c>
      <c r="L27" s="83"/>
      <c r="M27" s="83"/>
      <c r="N27" s="83"/>
      <c r="O27" s="83"/>
      <c r="P27" s="83"/>
      <c r="Q27" s="477"/>
      <c r="R27" s="83"/>
      <c r="S27" s="83"/>
      <c r="T27" s="83"/>
      <c r="U27" s="83"/>
      <c r="V27" s="83"/>
      <c r="W27" s="83"/>
      <c r="X27" s="83"/>
      <c r="Y27" s="83"/>
      <c r="Z27" s="83">
        <f t="shared" si="3"/>
        <v>8.9300000000000002E-4</v>
      </c>
      <c r="AA27" s="83">
        <f t="shared" si="3"/>
        <v>8.9300000000000002E-4</v>
      </c>
      <c r="AB27" s="801">
        <f t="shared" si="3"/>
        <v>8.9300000000000002E-4</v>
      </c>
      <c r="AC27" s="83"/>
      <c r="AD27" s="83"/>
      <c r="AE27" s="83"/>
      <c r="AF27" s="83"/>
      <c r="AG27" s="83"/>
      <c r="AH27" s="83"/>
      <c r="AI27" s="83"/>
      <c r="AJ27" s="83"/>
      <c r="AK27" s="83"/>
      <c r="AL27" s="802"/>
      <c r="AM27" s="802">
        <f t="shared" si="4"/>
        <v>8.9300000000000002E-4</v>
      </c>
      <c r="AN27" s="802"/>
      <c r="AO27" s="802"/>
      <c r="AP27" s="802"/>
      <c r="AQ27" s="802"/>
      <c r="AR27" s="802"/>
      <c r="AS27" s="802"/>
      <c r="AT27" s="802"/>
      <c r="AU27" s="802"/>
      <c r="AV27" s="802"/>
      <c r="AW27" s="802"/>
      <c r="AX27" s="802"/>
      <c r="AY27" s="802"/>
      <c r="AZ27" s="802"/>
      <c r="BA27" s="983">
        <v>21</v>
      </c>
      <c r="BB27" s="994"/>
      <c r="BC27" s="995"/>
      <c r="BD27" s="986"/>
      <c r="BF27" s="983">
        <v>21</v>
      </c>
      <c r="BG27" s="994"/>
      <c r="BH27" s="995"/>
      <c r="BI27" s="986"/>
      <c r="BK27" s="983">
        <v>21</v>
      </c>
      <c r="BL27" s="994">
        <v>75</v>
      </c>
      <c r="BM27" s="995">
        <v>77</v>
      </c>
      <c r="BN27" s="986"/>
      <c r="BP27" s="983">
        <v>21</v>
      </c>
      <c r="BQ27" s="994">
        <v>3.1428571428571428</v>
      </c>
      <c r="BR27" s="995">
        <v>4</v>
      </c>
      <c r="BS27" s="986"/>
      <c r="BU27" s="983">
        <v>21</v>
      </c>
      <c r="BV27" s="996">
        <v>3.5714285714285716</v>
      </c>
      <c r="BW27" s="997">
        <v>4.5999999999999996</v>
      </c>
      <c r="BX27" s="986"/>
      <c r="BZ27" s="983">
        <v>21</v>
      </c>
      <c r="CA27" s="996">
        <v>3</v>
      </c>
      <c r="CB27" s="997">
        <v>5.4</v>
      </c>
      <c r="CC27" s="986"/>
      <c r="DC27" s="43" t="s">
        <v>821</v>
      </c>
      <c r="DF27" s="43" t="b">
        <f t="shared" si="5"/>
        <v>0</v>
      </c>
      <c r="DG27" s="43" t="str">
        <f t="shared" si="6"/>
        <v/>
      </c>
      <c r="DH27" s="43" t="str">
        <f t="shared" si="7"/>
        <v/>
      </c>
      <c r="DI27" s="43" t="str">
        <f t="shared" si="8"/>
        <v/>
      </c>
      <c r="DJ27" s="43" t="str">
        <f t="shared" si="9"/>
        <v/>
      </c>
      <c r="DK27" s="43" t="e">
        <f t="shared" si="10"/>
        <v>#N/A</v>
      </c>
      <c r="DL27" s="43" t="e">
        <f t="shared" si="11"/>
        <v>#N/A</v>
      </c>
      <c r="DM27" s="43" t="e">
        <f t="shared" si="12"/>
        <v>#N/A</v>
      </c>
      <c r="DN27" s="43" t="e">
        <f t="shared" si="13"/>
        <v>#N/A</v>
      </c>
      <c r="DO27" s="43" t="e">
        <f t="shared" si="14"/>
        <v>#N/A</v>
      </c>
      <c r="DP27" s="43" t="e">
        <f t="shared" si="15"/>
        <v>#N/A</v>
      </c>
      <c r="DQ27" s="43" t="e">
        <f t="shared" si="16"/>
        <v>#N/A</v>
      </c>
      <c r="DR27" s="43" t="e">
        <f t="shared" si="17"/>
        <v>#N/A</v>
      </c>
      <c r="DS27" s="43">
        <f t="shared" si="18"/>
        <v>0</v>
      </c>
      <c r="DT27" s="43">
        <v>17</v>
      </c>
      <c r="DU27" s="43">
        <f t="shared" si="28"/>
        <v>6.8799999999999955</v>
      </c>
      <c r="DV27" s="43">
        <f t="shared" si="19"/>
        <v>9.5839283252928986</v>
      </c>
      <c r="DW27" s="43">
        <f t="shared" si="20"/>
        <v>0.70726611852144938</v>
      </c>
      <c r="DX27" s="43" t="e">
        <f t="shared" si="21"/>
        <v>#N/A</v>
      </c>
      <c r="DY27" s="50" t="e">
        <f t="shared" si="22"/>
        <v>#N/A</v>
      </c>
      <c r="DZ27" s="50" t="str">
        <f t="shared" si="23"/>
        <v/>
      </c>
      <c r="EA27" s="50">
        <f t="shared" si="24"/>
        <v>1.5423332546069368</v>
      </c>
      <c r="EB27" s="43" t="e">
        <f t="shared" si="25"/>
        <v>#N/A</v>
      </c>
      <c r="EC27" s="50" t="e">
        <f t="shared" si="26"/>
        <v>#N/A</v>
      </c>
      <c r="ED27" s="50" t="str">
        <f t="shared" si="27"/>
        <v/>
      </c>
    </row>
    <row r="28" spans="1:134" ht="12" customHeight="1">
      <c r="A28" s="640">
        <v>16</v>
      </c>
      <c r="B28" s="994"/>
      <c r="C28" s="995"/>
      <c r="D28" s="1026"/>
      <c r="E28" s="884"/>
      <c r="F28" s="1027" t="str">
        <f t="shared" si="29"/>
        <v/>
      </c>
      <c r="G28" s="1028" t="str">
        <f t="shared" si="30"/>
        <v/>
      </c>
      <c r="H28" s="886"/>
      <c r="I28" s="458" t="str">
        <f t="shared" si="31"/>
        <v/>
      </c>
      <c r="J28" s="886"/>
      <c r="K28" s="801">
        <f t="shared" si="2"/>
        <v>8.9300000000000002E-4</v>
      </c>
      <c r="L28" s="83"/>
      <c r="M28" s="83"/>
      <c r="N28" s="83"/>
      <c r="O28" s="83"/>
      <c r="P28" s="83"/>
      <c r="Q28" s="477"/>
      <c r="R28" s="83"/>
      <c r="S28" s="83"/>
      <c r="T28" s="83"/>
      <c r="U28" s="83"/>
      <c r="V28" s="83"/>
      <c r="W28" s="83"/>
      <c r="X28" s="83"/>
      <c r="Y28" s="83"/>
      <c r="Z28" s="83">
        <f t="shared" si="3"/>
        <v>8.9300000000000002E-4</v>
      </c>
      <c r="AA28" s="83">
        <f t="shared" si="3"/>
        <v>8.9300000000000002E-4</v>
      </c>
      <c r="AB28" s="801">
        <f t="shared" si="3"/>
        <v>8.9300000000000002E-4</v>
      </c>
      <c r="AC28" s="83"/>
      <c r="AD28" s="83"/>
      <c r="AE28" s="83"/>
      <c r="AF28" s="83"/>
      <c r="AG28" s="83"/>
      <c r="AH28" s="83"/>
      <c r="AI28" s="83"/>
      <c r="AJ28" s="83"/>
      <c r="AK28" s="83"/>
      <c r="AL28" s="802"/>
      <c r="AM28" s="802">
        <f t="shared" si="4"/>
        <v>8.9300000000000002E-4</v>
      </c>
      <c r="AN28" s="802"/>
      <c r="AO28" s="802"/>
      <c r="AP28" s="802"/>
      <c r="AQ28" s="802"/>
      <c r="AR28" s="802"/>
      <c r="AS28" s="802"/>
      <c r="AT28" s="802"/>
      <c r="AU28" s="802"/>
      <c r="AV28" s="802"/>
      <c r="AW28" s="802"/>
      <c r="AX28" s="802"/>
      <c r="AY28" s="802"/>
      <c r="AZ28" s="802"/>
      <c r="BA28" s="1034">
        <v>22</v>
      </c>
      <c r="BB28" s="994"/>
      <c r="BC28" s="995"/>
      <c r="BD28" s="986"/>
      <c r="BF28" s="1034">
        <v>22</v>
      </c>
      <c r="BG28" s="994"/>
      <c r="BH28" s="995"/>
      <c r="BI28" s="986"/>
      <c r="BK28" s="1034">
        <v>22</v>
      </c>
      <c r="BL28" s="994">
        <v>71</v>
      </c>
      <c r="BM28" s="995">
        <v>75</v>
      </c>
      <c r="BN28" s="986"/>
      <c r="BP28" s="1034">
        <v>22</v>
      </c>
      <c r="BQ28" s="994">
        <v>3.2857142857142856</v>
      </c>
      <c r="BR28" s="995">
        <v>4.2</v>
      </c>
      <c r="BS28" s="986"/>
      <c r="BU28" s="1034">
        <v>22</v>
      </c>
      <c r="BV28" s="996">
        <v>2.2857142857142856</v>
      </c>
      <c r="BW28" s="997">
        <v>4.8</v>
      </c>
      <c r="BX28" s="986"/>
      <c r="BZ28" s="1034">
        <v>22</v>
      </c>
      <c r="CA28" s="996">
        <v>4.1428571428571432</v>
      </c>
      <c r="CB28" s="997">
        <v>5.6</v>
      </c>
      <c r="CC28" s="986"/>
      <c r="DC28" s="43" t="e">
        <f>IF(AND($DH$1,NOT(ISNA(DC18))),DI9,NA())</f>
        <v>#N/A</v>
      </c>
      <c r="DD28" s="43" t="e">
        <f>IF(AND($DH$1,NOT(ISNA(DD18))),DI9*DJ4,NA())</f>
        <v>#N/A</v>
      </c>
      <c r="DF28" s="43" t="b">
        <f t="shared" si="5"/>
        <v>0</v>
      </c>
      <c r="DG28" s="43" t="str">
        <f t="shared" si="6"/>
        <v/>
      </c>
      <c r="DH28" s="43" t="str">
        <f t="shared" si="7"/>
        <v/>
      </c>
      <c r="DI28" s="43" t="str">
        <f t="shared" si="8"/>
        <v/>
      </c>
      <c r="DJ28" s="43" t="str">
        <f t="shared" si="9"/>
        <v/>
      </c>
      <c r="DK28" s="43" t="e">
        <f t="shared" si="10"/>
        <v>#N/A</v>
      </c>
      <c r="DL28" s="43" t="e">
        <f t="shared" si="11"/>
        <v>#N/A</v>
      </c>
      <c r="DM28" s="43" t="e">
        <f t="shared" si="12"/>
        <v>#N/A</v>
      </c>
      <c r="DN28" s="43" t="e">
        <f t="shared" si="13"/>
        <v>#N/A</v>
      </c>
      <c r="DO28" s="43" t="e">
        <f t="shared" si="14"/>
        <v>#N/A</v>
      </c>
      <c r="DP28" s="43" t="e">
        <f t="shared" si="15"/>
        <v>#N/A</v>
      </c>
      <c r="DQ28" s="43" t="e">
        <f t="shared" si="16"/>
        <v>#N/A</v>
      </c>
      <c r="DR28" s="43" t="e">
        <f t="shared" si="17"/>
        <v>#N/A</v>
      </c>
      <c r="DS28" s="43">
        <f t="shared" si="18"/>
        <v>0</v>
      </c>
      <c r="DT28" s="43">
        <v>18</v>
      </c>
      <c r="DU28" s="43">
        <f t="shared" si="28"/>
        <v>6.9349999999999952</v>
      </c>
      <c r="DV28" s="43">
        <f t="shared" si="19"/>
        <v>9.6267987594762214</v>
      </c>
      <c r="DW28" s="43">
        <f t="shared" si="20"/>
        <v>0.70159427611174385</v>
      </c>
      <c r="DX28" s="43" t="e">
        <f t="shared" si="21"/>
        <v>#N/A</v>
      </c>
      <c r="DY28" s="50" t="e">
        <f t="shared" si="22"/>
        <v>#N/A</v>
      </c>
      <c r="DZ28" s="50" t="str">
        <f t="shared" si="23"/>
        <v/>
      </c>
      <c r="EA28" s="50">
        <f t="shared" si="24"/>
        <v>1.5397405736457006</v>
      </c>
      <c r="EB28" s="43" t="e">
        <f t="shared" si="25"/>
        <v>#N/A</v>
      </c>
      <c r="EC28" s="50" t="e">
        <f t="shared" si="26"/>
        <v>#N/A</v>
      </c>
      <c r="ED28" s="50" t="str">
        <f t="shared" si="27"/>
        <v/>
      </c>
    </row>
    <row r="29" spans="1:134" ht="12" customHeight="1">
      <c r="A29" s="669">
        <v>17</v>
      </c>
      <c r="B29" s="994"/>
      <c r="C29" s="995"/>
      <c r="D29" s="1026"/>
      <c r="E29" s="884"/>
      <c r="F29" s="1027" t="str">
        <f t="shared" si="29"/>
        <v/>
      </c>
      <c r="G29" s="1028" t="str">
        <f t="shared" si="30"/>
        <v/>
      </c>
      <c r="H29" s="886"/>
      <c r="I29" s="458" t="str">
        <f t="shared" si="31"/>
        <v/>
      </c>
      <c r="J29" s="886"/>
      <c r="K29" s="801">
        <f t="shared" si="2"/>
        <v>8.9300000000000002E-4</v>
      </c>
      <c r="L29" s="83"/>
      <c r="M29" s="83"/>
      <c r="N29" s="83"/>
      <c r="O29" s="83"/>
      <c r="P29" s="83"/>
      <c r="Q29" s="477"/>
      <c r="R29" s="83"/>
      <c r="S29" s="83"/>
      <c r="T29" s="83"/>
      <c r="U29" s="83"/>
      <c r="V29" s="83"/>
      <c r="W29" s="83"/>
      <c r="X29" s="83"/>
      <c r="Y29" s="83"/>
      <c r="Z29" s="83">
        <f t="shared" si="3"/>
        <v>8.9300000000000002E-4</v>
      </c>
      <c r="AA29" s="83">
        <f t="shared" si="3"/>
        <v>8.9300000000000002E-4</v>
      </c>
      <c r="AB29" s="801">
        <f t="shared" si="3"/>
        <v>8.9300000000000002E-4</v>
      </c>
      <c r="AC29" s="83"/>
      <c r="AD29" s="83"/>
      <c r="AE29" s="83"/>
      <c r="AF29" s="83"/>
      <c r="AG29" s="83"/>
      <c r="AH29" s="83"/>
      <c r="AI29" s="83"/>
      <c r="AJ29" s="83"/>
      <c r="AK29" s="83"/>
      <c r="AL29" s="802"/>
      <c r="AM29" s="802">
        <f t="shared" si="4"/>
        <v>8.9300000000000002E-4</v>
      </c>
      <c r="AN29" s="802"/>
      <c r="AO29" s="802"/>
      <c r="AP29" s="802"/>
      <c r="AQ29" s="802"/>
      <c r="AR29" s="802"/>
      <c r="AS29" s="802"/>
      <c r="AT29" s="802"/>
      <c r="AU29" s="802"/>
      <c r="AV29" s="802"/>
      <c r="AW29" s="802"/>
      <c r="AX29" s="802"/>
      <c r="AY29" s="802"/>
      <c r="AZ29" s="802"/>
      <c r="BA29" s="983">
        <v>23</v>
      </c>
      <c r="BB29" s="994"/>
      <c r="BC29" s="995"/>
      <c r="BD29" s="986"/>
      <c r="BF29" s="983">
        <v>23</v>
      </c>
      <c r="BG29" s="994"/>
      <c r="BH29" s="995"/>
      <c r="BI29" s="986"/>
      <c r="BK29" s="983">
        <v>23</v>
      </c>
      <c r="BL29" s="994">
        <v>76</v>
      </c>
      <c r="BM29" s="995">
        <v>69</v>
      </c>
      <c r="BN29" s="986"/>
      <c r="BP29" s="983">
        <v>23</v>
      </c>
      <c r="BQ29" s="994">
        <v>3.2857142857142856</v>
      </c>
      <c r="BR29" s="995">
        <v>4.3</v>
      </c>
      <c r="BS29" s="986"/>
      <c r="BU29" s="983">
        <v>23</v>
      </c>
      <c r="BV29" s="996">
        <v>3.7142857142857144</v>
      </c>
      <c r="BW29" s="997">
        <v>4.8</v>
      </c>
      <c r="BX29" s="986"/>
      <c r="BZ29" s="983">
        <v>23</v>
      </c>
      <c r="CA29" s="996">
        <v>3.7142857142857144</v>
      </c>
      <c r="CB29" s="997">
        <v>5.6</v>
      </c>
      <c r="CC29" s="986"/>
      <c r="DC29" s="43" t="e">
        <f>IF(AND($DH$1,NOT(ISNA(DC19))),DI8,NA())</f>
        <v>#N/A</v>
      </c>
      <c r="DD29" s="43" t="e">
        <f>IF(AND($DH$1,NOT(ISNA(DD19))),DI8*DJ4,NA())</f>
        <v>#N/A</v>
      </c>
      <c r="DF29" s="43" t="b">
        <f t="shared" si="5"/>
        <v>0</v>
      </c>
      <c r="DG29" s="43" t="str">
        <f t="shared" si="6"/>
        <v/>
      </c>
      <c r="DH29" s="43" t="str">
        <f t="shared" si="7"/>
        <v/>
      </c>
      <c r="DI29" s="43" t="str">
        <f t="shared" si="8"/>
        <v/>
      </c>
      <c r="DJ29" s="43" t="str">
        <f t="shared" si="9"/>
        <v/>
      </c>
      <c r="DK29" s="43" t="e">
        <f t="shared" si="10"/>
        <v>#N/A</v>
      </c>
      <c r="DL29" s="43" t="e">
        <f t="shared" si="11"/>
        <v>#N/A</v>
      </c>
      <c r="DM29" s="43" t="e">
        <f t="shared" si="12"/>
        <v>#N/A</v>
      </c>
      <c r="DN29" s="43" t="e">
        <f t="shared" si="13"/>
        <v>#N/A</v>
      </c>
      <c r="DO29" s="43" t="e">
        <f t="shared" si="14"/>
        <v>#N/A</v>
      </c>
      <c r="DP29" s="43" t="e">
        <f t="shared" si="15"/>
        <v>#N/A</v>
      </c>
      <c r="DQ29" s="43" t="e">
        <f t="shared" si="16"/>
        <v>#N/A</v>
      </c>
      <c r="DR29" s="43" t="e">
        <f t="shared" si="17"/>
        <v>#N/A</v>
      </c>
      <c r="DS29" s="43">
        <f t="shared" si="18"/>
        <v>0</v>
      </c>
      <c r="DT29" s="43">
        <v>19</v>
      </c>
      <c r="DU29" s="43">
        <f t="shared" si="28"/>
        <v>6.9899999999999949</v>
      </c>
      <c r="DV29" s="43">
        <f t="shared" si="19"/>
        <v>9.6696691936595425</v>
      </c>
      <c r="DW29" s="43">
        <f t="shared" si="20"/>
        <v>0.69594373852771418</v>
      </c>
      <c r="DX29" s="43" t="e">
        <f t="shared" si="21"/>
        <v>#N/A</v>
      </c>
      <c r="DY29" s="50" t="e">
        <f t="shared" si="22"/>
        <v>#N/A</v>
      </c>
      <c r="DZ29" s="50" t="str">
        <f t="shared" si="23"/>
        <v/>
      </c>
      <c r="EA29" s="50">
        <f t="shared" si="24"/>
        <v>1.537174093280901</v>
      </c>
      <c r="EB29" s="43" t="e">
        <f t="shared" si="25"/>
        <v>#N/A</v>
      </c>
      <c r="EC29" s="50" t="e">
        <f t="shared" si="26"/>
        <v>#N/A</v>
      </c>
      <c r="ED29" s="50" t="str">
        <f t="shared" si="27"/>
        <v/>
      </c>
    </row>
    <row r="30" spans="1:134" ht="12" customHeight="1">
      <c r="A30" s="669">
        <v>18</v>
      </c>
      <c r="B30" s="994"/>
      <c r="C30" s="995"/>
      <c r="D30" s="1026"/>
      <c r="E30" s="884"/>
      <c r="F30" s="1027" t="str">
        <f t="shared" si="29"/>
        <v/>
      </c>
      <c r="G30" s="1028" t="str">
        <f t="shared" si="30"/>
        <v/>
      </c>
      <c r="H30" s="886"/>
      <c r="I30" s="458" t="str">
        <f t="shared" si="31"/>
        <v/>
      </c>
      <c r="J30" s="886"/>
      <c r="K30" s="801">
        <f t="shared" si="2"/>
        <v>8.9300000000000002E-4</v>
      </c>
      <c r="L30" s="83"/>
      <c r="M30" s="83"/>
      <c r="N30" s="83"/>
      <c r="O30" s="83"/>
      <c r="P30" s="83"/>
      <c r="Q30" s="477"/>
      <c r="R30" s="83"/>
      <c r="S30" s="83"/>
      <c r="T30" s="83"/>
      <c r="U30" s="83"/>
      <c r="V30" s="83"/>
      <c r="W30" s="83"/>
      <c r="X30" s="83"/>
      <c r="Y30" s="83"/>
      <c r="Z30" s="83">
        <f t="shared" si="3"/>
        <v>8.9300000000000002E-4</v>
      </c>
      <c r="AA30" s="83">
        <f t="shared" si="3"/>
        <v>8.9300000000000002E-4</v>
      </c>
      <c r="AB30" s="801">
        <f t="shared" si="3"/>
        <v>8.9300000000000002E-4</v>
      </c>
      <c r="AC30" s="83"/>
      <c r="AD30" s="83"/>
      <c r="AE30" s="83"/>
      <c r="AF30" s="83"/>
      <c r="AG30" s="83"/>
      <c r="AH30" s="83"/>
      <c r="AI30" s="83"/>
      <c r="AJ30" s="83"/>
      <c r="AK30" s="83"/>
      <c r="AL30" s="802"/>
      <c r="AM30" s="802">
        <f t="shared" si="4"/>
        <v>8.9300000000000002E-4</v>
      </c>
      <c r="AN30" s="802"/>
      <c r="AO30" s="802"/>
      <c r="AP30" s="802"/>
      <c r="AQ30" s="802"/>
      <c r="AR30" s="802"/>
      <c r="AS30" s="802"/>
      <c r="AT30" s="802"/>
      <c r="AU30" s="802"/>
      <c r="AV30" s="802"/>
      <c r="AW30" s="802"/>
      <c r="AX30" s="802"/>
      <c r="AY30" s="802"/>
      <c r="AZ30" s="802"/>
      <c r="BA30" s="983">
        <v>24</v>
      </c>
      <c r="BB30" s="994"/>
      <c r="BC30" s="995"/>
      <c r="BD30" s="986"/>
      <c r="BF30" s="983">
        <v>24</v>
      </c>
      <c r="BG30" s="994"/>
      <c r="BH30" s="995"/>
      <c r="BI30" s="986"/>
      <c r="BK30" s="983">
        <v>24</v>
      </c>
      <c r="BL30" s="994">
        <v>64</v>
      </c>
      <c r="BM30" s="995">
        <v>77</v>
      </c>
      <c r="BN30" s="986"/>
      <c r="BP30" s="983">
        <v>24</v>
      </c>
      <c r="BQ30" s="994">
        <v>3.4285714285714284</v>
      </c>
      <c r="BR30" s="995">
        <v>4.2</v>
      </c>
      <c r="BS30" s="986"/>
      <c r="BU30" s="983">
        <v>24</v>
      </c>
      <c r="BV30" s="996">
        <v>4</v>
      </c>
      <c r="BW30" s="997">
        <v>4.8</v>
      </c>
      <c r="BX30" s="986"/>
      <c r="BZ30" s="983">
        <v>24</v>
      </c>
      <c r="CA30" s="996">
        <v>4.1428571428571432</v>
      </c>
      <c r="CB30" s="997">
        <v>5.5</v>
      </c>
      <c r="CC30" s="986"/>
      <c r="DC30" s="43" t="s">
        <v>825</v>
      </c>
      <c r="DF30" s="43" t="b">
        <f t="shared" si="5"/>
        <v>0</v>
      </c>
      <c r="DG30" s="43" t="str">
        <f t="shared" si="6"/>
        <v/>
      </c>
      <c r="DH30" s="43" t="str">
        <f t="shared" si="7"/>
        <v/>
      </c>
      <c r="DI30" s="43" t="str">
        <f t="shared" si="8"/>
        <v/>
      </c>
      <c r="DJ30" s="43" t="str">
        <f t="shared" si="9"/>
        <v/>
      </c>
      <c r="DK30" s="43" t="e">
        <f t="shared" si="10"/>
        <v>#N/A</v>
      </c>
      <c r="DL30" s="43" t="e">
        <f t="shared" si="11"/>
        <v>#N/A</v>
      </c>
      <c r="DM30" s="43" t="e">
        <f t="shared" si="12"/>
        <v>#N/A</v>
      </c>
      <c r="DN30" s="43" t="e">
        <f t="shared" si="13"/>
        <v>#N/A</v>
      </c>
      <c r="DO30" s="43" t="e">
        <f t="shared" si="14"/>
        <v>#N/A</v>
      </c>
      <c r="DP30" s="43" t="e">
        <f t="shared" si="15"/>
        <v>#N/A</v>
      </c>
      <c r="DQ30" s="43" t="e">
        <f t="shared" si="16"/>
        <v>#N/A</v>
      </c>
      <c r="DR30" s="43" t="e">
        <f t="shared" si="17"/>
        <v>#N/A</v>
      </c>
      <c r="DS30" s="43">
        <f t="shared" si="18"/>
        <v>0</v>
      </c>
      <c r="DT30" s="43">
        <v>20</v>
      </c>
      <c r="DU30" s="43">
        <f t="shared" si="28"/>
        <v>7.0449999999999946</v>
      </c>
      <c r="DV30" s="43">
        <f t="shared" si="19"/>
        <v>9.7125396278428653</v>
      </c>
      <c r="DW30" s="43">
        <f t="shared" si="20"/>
        <v>0.69031502893816932</v>
      </c>
      <c r="DX30" s="43" t="e">
        <f t="shared" si="21"/>
        <v>#N/A</v>
      </c>
      <c r="DY30" s="50" t="e">
        <f t="shared" si="22"/>
        <v>#N/A</v>
      </c>
      <c r="DZ30" s="50" t="str">
        <f t="shared" si="23"/>
        <v/>
      </c>
      <c r="EA30" s="50">
        <f t="shared" si="24"/>
        <v>1.5346339449640538</v>
      </c>
      <c r="EB30" s="43" t="e">
        <f t="shared" si="25"/>
        <v>#N/A</v>
      </c>
      <c r="EC30" s="50" t="e">
        <f t="shared" si="26"/>
        <v>#N/A</v>
      </c>
      <c r="ED30" s="50" t="str">
        <f t="shared" si="27"/>
        <v/>
      </c>
    </row>
    <row r="31" spans="1:134" ht="12" customHeight="1">
      <c r="A31" s="669">
        <v>19</v>
      </c>
      <c r="B31" s="994"/>
      <c r="C31" s="995"/>
      <c r="D31" s="1026"/>
      <c r="E31" s="884"/>
      <c r="F31" s="1027" t="str">
        <f t="shared" si="29"/>
        <v/>
      </c>
      <c r="G31" s="1028" t="str">
        <f t="shared" si="30"/>
        <v/>
      </c>
      <c r="H31" s="886"/>
      <c r="I31" s="458" t="str">
        <f t="shared" si="31"/>
        <v/>
      </c>
      <c r="J31" s="886"/>
      <c r="K31" s="801">
        <f t="shared" si="2"/>
        <v>8.9300000000000002E-4</v>
      </c>
      <c r="L31" s="83"/>
      <c r="M31" s="83"/>
      <c r="N31" s="83"/>
      <c r="O31" s="83"/>
      <c r="P31" s="83"/>
      <c r="Q31" s="477"/>
      <c r="R31" s="83"/>
      <c r="S31" s="83"/>
      <c r="T31" s="83"/>
      <c r="U31" s="83"/>
      <c r="V31" s="83"/>
      <c r="W31" s="83"/>
      <c r="X31" s="83"/>
      <c r="Y31" s="83"/>
      <c r="Z31" s="83">
        <f t="shared" si="3"/>
        <v>8.9300000000000002E-4</v>
      </c>
      <c r="AA31" s="83">
        <f t="shared" si="3"/>
        <v>8.9300000000000002E-4</v>
      </c>
      <c r="AB31" s="801">
        <f t="shared" si="3"/>
        <v>8.9300000000000002E-4</v>
      </c>
      <c r="AC31" s="83"/>
      <c r="AD31" s="83"/>
      <c r="AE31" s="83"/>
      <c r="AF31" s="83"/>
      <c r="AG31" s="83"/>
      <c r="AH31" s="83"/>
      <c r="AI31" s="83"/>
      <c r="AJ31" s="83"/>
      <c r="AK31" s="83"/>
      <c r="AL31" s="802"/>
      <c r="AM31" s="802">
        <f t="shared" si="4"/>
        <v>8.9300000000000002E-4</v>
      </c>
      <c r="AN31" s="802"/>
      <c r="AO31" s="802"/>
      <c r="AP31" s="802"/>
      <c r="AQ31" s="802"/>
      <c r="AR31" s="802"/>
      <c r="AS31" s="802"/>
      <c r="AT31" s="802"/>
      <c r="AU31" s="802"/>
      <c r="AV31" s="802"/>
      <c r="AW31" s="802"/>
      <c r="AX31" s="802"/>
      <c r="AY31" s="802"/>
      <c r="AZ31" s="802"/>
      <c r="BA31" s="983">
        <v>25</v>
      </c>
      <c r="BB31" s="994"/>
      <c r="BC31" s="995"/>
      <c r="BD31" s="986"/>
      <c r="BF31" s="983">
        <v>25</v>
      </c>
      <c r="BG31" s="994"/>
      <c r="BH31" s="995"/>
      <c r="BI31" s="986"/>
      <c r="BK31" s="983">
        <v>25</v>
      </c>
      <c r="BL31" s="994">
        <v>70</v>
      </c>
      <c r="BM31" s="995">
        <v>70</v>
      </c>
      <c r="BN31" s="986"/>
      <c r="BP31" s="983">
        <v>25</v>
      </c>
      <c r="BQ31" s="994">
        <v>3.1428571428571428</v>
      </c>
      <c r="BR31" s="995">
        <v>4.4000000000000004</v>
      </c>
      <c r="BS31" s="986"/>
      <c r="BU31" s="983">
        <v>25</v>
      </c>
      <c r="BV31" s="996">
        <v>2.7142857142857144</v>
      </c>
      <c r="BW31" s="997">
        <v>5</v>
      </c>
      <c r="BX31" s="986"/>
      <c r="BZ31" s="983">
        <v>25</v>
      </c>
      <c r="CA31" s="996">
        <v>4</v>
      </c>
      <c r="CB31" s="997">
        <v>5.6</v>
      </c>
      <c r="CC31" s="986"/>
      <c r="DB31" s="43" t="s">
        <v>914</v>
      </c>
      <c r="DC31" s="43">
        <f>(C10/B10)*(50-DQ1)/100</f>
        <v>0.21836353328137481</v>
      </c>
      <c r="DD31" s="1037" t="str">
        <f>IF(DS1,IF(DJ5=0,DC31,SIGN(DJ5)*(100-DQ1)/100),"")</f>
        <v/>
      </c>
      <c r="DF31" s="43" t="b">
        <f t="shared" si="5"/>
        <v>0</v>
      </c>
      <c r="DG31" s="43" t="str">
        <f t="shared" si="6"/>
        <v/>
      </c>
      <c r="DH31" s="43" t="str">
        <f t="shared" si="7"/>
        <v/>
      </c>
      <c r="DI31" s="43" t="str">
        <f t="shared" si="8"/>
        <v/>
      </c>
      <c r="DJ31" s="43" t="str">
        <f t="shared" si="9"/>
        <v/>
      </c>
      <c r="DK31" s="43" t="e">
        <f t="shared" si="10"/>
        <v>#N/A</v>
      </c>
      <c r="DL31" s="43" t="e">
        <f t="shared" si="11"/>
        <v>#N/A</v>
      </c>
      <c r="DM31" s="43" t="e">
        <f t="shared" si="12"/>
        <v>#N/A</v>
      </c>
      <c r="DN31" s="43" t="e">
        <f t="shared" si="13"/>
        <v>#N/A</v>
      </c>
      <c r="DO31" s="43" t="e">
        <f t="shared" si="14"/>
        <v>#N/A</v>
      </c>
      <c r="DP31" s="43" t="e">
        <f t="shared" si="15"/>
        <v>#N/A</v>
      </c>
      <c r="DQ31" s="43" t="e">
        <f t="shared" si="16"/>
        <v>#N/A</v>
      </c>
      <c r="DR31" s="43" t="e">
        <f t="shared" si="17"/>
        <v>#N/A</v>
      </c>
      <c r="DS31" s="43">
        <f t="shared" si="18"/>
        <v>0</v>
      </c>
      <c r="DT31" s="43">
        <v>21</v>
      </c>
      <c r="DU31" s="43">
        <f t="shared" si="28"/>
        <v>7.0999999999999943</v>
      </c>
      <c r="DV31" s="43">
        <f t="shared" si="19"/>
        <v>9.7554100620261863</v>
      </c>
      <c r="DW31" s="43">
        <f t="shared" si="20"/>
        <v>0.68470868566032073</v>
      </c>
      <c r="DX31" s="43" t="e">
        <f t="shared" si="21"/>
        <v>#N/A</v>
      </c>
      <c r="DY31" s="50" t="e">
        <f t="shared" si="22"/>
        <v>#N/A</v>
      </c>
      <c r="DZ31" s="50" t="str">
        <f t="shared" si="23"/>
        <v/>
      </c>
      <c r="EA31" s="50">
        <f t="shared" si="24"/>
        <v>1.5321202596652499</v>
      </c>
      <c r="EB31" s="43" t="e">
        <f t="shared" si="25"/>
        <v>#N/A</v>
      </c>
      <c r="EC31" s="50" t="e">
        <f t="shared" si="26"/>
        <v>#N/A</v>
      </c>
      <c r="ED31" s="50" t="str">
        <f t="shared" si="27"/>
        <v/>
      </c>
    </row>
    <row r="32" spans="1:134" ht="12" customHeight="1">
      <c r="A32" s="640">
        <v>20</v>
      </c>
      <c r="B32" s="994"/>
      <c r="C32" s="995"/>
      <c r="D32" s="1026"/>
      <c r="E32" s="884"/>
      <c r="F32" s="1027" t="str">
        <f t="shared" si="29"/>
        <v/>
      </c>
      <c r="G32" s="1028" t="str">
        <f t="shared" si="30"/>
        <v/>
      </c>
      <c r="H32" s="886"/>
      <c r="I32" s="458" t="str">
        <f t="shared" si="31"/>
        <v/>
      </c>
      <c r="J32" s="886"/>
      <c r="K32" s="801">
        <f t="shared" si="2"/>
        <v>8.9300000000000002E-4</v>
      </c>
      <c r="L32" s="83"/>
      <c r="M32" s="83"/>
      <c r="N32" s="83"/>
      <c r="O32" s="83"/>
      <c r="P32" s="83"/>
      <c r="Q32" s="477"/>
      <c r="R32" s="83"/>
      <c r="S32" s="83"/>
      <c r="T32" s="83"/>
      <c r="U32" s="83"/>
      <c r="V32" s="83"/>
      <c r="W32" s="83"/>
      <c r="X32" s="83"/>
      <c r="Y32" s="83"/>
      <c r="Z32" s="83">
        <f t="shared" si="3"/>
        <v>8.9300000000000002E-4</v>
      </c>
      <c r="AA32" s="83">
        <f t="shared" si="3"/>
        <v>8.9300000000000002E-4</v>
      </c>
      <c r="AB32" s="801">
        <f t="shared" si="3"/>
        <v>8.9300000000000002E-4</v>
      </c>
      <c r="AC32" s="83"/>
      <c r="AD32" s="83"/>
      <c r="AE32" s="83"/>
      <c r="AF32" s="83"/>
      <c r="AG32" s="83"/>
      <c r="AH32" s="83"/>
      <c r="AI32" s="83"/>
      <c r="AJ32" s="83"/>
      <c r="AK32" s="83"/>
      <c r="AL32" s="802"/>
      <c r="AM32" s="802">
        <f t="shared" si="4"/>
        <v>8.9300000000000002E-4</v>
      </c>
      <c r="AN32" s="802"/>
      <c r="AO32" s="802"/>
      <c r="AP32" s="802"/>
      <c r="AQ32" s="802"/>
      <c r="AR32" s="802"/>
      <c r="AS32" s="802"/>
      <c r="AT32" s="802"/>
      <c r="AU32" s="802"/>
      <c r="AV32" s="802"/>
      <c r="AW32" s="802"/>
      <c r="AX32" s="802"/>
      <c r="AY32" s="802"/>
      <c r="AZ32" s="802"/>
      <c r="BA32" s="1034">
        <v>26</v>
      </c>
      <c r="BB32" s="994"/>
      <c r="BC32" s="995"/>
      <c r="BD32" s="986"/>
      <c r="BF32" s="1034">
        <v>26</v>
      </c>
      <c r="BG32" s="994"/>
      <c r="BH32" s="995"/>
      <c r="BI32" s="986"/>
      <c r="BK32" s="1034">
        <v>26</v>
      </c>
      <c r="BL32" s="994">
        <v>65</v>
      </c>
      <c r="BM32" s="995">
        <v>76</v>
      </c>
      <c r="BN32" s="986"/>
      <c r="BP32" s="1034">
        <v>26</v>
      </c>
      <c r="BQ32" s="994">
        <v>3.2857142857142856</v>
      </c>
      <c r="BR32" s="995">
        <v>4.4000000000000004</v>
      </c>
      <c r="BS32" s="986"/>
      <c r="BU32" s="1034">
        <v>26</v>
      </c>
      <c r="BV32" s="996">
        <v>3.1428571428571428</v>
      </c>
      <c r="BW32" s="997">
        <v>5</v>
      </c>
      <c r="BX32" s="986"/>
      <c r="BZ32" s="1034">
        <v>26</v>
      </c>
      <c r="CA32" s="996">
        <v>3.1428571428571428</v>
      </c>
      <c r="CB32" s="997">
        <v>5.6</v>
      </c>
      <c r="CC32" s="986"/>
      <c r="DC32" s="43" t="s">
        <v>846</v>
      </c>
      <c r="DE32" s="43">
        <v>0.23</v>
      </c>
      <c r="DF32" s="43" t="b">
        <f t="shared" si="5"/>
        <v>0</v>
      </c>
      <c r="DG32" s="43" t="str">
        <f t="shared" si="6"/>
        <v/>
      </c>
      <c r="DH32" s="43" t="str">
        <f t="shared" si="7"/>
        <v/>
      </c>
      <c r="DI32" s="43" t="str">
        <f t="shared" si="8"/>
        <v/>
      </c>
      <c r="DJ32" s="43" t="str">
        <f t="shared" si="9"/>
        <v/>
      </c>
      <c r="DK32" s="43" t="e">
        <f t="shared" si="10"/>
        <v>#N/A</v>
      </c>
      <c r="DL32" s="43" t="e">
        <f t="shared" si="11"/>
        <v>#N/A</v>
      </c>
      <c r="DM32" s="43" t="e">
        <f t="shared" si="12"/>
        <v>#N/A</v>
      </c>
      <c r="DN32" s="43" t="e">
        <f t="shared" si="13"/>
        <v>#N/A</v>
      </c>
      <c r="DO32" s="43" t="e">
        <f t="shared" si="14"/>
        <v>#N/A</v>
      </c>
      <c r="DP32" s="43" t="e">
        <f t="shared" si="15"/>
        <v>#N/A</v>
      </c>
      <c r="DQ32" s="43" t="e">
        <f t="shared" si="16"/>
        <v>#N/A</v>
      </c>
      <c r="DR32" s="43" t="e">
        <f t="shared" si="17"/>
        <v>#N/A</v>
      </c>
      <c r="DS32" s="43">
        <f t="shared" si="18"/>
        <v>0</v>
      </c>
      <c r="DT32" s="43">
        <v>22</v>
      </c>
      <c r="DU32" s="43">
        <f t="shared" si="28"/>
        <v>7.154999999999994</v>
      </c>
      <c r="DV32" s="43">
        <f t="shared" si="19"/>
        <v>9.7982804962095074</v>
      </c>
      <c r="DW32" s="43">
        <f t="shared" si="20"/>
        <v>0.67912526261233064</v>
      </c>
      <c r="DX32" s="43" t="e">
        <f t="shared" si="21"/>
        <v>#N/A</v>
      </c>
      <c r="DY32" s="50" t="e">
        <f t="shared" si="22"/>
        <v>#N/A</v>
      </c>
      <c r="DZ32" s="50" t="str">
        <f t="shared" si="23"/>
        <v/>
      </c>
      <c r="EA32" s="50">
        <f t="shared" si="24"/>
        <v>1.529633167846558</v>
      </c>
      <c r="EB32" s="43" t="e">
        <f t="shared" si="25"/>
        <v>#N/A</v>
      </c>
      <c r="EC32" s="50" t="e">
        <f t="shared" si="26"/>
        <v>#N/A</v>
      </c>
      <c r="ED32" s="50" t="str">
        <f t="shared" si="27"/>
        <v/>
      </c>
    </row>
    <row r="33" spans="1:134" ht="12" customHeight="1">
      <c r="A33" s="640">
        <v>21</v>
      </c>
      <c r="B33" s="994"/>
      <c r="C33" s="995"/>
      <c r="D33" s="1026"/>
      <c r="E33" s="884"/>
      <c r="F33" s="1027" t="str">
        <f t="shared" si="29"/>
        <v/>
      </c>
      <c r="G33" s="1028" t="str">
        <f t="shared" si="30"/>
        <v/>
      </c>
      <c r="H33" s="886"/>
      <c r="I33" s="458" t="str">
        <f t="shared" si="31"/>
        <v/>
      </c>
      <c r="J33" s="886"/>
      <c r="K33" s="801">
        <f t="shared" si="2"/>
        <v>8.9300000000000002E-4</v>
      </c>
      <c r="L33" s="83"/>
      <c r="M33" s="83"/>
      <c r="N33" s="83"/>
      <c r="O33" s="83"/>
      <c r="P33" s="83"/>
      <c r="Q33" s="83"/>
      <c r="R33" s="83"/>
      <c r="S33" s="83"/>
      <c r="T33" s="83"/>
      <c r="U33" s="83"/>
      <c r="V33" s="83"/>
      <c r="W33" s="83"/>
      <c r="X33" s="83"/>
      <c r="Y33" s="83"/>
      <c r="Z33" s="83">
        <f t="shared" si="3"/>
        <v>8.9300000000000002E-4</v>
      </c>
      <c r="AA33" s="83">
        <f t="shared" si="3"/>
        <v>8.9300000000000002E-4</v>
      </c>
      <c r="AB33" s="801">
        <f t="shared" si="3"/>
        <v>8.9300000000000002E-4</v>
      </c>
      <c r="AC33" s="83"/>
      <c r="AD33" s="83"/>
      <c r="AE33" s="83"/>
      <c r="AF33" s="83"/>
      <c r="AG33" s="83"/>
      <c r="AH33" s="83"/>
      <c r="AI33" s="83"/>
      <c r="AJ33" s="83"/>
      <c r="AK33" s="83"/>
      <c r="AL33" s="802"/>
      <c r="AM33" s="802">
        <f t="shared" si="4"/>
        <v>8.9300000000000002E-4</v>
      </c>
      <c r="AN33" s="802"/>
      <c r="AO33" s="802"/>
      <c r="AP33" s="802"/>
      <c r="AQ33" s="802"/>
      <c r="AR33" s="802"/>
      <c r="AS33" s="802"/>
      <c r="AT33" s="802"/>
      <c r="AU33" s="802"/>
      <c r="AV33" s="802"/>
      <c r="AW33" s="802"/>
      <c r="AX33" s="802"/>
      <c r="AY33" s="802"/>
      <c r="AZ33" s="802"/>
      <c r="BA33" s="983">
        <v>27</v>
      </c>
      <c r="BB33" s="994"/>
      <c r="BC33" s="995"/>
      <c r="BD33" s="986"/>
      <c r="BF33" s="983">
        <v>27</v>
      </c>
      <c r="BG33" s="994"/>
      <c r="BH33" s="995"/>
      <c r="BI33" s="986"/>
      <c r="BK33" s="983">
        <v>27</v>
      </c>
      <c r="BL33" s="994">
        <v>75</v>
      </c>
      <c r="BM33" s="995">
        <v>65</v>
      </c>
      <c r="BN33" s="986"/>
      <c r="BP33" s="983">
        <v>27</v>
      </c>
      <c r="BQ33" s="994">
        <v>3.5714285714285716</v>
      </c>
      <c r="BR33" s="995">
        <v>4.4000000000000004</v>
      </c>
      <c r="BS33" s="986"/>
      <c r="BU33" s="983">
        <v>27</v>
      </c>
      <c r="BV33" s="996">
        <v>3.2857142857142856</v>
      </c>
      <c r="BW33" s="997">
        <v>5</v>
      </c>
      <c r="BX33" s="986"/>
      <c r="BZ33" s="983">
        <v>27</v>
      </c>
      <c r="CA33" s="996">
        <v>3.7142857142857144</v>
      </c>
      <c r="CB33" s="997">
        <v>5.7</v>
      </c>
      <c r="CC33" s="986"/>
      <c r="DC33" s="43" t="s">
        <v>847</v>
      </c>
      <c r="DD33" s="43">
        <v>0.96</v>
      </c>
      <c r="DE33" s="43">
        <v>1.05</v>
      </c>
      <c r="DF33" s="43" t="b">
        <f t="shared" si="5"/>
        <v>0</v>
      </c>
      <c r="DG33" s="43" t="str">
        <f t="shared" si="6"/>
        <v/>
      </c>
      <c r="DH33" s="43" t="str">
        <f t="shared" si="7"/>
        <v/>
      </c>
      <c r="DI33" s="43" t="str">
        <f t="shared" si="8"/>
        <v/>
      </c>
      <c r="DJ33" s="43" t="str">
        <f t="shared" si="9"/>
        <v/>
      </c>
      <c r="DK33" s="43" t="e">
        <f t="shared" si="10"/>
        <v>#N/A</v>
      </c>
      <c r="DL33" s="43" t="e">
        <f t="shared" si="11"/>
        <v>#N/A</v>
      </c>
      <c r="DM33" s="43" t="e">
        <f t="shared" si="12"/>
        <v>#N/A</v>
      </c>
      <c r="DN33" s="43" t="e">
        <f t="shared" si="13"/>
        <v>#N/A</v>
      </c>
      <c r="DO33" s="43" t="e">
        <f t="shared" si="14"/>
        <v>#N/A</v>
      </c>
      <c r="DP33" s="43" t="e">
        <f t="shared" si="15"/>
        <v>#N/A</v>
      </c>
      <c r="DQ33" s="43" t="e">
        <f t="shared" si="16"/>
        <v>#N/A</v>
      </c>
      <c r="DR33" s="43" t="e">
        <f t="shared" si="17"/>
        <v>#N/A</v>
      </c>
      <c r="DS33" s="43">
        <f t="shared" si="18"/>
        <v>0</v>
      </c>
      <c r="DT33" s="43">
        <v>23</v>
      </c>
      <c r="DU33" s="43">
        <f t="shared" si="28"/>
        <v>7.2099999999999937</v>
      </c>
      <c r="DV33" s="43">
        <f t="shared" si="19"/>
        <v>9.8411509303928284</v>
      </c>
      <c r="DW33" s="43">
        <f t="shared" si="20"/>
        <v>0.6735653297762989</v>
      </c>
      <c r="DX33" s="43" t="e">
        <f t="shared" si="21"/>
        <v>#N/A</v>
      </c>
      <c r="DY33" s="50" t="e">
        <f t="shared" si="22"/>
        <v>#N/A</v>
      </c>
      <c r="DZ33" s="50" t="str">
        <f t="shared" si="23"/>
        <v/>
      </c>
      <c r="EA33" s="50">
        <f t="shared" si="24"/>
        <v>1.5271727994351796</v>
      </c>
      <c r="EB33" s="43" t="e">
        <f t="shared" si="25"/>
        <v>#N/A</v>
      </c>
      <c r="EC33" s="50" t="e">
        <f t="shared" si="26"/>
        <v>#N/A</v>
      </c>
      <c r="ED33" s="50" t="str">
        <f t="shared" si="27"/>
        <v/>
      </c>
    </row>
    <row r="34" spans="1:134" ht="12" customHeight="1">
      <c r="A34" s="669">
        <v>22</v>
      </c>
      <c r="B34" s="994"/>
      <c r="C34" s="995"/>
      <c r="D34" s="1026"/>
      <c r="E34" s="884"/>
      <c r="F34" s="1027" t="str">
        <f t="shared" si="29"/>
        <v/>
      </c>
      <c r="G34" s="1028" t="str">
        <f t="shared" si="30"/>
        <v/>
      </c>
      <c r="H34" s="886"/>
      <c r="I34" s="458" t="str">
        <f t="shared" si="31"/>
        <v/>
      </c>
      <c r="J34" s="886"/>
      <c r="K34" s="801">
        <f t="shared" si="2"/>
        <v>8.9300000000000002E-4</v>
      </c>
      <c r="L34" s="83"/>
      <c r="M34" s="83"/>
      <c r="N34" s="83"/>
      <c r="O34" s="83"/>
      <c r="P34" s="83"/>
      <c r="Q34" s="83"/>
      <c r="R34" s="83"/>
      <c r="S34" s="83"/>
      <c r="T34" s="83"/>
      <c r="U34" s="83"/>
      <c r="V34" s="83"/>
      <c r="W34" s="83"/>
      <c r="X34" s="83"/>
      <c r="Y34" s="83"/>
      <c r="Z34" s="83">
        <f t="shared" si="3"/>
        <v>8.9300000000000002E-4</v>
      </c>
      <c r="AA34" s="83">
        <f t="shared" si="3"/>
        <v>8.9300000000000002E-4</v>
      </c>
      <c r="AB34" s="801">
        <f t="shared" si="3"/>
        <v>8.9300000000000002E-4</v>
      </c>
      <c r="AC34" s="83"/>
      <c r="AD34" s="83"/>
      <c r="AE34" s="83"/>
      <c r="AF34" s="83"/>
      <c r="AG34" s="83"/>
      <c r="AH34" s="83"/>
      <c r="AI34" s="83"/>
      <c r="AJ34" s="83"/>
      <c r="AK34" s="83"/>
      <c r="AL34" s="802"/>
      <c r="AM34" s="802">
        <f t="shared" si="4"/>
        <v>8.9300000000000002E-4</v>
      </c>
      <c r="AN34" s="802"/>
      <c r="AO34" s="802"/>
      <c r="AP34" s="802"/>
      <c r="AQ34" s="802"/>
      <c r="AR34" s="802"/>
      <c r="AS34" s="802"/>
      <c r="AT34" s="802"/>
      <c r="AU34" s="802"/>
      <c r="AV34" s="802"/>
      <c r="AW34" s="802"/>
      <c r="AX34" s="802"/>
      <c r="AY34" s="802"/>
      <c r="AZ34" s="802"/>
      <c r="BA34" s="983">
        <v>28</v>
      </c>
      <c r="BB34" s="994"/>
      <c r="BC34" s="995"/>
      <c r="BD34" s="986"/>
      <c r="BF34" s="983">
        <v>28</v>
      </c>
      <c r="BG34" s="994"/>
      <c r="BH34" s="995"/>
      <c r="BI34" s="986"/>
      <c r="BK34" s="983">
        <v>28</v>
      </c>
      <c r="BL34" s="994">
        <v>66</v>
      </c>
      <c r="BM34" s="995">
        <v>64</v>
      </c>
      <c r="BN34" s="986"/>
      <c r="BP34" s="983">
        <v>28</v>
      </c>
      <c r="BQ34" s="994">
        <v>4.2857142857142856</v>
      </c>
      <c r="BR34" s="995">
        <v>4.4000000000000004</v>
      </c>
      <c r="BS34" s="986"/>
      <c r="BU34" s="983">
        <v>28</v>
      </c>
      <c r="BV34" s="996">
        <v>3.4285714285714284</v>
      </c>
      <c r="BW34" s="997">
        <v>5</v>
      </c>
      <c r="BX34" s="986"/>
      <c r="BZ34" s="983">
        <v>28</v>
      </c>
      <c r="CA34" s="996">
        <v>3.2857142857142856</v>
      </c>
      <c r="CB34" s="997">
        <v>5.6</v>
      </c>
      <c r="CC34" s="986"/>
      <c r="DC34" s="43" t="s">
        <v>896</v>
      </c>
      <c r="DD34" s="43">
        <v>0.99</v>
      </c>
      <c r="DE34" s="43">
        <v>0.99</v>
      </c>
      <c r="DF34" s="43" t="b">
        <f t="shared" si="5"/>
        <v>0</v>
      </c>
      <c r="DG34" s="43" t="str">
        <f t="shared" si="6"/>
        <v/>
      </c>
      <c r="DH34" s="43" t="str">
        <f t="shared" si="7"/>
        <v/>
      </c>
      <c r="DI34" s="43" t="str">
        <f t="shared" si="8"/>
        <v/>
      </c>
      <c r="DJ34" s="43" t="str">
        <f t="shared" si="9"/>
        <v/>
      </c>
      <c r="DK34" s="43" t="e">
        <f t="shared" si="10"/>
        <v>#N/A</v>
      </c>
      <c r="DL34" s="43" t="e">
        <f t="shared" si="11"/>
        <v>#N/A</v>
      </c>
      <c r="DM34" s="43" t="e">
        <f t="shared" si="12"/>
        <v>#N/A</v>
      </c>
      <c r="DN34" s="43" t="e">
        <f t="shared" si="13"/>
        <v>#N/A</v>
      </c>
      <c r="DO34" s="43" t="e">
        <f t="shared" si="14"/>
        <v>#N/A</v>
      </c>
      <c r="DP34" s="43" t="e">
        <f t="shared" si="15"/>
        <v>#N/A</v>
      </c>
      <c r="DQ34" s="43" t="e">
        <f t="shared" si="16"/>
        <v>#N/A</v>
      </c>
      <c r="DR34" s="43" t="e">
        <f t="shared" si="17"/>
        <v>#N/A</v>
      </c>
      <c r="DS34" s="43">
        <f t="shared" si="18"/>
        <v>0</v>
      </c>
      <c r="DT34" s="43">
        <v>24</v>
      </c>
      <c r="DU34" s="43">
        <f t="shared" si="28"/>
        <v>7.2649999999999935</v>
      </c>
      <c r="DV34" s="43">
        <f t="shared" si="19"/>
        <v>9.8840213645761512</v>
      </c>
      <c r="DW34" s="43">
        <f t="shared" si="20"/>
        <v>0.66802947367151866</v>
      </c>
      <c r="DX34" s="43" t="e">
        <f t="shared" si="21"/>
        <v>#N/A</v>
      </c>
      <c r="DY34" s="50" t="e">
        <f t="shared" si="22"/>
        <v>#N/A</v>
      </c>
      <c r="DZ34" s="50" t="str">
        <f t="shared" si="23"/>
        <v/>
      </c>
      <c r="EA34" s="50">
        <f t="shared" si="24"/>
        <v>1.5247392837963729</v>
      </c>
      <c r="EB34" s="43" t="e">
        <f t="shared" si="25"/>
        <v>#N/A</v>
      </c>
      <c r="EC34" s="50" t="e">
        <f t="shared" si="26"/>
        <v>#N/A</v>
      </c>
      <c r="ED34" s="50" t="str">
        <f t="shared" si="27"/>
        <v/>
      </c>
    </row>
    <row r="35" spans="1:134" ht="12" customHeight="1">
      <c r="A35" s="640">
        <v>23</v>
      </c>
      <c r="B35" s="994"/>
      <c r="C35" s="995"/>
      <c r="D35" s="1026"/>
      <c r="E35" s="884"/>
      <c r="F35" s="1027" t="str">
        <f t="shared" si="29"/>
        <v/>
      </c>
      <c r="G35" s="1028" t="str">
        <f t="shared" si="30"/>
        <v/>
      </c>
      <c r="H35" s="886"/>
      <c r="I35" s="458" t="str">
        <f t="shared" si="31"/>
        <v/>
      </c>
      <c r="J35" s="886"/>
      <c r="K35" s="801">
        <f t="shared" si="2"/>
        <v>8.9300000000000002E-4</v>
      </c>
      <c r="L35" s="83"/>
      <c r="M35" s="83"/>
      <c r="N35" s="83"/>
      <c r="O35" s="83"/>
      <c r="P35" s="83"/>
      <c r="Q35" s="83"/>
      <c r="R35" s="83"/>
      <c r="S35" s="83"/>
      <c r="T35" s="83"/>
      <c r="U35" s="83"/>
      <c r="V35" s="83"/>
      <c r="W35" s="83"/>
      <c r="X35" s="83"/>
      <c r="Y35" s="1038"/>
      <c r="Z35" s="801">
        <f t="shared" si="3"/>
        <v>8.9300000000000002E-4</v>
      </c>
      <c r="AA35" s="801">
        <f t="shared" si="3"/>
        <v>8.9300000000000002E-4</v>
      </c>
      <c r="AB35" s="801">
        <f t="shared" si="3"/>
        <v>8.9300000000000002E-4</v>
      </c>
      <c r="AC35" s="83"/>
      <c r="AD35" s="83"/>
      <c r="AE35" s="83"/>
      <c r="AF35" s="83"/>
      <c r="AG35" s="83"/>
      <c r="AH35" s="83"/>
      <c r="AI35" s="83"/>
      <c r="AJ35" s="83"/>
      <c r="AK35" s="83"/>
      <c r="AL35" s="802"/>
      <c r="AM35" s="802">
        <f t="shared" si="4"/>
        <v>8.9300000000000002E-4</v>
      </c>
      <c r="AN35" s="802"/>
      <c r="AO35" s="802"/>
      <c r="AP35" s="802"/>
      <c r="AQ35" s="802"/>
      <c r="AR35" s="802"/>
      <c r="AS35" s="802"/>
      <c r="AT35" s="802"/>
      <c r="AU35" s="802"/>
      <c r="AV35" s="802"/>
      <c r="AW35" s="802"/>
      <c r="AX35" s="802"/>
      <c r="AY35" s="802"/>
      <c r="AZ35" s="802"/>
      <c r="BA35" s="983">
        <v>29</v>
      </c>
      <c r="BB35" s="994"/>
      <c r="BC35" s="995"/>
      <c r="BD35" s="986"/>
      <c r="BF35" s="983">
        <v>29</v>
      </c>
      <c r="BG35" s="994"/>
      <c r="BH35" s="995"/>
      <c r="BI35" s="986"/>
      <c r="BK35" s="983">
        <v>29</v>
      </c>
      <c r="BL35" s="994">
        <v>70</v>
      </c>
      <c r="BM35" s="995">
        <v>72</v>
      </c>
      <c r="BN35" s="986"/>
      <c r="BP35" s="983">
        <v>29</v>
      </c>
      <c r="BQ35" s="994">
        <v>2.7142857142857144</v>
      </c>
      <c r="BR35" s="995">
        <v>4.5999999999999996</v>
      </c>
      <c r="BS35" s="986"/>
      <c r="BU35" s="983">
        <v>29</v>
      </c>
      <c r="BV35" s="996">
        <v>4.4285714285714288</v>
      </c>
      <c r="BW35" s="997">
        <v>5</v>
      </c>
      <c r="BX35" s="986"/>
      <c r="BZ35" s="983">
        <v>29</v>
      </c>
      <c r="CA35" s="996">
        <v>4.4285714285714288</v>
      </c>
      <c r="CB35" s="997">
        <v>5.6</v>
      </c>
      <c r="CC35" s="986"/>
      <c r="DC35" s="43" t="s">
        <v>896</v>
      </c>
      <c r="DD35" s="43">
        <f>DD34</f>
        <v>0.99</v>
      </c>
      <c r="DE35" s="43">
        <v>1.49</v>
      </c>
      <c r="DF35" s="43" t="b">
        <f t="shared" si="5"/>
        <v>0</v>
      </c>
      <c r="DG35" s="43" t="str">
        <f t="shared" si="6"/>
        <v/>
      </c>
      <c r="DH35" s="43" t="str">
        <f t="shared" si="7"/>
        <v/>
      </c>
      <c r="DI35" s="43" t="str">
        <f t="shared" si="8"/>
        <v/>
      </c>
      <c r="DJ35" s="43" t="str">
        <f t="shared" si="9"/>
        <v/>
      </c>
      <c r="DK35" s="43" t="e">
        <f t="shared" si="10"/>
        <v>#N/A</v>
      </c>
      <c r="DL35" s="43" t="e">
        <f t="shared" si="11"/>
        <v>#N/A</v>
      </c>
      <c r="DM35" s="43" t="e">
        <f t="shared" si="12"/>
        <v>#N/A</v>
      </c>
      <c r="DN35" s="43" t="e">
        <f t="shared" si="13"/>
        <v>#N/A</v>
      </c>
      <c r="DO35" s="43" t="e">
        <f t="shared" si="14"/>
        <v>#N/A</v>
      </c>
      <c r="DP35" s="43" t="e">
        <f t="shared" si="15"/>
        <v>#N/A</v>
      </c>
      <c r="DQ35" s="43" t="e">
        <f t="shared" si="16"/>
        <v>#N/A</v>
      </c>
      <c r="DR35" s="43" t="e">
        <f t="shared" si="17"/>
        <v>#N/A</v>
      </c>
      <c r="DS35" s="43">
        <f t="shared" si="18"/>
        <v>0</v>
      </c>
      <c r="DT35" s="43">
        <v>25</v>
      </c>
      <c r="DU35" s="43">
        <f t="shared" si="28"/>
        <v>7.3199999999999932</v>
      </c>
      <c r="DV35" s="43">
        <f t="shared" si="19"/>
        <v>9.9268917987594723</v>
      </c>
      <c r="DW35" s="43">
        <f t="shared" si="20"/>
        <v>0.66251829783775984</v>
      </c>
      <c r="DX35" s="43" t="e">
        <f t="shared" si="21"/>
        <v>#N/A</v>
      </c>
      <c r="DY35" s="50" t="e">
        <f t="shared" si="22"/>
        <v>#N/A</v>
      </c>
      <c r="DZ35" s="50" t="str">
        <f t="shared" si="23"/>
        <v/>
      </c>
      <c r="EA35" s="50">
        <f t="shared" si="24"/>
        <v>1.522332749706145</v>
      </c>
      <c r="EB35" s="43" t="e">
        <f t="shared" si="25"/>
        <v>#N/A</v>
      </c>
      <c r="EC35" s="50" t="e">
        <f t="shared" si="26"/>
        <v>#N/A</v>
      </c>
      <c r="ED35" s="50" t="str">
        <f t="shared" si="27"/>
        <v/>
      </c>
    </row>
    <row r="36" spans="1:134" ht="12" customHeight="1">
      <c r="A36" s="640">
        <v>24</v>
      </c>
      <c r="B36" s="994"/>
      <c r="C36" s="995"/>
      <c r="D36" s="1026"/>
      <c r="E36" s="884"/>
      <c r="F36" s="1027" t="str">
        <f t="shared" si="29"/>
        <v/>
      </c>
      <c r="G36" s="1028" t="str">
        <f t="shared" si="30"/>
        <v/>
      </c>
      <c r="H36" s="886"/>
      <c r="I36" s="458" t="str">
        <f t="shared" si="31"/>
        <v/>
      </c>
      <c r="J36" s="886"/>
      <c r="K36" s="801">
        <f t="shared" si="2"/>
        <v>8.9300000000000002E-4</v>
      </c>
      <c r="L36" s="83"/>
      <c r="M36" s="83"/>
      <c r="N36" s="83"/>
      <c r="O36" s="83"/>
      <c r="P36" s="83"/>
      <c r="Q36" s="83"/>
      <c r="R36" s="83"/>
      <c r="S36" s="83"/>
      <c r="T36" s="83"/>
      <c r="U36" s="83"/>
      <c r="V36" s="83"/>
      <c r="W36" s="83"/>
      <c r="X36" s="83"/>
      <c r="Y36" s="83"/>
      <c r="Z36" s="83">
        <f t="shared" si="3"/>
        <v>8.9300000000000002E-4</v>
      </c>
      <c r="AA36" s="83">
        <f t="shared" si="3"/>
        <v>8.9300000000000002E-4</v>
      </c>
      <c r="AB36" s="801">
        <f t="shared" si="3"/>
        <v>8.9300000000000002E-4</v>
      </c>
      <c r="AC36" s="83"/>
      <c r="AD36" s="83"/>
      <c r="AE36" s="83"/>
      <c r="AF36" s="83"/>
      <c r="AG36" s="83"/>
      <c r="AH36" s="83"/>
      <c r="AI36" s="83"/>
      <c r="AJ36" s="83"/>
      <c r="AK36" s="83"/>
      <c r="AL36" s="802"/>
      <c r="AM36" s="802">
        <f t="shared" si="4"/>
        <v>8.9300000000000002E-4</v>
      </c>
      <c r="AN36" s="802"/>
      <c r="AO36" s="802"/>
      <c r="AP36" s="802"/>
      <c r="AQ36" s="802"/>
      <c r="AR36" s="802"/>
      <c r="AS36" s="802"/>
      <c r="AT36" s="802"/>
      <c r="AU36" s="802"/>
      <c r="AV36" s="802"/>
      <c r="AW36" s="802"/>
      <c r="AX36" s="802"/>
      <c r="AY36" s="802"/>
      <c r="AZ36" s="802"/>
      <c r="BA36" s="1034">
        <v>30</v>
      </c>
      <c r="BB36" s="994"/>
      <c r="BC36" s="995"/>
      <c r="BD36" s="986"/>
      <c r="BF36" s="1034">
        <v>30</v>
      </c>
      <c r="BG36" s="994"/>
      <c r="BH36" s="995"/>
      <c r="BI36" s="986"/>
      <c r="BK36" s="1034">
        <v>30</v>
      </c>
      <c r="BL36" s="994">
        <v>70</v>
      </c>
      <c r="BM36" s="995">
        <v>71</v>
      </c>
      <c r="BN36" s="986"/>
      <c r="BP36" s="1034">
        <v>30</v>
      </c>
      <c r="BQ36" s="994">
        <v>3.2857142857142856</v>
      </c>
      <c r="BR36" s="995">
        <v>4.5999999999999996</v>
      </c>
      <c r="BS36" s="986"/>
      <c r="BU36" s="1034">
        <v>30</v>
      </c>
      <c r="BV36" s="996">
        <v>3.2857142857142856</v>
      </c>
      <c r="BW36" s="997">
        <v>5.2</v>
      </c>
      <c r="BX36" s="986"/>
      <c r="BZ36" s="1034">
        <v>30</v>
      </c>
      <c r="CA36" s="996">
        <v>4.2857142857142856</v>
      </c>
      <c r="CB36" s="997">
        <v>5.6</v>
      </c>
      <c r="CC36" s="986"/>
      <c r="DD36" s="53" t="s">
        <v>830</v>
      </c>
      <c r="DE36" s="95">
        <v>773</v>
      </c>
      <c r="DF36" s="43" t="b">
        <f t="shared" si="5"/>
        <v>0</v>
      </c>
      <c r="DG36" s="43" t="str">
        <f t="shared" si="6"/>
        <v/>
      </c>
      <c r="DH36" s="43" t="str">
        <f t="shared" si="7"/>
        <v/>
      </c>
      <c r="DI36" s="43" t="str">
        <f t="shared" si="8"/>
        <v/>
      </c>
      <c r="DJ36" s="43" t="str">
        <f t="shared" si="9"/>
        <v/>
      </c>
      <c r="DK36" s="43" t="e">
        <f t="shared" si="10"/>
        <v>#N/A</v>
      </c>
      <c r="DL36" s="43" t="e">
        <f t="shared" si="11"/>
        <v>#N/A</v>
      </c>
      <c r="DM36" s="43" t="e">
        <f t="shared" si="12"/>
        <v>#N/A</v>
      </c>
      <c r="DN36" s="43" t="e">
        <f t="shared" si="13"/>
        <v>#N/A</v>
      </c>
      <c r="DO36" s="43" t="e">
        <f t="shared" si="14"/>
        <v>#N/A</v>
      </c>
      <c r="DP36" s="43" t="e">
        <f t="shared" si="15"/>
        <v>#N/A</v>
      </c>
      <c r="DQ36" s="43" t="e">
        <f t="shared" si="16"/>
        <v>#N/A</v>
      </c>
      <c r="DR36" s="43" t="e">
        <f t="shared" si="17"/>
        <v>#N/A</v>
      </c>
      <c r="DS36" s="43">
        <f t="shared" si="18"/>
        <v>0</v>
      </c>
      <c r="DT36" s="43">
        <v>26</v>
      </c>
      <c r="DU36" s="43">
        <f t="shared" si="28"/>
        <v>7.3749999999999929</v>
      </c>
      <c r="DV36" s="43">
        <f t="shared" si="19"/>
        <v>9.9697622329427951</v>
      </c>
      <c r="DW36" s="43">
        <f t="shared" si="20"/>
        <v>0.65703242332828871</v>
      </c>
      <c r="DX36" s="43" t="e">
        <f t="shared" si="21"/>
        <v>#N/A</v>
      </c>
      <c r="DY36" s="50" t="e">
        <f t="shared" si="22"/>
        <v>#N/A</v>
      </c>
      <c r="DZ36" s="50" t="str">
        <f t="shared" si="23"/>
        <v/>
      </c>
      <c r="EA36" s="50">
        <f t="shared" si="24"/>
        <v>1.519953325323733</v>
      </c>
      <c r="EB36" s="43" t="e">
        <f t="shared" si="25"/>
        <v>#N/A</v>
      </c>
      <c r="EC36" s="50" t="e">
        <f t="shared" si="26"/>
        <v>#N/A</v>
      </c>
      <c r="ED36" s="50" t="str">
        <f t="shared" si="27"/>
        <v/>
      </c>
    </row>
    <row r="37" spans="1:134" ht="12" customHeight="1">
      <c r="A37" s="640">
        <v>25</v>
      </c>
      <c r="B37" s="994"/>
      <c r="C37" s="995"/>
      <c r="D37" s="1026"/>
      <c r="E37" s="884"/>
      <c r="F37" s="1027" t="str">
        <f t="shared" si="29"/>
        <v/>
      </c>
      <c r="G37" s="1028" t="str">
        <f t="shared" si="30"/>
        <v/>
      </c>
      <c r="H37" s="886"/>
      <c r="I37" s="458" t="str">
        <f t="shared" si="31"/>
        <v/>
      </c>
      <c r="J37" s="886"/>
      <c r="K37" s="801">
        <f t="shared" si="2"/>
        <v>8.9300000000000002E-4</v>
      </c>
      <c r="L37" s="83"/>
      <c r="M37" s="83"/>
      <c r="N37" s="83"/>
      <c r="O37" s="83"/>
      <c r="P37" s="83"/>
      <c r="Q37" s="83"/>
      <c r="R37" s="83"/>
      <c r="S37" s="83"/>
      <c r="T37" s="83"/>
      <c r="U37" s="83"/>
      <c r="V37" s="83"/>
      <c r="W37" s="83"/>
      <c r="X37" s="83"/>
      <c r="Y37" s="83"/>
      <c r="Z37" s="83">
        <f t="shared" si="3"/>
        <v>8.9300000000000002E-4</v>
      </c>
      <c r="AA37" s="83">
        <f t="shared" si="3"/>
        <v>8.9300000000000002E-4</v>
      </c>
      <c r="AB37" s="801">
        <f t="shared" si="3"/>
        <v>8.9300000000000002E-4</v>
      </c>
      <c r="AC37" s="83"/>
      <c r="AD37" s="83"/>
      <c r="AE37" s="83"/>
      <c r="AF37" s="83"/>
      <c r="AG37" s="83"/>
      <c r="AH37" s="83"/>
      <c r="AI37" s="83"/>
      <c r="AJ37" s="83"/>
      <c r="AK37" s="83"/>
      <c r="AL37" s="802"/>
      <c r="AM37" s="802">
        <f t="shared" si="4"/>
        <v>8.9300000000000002E-4</v>
      </c>
      <c r="AN37" s="802"/>
      <c r="AO37" s="802"/>
      <c r="AP37" s="802"/>
      <c r="AQ37" s="802"/>
      <c r="AR37" s="802"/>
      <c r="AS37" s="802"/>
      <c r="AT37" s="802"/>
      <c r="AU37" s="802"/>
      <c r="AV37" s="802"/>
      <c r="AW37" s="802"/>
      <c r="AX37" s="802"/>
      <c r="AY37" s="802"/>
      <c r="AZ37" s="802"/>
      <c r="BA37" s="983">
        <v>31</v>
      </c>
      <c r="BB37" s="994"/>
      <c r="BC37" s="995"/>
      <c r="BD37" s="986"/>
      <c r="BF37" s="983">
        <v>31</v>
      </c>
      <c r="BG37" s="994"/>
      <c r="BH37" s="995"/>
      <c r="BI37" s="986"/>
      <c r="BK37" s="983">
        <v>31</v>
      </c>
      <c r="BL37" s="994">
        <v>64</v>
      </c>
      <c r="BM37" s="995">
        <v>63</v>
      </c>
      <c r="BN37" s="986"/>
      <c r="BP37" s="983">
        <v>31</v>
      </c>
      <c r="BQ37" s="994">
        <v>3.5714285714285716</v>
      </c>
      <c r="BR37" s="995">
        <v>4.5999999999999996</v>
      </c>
      <c r="BS37" s="986"/>
      <c r="BU37" s="983">
        <v>31</v>
      </c>
      <c r="BV37" s="996">
        <v>3.2857142857142856</v>
      </c>
      <c r="BW37" s="997">
        <v>5.25</v>
      </c>
      <c r="BX37" s="986"/>
      <c r="BZ37" s="983">
        <v>31</v>
      </c>
      <c r="CA37" s="996">
        <v>4</v>
      </c>
      <c r="CB37" s="997">
        <v>5.75</v>
      </c>
      <c r="CC37" s="986"/>
      <c r="DD37" s="53" t="s">
        <v>771</v>
      </c>
      <c r="DE37" s="43" t="str">
        <f>IF(DW2,U40+W40*Q42,"")</f>
        <v/>
      </c>
      <c r="DF37" s="43" t="b">
        <f t="shared" si="5"/>
        <v>0</v>
      </c>
      <c r="DG37" s="43" t="str">
        <f t="shared" si="6"/>
        <v/>
      </c>
      <c r="DH37" s="43" t="str">
        <f t="shared" si="7"/>
        <v/>
      </c>
      <c r="DI37" s="43" t="str">
        <f t="shared" si="8"/>
        <v/>
      </c>
      <c r="DJ37" s="43" t="str">
        <f t="shared" si="9"/>
        <v/>
      </c>
      <c r="DK37" s="43" t="e">
        <f t="shared" si="10"/>
        <v>#N/A</v>
      </c>
      <c r="DL37" s="43" t="e">
        <f t="shared" si="11"/>
        <v>#N/A</v>
      </c>
      <c r="DM37" s="43" t="e">
        <f t="shared" si="12"/>
        <v>#N/A</v>
      </c>
      <c r="DN37" s="43" t="e">
        <f t="shared" si="13"/>
        <v>#N/A</v>
      </c>
      <c r="DO37" s="43" t="e">
        <f t="shared" si="14"/>
        <v>#N/A</v>
      </c>
      <c r="DP37" s="43" t="e">
        <f t="shared" si="15"/>
        <v>#N/A</v>
      </c>
      <c r="DQ37" s="43" t="e">
        <f t="shared" si="16"/>
        <v>#N/A</v>
      </c>
      <c r="DR37" s="43" t="e">
        <f t="shared" si="17"/>
        <v>#N/A</v>
      </c>
      <c r="DS37" s="43">
        <f t="shared" si="18"/>
        <v>0</v>
      </c>
      <c r="DT37" s="43">
        <v>27</v>
      </c>
      <c r="DU37" s="43">
        <f t="shared" si="28"/>
        <v>7.4299999999999926</v>
      </c>
      <c r="DV37" s="43">
        <f t="shared" si="19"/>
        <v>10.012632667126116</v>
      </c>
      <c r="DW37" s="43">
        <f t="shared" si="20"/>
        <v>0.65157248921225097</v>
      </c>
      <c r="DX37" s="43" t="e">
        <f t="shared" si="21"/>
        <v>#N/A</v>
      </c>
      <c r="DY37" s="50" t="e">
        <f t="shared" si="22"/>
        <v>#N/A</v>
      </c>
      <c r="DZ37" s="50" t="str">
        <f t="shared" si="23"/>
        <v/>
      </c>
      <c r="EA37" s="50">
        <f t="shared" si="24"/>
        <v>1.5176011381638714</v>
      </c>
      <c r="EB37" s="43" t="e">
        <f t="shared" si="25"/>
        <v>#N/A</v>
      </c>
      <c r="EC37" s="50" t="e">
        <f t="shared" si="26"/>
        <v>#N/A</v>
      </c>
      <c r="ED37" s="50" t="str">
        <f t="shared" si="27"/>
        <v/>
      </c>
    </row>
    <row r="38" spans="1:134" ht="12" customHeight="1">
      <c r="A38" s="669">
        <v>26</v>
      </c>
      <c r="B38" s="994"/>
      <c r="C38" s="995"/>
      <c r="D38" s="1026"/>
      <c r="E38" s="884"/>
      <c r="F38" s="1027" t="str">
        <f t="shared" si="29"/>
        <v/>
      </c>
      <c r="G38" s="1028" t="str">
        <f t="shared" si="30"/>
        <v/>
      </c>
      <c r="H38" s="886"/>
      <c r="I38" s="458" t="str">
        <f t="shared" si="31"/>
        <v/>
      </c>
      <c r="J38" s="886"/>
      <c r="K38" s="1039">
        <v>10</v>
      </c>
      <c r="L38" s="809" t="s">
        <v>907</v>
      </c>
      <c r="M38" s="810"/>
      <c r="N38" s="810"/>
      <c r="O38" s="810"/>
      <c r="P38" s="810"/>
      <c r="Q38" s="810"/>
      <c r="R38" s="810"/>
      <c r="S38" s="1040"/>
      <c r="T38" s="1041" t="s">
        <v>75</v>
      </c>
      <c r="U38" s="810"/>
      <c r="V38" s="1042"/>
      <c r="W38" s="810"/>
      <c r="X38" s="1043"/>
      <c r="Y38" s="810"/>
      <c r="Z38" s="1044"/>
      <c r="AA38" s="1045" t="s">
        <v>76</v>
      </c>
      <c r="AB38" s="801"/>
      <c r="AC38" s="83"/>
      <c r="AD38" s="83"/>
      <c r="AE38" s="83"/>
      <c r="AF38" s="83"/>
      <c r="AG38" s="83"/>
      <c r="AH38" s="83"/>
      <c r="AI38" s="83"/>
      <c r="AJ38" s="83"/>
      <c r="AK38" s="83"/>
      <c r="AL38" s="802"/>
      <c r="AM38" s="802"/>
      <c r="AN38" s="802"/>
      <c r="AO38" s="802"/>
      <c r="AZ38" s="802"/>
      <c r="BA38" s="983">
        <v>32</v>
      </c>
      <c r="BB38" s="994"/>
      <c r="BC38" s="995"/>
      <c r="BD38" s="986"/>
      <c r="BF38" s="983">
        <v>32</v>
      </c>
      <c r="BG38" s="994"/>
      <c r="BH38" s="995"/>
      <c r="BI38" s="986"/>
      <c r="BK38" s="983">
        <v>32</v>
      </c>
      <c r="BL38" s="994">
        <v>72</v>
      </c>
      <c r="BM38" s="995">
        <v>78</v>
      </c>
      <c r="BN38" s="986"/>
      <c r="BP38" s="983">
        <v>32</v>
      </c>
      <c r="BQ38" s="994">
        <v>4</v>
      </c>
      <c r="BR38" s="995">
        <v>4.5999999999999996</v>
      </c>
      <c r="BS38" s="986"/>
      <c r="BU38" s="983">
        <v>32</v>
      </c>
      <c r="BV38" s="996">
        <v>4</v>
      </c>
      <c r="BW38" s="997">
        <v>5.2</v>
      </c>
      <c r="BX38" s="986"/>
      <c r="BZ38" s="983">
        <v>32</v>
      </c>
      <c r="CA38" s="996">
        <v>4</v>
      </c>
      <c r="CB38" s="997">
        <v>5.8</v>
      </c>
      <c r="CC38" s="986"/>
      <c r="DD38" s="53" t="s">
        <v>837</v>
      </c>
      <c r="DE38" s="1046" t="str">
        <f>IF(DW2,MIN(DE4,IF(spcim,DZ8,DE4),IF(spypr,ED8,DE4)),"")</f>
        <v/>
      </c>
      <c r="DF38" s="43" t="b">
        <f t="shared" si="5"/>
        <v>0</v>
      </c>
      <c r="DG38" s="43" t="str">
        <f t="shared" si="6"/>
        <v/>
      </c>
      <c r="DH38" s="43" t="str">
        <f t="shared" si="7"/>
        <v/>
      </c>
      <c r="DI38" s="43" t="str">
        <f t="shared" si="8"/>
        <v/>
      </c>
      <c r="DJ38" s="43" t="str">
        <f t="shared" si="9"/>
        <v/>
      </c>
      <c r="DK38" s="43" t="e">
        <f t="shared" si="10"/>
        <v>#N/A</v>
      </c>
      <c r="DL38" s="43" t="e">
        <f t="shared" si="11"/>
        <v>#N/A</v>
      </c>
      <c r="DM38" s="43" t="e">
        <f t="shared" si="12"/>
        <v>#N/A</v>
      </c>
      <c r="DN38" s="43" t="e">
        <f t="shared" si="13"/>
        <v>#N/A</v>
      </c>
      <c r="DO38" s="43" t="e">
        <f t="shared" si="14"/>
        <v>#N/A</v>
      </c>
      <c r="DP38" s="43" t="e">
        <f t="shared" si="15"/>
        <v>#N/A</v>
      </c>
      <c r="DQ38" s="43" t="e">
        <f t="shared" si="16"/>
        <v>#N/A</v>
      </c>
      <c r="DR38" s="43" t="e">
        <f t="shared" si="17"/>
        <v>#N/A</v>
      </c>
      <c r="DS38" s="43">
        <f t="shared" si="18"/>
        <v>0</v>
      </c>
      <c r="DT38" s="43">
        <v>28</v>
      </c>
      <c r="DU38" s="43">
        <f t="shared" si="28"/>
        <v>7.4849999999999923</v>
      </c>
      <c r="DV38" s="43">
        <f t="shared" si="19"/>
        <v>10.055503101309437</v>
      </c>
      <c r="DW38" s="43">
        <f t="shared" si="20"/>
        <v>0.64613915308597314</v>
      </c>
      <c r="DX38" s="43" t="e">
        <f t="shared" si="21"/>
        <v>#N/A</v>
      </c>
      <c r="DY38" s="50" t="e">
        <f t="shared" si="22"/>
        <v>#N/A</v>
      </c>
      <c r="DZ38" s="50" t="str">
        <f t="shared" si="23"/>
        <v/>
      </c>
      <c r="EA38" s="50">
        <f t="shared" si="24"/>
        <v>1.5152763150688682</v>
      </c>
      <c r="EB38" s="43" t="e">
        <f t="shared" si="25"/>
        <v>#N/A</v>
      </c>
      <c r="EC38" s="50" t="e">
        <f t="shared" si="26"/>
        <v>#N/A</v>
      </c>
      <c r="ED38" s="50" t="str">
        <f t="shared" si="27"/>
        <v/>
      </c>
    </row>
    <row r="39" spans="1:134" ht="12" customHeight="1">
      <c r="A39" s="640">
        <v>27</v>
      </c>
      <c r="B39" s="994"/>
      <c r="C39" s="995"/>
      <c r="D39" s="1026"/>
      <c r="E39" s="884"/>
      <c r="F39" s="1027" t="str">
        <f t="shared" si="29"/>
        <v/>
      </c>
      <c r="G39" s="1028" t="str">
        <f t="shared" si="30"/>
        <v/>
      </c>
      <c r="H39" s="886"/>
      <c r="I39" s="458" t="str">
        <f t="shared" si="31"/>
        <v/>
      </c>
      <c r="J39" s="886"/>
      <c r="K39" s="816"/>
      <c r="L39" s="1047" t="s">
        <v>77</v>
      </c>
      <c r="M39" s="1048"/>
      <c r="N39" s="1048"/>
      <c r="O39" s="1048"/>
      <c r="P39" s="1048"/>
      <c r="Q39" s="1048"/>
      <c r="R39" s="817"/>
      <c r="S39" s="817"/>
      <c r="T39" s="817"/>
      <c r="U39" s="1049" t="s">
        <v>853</v>
      </c>
      <c r="V39" s="817"/>
      <c r="W39" s="1049" t="s">
        <v>852</v>
      </c>
      <c r="X39" s="817"/>
      <c r="Y39" s="1050" t="s">
        <v>967</v>
      </c>
      <c r="Z39" s="945" t="str">
        <f>IF(OR(NOT(DU3),NOT(DJ7),C8=""),"",IF(ABS(C8)=1,"",TDIST(ABS(DX6),C7-2,2)))</f>
        <v/>
      </c>
      <c r="AA39" s="818"/>
      <c r="AC39" s="1343" t="s">
        <v>50</v>
      </c>
      <c r="AO39" s="802"/>
      <c r="BA39" s="983">
        <v>33</v>
      </c>
      <c r="BB39" s="994"/>
      <c r="BC39" s="995"/>
      <c r="BD39" s="986"/>
      <c r="BF39" s="983">
        <v>33</v>
      </c>
      <c r="BG39" s="994"/>
      <c r="BH39" s="995"/>
      <c r="BI39" s="986"/>
      <c r="BK39" s="983">
        <v>33</v>
      </c>
      <c r="BL39" s="994">
        <v>63</v>
      </c>
      <c r="BM39" s="995">
        <v>71</v>
      </c>
      <c r="BN39" s="986"/>
      <c r="BP39" s="983">
        <v>33</v>
      </c>
      <c r="BQ39" s="994">
        <v>4.2857142857142856</v>
      </c>
      <c r="BR39" s="995">
        <v>4.5999999999999996</v>
      </c>
      <c r="BS39" s="986"/>
      <c r="BU39" s="983">
        <v>33</v>
      </c>
      <c r="BV39" s="996">
        <v>4.1428571428571432</v>
      </c>
      <c r="BW39" s="997">
        <v>5.2</v>
      </c>
      <c r="BX39" s="986"/>
      <c r="BZ39" s="983">
        <v>33</v>
      </c>
      <c r="CA39" s="996">
        <v>4</v>
      </c>
      <c r="CB39" s="997">
        <v>5.95</v>
      </c>
      <c r="CC39" s="986"/>
      <c r="DB39" s="53" t="s">
        <v>826</v>
      </c>
      <c r="DC39" s="43">
        <v>1</v>
      </c>
      <c r="DD39" s="43" t="s">
        <v>832</v>
      </c>
      <c r="DF39" s="43" t="b">
        <f t="shared" si="5"/>
        <v>0</v>
      </c>
      <c r="DG39" s="43" t="str">
        <f t="shared" si="6"/>
        <v/>
      </c>
      <c r="DH39" s="43" t="str">
        <f t="shared" si="7"/>
        <v/>
      </c>
      <c r="DI39" s="43" t="str">
        <f t="shared" si="8"/>
        <v/>
      </c>
      <c r="DJ39" s="43" t="str">
        <f t="shared" si="9"/>
        <v/>
      </c>
      <c r="DK39" s="43" t="e">
        <f t="shared" si="10"/>
        <v>#N/A</v>
      </c>
      <c r="DL39" s="43" t="e">
        <f t="shared" si="11"/>
        <v>#N/A</v>
      </c>
      <c r="DM39" s="43" t="e">
        <f t="shared" si="12"/>
        <v>#N/A</v>
      </c>
      <c r="DN39" s="43" t="e">
        <f t="shared" si="13"/>
        <v>#N/A</v>
      </c>
      <c r="DO39" s="43" t="e">
        <f t="shared" si="14"/>
        <v>#N/A</v>
      </c>
      <c r="DP39" s="43" t="e">
        <f t="shared" si="15"/>
        <v>#N/A</v>
      </c>
      <c r="DQ39" s="43" t="e">
        <f t="shared" si="16"/>
        <v>#N/A</v>
      </c>
      <c r="DR39" s="43" t="e">
        <f t="shared" si="17"/>
        <v>#N/A</v>
      </c>
      <c r="DS39" s="43">
        <f t="shared" si="18"/>
        <v>0</v>
      </c>
      <c r="DT39" s="43">
        <v>29</v>
      </c>
      <c r="DU39" s="43">
        <f t="shared" si="28"/>
        <v>7.539999999999992</v>
      </c>
      <c r="DV39" s="43">
        <f t="shared" si="19"/>
        <v>10.098373535492758</v>
      </c>
      <c r="DW39" s="43">
        <f t="shared" si="20"/>
        <v>0.64073309159264824</v>
      </c>
      <c r="DX39" s="43" t="e">
        <f t="shared" si="21"/>
        <v>#N/A</v>
      </c>
      <c r="DY39" s="50" t="e">
        <f t="shared" si="22"/>
        <v>#N/A</v>
      </c>
      <c r="DZ39" s="50" t="str">
        <f t="shared" si="23"/>
        <v/>
      </c>
      <c r="EA39" s="50">
        <f t="shared" si="24"/>
        <v>1.5129789821804869</v>
      </c>
      <c r="EB39" s="43" t="e">
        <f t="shared" si="25"/>
        <v>#N/A</v>
      </c>
      <c r="EC39" s="50" t="e">
        <f t="shared" si="26"/>
        <v>#N/A</v>
      </c>
      <c r="ED39" s="50" t="str">
        <f t="shared" si="27"/>
        <v/>
      </c>
    </row>
    <row r="40" spans="1:134" ht="14.25" customHeight="1">
      <c r="A40" s="640">
        <v>28</v>
      </c>
      <c r="B40" s="994"/>
      <c r="C40" s="995"/>
      <c r="D40" s="1026"/>
      <c r="E40" s="884"/>
      <c r="F40" s="1027" t="str">
        <f t="shared" si="29"/>
        <v/>
      </c>
      <c r="G40" s="1028" t="str">
        <f t="shared" si="30"/>
        <v/>
      </c>
      <c r="H40" s="886"/>
      <c r="I40" s="458" t="str">
        <f t="shared" si="31"/>
        <v/>
      </c>
      <c r="J40" s="886"/>
      <c r="K40" s="816"/>
      <c r="L40" s="817"/>
      <c r="M40" s="817"/>
      <c r="N40" s="817"/>
      <c r="O40" s="817"/>
      <c r="P40" s="817"/>
      <c r="Q40" s="817"/>
      <c r="R40" s="817"/>
      <c r="S40" s="817"/>
      <c r="T40" s="1052" t="s">
        <v>78</v>
      </c>
      <c r="U40" s="1053">
        <f>IF(DJ7,C9-W40*B9,"")</f>
        <v>4.2212267401791905</v>
      </c>
      <c r="V40" s="1054" t="s">
        <v>733</v>
      </c>
      <c r="W40" s="1055">
        <f>IF(DJ7,DJ5*C10/B10,"")</f>
        <v>0.77946243969676055</v>
      </c>
      <c r="X40" s="1056" t="s">
        <v>770</v>
      </c>
      <c r="Y40" s="817"/>
      <c r="Z40" s="817"/>
      <c r="AA40" s="818"/>
      <c r="AB40" s="43"/>
      <c r="AD40" s="43" t="s">
        <v>85</v>
      </c>
      <c r="BA40" s="1034">
        <v>34</v>
      </c>
      <c r="BB40" s="994"/>
      <c r="BC40" s="995"/>
      <c r="BD40" s="986"/>
      <c r="BF40" s="1034">
        <v>34</v>
      </c>
      <c r="BG40" s="994"/>
      <c r="BH40" s="995"/>
      <c r="BI40" s="986"/>
      <c r="BK40" s="1034">
        <v>34</v>
      </c>
      <c r="BL40" s="994">
        <v>68</v>
      </c>
      <c r="BM40" s="995">
        <v>77</v>
      </c>
      <c r="BN40" s="986"/>
      <c r="BP40" s="1034">
        <v>34</v>
      </c>
      <c r="BQ40" s="994">
        <v>4.4285714285714288</v>
      </c>
      <c r="BR40" s="995">
        <v>4.7</v>
      </c>
      <c r="BS40" s="986"/>
      <c r="BU40" s="1034">
        <v>34</v>
      </c>
      <c r="BV40" s="996">
        <v>3.2857142857142856</v>
      </c>
      <c r="BW40" s="997">
        <v>5.6</v>
      </c>
      <c r="BX40" s="986"/>
      <c r="BZ40" s="1034">
        <v>34</v>
      </c>
      <c r="CA40" s="996">
        <v>3.4285714285714284</v>
      </c>
      <c r="CB40" s="997">
        <v>6</v>
      </c>
      <c r="CC40" s="986"/>
      <c r="DB40" s="62" t="s">
        <v>1253</v>
      </c>
      <c r="DC40" s="5">
        <f>IF(DD3-DD4=0,1,(DD3-DD4)*DC39)</f>
        <v>11</v>
      </c>
      <c r="DD40" s="43" t="e">
        <f>IF(AND(DS3,DW2),Q42,NA())</f>
        <v>#N/A</v>
      </c>
      <c r="DE40" s="43" t="e">
        <f>IF(AND(DS3,DW2),DE37,NA())</f>
        <v>#N/A</v>
      </c>
      <c r="DF40" s="43" t="b">
        <f t="shared" si="5"/>
        <v>0</v>
      </c>
      <c r="DG40" s="43" t="str">
        <f t="shared" si="6"/>
        <v/>
      </c>
      <c r="DH40" s="43" t="str">
        <f t="shared" si="7"/>
        <v/>
      </c>
      <c r="DI40" s="43" t="str">
        <f t="shared" si="8"/>
        <v/>
      </c>
      <c r="DJ40" s="43" t="str">
        <f t="shared" si="9"/>
        <v/>
      </c>
      <c r="DK40" s="43" t="e">
        <f t="shared" si="10"/>
        <v>#N/A</v>
      </c>
      <c r="DL40" s="43" t="e">
        <f t="shared" si="11"/>
        <v>#N/A</v>
      </c>
      <c r="DM40" s="43" t="e">
        <f t="shared" si="12"/>
        <v>#N/A</v>
      </c>
      <c r="DN40" s="43" t="e">
        <f t="shared" si="13"/>
        <v>#N/A</v>
      </c>
      <c r="DO40" s="43" t="e">
        <f t="shared" si="14"/>
        <v>#N/A</v>
      </c>
      <c r="DP40" s="43" t="e">
        <f t="shared" si="15"/>
        <v>#N/A</v>
      </c>
      <c r="DQ40" s="43" t="e">
        <f t="shared" si="16"/>
        <v>#N/A</v>
      </c>
      <c r="DR40" s="43" t="e">
        <f t="shared" si="17"/>
        <v>#N/A</v>
      </c>
      <c r="DS40" s="43">
        <f t="shared" si="18"/>
        <v>0</v>
      </c>
      <c r="DT40" s="43">
        <v>30</v>
      </c>
      <c r="DU40" s="43">
        <f t="shared" si="28"/>
        <v>7.5949999999999918</v>
      </c>
      <c r="DV40" s="43">
        <f t="shared" si="19"/>
        <v>10.141243969676079</v>
      </c>
      <c r="DW40" s="43">
        <f t="shared" si="20"/>
        <v>0.63535500094977748</v>
      </c>
      <c r="DX40" s="43" t="e">
        <f t="shared" si="21"/>
        <v>#N/A</v>
      </c>
      <c r="DY40" s="50" t="e">
        <f t="shared" si="22"/>
        <v>#N/A</v>
      </c>
      <c r="DZ40" s="50" t="str">
        <f t="shared" si="23"/>
        <v/>
      </c>
      <c r="EA40" s="50">
        <f t="shared" si="24"/>
        <v>1.5107092649116576</v>
      </c>
      <c r="EB40" s="43" t="e">
        <f t="shared" si="25"/>
        <v>#N/A</v>
      </c>
      <c r="EC40" s="50" t="e">
        <f t="shared" si="26"/>
        <v>#N/A</v>
      </c>
      <c r="ED40" s="50" t="str">
        <f t="shared" si="27"/>
        <v/>
      </c>
    </row>
    <row r="41" spans="1:134" ht="13.5" customHeight="1">
      <c r="A41" s="640">
        <v>29</v>
      </c>
      <c r="B41" s="994"/>
      <c r="C41" s="995"/>
      <c r="D41" s="1026"/>
      <c r="E41" s="884"/>
      <c r="F41" s="1027" t="str">
        <f t="shared" si="29"/>
        <v/>
      </c>
      <c r="G41" s="1028" t="str">
        <f t="shared" si="30"/>
        <v/>
      </c>
      <c r="H41" s="886"/>
      <c r="I41" s="458" t="str">
        <f t="shared" si="31"/>
        <v/>
      </c>
      <c r="J41" s="886"/>
      <c r="K41" s="816"/>
      <c r="L41" s="817"/>
      <c r="M41" s="817"/>
      <c r="N41" s="817"/>
      <c r="O41" s="817"/>
      <c r="P41" s="817"/>
      <c r="Q41" s="817"/>
      <c r="R41" s="817"/>
      <c r="S41" s="817"/>
      <c r="T41" s="817"/>
      <c r="U41" s="817"/>
      <c r="V41" s="1318" t="s">
        <v>79</v>
      </c>
      <c r="W41" s="1053">
        <f>IF(OR(NOT(DJ7),C8=""),"",IF(ABS(C8)=1,"",W40-DU8))</f>
        <v>0.50173905224354032</v>
      </c>
      <c r="X41" s="1066" t="s">
        <v>1535</v>
      </c>
      <c r="Y41" s="1053">
        <f>IF(OR(NOT(DJ7),C8=""),"",IF(ABS(C8)=1,"",W40+DU8))</f>
        <v>1.0571858271499808</v>
      </c>
      <c r="Z41" s="1075" t="s">
        <v>1536</v>
      </c>
      <c r="AA41" s="818"/>
      <c r="AB41" s="43"/>
      <c r="AE41" s="1194" t="s">
        <v>1436</v>
      </c>
      <c r="AO41" s="802"/>
      <c r="BA41" s="983">
        <v>35</v>
      </c>
      <c r="BB41" s="994"/>
      <c r="BC41" s="995"/>
      <c r="BD41" s="986"/>
      <c r="BF41" s="983">
        <v>35</v>
      </c>
      <c r="BG41" s="994"/>
      <c r="BH41" s="995"/>
      <c r="BI41" s="986"/>
      <c r="BK41" s="983">
        <v>35</v>
      </c>
      <c r="BL41" s="994">
        <v>64</v>
      </c>
      <c r="BM41" s="995">
        <v>67</v>
      </c>
      <c r="BN41" s="986"/>
      <c r="BP41" s="983">
        <v>35</v>
      </c>
      <c r="BQ41" s="994">
        <v>2.2857142857142856</v>
      </c>
      <c r="BR41" s="995">
        <v>4.8</v>
      </c>
      <c r="BS41" s="986"/>
      <c r="BU41" s="983">
        <v>35</v>
      </c>
      <c r="BV41" s="996">
        <v>3.5714285714285716</v>
      </c>
      <c r="BW41" s="997">
        <v>5.6</v>
      </c>
      <c r="BX41" s="986"/>
      <c r="BZ41" s="983">
        <v>35</v>
      </c>
      <c r="CA41" s="996">
        <v>4.8571428571428568</v>
      </c>
      <c r="CB41" s="997">
        <v>6</v>
      </c>
      <c r="CC41" s="986"/>
      <c r="DB41" s="62" t="s">
        <v>1254</v>
      </c>
      <c r="DC41" s="5">
        <f>POWER(10,INT(LOG10(DC40)))</f>
        <v>10</v>
      </c>
      <c r="DD41" s="43" t="e">
        <f>IF(DW2,Q42,NA())</f>
        <v>#N/A</v>
      </c>
      <c r="DE41" s="43" t="e">
        <f>IF(DW2,DE37,NA())</f>
        <v>#N/A</v>
      </c>
      <c r="DF41" s="43" t="b">
        <f t="shared" si="5"/>
        <v>0</v>
      </c>
      <c r="DG41" s="43" t="str">
        <f t="shared" si="6"/>
        <v/>
      </c>
      <c r="DH41" s="43" t="str">
        <f t="shared" si="7"/>
        <v/>
      </c>
      <c r="DI41" s="43" t="str">
        <f t="shared" si="8"/>
        <v/>
      </c>
      <c r="DJ41" s="43" t="str">
        <f t="shared" si="9"/>
        <v/>
      </c>
      <c r="DK41" s="43" t="e">
        <f t="shared" si="10"/>
        <v>#N/A</v>
      </c>
      <c r="DL41" s="43" t="e">
        <f t="shared" si="11"/>
        <v>#N/A</v>
      </c>
      <c r="DM41" s="43" t="e">
        <f t="shared" si="12"/>
        <v>#N/A</v>
      </c>
      <c r="DN41" s="43" t="e">
        <f t="shared" si="13"/>
        <v>#N/A</v>
      </c>
      <c r="DO41" s="43" t="e">
        <f t="shared" si="14"/>
        <v>#N/A</v>
      </c>
      <c r="DP41" s="43" t="e">
        <f t="shared" si="15"/>
        <v>#N/A</v>
      </c>
      <c r="DQ41" s="43" t="e">
        <f t="shared" si="16"/>
        <v>#N/A</v>
      </c>
      <c r="DR41" s="43" t="e">
        <f t="shared" si="17"/>
        <v>#N/A</v>
      </c>
      <c r="DS41" s="43">
        <f t="shared" si="18"/>
        <v>0</v>
      </c>
      <c r="DT41" s="43">
        <v>31</v>
      </c>
      <c r="DU41" s="43">
        <f t="shared" si="28"/>
        <v>7.6499999999999915</v>
      </c>
      <c r="DV41" s="43">
        <f t="shared" si="19"/>
        <v>10.184114403859402</v>
      </c>
      <c r="DW41" s="43">
        <f t="shared" si="20"/>
        <v>0.63000559748363738</v>
      </c>
      <c r="DX41" s="43" t="e">
        <f t="shared" si="21"/>
        <v>#N/A</v>
      </c>
      <c r="DY41" s="50" t="e">
        <f t="shared" si="22"/>
        <v>#N/A</v>
      </c>
      <c r="DZ41" s="50" t="str">
        <f t="shared" si="23"/>
        <v/>
      </c>
      <c r="EA41" s="50">
        <f t="shared" si="24"/>
        <v>1.5084672879180192</v>
      </c>
      <c r="EB41" s="43" t="e">
        <f t="shared" si="25"/>
        <v>#N/A</v>
      </c>
      <c r="EC41" s="50" t="e">
        <f t="shared" si="26"/>
        <v>#N/A</v>
      </c>
      <c r="ED41" s="50" t="str">
        <f t="shared" si="27"/>
        <v/>
      </c>
    </row>
    <row r="42" spans="1:134" ht="12" customHeight="1">
      <c r="A42" s="669">
        <v>30</v>
      </c>
      <c r="B42" s="994"/>
      <c r="C42" s="995"/>
      <c r="D42" s="1026"/>
      <c r="E42" s="884"/>
      <c r="F42" s="1027" t="str">
        <f t="shared" si="29"/>
        <v/>
      </c>
      <c r="G42" s="1028" t="str">
        <f t="shared" si="30"/>
        <v/>
      </c>
      <c r="H42" s="886"/>
      <c r="I42" s="458" t="str">
        <f t="shared" si="31"/>
        <v/>
      </c>
      <c r="J42" s="886"/>
      <c r="K42" s="816"/>
      <c r="L42" s="817" t="s">
        <v>80</v>
      </c>
      <c r="M42" s="817"/>
      <c r="N42" s="817"/>
      <c r="O42" s="817"/>
      <c r="P42" s="1058" t="s">
        <v>790</v>
      </c>
      <c r="Q42" s="1059" t="str">
        <f>IF(DW2,DC48+DE36*DC46*(DC49/DC50),"")</f>
        <v/>
      </c>
      <c r="R42" s="817"/>
      <c r="S42" s="817"/>
      <c r="T42" s="817"/>
      <c r="U42" s="817"/>
      <c r="V42" s="817"/>
      <c r="W42" s="817"/>
      <c r="X42" s="817"/>
      <c r="Y42" s="817"/>
      <c r="Z42" s="817"/>
      <c r="AA42" s="1057"/>
      <c r="AD42" s="43" t="s">
        <v>901</v>
      </c>
      <c r="BA42" s="983">
        <v>36</v>
      </c>
      <c r="BB42" s="994"/>
      <c r="BC42" s="995"/>
      <c r="BD42" s="986"/>
      <c r="BF42" s="983">
        <v>36</v>
      </c>
      <c r="BG42" s="994"/>
      <c r="BH42" s="995"/>
      <c r="BI42" s="986"/>
      <c r="BK42" s="983">
        <v>36</v>
      </c>
      <c r="BL42" s="994">
        <v>61</v>
      </c>
      <c r="BM42" s="995">
        <v>66</v>
      </c>
      <c r="BN42" s="986"/>
      <c r="BP42" s="983">
        <v>36</v>
      </c>
      <c r="BQ42" s="994">
        <v>2.8571428571428572</v>
      </c>
      <c r="BR42" s="995">
        <v>4.9000000000000004</v>
      </c>
      <c r="BS42" s="986"/>
      <c r="BU42" s="983">
        <v>36</v>
      </c>
      <c r="BV42" s="996">
        <v>3.8571428571428572</v>
      </c>
      <c r="BW42" s="997">
        <v>5.6</v>
      </c>
      <c r="BX42" s="986"/>
      <c r="BZ42" s="983">
        <v>36</v>
      </c>
      <c r="CA42" s="996">
        <v>3.7142857142857144</v>
      </c>
      <c r="CB42" s="997">
        <v>6</v>
      </c>
      <c r="CC42" s="986"/>
      <c r="DB42" s="62" t="s">
        <v>1256</v>
      </c>
      <c r="DC42" s="5">
        <f>ROUNDUP(DC40/DC41,0)</f>
        <v>2</v>
      </c>
      <c r="DD42" s="43" t="s">
        <v>835</v>
      </c>
      <c r="DE42" s="43" t="s">
        <v>836</v>
      </c>
      <c r="DF42" s="43" t="b">
        <f t="shared" si="5"/>
        <v>0</v>
      </c>
      <c r="DG42" s="43" t="str">
        <f t="shared" si="6"/>
        <v/>
      </c>
      <c r="DH42" s="43" t="str">
        <f t="shared" si="7"/>
        <v/>
      </c>
      <c r="DI42" s="43" t="str">
        <f t="shared" si="8"/>
        <v/>
      </c>
      <c r="DJ42" s="43" t="str">
        <f t="shared" si="9"/>
        <v/>
      </c>
      <c r="DK42" s="43" t="e">
        <f t="shared" si="10"/>
        <v>#N/A</v>
      </c>
      <c r="DL42" s="43" t="e">
        <f t="shared" si="11"/>
        <v>#N/A</v>
      </c>
      <c r="DM42" s="43" t="e">
        <f t="shared" si="12"/>
        <v>#N/A</v>
      </c>
      <c r="DN42" s="43" t="e">
        <f t="shared" si="13"/>
        <v>#N/A</v>
      </c>
      <c r="DO42" s="43" t="e">
        <f t="shared" si="14"/>
        <v>#N/A</v>
      </c>
      <c r="DP42" s="43" t="e">
        <f t="shared" si="15"/>
        <v>#N/A</v>
      </c>
      <c r="DQ42" s="43" t="e">
        <f t="shared" si="16"/>
        <v>#N/A</v>
      </c>
      <c r="DR42" s="43" t="e">
        <f t="shared" si="17"/>
        <v>#N/A</v>
      </c>
      <c r="DS42" s="43">
        <f t="shared" si="18"/>
        <v>0</v>
      </c>
      <c r="DT42" s="43">
        <v>32</v>
      </c>
      <c r="DU42" s="43">
        <f t="shared" si="28"/>
        <v>7.7049999999999912</v>
      </c>
      <c r="DV42" s="43">
        <f t="shared" si="19"/>
        <v>10.226984838042725</v>
      </c>
      <c r="DW42" s="43">
        <f t="shared" si="20"/>
        <v>0.62468561816992607</v>
      </c>
      <c r="DX42" s="43" t="e">
        <f t="shared" si="21"/>
        <v>#N/A</v>
      </c>
      <c r="DY42" s="50" t="e">
        <f t="shared" si="22"/>
        <v>#N/A</v>
      </c>
      <c r="DZ42" s="50" t="str">
        <f t="shared" si="23"/>
        <v/>
      </c>
      <c r="EA42" s="50">
        <f t="shared" si="24"/>
        <v>1.506253175069308</v>
      </c>
      <c r="EB42" s="43" t="e">
        <f t="shared" si="25"/>
        <v>#N/A</v>
      </c>
      <c r="EC42" s="50" t="e">
        <f t="shared" si="26"/>
        <v>#N/A</v>
      </c>
      <c r="ED42" s="50" t="str">
        <f t="shared" si="27"/>
        <v/>
      </c>
    </row>
    <row r="43" spans="1:134" ht="14.25" customHeight="1">
      <c r="A43" s="640">
        <v>31</v>
      </c>
      <c r="B43" s="994"/>
      <c r="C43" s="995"/>
      <c r="D43" s="1026"/>
      <c r="E43" s="884"/>
      <c r="F43" s="1027" t="str">
        <f t="shared" si="29"/>
        <v/>
      </c>
      <c r="G43" s="1028" t="str">
        <f t="shared" si="30"/>
        <v/>
      </c>
      <c r="H43" s="886"/>
      <c r="I43" s="458" t="str">
        <f t="shared" si="31"/>
        <v/>
      </c>
      <c r="J43" s="886"/>
      <c r="K43" s="816"/>
      <c r="L43" s="817"/>
      <c r="M43" s="817"/>
      <c r="N43" s="817" t="s">
        <v>916</v>
      </c>
      <c r="O43" s="817"/>
      <c r="P43" s="1060" t="s">
        <v>845</v>
      </c>
      <c r="Q43" s="48" t="str">
        <f>IF(DW2,DE37,"")</f>
        <v/>
      </c>
      <c r="R43" s="817"/>
      <c r="S43" s="817"/>
      <c r="T43" s="1302" t="s">
        <v>81</v>
      </c>
      <c r="U43" s="133"/>
      <c r="V43" s="133"/>
      <c r="W43" s="133"/>
      <c r="X43" s="133"/>
      <c r="Y43" s="133"/>
      <c r="Z43" s="133"/>
      <c r="AA43" s="835"/>
      <c r="AG43" s="1344" t="s">
        <v>89</v>
      </c>
      <c r="BA43" s="983">
        <v>37</v>
      </c>
      <c r="BB43" s="994"/>
      <c r="BC43" s="995"/>
      <c r="BD43" s="986"/>
      <c r="BF43" s="983">
        <v>37</v>
      </c>
      <c r="BG43" s="994"/>
      <c r="BH43" s="995"/>
      <c r="BI43" s="986"/>
      <c r="BK43" s="983">
        <v>37</v>
      </c>
      <c r="BL43" s="994">
        <v>63</v>
      </c>
      <c r="BM43" s="995">
        <v>73</v>
      </c>
      <c r="BN43" s="986"/>
      <c r="BP43" s="983">
        <v>37</v>
      </c>
      <c r="BQ43" s="994">
        <v>3.2857142857142856</v>
      </c>
      <c r="BR43" s="995">
        <v>4.8</v>
      </c>
      <c r="BS43" s="986"/>
      <c r="BU43" s="983">
        <v>37</v>
      </c>
      <c r="BV43" s="996">
        <v>4</v>
      </c>
      <c r="BW43" s="997">
        <v>5.6</v>
      </c>
      <c r="BX43" s="986"/>
      <c r="BZ43" s="983">
        <v>37</v>
      </c>
      <c r="CA43" s="996">
        <v>3.2857142857142856</v>
      </c>
      <c r="CB43" s="997">
        <v>6</v>
      </c>
      <c r="CC43" s="986"/>
      <c r="DB43" s="62" t="s">
        <v>1257</v>
      </c>
      <c r="DC43" s="5">
        <f>CHOOSE(DC42,10,5,5,2,2,2,2,1,1,1)</f>
        <v>5</v>
      </c>
      <c r="DD43" s="43" t="e">
        <f>IF(DW2,DE37-DE38,NA())</f>
        <v>#N/A</v>
      </c>
      <c r="DE43" s="43" t="e">
        <f>IF(DW2,Q42-DC47,NA())</f>
        <v>#N/A</v>
      </c>
      <c r="DF43" s="43" t="b">
        <f t="shared" si="5"/>
        <v>0</v>
      </c>
      <c r="DG43" s="43" t="str">
        <f t="shared" si="6"/>
        <v/>
      </c>
      <c r="DH43" s="43" t="str">
        <f t="shared" si="7"/>
        <v/>
      </c>
      <c r="DI43" s="43" t="str">
        <f t="shared" si="8"/>
        <v/>
      </c>
      <c r="DJ43" s="43" t="str">
        <f t="shared" si="9"/>
        <v/>
      </c>
      <c r="DK43" s="43" t="e">
        <f t="shared" si="10"/>
        <v>#N/A</v>
      </c>
      <c r="DL43" s="43" t="e">
        <f t="shared" si="11"/>
        <v>#N/A</v>
      </c>
      <c r="DM43" s="43" t="e">
        <f t="shared" si="12"/>
        <v>#N/A</v>
      </c>
      <c r="DN43" s="43" t="e">
        <f t="shared" si="13"/>
        <v>#N/A</v>
      </c>
      <c r="DO43" s="43" t="e">
        <f t="shared" si="14"/>
        <v>#N/A</v>
      </c>
      <c r="DP43" s="43" t="e">
        <f t="shared" si="15"/>
        <v>#N/A</v>
      </c>
      <c r="DQ43" s="43" t="e">
        <f t="shared" si="16"/>
        <v>#N/A</v>
      </c>
      <c r="DR43" s="43" t="e">
        <f t="shared" si="17"/>
        <v>#N/A</v>
      </c>
      <c r="DS43" s="43">
        <f t="shared" si="18"/>
        <v>0</v>
      </c>
      <c r="DT43" s="43">
        <v>33</v>
      </c>
      <c r="DU43" s="43">
        <f t="shared" si="28"/>
        <v>7.7599999999999909</v>
      </c>
      <c r="DV43" s="43">
        <f t="shared" si="19"/>
        <v>10.269855272226046</v>
      </c>
      <c r="DW43" s="43">
        <f t="shared" si="20"/>
        <v>0.61939582117961922</v>
      </c>
      <c r="DX43" s="43" t="e">
        <f t="shared" si="21"/>
        <v>#N/A</v>
      </c>
      <c r="DY43" s="50" t="e">
        <f t="shared" si="22"/>
        <v>#N/A</v>
      </c>
      <c r="DZ43" s="50" t="str">
        <f t="shared" si="23"/>
        <v/>
      </c>
      <c r="EA43" s="50">
        <f t="shared" si="24"/>
        <v>1.5040670494206048</v>
      </c>
      <c r="EB43" s="43" t="e">
        <f t="shared" si="25"/>
        <v>#N/A</v>
      </c>
      <c r="EC43" s="50" t="e">
        <f t="shared" si="26"/>
        <v>#N/A</v>
      </c>
      <c r="ED43" s="50" t="str">
        <f t="shared" si="27"/>
        <v/>
      </c>
    </row>
    <row r="44" spans="1:134" ht="12" customHeight="1">
      <c r="A44" s="640">
        <v>32</v>
      </c>
      <c r="B44" s="994"/>
      <c r="C44" s="995"/>
      <c r="D44" s="1026"/>
      <c r="E44" s="884"/>
      <c r="F44" s="1027" t="str">
        <f t="shared" si="29"/>
        <v/>
      </c>
      <c r="G44" s="1028" t="str">
        <f t="shared" si="30"/>
        <v/>
      </c>
      <c r="H44" s="886"/>
      <c r="I44" s="458" t="str">
        <f t="shared" si="31"/>
        <v/>
      </c>
      <c r="J44" s="886"/>
      <c r="K44" s="1061">
        <v>11</v>
      </c>
      <c r="L44" s="817"/>
      <c r="M44" s="817"/>
      <c r="N44" s="817"/>
      <c r="O44" s="817"/>
      <c r="P44" s="817"/>
      <c r="Q44" s="817"/>
      <c r="R44" s="817"/>
      <c r="S44" s="817"/>
      <c r="T44" s="137"/>
      <c r="U44" s="383" t="s">
        <v>82</v>
      </c>
      <c r="V44" s="383"/>
      <c r="W44" s="383"/>
      <c r="X44" s="383"/>
      <c r="Y44" s="383"/>
      <c r="Z44" s="383"/>
      <c r="AA44" s="134"/>
      <c r="BA44" s="1034">
        <v>38</v>
      </c>
      <c r="BB44" s="994"/>
      <c r="BC44" s="995"/>
      <c r="BD44" s="986"/>
      <c r="BF44" s="1034">
        <v>38</v>
      </c>
      <c r="BG44" s="994"/>
      <c r="BH44" s="995"/>
      <c r="BI44" s="986"/>
      <c r="BK44" s="1034">
        <v>38</v>
      </c>
      <c r="BL44" s="994">
        <v>76</v>
      </c>
      <c r="BM44" s="995">
        <v>75</v>
      </c>
      <c r="BN44" s="986"/>
      <c r="BP44" s="1034">
        <v>38</v>
      </c>
      <c r="BQ44" s="994">
        <v>3.7142857142857144</v>
      </c>
      <c r="BR44" s="995">
        <v>4.8</v>
      </c>
      <c r="BS44" s="986"/>
      <c r="BU44" s="1034">
        <v>38</v>
      </c>
      <c r="BV44" s="996">
        <v>5</v>
      </c>
      <c r="BW44" s="997">
        <v>5.6</v>
      </c>
      <c r="BX44" s="986"/>
      <c r="BZ44" s="1034">
        <v>38</v>
      </c>
      <c r="CA44" s="996">
        <v>3.8571428571428572</v>
      </c>
      <c r="CB44" s="997">
        <v>6</v>
      </c>
      <c r="CC44" s="986"/>
      <c r="DB44" s="62" t="s">
        <v>1258</v>
      </c>
      <c r="DC44" s="5">
        <f>DC41/DC43</f>
        <v>2</v>
      </c>
      <c r="DD44" s="43" t="s">
        <v>840</v>
      </c>
      <c r="DE44" s="1063" t="str">
        <f>IF(AND(DS3,DW2),"X =","")</f>
        <v/>
      </c>
      <c r="DF44" s="43" t="b">
        <f t="shared" si="5"/>
        <v>0</v>
      </c>
      <c r="DG44" s="43" t="str">
        <f t="shared" si="6"/>
        <v/>
      </c>
      <c r="DH44" s="43" t="str">
        <f t="shared" si="7"/>
        <v/>
      </c>
      <c r="DI44" s="43" t="str">
        <f t="shared" si="8"/>
        <v/>
      </c>
      <c r="DJ44" s="43" t="str">
        <f t="shared" si="9"/>
        <v/>
      </c>
      <c r="DK44" s="43" t="e">
        <f t="shared" si="10"/>
        <v>#N/A</v>
      </c>
      <c r="DL44" s="43" t="e">
        <f t="shared" si="11"/>
        <v>#N/A</v>
      </c>
      <c r="DM44" s="43" t="e">
        <f t="shared" si="12"/>
        <v>#N/A</v>
      </c>
      <c r="DN44" s="43" t="e">
        <f t="shared" si="13"/>
        <v>#N/A</v>
      </c>
      <c r="DO44" s="43" t="e">
        <f t="shared" si="14"/>
        <v>#N/A</v>
      </c>
      <c r="DP44" s="43" t="e">
        <f t="shared" si="15"/>
        <v>#N/A</v>
      </c>
      <c r="DQ44" s="43" t="e">
        <f t="shared" si="16"/>
        <v>#N/A</v>
      </c>
      <c r="DR44" s="43" t="e">
        <f t="shared" si="17"/>
        <v>#N/A</v>
      </c>
      <c r="DS44" s="43">
        <f t="shared" si="18"/>
        <v>0</v>
      </c>
      <c r="DT44" s="43">
        <v>34</v>
      </c>
      <c r="DU44" s="43">
        <f t="shared" ref="DU44:DU75" si="32">DU43+$DU$5</f>
        <v>7.8149999999999906</v>
      </c>
      <c r="DV44" s="43">
        <f t="shared" si="19"/>
        <v>10.312725706409367</v>
      </c>
      <c r="DW44" s="43">
        <f t="shared" si="20"/>
        <v>0.61413698642893311</v>
      </c>
      <c r="DX44" s="43" t="e">
        <f t="shared" si="21"/>
        <v>#N/A</v>
      </c>
      <c r="DY44" s="50" t="e">
        <f t="shared" si="22"/>
        <v>#N/A</v>
      </c>
      <c r="DZ44" s="50" t="str">
        <f t="shared" si="23"/>
        <v/>
      </c>
      <c r="EA44" s="50">
        <f t="shared" si="24"/>
        <v>1.5019090331834484</v>
      </c>
      <c r="EB44" s="43" t="e">
        <f t="shared" si="25"/>
        <v>#N/A</v>
      </c>
      <c r="EC44" s="50" t="e">
        <f t="shared" si="26"/>
        <v>#N/A</v>
      </c>
      <c r="ED44" s="50" t="str">
        <f t="shared" si="27"/>
        <v/>
      </c>
    </row>
    <row r="45" spans="1:134" ht="12" customHeight="1">
      <c r="A45" s="640">
        <v>33</v>
      </c>
      <c r="B45" s="994"/>
      <c r="C45" s="995"/>
      <c r="D45" s="1026"/>
      <c r="E45" s="884"/>
      <c r="F45" s="1027" t="str">
        <f t="shared" si="29"/>
        <v/>
      </c>
      <c r="G45" s="1028" t="str">
        <f t="shared" si="30"/>
        <v/>
      </c>
      <c r="H45" s="886"/>
      <c r="I45" s="458" t="str">
        <f t="shared" si="31"/>
        <v/>
      </c>
      <c r="J45" s="886"/>
      <c r="K45" s="816"/>
      <c r="L45" s="1064" t="s">
        <v>84</v>
      </c>
      <c r="M45" s="817"/>
      <c r="N45" s="817"/>
      <c r="O45" s="817"/>
      <c r="P45" s="817"/>
      <c r="Q45" s="817"/>
      <c r="R45" s="817"/>
      <c r="S45" s="817"/>
      <c r="T45" s="137"/>
      <c r="U45" s="383"/>
      <c r="V45" s="383"/>
      <c r="W45" s="383"/>
      <c r="X45" s="1062" t="s">
        <v>83</v>
      </c>
      <c r="Y45" s="1053" t="str">
        <f>IF(DO1,DY5,"")</f>
        <v/>
      </c>
      <c r="Z45" s="383"/>
      <c r="AA45" s="134"/>
      <c r="BA45" s="983">
        <v>39</v>
      </c>
      <c r="BB45" s="994"/>
      <c r="BC45" s="995"/>
      <c r="BD45" s="986"/>
      <c r="BF45" s="983">
        <v>39</v>
      </c>
      <c r="BG45" s="994"/>
      <c r="BH45" s="995"/>
      <c r="BI45" s="986"/>
      <c r="BK45" s="983">
        <v>39</v>
      </c>
      <c r="BL45" s="994">
        <v>71</v>
      </c>
      <c r="BM45" s="995">
        <v>75</v>
      </c>
      <c r="BN45" s="986"/>
      <c r="BP45" s="983">
        <v>39</v>
      </c>
      <c r="BQ45" s="994">
        <v>3.7142857142857144</v>
      </c>
      <c r="BR45" s="995">
        <v>4.7</v>
      </c>
      <c r="BS45" s="986"/>
      <c r="BU45" s="983">
        <v>39</v>
      </c>
      <c r="BV45" s="996">
        <v>3</v>
      </c>
      <c r="BW45" s="997">
        <v>5.8</v>
      </c>
      <c r="BX45" s="986"/>
      <c r="BZ45" s="983">
        <v>39</v>
      </c>
      <c r="CA45" s="996">
        <v>4.5714285714285712</v>
      </c>
      <c r="CB45" s="997">
        <v>6</v>
      </c>
      <c r="CC45" s="986"/>
      <c r="DB45" s="53" t="s">
        <v>827</v>
      </c>
      <c r="DC45" s="43">
        <v>200</v>
      </c>
      <c r="DD45" s="43" t="e">
        <f>IF(DW2,Q42,NA())</f>
        <v>#N/A</v>
      </c>
      <c r="DE45" s="43" t="e">
        <f>IF(DW2,DE38,NA())</f>
        <v>#N/A</v>
      </c>
      <c r="DF45" s="43" t="b">
        <f t="shared" si="5"/>
        <v>0</v>
      </c>
      <c r="DG45" s="43" t="str">
        <f t="shared" si="6"/>
        <v/>
      </c>
      <c r="DH45" s="43" t="str">
        <f t="shared" si="7"/>
        <v/>
      </c>
      <c r="DI45" s="43" t="str">
        <f t="shared" si="8"/>
        <v/>
      </c>
      <c r="DJ45" s="43" t="str">
        <f t="shared" si="9"/>
        <v/>
      </c>
      <c r="DK45" s="43" t="e">
        <f t="shared" si="10"/>
        <v>#N/A</v>
      </c>
      <c r="DL45" s="43" t="e">
        <f t="shared" si="11"/>
        <v>#N/A</v>
      </c>
      <c r="DM45" s="43" t="e">
        <f t="shared" si="12"/>
        <v>#N/A</v>
      </c>
      <c r="DN45" s="43" t="e">
        <f t="shared" si="13"/>
        <v>#N/A</v>
      </c>
      <c r="DO45" s="43" t="e">
        <f t="shared" si="14"/>
        <v>#N/A</v>
      </c>
      <c r="DP45" s="43" t="e">
        <f t="shared" si="15"/>
        <v>#N/A</v>
      </c>
      <c r="DQ45" s="43" t="e">
        <f t="shared" si="16"/>
        <v>#N/A</v>
      </c>
      <c r="DR45" s="43" t="e">
        <f t="shared" si="17"/>
        <v>#N/A</v>
      </c>
      <c r="DS45" s="43">
        <f t="shared" si="18"/>
        <v>0</v>
      </c>
      <c r="DT45" s="43">
        <v>35</v>
      </c>
      <c r="DU45" s="43">
        <f t="shared" si="32"/>
        <v>7.8699999999999903</v>
      </c>
      <c r="DV45" s="43">
        <f t="shared" si="19"/>
        <v>10.355596140592688</v>
      </c>
      <c r="DW45" s="43">
        <f t="shared" si="20"/>
        <v>0.6089099161321424</v>
      </c>
      <c r="DX45" s="43" t="e">
        <f t="shared" si="21"/>
        <v>#N/A</v>
      </c>
      <c r="DY45" s="50" t="e">
        <f t="shared" si="22"/>
        <v>#N/A</v>
      </c>
      <c r="DZ45" s="50" t="str">
        <f t="shared" si="23"/>
        <v/>
      </c>
      <c r="EA45" s="50">
        <f t="shared" si="24"/>
        <v>1.4997792476968341</v>
      </c>
      <c r="EB45" s="43" t="e">
        <f t="shared" si="25"/>
        <v>#N/A</v>
      </c>
      <c r="EC45" s="50" t="e">
        <f t="shared" si="26"/>
        <v>#N/A</v>
      </c>
      <c r="ED45" s="50" t="str">
        <f t="shared" si="27"/>
        <v/>
      </c>
    </row>
    <row r="46" spans="1:134" ht="12" customHeight="1">
      <c r="A46" s="669">
        <v>34</v>
      </c>
      <c r="B46" s="994"/>
      <c r="C46" s="995"/>
      <c r="D46" s="1026"/>
      <c r="E46" s="884"/>
      <c r="F46" s="1027" t="str">
        <f t="shared" si="29"/>
        <v/>
      </c>
      <c r="G46" s="1028" t="str">
        <f t="shared" si="30"/>
        <v/>
      </c>
      <c r="H46" s="886"/>
      <c r="I46" s="458" t="str">
        <f t="shared" si="31"/>
        <v/>
      </c>
      <c r="J46" s="886"/>
      <c r="K46" s="816"/>
      <c r="L46" s="817"/>
      <c r="M46" s="817"/>
      <c r="N46" s="1065" t="s">
        <v>86</v>
      </c>
      <c r="O46" s="1053" t="str">
        <f>IF(AND(DU1,DW2),DD54,"")</f>
        <v/>
      </c>
      <c r="P46" s="1066" t="s">
        <v>1535</v>
      </c>
      <c r="Q46" s="1053" t="str">
        <f>IF(AND(DU1,DW2),DE54,"")</f>
        <v/>
      </c>
      <c r="R46" s="1067" t="s">
        <v>1536</v>
      </c>
      <c r="S46" s="817"/>
      <c r="T46" s="137"/>
      <c r="U46" s="383"/>
      <c r="V46" s="383"/>
      <c r="W46" s="383"/>
      <c r="X46" s="383"/>
      <c r="Y46" s="383"/>
      <c r="Z46" s="383"/>
      <c r="AA46" s="134"/>
      <c r="BA46" s="983">
        <v>40</v>
      </c>
      <c r="BB46" s="994"/>
      <c r="BC46" s="995"/>
      <c r="BD46" s="986"/>
      <c r="BF46" s="983">
        <v>40</v>
      </c>
      <c r="BG46" s="994"/>
      <c r="BH46" s="995"/>
      <c r="BI46" s="986"/>
      <c r="BK46" s="983">
        <v>40</v>
      </c>
      <c r="BL46" s="994"/>
      <c r="BM46" s="995"/>
      <c r="BN46" s="986"/>
      <c r="BP46" s="983">
        <v>40</v>
      </c>
      <c r="BQ46" s="994">
        <v>4</v>
      </c>
      <c r="BR46" s="995">
        <v>4.8</v>
      </c>
      <c r="BS46" s="986"/>
      <c r="BU46" s="983">
        <v>40</v>
      </c>
      <c r="BV46" s="996">
        <v>3</v>
      </c>
      <c r="BW46" s="997">
        <v>5.7</v>
      </c>
      <c r="BX46" s="986"/>
      <c r="BZ46" s="983">
        <v>40</v>
      </c>
      <c r="CA46" s="996">
        <v>4</v>
      </c>
      <c r="CB46" s="997">
        <v>6.1</v>
      </c>
      <c r="CC46" s="986"/>
      <c r="DB46" s="53" t="s">
        <v>1258</v>
      </c>
      <c r="DC46" s="43">
        <f>DC44/DC45</f>
        <v>0.01</v>
      </c>
      <c r="DD46" s="53" t="s">
        <v>842</v>
      </c>
      <c r="DE46" s="1069" t="str">
        <f>IF(AND(DS3,DW2),Q42,"")</f>
        <v/>
      </c>
      <c r="DF46" s="43" t="b">
        <f t="shared" si="5"/>
        <v>0</v>
      </c>
      <c r="DG46" s="43" t="str">
        <f t="shared" si="6"/>
        <v/>
      </c>
      <c r="DH46" s="43" t="str">
        <f t="shared" si="7"/>
        <v/>
      </c>
      <c r="DI46" s="43" t="str">
        <f t="shared" si="8"/>
        <v/>
      </c>
      <c r="DJ46" s="43" t="str">
        <f t="shared" si="9"/>
        <v/>
      </c>
      <c r="DK46" s="43" t="e">
        <f t="shared" si="10"/>
        <v>#N/A</v>
      </c>
      <c r="DL46" s="43" t="e">
        <f t="shared" si="11"/>
        <v>#N/A</v>
      </c>
      <c r="DM46" s="43" t="e">
        <f t="shared" si="12"/>
        <v>#N/A</v>
      </c>
      <c r="DN46" s="43" t="e">
        <f t="shared" si="13"/>
        <v>#N/A</v>
      </c>
      <c r="DO46" s="43" t="e">
        <f t="shared" si="14"/>
        <v>#N/A</v>
      </c>
      <c r="DP46" s="43" t="e">
        <f t="shared" si="15"/>
        <v>#N/A</v>
      </c>
      <c r="DQ46" s="43" t="e">
        <f t="shared" si="16"/>
        <v>#N/A</v>
      </c>
      <c r="DR46" s="43" t="e">
        <f t="shared" si="17"/>
        <v>#N/A</v>
      </c>
      <c r="DS46" s="43">
        <f t="shared" si="18"/>
        <v>0</v>
      </c>
      <c r="DT46" s="43">
        <v>36</v>
      </c>
      <c r="DU46" s="43">
        <f t="shared" si="32"/>
        <v>7.9249999999999901</v>
      </c>
      <c r="DV46" s="43">
        <f t="shared" si="19"/>
        <v>10.398466574776009</v>
      </c>
      <c r="DW46" s="43">
        <f t="shared" si="20"/>
        <v>0.6037154353558456</v>
      </c>
      <c r="DX46" s="43" t="e">
        <f t="shared" si="21"/>
        <v>#N/A</v>
      </c>
      <c r="DY46" s="50" t="e">
        <f t="shared" si="22"/>
        <v>#N/A</v>
      </c>
      <c r="DZ46" s="50" t="str">
        <f t="shared" si="23"/>
        <v/>
      </c>
      <c r="EA46" s="50">
        <f t="shared" si="24"/>
        <v>1.4976778133981046</v>
      </c>
      <c r="EB46" s="43" t="e">
        <f t="shared" si="25"/>
        <v>#N/A</v>
      </c>
      <c r="EC46" s="50" t="e">
        <f t="shared" si="26"/>
        <v>#N/A</v>
      </c>
      <c r="ED46" s="50" t="str">
        <f t="shared" si="27"/>
        <v/>
      </c>
    </row>
    <row r="47" spans="1:134" ht="12" customHeight="1">
      <c r="A47" s="640">
        <v>35</v>
      </c>
      <c r="B47" s="994"/>
      <c r="C47" s="995"/>
      <c r="D47" s="1026"/>
      <c r="E47" s="884"/>
      <c r="F47" s="1027" t="str">
        <f t="shared" si="29"/>
        <v/>
      </c>
      <c r="G47" s="1028" t="str">
        <f t="shared" si="30"/>
        <v/>
      </c>
      <c r="H47" s="886"/>
      <c r="I47" s="458" t="str">
        <f t="shared" si="31"/>
        <v/>
      </c>
      <c r="J47" s="886"/>
      <c r="K47" s="816"/>
      <c r="L47" s="817"/>
      <c r="M47" s="817"/>
      <c r="N47" s="817"/>
      <c r="O47" s="817"/>
      <c r="P47" s="817"/>
      <c r="Q47" s="817"/>
      <c r="R47" s="817"/>
      <c r="S47" s="817"/>
      <c r="T47" s="137"/>
      <c r="U47" s="1068" t="s">
        <v>87</v>
      </c>
      <c r="V47" s="383"/>
      <c r="W47" s="383"/>
      <c r="X47" s="383"/>
      <c r="Y47" s="383"/>
      <c r="Z47" s="383"/>
      <c r="AA47" s="134"/>
      <c r="BA47" s="1034">
        <v>41</v>
      </c>
      <c r="BB47" s="994"/>
      <c r="BC47" s="995"/>
      <c r="BD47" s="986"/>
      <c r="BF47" s="1034">
        <v>41</v>
      </c>
      <c r="BG47" s="994"/>
      <c r="BH47" s="995"/>
      <c r="BI47" s="986"/>
      <c r="BK47" s="1034">
        <v>41</v>
      </c>
      <c r="BL47" s="994"/>
      <c r="BM47" s="995"/>
      <c r="BN47" s="986"/>
      <c r="BP47" s="1034">
        <v>41</v>
      </c>
      <c r="BQ47" s="994">
        <v>2.7142857142857144</v>
      </c>
      <c r="BR47" s="995">
        <v>5</v>
      </c>
      <c r="BS47" s="986"/>
      <c r="BU47" s="1034">
        <v>41</v>
      </c>
      <c r="BV47" s="996">
        <v>3.3333333333333335</v>
      </c>
      <c r="BW47" s="997">
        <v>5.8</v>
      </c>
      <c r="BX47" s="986"/>
      <c r="BZ47" s="1034">
        <v>41</v>
      </c>
      <c r="CA47" s="996">
        <v>3.8571428571428572</v>
      </c>
      <c r="CB47" s="997">
        <v>6.2</v>
      </c>
      <c r="CC47" s="986"/>
      <c r="DB47" s="53" t="s">
        <v>828</v>
      </c>
      <c r="DC47" s="43">
        <f>(DD4-(DD3-DD4)*(DC39-1)/2)</f>
        <v>6</v>
      </c>
      <c r="DD47" s="43" t="s">
        <v>841</v>
      </c>
      <c r="DE47" s="1063" t="str">
        <f>IF(AND(DS3,DW2),"Ŷ =","")</f>
        <v/>
      </c>
      <c r="DF47" s="43" t="b">
        <f t="shared" si="5"/>
        <v>0</v>
      </c>
      <c r="DG47" s="43" t="str">
        <f t="shared" si="6"/>
        <v/>
      </c>
      <c r="DH47" s="43" t="str">
        <f t="shared" si="7"/>
        <v/>
      </c>
      <c r="DI47" s="43" t="str">
        <f t="shared" si="8"/>
        <v/>
      </c>
      <c r="DJ47" s="43" t="str">
        <f t="shared" si="9"/>
        <v/>
      </c>
      <c r="DK47" s="43" t="e">
        <f t="shared" si="10"/>
        <v>#N/A</v>
      </c>
      <c r="DL47" s="43" t="e">
        <f t="shared" si="11"/>
        <v>#N/A</v>
      </c>
      <c r="DM47" s="43" t="e">
        <f t="shared" si="12"/>
        <v>#N/A</v>
      </c>
      <c r="DN47" s="43" t="e">
        <f t="shared" si="13"/>
        <v>#N/A</v>
      </c>
      <c r="DO47" s="43" t="e">
        <f t="shared" si="14"/>
        <v>#N/A</v>
      </c>
      <c r="DP47" s="43" t="e">
        <f t="shared" si="15"/>
        <v>#N/A</v>
      </c>
      <c r="DQ47" s="43" t="e">
        <f t="shared" si="16"/>
        <v>#N/A</v>
      </c>
      <c r="DR47" s="43" t="e">
        <f t="shared" si="17"/>
        <v>#N/A</v>
      </c>
      <c r="DS47" s="43">
        <f t="shared" si="18"/>
        <v>0</v>
      </c>
      <c r="DT47" s="43">
        <v>37</v>
      </c>
      <c r="DU47" s="43">
        <f t="shared" si="32"/>
        <v>7.9799999999999898</v>
      </c>
      <c r="DV47" s="43">
        <f t="shared" si="19"/>
        <v>10.441337008959332</v>
      </c>
      <c r="DW47" s="43">
        <f t="shared" si="20"/>
        <v>0.59855439257309628</v>
      </c>
      <c r="DX47" s="43" t="e">
        <f t="shared" si="21"/>
        <v>#N/A</v>
      </c>
      <c r="DY47" s="50" t="e">
        <f t="shared" si="22"/>
        <v>#N/A</v>
      </c>
      <c r="DZ47" s="50" t="str">
        <f t="shared" si="23"/>
        <v/>
      </c>
      <c r="EA47" s="50">
        <f t="shared" si="24"/>
        <v>1.4956048497937475</v>
      </c>
      <c r="EB47" s="43" t="e">
        <f t="shared" si="25"/>
        <v>#N/A</v>
      </c>
      <c r="EC47" s="50" t="e">
        <f t="shared" si="26"/>
        <v>#N/A</v>
      </c>
      <c r="ED47" s="50" t="str">
        <f t="shared" si="27"/>
        <v/>
      </c>
    </row>
    <row r="48" spans="1:134" ht="15" customHeight="1">
      <c r="A48" s="640">
        <v>36</v>
      </c>
      <c r="B48" s="994"/>
      <c r="C48" s="995"/>
      <c r="D48" s="1026"/>
      <c r="E48" s="884"/>
      <c r="F48" s="1027" t="str">
        <f t="shared" si="29"/>
        <v/>
      </c>
      <c r="G48" s="1028" t="str">
        <f t="shared" si="30"/>
        <v/>
      </c>
      <c r="H48" s="886"/>
      <c r="I48" s="458" t="str">
        <f t="shared" si="31"/>
        <v/>
      </c>
      <c r="J48" s="204"/>
      <c r="K48" s="816"/>
      <c r="L48" s="1064" t="s">
        <v>88</v>
      </c>
      <c r="M48" s="817"/>
      <c r="N48" s="817"/>
      <c r="O48" s="817"/>
      <c r="P48" s="817"/>
      <c r="Q48" s="817"/>
      <c r="R48" s="817"/>
      <c r="S48" s="817"/>
      <c r="T48" s="137"/>
      <c r="U48" s="383"/>
      <c r="V48" s="383"/>
      <c r="W48" s="383"/>
      <c r="X48" s="1070" t="s">
        <v>1434</v>
      </c>
      <c r="Y48" s="1071" t="str">
        <f>IF(DS1,IF(DJ5=0,DD31,DD31*ABS(EH6)),"")</f>
        <v/>
      </c>
      <c r="Z48" s="383"/>
      <c r="AA48" s="134"/>
      <c r="BA48" s="983">
        <v>42</v>
      </c>
      <c r="BB48" s="994"/>
      <c r="BC48" s="995"/>
      <c r="BD48" s="986"/>
      <c r="BF48" s="983">
        <v>42</v>
      </c>
      <c r="BG48" s="994"/>
      <c r="BH48" s="995"/>
      <c r="BI48" s="986"/>
      <c r="BK48" s="983">
        <v>42</v>
      </c>
      <c r="BL48" s="994"/>
      <c r="BM48" s="995"/>
      <c r="BN48" s="986"/>
      <c r="BP48" s="983">
        <v>42</v>
      </c>
      <c r="BQ48" s="994">
        <v>3.1428571428571428</v>
      </c>
      <c r="BR48" s="995">
        <v>5</v>
      </c>
      <c r="BS48" s="986"/>
      <c r="BU48" s="983">
        <v>42</v>
      </c>
      <c r="BV48" s="996">
        <v>3.8571428571428572</v>
      </c>
      <c r="BW48" s="997">
        <v>5.8</v>
      </c>
      <c r="BX48" s="986"/>
      <c r="BZ48" s="983">
        <v>42</v>
      </c>
      <c r="CA48" s="996">
        <v>4.7142857142857144</v>
      </c>
      <c r="CB48" s="997">
        <v>6.2</v>
      </c>
      <c r="CC48" s="986"/>
      <c r="DB48" s="53" t="s">
        <v>829</v>
      </c>
      <c r="DC48" s="43">
        <f>DC46*ROUNDUP(DC47/DC46,0)</f>
        <v>6</v>
      </c>
      <c r="DD48" s="43" t="e">
        <f>IF(DW2,DC47,NA())</f>
        <v>#N/A</v>
      </c>
      <c r="DE48" s="43" t="e">
        <f>IF(DW2,DE37,NA())</f>
        <v>#N/A</v>
      </c>
      <c r="DF48" s="43" t="b">
        <f t="shared" si="5"/>
        <v>0</v>
      </c>
      <c r="DG48" s="43" t="str">
        <f t="shared" si="6"/>
        <v/>
      </c>
      <c r="DH48" s="43" t="str">
        <f t="shared" si="7"/>
        <v/>
      </c>
      <c r="DI48" s="43" t="str">
        <f t="shared" si="8"/>
        <v/>
      </c>
      <c r="DJ48" s="43" t="str">
        <f t="shared" si="9"/>
        <v/>
      </c>
      <c r="DK48" s="43" t="e">
        <f t="shared" si="10"/>
        <v>#N/A</v>
      </c>
      <c r="DL48" s="43" t="e">
        <f t="shared" si="11"/>
        <v>#N/A</v>
      </c>
      <c r="DM48" s="43" t="e">
        <f t="shared" si="12"/>
        <v>#N/A</v>
      </c>
      <c r="DN48" s="43" t="e">
        <f t="shared" si="13"/>
        <v>#N/A</v>
      </c>
      <c r="DO48" s="43" t="e">
        <f t="shared" si="14"/>
        <v>#N/A</v>
      </c>
      <c r="DP48" s="43" t="e">
        <f t="shared" si="15"/>
        <v>#N/A</v>
      </c>
      <c r="DQ48" s="43" t="e">
        <f t="shared" si="16"/>
        <v>#N/A</v>
      </c>
      <c r="DR48" s="43" t="e">
        <f t="shared" si="17"/>
        <v>#N/A</v>
      </c>
      <c r="DS48" s="43">
        <f t="shared" si="18"/>
        <v>0</v>
      </c>
      <c r="DT48" s="43">
        <v>38</v>
      </c>
      <c r="DU48" s="43">
        <f t="shared" si="32"/>
        <v>8.0349999999999895</v>
      </c>
      <c r="DV48" s="43">
        <f t="shared" si="19"/>
        <v>10.484207443142655</v>
      </c>
      <c r="DW48" s="43">
        <f t="shared" si="20"/>
        <v>0.59342766021563464</v>
      </c>
      <c r="DX48" s="43" t="e">
        <f t="shared" si="21"/>
        <v>#N/A</v>
      </c>
      <c r="DY48" s="50" t="e">
        <f t="shared" si="22"/>
        <v>#N/A</v>
      </c>
      <c r="DZ48" s="50" t="str">
        <f t="shared" si="23"/>
        <v/>
      </c>
      <c r="EA48" s="50">
        <f t="shared" si="24"/>
        <v>1.4935604754301153</v>
      </c>
      <c r="EB48" s="43" t="e">
        <f t="shared" si="25"/>
        <v>#N/A</v>
      </c>
      <c r="EC48" s="50" t="e">
        <f t="shared" si="26"/>
        <v>#N/A</v>
      </c>
      <c r="ED48" s="50" t="str">
        <f t="shared" si="27"/>
        <v/>
      </c>
    </row>
    <row r="49" spans="1:134" ht="12" customHeight="1">
      <c r="A49" s="640">
        <v>37</v>
      </c>
      <c r="B49" s="994"/>
      <c r="C49" s="995"/>
      <c r="D49" s="1026"/>
      <c r="E49" s="884"/>
      <c r="F49" s="1027" t="str">
        <f t="shared" si="29"/>
        <v/>
      </c>
      <c r="G49" s="1028" t="str">
        <f t="shared" si="30"/>
        <v/>
      </c>
      <c r="H49" s="886"/>
      <c r="I49" s="458" t="str">
        <f t="shared" si="31"/>
        <v/>
      </c>
      <c r="J49" s="886"/>
      <c r="K49" s="816"/>
      <c r="L49" s="817"/>
      <c r="M49" s="817"/>
      <c r="N49" s="831" t="s">
        <v>90</v>
      </c>
      <c r="O49" s="50" t="str">
        <f>IF(AND(DW1,DW2),DD57,"")</f>
        <v/>
      </c>
      <c r="P49" s="1074" t="s">
        <v>1535</v>
      </c>
      <c r="Q49" s="50" t="str">
        <f>IF(AND(DW1,DW2),DE57,"")</f>
        <v/>
      </c>
      <c r="R49" s="1075" t="s">
        <v>831</v>
      </c>
      <c r="S49" s="817"/>
      <c r="T49" s="137"/>
      <c r="U49" s="383"/>
      <c r="V49" s="383"/>
      <c r="W49" s="383"/>
      <c r="X49" s="1072" t="s">
        <v>1435</v>
      </c>
      <c r="Y49" s="1073">
        <f>W40</f>
        <v>0.77946243969676055</v>
      </c>
      <c r="Z49" s="383"/>
      <c r="AA49" s="134"/>
      <c r="BA49" s="983">
        <v>43</v>
      </c>
      <c r="BB49" s="994"/>
      <c r="BC49" s="995"/>
      <c r="BD49" s="986"/>
      <c r="BF49" s="983">
        <v>43</v>
      </c>
      <c r="BG49" s="994"/>
      <c r="BH49" s="995"/>
      <c r="BI49" s="986"/>
      <c r="BK49" s="983">
        <v>43</v>
      </c>
      <c r="BL49" s="994"/>
      <c r="BM49" s="995"/>
      <c r="BN49" s="986"/>
      <c r="BP49" s="983">
        <v>43</v>
      </c>
      <c r="BQ49" s="994">
        <v>3.2857142857142856</v>
      </c>
      <c r="BR49" s="995">
        <v>5</v>
      </c>
      <c r="BS49" s="986"/>
      <c r="BU49" s="983">
        <v>43</v>
      </c>
      <c r="BV49" s="996">
        <v>3.8571428571428572</v>
      </c>
      <c r="BW49" s="997">
        <v>5.9</v>
      </c>
      <c r="BX49" s="986"/>
      <c r="BZ49" s="983">
        <v>43</v>
      </c>
      <c r="CA49" s="996">
        <v>4.2857142857142856</v>
      </c>
      <c r="CB49" s="997">
        <v>6.2</v>
      </c>
      <c r="CC49" s="986"/>
      <c r="DB49" s="53" t="s">
        <v>833</v>
      </c>
      <c r="DC49" s="43">
        <f>DC40/DC46</f>
        <v>1100</v>
      </c>
      <c r="DD49" s="53" t="s">
        <v>843</v>
      </c>
      <c r="DE49" s="1076" t="str">
        <f>IF(AND(DS3,DW2),DE37,"")</f>
        <v/>
      </c>
      <c r="DF49" s="43" t="b">
        <f t="shared" si="5"/>
        <v>0</v>
      </c>
      <c r="DG49" s="43" t="str">
        <f t="shared" si="6"/>
        <v/>
      </c>
      <c r="DH49" s="43" t="str">
        <f t="shared" si="7"/>
        <v/>
      </c>
      <c r="DI49" s="43" t="str">
        <f t="shared" si="8"/>
        <v/>
      </c>
      <c r="DJ49" s="43" t="str">
        <f t="shared" si="9"/>
        <v/>
      </c>
      <c r="DK49" s="43" t="e">
        <f t="shared" si="10"/>
        <v>#N/A</v>
      </c>
      <c r="DL49" s="43" t="e">
        <f t="shared" si="11"/>
        <v>#N/A</v>
      </c>
      <c r="DM49" s="43" t="e">
        <f t="shared" si="12"/>
        <v>#N/A</v>
      </c>
      <c r="DN49" s="43" t="e">
        <f t="shared" si="13"/>
        <v>#N/A</v>
      </c>
      <c r="DO49" s="43" t="e">
        <f t="shared" si="14"/>
        <v>#N/A</v>
      </c>
      <c r="DP49" s="43" t="e">
        <f t="shared" si="15"/>
        <v>#N/A</v>
      </c>
      <c r="DQ49" s="43" t="e">
        <f t="shared" si="16"/>
        <v>#N/A</v>
      </c>
      <c r="DR49" s="43" t="e">
        <f t="shared" si="17"/>
        <v>#N/A</v>
      </c>
      <c r="DS49" s="43">
        <f t="shared" si="18"/>
        <v>0</v>
      </c>
      <c r="DT49" s="43">
        <v>39</v>
      </c>
      <c r="DU49" s="43">
        <f t="shared" si="32"/>
        <v>8.0899999999999892</v>
      </c>
      <c r="DV49" s="43">
        <f t="shared" si="19"/>
        <v>10.527077877325976</v>
      </c>
      <c r="DW49" s="43">
        <f t="shared" si="20"/>
        <v>0.58833613522225692</v>
      </c>
      <c r="DX49" s="43" t="e">
        <f t="shared" si="21"/>
        <v>#N/A</v>
      </c>
      <c r="DY49" s="50" t="e">
        <f t="shared" si="22"/>
        <v>#N/A</v>
      </c>
      <c r="DZ49" s="50" t="str">
        <f t="shared" si="23"/>
        <v/>
      </c>
      <c r="EA49" s="50">
        <f t="shared" si="24"/>
        <v>1.4915448078640785</v>
      </c>
      <c r="EB49" s="43" t="e">
        <f t="shared" si="25"/>
        <v>#N/A</v>
      </c>
      <c r="EC49" s="50" t="e">
        <f t="shared" si="26"/>
        <v>#N/A</v>
      </c>
      <c r="ED49" s="50" t="str">
        <f t="shared" si="27"/>
        <v/>
      </c>
    </row>
    <row r="50" spans="1:134" ht="12" customHeight="1">
      <c r="A50" s="669">
        <v>38</v>
      </c>
      <c r="B50" s="994"/>
      <c r="C50" s="995"/>
      <c r="D50" s="1026"/>
      <c r="E50" s="884"/>
      <c r="F50" s="1027" t="str">
        <f t="shared" si="29"/>
        <v/>
      </c>
      <c r="G50" s="1028" t="str">
        <f t="shared" si="30"/>
        <v/>
      </c>
      <c r="H50" s="886"/>
      <c r="I50" s="458" t="str">
        <f t="shared" si="31"/>
        <v/>
      </c>
      <c r="J50" s="886"/>
      <c r="K50" s="1077"/>
      <c r="L50" s="1078"/>
      <c r="M50" s="1078"/>
      <c r="N50" s="1078"/>
      <c r="O50" s="1078"/>
      <c r="P50" s="1078"/>
      <c r="Q50" s="1078"/>
      <c r="R50" s="1078"/>
      <c r="S50" s="1078"/>
      <c r="T50" s="90"/>
      <c r="U50" s="89"/>
      <c r="V50" s="89"/>
      <c r="W50" s="89"/>
      <c r="X50" s="89"/>
      <c r="Y50" s="89"/>
      <c r="Z50" s="89"/>
      <c r="AA50" s="1080"/>
      <c r="BA50" s="1034">
        <v>44</v>
      </c>
      <c r="BB50" s="994"/>
      <c r="BC50" s="995"/>
      <c r="BD50" s="986"/>
      <c r="BF50" s="1034">
        <v>44</v>
      </c>
      <c r="BG50" s="994"/>
      <c r="BH50" s="995"/>
      <c r="BI50" s="986"/>
      <c r="BK50" s="1034">
        <v>44</v>
      </c>
      <c r="BL50" s="994"/>
      <c r="BM50" s="995"/>
      <c r="BN50" s="986"/>
      <c r="BP50" s="1034">
        <v>44</v>
      </c>
      <c r="BQ50" s="994">
        <v>3.4285714285714284</v>
      </c>
      <c r="BR50" s="995">
        <v>5</v>
      </c>
      <c r="BS50" s="986"/>
      <c r="BU50" s="1034">
        <v>44</v>
      </c>
      <c r="BV50" s="996">
        <v>4.7142857142857144</v>
      </c>
      <c r="BW50" s="997">
        <v>5.8</v>
      </c>
      <c r="BX50" s="986"/>
      <c r="BZ50" s="1034">
        <v>44</v>
      </c>
      <c r="CA50" s="996">
        <v>4.4285714285714288</v>
      </c>
      <c r="CB50" s="997">
        <v>6.2</v>
      </c>
      <c r="CC50" s="986"/>
      <c r="DB50" s="53" t="s">
        <v>834</v>
      </c>
      <c r="DC50" s="43">
        <v>1000</v>
      </c>
      <c r="DF50" s="43" t="b">
        <f t="shared" si="5"/>
        <v>0</v>
      </c>
      <c r="DG50" s="43" t="str">
        <f t="shared" si="6"/>
        <v/>
      </c>
      <c r="DH50" s="43" t="str">
        <f t="shared" si="7"/>
        <v/>
      </c>
      <c r="DI50" s="43" t="str">
        <f t="shared" si="8"/>
        <v/>
      </c>
      <c r="DJ50" s="43" t="str">
        <f t="shared" si="9"/>
        <v/>
      </c>
      <c r="DK50" s="43" t="e">
        <f t="shared" si="10"/>
        <v>#N/A</v>
      </c>
      <c r="DL50" s="43" t="e">
        <f t="shared" si="11"/>
        <v>#N/A</v>
      </c>
      <c r="DM50" s="43" t="e">
        <f t="shared" si="12"/>
        <v>#N/A</v>
      </c>
      <c r="DN50" s="43" t="e">
        <f t="shared" si="13"/>
        <v>#N/A</v>
      </c>
      <c r="DO50" s="43" t="e">
        <f t="shared" si="14"/>
        <v>#N/A</v>
      </c>
      <c r="DP50" s="43" t="e">
        <f t="shared" si="15"/>
        <v>#N/A</v>
      </c>
      <c r="DQ50" s="43" t="e">
        <f t="shared" si="16"/>
        <v>#N/A</v>
      </c>
      <c r="DR50" s="43" t="e">
        <f t="shared" si="17"/>
        <v>#N/A</v>
      </c>
      <c r="DS50" s="43">
        <f t="shared" si="18"/>
        <v>0</v>
      </c>
      <c r="DT50" s="43">
        <v>40</v>
      </c>
      <c r="DU50" s="43">
        <f t="shared" si="32"/>
        <v>8.1449999999999889</v>
      </c>
      <c r="DV50" s="43">
        <f t="shared" si="19"/>
        <v>10.569948311509297</v>
      </c>
      <c r="DW50" s="43">
        <f t="shared" si="20"/>
        <v>0.58328073958114313</v>
      </c>
      <c r="DX50" s="43" t="e">
        <f t="shared" si="21"/>
        <v>#N/A</v>
      </c>
      <c r="DY50" s="50" t="e">
        <f t="shared" si="22"/>
        <v>#N/A</v>
      </c>
      <c r="DZ50" s="50" t="str">
        <f t="shared" si="23"/>
        <v/>
      </c>
      <c r="EA50" s="50">
        <f t="shared" si="24"/>
        <v>1.489557963633626</v>
      </c>
      <c r="EB50" s="43" t="e">
        <f t="shared" si="25"/>
        <v>#N/A</v>
      </c>
      <c r="EC50" s="50" t="e">
        <f t="shared" si="26"/>
        <v>#N/A</v>
      </c>
      <c r="ED50" s="50" t="str">
        <f t="shared" si="27"/>
        <v/>
      </c>
    </row>
    <row r="51" spans="1:134" ht="12" customHeight="1">
      <c r="A51" s="640">
        <v>39</v>
      </c>
      <c r="B51" s="994"/>
      <c r="C51" s="995"/>
      <c r="D51" s="1026"/>
      <c r="E51" s="884"/>
      <c r="F51" s="1027" t="str">
        <f t="shared" si="29"/>
        <v/>
      </c>
      <c r="G51" s="1028" t="str">
        <f t="shared" si="30"/>
        <v/>
      </c>
      <c r="H51" s="886"/>
      <c r="I51" s="458" t="str">
        <f t="shared" si="31"/>
        <v/>
      </c>
      <c r="J51" s="886"/>
      <c r="T51" s="1081"/>
      <c r="U51" s="1081"/>
      <c r="V51" s="50"/>
      <c r="W51" s="50"/>
      <c r="X51" s="1053"/>
      <c r="AA51" s="1081"/>
      <c r="BA51" s="983">
        <v>45</v>
      </c>
      <c r="BB51" s="994"/>
      <c r="BC51" s="995"/>
      <c r="BD51" s="986"/>
      <c r="BF51" s="983">
        <v>45</v>
      </c>
      <c r="BG51" s="994"/>
      <c r="BH51" s="995"/>
      <c r="BI51" s="986"/>
      <c r="BK51" s="983">
        <v>45</v>
      </c>
      <c r="BL51" s="994"/>
      <c r="BM51" s="995"/>
      <c r="BN51" s="986"/>
      <c r="BP51" s="983">
        <v>45</v>
      </c>
      <c r="BQ51" s="994">
        <v>3.4285714285714284</v>
      </c>
      <c r="BR51" s="995">
        <v>5.0999999999999996</v>
      </c>
      <c r="BS51" s="986"/>
      <c r="BU51" s="983">
        <v>45</v>
      </c>
      <c r="BV51" s="996">
        <v>5</v>
      </c>
      <c r="BW51" s="997">
        <v>5.8</v>
      </c>
      <c r="BX51" s="986"/>
      <c r="BZ51" s="983">
        <v>45</v>
      </c>
      <c r="CA51" s="996">
        <v>4.4285714285714288</v>
      </c>
      <c r="CB51" s="997">
        <v>6.4</v>
      </c>
      <c r="CC51" s="986"/>
      <c r="DF51" s="43" t="b">
        <f t="shared" si="5"/>
        <v>0</v>
      </c>
      <c r="DG51" s="43" t="str">
        <f t="shared" si="6"/>
        <v/>
      </c>
      <c r="DH51" s="43" t="str">
        <f t="shared" si="7"/>
        <v/>
      </c>
      <c r="DI51" s="43" t="str">
        <f t="shared" si="8"/>
        <v/>
      </c>
      <c r="DJ51" s="43" t="str">
        <f t="shared" si="9"/>
        <v/>
      </c>
      <c r="DK51" s="43" t="e">
        <f t="shared" si="10"/>
        <v>#N/A</v>
      </c>
      <c r="DL51" s="43" t="e">
        <f t="shared" si="11"/>
        <v>#N/A</v>
      </c>
      <c r="DM51" s="43" t="e">
        <f t="shared" si="12"/>
        <v>#N/A</v>
      </c>
      <c r="DN51" s="43" t="e">
        <f t="shared" si="13"/>
        <v>#N/A</v>
      </c>
      <c r="DO51" s="43" t="e">
        <f t="shared" si="14"/>
        <v>#N/A</v>
      </c>
      <c r="DP51" s="43" t="e">
        <f t="shared" si="15"/>
        <v>#N/A</v>
      </c>
      <c r="DQ51" s="43" t="e">
        <f t="shared" si="16"/>
        <v>#N/A</v>
      </c>
      <c r="DR51" s="43" t="e">
        <f t="shared" si="17"/>
        <v>#N/A</v>
      </c>
      <c r="DS51" s="43">
        <f t="shared" si="18"/>
        <v>0</v>
      </c>
      <c r="DT51" s="43">
        <v>41</v>
      </c>
      <c r="DU51" s="43">
        <f t="shared" si="32"/>
        <v>8.1999999999999886</v>
      </c>
      <c r="DV51" s="43">
        <f t="shared" si="19"/>
        <v>10.612818745692618</v>
      </c>
      <c r="DW51" s="43">
        <f t="shared" si="20"/>
        <v>0.57826242086374013</v>
      </c>
      <c r="DX51" s="43" t="e">
        <f t="shared" si="21"/>
        <v>#N/A</v>
      </c>
      <c r="DY51" s="50" t="e">
        <f t="shared" si="22"/>
        <v>#N/A</v>
      </c>
      <c r="DZ51" s="50" t="str">
        <f t="shared" si="23"/>
        <v/>
      </c>
      <c r="EA51" s="50">
        <f t="shared" si="24"/>
        <v>1.4876000582284281</v>
      </c>
      <c r="EB51" s="43" t="e">
        <f t="shared" si="25"/>
        <v>#N/A</v>
      </c>
      <c r="EC51" s="50" t="e">
        <f t="shared" si="26"/>
        <v>#N/A</v>
      </c>
      <c r="ED51" s="50" t="str">
        <f t="shared" si="27"/>
        <v/>
      </c>
    </row>
    <row r="52" spans="1:134" ht="12" customHeight="1">
      <c r="A52" s="640">
        <v>40</v>
      </c>
      <c r="B52" s="994"/>
      <c r="C52" s="995"/>
      <c r="D52" s="1026"/>
      <c r="E52" s="884"/>
      <c r="F52" s="1027" t="str">
        <f t="shared" si="29"/>
        <v/>
      </c>
      <c r="G52" s="1028" t="str">
        <f t="shared" si="30"/>
        <v/>
      </c>
      <c r="H52" s="886"/>
      <c r="I52" s="458" t="str">
        <f t="shared" si="31"/>
        <v/>
      </c>
      <c r="J52" s="886"/>
      <c r="W52" s="1082"/>
      <c r="X52" s="1082"/>
      <c r="BA52" s="983">
        <v>46</v>
      </c>
      <c r="BB52" s="994"/>
      <c r="BC52" s="995"/>
      <c r="BD52" s="986"/>
      <c r="BF52" s="983">
        <v>46</v>
      </c>
      <c r="BG52" s="994"/>
      <c r="BH52" s="995"/>
      <c r="BI52" s="986"/>
      <c r="BK52" s="983">
        <v>46</v>
      </c>
      <c r="BL52" s="994"/>
      <c r="BM52" s="995"/>
      <c r="BN52" s="986"/>
      <c r="BP52" s="983">
        <v>46</v>
      </c>
      <c r="BQ52" s="994">
        <v>3.5714285714285716</v>
      </c>
      <c r="BR52" s="995">
        <v>5</v>
      </c>
      <c r="BS52" s="986"/>
      <c r="BU52" s="983">
        <v>46</v>
      </c>
      <c r="BV52" s="996">
        <v>2.5714285714285716</v>
      </c>
      <c r="BW52" s="997">
        <v>6</v>
      </c>
      <c r="BX52" s="986"/>
      <c r="BZ52" s="983">
        <v>46</v>
      </c>
      <c r="CA52" s="996">
        <v>4.5714285714285712</v>
      </c>
      <c r="CB52" s="997">
        <v>6.6</v>
      </c>
      <c r="CC52" s="986"/>
      <c r="DC52" s="1011" t="s">
        <v>895</v>
      </c>
      <c r="DD52" s="1011"/>
      <c r="DE52" s="817"/>
      <c r="DF52" s="43" t="b">
        <f t="shared" si="5"/>
        <v>0</v>
      </c>
      <c r="DG52" s="43" t="str">
        <f t="shared" si="6"/>
        <v/>
      </c>
      <c r="DH52" s="43" t="str">
        <f t="shared" si="7"/>
        <v/>
      </c>
      <c r="DI52" s="43" t="str">
        <f t="shared" si="8"/>
        <v/>
      </c>
      <c r="DJ52" s="43" t="str">
        <f t="shared" si="9"/>
        <v/>
      </c>
      <c r="DK52" s="43" t="e">
        <f t="shared" si="10"/>
        <v>#N/A</v>
      </c>
      <c r="DL52" s="43" t="e">
        <f t="shared" si="11"/>
        <v>#N/A</v>
      </c>
      <c r="DM52" s="43" t="e">
        <f t="shared" si="12"/>
        <v>#N/A</v>
      </c>
      <c r="DN52" s="43" t="e">
        <f t="shared" si="13"/>
        <v>#N/A</v>
      </c>
      <c r="DO52" s="43" t="e">
        <f t="shared" si="14"/>
        <v>#N/A</v>
      </c>
      <c r="DP52" s="43" t="e">
        <f t="shared" si="15"/>
        <v>#N/A</v>
      </c>
      <c r="DQ52" s="43" t="e">
        <f t="shared" si="16"/>
        <v>#N/A</v>
      </c>
      <c r="DR52" s="43" t="e">
        <f t="shared" si="17"/>
        <v>#N/A</v>
      </c>
      <c r="DS52" s="43">
        <f t="shared" si="18"/>
        <v>0</v>
      </c>
      <c r="DT52" s="43">
        <v>42</v>
      </c>
      <c r="DU52" s="43">
        <f t="shared" si="32"/>
        <v>8.2549999999999883</v>
      </c>
      <c r="DV52" s="43">
        <f t="shared" si="19"/>
        <v>10.655689179875939</v>
      </c>
      <c r="DW52" s="43">
        <f t="shared" si="20"/>
        <v>0.57328215274755046</v>
      </c>
      <c r="DX52" s="43" t="e">
        <f t="shared" si="21"/>
        <v>#N/A</v>
      </c>
      <c r="DY52" s="50" t="e">
        <f t="shared" si="22"/>
        <v>#N/A</v>
      </c>
      <c r="DZ52" s="50" t="str">
        <f t="shared" si="23"/>
        <v/>
      </c>
      <c r="EA52" s="50">
        <f t="shared" si="24"/>
        <v>1.4856712060603769</v>
      </c>
      <c r="EB52" s="43" t="e">
        <f t="shared" si="25"/>
        <v>#N/A</v>
      </c>
      <c r="EC52" s="50" t="e">
        <f t="shared" si="26"/>
        <v>#N/A</v>
      </c>
      <c r="ED52" s="50" t="str">
        <f t="shared" si="27"/>
        <v/>
      </c>
    </row>
    <row r="53" spans="1:134" ht="12" customHeight="1">
      <c r="A53" s="669">
        <v>41</v>
      </c>
      <c r="B53" s="994"/>
      <c r="C53" s="995"/>
      <c r="D53" s="1026"/>
      <c r="E53" s="884"/>
      <c r="F53" s="1027" t="str">
        <f t="shared" si="29"/>
        <v/>
      </c>
      <c r="G53" s="1028" t="str">
        <f t="shared" si="30"/>
        <v/>
      </c>
      <c r="H53" s="886"/>
      <c r="I53" s="458" t="str">
        <f t="shared" si="31"/>
        <v/>
      </c>
      <c r="J53" s="886"/>
      <c r="BA53" s="1034">
        <v>47</v>
      </c>
      <c r="BB53" s="994"/>
      <c r="BC53" s="995"/>
      <c r="BD53" s="986"/>
      <c r="BF53" s="1034">
        <v>47</v>
      </c>
      <c r="BG53" s="994"/>
      <c r="BH53" s="995"/>
      <c r="BI53" s="986"/>
      <c r="BK53" s="1034">
        <v>47</v>
      </c>
      <c r="BL53" s="994"/>
      <c r="BM53" s="995"/>
      <c r="BN53" s="986"/>
      <c r="BP53" s="1034">
        <v>47</v>
      </c>
      <c r="BQ53" s="994">
        <v>4.4285714285714288</v>
      </c>
      <c r="BR53" s="995">
        <v>5</v>
      </c>
      <c r="BS53" s="986"/>
      <c r="BU53" s="1034">
        <v>47</v>
      </c>
      <c r="BV53" s="996">
        <v>2.8571428571428572</v>
      </c>
      <c r="BW53" s="997">
        <v>6</v>
      </c>
      <c r="BX53" s="986"/>
      <c r="BZ53" s="1034">
        <v>47</v>
      </c>
      <c r="CA53" s="996">
        <v>4.2857142857142856</v>
      </c>
      <c r="CB53" s="997">
        <v>7</v>
      </c>
      <c r="CC53" s="986"/>
      <c r="DA53" s="49" t="s">
        <v>770</v>
      </c>
      <c r="DB53" s="49" t="s">
        <v>866</v>
      </c>
      <c r="DC53" s="1018" t="s">
        <v>867</v>
      </c>
      <c r="DD53" s="1018" t="s">
        <v>1538</v>
      </c>
      <c r="DE53" s="1012" t="s">
        <v>1537</v>
      </c>
      <c r="DF53" s="43" t="b">
        <f t="shared" si="5"/>
        <v>0</v>
      </c>
      <c r="DG53" s="43" t="str">
        <f t="shared" si="6"/>
        <v/>
      </c>
      <c r="DH53" s="43" t="str">
        <f t="shared" si="7"/>
        <v/>
      </c>
      <c r="DI53" s="43" t="str">
        <f t="shared" si="8"/>
        <v/>
      </c>
      <c r="DJ53" s="43" t="str">
        <f t="shared" si="9"/>
        <v/>
      </c>
      <c r="DK53" s="43" t="e">
        <f t="shared" si="10"/>
        <v>#N/A</v>
      </c>
      <c r="DL53" s="43" t="e">
        <f t="shared" si="11"/>
        <v>#N/A</v>
      </c>
      <c r="DM53" s="43" t="e">
        <f t="shared" si="12"/>
        <v>#N/A</v>
      </c>
      <c r="DN53" s="43" t="e">
        <f t="shared" si="13"/>
        <v>#N/A</v>
      </c>
      <c r="DO53" s="43" t="e">
        <f t="shared" si="14"/>
        <v>#N/A</v>
      </c>
      <c r="DP53" s="43" t="e">
        <f t="shared" si="15"/>
        <v>#N/A</v>
      </c>
      <c r="DQ53" s="43" t="e">
        <f t="shared" si="16"/>
        <v>#N/A</v>
      </c>
      <c r="DR53" s="43" t="e">
        <f t="shared" si="17"/>
        <v>#N/A</v>
      </c>
      <c r="DS53" s="43">
        <f t="shared" si="18"/>
        <v>0</v>
      </c>
      <c r="DT53" s="43">
        <v>43</v>
      </c>
      <c r="DU53" s="43">
        <f t="shared" si="32"/>
        <v>8.3099999999999881</v>
      </c>
      <c r="DV53" s="43">
        <f t="shared" si="19"/>
        <v>10.698559614059262</v>
      </c>
      <c r="DW53" s="43">
        <f t="shared" si="20"/>
        <v>0.56834093552492115</v>
      </c>
      <c r="DX53" s="43" t="e">
        <f t="shared" si="21"/>
        <v>#N/A</v>
      </c>
      <c r="DY53" s="50" t="e">
        <f t="shared" si="22"/>
        <v>#N/A</v>
      </c>
      <c r="DZ53" s="50" t="str">
        <f t="shared" si="23"/>
        <v/>
      </c>
      <c r="EA53" s="50">
        <f t="shared" si="24"/>
        <v>1.4837715204341173</v>
      </c>
      <c r="EB53" s="43" t="e">
        <f t="shared" si="25"/>
        <v>#N/A</v>
      </c>
      <c r="EC53" s="50" t="e">
        <f t="shared" si="26"/>
        <v>#N/A</v>
      </c>
      <c r="ED53" s="50" t="str">
        <f t="shared" si="27"/>
        <v/>
      </c>
    </row>
    <row r="54" spans="1:134" ht="12" customHeight="1">
      <c r="A54" s="640">
        <v>42</v>
      </c>
      <c r="B54" s="994"/>
      <c r="C54" s="995"/>
      <c r="D54" s="1026"/>
      <c r="E54" s="884"/>
      <c r="F54" s="1027" t="str">
        <f t="shared" si="29"/>
        <v/>
      </c>
      <c r="G54" s="1028" t="str">
        <f t="shared" si="30"/>
        <v/>
      </c>
      <c r="H54" s="886"/>
      <c r="I54" s="458" t="str">
        <f t="shared" si="31"/>
        <v/>
      </c>
      <c r="J54" s="886"/>
      <c r="BA54" s="983">
        <v>48</v>
      </c>
      <c r="BB54" s="994"/>
      <c r="BC54" s="995"/>
      <c r="BD54" s="986"/>
      <c r="BF54" s="983">
        <v>48</v>
      </c>
      <c r="BG54" s="994"/>
      <c r="BH54" s="995"/>
      <c r="BI54" s="986"/>
      <c r="BK54" s="983">
        <v>48</v>
      </c>
      <c r="BL54" s="994"/>
      <c r="BM54" s="995"/>
      <c r="BN54" s="986"/>
      <c r="BP54" s="983">
        <v>48</v>
      </c>
      <c r="BQ54" s="994">
        <v>3.2857142857142856</v>
      </c>
      <c r="BR54" s="995">
        <v>5.2</v>
      </c>
      <c r="BS54" s="986"/>
      <c r="BU54" s="983">
        <v>48</v>
      </c>
      <c r="BV54" s="996">
        <v>3.4285714285714284</v>
      </c>
      <c r="BW54" s="997">
        <v>6</v>
      </c>
      <c r="BX54" s="986"/>
      <c r="BZ54" s="983">
        <v>48</v>
      </c>
      <c r="CA54" s="996"/>
      <c r="CB54" s="997"/>
      <c r="CC54" s="986"/>
      <c r="DA54" s="43" t="str">
        <f>IF(AND(DU1,DW2),Q42,"")</f>
        <v/>
      </c>
      <c r="DB54" s="43" t="str">
        <f>IF(DA54&lt;&gt;"",DE37,"")</f>
        <v/>
      </c>
      <c r="DC54" s="43" t="e">
        <f>$DU$7*SQRT((1/$C$7)+((DA54-$B$9)^2)/(($C$7-1)*$B$10^2))</f>
        <v>#VALUE!</v>
      </c>
      <c r="DD54" s="43" t="e">
        <f>IF(AND($DJ$7,$DU$1),DB54-$DU$6*DC54,NA())</f>
        <v>#N/A</v>
      </c>
      <c r="DE54" s="50" t="e">
        <f>IF(AND($DJ$7,$DU$1),DB54+$DU$6*DC54,NA())</f>
        <v>#N/A</v>
      </c>
      <c r="DF54" s="43" t="b">
        <f t="shared" si="5"/>
        <v>0</v>
      </c>
      <c r="DG54" s="43" t="str">
        <f t="shared" si="6"/>
        <v/>
      </c>
      <c r="DH54" s="43" t="str">
        <f t="shared" si="7"/>
        <v/>
      </c>
      <c r="DI54" s="43" t="str">
        <f t="shared" si="8"/>
        <v/>
      </c>
      <c r="DJ54" s="43" t="str">
        <f t="shared" si="9"/>
        <v/>
      </c>
      <c r="DK54" s="43" t="e">
        <f t="shared" si="10"/>
        <v>#N/A</v>
      </c>
      <c r="DL54" s="43" t="e">
        <f t="shared" si="11"/>
        <v>#N/A</v>
      </c>
      <c r="DM54" s="43" t="e">
        <f t="shared" si="12"/>
        <v>#N/A</v>
      </c>
      <c r="DN54" s="43" t="e">
        <f t="shared" si="13"/>
        <v>#N/A</v>
      </c>
      <c r="DO54" s="43" t="e">
        <f t="shared" si="14"/>
        <v>#N/A</v>
      </c>
      <c r="DP54" s="43" t="e">
        <f t="shared" si="15"/>
        <v>#N/A</v>
      </c>
      <c r="DQ54" s="43" t="e">
        <f t="shared" si="16"/>
        <v>#N/A</v>
      </c>
      <c r="DR54" s="43" t="e">
        <f t="shared" si="17"/>
        <v>#N/A</v>
      </c>
      <c r="DS54" s="43">
        <f t="shared" si="18"/>
        <v>0</v>
      </c>
      <c r="DT54" s="43">
        <v>44</v>
      </c>
      <c r="DU54" s="43">
        <f t="shared" si="32"/>
        <v>8.3649999999999878</v>
      </c>
      <c r="DV54" s="43">
        <f t="shared" si="19"/>
        <v>10.741430048242583</v>
      </c>
      <c r="DW54" s="43">
        <f t="shared" si="20"/>
        <v>0.56343979659465304</v>
      </c>
      <c r="DX54" s="43" t="e">
        <f t="shared" si="21"/>
        <v>#N/A</v>
      </c>
      <c r="DY54" s="50" t="e">
        <f t="shared" si="22"/>
        <v>#N/A</v>
      </c>
      <c r="DZ54" s="50" t="str">
        <f t="shared" si="23"/>
        <v/>
      </c>
      <c r="EA54" s="50">
        <f t="shared" si="24"/>
        <v>1.481901113517583</v>
      </c>
      <c r="EB54" s="43" t="e">
        <f t="shared" si="25"/>
        <v>#N/A</v>
      </c>
      <c r="EC54" s="50" t="e">
        <f t="shared" si="26"/>
        <v>#N/A</v>
      </c>
      <c r="ED54" s="50" t="str">
        <f t="shared" si="27"/>
        <v/>
      </c>
    </row>
    <row r="55" spans="1:134" ht="12" customHeight="1">
      <c r="A55" s="640">
        <v>43</v>
      </c>
      <c r="B55" s="994"/>
      <c r="C55" s="995"/>
      <c r="D55" s="1026"/>
      <c r="E55" s="884"/>
      <c r="F55" s="1027" t="str">
        <f t="shared" si="29"/>
        <v/>
      </c>
      <c r="G55" s="1028" t="str">
        <f t="shared" si="30"/>
        <v/>
      </c>
      <c r="H55" s="886"/>
      <c r="I55" s="458" t="str">
        <f t="shared" si="31"/>
        <v/>
      </c>
      <c r="J55" s="886"/>
      <c r="BA55" s="983">
        <v>49</v>
      </c>
      <c r="BB55" s="994"/>
      <c r="BC55" s="995"/>
      <c r="BD55" s="986"/>
      <c r="BF55" s="983">
        <v>49</v>
      </c>
      <c r="BG55" s="994"/>
      <c r="BH55" s="995"/>
      <c r="BI55" s="986"/>
      <c r="BK55" s="983">
        <v>49</v>
      </c>
      <c r="BL55" s="994"/>
      <c r="BM55" s="995"/>
      <c r="BN55" s="986"/>
      <c r="BP55" s="983">
        <v>49</v>
      </c>
      <c r="BQ55" s="994">
        <v>4</v>
      </c>
      <c r="BR55" s="995">
        <v>5.2</v>
      </c>
      <c r="BS55" s="986"/>
      <c r="BU55" s="983">
        <v>49</v>
      </c>
      <c r="BV55" s="996">
        <v>3.4285714285714284</v>
      </c>
      <c r="BW55" s="997">
        <v>6.1</v>
      </c>
      <c r="BX55" s="986"/>
      <c r="BZ55" s="983">
        <v>49</v>
      </c>
      <c r="CA55" s="996"/>
      <c r="CB55" s="997"/>
      <c r="CC55" s="986"/>
      <c r="DC55" s="383" t="s">
        <v>896</v>
      </c>
      <c r="DD55" s="383"/>
      <c r="DE55" s="383"/>
      <c r="DF55" s="43" t="b">
        <f t="shared" si="5"/>
        <v>0</v>
      </c>
      <c r="DG55" s="43" t="str">
        <f t="shared" si="6"/>
        <v/>
      </c>
      <c r="DH55" s="43" t="str">
        <f t="shared" si="7"/>
        <v/>
      </c>
      <c r="DI55" s="43" t="str">
        <f t="shared" si="8"/>
        <v/>
      </c>
      <c r="DJ55" s="43" t="str">
        <f t="shared" si="9"/>
        <v/>
      </c>
      <c r="DK55" s="43" t="e">
        <f t="shared" si="10"/>
        <v>#N/A</v>
      </c>
      <c r="DL55" s="43" t="e">
        <f t="shared" si="11"/>
        <v>#N/A</v>
      </c>
      <c r="DM55" s="43" t="e">
        <f t="shared" si="12"/>
        <v>#N/A</v>
      </c>
      <c r="DN55" s="43" t="e">
        <f t="shared" si="13"/>
        <v>#N/A</v>
      </c>
      <c r="DO55" s="43" t="e">
        <f t="shared" si="14"/>
        <v>#N/A</v>
      </c>
      <c r="DP55" s="43" t="e">
        <f t="shared" si="15"/>
        <v>#N/A</v>
      </c>
      <c r="DQ55" s="43" t="e">
        <f t="shared" si="16"/>
        <v>#N/A</v>
      </c>
      <c r="DR55" s="43" t="e">
        <f t="shared" si="17"/>
        <v>#N/A</v>
      </c>
      <c r="DS55" s="43">
        <f t="shared" si="18"/>
        <v>0</v>
      </c>
      <c r="DT55" s="43">
        <v>45</v>
      </c>
      <c r="DU55" s="43">
        <f t="shared" si="32"/>
        <v>8.4199999999999875</v>
      </c>
      <c r="DV55" s="43">
        <f t="shared" si="19"/>
        <v>10.784300482425905</v>
      </c>
      <c r="DW55" s="43">
        <f t="shared" si="20"/>
        <v>0.55857979093296051</v>
      </c>
      <c r="DX55" s="43" t="e">
        <f t="shared" si="21"/>
        <v>#N/A</v>
      </c>
      <c r="DY55" s="50" t="e">
        <f t="shared" si="22"/>
        <v>#N/A</v>
      </c>
      <c r="DZ55" s="50" t="str">
        <f t="shared" si="23"/>
        <v/>
      </c>
      <c r="EA55" s="50">
        <f t="shared" si="24"/>
        <v>1.4800600963125581</v>
      </c>
      <c r="EB55" s="43" t="e">
        <f t="shared" si="25"/>
        <v>#N/A</v>
      </c>
      <c r="EC55" s="50" t="e">
        <f t="shared" si="26"/>
        <v>#N/A</v>
      </c>
      <c r="ED55" s="50" t="str">
        <f t="shared" si="27"/>
        <v/>
      </c>
    </row>
    <row r="56" spans="1:134" ht="12" customHeight="1">
      <c r="A56" s="669">
        <v>44</v>
      </c>
      <c r="B56" s="994"/>
      <c r="C56" s="995"/>
      <c r="D56" s="1026"/>
      <c r="E56" s="884"/>
      <c r="F56" s="1027" t="str">
        <f t="shared" si="29"/>
        <v/>
      </c>
      <c r="G56" s="1028" t="str">
        <f t="shared" si="30"/>
        <v/>
      </c>
      <c r="H56" s="886"/>
      <c r="I56" s="458" t="str">
        <f t="shared" si="31"/>
        <v/>
      </c>
      <c r="J56" s="886"/>
      <c r="BA56" s="1034">
        <v>50</v>
      </c>
      <c r="BB56" s="994"/>
      <c r="BC56" s="995"/>
      <c r="BD56" s="986"/>
      <c r="BF56" s="1034">
        <v>50</v>
      </c>
      <c r="BG56" s="994"/>
      <c r="BH56" s="995"/>
      <c r="BI56" s="986"/>
      <c r="BK56" s="1034">
        <v>50</v>
      </c>
      <c r="BL56" s="994"/>
      <c r="BM56" s="995"/>
      <c r="BN56" s="986"/>
      <c r="BP56" s="1034">
        <v>50</v>
      </c>
      <c r="BQ56" s="994">
        <v>4.1428571428571432</v>
      </c>
      <c r="BR56" s="995">
        <v>5.2</v>
      </c>
      <c r="BS56" s="986"/>
      <c r="BU56" s="1034">
        <v>50</v>
      </c>
      <c r="BV56" s="996">
        <v>3.8571428571428572</v>
      </c>
      <c r="BW56" s="997">
        <v>6</v>
      </c>
      <c r="BX56" s="986"/>
      <c r="BZ56" s="1034">
        <v>50</v>
      </c>
      <c r="CA56" s="996"/>
      <c r="CB56" s="997"/>
      <c r="CC56" s="986"/>
      <c r="DC56" s="1013" t="s">
        <v>869</v>
      </c>
      <c r="DD56" s="1013" t="s">
        <v>1538</v>
      </c>
      <c r="DE56" s="1013" t="s">
        <v>1537</v>
      </c>
      <c r="DF56" s="43" t="b">
        <f t="shared" si="5"/>
        <v>0</v>
      </c>
      <c r="DG56" s="43" t="str">
        <f t="shared" si="6"/>
        <v/>
      </c>
      <c r="DH56" s="43" t="str">
        <f t="shared" si="7"/>
        <v/>
      </c>
      <c r="DI56" s="43" t="str">
        <f t="shared" si="8"/>
        <v/>
      </c>
      <c r="DJ56" s="43" t="str">
        <f t="shared" si="9"/>
        <v/>
      </c>
      <c r="DK56" s="43" t="e">
        <f t="shared" si="10"/>
        <v>#N/A</v>
      </c>
      <c r="DL56" s="43" t="e">
        <f t="shared" si="11"/>
        <v>#N/A</v>
      </c>
      <c r="DM56" s="43" t="e">
        <f t="shared" si="12"/>
        <v>#N/A</v>
      </c>
      <c r="DN56" s="43" t="e">
        <f t="shared" si="13"/>
        <v>#N/A</v>
      </c>
      <c r="DO56" s="43" t="e">
        <f t="shared" si="14"/>
        <v>#N/A</v>
      </c>
      <c r="DP56" s="43" t="e">
        <f t="shared" si="15"/>
        <v>#N/A</v>
      </c>
      <c r="DQ56" s="43" t="e">
        <f t="shared" si="16"/>
        <v>#N/A</v>
      </c>
      <c r="DR56" s="43" t="e">
        <f t="shared" si="17"/>
        <v>#N/A</v>
      </c>
      <c r="DS56" s="43">
        <f t="shared" si="18"/>
        <v>0</v>
      </c>
      <c r="DT56" s="43">
        <v>46</v>
      </c>
      <c r="DU56" s="43">
        <f t="shared" si="32"/>
        <v>8.4749999999999872</v>
      </c>
      <c r="DV56" s="43">
        <f t="shared" si="19"/>
        <v>10.827170916609226</v>
      </c>
      <c r="DW56" s="43">
        <f t="shared" si="20"/>
        <v>0.55376200154001187</v>
      </c>
      <c r="DX56" s="43" t="e">
        <f t="shared" si="21"/>
        <v>#N/A</v>
      </c>
      <c r="DY56" s="50" t="e">
        <f t="shared" si="22"/>
        <v>#N/A</v>
      </c>
      <c r="DZ56" s="50" t="str">
        <f t="shared" si="23"/>
        <v/>
      </c>
      <c r="EA56" s="50">
        <f t="shared" si="24"/>
        <v>1.4782485786252695</v>
      </c>
      <c r="EB56" s="43" t="e">
        <f t="shared" si="25"/>
        <v>#N/A</v>
      </c>
      <c r="EC56" s="50" t="e">
        <f t="shared" si="26"/>
        <v>#N/A</v>
      </c>
      <c r="ED56" s="50" t="str">
        <f t="shared" si="27"/>
        <v/>
      </c>
    </row>
    <row r="57" spans="1:134" ht="12" customHeight="1">
      <c r="A57" s="640">
        <v>45</v>
      </c>
      <c r="B57" s="994"/>
      <c r="C57" s="995"/>
      <c r="D57" s="1026"/>
      <c r="E57" s="884"/>
      <c r="F57" s="1027" t="str">
        <f t="shared" si="29"/>
        <v/>
      </c>
      <c r="G57" s="1028" t="str">
        <f t="shared" si="30"/>
        <v/>
      </c>
      <c r="H57" s="886"/>
      <c r="I57" s="458" t="str">
        <f t="shared" si="31"/>
        <v/>
      </c>
      <c r="J57" s="886"/>
      <c r="BA57" s="983">
        <v>51</v>
      </c>
      <c r="BB57" s="994"/>
      <c r="BC57" s="995"/>
      <c r="BD57" s="986"/>
      <c r="BF57" s="983">
        <v>51</v>
      </c>
      <c r="BG57" s="994"/>
      <c r="BH57" s="995"/>
      <c r="BI57" s="986"/>
      <c r="BK57" s="983">
        <v>51</v>
      </c>
      <c r="BL57" s="994"/>
      <c r="BM57" s="995"/>
      <c r="BN57" s="986"/>
      <c r="BP57" s="983">
        <v>51</v>
      </c>
      <c r="BQ57" s="994">
        <v>4.1428571428571432</v>
      </c>
      <c r="BR57" s="995">
        <v>5.3</v>
      </c>
      <c r="BS57" s="986"/>
      <c r="BU57" s="983">
        <v>51</v>
      </c>
      <c r="BV57" s="996">
        <v>4.2857142857142856</v>
      </c>
      <c r="BW57" s="997">
        <v>6</v>
      </c>
      <c r="BX57" s="986"/>
      <c r="BZ57" s="983">
        <v>51</v>
      </c>
      <c r="CA57" s="996"/>
      <c r="CB57" s="997"/>
      <c r="CC57" s="986"/>
      <c r="DA57" s="43" t="str">
        <f>IF(AND(DW1,DW2),Q42,"")</f>
        <v/>
      </c>
      <c r="DB57" s="43" t="str">
        <f>IF(DA57&lt;&gt;"",DE37,"")</f>
        <v/>
      </c>
      <c r="DC57" s="50" t="e">
        <f>$DU$7*SQRT(1+(1/$C$7)+((DA57-$B$9)^2)/(($C$7-1)*$B$10^2))</f>
        <v>#VALUE!</v>
      </c>
      <c r="DD57" s="43" t="e">
        <f>IF(AND($DJ$7,$DW$1),DB57-$DU$6*DC57,NA())</f>
        <v>#N/A</v>
      </c>
      <c r="DE57" s="50" t="e">
        <f>IF(AND($DJ$7,$DW$1),DB57+$DU$6*DC57,NA())</f>
        <v>#N/A</v>
      </c>
      <c r="DF57" s="43" t="b">
        <f t="shared" si="5"/>
        <v>0</v>
      </c>
      <c r="DG57" s="43" t="str">
        <f t="shared" si="6"/>
        <v/>
      </c>
      <c r="DH57" s="43" t="str">
        <f t="shared" si="7"/>
        <v/>
      </c>
      <c r="DI57" s="43" t="str">
        <f t="shared" si="8"/>
        <v/>
      </c>
      <c r="DJ57" s="43" t="str">
        <f t="shared" si="9"/>
        <v/>
      </c>
      <c r="DK57" s="43" t="e">
        <f t="shared" si="10"/>
        <v>#N/A</v>
      </c>
      <c r="DL57" s="43" t="e">
        <f t="shared" si="11"/>
        <v>#N/A</v>
      </c>
      <c r="DM57" s="43" t="e">
        <f t="shared" si="12"/>
        <v>#N/A</v>
      </c>
      <c r="DN57" s="43" t="e">
        <f t="shared" si="13"/>
        <v>#N/A</v>
      </c>
      <c r="DO57" s="43" t="e">
        <f t="shared" si="14"/>
        <v>#N/A</v>
      </c>
      <c r="DP57" s="43" t="e">
        <f t="shared" si="15"/>
        <v>#N/A</v>
      </c>
      <c r="DQ57" s="43" t="e">
        <f t="shared" si="16"/>
        <v>#N/A</v>
      </c>
      <c r="DR57" s="43" t="e">
        <f t="shared" si="17"/>
        <v>#N/A</v>
      </c>
      <c r="DS57" s="43">
        <f t="shared" si="18"/>
        <v>0</v>
      </c>
      <c r="DT57" s="43">
        <v>47</v>
      </c>
      <c r="DU57" s="43">
        <f t="shared" si="32"/>
        <v>8.5299999999999869</v>
      </c>
      <c r="DV57" s="43">
        <f t="shared" si="19"/>
        <v>10.870041350792548</v>
      </c>
      <c r="DW57" s="43">
        <f t="shared" si="20"/>
        <v>0.54898753985795978</v>
      </c>
      <c r="DX57" s="43" t="e">
        <f t="shared" si="21"/>
        <v>#N/A</v>
      </c>
      <c r="DY57" s="50" t="e">
        <f t="shared" si="22"/>
        <v>#N/A</v>
      </c>
      <c r="DZ57" s="50" t="str">
        <f t="shared" si="23"/>
        <v/>
      </c>
      <c r="EA57" s="50">
        <f t="shared" si="24"/>
        <v>1.4764666690370374</v>
      </c>
      <c r="EB57" s="43" t="e">
        <f t="shared" si="25"/>
        <v>#N/A</v>
      </c>
      <c r="EC57" s="50" t="e">
        <f t="shared" si="26"/>
        <v>#N/A</v>
      </c>
      <c r="ED57" s="50" t="str">
        <f t="shared" si="27"/>
        <v/>
      </c>
    </row>
    <row r="58" spans="1:134" ht="12" customHeight="1">
      <c r="A58" s="640">
        <v>46</v>
      </c>
      <c r="B58" s="994"/>
      <c r="C58" s="995"/>
      <c r="D58" s="1026"/>
      <c r="E58" s="884"/>
      <c r="F58" s="1027" t="str">
        <f t="shared" si="29"/>
        <v/>
      </c>
      <c r="G58" s="1028" t="str">
        <f t="shared" si="30"/>
        <v/>
      </c>
      <c r="H58" s="886"/>
      <c r="I58" s="458" t="str">
        <f t="shared" si="31"/>
        <v/>
      </c>
      <c r="J58" s="886"/>
      <c r="BA58" s="983">
        <v>52</v>
      </c>
      <c r="BB58" s="994"/>
      <c r="BC58" s="995"/>
      <c r="BD58" s="986"/>
      <c r="BF58" s="983">
        <v>52</v>
      </c>
      <c r="BG58" s="994"/>
      <c r="BH58" s="995"/>
      <c r="BI58" s="986"/>
      <c r="BK58" s="983">
        <v>52</v>
      </c>
      <c r="BL58" s="994"/>
      <c r="BM58" s="995"/>
      <c r="BN58" s="986"/>
      <c r="BP58" s="983">
        <v>52</v>
      </c>
      <c r="BQ58" s="994">
        <v>4.7142857142857144</v>
      </c>
      <c r="BR58" s="995">
        <v>5.2</v>
      </c>
      <c r="BS58" s="986"/>
      <c r="BU58" s="983">
        <v>52</v>
      </c>
      <c r="BV58" s="996">
        <v>2.5714285714285716</v>
      </c>
      <c r="BW58" s="997">
        <v>6.2</v>
      </c>
      <c r="BX58" s="986"/>
      <c r="BZ58" s="983">
        <v>52</v>
      </c>
      <c r="CA58" s="996"/>
      <c r="CB58" s="997"/>
      <c r="CC58" s="986"/>
      <c r="DD58" s="43" t="s">
        <v>328</v>
      </c>
      <c r="DF58" s="43" t="b">
        <f t="shared" si="5"/>
        <v>0</v>
      </c>
      <c r="DG58" s="43" t="str">
        <f t="shared" si="6"/>
        <v/>
      </c>
      <c r="DH58" s="43" t="str">
        <f t="shared" si="7"/>
        <v/>
      </c>
      <c r="DI58" s="43" t="str">
        <f t="shared" si="8"/>
        <v/>
      </c>
      <c r="DJ58" s="43" t="str">
        <f t="shared" si="9"/>
        <v/>
      </c>
      <c r="DK58" s="43" t="e">
        <f t="shared" si="10"/>
        <v>#N/A</v>
      </c>
      <c r="DL58" s="43" t="e">
        <f t="shared" si="11"/>
        <v>#N/A</v>
      </c>
      <c r="DM58" s="43" t="e">
        <f t="shared" si="12"/>
        <v>#N/A</v>
      </c>
      <c r="DN58" s="43" t="e">
        <f t="shared" si="13"/>
        <v>#N/A</v>
      </c>
      <c r="DO58" s="43" t="e">
        <f t="shared" si="14"/>
        <v>#N/A</v>
      </c>
      <c r="DP58" s="43" t="e">
        <f t="shared" si="15"/>
        <v>#N/A</v>
      </c>
      <c r="DQ58" s="43" t="e">
        <f t="shared" si="16"/>
        <v>#N/A</v>
      </c>
      <c r="DR58" s="43" t="e">
        <f t="shared" si="17"/>
        <v>#N/A</v>
      </c>
      <c r="DS58" s="43">
        <f t="shared" si="18"/>
        <v>0</v>
      </c>
      <c r="DT58" s="43">
        <v>48</v>
      </c>
      <c r="DU58" s="43">
        <f t="shared" si="32"/>
        <v>8.5849999999999866</v>
      </c>
      <c r="DV58" s="43">
        <f t="shared" si="19"/>
        <v>10.912911784975869</v>
      </c>
      <c r="DW58" s="43">
        <f t="shared" si="20"/>
        <v>0.54425754615604027</v>
      </c>
      <c r="DX58" s="43" t="e">
        <f t="shared" si="21"/>
        <v>#N/A</v>
      </c>
      <c r="DY58" s="50" t="e">
        <f t="shared" si="22"/>
        <v>#N/A</v>
      </c>
      <c r="DZ58" s="50" t="str">
        <f t="shared" si="23"/>
        <v/>
      </c>
      <c r="EA58" s="50">
        <f t="shared" si="24"/>
        <v>1.4747144748749921</v>
      </c>
      <c r="EB58" s="43" t="e">
        <f t="shared" si="25"/>
        <v>#N/A</v>
      </c>
      <c r="EC58" s="50" t="e">
        <f t="shared" si="26"/>
        <v>#N/A</v>
      </c>
      <c r="ED58" s="50" t="str">
        <f t="shared" si="27"/>
        <v/>
      </c>
    </row>
    <row r="59" spans="1:134" ht="12" customHeight="1">
      <c r="A59" s="669">
        <v>47</v>
      </c>
      <c r="B59" s="994"/>
      <c r="C59" s="995"/>
      <c r="D59" s="1026"/>
      <c r="E59" s="884"/>
      <c r="F59" s="1027" t="str">
        <f t="shared" si="29"/>
        <v/>
      </c>
      <c r="G59" s="1028" t="str">
        <f t="shared" si="30"/>
        <v/>
      </c>
      <c r="H59" s="886"/>
      <c r="I59" s="458" t="str">
        <f t="shared" si="31"/>
        <v/>
      </c>
      <c r="J59" s="886"/>
      <c r="BA59" s="1034">
        <v>53</v>
      </c>
      <c r="BB59" s="994"/>
      <c r="BC59" s="995"/>
      <c r="BD59" s="986"/>
      <c r="BF59" s="1034">
        <v>53</v>
      </c>
      <c r="BG59" s="994"/>
      <c r="BH59" s="995"/>
      <c r="BI59" s="986"/>
      <c r="BK59" s="1034">
        <v>53</v>
      </c>
      <c r="BL59" s="994"/>
      <c r="BM59" s="995"/>
      <c r="BN59" s="986"/>
      <c r="BP59" s="1034">
        <v>53</v>
      </c>
      <c r="BQ59" s="994">
        <v>3.2857142857142856</v>
      </c>
      <c r="BR59" s="995">
        <v>5.25</v>
      </c>
      <c r="BS59" s="986"/>
      <c r="BU59" s="1034">
        <v>53</v>
      </c>
      <c r="BV59" s="996">
        <v>3.1428571428571428</v>
      </c>
      <c r="BW59" s="997">
        <v>6.2</v>
      </c>
      <c r="BX59" s="986"/>
      <c r="BZ59" s="1034">
        <v>53</v>
      </c>
      <c r="CA59" s="996"/>
      <c r="CB59" s="997"/>
      <c r="CC59" s="986"/>
      <c r="DD59" s="43" t="e">
        <f>IF(DA54&lt;&gt;"",DA54,NA())</f>
        <v>#N/A</v>
      </c>
      <c r="DE59" s="43" t="e">
        <f>IF(ISNA(DD54),NA(),DD54)</f>
        <v>#N/A</v>
      </c>
      <c r="DF59" s="43" t="b">
        <f t="shared" si="5"/>
        <v>0</v>
      </c>
      <c r="DG59" s="43" t="str">
        <f t="shared" si="6"/>
        <v/>
      </c>
      <c r="DH59" s="43" t="str">
        <f t="shared" si="7"/>
        <v/>
      </c>
      <c r="DI59" s="43" t="str">
        <f t="shared" si="8"/>
        <v/>
      </c>
      <c r="DJ59" s="43" t="str">
        <f t="shared" si="9"/>
        <v/>
      </c>
      <c r="DK59" s="43" t="e">
        <f t="shared" si="10"/>
        <v>#N/A</v>
      </c>
      <c r="DL59" s="43" t="e">
        <f t="shared" si="11"/>
        <v>#N/A</v>
      </c>
      <c r="DM59" s="43" t="e">
        <f t="shared" si="12"/>
        <v>#N/A</v>
      </c>
      <c r="DN59" s="43" t="e">
        <f t="shared" si="13"/>
        <v>#N/A</v>
      </c>
      <c r="DO59" s="43" t="e">
        <f t="shared" si="14"/>
        <v>#N/A</v>
      </c>
      <c r="DP59" s="43" t="e">
        <f t="shared" si="15"/>
        <v>#N/A</v>
      </c>
      <c r="DQ59" s="43" t="e">
        <f t="shared" si="16"/>
        <v>#N/A</v>
      </c>
      <c r="DR59" s="43" t="e">
        <f t="shared" si="17"/>
        <v>#N/A</v>
      </c>
      <c r="DS59" s="43">
        <f t="shared" si="18"/>
        <v>0</v>
      </c>
      <c r="DT59" s="43">
        <v>49</v>
      </c>
      <c r="DU59" s="43">
        <f t="shared" si="32"/>
        <v>8.6399999999999864</v>
      </c>
      <c r="DV59" s="43">
        <f t="shared" si="19"/>
        <v>10.955782219159191</v>
      </c>
      <c r="DW59" s="43">
        <f t="shared" si="20"/>
        <v>0.53957318987797942</v>
      </c>
      <c r="DX59" s="43" t="e">
        <f t="shared" si="21"/>
        <v>#N/A</v>
      </c>
      <c r="DY59" s="50" t="e">
        <f t="shared" si="22"/>
        <v>#N/A</v>
      </c>
      <c r="DZ59" s="50" t="str">
        <f t="shared" si="23"/>
        <v/>
      </c>
      <c r="EA59" s="50">
        <f t="shared" si="24"/>
        <v>1.4729921021828758</v>
      </c>
      <c r="EB59" s="43" t="e">
        <f t="shared" si="25"/>
        <v>#N/A</v>
      </c>
      <c r="EC59" s="50" t="e">
        <f t="shared" si="26"/>
        <v>#N/A</v>
      </c>
      <c r="ED59" s="50" t="str">
        <f t="shared" si="27"/>
        <v/>
      </c>
    </row>
    <row r="60" spans="1:134" ht="12" customHeight="1">
      <c r="A60" s="640">
        <v>48</v>
      </c>
      <c r="B60" s="994"/>
      <c r="C60" s="995"/>
      <c r="D60" s="1026"/>
      <c r="E60" s="884"/>
      <c r="F60" s="1027" t="str">
        <f t="shared" si="29"/>
        <v/>
      </c>
      <c r="G60" s="1028" t="str">
        <f t="shared" si="30"/>
        <v/>
      </c>
      <c r="H60" s="886"/>
      <c r="I60" s="458" t="str">
        <f t="shared" si="31"/>
        <v/>
      </c>
      <c r="J60" s="886"/>
      <c r="BA60" s="983">
        <v>54</v>
      </c>
      <c r="BB60" s="994"/>
      <c r="BC60" s="995"/>
      <c r="BD60" s="986"/>
      <c r="BF60" s="983">
        <v>54</v>
      </c>
      <c r="BG60" s="994"/>
      <c r="BH60" s="995"/>
      <c r="BI60" s="986"/>
      <c r="BK60" s="983">
        <v>54</v>
      </c>
      <c r="BL60" s="994"/>
      <c r="BM60" s="995"/>
      <c r="BN60" s="986"/>
      <c r="BP60" s="983">
        <v>54</v>
      </c>
      <c r="BQ60" s="994">
        <v>3</v>
      </c>
      <c r="BR60" s="995">
        <v>5.4</v>
      </c>
      <c r="BS60" s="986"/>
      <c r="BU60" s="983">
        <v>54</v>
      </c>
      <c r="BV60" s="996">
        <v>3.4285714285714284</v>
      </c>
      <c r="BW60" s="997">
        <v>6.2</v>
      </c>
      <c r="BX60" s="986"/>
      <c r="BZ60" s="983">
        <v>54</v>
      </c>
      <c r="CA60" s="996"/>
      <c r="CB60" s="997"/>
      <c r="CC60" s="986"/>
      <c r="DD60" s="43" t="e">
        <f>IF(DA54&lt;&gt;"",DA54,NA())</f>
        <v>#N/A</v>
      </c>
      <c r="DE60" s="43" t="e">
        <f>IF(ISNA(DE54),NA(),DE54)</f>
        <v>#N/A</v>
      </c>
      <c r="DF60" s="43" t="b">
        <f t="shared" si="5"/>
        <v>0</v>
      </c>
      <c r="DG60" s="43" t="str">
        <f t="shared" si="6"/>
        <v/>
      </c>
      <c r="DH60" s="43" t="str">
        <f t="shared" si="7"/>
        <v/>
      </c>
      <c r="DI60" s="43" t="str">
        <f t="shared" si="8"/>
        <v/>
      </c>
      <c r="DJ60" s="43" t="str">
        <f t="shared" si="9"/>
        <v/>
      </c>
      <c r="DK60" s="43" t="e">
        <f t="shared" si="10"/>
        <v>#N/A</v>
      </c>
      <c r="DL60" s="43" t="e">
        <f t="shared" si="11"/>
        <v>#N/A</v>
      </c>
      <c r="DM60" s="43" t="e">
        <f t="shared" si="12"/>
        <v>#N/A</v>
      </c>
      <c r="DN60" s="43" t="e">
        <f t="shared" si="13"/>
        <v>#N/A</v>
      </c>
      <c r="DO60" s="43" t="e">
        <f t="shared" si="14"/>
        <v>#N/A</v>
      </c>
      <c r="DP60" s="43" t="e">
        <f t="shared" si="15"/>
        <v>#N/A</v>
      </c>
      <c r="DQ60" s="43" t="e">
        <f t="shared" si="16"/>
        <v>#N/A</v>
      </c>
      <c r="DR60" s="43" t="e">
        <f t="shared" si="17"/>
        <v>#N/A</v>
      </c>
      <c r="DS60" s="43">
        <f t="shared" si="18"/>
        <v>0</v>
      </c>
      <c r="DT60" s="43">
        <v>50</v>
      </c>
      <c r="DU60" s="43">
        <f t="shared" si="32"/>
        <v>8.6949999999999861</v>
      </c>
      <c r="DV60" s="43">
        <f t="shared" si="19"/>
        <v>10.998652653342512</v>
      </c>
      <c r="DW60" s="43">
        <f t="shared" si="20"/>
        <v>0.53493566994658925</v>
      </c>
      <c r="DX60" s="43" t="e">
        <f t="shared" si="21"/>
        <v>#N/A</v>
      </c>
      <c r="DY60" s="50" t="e">
        <f t="shared" si="22"/>
        <v>#N/A</v>
      </c>
      <c r="DZ60" s="50" t="str">
        <f t="shared" si="23"/>
        <v/>
      </c>
      <c r="EA60" s="50">
        <f t="shared" si="24"/>
        <v>1.4712996556919449</v>
      </c>
      <c r="EB60" s="43" t="e">
        <f t="shared" si="25"/>
        <v>#N/A</v>
      </c>
      <c r="EC60" s="50" t="e">
        <f t="shared" si="26"/>
        <v>#N/A</v>
      </c>
      <c r="ED60" s="50" t="str">
        <f t="shared" si="27"/>
        <v/>
      </c>
    </row>
    <row r="61" spans="1:134" ht="12" customHeight="1">
      <c r="A61" s="640">
        <v>49</v>
      </c>
      <c r="B61" s="994"/>
      <c r="C61" s="995"/>
      <c r="D61" s="1026"/>
      <c r="E61" s="884"/>
      <c r="F61" s="1027" t="str">
        <f t="shared" si="29"/>
        <v/>
      </c>
      <c r="G61" s="1028" t="str">
        <f t="shared" si="30"/>
        <v/>
      </c>
      <c r="H61" s="886"/>
      <c r="I61" s="458" t="str">
        <f t="shared" si="31"/>
        <v/>
      </c>
      <c r="J61" s="886"/>
      <c r="BA61" s="983">
        <v>55</v>
      </c>
      <c r="BB61" s="994"/>
      <c r="BC61" s="995"/>
      <c r="BD61" s="986"/>
      <c r="BF61" s="983">
        <v>55</v>
      </c>
      <c r="BG61" s="994"/>
      <c r="BH61" s="995"/>
      <c r="BI61" s="986"/>
      <c r="BK61" s="983">
        <v>55</v>
      </c>
      <c r="BL61" s="994"/>
      <c r="BM61" s="995"/>
      <c r="BN61" s="986"/>
      <c r="BP61" s="983">
        <v>55</v>
      </c>
      <c r="BQ61" s="994">
        <v>4.1428571428571432</v>
      </c>
      <c r="BR61" s="995">
        <v>5.5</v>
      </c>
      <c r="BS61" s="986"/>
      <c r="BU61" s="983">
        <v>55</v>
      </c>
      <c r="BV61" s="996">
        <v>3.7142857142857144</v>
      </c>
      <c r="BW61" s="997">
        <v>6.4</v>
      </c>
      <c r="BX61" s="986"/>
      <c r="BZ61" s="983">
        <v>55</v>
      </c>
      <c r="CA61" s="996"/>
      <c r="CB61" s="997"/>
      <c r="CC61" s="986"/>
      <c r="DF61" s="43" t="b">
        <f t="shared" si="5"/>
        <v>0</v>
      </c>
      <c r="DG61" s="43" t="str">
        <f t="shared" si="6"/>
        <v/>
      </c>
      <c r="DH61" s="43" t="str">
        <f t="shared" si="7"/>
        <v/>
      </c>
      <c r="DI61" s="43" t="str">
        <f t="shared" si="8"/>
        <v/>
      </c>
      <c r="DJ61" s="43" t="str">
        <f t="shared" si="9"/>
        <v/>
      </c>
      <c r="DK61" s="43" t="e">
        <f t="shared" si="10"/>
        <v>#N/A</v>
      </c>
      <c r="DL61" s="43" t="e">
        <f t="shared" si="11"/>
        <v>#N/A</v>
      </c>
      <c r="DM61" s="43" t="e">
        <f t="shared" si="12"/>
        <v>#N/A</v>
      </c>
      <c r="DN61" s="43" t="e">
        <f t="shared" si="13"/>
        <v>#N/A</v>
      </c>
      <c r="DO61" s="43" t="e">
        <f t="shared" si="14"/>
        <v>#N/A</v>
      </c>
      <c r="DP61" s="43" t="e">
        <f t="shared" si="15"/>
        <v>#N/A</v>
      </c>
      <c r="DQ61" s="43" t="e">
        <f t="shared" si="16"/>
        <v>#N/A</v>
      </c>
      <c r="DR61" s="43" t="e">
        <f t="shared" si="17"/>
        <v>#N/A</v>
      </c>
      <c r="DS61" s="43">
        <f t="shared" si="18"/>
        <v>0</v>
      </c>
      <c r="DT61" s="43">
        <v>51</v>
      </c>
      <c r="DU61" s="43">
        <f t="shared" si="32"/>
        <v>8.7499999999999858</v>
      </c>
      <c r="DV61" s="43">
        <f t="shared" si="19"/>
        <v>11.041523087525835</v>
      </c>
      <c r="DW61" s="43">
        <f t="shared" si="20"/>
        <v>0.5303462150200744</v>
      </c>
      <c r="DX61" s="43" t="e">
        <f t="shared" si="21"/>
        <v>#N/A</v>
      </c>
      <c r="DY61" s="50" t="e">
        <f t="shared" si="22"/>
        <v>#N/A</v>
      </c>
      <c r="DZ61" s="50" t="str">
        <f t="shared" si="23"/>
        <v/>
      </c>
      <c r="EA61" s="50">
        <f t="shared" si="24"/>
        <v>1.4696372387919912</v>
      </c>
      <c r="EB61" s="43" t="e">
        <f t="shared" si="25"/>
        <v>#N/A</v>
      </c>
      <c r="EC61" s="50" t="e">
        <f t="shared" si="26"/>
        <v>#N/A</v>
      </c>
      <c r="ED61" s="50" t="str">
        <f t="shared" si="27"/>
        <v/>
      </c>
    </row>
    <row r="62" spans="1:134" ht="12" customHeight="1">
      <c r="A62" s="669">
        <v>50</v>
      </c>
      <c r="B62" s="994"/>
      <c r="C62" s="995"/>
      <c r="D62" s="1026"/>
      <c r="E62" s="884"/>
      <c r="F62" s="1027" t="str">
        <f t="shared" si="29"/>
        <v/>
      </c>
      <c r="G62" s="1028" t="str">
        <f t="shared" si="30"/>
        <v/>
      </c>
      <c r="H62" s="886"/>
      <c r="I62" s="458" t="str">
        <f t="shared" si="31"/>
        <v/>
      </c>
      <c r="J62" s="886"/>
      <c r="BA62" s="1034">
        <v>56</v>
      </c>
      <c r="BB62" s="994"/>
      <c r="BC62" s="995"/>
      <c r="BD62" s="986"/>
      <c r="BF62" s="1034">
        <v>56</v>
      </c>
      <c r="BG62" s="994"/>
      <c r="BH62" s="995"/>
      <c r="BI62" s="986"/>
      <c r="BK62" s="1034">
        <v>56</v>
      </c>
      <c r="BL62" s="994"/>
      <c r="BM62" s="995"/>
      <c r="BN62" s="986"/>
      <c r="BP62" s="1034">
        <v>56</v>
      </c>
      <c r="BQ62" s="994">
        <v>3.1428571428571428</v>
      </c>
      <c r="BR62" s="995">
        <v>5.6</v>
      </c>
      <c r="BS62" s="986"/>
      <c r="BU62" s="1034">
        <v>56</v>
      </c>
      <c r="BV62" s="996">
        <v>4</v>
      </c>
      <c r="BW62" s="997">
        <v>6.4</v>
      </c>
      <c r="BX62" s="986"/>
      <c r="BZ62" s="1034">
        <v>56</v>
      </c>
      <c r="CA62" s="996"/>
      <c r="CB62" s="997"/>
      <c r="CC62" s="986"/>
      <c r="DD62" s="43" t="e">
        <f>IF(DA57&lt;&gt;"",DA57,NA())</f>
        <v>#N/A</v>
      </c>
      <c r="DE62" s="43" t="e">
        <f>IF(ISNA(DD57),NA(),DD57)</f>
        <v>#N/A</v>
      </c>
      <c r="DF62" s="43" t="b">
        <f t="shared" si="5"/>
        <v>0</v>
      </c>
      <c r="DG62" s="43" t="str">
        <f t="shared" si="6"/>
        <v/>
      </c>
      <c r="DH62" s="43" t="str">
        <f t="shared" si="7"/>
        <v/>
      </c>
      <c r="DI62" s="43" t="str">
        <f t="shared" si="8"/>
        <v/>
      </c>
      <c r="DJ62" s="43" t="str">
        <f t="shared" si="9"/>
        <v/>
      </c>
      <c r="DK62" s="43" t="e">
        <f t="shared" si="10"/>
        <v>#N/A</v>
      </c>
      <c r="DL62" s="43" t="e">
        <f t="shared" si="11"/>
        <v>#N/A</v>
      </c>
      <c r="DM62" s="43" t="e">
        <f t="shared" si="12"/>
        <v>#N/A</v>
      </c>
      <c r="DN62" s="43" t="e">
        <f t="shared" si="13"/>
        <v>#N/A</v>
      </c>
      <c r="DO62" s="43" t="e">
        <f t="shared" si="14"/>
        <v>#N/A</v>
      </c>
      <c r="DP62" s="43" t="e">
        <f t="shared" si="15"/>
        <v>#N/A</v>
      </c>
      <c r="DQ62" s="43" t="e">
        <f t="shared" si="16"/>
        <v>#N/A</v>
      </c>
      <c r="DR62" s="43" t="e">
        <f t="shared" si="17"/>
        <v>#N/A</v>
      </c>
      <c r="DS62" s="43">
        <f t="shared" si="18"/>
        <v>0</v>
      </c>
      <c r="DT62" s="43">
        <v>52</v>
      </c>
      <c r="DU62" s="43">
        <f t="shared" si="32"/>
        <v>8.8049999999999855</v>
      </c>
      <c r="DV62" s="43">
        <f t="shared" si="19"/>
        <v>11.084393521709156</v>
      </c>
      <c r="DW62" s="43">
        <f t="shared" si="20"/>
        <v>0.5258060836942039</v>
      </c>
      <c r="DX62" s="43" t="e">
        <f t="shared" si="21"/>
        <v>#N/A</v>
      </c>
      <c r="DY62" s="50" t="e">
        <f t="shared" si="22"/>
        <v>#N/A</v>
      </c>
      <c r="DZ62" s="50" t="str">
        <f t="shared" si="23"/>
        <v/>
      </c>
      <c r="EA62" s="50">
        <f t="shared" si="24"/>
        <v>1.4680049535024959</v>
      </c>
      <c r="EB62" s="43" t="e">
        <f t="shared" si="25"/>
        <v>#N/A</v>
      </c>
      <c r="EC62" s="50" t="e">
        <f t="shared" si="26"/>
        <v>#N/A</v>
      </c>
      <c r="ED62" s="50" t="str">
        <f t="shared" si="27"/>
        <v/>
      </c>
    </row>
    <row r="63" spans="1:134" ht="12" customHeight="1">
      <c r="A63" s="640">
        <v>51</v>
      </c>
      <c r="B63" s="994"/>
      <c r="C63" s="995"/>
      <c r="D63" s="1026"/>
      <c r="E63" s="884"/>
      <c r="F63" s="1027" t="str">
        <f t="shared" si="29"/>
        <v/>
      </c>
      <c r="G63" s="1028" t="str">
        <f t="shared" si="30"/>
        <v/>
      </c>
      <c r="H63" s="886"/>
      <c r="I63" s="458" t="str">
        <f t="shared" si="31"/>
        <v/>
      </c>
      <c r="J63" s="886"/>
      <c r="BA63" s="983">
        <v>57</v>
      </c>
      <c r="BB63" s="994"/>
      <c r="BC63" s="995"/>
      <c r="BD63" s="986"/>
      <c r="BF63" s="983">
        <v>57</v>
      </c>
      <c r="BG63" s="994"/>
      <c r="BH63" s="995"/>
      <c r="BI63" s="986"/>
      <c r="BK63" s="983">
        <v>57</v>
      </c>
      <c r="BL63" s="994"/>
      <c r="BM63" s="995"/>
      <c r="BN63" s="986"/>
      <c r="BP63" s="983">
        <v>57</v>
      </c>
      <c r="BQ63" s="994">
        <v>3.2857142857142856</v>
      </c>
      <c r="BR63" s="995">
        <v>5.6</v>
      </c>
      <c r="BS63" s="986"/>
      <c r="BU63" s="983">
        <v>57</v>
      </c>
      <c r="BV63" s="996">
        <v>4.1428571428571432</v>
      </c>
      <c r="BW63" s="997">
        <v>6.4</v>
      </c>
      <c r="BX63" s="986"/>
      <c r="BZ63" s="983">
        <v>57</v>
      </c>
      <c r="CA63" s="996"/>
      <c r="CB63" s="997"/>
      <c r="CC63" s="986"/>
      <c r="DD63" s="43" t="e">
        <f>IF(DA57&lt;&gt;"",DA57,NA())</f>
        <v>#N/A</v>
      </c>
      <c r="DE63" s="43" t="e">
        <f>IF(ISNA(DE57),NA(),DE57)</f>
        <v>#N/A</v>
      </c>
      <c r="DF63" s="43" t="b">
        <f t="shared" si="5"/>
        <v>0</v>
      </c>
      <c r="DG63" s="43" t="str">
        <f t="shared" si="6"/>
        <v/>
      </c>
      <c r="DH63" s="43" t="str">
        <f t="shared" si="7"/>
        <v/>
      </c>
      <c r="DI63" s="43" t="str">
        <f t="shared" si="8"/>
        <v/>
      </c>
      <c r="DJ63" s="43" t="str">
        <f t="shared" si="9"/>
        <v/>
      </c>
      <c r="DK63" s="43" t="e">
        <f t="shared" si="10"/>
        <v>#N/A</v>
      </c>
      <c r="DL63" s="43" t="e">
        <f t="shared" si="11"/>
        <v>#N/A</v>
      </c>
      <c r="DM63" s="43" t="e">
        <f t="shared" si="12"/>
        <v>#N/A</v>
      </c>
      <c r="DN63" s="43" t="e">
        <f t="shared" si="13"/>
        <v>#N/A</v>
      </c>
      <c r="DO63" s="43" t="e">
        <f t="shared" si="14"/>
        <v>#N/A</v>
      </c>
      <c r="DP63" s="43" t="e">
        <f t="shared" si="15"/>
        <v>#N/A</v>
      </c>
      <c r="DQ63" s="43" t="e">
        <f t="shared" si="16"/>
        <v>#N/A</v>
      </c>
      <c r="DR63" s="43" t="e">
        <f t="shared" si="17"/>
        <v>#N/A</v>
      </c>
      <c r="DS63" s="43">
        <f t="shared" si="18"/>
        <v>0</v>
      </c>
      <c r="DT63" s="43">
        <v>53</v>
      </c>
      <c r="DU63" s="43">
        <f t="shared" si="32"/>
        <v>8.8599999999999852</v>
      </c>
      <c r="DV63" s="43">
        <f t="shared" si="19"/>
        <v>11.127263955892477</v>
      </c>
      <c r="DW63" s="43">
        <f t="shared" si="20"/>
        <v>0.52131656464413034</v>
      </c>
      <c r="DX63" s="43" t="e">
        <f t="shared" si="21"/>
        <v>#N/A</v>
      </c>
      <c r="DY63" s="50" t="e">
        <f t="shared" si="22"/>
        <v>#N/A</v>
      </c>
      <c r="DZ63" s="50" t="str">
        <f t="shared" si="23"/>
        <v/>
      </c>
      <c r="EA63" s="50">
        <f t="shared" si="24"/>
        <v>1.4664029004439358</v>
      </c>
      <c r="EB63" s="43" t="e">
        <f t="shared" si="25"/>
        <v>#N/A</v>
      </c>
      <c r="EC63" s="50" t="e">
        <f t="shared" si="26"/>
        <v>#N/A</v>
      </c>
      <c r="ED63" s="50" t="str">
        <f t="shared" si="27"/>
        <v/>
      </c>
    </row>
    <row r="64" spans="1:134" ht="12" customHeight="1">
      <c r="A64" s="640">
        <v>52</v>
      </c>
      <c r="B64" s="994"/>
      <c r="C64" s="995"/>
      <c r="D64" s="1026"/>
      <c r="E64" s="884"/>
      <c r="F64" s="1027" t="str">
        <f t="shared" si="29"/>
        <v/>
      </c>
      <c r="G64" s="1028" t="str">
        <f t="shared" si="30"/>
        <v/>
      </c>
      <c r="H64" s="886"/>
      <c r="I64" s="458" t="str">
        <f t="shared" si="31"/>
        <v/>
      </c>
      <c r="J64" s="886"/>
      <c r="BA64" s="983">
        <v>58</v>
      </c>
      <c r="BB64" s="994"/>
      <c r="BC64" s="995"/>
      <c r="BD64" s="986"/>
      <c r="BF64" s="983">
        <v>58</v>
      </c>
      <c r="BG64" s="994"/>
      <c r="BH64" s="995"/>
      <c r="BI64" s="986"/>
      <c r="BK64" s="983">
        <v>58</v>
      </c>
      <c r="BL64" s="994"/>
      <c r="BM64" s="995"/>
      <c r="BN64" s="986"/>
      <c r="BP64" s="983">
        <v>58</v>
      </c>
      <c r="BQ64" s="994">
        <v>3.2857142857142856</v>
      </c>
      <c r="BR64" s="995">
        <v>5.5</v>
      </c>
      <c r="BS64" s="986"/>
      <c r="BU64" s="983">
        <v>58</v>
      </c>
      <c r="BV64" s="996">
        <v>4</v>
      </c>
      <c r="BW64" s="997">
        <v>6.6</v>
      </c>
      <c r="BX64" s="986"/>
      <c r="BZ64" s="983">
        <v>58</v>
      </c>
      <c r="CA64" s="996"/>
      <c r="CB64" s="997"/>
      <c r="CC64" s="986"/>
      <c r="DF64" s="43" t="b">
        <f t="shared" si="5"/>
        <v>0</v>
      </c>
      <c r="DG64" s="43" t="str">
        <f t="shared" si="6"/>
        <v/>
      </c>
      <c r="DH64" s="43" t="str">
        <f t="shared" si="7"/>
        <v/>
      </c>
      <c r="DI64" s="43" t="str">
        <f t="shared" si="8"/>
        <v/>
      </c>
      <c r="DJ64" s="43" t="str">
        <f t="shared" si="9"/>
        <v/>
      </c>
      <c r="DK64" s="43" t="e">
        <f t="shared" si="10"/>
        <v>#N/A</v>
      </c>
      <c r="DL64" s="43" t="e">
        <f t="shared" si="11"/>
        <v>#N/A</v>
      </c>
      <c r="DM64" s="43" t="e">
        <f t="shared" si="12"/>
        <v>#N/A</v>
      </c>
      <c r="DN64" s="43" t="e">
        <f t="shared" si="13"/>
        <v>#N/A</v>
      </c>
      <c r="DO64" s="43" t="e">
        <f t="shared" si="14"/>
        <v>#N/A</v>
      </c>
      <c r="DP64" s="43" t="e">
        <f t="shared" si="15"/>
        <v>#N/A</v>
      </c>
      <c r="DQ64" s="43" t="e">
        <f t="shared" si="16"/>
        <v>#N/A</v>
      </c>
      <c r="DR64" s="43" t="e">
        <f t="shared" si="17"/>
        <v>#N/A</v>
      </c>
      <c r="DS64" s="43">
        <f t="shared" si="18"/>
        <v>0</v>
      </c>
      <c r="DT64" s="43">
        <v>54</v>
      </c>
      <c r="DU64" s="43">
        <f t="shared" si="32"/>
        <v>8.9149999999999849</v>
      </c>
      <c r="DV64" s="43">
        <f t="shared" si="19"/>
        <v>11.170134390075798</v>
      </c>
      <c r="DW64" s="43">
        <f t="shared" si="20"/>
        <v>0.51687897669926941</v>
      </c>
      <c r="DX64" s="43" t="e">
        <f t="shared" si="21"/>
        <v>#N/A</v>
      </c>
      <c r="DY64" s="50" t="e">
        <f t="shared" si="22"/>
        <v>#N/A</v>
      </c>
      <c r="DZ64" s="50" t="str">
        <f t="shared" si="23"/>
        <v/>
      </c>
      <c r="EA64" s="50">
        <f t="shared" si="24"/>
        <v>1.4648311788092556</v>
      </c>
      <c r="EB64" s="43" t="e">
        <f t="shared" si="25"/>
        <v>#N/A</v>
      </c>
      <c r="EC64" s="50" t="e">
        <f t="shared" si="26"/>
        <v>#N/A</v>
      </c>
      <c r="ED64" s="50" t="str">
        <f t="shared" si="27"/>
        <v/>
      </c>
    </row>
    <row r="65" spans="1:134" ht="12" customHeight="1">
      <c r="A65" s="669">
        <v>53</v>
      </c>
      <c r="B65" s="994"/>
      <c r="C65" s="995"/>
      <c r="D65" s="1026"/>
      <c r="E65" s="884"/>
      <c r="F65" s="1027" t="str">
        <f t="shared" si="29"/>
        <v/>
      </c>
      <c r="G65" s="1028" t="str">
        <f t="shared" si="30"/>
        <v/>
      </c>
      <c r="H65" s="886"/>
      <c r="I65" s="458" t="str">
        <f t="shared" si="31"/>
        <v/>
      </c>
      <c r="J65" s="886"/>
      <c r="BA65" s="1034">
        <v>59</v>
      </c>
      <c r="BB65" s="994"/>
      <c r="BC65" s="995"/>
      <c r="BD65" s="986"/>
      <c r="BF65" s="1034">
        <v>59</v>
      </c>
      <c r="BG65" s="994"/>
      <c r="BH65" s="995"/>
      <c r="BI65" s="986"/>
      <c r="BK65" s="1034">
        <v>59</v>
      </c>
      <c r="BL65" s="994"/>
      <c r="BM65" s="995"/>
      <c r="BN65" s="986"/>
      <c r="BP65" s="1034">
        <v>59</v>
      </c>
      <c r="BQ65" s="994">
        <v>3.5714285714285716</v>
      </c>
      <c r="BR65" s="995">
        <v>5.6</v>
      </c>
      <c r="BS65" s="986"/>
      <c r="BU65" s="1034">
        <v>59</v>
      </c>
      <c r="BV65" s="996">
        <v>5</v>
      </c>
      <c r="BW65" s="997">
        <v>7</v>
      </c>
      <c r="BX65" s="986"/>
      <c r="BZ65" s="1034">
        <v>59</v>
      </c>
      <c r="CA65" s="996"/>
      <c r="CB65" s="997"/>
      <c r="CC65" s="986"/>
      <c r="DF65" s="43" t="b">
        <f t="shared" si="5"/>
        <v>0</v>
      </c>
      <c r="DG65" s="43" t="str">
        <f t="shared" si="6"/>
        <v/>
      </c>
      <c r="DH65" s="43" t="str">
        <f t="shared" si="7"/>
        <v/>
      </c>
      <c r="DI65" s="43" t="str">
        <f t="shared" si="8"/>
        <v/>
      </c>
      <c r="DJ65" s="43" t="str">
        <f t="shared" si="9"/>
        <v/>
      </c>
      <c r="DK65" s="43" t="e">
        <f t="shared" si="10"/>
        <v>#N/A</v>
      </c>
      <c r="DL65" s="43" t="e">
        <f t="shared" si="11"/>
        <v>#N/A</v>
      </c>
      <c r="DM65" s="43" t="e">
        <f t="shared" si="12"/>
        <v>#N/A</v>
      </c>
      <c r="DN65" s="43" t="e">
        <f t="shared" si="13"/>
        <v>#N/A</v>
      </c>
      <c r="DO65" s="43" t="e">
        <f t="shared" si="14"/>
        <v>#N/A</v>
      </c>
      <c r="DP65" s="43" t="e">
        <f t="shared" si="15"/>
        <v>#N/A</v>
      </c>
      <c r="DQ65" s="43" t="e">
        <f t="shared" si="16"/>
        <v>#N/A</v>
      </c>
      <c r="DR65" s="43" t="e">
        <f t="shared" si="17"/>
        <v>#N/A</v>
      </c>
      <c r="DS65" s="43">
        <f t="shared" si="18"/>
        <v>0</v>
      </c>
      <c r="DT65" s="43">
        <v>55</v>
      </c>
      <c r="DU65" s="43">
        <f t="shared" si="32"/>
        <v>8.9699999999999847</v>
      </c>
      <c r="DV65" s="43">
        <f t="shared" si="19"/>
        <v>11.213004824259119</v>
      </c>
      <c r="DW65" s="43">
        <f t="shared" si="20"/>
        <v>0.51249466884428607</v>
      </c>
      <c r="DX65" s="43" t="e">
        <f t="shared" si="21"/>
        <v>#N/A</v>
      </c>
      <c r="DY65" s="50" t="e">
        <f t="shared" si="22"/>
        <v>#N/A</v>
      </c>
      <c r="DZ65" s="50" t="str">
        <f t="shared" si="23"/>
        <v/>
      </c>
      <c r="EA65" s="50">
        <f t="shared" si="24"/>
        <v>1.4632898863355284</v>
      </c>
      <c r="EB65" s="43" t="e">
        <f t="shared" si="25"/>
        <v>#N/A</v>
      </c>
      <c r="EC65" s="50" t="e">
        <f t="shared" si="26"/>
        <v>#N/A</v>
      </c>
      <c r="ED65" s="50" t="str">
        <f t="shared" si="27"/>
        <v/>
      </c>
    </row>
    <row r="66" spans="1:134" ht="12" customHeight="1">
      <c r="A66" s="640">
        <v>54</v>
      </c>
      <c r="B66" s="994"/>
      <c r="C66" s="995"/>
      <c r="D66" s="1026"/>
      <c r="E66" s="884"/>
      <c r="F66" s="1027" t="str">
        <f t="shared" si="29"/>
        <v/>
      </c>
      <c r="G66" s="1028" t="str">
        <f t="shared" si="30"/>
        <v/>
      </c>
      <c r="H66" s="886"/>
      <c r="I66" s="458" t="str">
        <f t="shared" si="31"/>
        <v/>
      </c>
      <c r="J66" s="886"/>
      <c r="BA66" s="983">
        <v>60</v>
      </c>
      <c r="BB66" s="994"/>
      <c r="BC66" s="995"/>
      <c r="BD66" s="986"/>
      <c r="BF66" s="983">
        <v>60</v>
      </c>
      <c r="BG66" s="994"/>
      <c r="BH66" s="995"/>
      <c r="BI66" s="986"/>
      <c r="BK66" s="983">
        <v>60</v>
      </c>
      <c r="BL66" s="994"/>
      <c r="BM66" s="995"/>
      <c r="BN66" s="986"/>
      <c r="BP66" s="983">
        <v>60</v>
      </c>
      <c r="BQ66" s="994">
        <v>3.7142857142857144</v>
      </c>
      <c r="BR66" s="995">
        <v>5.6</v>
      </c>
      <c r="BS66" s="986"/>
      <c r="BU66" s="983">
        <v>60</v>
      </c>
      <c r="BV66" s="996"/>
      <c r="BW66" s="997"/>
      <c r="BX66" s="986"/>
      <c r="BZ66" s="983">
        <v>60</v>
      </c>
      <c r="CA66" s="996"/>
      <c r="CB66" s="997"/>
      <c r="CC66" s="986"/>
      <c r="DF66" s="43" t="b">
        <f t="shared" si="5"/>
        <v>0</v>
      </c>
      <c r="DG66" s="43" t="str">
        <f t="shared" si="6"/>
        <v/>
      </c>
      <c r="DH66" s="43" t="str">
        <f t="shared" si="7"/>
        <v/>
      </c>
      <c r="DI66" s="43" t="str">
        <f t="shared" si="8"/>
        <v/>
      </c>
      <c r="DJ66" s="43" t="str">
        <f t="shared" si="9"/>
        <v/>
      </c>
      <c r="DK66" s="43" t="e">
        <f t="shared" si="10"/>
        <v>#N/A</v>
      </c>
      <c r="DL66" s="43" t="e">
        <f t="shared" si="11"/>
        <v>#N/A</v>
      </c>
      <c r="DM66" s="43" t="e">
        <f t="shared" si="12"/>
        <v>#N/A</v>
      </c>
      <c r="DN66" s="43" t="e">
        <f t="shared" si="13"/>
        <v>#N/A</v>
      </c>
      <c r="DO66" s="43" t="e">
        <f t="shared" si="14"/>
        <v>#N/A</v>
      </c>
      <c r="DP66" s="43" t="e">
        <f t="shared" si="15"/>
        <v>#N/A</v>
      </c>
      <c r="DQ66" s="43" t="e">
        <f t="shared" si="16"/>
        <v>#N/A</v>
      </c>
      <c r="DR66" s="43" t="e">
        <f t="shared" si="17"/>
        <v>#N/A</v>
      </c>
      <c r="DS66" s="43">
        <f t="shared" si="18"/>
        <v>0</v>
      </c>
      <c r="DT66" s="43">
        <v>56</v>
      </c>
      <c r="DU66" s="43">
        <f t="shared" si="32"/>
        <v>9.0249999999999844</v>
      </c>
      <c r="DV66" s="43">
        <f t="shared" si="19"/>
        <v>11.255875258442442</v>
      </c>
      <c r="DW66" s="43">
        <f t="shared" si="20"/>
        <v>0.50816502013888121</v>
      </c>
      <c r="DX66" s="43" t="e">
        <f t="shared" si="21"/>
        <v>#N/A</v>
      </c>
      <c r="DY66" s="50" t="e">
        <f t="shared" si="22"/>
        <v>#N/A</v>
      </c>
      <c r="DZ66" s="50" t="str">
        <f t="shared" si="23"/>
        <v/>
      </c>
      <c r="EA66" s="50">
        <f t="shared" si="24"/>
        <v>1.4617791192758154</v>
      </c>
      <c r="EB66" s="43" t="e">
        <f t="shared" si="25"/>
        <v>#N/A</v>
      </c>
      <c r="EC66" s="50" t="e">
        <f t="shared" si="26"/>
        <v>#N/A</v>
      </c>
      <c r="ED66" s="50" t="str">
        <f t="shared" si="27"/>
        <v/>
      </c>
    </row>
    <row r="67" spans="1:134" ht="12" customHeight="1">
      <c r="A67" s="640">
        <v>55</v>
      </c>
      <c r="B67" s="994"/>
      <c r="C67" s="995"/>
      <c r="D67" s="1026"/>
      <c r="E67" s="884"/>
      <c r="F67" s="1027" t="str">
        <f t="shared" si="29"/>
        <v/>
      </c>
      <c r="G67" s="1028" t="str">
        <f t="shared" si="30"/>
        <v/>
      </c>
      <c r="H67" s="886"/>
      <c r="I67" s="458" t="str">
        <f t="shared" si="31"/>
        <v/>
      </c>
      <c r="J67" s="886"/>
      <c r="BA67" s="983">
        <v>61</v>
      </c>
      <c r="BB67" s="994"/>
      <c r="BC67" s="995"/>
      <c r="BD67" s="986"/>
      <c r="BF67" s="983">
        <v>61</v>
      </c>
      <c r="BG67" s="994"/>
      <c r="BH67" s="995"/>
      <c r="BI67" s="986"/>
      <c r="BK67" s="983">
        <v>61</v>
      </c>
      <c r="BL67" s="994"/>
      <c r="BM67" s="995"/>
      <c r="BN67" s="986"/>
      <c r="BP67" s="983">
        <v>61</v>
      </c>
      <c r="BQ67" s="994">
        <v>3.8571428571428572</v>
      </c>
      <c r="BR67" s="995">
        <v>5.6</v>
      </c>
      <c r="BS67" s="986"/>
      <c r="BU67" s="983">
        <v>61</v>
      </c>
      <c r="BV67" s="996"/>
      <c r="BW67" s="997"/>
      <c r="BX67" s="986"/>
      <c r="BZ67" s="983">
        <v>61</v>
      </c>
      <c r="CA67" s="996"/>
      <c r="CB67" s="997"/>
      <c r="CC67" s="986"/>
      <c r="DF67" s="43" t="b">
        <f t="shared" si="5"/>
        <v>0</v>
      </c>
      <c r="DG67" s="43" t="str">
        <f t="shared" si="6"/>
        <v/>
      </c>
      <c r="DH67" s="43" t="str">
        <f t="shared" si="7"/>
        <v/>
      </c>
      <c r="DI67" s="43" t="str">
        <f t="shared" si="8"/>
        <v/>
      </c>
      <c r="DJ67" s="43" t="str">
        <f t="shared" si="9"/>
        <v/>
      </c>
      <c r="DK67" s="43" t="e">
        <f t="shared" si="10"/>
        <v>#N/A</v>
      </c>
      <c r="DL67" s="43" t="e">
        <f t="shared" si="11"/>
        <v>#N/A</v>
      </c>
      <c r="DM67" s="43" t="e">
        <f t="shared" si="12"/>
        <v>#N/A</v>
      </c>
      <c r="DN67" s="43" t="e">
        <f t="shared" si="13"/>
        <v>#N/A</v>
      </c>
      <c r="DO67" s="43" t="e">
        <f t="shared" si="14"/>
        <v>#N/A</v>
      </c>
      <c r="DP67" s="43" t="e">
        <f t="shared" si="15"/>
        <v>#N/A</v>
      </c>
      <c r="DQ67" s="43" t="e">
        <f t="shared" si="16"/>
        <v>#N/A</v>
      </c>
      <c r="DR67" s="43" t="e">
        <f t="shared" si="17"/>
        <v>#N/A</v>
      </c>
      <c r="DS67" s="43">
        <f t="shared" si="18"/>
        <v>0</v>
      </c>
      <c r="DT67" s="43">
        <v>57</v>
      </c>
      <c r="DU67" s="43">
        <f t="shared" si="32"/>
        <v>9.0799999999999841</v>
      </c>
      <c r="DV67" s="43">
        <f t="shared" si="19"/>
        <v>11.298745692625765</v>
      </c>
      <c r="DW67" s="43">
        <f t="shared" si="20"/>
        <v>0.50389143954872773</v>
      </c>
      <c r="DX67" s="43" t="e">
        <f t="shared" si="21"/>
        <v>#N/A</v>
      </c>
      <c r="DY67" s="50" t="e">
        <f t="shared" si="22"/>
        <v>#N/A</v>
      </c>
      <c r="DZ67" s="50" t="str">
        <f t="shared" si="23"/>
        <v/>
      </c>
      <c r="EA67" s="50">
        <f t="shared" si="24"/>
        <v>1.4602989723712465</v>
      </c>
      <c r="EB67" s="43" t="e">
        <f t="shared" si="25"/>
        <v>#N/A</v>
      </c>
      <c r="EC67" s="50" t="e">
        <f t="shared" si="26"/>
        <v>#N/A</v>
      </c>
      <c r="ED67" s="50" t="str">
        <f t="shared" si="27"/>
        <v/>
      </c>
    </row>
    <row r="68" spans="1:134" ht="12" customHeight="1">
      <c r="A68" s="669">
        <v>56</v>
      </c>
      <c r="B68" s="994"/>
      <c r="C68" s="995"/>
      <c r="D68" s="1026"/>
      <c r="E68" s="884"/>
      <c r="F68" s="1027" t="str">
        <f t="shared" si="29"/>
        <v/>
      </c>
      <c r="G68" s="1028" t="str">
        <f t="shared" si="30"/>
        <v/>
      </c>
      <c r="H68" s="886"/>
      <c r="I68" s="458" t="str">
        <f t="shared" si="31"/>
        <v/>
      </c>
      <c r="J68" s="886"/>
      <c r="BA68" s="1034">
        <v>62</v>
      </c>
      <c r="BB68" s="994"/>
      <c r="BC68" s="995"/>
      <c r="BD68" s="986"/>
      <c r="BF68" s="1034">
        <v>62</v>
      </c>
      <c r="BG68" s="994"/>
      <c r="BH68" s="995"/>
      <c r="BI68" s="986"/>
      <c r="BK68" s="1034">
        <v>62</v>
      </c>
      <c r="BL68" s="994"/>
      <c r="BM68" s="995"/>
      <c r="BN68" s="986"/>
      <c r="BP68" s="1034">
        <v>62</v>
      </c>
      <c r="BQ68" s="994">
        <v>4</v>
      </c>
      <c r="BR68" s="995">
        <v>5.6</v>
      </c>
      <c r="BS68" s="986"/>
      <c r="BU68" s="1034">
        <v>62</v>
      </c>
      <c r="BV68" s="996"/>
      <c r="BW68" s="997"/>
      <c r="BX68" s="986"/>
      <c r="BZ68" s="1034">
        <v>62</v>
      </c>
      <c r="CA68" s="996"/>
      <c r="CB68" s="997"/>
      <c r="CC68" s="986"/>
      <c r="DF68" s="43" t="b">
        <f t="shared" si="5"/>
        <v>0</v>
      </c>
      <c r="DG68" s="43" t="str">
        <f t="shared" si="6"/>
        <v/>
      </c>
      <c r="DH68" s="43" t="str">
        <f t="shared" si="7"/>
        <v/>
      </c>
      <c r="DI68" s="43" t="str">
        <f t="shared" si="8"/>
        <v/>
      </c>
      <c r="DJ68" s="43" t="str">
        <f t="shared" si="9"/>
        <v/>
      </c>
      <c r="DK68" s="43" t="e">
        <f t="shared" si="10"/>
        <v>#N/A</v>
      </c>
      <c r="DL68" s="43" t="e">
        <f t="shared" si="11"/>
        <v>#N/A</v>
      </c>
      <c r="DM68" s="43" t="e">
        <f t="shared" si="12"/>
        <v>#N/A</v>
      </c>
      <c r="DN68" s="43" t="e">
        <f t="shared" si="13"/>
        <v>#N/A</v>
      </c>
      <c r="DO68" s="43" t="e">
        <f t="shared" si="14"/>
        <v>#N/A</v>
      </c>
      <c r="DP68" s="43" t="e">
        <f t="shared" si="15"/>
        <v>#N/A</v>
      </c>
      <c r="DQ68" s="43" t="e">
        <f t="shared" si="16"/>
        <v>#N/A</v>
      </c>
      <c r="DR68" s="43" t="e">
        <f t="shared" si="17"/>
        <v>#N/A</v>
      </c>
      <c r="DS68" s="43">
        <f t="shared" si="18"/>
        <v>0</v>
      </c>
      <c r="DT68" s="43">
        <v>58</v>
      </c>
      <c r="DU68" s="43">
        <f t="shared" si="32"/>
        <v>9.1349999999999838</v>
      </c>
      <c r="DV68" s="43">
        <f t="shared" si="19"/>
        <v>11.341616126809086</v>
      </c>
      <c r="DW68" s="43">
        <f t="shared" si="20"/>
        <v>0.4996753656795912</v>
      </c>
      <c r="DX68" s="43" t="e">
        <f t="shared" si="21"/>
        <v>#N/A</v>
      </c>
      <c r="DY68" s="50" t="e">
        <f t="shared" si="22"/>
        <v>#N/A</v>
      </c>
      <c r="DZ68" s="50" t="str">
        <f t="shared" si="23"/>
        <v/>
      </c>
      <c r="EA68" s="50">
        <f t="shared" si="24"/>
        <v>1.4588495388233367</v>
      </c>
      <c r="EB68" s="43" t="e">
        <f t="shared" si="25"/>
        <v>#N/A</v>
      </c>
      <c r="EC68" s="50" t="e">
        <f t="shared" si="26"/>
        <v>#N/A</v>
      </c>
      <c r="ED68" s="50" t="str">
        <f t="shared" si="27"/>
        <v/>
      </c>
    </row>
    <row r="69" spans="1:134" ht="12" customHeight="1">
      <c r="A69" s="640">
        <v>57</v>
      </c>
      <c r="B69" s="994"/>
      <c r="C69" s="995"/>
      <c r="D69" s="1026"/>
      <c r="E69" s="884"/>
      <c r="F69" s="1027" t="str">
        <f t="shared" si="29"/>
        <v/>
      </c>
      <c r="G69" s="1028" t="str">
        <f t="shared" si="30"/>
        <v/>
      </c>
      <c r="H69" s="886"/>
      <c r="I69" s="458" t="str">
        <f t="shared" si="31"/>
        <v/>
      </c>
      <c r="J69" s="886"/>
      <c r="BA69" s="983">
        <v>63</v>
      </c>
      <c r="BB69" s="994"/>
      <c r="BC69" s="995"/>
      <c r="BD69" s="986"/>
      <c r="BF69" s="983">
        <v>63</v>
      </c>
      <c r="BG69" s="994"/>
      <c r="BH69" s="995"/>
      <c r="BI69" s="986"/>
      <c r="BK69" s="983">
        <v>63</v>
      </c>
      <c r="BL69" s="994"/>
      <c r="BM69" s="995"/>
      <c r="BN69" s="986"/>
      <c r="BP69" s="983">
        <v>63</v>
      </c>
      <c r="BQ69" s="994">
        <v>4</v>
      </c>
      <c r="BR69" s="995">
        <v>5.5</v>
      </c>
      <c r="BS69" s="986"/>
      <c r="BU69" s="983">
        <v>63</v>
      </c>
      <c r="BV69" s="996"/>
      <c r="BW69" s="997"/>
      <c r="BX69" s="986"/>
      <c r="BZ69" s="983">
        <v>63</v>
      </c>
      <c r="CA69" s="996"/>
      <c r="CB69" s="997"/>
      <c r="CC69" s="986"/>
      <c r="DF69" s="43" t="b">
        <f t="shared" si="5"/>
        <v>0</v>
      </c>
      <c r="DG69" s="43" t="str">
        <f t="shared" si="6"/>
        <v/>
      </c>
      <c r="DH69" s="43" t="str">
        <f t="shared" si="7"/>
        <v/>
      </c>
      <c r="DI69" s="43" t="str">
        <f t="shared" si="8"/>
        <v/>
      </c>
      <c r="DJ69" s="43" t="str">
        <f t="shared" si="9"/>
        <v/>
      </c>
      <c r="DK69" s="43" t="e">
        <f t="shared" si="10"/>
        <v>#N/A</v>
      </c>
      <c r="DL69" s="43" t="e">
        <f t="shared" si="11"/>
        <v>#N/A</v>
      </c>
      <c r="DM69" s="43" t="e">
        <f t="shared" si="12"/>
        <v>#N/A</v>
      </c>
      <c r="DN69" s="43" t="e">
        <f t="shared" si="13"/>
        <v>#N/A</v>
      </c>
      <c r="DO69" s="43" t="e">
        <f t="shared" si="14"/>
        <v>#N/A</v>
      </c>
      <c r="DP69" s="43" t="e">
        <f t="shared" si="15"/>
        <v>#N/A</v>
      </c>
      <c r="DQ69" s="43" t="e">
        <f t="shared" si="16"/>
        <v>#N/A</v>
      </c>
      <c r="DR69" s="43" t="e">
        <f t="shared" si="17"/>
        <v>#N/A</v>
      </c>
      <c r="DS69" s="43">
        <f t="shared" si="18"/>
        <v>0</v>
      </c>
      <c r="DT69" s="43">
        <v>59</v>
      </c>
      <c r="DU69" s="43">
        <f t="shared" si="32"/>
        <v>9.1899999999999835</v>
      </c>
      <c r="DV69" s="43">
        <f t="shared" si="19"/>
        <v>11.384486560992407</v>
      </c>
      <c r="DW69" s="43">
        <f t="shared" si="20"/>
        <v>0.49551826640637747</v>
      </c>
      <c r="DX69" s="43" t="e">
        <f t="shared" si="21"/>
        <v>#N/A</v>
      </c>
      <c r="DY69" s="50" t="e">
        <f t="shared" si="22"/>
        <v>#N/A</v>
      </c>
      <c r="DZ69" s="50" t="str">
        <f t="shared" si="23"/>
        <v/>
      </c>
      <c r="EA69" s="50">
        <f t="shared" si="24"/>
        <v>1.457430910266559</v>
      </c>
      <c r="EB69" s="43" t="e">
        <f t="shared" si="25"/>
        <v>#N/A</v>
      </c>
      <c r="EC69" s="50" t="e">
        <f t="shared" si="26"/>
        <v>#N/A</v>
      </c>
      <c r="ED69" s="50" t="str">
        <f t="shared" si="27"/>
        <v/>
      </c>
    </row>
    <row r="70" spans="1:134" ht="12" customHeight="1">
      <c r="A70" s="640">
        <v>58</v>
      </c>
      <c r="B70" s="994"/>
      <c r="C70" s="995"/>
      <c r="D70" s="1026"/>
      <c r="E70" s="884"/>
      <c r="F70" s="1027" t="str">
        <f t="shared" si="29"/>
        <v/>
      </c>
      <c r="G70" s="1028" t="str">
        <f t="shared" si="30"/>
        <v/>
      </c>
      <c r="H70" s="886"/>
      <c r="I70" s="458" t="str">
        <f t="shared" si="31"/>
        <v/>
      </c>
      <c r="J70" s="886"/>
      <c r="BA70" s="983">
        <v>64</v>
      </c>
      <c r="BB70" s="994"/>
      <c r="BC70" s="995"/>
      <c r="BD70" s="986"/>
      <c r="BF70" s="983">
        <v>64</v>
      </c>
      <c r="BG70" s="994"/>
      <c r="BH70" s="995"/>
      <c r="BI70" s="986"/>
      <c r="BK70" s="983">
        <v>64</v>
      </c>
      <c r="BL70" s="994"/>
      <c r="BM70" s="995"/>
      <c r="BN70" s="986"/>
      <c r="BP70" s="983">
        <v>64</v>
      </c>
      <c r="BQ70" s="994">
        <v>4.1428571428571432</v>
      </c>
      <c r="BR70" s="995">
        <v>5.6</v>
      </c>
      <c r="BS70" s="986"/>
      <c r="BU70" s="983">
        <v>64</v>
      </c>
      <c r="BV70" s="996"/>
      <c r="BW70" s="997"/>
      <c r="BX70" s="986"/>
      <c r="BZ70" s="983">
        <v>64</v>
      </c>
      <c r="CA70" s="996"/>
      <c r="CB70" s="997"/>
      <c r="CC70" s="986"/>
      <c r="DF70" s="43" t="b">
        <f t="shared" si="5"/>
        <v>0</v>
      </c>
      <c r="DG70" s="43" t="str">
        <f t="shared" si="6"/>
        <v/>
      </c>
      <c r="DH70" s="43" t="str">
        <f t="shared" si="7"/>
        <v/>
      </c>
      <c r="DI70" s="43" t="str">
        <f t="shared" si="8"/>
        <v/>
      </c>
      <c r="DJ70" s="43" t="str">
        <f t="shared" si="9"/>
        <v/>
      </c>
      <c r="DK70" s="43" t="e">
        <f t="shared" si="10"/>
        <v>#N/A</v>
      </c>
      <c r="DL70" s="43" t="e">
        <f t="shared" si="11"/>
        <v>#N/A</v>
      </c>
      <c r="DM70" s="43" t="e">
        <f t="shared" si="12"/>
        <v>#N/A</v>
      </c>
      <c r="DN70" s="43" t="e">
        <f t="shared" si="13"/>
        <v>#N/A</v>
      </c>
      <c r="DO70" s="43" t="e">
        <f t="shared" si="14"/>
        <v>#N/A</v>
      </c>
      <c r="DP70" s="43" t="e">
        <f t="shared" si="15"/>
        <v>#N/A</v>
      </c>
      <c r="DQ70" s="43" t="e">
        <f t="shared" si="16"/>
        <v>#N/A</v>
      </c>
      <c r="DR70" s="43" t="e">
        <f t="shared" si="17"/>
        <v>#N/A</v>
      </c>
      <c r="DS70" s="43">
        <f t="shared" si="18"/>
        <v>0</v>
      </c>
      <c r="DT70" s="43">
        <v>60</v>
      </c>
      <c r="DU70" s="43">
        <f t="shared" si="32"/>
        <v>9.2449999999999832</v>
      </c>
      <c r="DV70" s="43">
        <f t="shared" si="19"/>
        <v>11.427356995175728</v>
      </c>
      <c r="DW70" s="43">
        <f t="shared" si="20"/>
        <v>0.49142163838859859</v>
      </c>
      <c r="DX70" s="43" t="e">
        <f t="shared" si="21"/>
        <v>#N/A</v>
      </c>
      <c r="DY70" s="50" t="e">
        <f t="shared" si="22"/>
        <v>#N/A</v>
      </c>
      <c r="DZ70" s="50" t="str">
        <f t="shared" si="23"/>
        <v/>
      </c>
      <c r="EA70" s="50">
        <f t="shared" si="24"/>
        <v>1.4560431767411857</v>
      </c>
      <c r="EB70" s="43" t="e">
        <f t="shared" si="25"/>
        <v>#N/A</v>
      </c>
      <c r="EC70" s="50" t="e">
        <f t="shared" si="26"/>
        <v>#N/A</v>
      </c>
      <c r="ED70" s="50" t="str">
        <f t="shared" si="27"/>
        <v/>
      </c>
    </row>
    <row r="71" spans="1:134" ht="12" customHeight="1">
      <c r="A71" s="669">
        <v>59</v>
      </c>
      <c r="B71" s="994"/>
      <c r="C71" s="995"/>
      <c r="D71" s="1026"/>
      <c r="E71" s="884"/>
      <c r="F71" s="1027" t="str">
        <f t="shared" si="29"/>
        <v/>
      </c>
      <c r="G71" s="1028" t="str">
        <f t="shared" si="30"/>
        <v/>
      </c>
      <c r="H71" s="886"/>
      <c r="I71" s="458" t="str">
        <f t="shared" si="31"/>
        <v/>
      </c>
      <c r="J71" s="886"/>
      <c r="BA71" s="1034">
        <v>65</v>
      </c>
      <c r="BB71" s="994"/>
      <c r="BC71" s="995"/>
      <c r="BD71" s="986"/>
      <c r="BF71" s="1034">
        <v>65</v>
      </c>
      <c r="BG71" s="994"/>
      <c r="BH71" s="995"/>
      <c r="BI71" s="986"/>
      <c r="BK71" s="1034">
        <v>65</v>
      </c>
      <c r="BL71" s="994"/>
      <c r="BM71" s="995"/>
      <c r="BN71" s="986"/>
      <c r="BP71" s="1034">
        <v>65</v>
      </c>
      <c r="BQ71" s="994">
        <v>4.2857142857142856</v>
      </c>
      <c r="BR71" s="995">
        <v>5.6</v>
      </c>
      <c r="BS71" s="986"/>
      <c r="BU71" s="1034">
        <v>65</v>
      </c>
      <c r="BV71" s="996"/>
      <c r="BW71" s="997"/>
      <c r="BX71" s="986"/>
      <c r="BZ71" s="1034">
        <v>65</v>
      </c>
      <c r="CA71" s="996"/>
      <c r="CB71" s="997"/>
      <c r="CC71" s="986"/>
      <c r="DF71" s="43" t="b">
        <f t="shared" si="5"/>
        <v>0</v>
      </c>
      <c r="DG71" s="43" t="str">
        <f t="shared" si="6"/>
        <v/>
      </c>
      <c r="DH71" s="43" t="str">
        <f t="shared" si="7"/>
        <v/>
      </c>
      <c r="DI71" s="43" t="str">
        <f t="shared" si="8"/>
        <v/>
      </c>
      <c r="DJ71" s="43" t="str">
        <f t="shared" si="9"/>
        <v/>
      </c>
      <c r="DK71" s="43" t="e">
        <f t="shared" si="10"/>
        <v>#N/A</v>
      </c>
      <c r="DL71" s="43" t="e">
        <f t="shared" si="11"/>
        <v>#N/A</v>
      </c>
      <c r="DM71" s="43" t="e">
        <f t="shared" si="12"/>
        <v>#N/A</v>
      </c>
      <c r="DN71" s="43" t="e">
        <f t="shared" si="13"/>
        <v>#N/A</v>
      </c>
      <c r="DO71" s="43" t="e">
        <f t="shared" si="14"/>
        <v>#N/A</v>
      </c>
      <c r="DP71" s="43" t="e">
        <f t="shared" si="15"/>
        <v>#N/A</v>
      </c>
      <c r="DQ71" s="43" t="e">
        <f t="shared" si="16"/>
        <v>#N/A</v>
      </c>
      <c r="DR71" s="43" t="e">
        <f t="shared" si="17"/>
        <v>#N/A</v>
      </c>
      <c r="DS71" s="43">
        <f t="shared" si="18"/>
        <v>0</v>
      </c>
      <c r="DT71" s="43">
        <v>61</v>
      </c>
      <c r="DU71" s="43">
        <f t="shared" si="32"/>
        <v>9.2999999999999829</v>
      </c>
      <c r="DV71" s="43">
        <f t="shared" si="19"/>
        <v>11.470227429359049</v>
      </c>
      <c r="DW71" s="43">
        <f t="shared" si="20"/>
        <v>0.48738700646354133</v>
      </c>
      <c r="DX71" s="43" t="e">
        <f t="shared" si="21"/>
        <v>#N/A</v>
      </c>
      <c r="DY71" s="50" t="e">
        <f t="shared" si="22"/>
        <v>#N/A</v>
      </c>
      <c r="DZ71" s="50" t="str">
        <f t="shared" si="23"/>
        <v/>
      </c>
      <c r="EA71" s="50">
        <f t="shared" si="24"/>
        <v>1.4546864266664212</v>
      </c>
      <c r="EB71" s="43" t="e">
        <f t="shared" si="25"/>
        <v>#N/A</v>
      </c>
      <c r="EC71" s="50" t="e">
        <f t="shared" si="26"/>
        <v>#N/A</v>
      </c>
      <c r="ED71" s="50" t="str">
        <f t="shared" si="27"/>
        <v/>
      </c>
    </row>
    <row r="72" spans="1:134" ht="12" customHeight="1">
      <c r="A72" s="640">
        <v>60</v>
      </c>
      <c r="B72" s="994"/>
      <c r="C72" s="995"/>
      <c r="D72" s="1026"/>
      <c r="E72" s="884"/>
      <c r="F72" s="1027" t="str">
        <f t="shared" si="29"/>
        <v/>
      </c>
      <c r="G72" s="1028" t="str">
        <f t="shared" si="30"/>
        <v/>
      </c>
      <c r="H72" s="886"/>
      <c r="I72" s="458" t="str">
        <f t="shared" si="31"/>
        <v/>
      </c>
      <c r="J72" s="886"/>
      <c r="BA72" s="983">
        <v>66</v>
      </c>
      <c r="BB72" s="994"/>
      <c r="BC72" s="995"/>
      <c r="BD72" s="986"/>
      <c r="BF72" s="983">
        <v>66</v>
      </c>
      <c r="BG72" s="994"/>
      <c r="BH72" s="995"/>
      <c r="BI72" s="986"/>
      <c r="BK72" s="983">
        <v>66</v>
      </c>
      <c r="BL72" s="994"/>
      <c r="BM72" s="995"/>
      <c r="BN72" s="986"/>
      <c r="BP72" s="983">
        <v>66</v>
      </c>
      <c r="BQ72" s="994">
        <v>4.4285714285714288</v>
      </c>
      <c r="BR72" s="995">
        <v>5.6</v>
      </c>
      <c r="BS72" s="986"/>
      <c r="BU72" s="983">
        <v>66</v>
      </c>
      <c r="BV72" s="996"/>
      <c r="BW72" s="997"/>
      <c r="BX72" s="986"/>
      <c r="BZ72" s="983">
        <v>66</v>
      </c>
      <c r="CA72" s="996"/>
      <c r="CB72" s="997"/>
      <c r="CC72" s="986"/>
      <c r="DF72" s="43" t="b">
        <f t="shared" si="5"/>
        <v>0</v>
      </c>
      <c r="DG72" s="43" t="str">
        <f t="shared" si="6"/>
        <v/>
      </c>
      <c r="DH72" s="43" t="str">
        <f t="shared" si="7"/>
        <v/>
      </c>
      <c r="DI72" s="43" t="str">
        <f t="shared" si="8"/>
        <v/>
      </c>
      <c r="DJ72" s="43" t="str">
        <f t="shared" si="9"/>
        <v/>
      </c>
      <c r="DK72" s="43" t="e">
        <f t="shared" si="10"/>
        <v>#N/A</v>
      </c>
      <c r="DL72" s="43" t="e">
        <f t="shared" si="11"/>
        <v>#N/A</v>
      </c>
      <c r="DM72" s="43" t="e">
        <f t="shared" si="12"/>
        <v>#N/A</v>
      </c>
      <c r="DN72" s="43" t="e">
        <f t="shared" si="13"/>
        <v>#N/A</v>
      </c>
      <c r="DO72" s="43" t="e">
        <f t="shared" si="14"/>
        <v>#N/A</v>
      </c>
      <c r="DP72" s="43" t="e">
        <f t="shared" si="15"/>
        <v>#N/A</v>
      </c>
      <c r="DQ72" s="43" t="e">
        <f t="shared" si="16"/>
        <v>#N/A</v>
      </c>
      <c r="DR72" s="43" t="e">
        <f t="shared" si="17"/>
        <v>#N/A</v>
      </c>
      <c r="DS72" s="43">
        <f t="shared" si="18"/>
        <v>0</v>
      </c>
      <c r="DT72" s="43">
        <v>62</v>
      </c>
      <c r="DU72" s="43">
        <f t="shared" si="32"/>
        <v>9.3549999999999827</v>
      </c>
      <c r="DV72" s="43">
        <f t="shared" si="19"/>
        <v>11.513097863542372</v>
      </c>
      <c r="DW72" s="43">
        <f t="shared" si="20"/>
        <v>0.48341592290826946</v>
      </c>
      <c r="DX72" s="43" t="e">
        <f t="shared" si="21"/>
        <v>#N/A</v>
      </c>
      <c r="DY72" s="50" t="e">
        <f t="shared" si="22"/>
        <v>#N/A</v>
      </c>
      <c r="DZ72" s="50" t="str">
        <f t="shared" si="23"/>
        <v/>
      </c>
      <c r="EA72" s="50">
        <f t="shared" si="24"/>
        <v>1.4533607468138403</v>
      </c>
      <c r="EB72" s="43" t="e">
        <f t="shared" si="25"/>
        <v>#N/A</v>
      </c>
      <c r="EC72" s="50" t="e">
        <f t="shared" si="26"/>
        <v>#N/A</v>
      </c>
      <c r="ED72" s="50" t="str">
        <f t="shared" si="27"/>
        <v/>
      </c>
    </row>
    <row r="73" spans="1:134" ht="12" customHeight="1">
      <c r="A73" s="640">
        <v>61</v>
      </c>
      <c r="B73" s="994"/>
      <c r="C73" s="995"/>
      <c r="D73" s="1026"/>
      <c r="E73" s="884"/>
      <c r="F73" s="1027" t="str">
        <f t="shared" si="29"/>
        <v/>
      </c>
      <c r="G73" s="1028" t="str">
        <f t="shared" si="30"/>
        <v/>
      </c>
      <c r="H73" s="886"/>
      <c r="I73" s="458" t="str">
        <f t="shared" si="31"/>
        <v/>
      </c>
      <c r="J73" s="886"/>
      <c r="BA73" s="983">
        <v>67</v>
      </c>
      <c r="BB73" s="994"/>
      <c r="BC73" s="995"/>
      <c r="BD73" s="986"/>
      <c r="BF73" s="983">
        <v>67</v>
      </c>
      <c r="BG73" s="994"/>
      <c r="BH73" s="995"/>
      <c r="BI73" s="986"/>
      <c r="BK73" s="983">
        <v>67</v>
      </c>
      <c r="BL73" s="994"/>
      <c r="BM73" s="995"/>
      <c r="BN73" s="986"/>
      <c r="BP73" s="983">
        <v>67</v>
      </c>
      <c r="BQ73" s="994">
        <v>5</v>
      </c>
      <c r="BR73" s="995">
        <v>5.6</v>
      </c>
      <c r="BS73" s="986"/>
      <c r="BU73" s="983">
        <v>67</v>
      </c>
      <c r="BV73" s="996"/>
      <c r="BW73" s="997"/>
      <c r="BX73" s="986"/>
      <c r="BZ73" s="983">
        <v>67</v>
      </c>
      <c r="CA73" s="996"/>
      <c r="CB73" s="997"/>
      <c r="CC73" s="986"/>
      <c r="DF73" s="43" t="b">
        <f t="shared" si="5"/>
        <v>0</v>
      </c>
      <c r="DG73" s="43" t="str">
        <f t="shared" si="6"/>
        <v/>
      </c>
      <c r="DH73" s="43" t="str">
        <f t="shared" si="7"/>
        <v/>
      </c>
      <c r="DI73" s="43" t="str">
        <f t="shared" si="8"/>
        <v/>
      </c>
      <c r="DJ73" s="43" t="str">
        <f t="shared" si="9"/>
        <v/>
      </c>
      <c r="DK73" s="43" t="e">
        <f t="shared" si="10"/>
        <v>#N/A</v>
      </c>
      <c r="DL73" s="43" t="e">
        <f t="shared" si="11"/>
        <v>#N/A</v>
      </c>
      <c r="DM73" s="43" t="e">
        <f t="shared" si="12"/>
        <v>#N/A</v>
      </c>
      <c r="DN73" s="43" t="e">
        <f t="shared" si="13"/>
        <v>#N/A</v>
      </c>
      <c r="DO73" s="43" t="e">
        <f t="shared" si="14"/>
        <v>#N/A</v>
      </c>
      <c r="DP73" s="43" t="e">
        <f t="shared" si="15"/>
        <v>#N/A</v>
      </c>
      <c r="DQ73" s="43" t="e">
        <f t="shared" si="16"/>
        <v>#N/A</v>
      </c>
      <c r="DR73" s="43" t="e">
        <f t="shared" si="17"/>
        <v>#N/A</v>
      </c>
      <c r="DS73" s="43">
        <f t="shared" si="18"/>
        <v>0</v>
      </c>
      <c r="DT73" s="43">
        <v>63</v>
      </c>
      <c r="DU73" s="43">
        <f t="shared" si="32"/>
        <v>9.4099999999999824</v>
      </c>
      <c r="DV73" s="43">
        <f t="shared" si="19"/>
        <v>11.555968297725695</v>
      </c>
      <c r="DW73" s="43">
        <f t="shared" si="20"/>
        <v>0.4795099665615099</v>
      </c>
      <c r="DX73" s="43" t="e">
        <f t="shared" si="21"/>
        <v>#N/A</v>
      </c>
      <c r="DY73" s="50" t="e">
        <f t="shared" si="22"/>
        <v>#N/A</v>
      </c>
      <c r="DZ73" s="50" t="str">
        <f t="shared" si="23"/>
        <v/>
      </c>
      <c r="EA73" s="50">
        <f t="shared" si="24"/>
        <v>1.4520662222811498</v>
      </c>
      <c r="EB73" s="43" t="e">
        <f t="shared" si="25"/>
        <v>#N/A</v>
      </c>
      <c r="EC73" s="50" t="e">
        <f t="shared" si="26"/>
        <v>#N/A</v>
      </c>
      <c r="ED73" s="50" t="str">
        <f t="shared" si="27"/>
        <v/>
      </c>
    </row>
    <row r="74" spans="1:134" ht="12" customHeight="1">
      <c r="A74" s="669">
        <v>62</v>
      </c>
      <c r="B74" s="994"/>
      <c r="C74" s="995"/>
      <c r="D74" s="1026"/>
      <c r="E74" s="884"/>
      <c r="F74" s="1027" t="str">
        <f t="shared" si="29"/>
        <v/>
      </c>
      <c r="G74" s="1028" t="str">
        <f t="shared" si="30"/>
        <v/>
      </c>
      <c r="H74" s="886"/>
      <c r="I74" s="458" t="str">
        <f t="shared" si="31"/>
        <v/>
      </c>
      <c r="J74" s="886"/>
      <c r="BA74" s="1034">
        <v>68</v>
      </c>
      <c r="BB74" s="994"/>
      <c r="BC74" s="995"/>
      <c r="BD74" s="986"/>
      <c r="BF74" s="1034">
        <v>68</v>
      </c>
      <c r="BG74" s="994"/>
      <c r="BH74" s="995"/>
      <c r="BI74" s="986"/>
      <c r="BK74" s="1034">
        <v>68</v>
      </c>
      <c r="BL74" s="994"/>
      <c r="BM74" s="995"/>
      <c r="BN74" s="986"/>
      <c r="BP74" s="1034">
        <v>68</v>
      </c>
      <c r="BQ74" s="994">
        <v>3</v>
      </c>
      <c r="BR74" s="995">
        <v>5.7</v>
      </c>
      <c r="BS74" s="986"/>
      <c r="BU74" s="1034">
        <v>68</v>
      </c>
      <c r="BV74" s="996"/>
      <c r="BW74" s="997"/>
      <c r="BX74" s="986"/>
      <c r="BZ74" s="1034">
        <v>68</v>
      </c>
      <c r="CA74" s="996"/>
      <c r="CB74" s="997"/>
      <c r="CC74" s="986"/>
      <c r="DF74" s="43" t="b">
        <f t="shared" si="5"/>
        <v>0</v>
      </c>
      <c r="DG74" s="43" t="str">
        <f t="shared" si="6"/>
        <v/>
      </c>
      <c r="DH74" s="43" t="str">
        <f t="shared" si="7"/>
        <v/>
      </c>
      <c r="DI74" s="43" t="str">
        <f t="shared" si="8"/>
        <v/>
      </c>
      <c r="DJ74" s="43" t="str">
        <f t="shared" si="9"/>
        <v/>
      </c>
      <c r="DK74" s="43" t="e">
        <f t="shared" si="10"/>
        <v>#N/A</v>
      </c>
      <c r="DL74" s="43" t="e">
        <f t="shared" si="11"/>
        <v>#N/A</v>
      </c>
      <c r="DM74" s="43" t="e">
        <f t="shared" si="12"/>
        <v>#N/A</v>
      </c>
      <c r="DN74" s="43" t="e">
        <f t="shared" si="13"/>
        <v>#N/A</v>
      </c>
      <c r="DO74" s="43" t="e">
        <f t="shared" si="14"/>
        <v>#N/A</v>
      </c>
      <c r="DP74" s="43" t="e">
        <f t="shared" si="15"/>
        <v>#N/A</v>
      </c>
      <c r="DQ74" s="43" t="e">
        <f t="shared" si="16"/>
        <v>#N/A</v>
      </c>
      <c r="DR74" s="43" t="e">
        <f t="shared" si="17"/>
        <v>#N/A</v>
      </c>
      <c r="DS74" s="43">
        <f t="shared" si="18"/>
        <v>0</v>
      </c>
      <c r="DT74" s="43">
        <v>64</v>
      </c>
      <c r="DU74" s="43">
        <f t="shared" si="32"/>
        <v>9.4649999999999821</v>
      </c>
      <c r="DV74" s="43">
        <f t="shared" si="19"/>
        <v>11.598838731909016</v>
      </c>
      <c r="DW74" s="43">
        <f t="shared" si="20"/>
        <v>0.47567074179645652</v>
      </c>
      <c r="DX74" s="43" t="e">
        <f t="shared" si="21"/>
        <v>#N/A</v>
      </c>
      <c r="DY74" s="50" t="e">
        <f t="shared" si="22"/>
        <v>#N/A</v>
      </c>
      <c r="DZ74" s="50" t="str">
        <f t="shared" si="23"/>
        <v/>
      </c>
      <c r="EA74" s="50">
        <f t="shared" si="24"/>
        <v>1.4508029364662935</v>
      </c>
      <c r="EB74" s="43" t="e">
        <f t="shared" si="25"/>
        <v>#N/A</v>
      </c>
      <c r="EC74" s="50" t="e">
        <f t="shared" si="26"/>
        <v>#N/A</v>
      </c>
      <c r="ED74" s="50" t="str">
        <f t="shared" si="27"/>
        <v/>
      </c>
    </row>
    <row r="75" spans="1:134" ht="12" customHeight="1">
      <c r="A75" s="640">
        <v>63</v>
      </c>
      <c r="B75" s="994"/>
      <c r="C75" s="995"/>
      <c r="D75" s="1026"/>
      <c r="E75" s="884"/>
      <c r="F75" s="1027" t="str">
        <f t="shared" si="29"/>
        <v/>
      </c>
      <c r="G75" s="1028" t="str">
        <f t="shared" si="30"/>
        <v/>
      </c>
      <c r="H75" s="886"/>
      <c r="I75" s="458" t="str">
        <f t="shared" si="31"/>
        <v/>
      </c>
      <c r="J75" s="886"/>
      <c r="BA75" s="983">
        <v>69</v>
      </c>
      <c r="BB75" s="994"/>
      <c r="BC75" s="995"/>
      <c r="BD75" s="986"/>
      <c r="BF75" s="983">
        <v>69</v>
      </c>
      <c r="BG75" s="994"/>
      <c r="BH75" s="995"/>
      <c r="BI75" s="986"/>
      <c r="BK75" s="983">
        <v>69</v>
      </c>
      <c r="BL75" s="994"/>
      <c r="BM75" s="995"/>
      <c r="BN75" s="986"/>
      <c r="BP75" s="983">
        <v>69</v>
      </c>
      <c r="BQ75" s="994">
        <v>3.7142857142857144</v>
      </c>
      <c r="BR75" s="995">
        <v>5.7</v>
      </c>
      <c r="BS75" s="986"/>
      <c r="BU75" s="983">
        <v>69</v>
      </c>
      <c r="BV75" s="996"/>
      <c r="BW75" s="997"/>
      <c r="BX75" s="986"/>
      <c r="BZ75" s="983">
        <v>69</v>
      </c>
      <c r="CA75" s="996"/>
      <c r="CB75" s="997"/>
      <c r="CC75" s="986"/>
      <c r="DF75" s="43" t="b">
        <f t="shared" ref="DF75:DF138" si="33">IF(AND(ISNUMBER(B77),ISNUMBER(C77)),TRUE,FALSE)</f>
        <v>0</v>
      </c>
      <c r="DG75" s="43" t="str">
        <f t="shared" ref="DG75:DG138" si="34">IF(DF75,B77,"")</f>
        <v/>
      </c>
      <c r="DH75" s="43" t="str">
        <f t="shared" ref="DH75:DH138" si="35">IF(DF75,C77,"")</f>
        <v/>
      </c>
      <c r="DI75" s="43" t="str">
        <f t="shared" ref="DI75:DI138" si="36">IF(DF75,F77,"")</f>
        <v/>
      </c>
      <c r="DJ75" s="43" t="str">
        <f t="shared" ref="DJ75:DJ138" si="37">IF(DF75,G77,"")</f>
        <v/>
      </c>
      <c r="DK75" s="43" t="e">
        <f t="shared" ref="DK75:DK138" si="38">IF($DM$6,IF(AND(DF75,DI75&lt;&gt;""),DI75,NA()),NA())</f>
        <v>#N/A</v>
      </c>
      <c r="DL75" s="43" t="e">
        <f t="shared" ref="DL75:DL138" si="39">IF($DM$6,IF(AND(DF75,DJ75&lt;&gt;""),DJ75,NA()),NA())</f>
        <v>#N/A</v>
      </c>
      <c r="DM75" s="43" t="e">
        <f t="shared" ref="DM75:DM138" si="40">OR(DK75&lt;-forzoom,DK75&gt;forzoom,DL75&lt;-forzoom,DL75&gt;forzoom)</f>
        <v>#N/A</v>
      </c>
      <c r="DN75" s="43" t="e">
        <f t="shared" ref="DN75:DN138" si="41">IF(DM75,IF(ISNA(DK75),NA(),IF(DK75&lt;-forzoom,-forzoom,IF(DK75&gt;forzoom,forzoom,DK75))),NA())</f>
        <v>#N/A</v>
      </c>
      <c r="DO75" s="43" t="e">
        <f t="shared" ref="DO75:DO138" si="42">IF(ISNA(DL75),NA(),IF(DL75&lt;-forzoom,-forzoom,IF(DL75&gt;forzoom,forzoom,DL75)))</f>
        <v>#N/A</v>
      </c>
      <c r="DP75" s="43" t="e">
        <f t="shared" ref="DP75:DP138" si="43">IF(AND($DJ$7,DF75,$DO$1),B77,NA())</f>
        <v>#N/A</v>
      </c>
      <c r="DQ75" s="43" t="e">
        <f t="shared" ref="DQ75:DQ138" si="44">IF(AND($DJ$7,DF75,$DO$1),IF($DS$1,$C$9-($DD$20*$C$10/$B$10)*$B$9,$U$40)+IF($DS$1,$DD$20*$C$10/$B$10,$W$40)*DP75,NA())</f>
        <v>#N/A</v>
      </c>
      <c r="DR75" s="43" t="e">
        <f t="shared" ref="DR75:DR138" si="45">IF(AND(DF75,$DO$1),C77-DQ75,NA())</f>
        <v>#N/A</v>
      </c>
      <c r="DS75" s="43">
        <f t="shared" ref="DS75:DS138" si="46">IF(ISNA(DR75),0,DR75^2)</f>
        <v>0</v>
      </c>
      <c r="DT75" s="43">
        <v>65</v>
      </c>
      <c r="DU75" s="43">
        <f t="shared" si="32"/>
        <v>9.5199999999999818</v>
      </c>
      <c r="DV75" s="43">
        <f t="shared" ref="DV75:DV138" si="47">$U$40+$W$40*DU75</f>
        <v>11.641709166092337</v>
      </c>
      <c r="DW75" s="43">
        <f t="shared" ref="DW75:DW138" si="48">$DU$7*SQRT((1/$C$7)+((DU75-$B$9)^2)/(($C$7-1)*$B$10^2))</f>
        <v>0.47189987733561295</v>
      </c>
      <c r="DX75" s="43" t="e">
        <f t="shared" ref="DX75:DX138" si="49">IF(AND($DJ$7,$DU$1),DV75-$DU$6*DW75,NA())</f>
        <v>#N/A</v>
      </c>
      <c r="DY75" s="50" t="e">
        <f t="shared" ref="DY75:DY138" si="50">IF(AND($DJ$7,$DU$1),DV75+$DU$6*DW75,NA())</f>
        <v>#N/A</v>
      </c>
      <c r="DZ75" s="50" t="str">
        <f t="shared" ref="DZ75:DZ138" si="51">IF(ISNA(DX75),"",DX75)</f>
        <v/>
      </c>
      <c r="EA75" s="50">
        <f t="shared" ref="EA75:EA138" si="52">$DU$7*SQRT(1+(1/$C$7)+((DU75-$B$9)^2)/(($C$7-1)*$B$10^2))</f>
        <v>1.4495709710419136</v>
      </c>
      <c r="EB75" s="43" t="e">
        <f t="shared" ref="EB75:EB138" si="53">IF(AND($DJ$7,$DW$1),DV75-$DU$6*EA75,NA())</f>
        <v>#N/A</v>
      </c>
      <c r="EC75" s="50" t="e">
        <f t="shared" ref="EC75:EC138" si="54">IF(AND($DJ$7,$DW$1),DV75+$DU$6*EA75,NA())</f>
        <v>#N/A</v>
      </c>
      <c r="ED75" s="50" t="str">
        <f t="shared" ref="ED75:ED138" si="55">IF(ISNA(EB75),"",EB75)</f>
        <v/>
      </c>
    </row>
    <row r="76" spans="1:134" ht="12" customHeight="1">
      <c r="A76" s="640">
        <v>64</v>
      </c>
      <c r="B76" s="994"/>
      <c r="C76" s="995"/>
      <c r="D76" s="1026"/>
      <c r="E76" s="884"/>
      <c r="F76" s="1027" t="str">
        <f t="shared" si="29"/>
        <v/>
      </c>
      <c r="G76" s="1028" t="str">
        <f t="shared" si="30"/>
        <v/>
      </c>
      <c r="H76" s="886"/>
      <c r="I76" s="458" t="str">
        <f t="shared" si="31"/>
        <v/>
      </c>
      <c r="J76" s="886"/>
      <c r="BA76" s="983">
        <v>70</v>
      </c>
      <c r="BB76" s="994"/>
      <c r="BC76" s="995"/>
      <c r="BD76" s="986"/>
      <c r="BF76" s="983">
        <v>70</v>
      </c>
      <c r="BG76" s="994"/>
      <c r="BH76" s="995"/>
      <c r="BI76" s="986"/>
      <c r="BK76" s="983">
        <v>70</v>
      </c>
      <c r="BL76" s="994"/>
      <c r="BM76" s="995"/>
      <c r="BN76" s="986"/>
      <c r="BP76" s="983">
        <v>70</v>
      </c>
      <c r="BQ76" s="994">
        <v>4</v>
      </c>
      <c r="BR76" s="995">
        <v>5.75</v>
      </c>
      <c r="BS76" s="986"/>
      <c r="BU76" s="983">
        <v>70</v>
      </c>
      <c r="BV76" s="996"/>
      <c r="BW76" s="997"/>
      <c r="BX76" s="986"/>
      <c r="BZ76" s="983">
        <v>70</v>
      </c>
      <c r="CA76" s="996"/>
      <c r="CB76" s="997"/>
      <c r="CC76" s="986"/>
      <c r="DF76" s="43" t="b">
        <f t="shared" si="33"/>
        <v>0</v>
      </c>
      <c r="DG76" s="43" t="str">
        <f t="shared" si="34"/>
        <v/>
      </c>
      <c r="DH76" s="43" t="str">
        <f t="shared" si="35"/>
        <v/>
      </c>
      <c r="DI76" s="43" t="str">
        <f t="shared" si="36"/>
        <v/>
      </c>
      <c r="DJ76" s="43" t="str">
        <f t="shared" si="37"/>
        <v/>
      </c>
      <c r="DK76" s="43" t="e">
        <f t="shared" si="38"/>
        <v>#N/A</v>
      </c>
      <c r="DL76" s="43" t="e">
        <f t="shared" si="39"/>
        <v>#N/A</v>
      </c>
      <c r="DM76" s="43" t="e">
        <f t="shared" si="40"/>
        <v>#N/A</v>
      </c>
      <c r="DN76" s="43" t="e">
        <f t="shared" si="41"/>
        <v>#N/A</v>
      </c>
      <c r="DO76" s="43" t="e">
        <f t="shared" si="42"/>
        <v>#N/A</v>
      </c>
      <c r="DP76" s="43" t="e">
        <f t="shared" si="43"/>
        <v>#N/A</v>
      </c>
      <c r="DQ76" s="43" t="e">
        <f t="shared" si="44"/>
        <v>#N/A</v>
      </c>
      <c r="DR76" s="43" t="e">
        <f t="shared" si="45"/>
        <v>#N/A</v>
      </c>
      <c r="DS76" s="43">
        <f t="shared" si="46"/>
        <v>0</v>
      </c>
      <c r="DT76" s="43">
        <v>66</v>
      </c>
      <c r="DU76" s="43">
        <f t="shared" ref="DU76:DU107" si="56">DU75+$DU$5</f>
        <v>9.5749999999999815</v>
      </c>
      <c r="DV76" s="43">
        <f t="shared" si="47"/>
        <v>11.684579600275658</v>
      </c>
      <c r="DW76" s="43">
        <f t="shared" si="48"/>
        <v>0.46819902489896997</v>
      </c>
      <c r="DX76" s="43" t="e">
        <f t="shared" si="49"/>
        <v>#N/A</v>
      </c>
      <c r="DY76" s="50" t="e">
        <f t="shared" si="50"/>
        <v>#N/A</v>
      </c>
      <c r="DZ76" s="50" t="str">
        <f t="shared" si="51"/>
        <v/>
      </c>
      <c r="EA76" s="50">
        <f t="shared" si="52"/>
        <v>1.4483704059301874</v>
      </c>
      <c r="EB76" s="43" t="e">
        <f t="shared" si="53"/>
        <v>#N/A</v>
      </c>
      <c r="EC76" s="50" t="e">
        <f t="shared" si="54"/>
        <v>#N/A</v>
      </c>
      <c r="ED76" s="50" t="str">
        <f t="shared" si="55"/>
        <v/>
      </c>
    </row>
    <row r="77" spans="1:134" ht="12" customHeight="1">
      <c r="A77" s="669">
        <v>65</v>
      </c>
      <c r="B77" s="994"/>
      <c r="C77" s="995"/>
      <c r="D77" s="1026"/>
      <c r="E77" s="884"/>
      <c r="F77" s="1027" t="str">
        <f t="shared" ref="F77:F140" si="57">IF(AND($DH$1,$B$10&lt;&gt;""),IF(OR(COUNT($DG$11:$DG$310)&lt;2,DG75=""),"",(DG75-$B$9)/$B$10),"")</f>
        <v/>
      </c>
      <c r="G77" s="1028" t="str">
        <f t="shared" ref="G77:G140" si="58">IF(AND($DH$1,$C$10&lt;&gt;""),IF(OR(COUNT($DH$11:$DH$310)&lt;2,DH75=""),"",(DH75-$C$9)/$C$10),"")</f>
        <v/>
      </c>
      <c r="H77" s="886"/>
      <c r="I77" s="458" t="str">
        <f t="shared" ref="I77:I140" si="59">IF(AND(F77&lt;&gt;"",G77&lt;&gt;""),F77*G77,"")</f>
        <v/>
      </c>
      <c r="J77" s="886"/>
      <c r="BA77" s="1034">
        <v>71</v>
      </c>
      <c r="BB77" s="994"/>
      <c r="BC77" s="995"/>
      <c r="BD77" s="986"/>
      <c r="BF77" s="1034">
        <v>71</v>
      </c>
      <c r="BG77" s="994"/>
      <c r="BH77" s="995"/>
      <c r="BI77" s="986"/>
      <c r="BK77" s="1034">
        <v>71</v>
      </c>
      <c r="BL77" s="994"/>
      <c r="BM77" s="995"/>
      <c r="BN77" s="986"/>
      <c r="BP77" s="1034">
        <v>71</v>
      </c>
      <c r="BQ77" s="994">
        <v>3</v>
      </c>
      <c r="BR77" s="995">
        <v>5.8</v>
      </c>
      <c r="BS77" s="986"/>
      <c r="BU77" s="1034">
        <v>71</v>
      </c>
      <c r="BV77" s="996"/>
      <c r="BW77" s="997"/>
      <c r="BX77" s="986"/>
      <c r="BZ77" s="1034">
        <v>71</v>
      </c>
      <c r="CA77" s="996"/>
      <c r="CB77" s="997"/>
      <c r="CC77" s="986"/>
      <c r="DF77" s="43" t="b">
        <f t="shared" si="33"/>
        <v>0</v>
      </c>
      <c r="DG77" s="43" t="str">
        <f t="shared" si="34"/>
        <v/>
      </c>
      <c r="DH77" s="43" t="str">
        <f t="shared" si="35"/>
        <v/>
      </c>
      <c r="DI77" s="43" t="str">
        <f t="shared" si="36"/>
        <v/>
      </c>
      <c r="DJ77" s="43" t="str">
        <f t="shared" si="37"/>
        <v/>
      </c>
      <c r="DK77" s="43" t="e">
        <f t="shared" si="38"/>
        <v>#N/A</v>
      </c>
      <c r="DL77" s="43" t="e">
        <f t="shared" si="39"/>
        <v>#N/A</v>
      </c>
      <c r="DM77" s="43" t="e">
        <f t="shared" si="40"/>
        <v>#N/A</v>
      </c>
      <c r="DN77" s="43" t="e">
        <f t="shared" si="41"/>
        <v>#N/A</v>
      </c>
      <c r="DO77" s="43" t="e">
        <f t="shared" si="42"/>
        <v>#N/A</v>
      </c>
      <c r="DP77" s="43" t="e">
        <f t="shared" si="43"/>
        <v>#N/A</v>
      </c>
      <c r="DQ77" s="43" t="e">
        <f t="shared" si="44"/>
        <v>#N/A</v>
      </c>
      <c r="DR77" s="43" t="e">
        <f t="shared" si="45"/>
        <v>#N/A</v>
      </c>
      <c r="DS77" s="43">
        <f t="shared" si="46"/>
        <v>0</v>
      </c>
      <c r="DT77" s="43">
        <v>67</v>
      </c>
      <c r="DU77" s="43">
        <f t="shared" si="56"/>
        <v>9.6299999999999812</v>
      </c>
      <c r="DV77" s="43">
        <f t="shared" si="47"/>
        <v>11.727450034458979</v>
      </c>
      <c r="DW77" s="43">
        <f t="shared" si="48"/>
        <v>0.4645698576771104</v>
      </c>
      <c r="DX77" s="43" t="e">
        <f t="shared" si="49"/>
        <v>#N/A</v>
      </c>
      <c r="DY77" s="50" t="e">
        <f t="shared" si="50"/>
        <v>#N/A</v>
      </c>
      <c r="DZ77" s="50" t="str">
        <f t="shared" si="51"/>
        <v/>
      </c>
      <c r="EA77" s="50">
        <f t="shared" si="52"/>
        <v>1.4472013192780608</v>
      </c>
      <c r="EB77" s="43" t="e">
        <f t="shared" si="53"/>
        <v>#N/A</v>
      </c>
      <c r="EC77" s="50" t="e">
        <f t="shared" si="54"/>
        <v>#N/A</v>
      </c>
      <c r="ED77" s="50" t="str">
        <f t="shared" si="55"/>
        <v/>
      </c>
    </row>
    <row r="78" spans="1:134" ht="12" customHeight="1">
      <c r="A78" s="640">
        <v>66</v>
      </c>
      <c r="B78" s="994"/>
      <c r="C78" s="995"/>
      <c r="D78" s="1026"/>
      <c r="E78" s="884"/>
      <c r="F78" s="1027" t="str">
        <f t="shared" si="57"/>
        <v/>
      </c>
      <c r="G78" s="1028" t="str">
        <f t="shared" si="58"/>
        <v/>
      </c>
      <c r="H78" s="886"/>
      <c r="I78" s="458" t="str">
        <f t="shared" si="59"/>
        <v/>
      </c>
      <c r="J78" s="886"/>
      <c r="BA78" s="983">
        <v>72</v>
      </c>
      <c r="BB78" s="994"/>
      <c r="BC78" s="995"/>
      <c r="BD78" s="986"/>
      <c r="BF78" s="983">
        <v>72</v>
      </c>
      <c r="BG78" s="994"/>
      <c r="BH78" s="995"/>
      <c r="BI78" s="986"/>
      <c r="BK78" s="983">
        <v>72</v>
      </c>
      <c r="BL78" s="994"/>
      <c r="BM78" s="995"/>
      <c r="BN78" s="986"/>
      <c r="BP78" s="983">
        <v>72</v>
      </c>
      <c r="BQ78" s="994">
        <v>3.3333333333333335</v>
      </c>
      <c r="BR78" s="995">
        <v>5.8</v>
      </c>
      <c r="BS78" s="986"/>
      <c r="BU78" s="983">
        <v>72</v>
      </c>
      <c r="BV78" s="996"/>
      <c r="BW78" s="997"/>
      <c r="BX78" s="986"/>
      <c r="BZ78" s="983">
        <v>72</v>
      </c>
      <c r="CA78" s="996"/>
      <c r="CB78" s="997"/>
      <c r="CC78" s="986"/>
      <c r="DF78" s="43" t="b">
        <f t="shared" si="33"/>
        <v>0</v>
      </c>
      <c r="DG78" s="43" t="str">
        <f t="shared" si="34"/>
        <v/>
      </c>
      <c r="DH78" s="43" t="str">
        <f t="shared" si="35"/>
        <v/>
      </c>
      <c r="DI78" s="43" t="str">
        <f t="shared" si="36"/>
        <v/>
      </c>
      <c r="DJ78" s="43" t="str">
        <f t="shared" si="37"/>
        <v/>
      </c>
      <c r="DK78" s="43" t="e">
        <f t="shared" si="38"/>
        <v>#N/A</v>
      </c>
      <c r="DL78" s="43" t="e">
        <f t="shared" si="39"/>
        <v>#N/A</v>
      </c>
      <c r="DM78" s="43" t="e">
        <f t="shared" si="40"/>
        <v>#N/A</v>
      </c>
      <c r="DN78" s="43" t="e">
        <f t="shared" si="41"/>
        <v>#N/A</v>
      </c>
      <c r="DO78" s="43" t="e">
        <f t="shared" si="42"/>
        <v>#N/A</v>
      </c>
      <c r="DP78" s="43" t="e">
        <f t="shared" si="43"/>
        <v>#N/A</v>
      </c>
      <c r="DQ78" s="43" t="e">
        <f t="shared" si="44"/>
        <v>#N/A</v>
      </c>
      <c r="DR78" s="43" t="e">
        <f t="shared" si="45"/>
        <v>#N/A</v>
      </c>
      <c r="DS78" s="43">
        <f t="shared" si="46"/>
        <v>0</v>
      </c>
      <c r="DT78" s="43">
        <v>68</v>
      </c>
      <c r="DU78" s="43">
        <f t="shared" si="56"/>
        <v>9.684999999999981</v>
      </c>
      <c r="DV78" s="43">
        <f t="shared" si="47"/>
        <v>11.770320468642302</v>
      </c>
      <c r="DW78" s="43">
        <f t="shared" si="48"/>
        <v>0.46101406862125083</v>
      </c>
      <c r="DX78" s="43" t="e">
        <f t="shared" si="49"/>
        <v>#N/A</v>
      </c>
      <c r="DY78" s="50" t="e">
        <f t="shared" si="50"/>
        <v>#N/A</v>
      </c>
      <c r="DZ78" s="50" t="str">
        <f t="shared" si="51"/>
        <v/>
      </c>
      <c r="EA78" s="50">
        <f t="shared" si="52"/>
        <v>1.4460637874328881</v>
      </c>
      <c r="EB78" s="43" t="e">
        <f t="shared" si="53"/>
        <v>#N/A</v>
      </c>
      <c r="EC78" s="50" t="e">
        <f t="shared" si="54"/>
        <v>#N/A</v>
      </c>
      <c r="ED78" s="50" t="str">
        <f t="shared" si="55"/>
        <v/>
      </c>
    </row>
    <row r="79" spans="1:134" ht="12" customHeight="1">
      <c r="A79" s="640">
        <v>67</v>
      </c>
      <c r="B79" s="994"/>
      <c r="C79" s="995"/>
      <c r="D79" s="1026"/>
      <c r="E79" s="884"/>
      <c r="F79" s="1027" t="str">
        <f t="shared" si="57"/>
        <v/>
      </c>
      <c r="G79" s="1028" t="str">
        <f t="shared" si="58"/>
        <v/>
      </c>
      <c r="H79" s="886"/>
      <c r="I79" s="458" t="str">
        <f t="shared" si="59"/>
        <v/>
      </c>
      <c r="J79" s="886"/>
      <c r="BA79" s="983">
        <v>73</v>
      </c>
      <c r="BB79" s="994"/>
      <c r="BC79" s="995"/>
      <c r="BD79" s="986"/>
      <c r="BF79" s="983">
        <v>73</v>
      </c>
      <c r="BG79" s="994"/>
      <c r="BH79" s="995"/>
      <c r="BI79" s="986"/>
      <c r="BK79" s="983">
        <v>73</v>
      </c>
      <c r="BL79" s="994"/>
      <c r="BM79" s="995"/>
      <c r="BN79" s="986"/>
      <c r="BP79" s="983">
        <v>73</v>
      </c>
      <c r="BQ79" s="994">
        <v>3.8571428571428572</v>
      </c>
      <c r="BR79" s="995">
        <v>5.8</v>
      </c>
      <c r="BS79" s="986"/>
      <c r="BU79" s="983">
        <v>73</v>
      </c>
      <c r="BV79" s="996"/>
      <c r="BW79" s="997"/>
      <c r="BX79" s="986"/>
      <c r="BZ79" s="983">
        <v>73</v>
      </c>
      <c r="CA79" s="996"/>
      <c r="CB79" s="997"/>
      <c r="CC79" s="986"/>
      <c r="DF79" s="43" t="b">
        <f t="shared" si="33"/>
        <v>0</v>
      </c>
      <c r="DG79" s="43" t="str">
        <f t="shared" si="34"/>
        <v/>
      </c>
      <c r="DH79" s="43" t="str">
        <f t="shared" si="35"/>
        <v/>
      </c>
      <c r="DI79" s="43" t="str">
        <f t="shared" si="36"/>
        <v/>
      </c>
      <c r="DJ79" s="43" t="str">
        <f t="shared" si="37"/>
        <v/>
      </c>
      <c r="DK79" s="43" t="e">
        <f t="shared" si="38"/>
        <v>#N/A</v>
      </c>
      <c r="DL79" s="43" t="e">
        <f t="shared" si="39"/>
        <v>#N/A</v>
      </c>
      <c r="DM79" s="43" t="e">
        <f t="shared" si="40"/>
        <v>#N/A</v>
      </c>
      <c r="DN79" s="43" t="e">
        <f t="shared" si="41"/>
        <v>#N/A</v>
      </c>
      <c r="DO79" s="43" t="e">
        <f t="shared" si="42"/>
        <v>#N/A</v>
      </c>
      <c r="DP79" s="43" t="e">
        <f t="shared" si="43"/>
        <v>#N/A</v>
      </c>
      <c r="DQ79" s="43" t="e">
        <f t="shared" si="44"/>
        <v>#N/A</v>
      </c>
      <c r="DR79" s="43" t="e">
        <f t="shared" si="45"/>
        <v>#N/A</v>
      </c>
      <c r="DS79" s="43">
        <f t="shared" si="46"/>
        <v>0</v>
      </c>
      <c r="DT79" s="43">
        <v>69</v>
      </c>
      <c r="DU79" s="43">
        <f t="shared" si="56"/>
        <v>9.7399999999999807</v>
      </c>
      <c r="DV79" s="43">
        <f t="shared" si="47"/>
        <v>11.813190902825623</v>
      </c>
      <c r="DW79" s="43">
        <f t="shared" si="48"/>
        <v>0.45753336854279009</v>
      </c>
      <c r="DX79" s="43" t="e">
        <f t="shared" si="49"/>
        <v>#N/A</v>
      </c>
      <c r="DY79" s="50" t="e">
        <f t="shared" si="50"/>
        <v>#N/A</v>
      </c>
      <c r="DZ79" s="50" t="str">
        <f t="shared" si="51"/>
        <v/>
      </c>
      <c r="EA79" s="50">
        <f t="shared" si="52"/>
        <v>1.444957884918499</v>
      </c>
      <c r="EB79" s="43" t="e">
        <f t="shared" si="53"/>
        <v>#N/A</v>
      </c>
      <c r="EC79" s="50" t="e">
        <f t="shared" si="54"/>
        <v>#N/A</v>
      </c>
      <c r="ED79" s="50" t="str">
        <f t="shared" si="55"/>
        <v/>
      </c>
    </row>
    <row r="80" spans="1:134" ht="12" customHeight="1">
      <c r="A80" s="669">
        <v>68</v>
      </c>
      <c r="B80" s="994"/>
      <c r="C80" s="995"/>
      <c r="D80" s="1026"/>
      <c r="E80" s="884"/>
      <c r="F80" s="1027" t="str">
        <f t="shared" si="57"/>
        <v/>
      </c>
      <c r="G80" s="1028" t="str">
        <f t="shared" si="58"/>
        <v/>
      </c>
      <c r="H80" s="886"/>
      <c r="I80" s="458" t="str">
        <f t="shared" si="59"/>
        <v/>
      </c>
      <c r="J80" s="886"/>
      <c r="BA80" s="1034">
        <v>74</v>
      </c>
      <c r="BB80" s="994"/>
      <c r="BC80" s="995"/>
      <c r="BD80" s="986"/>
      <c r="BF80" s="1034">
        <v>74</v>
      </c>
      <c r="BG80" s="994"/>
      <c r="BH80" s="995"/>
      <c r="BI80" s="986"/>
      <c r="BK80" s="1034">
        <v>74</v>
      </c>
      <c r="BL80" s="994"/>
      <c r="BM80" s="995"/>
      <c r="BN80" s="986"/>
      <c r="BP80" s="1034">
        <v>74</v>
      </c>
      <c r="BQ80" s="994">
        <v>4</v>
      </c>
      <c r="BR80" s="995">
        <v>5.8</v>
      </c>
      <c r="BS80" s="986"/>
      <c r="BU80" s="1034">
        <v>74</v>
      </c>
      <c r="BV80" s="996"/>
      <c r="BW80" s="997"/>
      <c r="BX80" s="986"/>
      <c r="BZ80" s="1034">
        <v>74</v>
      </c>
      <c r="CA80" s="996"/>
      <c r="CB80" s="997"/>
      <c r="CC80" s="986"/>
      <c r="DF80" s="43" t="b">
        <f t="shared" si="33"/>
        <v>0</v>
      </c>
      <c r="DG80" s="43" t="str">
        <f t="shared" si="34"/>
        <v/>
      </c>
      <c r="DH80" s="43" t="str">
        <f t="shared" si="35"/>
        <v/>
      </c>
      <c r="DI80" s="43" t="str">
        <f t="shared" si="36"/>
        <v/>
      </c>
      <c r="DJ80" s="43" t="str">
        <f t="shared" si="37"/>
        <v/>
      </c>
      <c r="DK80" s="43" t="e">
        <f t="shared" si="38"/>
        <v>#N/A</v>
      </c>
      <c r="DL80" s="43" t="e">
        <f t="shared" si="39"/>
        <v>#N/A</v>
      </c>
      <c r="DM80" s="43" t="e">
        <f t="shared" si="40"/>
        <v>#N/A</v>
      </c>
      <c r="DN80" s="43" t="e">
        <f t="shared" si="41"/>
        <v>#N/A</v>
      </c>
      <c r="DO80" s="43" t="e">
        <f t="shared" si="42"/>
        <v>#N/A</v>
      </c>
      <c r="DP80" s="43" t="e">
        <f t="shared" si="43"/>
        <v>#N/A</v>
      </c>
      <c r="DQ80" s="43" t="e">
        <f t="shared" si="44"/>
        <v>#N/A</v>
      </c>
      <c r="DR80" s="43" t="e">
        <f t="shared" si="45"/>
        <v>#N/A</v>
      </c>
      <c r="DS80" s="43">
        <f t="shared" si="46"/>
        <v>0</v>
      </c>
      <c r="DT80" s="43">
        <v>70</v>
      </c>
      <c r="DU80" s="43">
        <f t="shared" si="56"/>
        <v>9.7949999999999804</v>
      </c>
      <c r="DV80" s="43">
        <f t="shared" si="47"/>
        <v>11.856061337008946</v>
      </c>
      <c r="DW80" s="43">
        <f t="shared" si="48"/>
        <v>0.45412948401563874</v>
      </c>
      <c r="DX80" s="43" t="e">
        <f t="shared" si="49"/>
        <v>#N/A</v>
      </c>
      <c r="DY80" s="50" t="e">
        <f t="shared" si="50"/>
        <v>#N/A</v>
      </c>
      <c r="DZ80" s="50" t="str">
        <f t="shared" si="51"/>
        <v/>
      </c>
      <c r="EA80" s="50">
        <f t="shared" si="52"/>
        <v>1.4438836844117118</v>
      </c>
      <c r="EB80" s="43" t="e">
        <f t="shared" si="53"/>
        <v>#N/A</v>
      </c>
      <c r="EC80" s="50" t="e">
        <f t="shared" si="54"/>
        <v>#N/A</v>
      </c>
      <c r="ED80" s="50" t="str">
        <f t="shared" si="55"/>
        <v/>
      </c>
    </row>
    <row r="81" spans="1:134" ht="12" customHeight="1">
      <c r="A81" s="640">
        <v>69</v>
      </c>
      <c r="B81" s="994"/>
      <c r="C81" s="995"/>
      <c r="D81" s="1026"/>
      <c r="E81" s="884"/>
      <c r="F81" s="1027" t="str">
        <f t="shared" si="57"/>
        <v/>
      </c>
      <c r="G81" s="1028" t="str">
        <f t="shared" si="58"/>
        <v/>
      </c>
      <c r="H81" s="886"/>
      <c r="I81" s="458" t="str">
        <f t="shared" si="59"/>
        <v/>
      </c>
      <c r="J81" s="886"/>
      <c r="BA81" s="983">
        <v>75</v>
      </c>
      <c r="BB81" s="994"/>
      <c r="BC81" s="995"/>
      <c r="BD81" s="986"/>
      <c r="BF81" s="983">
        <v>75</v>
      </c>
      <c r="BG81" s="994"/>
      <c r="BH81" s="995"/>
      <c r="BI81" s="986"/>
      <c r="BK81" s="983">
        <v>75</v>
      </c>
      <c r="BL81" s="994"/>
      <c r="BM81" s="995"/>
      <c r="BN81" s="986"/>
      <c r="BP81" s="983">
        <v>75</v>
      </c>
      <c r="BQ81" s="994">
        <v>4.7142857142857144</v>
      </c>
      <c r="BR81" s="995">
        <v>5.8</v>
      </c>
      <c r="BS81" s="986"/>
      <c r="BU81" s="983">
        <v>75</v>
      </c>
      <c r="BV81" s="996"/>
      <c r="BW81" s="997"/>
      <c r="BX81" s="986"/>
      <c r="BZ81" s="983">
        <v>75</v>
      </c>
      <c r="CA81" s="996"/>
      <c r="CB81" s="997"/>
      <c r="CC81" s="986"/>
      <c r="DF81" s="43" t="b">
        <f t="shared" si="33"/>
        <v>0</v>
      </c>
      <c r="DG81" s="43" t="str">
        <f t="shared" si="34"/>
        <v/>
      </c>
      <c r="DH81" s="43" t="str">
        <f t="shared" si="35"/>
        <v/>
      </c>
      <c r="DI81" s="43" t="str">
        <f t="shared" si="36"/>
        <v/>
      </c>
      <c r="DJ81" s="43" t="str">
        <f t="shared" si="37"/>
        <v/>
      </c>
      <c r="DK81" s="43" t="e">
        <f t="shared" si="38"/>
        <v>#N/A</v>
      </c>
      <c r="DL81" s="43" t="e">
        <f t="shared" si="39"/>
        <v>#N/A</v>
      </c>
      <c r="DM81" s="43" t="e">
        <f t="shared" si="40"/>
        <v>#N/A</v>
      </c>
      <c r="DN81" s="43" t="e">
        <f t="shared" si="41"/>
        <v>#N/A</v>
      </c>
      <c r="DO81" s="43" t="e">
        <f t="shared" si="42"/>
        <v>#N/A</v>
      </c>
      <c r="DP81" s="43" t="e">
        <f t="shared" si="43"/>
        <v>#N/A</v>
      </c>
      <c r="DQ81" s="43" t="e">
        <f t="shared" si="44"/>
        <v>#N/A</v>
      </c>
      <c r="DR81" s="43" t="e">
        <f t="shared" si="45"/>
        <v>#N/A</v>
      </c>
      <c r="DS81" s="43">
        <f t="shared" si="46"/>
        <v>0</v>
      </c>
      <c r="DT81" s="43">
        <v>71</v>
      </c>
      <c r="DU81" s="43">
        <f t="shared" si="56"/>
        <v>9.8499999999999801</v>
      </c>
      <c r="DV81" s="43">
        <f t="shared" si="47"/>
        <v>11.898931771192267</v>
      </c>
      <c r="DW81" s="43">
        <f t="shared" si="48"/>
        <v>0.4508041550754745</v>
      </c>
      <c r="DX81" s="43" t="e">
        <f t="shared" si="49"/>
        <v>#N/A</v>
      </c>
      <c r="DY81" s="50" t="e">
        <f t="shared" si="50"/>
        <v>#N/A</v>
      </c>
      <c r="DZ81" s="50" t="str">
        <f t="shared" si="51"/>
        <v/>
      </c>
      <c r="EA81" s="50">
        <f t="shared" si="52"/>
        <v>1.4428412567193043</v>
      </c>
      <c r="EB81" s="43" t="e">
        <f t="shared" si="53"/>
        <v>#N/A</v>
      </c>
      <c r="EC81" s="50" t="e">
        <f t="shared" si="54"/>
        <v>#N/A</v>
      </c>
      <c r="ED81" s="50" t="str">
        <f t="shared" si="55"/>
        <v/>
      </c>
    </row>
    <row r="82" spans="1:134" ht="12" customHeight="1">
      <c r="A82" s="640">
        <v>70</v>
      </c>
      <c r="B82" s="994"/>
      <c r="C82" s="995"/>
      <c r="D82" s="1026"/>
      <c r="E82" s="884"/>
      <c r="F82" s="1027" t="str">
        <f t="shared" si="57"/>
        <v/>
      </c>
      <c r="G82" s="1028" t="str">
        <f t="shared" si="58"/>
        <v/>
      </c>
      <c r="H82" s="886"/>
      <c r="I82" s="458" t="str">
        <f t="shared" si="59"/>
        <v/>
      </c>
      <c r="J82" s="886"/>
      <c r="BA82" s="983">
        <v>76</v>
      </c>
      <c r="BB82" s="994"/>
      <c r="BC82" s="995"/>
      <c r="BD82" s="986"/>
      <c r="BF82" s="983">
        <v>76</v>
      </c>
      <c r="BG82" s="994"/>
      <c r="BH82" s="995"/>
      <c r="BI82" s="986"/>
      <c r="BK82" s="983">
        <v>76</v>
      </c>
      <c r="BL82" s="994"/>
      <c r="BM82" s="995"/>
      <c r="BN82" s="986"/>
      <c r="BP82" s="983">
        <v>76</v>
      </c>
      <c r="BQ82" s="994">
        <v>5</v>
      </c>
      <c r="BR82" s="995">
        <v>5.8</v>
      </c>
      <c r="BS82" s="986"/>
      <c r="BU82" s="983">
        <v>76</v>
      </c>
      <c r="BV82" s="996"/>
      <c r="BW82" s="997"/>
      <c r="BX82" s="986"/>
      <c r="BZ82" s="983">
        <v>76</v>
      </c>
      <c r="CA82" s="996"/>
      <c r="CB82" s="997"/>
      <c r="CC82" s="986"/>
      <c r="DF82" s="43" t="b">
        <f t="shared" si="33"/>
        <v>0</v>
      </c>
      <c r="DG82" s="43" t="str">
        <f t="shared" si="34"/>
        <v/>
      </c>
      <c r="DH82" s="43" t="str">
        <f t="shared" si="35"/>
        <v/>
      </c>
      <c r="DI82" s="43" t="str">
        <f t="shared" si="36"/>
        <v/>
      </c>
      <c r="DJ82" s="43" t="str">
        <f t="shared" si="37"/>
        <v/>
      </c>
      <c r="DK82" s="43" t="e">
        <f t="shared" si="38"/>
        <v>#N/A</v>
      </c>
      <c r="DL82" s="43" t="e">
        <f t="shared" si="39"/>
        <v>#N/A</v>
      </c>
      <c r="DM82" s="43" t="e">
        <f t="shared" si="40"/>
        <v>#N/A</v>
      </c>
      <c r="DN82" s="43" t="e">
        <f t="shared" si="41"/>
        <v>#N/A</v>
      </c>
      <c r="DO82" s="43" t="e">
        <f t="shared" si="42"/>
        <v>#N/A</v>
      </c>
      <c r="DP82" s="43" t="e">
        <f t="shared" si="43"/>
        <v>#N/A</v>
      </c>
      <c r="DQ82" s="43" t="e">
        <f t="shared" si="44"/>
        <v>#N/A</v>
      </c>
      <c r="DR82" s="43" t="e">
        <f t="shared" si="45"/>
        <v>#N/A</v>
      </c>
      <c r="DS82" s="43">
        <f t="shared" si="46"/>
        <v>0</v>
      </c>
      <c r="DT82" s="43">
        <v>72</v>
      </c>
      <c r="DU82" s="43">
        <f t="shared" si="56"/>
        <v>9.9049999999999798</v>
      </c>
      <c r="DV82" s="43">
        <f t="shared" si="47"/>
        <v>11.941802205375588</v>
      </c>
      <c r="DW82" s="43">
        <f t="shared" si="48"/>
        <v>0.44755913271110798</v>
      </c>
      <c r="DX82" s="43" t="e">
        <f t="shared" si="49"/>
        <v>#N/A</v>
      </c>
      <c r="DY82" s="50" t="e">
        <f t="shared" si="50"/>
        <v>#N/A</v>
      </c>
      <c r="DZ82" s="50" t="str">
        <f t="shared" si="51"/>
        <v/>
      </c>
      <c r="EA82" s="50">
        <f t="shared" si="52"/>
        <v>1.4418306707554629</v>
      </c>
      <c r="EB82" s="43" t="e">
        <f t="shared" si="53"/>
        <v>#N/A</v>
      </c>
      <c r="EC82" s="50" t="e">
        <f t="shared" si="54"/>
        <v>#N/A</v>
      </c>
      <c r="ED82" s="50" t="str">
        <f t="shared" si="55"/>
        <v/>
      </c>
    </row>
    <row r="83" spans="1:134" ht="12" customHeight="1">
      <c r="A83" s="669">
        <v>71</v>
      </c>
      <c r="B83" s="994"/>
      <c r="C83" s="995"/>
      <c r="D83" s="1026"/>
      <c r="E83" s="884"/>
      <c r="F83" s="1027" t="str">
        <f t="shared" si="57"/>
        <v/>
      </c>
      <c r="G83" s="1028" t="str">
        <f t="shared" si="58"/>
        <v/>
      </c>
      <c r="H83" s="886"/>
      <c r="I83" s="458" t="str">
        <f t="shared" si="59"/>
        <v/>
      </c>
      <c r="J83" s="886"/>
      <c r="BA83" s="1034">
        <v>77</v>
      </c>
      <c r="BB83" s="994"/>
      <c r="BC83" s="995"/>
      <c r="BD83" s="986"/>
      <c r="BF83" s="1034">
        <v>77</v>
      </c>
      <c r="BG83" s="994"/>
      <c r="BH83" s="995"/>
      <c r="BI83" s="986"/>
      <c r="BK83" s="1034">
        <v>77</v>
      </c>
      <c r="BL83" s="994"/>
      <c r="BM83" s="995"/>
      <c r="BN83" s="986"/>
      <c r="BP83" s="1034">
        <v>77</v>
      </c>
      <c r="BQ83" s="994">
        <v>3.8571428571428572</v>
      </c>
      <c r="BR83" s="995">
        <v>5.9</v>
      </c>
      <c r="BS83" s="986"/>
      <c r="BU83" s="1034">
        <v>77</v>
      </c>
      <c r="BV83" s="996"/>
      <c r="BW83" s="997"/>
      <c r="BX83" s="986"/>
      <c r="BZ83" s="1034">
        <v>77</v>
      </c>
      <c r="CA83" s="996"/>
      <c r="CB83" s="997"/>
      <c r="CC83" s="986"/>
      <c r="DF83" s="43" t="b">
        <f t="shared" si="33"/>
        <v>0</v>
      </c>
      <c r="DG83" s="43" t="str">
        <f t="shared" si="34"/>
        <v/>
      </c>
      <c r="DH83" s="43" t="str">
        <f t="shared" si="35"/>
        <v/>
      </c>
      <c r="DI83" s="43" t="str">
        <f t="shared" si="36"/>
        <v/>
      </c>
      <c r="DJ83" s="43" t="str">
        <f t="shared" si="37"/>
        <v/>
      </c>
      <c r="DK83" s="43" t="e">
        <f t="shared" si="38"/>
        <v>#N/A</v>
      </c>
      <c r="DL83" s="43" t="e">
        <f t="shared" si="39"/>
        <v>#N/A</v>
      </c>
      <c r="DM83" s="43" t="e">
        <f t="shared" si="40"/>
        <v>#N/A</v>
      </c>
      <c r="DN83" s="43" t="e">
        <f t="shared" si="41"/>
        <v>#N/A</v>
      </c>
      <c r="DO83" s="43" t="e">
        <f t="shared" si="42"/>
        <v>#N/A</v>
      </c>
      <c r="DP83" s="43" t="e">
        <f t="shared" si="43"/>
        <v>#N/A</v>
      </c>
      <c r="DQ83" s="43" t="e">
        <f t="shared" si="44"/>
        <v>#N/A</v>
      </c>
      <c r="DR83" s="43" t="e">
        <f t="shared" si="45"/>
        <v>#N/A</v>
      </c>
      <c r="DS83" s="43">
        <f t="shared" si="46"/>
        <v>0</v>
      </c>
      <c r="DT83" s="43">
        <v>73</v>
      </c>
      <c r="DU83" s="43">
        <f t="shared" si="56"/>
        <v>9.9599999999999795</v>
      </c>
      <c r="DV83" s="43">
        <f t="shared" si="47"/>
        <v>11.984672639558909</v>
      </c>
      <c r="DW83" s="43">
        <f t="shared" si="48"/>
        <v>0.44439617614436139</v>
      </c>
      <c r="DX83" s="43" t="e">
        <f t="shared" si="49"/>
        <v>#N/A</v>
      </c>
      <c r="DY83" s="50" t="e">
        <f t="shared" si="50"/>
        <v>#N/A</v>
      </c>
      <c r="DZ83" s="50" t="str">
        <f t="shared" si="51"/>
        <v/>
      </c>
      <c r="EA83" s="50">
        <f t="shared" si="52"/>
        <v>1.4408519935197226</v>
      </c>
      <c r="EB83" s="43" t="e">
        <f t="shared" si="53"/>
        <v>#N/A</v>
      </c>
      <c r="EC83" s="50" t="e">
        <f t="shared" si="54"/>
        <v>#N/A</v>
      </c>
      <c r="ED83" s="50" t="str">
        <f t="shared" si="55"/>
        <v/>
      </c>
    </row>
    <row r="84" spans="1:134" ht="12" customHeight="1">
      <c r="A84" s="640">
        <v>72</v>
      </c>
      <c r="B84" s="994"/>
      <c r="C84" s="995"/>
      <c r="D84" s="1026"/>
      <c r="E84" s="884"/>
      <c r="F84" s="1027" t="str">
        <f t="shared" si="57"/>
        <v/>
      </c>
      <c r="G84" s="1028" t="str">
        <f t="shared" si="58"/>
        <v/>
      </c>
      <c r="H84" s="886"/>
      <c r="I84" s="458" t="str">
        <f t="shared" si="59"/>
        <v/>
      </c>
      <c r="J84" s="886"/>
      <c r="BA84" s="983">
        <v>78</v>
      </c>
      <c r="BB84" s="994"/>
      <c r="BC84" s="995"/>
      <c r="BD84" s="986"/>
      <c r="BF84" s="983">
        <v>78</v>
      </c>
      <c r="BG84" s="994"/>
      <c r="BH84" s="995"/>
      <c r="BI84" s="986"/>
      <c r="BK84" s="983">
        <v>78</v>
      </c>
      <c r="BL84" s="994"/>
      <c r="BM84" s="995"/>
      <c r="BN84" s="986"/>
      <c r="BP84" s="983">
        <v>78</v>
      </c>
      <c r="BQ84" s="994">
        <v>4</v>
      </c>
      <c r="BR84" s="995">
        <v>5.95</v>
      </c>
      <c r="BS84" s="986"/>
      <c r="BU84" s="983">
        <v>78</v>
      </c>
      <c r="BV84" s="996"/>
      <c r="BW84" s="997"/>
      <c r="BX84" s="986"/>
      <c r="BZ84" s="983">
        <v>78</v>
      </c>
      <c r="CA84" s="996"/>
      <c r="CB84" s="997"/>
      <c r="CC84" s="986"/>
      <c r="DF84" s="43" t="b">
        <f t="shared" si="33"/>
        <v>0</v>
      </c>
      <c r="DG84" s="43" t="str">
        <f t="shared" si="34"/>
        <v/>
      </c>
      <c r="DH84" s="43" t="str">
        <f t="shared" si="35"/>
        <v/>
      </c>
      <c r="DI84" s="43" t="str">
        <f t="shared" si="36"/>
        <v/>
      </c>
      <c r="DJ84" s="43" t="str">
        <f t="shared" si="37"/>
        <v/>
      </c>
      <c r="DK84" s="43" t="e">
        <f t="shared" si="38"/>
        <v>#N/A</v>
      </c>
      <c r="DL84" s="43" t="e">
        <f t="shared" si="39"/>
        <v>#N/A</v>
      </c>
      <c r="DM84" s="43" t="e">
        <f t="shared" si="40"/>
        <v>#N/A</v>
      </c>
      <c r="DN84" s="43" t="e">
        <f t="shared" si="41"/>
        <v>#N/A</v>
      </c>
      <c r="DO84" s="43" t="e">
        <f t="shared" si="42"/>
        <v>#N/A</v>
      </c>
      <c r="DP84" s="43" t="e">
        <f t="shared" si="43"/>
        <v>#N/A</v>
      </c>
      <c r="DQ84" s="43" t="e">
        <f t="shared" si="44"/>
        <v>#N/A</v>
      </c>
      <c r="DR84" s="43" t="e">
        <f t="shared" si="45"/>
        <v>#N/A</v>
      </c>
      <c r="DS84" s="43">
        <f t="shared" si="46"/>
        <v>0</v>
      </c>
      <c r="DT84" s="43">
        <v>74</v>
      </c>
      <c r="DU84" s="43">
        <f t="shared" si="56"/>
        <v>10.014999999999979</v>
      </c>
      <c r="DV84" s="43">
        <f t="shared" si="47"/>
        <v>12.027543073742232</v>
      </c>
      <c r="DW84" s="43">
        <f t="shared" si="48"/>
        <v>0.4413170498962688</v>
      </c>
      <c r="DX84" s="43" t="e">
        <f t="shared" si="49"/>
        <v>#N/A</v>
      </c>
      <c r="DY84" s="50" t="e">
        <f t="shared" si="50"/>
        <v>#N/A</v>
      </c>
      <c r="DZ84" s="50" t="str">
        <f t="shared" si="51"/>
        <v/>
      </c>
      <c r="EA84" s="50">
        <f t="shared" si="52"/>
        <v>1.4399052900754183</v>
      </c>
      <c r="EB84" s="43" t="e">
        <f t="shared" si="53"/>
        <v>#N/A</v>
      </c>
      <c r="EC84" s="50" t="e">
        <f t="shared" si="54"/>
        <v>#N/A</v>
      </c>
      <c r="ED84" s="50" t="str">
        <f t="shared" si="55"/>
        <v/>
      </c>
    </row>
    <row r="85" spans="1:134" ht="12" customHeight="1">
      <c r="A85" s="640">
        <v>73</v>
      </c>
      <c r="B85" s="994"/>
      <c r="C85" s="995"/>
      <c r="D85" s="1026"/>
      <c r="E85" s="884"/>
      <c r="F85" s="1027" t="str">
        <f t="shared" si="57"/>
        <v/>
      </c>
      <c r="G85" s="1028" t="str">
        <f t="shared" si="58"/>
        <v/>
      </c>
      <c r="H85" s="886"/>
      <c r="I85" s="458" t="str">
        <f t="shared" si="59"/>
        <v/>
      </c>
      <c r="J85" s="886"/>
      <c r="BA85" s="983">
        <v>79</v>
      </c>
      <c r="BB85" s="994"/>
      <c r="BC85" s="995"/>
      <c r="BD85" s="986"/>
      <c r="BF85" s="983">
        <v>79</v>
      </c>
      <c r="BG85" s="994"/>
      <c r="BH85" s="995"/>
      <c r="BI85" s="986"/>
      <c r="BK85" s="983">
        <v>79</v>
      </c>
      <c r="BL85" s="994"/>
      <c r="BM85" s="995"/>
      <c r="BN85" s="986"/>
      <c r="BP85" s="983">
        <v>79</v>
      </c>
      <c r="BQ85" s="994">
        <v>2.5714285714285716</v>
      </c>
      <c r="BR85" s="995">
        <v>6</v>
      </c>
      <c r="BS85" s="986"/>
      <c r="BU85" s="983">
        <v>79</v>
      </c>
      <c r="BV85" s="996"/>
      <c r="BW85" s="997"/>
      <c r="BX85" s="986"/>
      <c r="BZ85" s="983">
        <v>79</v>
      </c>
      <c r="CA85" s="996"/>
      <c r="CB85" s="997"/>
      <c r="CC85" s="986"/>
      <c r="DF85" s="43" t="b">
        <f t="shared" si="33"/>
        <v>0</v>
      </c>
      <c r="DG85" s="43" t="str">
        <f t="shared" si="34"/>
        <v/>
      </c>
      <c r="DH85" s="43" t="str">
        <f t="shared" si="35"/>
        <v/>
      </c>
      <c r="DI85" s="43" t="str">
        <f t="shared" si="36"/>
        <v/>
      </c>
      <c r="DJ85" s="43" t="str">
        <f t="shared" si="37"/>
        <v/>
      </c>
      <c r="DK85" s="43" t="e">
        <f t="shared" si="38"/>
        <v>#N/A</v>
      </c>
      <c r="DL85" s="43" t="e">
        <f t="shared" si="39"/>
        <v>#N/A</v>
      </c>
      <c r="DM85" s="43" t="e">
        <f t="shared" si="40"/>
        <v>#N/A</v>
      </c>
      <c r="DN85" s="43" t="e">
        <f t="shared" si="41"/>
        <v>#N/A</v>
      </c>
      <c r="DO85" s="43" t="e">
        <f t="shared" si="42"/>
        <v>#N/A</v>
      </c>
      <c r="DP85" s="43" t="e">
        <f t="shared" si="43"/>
        <v>#N/A</v>
      </c>
      <c r="DQ85" s="43" t="e">
        <f t="shared" si="44"/>
        <v>#N/A</v>
      </c>
      <c r="DR85" s="43" t="e">
        <f t="shared" si="45"/>
        <v>#N/A</v>
      </c>
      <c r="DS85" s="43">
        <f t="shared" si="46"/>
        <v>0</v>
      </c>
      <c r="DT85" s="43">
        <v>75</v>
      </c>
      <c r="DU85" s="43">
        <f t="shared" si="56"/>
        <v>10.069999999999979</v>
      </c>
      <c r="DV85" s="43">
        <f t="shared" si="47"/>
        <v>12.070413507925553</v>
      </c>
      <c r="DW85" s="43">
        <f t="shared" si="48"/>
        <v>0.43832352063899777</v>
      </c>
      <c r="DX85" s="43" t="e">
        <f t="shared" si="49"/>
        <v>#N/A</v>
      </c>
      <c r="DY85" s="50" t="e">
        <f t="shared" si="50"/>
        <v>#N/A</v>
      </c>
      <c r="DZ85" s="50" t="str">
        <f t="shared" si="51"/>
        <v/>
      </c>
      <c r="EA85" s="50">
        <f t="shared" si="52"/>
        <v>1.4389906235286576</v>
      </c>
      <c r="EB85" s="43" t="e">
        <f t="shared" si="53"/>
        <v>#N/A</v>
      </c>
      <c r="EC85" s="50" t="e">
        <f t="shared" si="54"/>
        <v>#N/A</v>
      </c>
      <c r="ED85" s="50" t="str">
        <f t="shared" si="55"/>
        <v/>
      </c>
    </row>
    <row r="86" spans="1:134" ht="12" customHeight="1">
      <c r="A86" s="669">
        <v>74</v>
      </c>
      <c r="B86" s="994"/>
      <c r="C86" s="995"/>
      <c r="D86" s="1026"/>
      <c r="E86" s="884"/>
      <c r="F86" s="1027" t="str">
        <f t="shared" si="57"/>
        <v/>
      </c>
      <c r="G86" s="1028" t="str">
        <f t="shared" si="58"/>
        <v/>
      </c>
      <c r="H86" s="886"/>
      <c r="I86" s="458" t="str">
        <f t="shared" si="59"/>
        <v/>
      </c>
      <c r="J86" s="886"/>
      <c r="BA86" s="1034">
        <v>80</v>
      </c>
      <c r="BB86" s="994"/>
      <c r="BC86" s="995"/>
      <c r="BD86" s="986"/>
      <c r="BF86" s="1034">
        <v>80</v>
      </c>
      <c r="BG86" s="994"/>
      <c r="BH86" s="995"/>
      <c r="BI86" s="986"/>
      <c r="BK86" s="1034">
        <v>80</v>
      </c>
      <c r="BL86" s="994"/>
      <c r="BM86" s="995"/>
      <c r="BN86" s="986"/>
      <c r="BP86" s="1034">
        <v>80</v>
      </c>
      <c r="BQ86" s="994">
        <v>2.8571428571428572</v>
      </c>
      <c r="BR86" s="995">
        <v>6</v>
      </c>
      <c r="BS86" s="986"/>
      <c r="BU86" s="1034">
        <v>80</v>
      </c>
      <c r="BV86" s="996"/>
      <c r="BW86" s="997"/>
      <c r="BX86" s="986"/>
      <c r="BZ86" s="1034">
        <v>80</v>
      </c>
      <c r="CA86" s="996"/>
      <c r="CB86" s="997"/>
      <c r="CC86" s="986"/>
      <c r="DF86" s="43" t="b">
        <f t="shared" si="33"/>
        <v>0</v>
      </c>
      <c r="DG86" s="43" t="str">
        <f t="shared" si="34"/>
        <v/>
      </c>
      <c r="DH86" s="43" t="str">
        <f t="shared" si="35"/>
        <v/>
      </c>
      <c r="DI86" s="43" t="str">
        <f t="shared" si="36"/>
        <v/>
      </c>
      <c r="DJ86" s="43" t="str">
        <f t="shared" si="37"/>
        <v/>
      </c>
      <c r="DK86" s="43" t="e">
        <f t="shared" si="38"/>
        <v>#N/A</v>
      </c>
      <c r="DL86" s="43" t="e">
        <f t="shared" si="39"/>
        <v>#N/A</v>
      </c>
      <c r="DM86" s="43" t="e">
        <f t="shared" si="40"/>
        <v>#N/A</v>
      </c>
      <c r="DN86" s="43" t="e">
        <f t="shared" si="41"/>
        <v>#N/A</v>
      </c>
      <c r="DO86" s="43" t="e">
        <f t="shared" si="42"/>
        <v>#N/A</v>
      </c>
      <c r="DP86" s="43" t="e">
        <f t="shared" si="43"/>
        <v>#N/A</v>
      </c>
      <c r="DQ86" s="43" t="e">
        <f t="shared" si="44"/>
        <v>#N/A</v>
      </c>
      <c r="DR86" s="43" t="e">
        <f t="shared" si="45"/>
        <v>#N/A</v>
      </c>
      <c r="DS86" s="43">
        <f t="shared" si="46"/>
        <v>0</v>
      </c>
      <c r="DT86" s="43">
        <v>76</v>
      </c>
      <c r="DU86" s="43">
        <f t="shared" si="56"/>
        <v>10.124999999999979</v>
      </c>
      <c r="DV86" s="43">
        <f t="shared" si="47"/>
        <v>12.113283942108875</v>
      </c>
      <c r="DW86" s="43">
        <f t="shared" si="48"/>
        <v>0.43541735383467484</v>
      </c>
      <c r="DX86" s="43" t="e">
        <f t="shared" si="49"/>
        <v>#N/A</v>
      </c>
      <c r="DY86" s="50" t="e">
        <f t="shared" si="50"/>
        <v>#N/A</v>
      </c>
      <c r="DZ86" s="50" t="str">
        <f t="shared" si="51"/>
        <v/>
      </c>
      <c r="EA86" s="50">
        <f t="shared" si="52"/>
        <v>1.4381080550078356</v>
      </c>
      <c r="EB86" s="43" t="e">
        <f t="shared" si="53"/>
        <v>#N/A</v>
      </c>
      <c r="EC86" s="50" t="e">
        <f t="shared" si="54"/>
        <v>#N/A</v>
      </c>
      <c r="ED86" s="50" t="str">
        <f t="shared" si="55"/>
        <v/>
      </c>
    </row>
    <row r="87" spans="1:134" ht="12" customHeight="1">
      <c r="A87" s="640">
        <v>75</v>
      </c>
      <c r="B87" s="994"/>
      <c r="C87" s="995"/>
      <c r="D87" s="1026"/>
      <c r="E87" s="884"/>
      <c r="F87" s="1027" t="str">
        <f t="shared" si="57"/>
        <v/>
      </c>
      <c r="G87" s="1028" t="str">
        <f t="shared" si="58"/>
        <v/>
      </c>
      <c r="H87" s="886"/>
      <c r="I87" s="458" t="str">
        <f t="shared" si="59"/>
        <v/>
      </c>
      <c r="J87" s="886"/>
      <c r="BA87" s="983">
        <v>81</v>
      </c>
      <c r="BB87" s="994"/>
      <c r="BC87" s="995"/>
      <c r="BD87" s="986"/>
      <c r="BF87" s="983">
        <v>81</v>
      </c>
      <c r="BG87" s="994"/>
      <c r="BH87" s="995"/>
      <c r="BI87" s="986"/>
      <c r="BK87" s="983">
        <v>81</v>
      </c>
      <c r="BL87" s="994"/>
      <c r="BM87" s="995"/>
      <c r="BN87" s="986"/>
      <c r="BP87" s="983">
        <v>81</v>
      </c>
      <c r="BQ87" s="994">
        <v>3.2857142857142856</v>
      </c>
      <c r="BR87" s="995">
        <v>6</v>
      </c>
      <c r="BS87" s="986"/>
      <c r="BU87" s="983">
        <v>81</v>
      </c>
      <c r="BV87" s="996"/>
      <c r="BW87" s="997"/>
      <c r="BX87" s="986"/>
      <c r="BZ87" s="983">
        <v>81</v>
      </c>
      <c r="CA87" s="996"/>
      <c r="CB87" s="997"/>
      <c r="CC87" s="986"/>
      <c r="DF87" s="43" t="b">
        <f t="shared" si="33"/>
        <v>0</v>
      </c>
      <c r="DG87" s="43" t="str">
        <f t="shared" si="34"/>
        <v/>
      </c>
      <c r="DH87" s="43" t="str">
        <f t="shared" si="35"/>
        <v/>
      </c>
      <c r="DI87" s="43" t="str">
        <f t="shared" si="36"/>
        <v/>
      </c>
      <c r="DJ87" s="43" t="str">
        <f t="shared" si="37"/>
        <v/>
      </c>
      <c r="DK87" s="43" t="e">
        <f t="shared" si="38"/>
        <v>#N/A</v>
      </c>
      <c r="DL87" s="43" t="e">
        <f t="shared" si="39"/>
        <v>#N/A</v>
      </c>
      <c r="DM87" s="43" t="e">
        <f t="shared" si="40"/>
        <v>#N/A</v>
      </c>
      <c r="DN87" s="43" t="e">
        <f t="shared" si="41"/>
        <v>#N/A</v>
      </c>
      <c r="DO87" s="43" t="e">
        <f t="shared" si="42"/>
        <v>#N/A</v>
      </c>
      <c r="DP87" s="43" t="e">
        <f t="shared" si="43"/>
        <v>#N/A</v>
      </c>
      <c r="DQ87" s="43" t="e">
        <f t="shared" si="44"/>
        <v>#N/A</v>
      </c>
      <c r="DR87" s="43" t="e">
        <f t="shared" si="45"/>
        <v>#N/A</v>
      </c>
      <c r="DS87" s="43">
        <f t="shared" si="46"/>
        <v>0</v>
      </c>
      <c r="DT87" s="43">
        <v>77</v>
      </c>
      <c r="DU87" s="43">
        <f t="shared" si="56"/>
        <v>10.179999999999978</v>
      </c>
      <c r="DV87" s="43">
        <f t="shared" si="47"/>
        <v>12.156154376292196</v>
      </c>
      <c r="DW87" s="43">
        <f t="shared" si="48"/>
        <v>0.43260031016426637</v>
      </c>
      <c r="DX87" s="43" t="e">
        <f t="shared" si="49"/>
        <v>#N/A</v>
      </c>
      <c r="DY87" s="50" t="e">
        <f t="shared" si="50"/>
        <v>#N/A</v>
      </c>
      <c r="DZ87" s="50" t="str">
        <f t="shared" si="51"/>
        <v/>
      </c>
      <c r="EA87" s="50">
        <f t="shared" si="52"/>
        <v>1.4372576436437026</v>
      </c>
      <c r="EB87" s="43" t="e">
        <f t="shared" si="53"/>
        <v>#N/A</v>
      </c>
      <c r="EC87" s="50" t="e">
        <f t="shared" si="54"/>
        <v>#N/A</v>
      </c>
      <c r="ED87" s="50" t="str">
        <f t="shared" si="55"/>
        <v/>
      </c>
    </row>
    <row r="88" spans="1:134" ht="12" customHeight="1">
      <c r="A88" s="640">
        <v>76</v>
      </c>
      <c r="B88" s="994"/>
      <c r="C88" s="995"/>
      <c r="D88" s="1026"/>
      <c r="E88" s="884"/>
      <c r="F88" s="1027" t="str">
        <f t="shared" si="57"/>
        <v/>
      </c>
      <c r="G88" s="1028" t="str">
        <f t="shared" si="58"/>
        <v/>
      </c>
      <c r="H88" s="886"/>
      <c r="I88" s="458" t="str">
        <f t="shared" si="59"/>
        <v/>
      </c>
      <c r="J88" s="886"/>
      <c r="BA88" s="983">
        <v>82</v>
      </c>
      <c r="BB88" s="994"/>
      <c r="BC88" s="995"/>
      <c r="BD88" s="986"/>
      <c r="BF88" s="983">
        <v>82</v>
      </c>
      <c r="BG88" s="994"/>
      <c r="BH88" s="995"/>
      <c r="BI88" s="986"/>
      <c r="BK88" s="983">
        <v>82</v>
      </c>
      <c r="BL88" s="994"/>
      <c r="BM88" s="995"/>
      <c r="BN88" s="986"/>
      <c r="BP88" s="983">
        <v>82</v>
      </c>
      <c r="BQ88" s="994">
        <v>3.4285714285714284</v>
      </c>
      <c r="BR88" s="995">
        <v>6</v>
      </c>
      <c r="BS88" s="986"/>
      <c r="BU88" s="983">
        <v>82</v>
      </c>
      <c r="BV88" s="996"/>
      <c r="BW88" s="997"/>
      <c r="BX88" s="986"/>
      <c r="BZ88" s="983">
        <v>82</v>
      </c>
      <c r="CA88" s="996"/>
      <c r="CB88" s="997"/>
      <c r="CC88" s="986"/>
      <c r="DF88" s="43" t="b">
        <f t="shared" si="33"/>
        <v>0</v>
      </c>
      <c r="DG88" s="43" t="str">
        <f t="shared" si="34"/>
        <v/>
      </c>
      <c r="DH88" s="43" t="str">
        <f t="shared" si="35"/>
        <v/>
      </c>
      <c r="DI88" s="43" t="str">
        <f t="shared" si="36"/>
        <v/>
      </c>
      <c r="DJ88" s="43" t="str">
        <f t="shared" si="37"/>
        <v/>
      </c>
      <c r="DK88" s="43" t="e">
        <f t="shared" si="38"/>
        <v>#N/A</v>
      </c>
      <c r="DL88" s="43" t="e">
        <f t="shared" si="39"/>
        <v>#N/A</v>
      </c>
      <c r="DM88" s="43" t="e">
        <f t="shared" si="40"/>
        <v>#N/A</v>
      </c>
      <c r="DN88" s="43" t="e">
        <f t="shared" si="41"/>
        <v>#N/A</v>
      </c>
      <c r="DO88" s="43" t="e">
        <f t="shared" si="42"/>
        <v>#N/A</v>
      </c>
      <c r="DP88" s="43" t="e">
        <f t="shared" si="43"/>
        <v>#N/A</v>
      </c>
      <c r="DQ88" s="43" t="e">
        <f t="shared" si="44"/>
        <v>#N/A</v>
      </c>
      <c r="DR88" s="43" t="e">
        <f t="shared" si="45"/>
        <v>#N/A</v>
      </c>
      <c r="DS88" s="43">
        <f t="shared" si="46"/>
        <v>0</v>
      </c>
      <c r="DT88" s="43">
        <v>78</v>
      </c>
      <c r="DU88" s="43">
        <f t="shared" si="56"/>
        <v>10.234999999999978</v>
      </c>
      <c r="DV88" s="43">
        <f t="shared" si="47"/>
        <v>12.199024810475517</v>
      </c>
      <c r="DW88" s="43">
        <f t="shared" si="48"/>
        <v>0.42987414175180733</v>
      </c>
      <c r="DX88" s="43" t="e">
        <f t="shared" si="49"/>
        <v>#N/A</v>
      </c>
      <c r="DY88" s="50" t="e">
        <f t="shared" si="50"/>
        <v>#N/A</v>
      </c>
      <c r="DZ88" s="50" t="str">
        <f t="shared" si="51"/>
        <v/>
      </c>
      <c r="EA88" s="50">
        <f t="shared" si="52"/>
        <v>1.4364394465500041</v>
      </c>
      <c r="EB88" s="43" t="e">
        <f t="shared" si="53"/>
        <v>#N/A</v>
      </c>
      <c r="EC88" s="50" t="e">
        <f t="shared" si="54"/>
        <v>#N/A</v>
      </c>
      <c r="ED88" s="50" t="str">
        <f t="shared" si="55"/>
        <v/>
      </c>
    </row>
    <row r="89" spans="1:134" ht="12" customHeight="1">
      <c r="A89" s="669">
        <v>77</v>
      </c>
      <c r="B89" s="994"/>
      <c r="C89" s="995"/>
      <c r="D89" s="1026"/>
      <c r="E89" s="884"/>
      <c r="F89" s="1027" t="str">
        <f t="shared" si="57"/>
        <v/>
      </c>
      <c r="G89" s="1028" t="str">
        <f t="shared" si="58"/>
        <v/>
      </c>
      <c r="H89" s="886"/>
      <c r="I89" s="458" t="str">
        <f t="shared" si="59"/>
        <v/>
      </c>
      <c r="J89" s="886"/>
      <c r="BA89" s="1034">
        <v>83</v>
      </c>
      <c r="BB89" s="994"/>
      <c r="BC89" s="995"/>
      <c r="BD89" s="986"/>
      <c r="BF89" s="1034">
        <v>83</v>
      </c>
      <c r="BG89" s="994"/>
      <c r="BH89" s="995"/>
      <c r="BI89" s="986"/>
      <c r="BK89" s="1034">
        <v>83</v>
      </c>
      <c r="BL89" s="994"/>
      <c r="BM89" s="995"/>
      <c r="BN89" s="986"/>
      <c r="BP89" s="1034">
        <v>83</v>
      </c>
      <c r="BQ89" s="994">
        <v>3.4285714285714284</v>
      </c>
      <c r="BR89" s="995">
        <v>5.9</v>
      </c>
      <c r="BS89" s="986"/>
      <c r="BU89" s="1034">
        <v>83</v>
      </c>
      <c r="BV89" s="996"/>
      <c r="BW89" s="997"/>
      <c r="BX89" s="986"/>
      <c r="BZ89" s="1034">
        <v>83</v>
      </c>
      <c r="CA89" s="996"/>
      <c r="CB89" s="997"/>
      <c r="CC89" s="986"/>
      <c r="DF89" s="43" t="b">
        <f t="shared" si="33"/>
        <v>0</v>
      </c>
      <c r="DG89" s="43" t="str">
        <f t="shared" si="34"/>
        <v/>
      </c>
      <c r="DH89" s="43" t="str">
        <f t="shared" si="35"/>
        <v/>
      </c>
      <c r="DI89" s="43" t="str">
        <f t="shared" si="36"/>
        <v/>
      </c>
      <c r="DJ89" s="43" t="str">
        <f t="shared" si="37"/>
        <v/>
      </c>
      <c r="DK89" s="43" t="e">
        <f t="shared" si="38"/>
        <v>#N/A</v>
      </c>
      <c r="DL89" s="43" t="e">
        <f t="shared" si="39"/>
        <v>#N/A</v>
      </c>
      <c r="DM89" s="43" t="e">
        <f t="shared" si="40"/>
        <v>#N/A</v>
      </c>
      <c r="DN89" s="43" t="e">
        <f t="shared" si="41"/>
        <v>#N/A</v>
      </c>
      <c r="DO89" s="43" t="e">
        <f t="shared" si="42"/>
        <v>#N/A</v>
      </c>
      <c r="DP89" s="43" t="e">
        <f t="shared" si="43"/>
        <v>#N/A</v>
      </c>
      <c r="DQ89" s="43" t="e">
        <f t="shared" si="44"/>
        <v>#N/A</v>
      </c>
      <c r="DR89" s="43" t="e">
        <f t="shared" si="45"/>
        <v>#N/A</v>
      </c>
      <c r="DS89" s="43">
        <f t="shared" si="46"/>
        <v>0</v>
      </c>
      <c r="DT89" s="43">
        <v>79</v>
      </c>
      <c r="DU89" s="43">
        <f t="shared" si="56"/>
        <v>10.289999999999978</v>
      </c>
      <c r="DV89" s="43">
        <f t="shared" si="47"/>
        <v>12.241895244658838</v>
      </c>
      <c r="DW89" s="43">
        <f t="shared" si="48"/>
        <v>0.42724058819158434</v>
      </c>
      <c r="DX89" s="43" t="e">
        <f t="shared" si="49"/>
        <v>#N/A</v>
      </c>
      <c r="DY89" s="50" t="e">
        <f t="shared" si="50"/>
        <v>#N/A</v>
      </c>
      <c r="DZ89" s="50" t="str">
        <f t="shared" si="51"/>
        <v/>
      </c>
      <c r="EA89" s="50">
        <f t="shared" si="52"/>
        <v>1.435653518804701</v>
      </c>
      <c r="EB89" s="43" t="e">
        <f t="shared" si="53"/>
        <v>#N/A</v>
      </c>
      <c r="EC89" s="50" t="e">
        <f t="shared" si="54"/>
        <v>#N/A</v>
      </c>
      <c r="ED89" s="50" t="str">
        <f t="shared" si="55"/>
        <v/>
      </c>
    </row>
    <row r="90" spans="1:134" ht="12" customHeight="1">
      <c r="A90" s="640">
        <v>78</v>
      </c>
      <c r="B90" s="994"/>
      <c r="C90" s="995"/>
      <c r="D90" s="1026"/>
      <c r="E90" s="884"/>
      <c r="F90" s="1027" t="str">
        <f t="shared" si="57"/>
        <v/>
      </c>
      <c r="G90" s="1028" t="str">
        <f t="shared" si="58"/>
        <v/>
      </c>
      <c r="H90" s="886"/>
      <c r="I90" s="458" t="str">
        <f t="shared" si="59"/>
        <v/>
      </c>
      <c r="J90" s="886"/>
      <c r="BA90" s="983">
        <v>84</v>
      </c>
      <c r="BB90" s="994"/>
      <c r="BC90" s="995"/>
      <c r="BD90" s="986"/>
      <c r="BF90" s="983">
        <v>84</v>
      </c>
      <c r="BG90" s="994"/>
      <c r="BH90" s="995"/>
      <c r="BI90" s="986"/>
      <c r="BK90" s="983">
        <v>84</v>
      </c>
      <c r="BL90" s="994"/>
      <c r="BM90" s="995"/>
      <c r="BN90" s="986"/>
      <c r="BP90" s="983">
        <v>84</v>
      </c>
      <c r="BQ90" s="994">
        <v>3.7142857142857144</v>
      </c>
      <c r="BR90" s="995">
        <v>6</v>
      </c>
      <c r="BS90" s="986"/>
      <c r="BU90" s="983">
        <v>84</v>
      </c>
      <c r="BV90" s="996"/>
      <c r="BW90" s="997"/>
      <c r="BX90" s="986"/>
      <c r="BZ90" s="983">
        <v>84</v>
      </c>
      <c r="CA90" s="996"/>
      <c r="CB90" s="997"/>
      <c r="CC90" s="986"/>
      <c r="DF90" s="43" t="b">
        <f t="shared" si="33"/>
        <v>0</v>
      </c>
      <c r="DG90" s="43" t="str">
        <f t="shared" si="34"/>
        <v/>
      </c>
      <c r="DH90" s="43" t="str">
        <f t="shared" si="35"/>
        <v/>
      </c>
      <c r="DI90" s="43" t="str">
        <f t="shared" si="36"/>
        <v/>
      </c>
      <c r="DJ90" s="43" t="str">
        <f t="shared" si="37"/>
        <v/>
      </c>
      <c r="DK90" s="43" t="e">
        <f t="shared" si="38"/>
        <v>#N/A</v>
      </c>
      <c r="DL90" s="43" t="e">
        <f t="shared" si="39"/>
        <v>#N/A</v>
      </c>
      <c r="DM90" s="43" t="e">
        <f t="shared" si="40"/>
        <v>#N/A</v>
      </c>
      <c r="DN90" s="43" t="e">
        <f t="shared" si="41"/>
        <v>#N/A</v>
      </c>
      <c r="DO90" s="43" t="e">
        <f t="shared" si="42"/>
        <v>#N/A</v>
      </c>
      <c r="DP90" s="43" t="e">
        <f t="shared" si="43"/>
        <v>#N/A</v>
      </c>
      <c r="DQ90" s="43" t="e">
        <f t="shared" si="44"/>
        <v>#N/A</v>
      </c>
      <c r="DR90" s="43" t="e">
        <f t="shared" si="45"/>
        <v>#N/A</v>
      </c>
      <c r="DS90" s="43">
        <f t="shared" si="46"/>
        <v>0</v>
      </c>
      <c r="DT90" s="43">
        <v>80</v>
      </c>
      <c r="DU90" s="43">
        <f t="shared" si="56"/>
        <v>10.344999999999978</v>
      </c>
      <c r="DV90" s="43">
        <f t="shared" si="47"/>
        <v>12.284765678842161</v>
      </c>
      <c r="DW90" s="43">
        <f t="shared" si="48"/>
        <v>0.42470137238833289</v>
      </c>
      <c r="DX90" s="43" t="e">
        <f t="shared" si="49"/>
        <v>#N/A</v>
      </c>
      <c r="DY90" s="50" t="e">
        <f t="shared" si="50"/>
        <v>#N/A</v>
      </c>
      <c r="DZ90" s="50" t="str">
        <f t="shared" si="51"/>
        <v/>
      </c>
      <c r="EA90" s="50">
        <f t="shared" si="52"/>
        <v>1.4348999134317915</v>
      </c>
      <c r="EB90" s="43" t="e">
        <f t="shared" si="53"/>
        <v>#N/A</v>
      </c>
      <c r="EC90" s="50" t="e">
        <f t="shared" si="54"/>
        <v>#N/A</v>
      </c>
      <c r="ED90" s="50" t="str">
        <f t="shared" si="55"/>
        <v/>
      </c>
    </row>
    <row r="91" spans="1:134" ht="12" customHeight="1">
      <c r="A91" s="640">
        <v>79</v>
      </c>
      <c r="B91" s="994"/>
      <c r="C91" s="995"/>
      <c r="D91" s="1026"/>
      <c r="E91" s="884"/>
      <c r="F91" s="1027" t="str">
        <f t="shared" si="57"/>
        <v/>
      </c>
      <c r="G91" s="1028" t="str">
        <f t="shared" si="58"/>
        <v/>
      </c>
      <c r="H91" s="886"/>
      <c r="I91" s="458" t="str">
        <f t="shared" si="59"/>
        <v/>
      </c>
      <c r="J91" s="886"/>
      <c r="BA91" s="983">
        <v>85</v>
      </c>
      <c r="BB91" s="994"/>
      <c r="BC91" s="995"/>
      <c r="BD91" s="986"/>
      <c r="BF91" s="983">
        <v>85</v>
      </c>
      <c r="BG91" s="994"/>
      <c r="BH91" s="995"/>
      <c r="BI91" s="986"/>
      <c r="BK91" s="983">
        <v>85</v>
      </c>
      <c r="BL91" s="994"/>
      <c r="BM91" s="995"/>
      <c r="BN91" s="986"/>
      <c r="BP91" s="983">
        <v>85</v>
      </c>
      <c r="BQ91" s="994">
        <v>3.8571428571428572</v>
      </c>
      <c r="BR91" s="995">
        <v>6</v>
      </c>
      <c r="BS91" s="986"/>
      <c r="BU91" s="983">
        <v>85</v>
      </c>
      <c r="BV91" s="996"/>
      <c r="BW91" s="997"/>
      <c r="BX91" s="986"/>
      <c r="BZ91" s="983">
        <v>85</v>
      </c>
      <c r="CA91" s="996"/>
      <c r="CB91" s="997"/>
      <c r="CC91" s="986"/>
      <c r="DF91" s="43" t="b">
        <f t="shared" si="33"/>
        <v>0</v>
      </c>
      <c r="DG91" s="43" t="str">
        <f t="shared" si="34"/>
        <v/>
      </c>
      <c r="DH91" s="43" t="str">
        <f t="shared" si="35"/>
        <v/>
      </c>
      <c r="DI91" s="43" t="str">
        <f t="shared" si="36"/>
        <v/>
      </c>
      <c r="DJ91" s="43" t="str">
        <f t="shared" si="37"/>
        <v/>
      </c>
      <c r="DK91" s="43" t="e">
        <f t="shared" si="38"/>
        <v>#N/A</v>
      </c>
      <c r="DL91" s="43" t="e">
        <f t="shared" si="39"/>
        <v>#N/A</v>
      </c>
      <c r="DM91" s="43" t="e">
        <f t="shared" si="40"/>
        <v>#N/A</v>
      </c>
      <c r="DN91" s="43" t="e">
        <f t="shared" si="41"/>
        <v>#N/A</v>
      </c>
      <c r="DO91" s="43" t="e">
        <f t="shared" si="42"/>
        <v>#N/A</v>
      </c>
      <c r="DP91" s="43" t="e">
        <f t="shared" si="43"/>
        <v>#N/A</v>
      </c>
      <c r="DQ91" s="43" t="e">
        <f t="shared" si="44"/>
        <v>#N/A</v>
      </c>
      <c r="DR91" s="43" t="e">
        <f t="shared" si="45"/>
        <v>#N/A</v>
      </c>
      <c r="DS91" s="43">
        <f t="shared" si="46"/>
        <v>0</v>
      </c>
      <c r="DT91" s="43">
        <v>81</v>
      </c>
      <c r="DU91" s="43">
        <f t="shared" si="56"/>
        <v>10.399999999999977</v>
      </c>
      <c r="DV91" s="43">
        <f t="shared" si="47"/>
        <v>12.327636113025482</v>
      </c>
      <c r="DW91" s="43">
        <f t="shared" si="48"/>
        <v>0.42225819622309324</v>
      </c>
      <c r="DX91" s="43" t="e">
        <f t="shared" si="49"/>
        <v>#N/A</v>
      </c>
      <c r="DY91" s="50" t="e">
        <f t="shared" si="50"/>
        <v>#N/A</v>
      </c>
      <c r="DZ91" s="50" t="str">
        <f t="shared" si="51"/>
        <v/>
      </c>
      <c r="EA91" s="50">
        <f t="shared" si="52"/>
        <v>1.4341786813837423</v>
      </c>
      <c r="EB91" s="43" t="e">
        <f t="shared" si="53"/>
        <v>#N/A</v>
      </c>
      <c r="EC91" s="50" t="e">
        <f t="shared" si="54"/>
        <v>#N/A</v>
      </c>
      <c r="ED91" s="50" t="str">
        <f t="shared" si="55"/>
        <v/>
      </c>
    </row>
    <row r="92" spans="1:134" ht="12" customHeight="1">
      <c r="A92" s="669">
        <v>80</v>
      </c>
      <c r="B92" s="994"/>
      <c r="C92" s="995"/>
      <c r="D92" s="1026"/>
      <c r="E92" s="884"/>
      <c r="F92" s="1027" t="str">
        <f t="shared" si="57"/>
        <v/>
      </c>
      <c r="G92" s="1028" t="str">
        <f t="shared" si="58"/>
        <v/>
      </c>
      <c r="H92" s="886"/>
      <c r="I92" s="458" t="str">
        <f t="shared" si="59"/>
        <v/>
      </c>
      <c r="J92" s="886"/>
      <c r="BA92" s="1034">
        <v>86</v>
      </c>
      <c r="BB92" s="994"/>
      <c r="BC92" s="995"/>
      <c r="BD92" s="986"/>
      <c r="BF92" s="1034">
        <v>86</v>
      </c>
      <c r="BG92" s="994"/>
      <c r="BH92" s="995"/>
      <c r="BI92" s="986"/>
      <c r="BK92" s="1034">
        <v>86</v>
      </c>
      <c r="BL92" s="994"/>
      <c r="BM92" s="995"/>
      <c r="BN92" s="986"/>
      <c r="BP92" s="1034">
        <v>86</v>
      </c>
      <c r="BQ92" s="994">
        <v>3.8571428571428572</v>
      </c>
      <c r="BR92" s="995">
        <v>6.1</v>
      </c>
      <c r="BS92" s="986"/>
      <c r="BU92" s="1034">
        <v>86</v>
      </c>
      <c r="BV92" s="996"/>
      <c r="BW92" s="997"/>
      <c r="BX92" s="986"/>
      <c r="BZ92" s="1034">
        <v>86</v>
      </c>
      <c r="CA92" s="996"/>
      <c r="CB92" s="997"/>
      <c r="CC92" s="986"/>
      <c r="DF92" s="43" t="b">
        <f t="shared" si="33"/>
        <v>0</v>
      </c>
      <c r="DG92" s="43" t="str">
        <f t="shared" si="34"/>
        <v/>
      </c>
      <c r="DH92" s="43" t="str">
        <f t="shared" si="35"/>
        <v/>
      </c>
      <c r="DI92" s="43" t="str">
        <f t="shared" si="36"/>
        <v/>
      </c>
      <c r="DJ92" s="43" t="str">
        <f t="shared" si="37"/>
        <v/>
      </c>
      <c r="DK92" s="43" t="e">
        <f t="shared" si="38"/>
        <v>#N/A</v>
      </c>
      <c r="DL92" s="43" t="e">
        <f t="shared" si="39"/>
        <v>#N/A</v>
      </c>
      <c r="DM92" s="43" t="e">
        <f t="shared" si="40"/>
        <v>#N/A</v>
      </c>
      <c r="DN92" s="43" t="e">
        <f t="shared" si="41"/>
        <v>#N/A</v>
      </c>
      <c r="DO92" s="43" t="e">
        <f t="shared" si="42"/>
        <v>#N/A</v>
      </c>
      <c r="DP92" s="43" t="e">
        <f t="shared" si="43"/>
        <v>#N/A</v>
      </c>
      <c r="DQ92" s="43" t="e">
        <f t="shared" si="44"/>
        <v>#N/A</v>
      </c>
      <c r="DR92" s="43" t="e">
        <f t="shared" si="45"/>
        <v>#N/A</v>
      </c>
      <c r="DS92" s="43">
        <f t="shared" si="46"/>
        <v>0</v>
      </c>
      <c r="DT92" s="43">
        <v>82</v>
      </c>
      <c r="DU92" s="43">
        <f t="shared" si="56"/>
        <v>10.454999999999977</v>
      </c>
      <c r="DV92" s="43">
        <f t="shared" si="47"/>
        <v>12.370506547208803</v>
      </c>
      <c r="DW92" s="43">
        <f t="shared" si="48"/>
        <v>0.41991273606004342</v>
      </c>
      <c r="DX92" s="43" t="e">
        <f t="shared" si="49"/>
        <v>#N/A</v>
      </c>
      <c r="DY92" s="50" t="e">
        <f t="shared" si="50"/>
        <v>#N/A</v>
      </c>
      <c r="DZ92" s="50" t="str">
        <f t="shared" si="51"/>
        <v/>
      </c>
      <c r="EA92" s="50">
        <f t="shared" si="52"/>
        <v>1.4334898715245465</v>
      </c>
      <c r="EB92" s="43" t="e">
        <f t="shared" si="53"/>
        <v>#N/A</v>
      </c>
      <c r="EC92" s="50" t="e">
        <f t="shared" si="54"/>
        <v>#N/A</v>
      </c>
      <c r="ED92" s="50" t="str">
        <f t="shared" si="55"/>
        <v/>
      </c>
    </row>
    <row r="93" spans="1:134" ht="12" customHeight="1">
      <c r="A93" s="640">
        <v>81</v>
      </c>
      <c r="B93" s="994"/>
      <c r="C93" s="995"/>
      <c r="D93" s="1026"/>
      <c r="E93" s="884"/>
      <c r="F93" s="1027" t="str">
        <f t="shared" si="57"/>
        <v/>
      </c>
      <c r="G93" s="1028" t="str">
        <f t="shared" si="58"/>
        <v/>
      </c>
      <c r="H93" s="886"/>
      <c r="I93" s="458" t="str">
        <f t="shared" si="59"/>
        <v/>
      </c>
      <c r="J93" s="886"/>
      <c r="BA93" s="983">
        <v>87</v>
      </c>
      <c r="BB93" s="994"/>
      <c r="BC93" s="995"/>
      <c r="BD93" s="986"/>
      <c r="BF93" s="983">
        <v>87</v>
      </c>
      <c r="BG93" s="994"/>
      <c r="BH93" s="995"/>
      <c r="BI93" s="986"/>
      <c r="BK93" s="983">
        <v>87</v>
      </c>
      <c r="BL93" s="994"/>
      <c r="BM93" s="995"/>
      <c r="BN93" s="986"/>
      <c r="BP93" s="983">
        <v>87</v>
      </c>
      <c r="BQ93" s="994">
        <v>4.2857142857142856</v>
      </c>
      <c r="BR93" s="995">
        <v>6</v>
      </c>
      <c r="BS93" s="986"/>
      <c r="BU93" s="983">
        <v>87</v>
      </c>
      <c r="BV93" s="996"/>
      <c r="BW93" s="997"/>
      <c r="BX93" s="986"/>
      <c r="BZ93" s="983">
        <v>87</v>
      </c>
      <c r="CA93" s="996"/>
      <c r="CB93" s="997"/>
      <c r="CC93" s="986"/>
      <c r="DF93" s="43" t="b">
        <f t="shared" si="33"/>
        <v>0</v>
      </c>
      <c r="DG93" s="43" t="str">
        <f t="shared" si="34"/>
        <v/>
      </c>
      <c r="DH93" s="43" t="str">
        <f t="shared" si="35"/>
        <v/>
      </c>
      <c r="DI93" s="43" t="str">
        <f t="shared" si="36"/>
        <v/>
      </c>
      <c r="DJ93" s="43" t="str">
        <f t="shared" si="37"/>
        <v/>
      </c>
      <c r="DK93" s="43" t="e">
        <f t="shared" si="38"/>
        <v>#N/A</v>
      </c>
      <c r="DL93" s="43" t="e">
        <f t="shared" si="39"/>
        <v>#N/A</v>
      </c>
      <c r="DM93" s="43" t="e">
        <f t="shared" si="40"/>
        <v>#N/A</v>
      </c>
      <c r="DN93" s="43" t="e">
        <f t="shared" si="41"/>
        <v>#N/A</v>
      </c>
      <c r="DO93" s="43" t="e">
        <f t="shared" si="42"/>
        <v>#N/A</v>
      </c>
      <c r="DP93" s="43" t="e">
        <f t="shared" si="43"/>
        <v>#N/A</v>
      </c>
      <c r="DQ93" s="43" t="e">
        <f t="shared" si="44"/>
        <v>#N/A</v>
      </c>
      <c r="DR93" s="43" t="e">
        <f t="shared" si="45"/>
        <v>#N/A</v>
      </c>
      <c r="DS93" s="43">
        <f t="shared" si="46"/>
        <v>0</v>
      </c>
      <c r="DT93" s="43">
        <v>83</v>
      </c>
      <c r="DU93" s="43">
        <f t="shared" si="56"/>
        <v>10.509999999999977</v>
      </c>
      <c r="DV93" s="43">
        <f t="shared" si="47"/>
        <v>12.413376981392126</v>
      </c>
      <c r="DW93" s="43">
        <f t="shared" si="48"/>
        <v>0.41766663811236771</v>
      </c>
      <c r="DX93" s="43" t="e">
        <f t="shared" si="49"/>
        <v>#N/A</v>
      </c>
      <c r="DY93" s="50" t="e">
        <f t="shared" si="50"/>
        <v>#N/A</v>
      </c>
      <c r="DZ93" s="50" t="str">
        <f t="shared" si="51"/>
        <v/>
      </c>
      <c r="EA93" s="50">
        <f t="shared" si="52"/>
        <v>1.4328335306134194</v>
      </c>
      <c r="EB93" s="43" t="e">
        <f t="shared" si="53"/>
        <v>#N/A</v>
      </c>
      <c r="EC93" s="50" t="e">
        <f t="shared" si="54"/>
        <v>#N/A</v>
      </c>
      <c r="ED93" s="50" t="str">
        <f t="shared" si="55"/>
        <v/>
      </c>
    </row>
    <row r="94" spans="1:134" ht="12" customHeight="1">
      <c r="A94" s="640">
        <v>82</v>
      </c>
      <c r="B94" s="994"/>
      <c r="C94" s="995"/>
      <c r="D94" s="1026"/>
      <c r="E94" s="884"/>
      <c r="F94" s="1027" t="str">
        <f t="shared" si="57"/>
        <v/>
      </c>
      <c r="G94" s="1028" t="str">
        <f t="shared" si="58"/>
        <v/>
      </c>
      <c r="H94" s="886"/>
      <c r="I94" s="458" t="str">
        <f t="shared" si="59"/>
        <v/>
      </c>
      <c r="J94" s="886"/>
      <c r="BA94" s="983">
        <v>88</v>
      </c>
      <c r="BB94" s="994"/>
      <c r="BC94" s="995"/>
      <c r="BD94" s="986"/>
      <c r="BF94" s="983">
        <v>88</v>
      </c>
      <c r="BG94" s="994"/>
      <c r="BH94" s="995"/>
      <c r="BI94" s="986"/>
      <c r="BK94" s="983">
        <v>88</v>
      </c>
      <c r="BL94" s="994"/>
      <c r="BM94" s="995"/>
      <c r="BN94" s="986"/>
      <c r="BP94" s="983">
        <v>88</v>
      </c>
      <c r="BQ94" s="994">
        <v>4.5714285714285712</v>
      </c>
      <c r="BR94" s="995">
        <v>6</v>
      </c>
      <c r="BS94" s="986"/>
      <c r="BU94" s="983">
        <v>88</v>
      </c>
      <c r="BV94" s="996"/>
      <c r="BW94" s="997"/>
      <c r="BX94" s="986"/>
      <c r="BZ94" s="983">
        <v>88</v>
      </c>
      <c r="CA94" s="996"/>
      <c r="CB94" s="997"/>
      <c r="CC94" s="986"/>
      <c r="DF94" s="43" t="b">
        <f t="shared" si="33"/>
        <v>0</v>
      </c>
      <c r="DG94" s="43" t="str">
        <f t="shared" si="34"/>
        <v/>
      </c>
      <c r="DH94" s="43" t="str">
        <f t="shared" si="35"/>
        <v/>
      </c>
      <c r="DI94" s="43" t="str">
        <f t="shared" si="36"/>
        <v/>
      </c>
      <c r="DJ94" s="43" t="str">
        <f t="shared" si="37"/>
        <v/>
      </c>
      <c r="DK94" s="43" t="e">
        <f t="shared" si="38"/>
        <v>#N/A</v>
      </c>
      <c r="DL94" s="43" t="e">
        <f t="shared" si="39"/>
        <v>#N/A</v>
      </c>
      <c r="DM94" s="43" t="e">
        <f t="shared" si="40"/>
        <v>#N/A</v>
      </c>
      <c r="DN94" s="43" t="e">
        <f t="shared" si="41"/>
        <v>#N/A</v>
      </c>
      <c r="DO94" s="43" t="e">
        <f t="shared" si="42"/>
        <v>#N/A</v>
      </c>
      <c r="DP94" s="43" t="e">
        <f t="shared" si="43"/>
        <v>#N/A</v>
      </c>
      <c r="DQ94" s="43" t="e">
        <f t="shared" si="44"/>
        <v>#N/A</v>
      </c>
      <c r="DR94" s="43" t="e">
        <f t="shared" si="45"/>
        <v>#N/A</v>
      </c>
      <c r="DS94" s="43">
        <f t="shared" si="46"/>
        <v>0</v>
      </c>
      <c r="DT94" s="43">
        <v>84</v>
      </c>
      <c r="DU94" s="43">
        <f t="shared" si="56"/>
        <v>10.564999999999976</v>
      </c>
      <c r="DV94" s="43">
        <f t="shared" si="47"/>
        <v>12.456247415575447</v>
      </c>
      <c r="DW94" s="43">
        <f t="shared" si="48"/>
        <v>0.4155215136879773</v>
      </c>
      <c r="DX94" s="43" t="e">
        <f t="shared" si="49"/>
        <v>#N/A</v>
      </c>
      <c r="DY94" s="50" t="e">
        <f t="shared" si="50"/>
        <v>#N/A</v>
      </c>
      <c r="DZ94" s="50" t="str">
        <f t="shared" si="51"/>
        <v/>
      </c>
      <c r="EA94" s="50">
        <f t="shared" si="52"/>
        <v>1.4322097032891439</v>
      </c>
      <c r="EB94" s="43" t="e">
        <f t="shared" si="53"/>
        <v>#N/A</v>
      </c>
      <c r="EC94" s="50" t="e">
        <f t="shared" si="54"/>
        <v>#N/A</v>
      </c>
      <c r="ED94" s="50" t="str">
        <f t="shared" si="55"/>
        <v/>
      </c>
    </row>
    <row r="95" spans="1:134" ht="12" customHeight="1">
      <c r="A95" s="669">
        <v>83</v>
      </c>
      <c r="B95" s="994"/>
      <c r="C95" s="995"/>
      <c r="D95" s="1026"/>
      <c r="E95" s="884"/>
      <c r="F95" s="1027" t="str">
        <f t="shared" si="57"/>
        <v/>
      </c>
      <c r="G95" s="1028" t="str">
        <f t="shared" si="58"/>
        <v/>
      </c>
      <c r="H95" s="886"/>
      <c r="I95" s="458" t="str">
        <f t="shared" si="59"/>
        <v/>
      </c>
      <c r="J95" s="886"/>
      <c r="BA95" s="1034">
        <v>89</v>
      </c>
      <c r="BB95" s="994"/>
      <c r="BC95" s="995"/>
      <c r="BD95" s="986"/>
      <c r="BF95" s="1034">
        <v>89</v>
      </c>
      <c r="BG95" s="994"/>
      <c r="BH95" s="995"/>
      <c r="BI95" s="986"/>
      <c r="BK95" s="1034">
        <v>89</v>
      </c>
      <c r="BL95" s="994"/>
      <c r="BM95" s="995"/>
      <c r="BN95" s="986"/>
      <c r="BP95" s="1034">
        <v>89</v>
      </c>
      <c r="BQ95" s="994">
        <v>4.8571428571428568</v>
      </c>
      <c r="BR95" s="995">
        <v>6</v>
      </c>
      <c r="BS95" s="986"/>
      <c r="BU95" s="1034">
        <v>89</v>
      </c>
      <c r="BV95" s="996"/>
      <c r="BW95" s="997"/>
      <c r="BX95" s="986"/>
      <c r="BZ95" s="1034">
        <v>89</v>
      </c>
      <c r="CA95" s="996"/>
      <c r="CB95" s="997"/>
      <c r="CC95" s="986"/>
      <c r="DF95" s="43" t="b">
        <f t="shared" si="33"/>
        <v>0</v>
      </c>
      <c r="DG95" s="43" t="str">
        <f t="shared" si="34"/>
        <v/>
      </c>
      <c r="DH95" s="43" t="str">
        <f t="shared" si="35"/>
        <v/>
      </c>
      <c r="DI95" s="43" t="str">
        <f t="shared" si="36"/>
        <v/>
      </c>
      <c r="DJ95" s="43" t="str">
        <f t="shared" si="37"/>
        <v/>
      </c>
      <c r="DK95" s="43" t="e">
        <f t="shared" si="38"/>
        <v>#N/A</v>
      </c>
      <c r="DL95" s="43" t="e">
        <f t="shared" si="39"/>
        <v>#N/A</v>
      </c>
      <c r="DM95" s="43" t="e">
        <f t="shared" si="40"/>
        <v>#N/A</v>
      </c>
      <c r="DN95" s="43" t="e">
        <f t="shared" si="41"/>
        <v>#N/A</v>
      </c>
      <c r="DO95" s="43" t="e">
        <f t="shared" si="42"/>
        <v>#N/A</v>
      </c>
      <c r="DP95" s="43" t="e">
        <f t="shared" si="43"/>
        <v>#N/A</v>
      </c>
      <c r="DQ95" s="43" t="e">
        <f t="shared" si="44"/>
        <v>#N/A</v>
      </c>
      <c r="DR95" s="43" t="e">
        <f t="shared" si="45"/>
        <v>#N/A</v>
      </c>
      <c r="DS95" s="43">
        <f t="shared" si="46"/>
        <v>0</v>
      </c>
      <c r="DT95" s="43">
        <v>85</v>
      </c>
      <c r="DU95" s="43">
        <f t="shared" si="56"/>
        <v>10.619999999999976</v>
      </c>
      <c r="DV95" s="43">
        <f t="shared" si="47"/>
        <v>12.499117849758768</v>
      </c>
      <c r="DW95" s="43">
        <f t="shared" si="48"/>
        <v>0.41347893433863431</v>
      </c>
      <c r="DX95" s="43" t="e">
        <f t="shared" si="49"/>
        <v>#N/A</v>
      </c>
      <c r="DY95" s="50" t="e">
        <f t="shared" si="50"/>
        <v>#N/A</v>
      </c>
      <c r="DZ95" s="50" t="str">
        <f t="shared" si="51"/>
        <v/>
      </c>
      <c r="EA95" s="50">
        <f t="shared" si="52"/>
        <v>1.4316184320550784</v>
      </c>
      <c r="EB95" s="43" t="e">
        <f t="shared" si="53"/>
        <v>#N/A</v>
      </c>
      <c r="EC95" s="50" t="e">
        <f t="shared" si="54"/>
        <v>#N/A</v>
      </c>
      <c r="ED95" s="50" t="str">
        <f t="shared" si="55"/>
        <v/>
      </c>
    </row>
    <row r="96" spans="1:134" ht="12" customHeight="1">
      <c r="A96" s="640">
        <v>84</v>
      </c>
      <c r="B96" s="994"/>
      <c r="C96" s="995"/>
      <c r="D96" s="1026"/>
      <c r="E96" s="884"/>
      <c r="F96" s="1027" t="str">
        <f t="shared" si="57"/>
        <v/>
      </c>
      <c r="G96" s="1028" t="str">
        <f t="shared" si="58"/>
        <v/>
      </c>
      <c r="H96" s="886"/>
      <c r="I96" s="458" t="str">
        <f t="shared" si="59"/>
        <v/>
      </c>
      <c r="J96" s="886"/>
      <c r="BA96" s="983">
        <v>90</v>
      </c>
      <c r="BB96" s="994"/>
      <c r="BC96" s="995"/>
      <c r="BD96" s="986"/>
      <c r="BF96" s="983">
        <v>90</v>
      </c>
      <c r="BG96" s="994"/>
      <c r="BH96" s="995"/>
      <c r="BI96" s="986"/>
      <c r="BK96" s="983">
        <v>90</v>
      </c>
      <c r="BL96" s="994"/>
      <c r="BM96" s="995"/>
      <c r="BN96" s="986"/>
      <c r="BP96" s="983">
        <v>90</v>
      </c>
      <c r="BQ96" s="994">
        <v>3.4285714285714284</v>
      </c>
      <c r="BR96" s="995">
        <v>6.1</v>
      </c>
      <c r="BS96" s="986"/>
      <c r="BU96" s="983">
        <v>90</v>
      </c>
      <c r="BV96" s="996"/>
      <c r="BW96" s="997"/>
      <c r="BX96" s="986"/>
      <c r="BZ96" s="983">
        <v>90</v>
      </c>
      <c r="CA96" s="996"/>
      <c r="CB96" s="997"/>
      <c r="CC96" s="986"/>
      <c r="DF96" s="43" t="b">
        <f t="shared" si="33"/>
        <v>0</v>
      </c>
      <c r="DG96" s="43" t="str">
        <f t="shared" si="34"/>
        <v/>
      </c>
      <c r="DH96" s="43" t="str">
        <f t="shared" si="35"/>
        <v/>
      </c>
      <c r="DI96" s="43" t="str">
        <f t="shared" si="36"/>
        <v/>
      </c>
      <c r="DJ96" s="43" t="str">
        <f t="shared" si="37"/>
        <v/>
      </c>
      <c r="DK96" s="43" t="e">
        <f t="shared" si="38"/>
        <v>#N/A</v>
      </c>
      <c r="DL96" s="43" t="e">
        <f t="shared" si="39"/>
        <v>#N/A</v>
      </c>
      <c r="DM96" s="43" t="e">
        <f t="shared" si="40"/>
        <v>#N/A</v>
      </c>
      <c r="DN96" s="43" t="e">
        <f t="shared" si="41"/>
        <v>#N/A</v>
      </c>
      <c r="DO96" s="43" t="e">
        <f t="shared" si="42"/>
        <v>#N/A</v>
      </c>
      <c r="DP96" s="43" t="e">
        <f t="shared" si="43"/>
        <v>#N/A</v>
      </c>
      <c r="DQ96" s="43" t="e">
        <f t="shared" si="44"/>
        <v>#N/A</v>
      </c>
      <c r="DR96" s="43" t="e">
        <f t="shared" si="45"/>
        <v>#N/A</v>
      </c>
      <c r="DS96" s="43">
        <f t="shared" si="46"/>
        <v>0</v>
      </c>
      <c r="DT96" s="43">
        <v>86</v>
      </c>
      <c r="DU96" s="43">
        <f t="shared" si="56"/>
        <v>10.674999999999976</v>
      </c>
      <c r="DV96" s="43">
        <f t="shared" si="47"/>
        <v>12.541988283942091</v>
      </c>
      <c r="DW96" s="43">
        <f t="shared" si="48"/>
        <v>0.4115404269386933</v>
      </c>
      <c r="DX96" s="43" t="e">
        <f t="shared" si="49"/>
        <v>#N/A</v>
      </c>
      <c r="DY96" s="50" t="e">
        <f t="shared" si="50"/>
        <v>#N/A</v>
      </c>
      <c r="DZ96" s="50" t="str">
        <f t="shared" si="51"/>
        <v/>
      </c>
      <c r="EA96" s="50">
        <f t="shared" si="52"/>
        <v>1.4310597572648431</v>
      </c>
      <c r="EB96" s="43" t="e">
        <f t="shared" si="53"/>
        <v>#N/A</v>
      </c>
      <c r="EC96" s="50" t="e">
        <f t="shared" si="54"/>
        <v>#N/A</v>
      </c>
      <c r="ED96" s="50" t="str">
        <f t="shared" si="55"/>
        <v/>
      </c>
    </row>
    <row r="97" spans="1:134" ht="12" customHeight="1">
      <c r="A97" s="640">
        <v>85</v>
      </c>
      <c r="B97" s="994"/>
      <c r="C97" s="995"/>
      <c r="D97" s="1026"/>
      <c r="E97" s="884"/>
      <c r="F97" s="1027" t="str">
        <f t="shared" si="57"/>
        <v/>
      </c>
      <c r="G97" s="1028" t="str">
        <f t="shared" si="58"/>
        <v/>
      </c>
      <c r="H97" s="886"/>
      <c r="I97" s="458" t="str">
        <f t="shared" si="59"/>
        <v/>
      </c>
      <c r="J97" s="886"/>
      <c r="BA97" s="983">
        <v>91</v>
      </c>
      <c r="BB97" s="994"/>
      <c r="BC97" s="995"/>
      <c r="BD97" s="986"/>
      <c r="BF97" s="983">
        <v>91</v>
      </c>
      <c r="BG97" s="994"/>
      <c r="BH97" s="995"/>
      <c r="BI97" s="986"/>
      <c r="BK97" s="983">
        <v>91</v>
      </c>
      <c r="BL97" s="994"/>
      <c r="BM97" s="995"/>
      <c r="BN97" s="986"/>
      <c r="BP97" s="983">
        <v>91</v>
      </c>
      <c r="BQ97" s="994">
        <v>4</v>
      </c>
      <c r="BR97" s="995">
        <v>6.1</v>
      </c>
      <c r="BS97" s="986"/>
      <c r="BU97" s="983">
        <v>91</v>
      </c>
      <c r="BV97" s="996"/>
      <c r="BW97" s="997"/>
      <c r="BX97" s="986"/>
      <c r="BZ97" s="983">
        <v>91</v>
      </c>
      <c r="CA97" s="996"/>
      <c r="CB97" s="997"/>
      <c r="CC97" s="986"/>
      <c r="DF97" s="43" t="b">
        <f t="shared" si="33"/>
        <v>0</v>
      </c>
      <c r="DG97" s="43" t="str">
        <f t="shared" si="34"/>
        <v/>
      </c>
      <c r="DH97" s="43" t="str">
        <f t="shared" si="35"/>
        <v/>
      </c>
      <c r="DI97" s="43" t="str">
        <f t="shared" si="36"/>
        <v/>
      </c>
      <c r="DJ97" s="43" t="str">
        <f t="shared" si="37"/>
        <v/>
      </c>
      <c r="DK97" s="43" t="e">
        <f t="shared" si="38"/>
        <v>#N/A</v>
      </c>
      <c r="DL97" s="43" t="e">
        <f t="shared" si="39"/>
        <v>#N/A</v>
      </c>
      <c r="DM97" s="43" t="e">
        <f t="shared" si="40"/>
        <v>#N/A</v>
      </c>
      <c r="DN97" s="43" t="e">
        <f t="shared" si="41"/>
        <v>#N/A</v>
      </c>
      <c r="DO97" s="43" t="e">
        <f t="shared" si="42"/>
        <v>#N/A</v>
      </c>
      <c r="DP97" s="43" t="e">
        <f t="shared" si="43"/>
        <v>#N/A</v>
      </c>
      <c r="DQ97" s="43" t="e">
        <f t="shared" si="44"/>
        <v>#N/A</v>
      </c>
      <c r="DR97" s="43" t="e">
        <f t="shared" si="45"/>
        <v>#N/A</v>
      </c>
      <c r="DS97" s="43">
        <f t="shared" si="46"/>
        <v>0</v>
      </c>
      <c r="DT97" s="43">
        <v>87</v>
      </c>
      <c r="DU97" s="43">
        <f t="shared" si="56"/>
        <v>10.729999999999976</v>
      </c>
      <c r="DV97" s="43">
        <f t="shared" si="47"/>
        <v>12.584858718125412</v>
      </c>
      <c r="DW97" s="43">
        <f t="shared" si="48"/>
        <v>0.40970746872220398</v>
      </c>
      <c r="DX97" s="43" t="e">
        <f t="shared" si="49"/>
        <v>#N/A</v>
      </c>
      <c r="DY97" s="50" t="e">
        <f t="shared" si="50"/>
        <v>#N/A</v>
      </c>
      <c r="DZ97" s="50" t="str">
        <f t="shared" si="51"/>
        <v/>
      </c>
      <c r="EA97" s="50">
        <f t="shared" si="52"/>
        <v>1.4305337171086827</v>
      </c>
      <c r="EB97" s="43" t="e">
        <f t="shared" si="53"/>
        <v>#N/A</v>
      </c>
      <c r="EC97" s="50" t="e">
        <f t="shared" si="54"/>
        <v>#N/A</v>
      </c>
      <c r="ED97" s="50" t="str">
        <f t="shared" si="55"/>
        <v/>
      </c>
    </row>
    <row r="98" spans="1:134" ht="12" customHeight="1">
      <c r="A98" s="669">
        <v>86</v>
      </c>
      <c r="B98" s="994"/>
      <c r="C98" s="995"/>
      <c r="D98" s="1026"/>
      <c r="E98" s="884"/>
      <c r="F98" s="1027" t="str">
        <f t="shared" si="57"/>
        <v/>
      </c>
      <c r="G98" s="1028" t="str">
        <f t="shared" si="58"/>
        <v/>
      </c>
      <c r="H98" s="886"/>
      <c r="I98" s="458" t="str">
        <f t="shared" si="59"/>
        <v/>
      </c>
      <c r="J98" s="886"/>
      <c r="BA98" s="1034">
        <v>92</v>
      </c>
      <c r="BB98" s="994"/>
      <c r="BC98" s="995"/>
      <c r="BD98" s="986"/>
      <c r="BF98" s="1034">
        <v>92</v>
      </c>
      <c r="BG98" s="994"/>
      <c r="BH98" s="995"/>
      <c r="BI98" s="986"/>
      <c r="BK98" s="1034">
        <v>92</v>
      </c>
      <c r="BL98" s="994"/>
      <c r="BM98" s="995"/>
      <c r="BN98" s="986"/>
      <c r="BP98" s="1034">
        <v>92</v>
      </c>
      <c r="BQ98" s="994">
        <v>2.5714285714285716</v>
      </c>
      <c r="BR98" s="995">
        <v>6.2</v>
      </c>
      <c r="BS98" s="986"/>
      <c r="BU98" s="1034">
        <v>92</v>
      </c>
      <c r="BV98" s="996"/>
      <c r="BW98" s="997"/>
      <c r="BX98" s="986"/>
      <c r="BZ98" s="1034">
        <v>92</v>
      </c>
      <c r="CA98" s="996"/>
      <c r="CB98" s="997"/>
      <c r="CC98" s="986"/>
      <c r="DF98" s="43" t="b">
        <f t="shared" si="33"/>
        <v>0</v>
      </c>
      <c r="DG98" s="43" t="str">
        <f t="shared" si="34"/>
        <v/>
      </c>
      <c r="DH98" s="43" t="str">
        <f t="shared" si="35"/>
        <v/>
      </c>
      <c r="DI98" s="43" t="str">
        <f t="shared" si="36"/>
        <v/>
      </c>
      <c r="DJ98" s="43" t="str">
        <f t="shared" si="37"/>
        <v/>
      </c>
      <c r="DK98" s="43" t="e">
        <f t="shared" si="38"/>
        <v>#N/A</v>
      </c>
      <c r="DL98" s="43" t="e">
        <f t="shared" si="39"/>
        <v>#N/A</v>
      </c>
      <c r="DM98" s="43" t="e">
        <f t="shared" si="40"/>
        <v>#N/A</v>
      </c>
      <c r="DN98" s="43" t="e">
        <f t="shared" si="41"/>
        <v>#N/A</v>
      </c>
      <c r="DO98" s="43" t="e">
        <f t="shared" si="42"/>
        <v>#N/A</v>
      </c>
      <c r="DP98" s="43" t="e">
        <f t="shared" si="43"/>
        <v>#N/A</v>
      </c>
      <c r="DQ98" s="43" t="e">
        <f t="shared" si="44"/>
        <v>#N/A</v>
      </c>
      <c r="DR98" s="43" t="e">
        <f t="shared" si="45"/>
        <v>#N/A</v>
      </c>
      <c r="DS98" s="43">
        <f t="shared" si="46"/>
        <v>0</v>
      </c>
      <c r="DT98" s="43">
        <v>88</v>
      </c>
      <c r="DU98" s="43">
        <f t="shared" si="56"/>
        <v>10.784999999999975</v>
      </c>
      <c r="DV98" s="43">
        <f t="shared" si="47"/>
        <v>12.627729152308733</v>
      </c>
      <c r="DW98" s="43">
        <f t="shared" si="48"/>
        <v>0.4079814823094719</v>
      </c>
      <c r="DX98" s="43" t="e">
        <f t="shared" si="49"/>
        <v>#N/A</v>
      </c>
      <c r="DY98" s="50" t="e">
        <f t="shared" si="50"/>
        <v>#N/A</v>
      </c>
      <c r="DZ98" s="50" t="str">
        <f t="shared" si="51"/>
        <v/>
      </c>
      <c r="EA98" s="50">
        <f t="shared" si="52"/>
        <v>1.4300403476005363</v>
      </c>
      <c r="EB98" s="43" t="e">
        <f t="shared" si="53"/>
        <v>#N/A</v>
      </c>
      <c r="EC98" s="50" t="e">
        <f t="shared" si="54"/>
        <v>#N/A</v>
      </c>
      <c r="ED98" s="50" t="str">
        <f t="shared" si="55"/>
        <v/>
      </c>
    </row>
    <row r="99" spans="1:134" ht="12" customHeight="1">
      <c r="A99" s="640">
        <v>87</v>
      </c>
      <c r="B99" s="994"/>
      <c r="C99" s="995"/>
      <c r="D99" s="1026"/>
      <c r="E99" s="884"/>
      <c r="F99" s="1027" t="str">
        <f t="shared" si="57"/>
        <v/>
      </c>
      <c r="G99" s="1028" t="str">
        <f t="shared" si="58"/>
        <v/>
      </c>
      <c r="H99" s="886"/>
      <c r="I99" s="458" t="str">
        <f t="shared" si="59"/>
        <v/>
      </c>
      <c r="J99" s="886"/>
      <c r="BA99" s="983">
        <v>93</v>
      </c>
      <c r="BB99" s="994"/>
      <c r="BC99" s="995"/>
      <c r="BD99" s="986"/>
      <c r="BF99" s="983">
        <v>93</v>
      </c>
      <c r="BG99" s="994"/>
      <c r="BH99" s="995"/>
      <c r="BI99" s="986"/>
      <c r="BK99" s="983">
        <v>93</v>
      </c>
      <c r="BL99" s="994"/>
      <c r="BM99" s="995"/>
      <c r="BN99" s="986"/>
      <c r="BP99" s="983">
        <v>93</v>
      </c>
      <c r="BQ99" s="994">
        <v>3.1428571428571428</v>
      </c>
      <c r="BR99" s="995">
        <v>6.2</v>
      </c>
      <c r="BS99" s="986"/>
      <c r="BU99" s="983">
        <v>93</v>
      </c>
      <c r="BV99" s="996"/>
      <c r="BW99" s="997"/>
      <c r="BX99" s="986"/>
      <c r="BZ99" s="983">
        <v>93</v>
      </c>
      <c r="CA99" s="996"/>
      <c r="CB99" s="997"/>
      <c r="CC99" s="986"/>
      <c r="DF99" s="43" t="b">
        <f t="shared" si="33"/>
        <v>0</v>
      </c>
      <c r="DG99" s="43" t="str">
        <f t="shared" si="34"/>
        <v/>
      </c>
      <c r="DH99" s="43" t="str">
        <f t="shared" si="35"/>
        <v/>
      </c>
      <c r="DI99" s="43" t="str">
        <f t="shared" si="36"/>
        <v/>
      </c>
      <c r="DJ99" s="43" t="str">
        <f t="shared" si="37"/>
        <v/>
      </c>
      <c r="DK99" s="43" t="e">
        <f t="shared" si="38"/>
        <v>#N/A</v>
      </c>
      <c r="DL99" s="43" t="e">
        <f t="shared" si="39"/>
        <v>#N/A</v>
      </c>
      <c r="DM99" s="43" t="e">
        <f t="shared" si="40"/>
        <v>#N/A</v>
      </c>
      <c r="DN99" s="43" t="e">
        <f t="shared" si="41"/>
        <v>#N/A</v>
      </c>
      <c r="DO99" s="43" t="e">
        <f t="shared" si="42"/>
        <v>#N/A</v>
      </c>
      <c r="DP99" s="43" t="e">
        <f t="shared" si="43"/>
        <v>#N/A</v>
      </c>
      <c r="DQ99" s="43" t="e">
        <f t="shared" si="44"/>
        <v>#N/A</v>
      </c>
      <c r="DR99" s="43" t="e">
        <f t="shared" si="45"/>
        <v>#N/A</v>
      </c>
      <c r="DS99" s="43">
        <f t="shared" si="46"/>
        <v>0</v>
      </c>
      <c r="DT99" s="43">
        <v>89</v>
      </c>
      <c r="DU99" s="43">
        <f t="shared" si="56"/>
        <v>10.839999999999975</v>
      </c>
      <c r="DV99" s="43">
        <f t="shared" si="47"/>
        <v>12.670599586492056</v>
      </c>
      <c r="DW99" s="43">
        <f t="shared" si="48"/>
        <v>0.40636383075627763</v>
      </c>
      <c r="DX99" s="43" t="e">
        <f t="shared" si="49"/>
        <v>#N/A</v>
      </c>
      <c r="DY99" s="50" t="e">
        <f t="shared" si="50"/>
        <v>#N/A</v>
      </c>
      <c r="DZ99" s="50" t="str">
        <f t="shared" si="51"/>
        <v/>
      </c>
      <c r="EA99" s="50">
        <f t="shared" si="52"/>
        <v>1.4295796825658043</v>
      </c>
      <c r="EB99" s="43" t="e">
        <f t="shared" si="53"/>
        <v>#N/A</v>
      </c>
      <c r="EC99" s="50" t="e">
        <f t="shared" si="54"/>
        <v>#N/A</v>
      </c>
      <c r="ED99" s="50" t="str">
        <f t="shared" si="55"/>
        <v/>
      </c>
    </row>
    <row r="100" spans="1:134" ht="12" customHeight="1">
      <c r="A100" s="640">
        <v>88</v>
      </c>
      <c r="B100" s="994"/>
      <c r="C100" s="995"/>
      <c r="D100" s="1026"/>
      <c r="E100" s="884"/>
      <c r="F100" s="1027" t="str">
        <f t="shared" si="57"/>
        <v/>
      </c>
      <c r="G100" s="1028" t="str">
        <f t="shared" si="58"/>
        <v/>
      </c>
      <c r="H100" s="886"/>
      <c r="I100" s="458" t="str">
        <f t="shared" si="59"/>
        <v/>
      </c>
      <c r="J100" s="886"/>
      <c r="BA100" s="983">
        <v>94</v>
      </c>
      <c r="BB100" s="994"/>
      <c r="BC100" s="995"/>
      <c r="BD100" s="986"/>
      <c r="BF100" s="983">
        <v>94</v>
      </c>
      <c r="BG100" s="994"/>
      <c r="BH100" s="995"/>
      <c r="BI100" s="986"/>
      <c r="BK100" s="983">
        <v>94</v>
      </c>
      <c r="BL100" s="994"/>
      <c r="BM100" s="995"/>
      <c r="BN100" s="986"/>
      <c r="BP100" s="983">
        <v>94</v>
      </c>
      <c r="BQ100" s="994">
        <v>3.4285714285714284</v>
      </c>
      <c r="BR100" s="995">
        <v>6.2</v>
      </c>
      <c r="BS100" s="986"/>
      <c r="BU100" s="983">
        <v>94</v>
      </c>
      <c r="BV100" s="996"/>
      <c r="BW100" s="997"/>
      <c r="BX100" s="986"/>
      <c r="BZ100" s="983">
        <v>94</v>
      </c>
      <c r="CA100" s="996"/>
      <c r="CB100" s="997"/>
      <c r="CC100" s="986"/>
      <c r="DF100" s="43" t="b">
        <f t="shared" si="33"/>
        <v>0</v>
      </c>
      <c r="DG100" s="43" t="str">
        <f t="shared" si="34"/>
        <v/>
      </c>
      <c r="DH100" s="43" t="str">
        <f t="shared" si="35"/>
        <v/>
      </c>
      <c r="DI100" s="43" t="str">
        <f t="shared" si="36"/>
        <v/>
      </c>
      <c r="DJ100" s="43" t="str">
        <f t="shared" si="37"/>
        <v/>
      </c>
      <c r="DK100" s="43" t="e">
        <f t="shared" si="38"/>
        <v>#N/A</v>
      </c>
      <c r="DL100" s="43" t="e">
        <f t="shared" si="39"/>
        <v>#N/A</v>
      </c>
      <c r="DM100" s="43" t="e">
        <f t="shared" si="40"/>
        <v>#N/A</v>
      </c>
      <c r="DN100" s="43" t="e">
        <f t="shared" si="41"/>
        <v>#N/A</v>
      </c>
      <c r="DO100" s="43" t="e">
        <f t="shared" si="42"/>
        <v>#N/A</v>
      </c>
      <c r="DP100" s="43" t="e">
        <f t="shared" si="43"/>
        <v>#N/A</v>
      </c>
      <c r="DQ100" s="43" t="e">
        <f t="shared" si="44"/>
        <v>#N/A</v>
      </c>
      <c r="DR100" s="43" t="e">
        <f t="shared" si="45"/>
        <v>#N/A</v>
      </c>
      <c r="DS100" s="43">
        <f t="shared" si="46"/>
        <v>0</v>
      </c>
      <c r="DT100" s="43">
        <v>90</v>
      </c>
      <c r="DU100" s="43">
        <f t="shared" si="56"/>
        <v>10.894999999999975</v>
      </c>
      <c r="DV100" s="43">
        <f t="shared" si="47"/>
        <v>12.713470020675377</v>
      </c>
      <c r="DW100" s="43">
        <f t="shared" si="48"/>
        <v>0.40485581266075932</v>
      </c>
      <c r="DX100" s="43" t="e">
        <f t="shared" si="49"/>
        <v>#N/A</v>
      </c>
      <c r="DY100" s="50" t="e">
        <f t="shared" si="50"/>
        <v>#N/A</v>
      </c>
      <c r="DZ100" s="50" t="str">
        <f t="shared" si="51"/>
        <v/>
      </c>
      <c r="EA100" s="50">
        <f t="shared" si="52"/>
        <v>1.4291517536298353</v>
      </c>
      <c r="EB100" s="43" t="e">
        <f t="shared" si="53"/>
        <v>#N/A</v>
      </c>
      <c r="EC100" s="50" t="e">
        <f t="shared" si="54"/>
        <v>#N/A</v>
      </c>
      <c r="ED100" s="50" t="str">
        <f t="shared" si="55"/>
        <v/>
      </c>
    </row>
    <row r="101" spans="1:134" ht="12" customHeight="1">
      <c r="A101" s="669">
        <v>89</v>
      </c>
      <c r="B101" s="994"/>
      <c r="C101" s="995"/>
      <c r="D101" s="1026"/>
      <c r="E101" s="884"/>
      <c r="F101" s="1027" t="str">
        <f t="shared" si="57"/>
        <v/>
      </c>
      <c r="G101" s="1028" t="str">
        <f t="shared" si="58"/>
        <v/>
      </c>
      <c r="H101" s="886"/>
      <c r="I101" s="458" t="str">
        <f t="shared" si="59"/>
        <v/>
      </c>
      <c r="J101" s="886"/>
      <c r="BA101" s="1034">
        <v>95</v>
      </c>
      <c r="BB101" s="994"/>
      <c r="BC101" s="995"/>
      <c r="BD101" s="986"/>
      <c r="BF101" s="1034">
        <v>95</v>
      </c>
      <c r="BG101" s="994"/>
      <c r="BH101" s="995"/>
      <c r="BI101" s="986"/>
      <c r="BK101" s="1034">
        <v>95</v>
      </c>
      <c r="BL101" s="994"/>
      <c r="BM101" s="995"/>
      <c r="BN101" s="986"/>
      <c r="BP101" s="1034">
        <v>95</v>
      </c>
      <c r="BQ101" s="994">
        <v>3.8571428571428572</v>
      </c>
      <c r="BR101" s="995">
        <v>6.2</v>
      </c>
      <c r="BS101" s="986"/>
      <c r="BU101" s="1034">
        <v>95</v>
      </c>
      <c r="BV101" s="996"/>
      <c r="BW101" s="997"/>
      <c r="BX101" s="986"/>
      <c r="BZ101" s="1034">
        <v>95</v>
      </c>
      <c r="CA101" s="996"/>
      <c r="CB101" s="997"/>
      <c r="CC101" s="986"/>
      <c r="DF101" s="43" t="b">
        <f t="shared" si="33"/>
        <v>0</v>
      </c>
      <c r="DG101" s="43" t="str">
        <f t="shared" si="34"/>
        <v/>
      </c>
      <c r="DH101" s="43" t="str">
        <f t="shared" si="35"/>
        <v/>
      </c>
      <c r="DI101" s="43" t="str">
        <f t="shared" si="36"/>
        <v/>
      </c>
      <c r="DJ101" s="43" t="str">
        <f t="shared" si="37"/>
        <v/>
      </c>
      <c r="DK101" s="43" t="e">
        <f t="shared" si="38"/>
        <v>#N/A</v>
      </c>
      <c r="DL101" s="43" t="e">
        <f t="shared" si="39"/>
        <v>#N/A</v>
      </c>
      <c r="DM101" s="43" t="e">
        <f t="shared" si="40"/>
        <v>#N/A</v>
      </c>
      <c r="DN101" s="43" t="e">
        <f t="shared" si="41"/>
        <v>#N/A</v>
      </c>
      <c r="DO101" s="43" t="e">
        <f t="shared" si="42"/>
        <v>#N/A</v>
      </c>
      <c r="DP101" s="43" t="e">
        <f t="shared" si="43"/>
        <v>#N/A</v>
      </c>
      <c r="DQ101" s="43" t="e">
        <f t="shared" si="44"/>
        <v>#N/A</v>
      </c>
      <c r="DR101" s="43" t="e">
        <f t="shared" si="45"/>
        <v>#N/A</v>
      </c>
      <c r="DS101" s="43">
        <f t="shared" si="46"/>
        <v>0</v>
      </c>
      <c r="DT101" s="43">
        <v>91</v>
      </c>
      <c r="DU101" s="43">
        <f t="shared" si="56"/>
        <v>10.949999999999974</v>
      </c>
      <c r="DV101" s="43">
        <f t="shared" si="47"/>
        <v>12.756340454858698</v>
      </c>
      <c r="DW101" s="43">
        <f t="shared" si="48"/>
        <v>0.40345865736441383</v>
      </c>
      <c r="DX101" s="43" t="e">
        <f t="shared" si="49"/>
        <v>#N/A</v>
      </c>
      <c r="DY101" s="50" t="e">
        <f t="shared" si="50"/>
        <v>#N/A</v>
      </c>
      <c r="DZ101" s="50" t="str">
        <f t="shared" si="51"/>
        <v/>
      </c>
      <c r="EA101" s="50">
        <f t="shared" si="52"/>
        <v>1.4287565902071369</v>
      </c>
      <c r="EB101" s="43" t="e">
        <f t="shared" si="53"/>
        <v>#N/A</v>
      </c>
      <c r="EC101" s="50" t="e">
        <f t="shared" si="54"/>
        <v>#N/A</v>
      </c>
      <c r="ED101" s="50" t="str">
        <f t="shared" si="55"/>
        <v/>
      </c>
    </row>
    <row r="102" spans="1:134" ht="12" customHeight="1">
      <c r="A102" s="640">
        <v>90</v>
      </c>
      <c r="B102" s="994"/>
      <c r="C102" s="995"/>
      <c r="D102" s="1026"/>
      <c r="E102" s="884"/>
      <c r="F102" s="1027" t="str">
        <f t="shared" si="57"/>
        <v/>
      </c>
      <c r="G102" s="1028" t="str">
        <f t="shared" si="58"/>
        <v/>
      </c>
      <c r="H102" s="886"/>
      <c r="I102" s="458" t="str">
        <f t="shared" si="59"/>
        <v/>
      </c>
      <c r="J102" s="886"/>
      <c r="BA102" s="983">
        <v>96</v>
      </c>
      <c r="BB102" s="994"/>
      <c r="BC102" s="995"/>
      <c r="BD102" s="986"/>
      <c r="BF102" s="983">
        <v>96</v>
      </c>
      <c r="BG102" s="994"/>
      <c r="BH102" s="995"/>
      <c r="BI102" s="986"/>
      <c r="BK102" s="983">
        <v>96</v>
      </c>
      <c r="BL102" s="994"/>
      <c r="BM102" s="995"/>
      <c r="BN102" s="986"/>
      <c r="BP102" s="983">
        <v>96</v>
      </c>
      <c r="BQ102" s="994">
        <v>4.2857142857142856</v>
      </c>
      <c r="BR102" s="995">
        <v>6.2</v>
      </c>
      <c r="BS102" s="986"/>
      <c r="BU102" s="983">
        <v>96</v>
      </c>
      <c r="BV102" s="996"/>
      <c r="BW102" s="997"/>
      <c r="BX102" s="986"/>
      <c r="BZ102" s="983">
        <v>96</v>
      </c>
      <c r="CA102" s="996"/>
      <c r="CB102" s="997"/>
      <c r="CC102" s="986"/>
      <c r="DF102" s="43" t="b">
        <f t="shared" si="33"/>
        <v>0</v>
      </c>
      <c r="DG102" s="43" t="str">
        <f t="shared" si="34"/>
        <v/>
      </c>
      <c r="DH102" s="43" t="str">
        <f t="shared" si="35"/>
        <v/>
      </c>
      <c r="DI102" s="43" t="str">
        <f t="shared" si="36"/>
        <v/>
      </c>
      <c r="DJ102" s="43" t="str">
        <f t="shared" si="37"/>
        <v/>
      </c>
      <c r="DK102" s="43" t="e">
        <f t="shared" si="38"/>
        <v>#N/A</v>
      </c>
      <c r="DL102" s="43" t="e">
        <f t="shared" si="39"/>
        <v>#N/A</v>
      </c>
      <c r="DM102" s="43" t="e">
        <f t="shared" si="40"/>
        <v>#N/A</v>
      </c>
      <c r="DN102" s="43" t="e">
        <f t="shared" si="41"/>
        <v>#N/A</v>
      </c>
      <c r="DO102" s="43" t="e">
        <f t="shared" si="42"/>
        <v>#N/A</v>
      </c>
      <c r="DP102" s="43" t="e">
        <f t="shared" si="43"/>
        <v>#N/A</v>
      </c>
      <c r="DQ102" s="43" t="e">
        <f t="shared" si="44"/>
        <v>#N/A</v>
      </c>
      <c r="DR102" s="43" t="e">
        <f t="shared" si="45"/>
        <v>#N/A</v>
      </c>
      <c r="DS102" s="43">
        <f t="shared" si="46"/>
        <v>0</v>
      </c>
      <c r="DT102" s="43">
        <v>92</v>
      </c>
      <c r="DU102" s="43">
        <f t="shared" si="56"/>
        <v>11.004999999999974</v>
      </c>
      <c r="DV102" s="43">
        <f t="shared" si="47"/>
        <v>12.799210889042021</v>
      </c>
      <c r="DW102" s="43">
        <f t="shared" si="48"/>
        <v>0.40217352028470449</v>
      </c>
      <c r="DX102" s="43" t="e">
        <f t="shared" si="49"/>
        <v>#N/A</v>
      </c>
      <c r="DY102" s="50" t="e">
        <f t="shared" si="50"/>
        <v>#N/A</v>
      </c>
      <c r="DZ102" s="50" t="str">
        <f t="shared" si="51"/>
        <v/>
      </c>
      <c r="EA102" s="50">
        <f t="shared" si="52"/>
        <v>1.4283942194913213</v>
      </c>
      <c r="EB102" s="43" t="e">
        <f t="shared" si="53"/>
        <v>#N/A</v>
      </c>
      <c r="EC102" s="50" t="e">
        <f t="shared" si="54"/>
        <v>#N/A</v>
      </c>
      <c r="ED102" s="50" t="str">
        <f t="shared" si="55"/>
        <v/>
      </c>
    </row>
    <row r="103" spans="1:134" ht="12" customHeight="1">
      <c r="A103" s="640">
        <v>91</v>
      </c>
      <c r="B103" s="994"/>
      <c r="C103" s="995"/>
      <c r="D103" s="1026"/>
      <c r="E103" s="884"/>
      <c r="F103" s="1027" t="str">
        <f t="shared" si="57"/>
        <v/>
      </c>
      <c r="G103" s="1028" t="str">
        <f t="shared" si="58"/>
        <v/>
      </c>
      <c r="H103" s="886"/>
      <c r="I103" s="458" t="str">
        <f t="shared" si="59"/>
        <v/>
      </c>
      <c r="J103" s="886"/>
      <c r="BA103" s="983">
        <v>97</v>
      </c>
      <c r="BB103" s="994"/>
      <c r="BC103" s="995"/>
      <c r="BD103" s="986"/>
      <c r="BF103" s="983">
        <v>97</v>
      </c>
      <c r="BG103" s="994"/>
      <c r="BH103" s="995"/>
      <c r="BI103" s="986"/>
      <c r="BK103" s="983">
        <v>97</v>
      </c>
      <c r="BL103" s="994"/>
      <c r="BM103" s="995"/>
      <c r="BN103" s="986"/>
      <c r="BP103" s="983">
        <v>97</v>
      </c>
      <c r="BQ103" s="994">
        <v>4.4285714285714288</v>
      </c>
      <c r="BR103" s="995">
        <v>6.2</v>
      </c>
      <c r="BS103" s="986"/>
      <c r="BU103" s="983">
        <v>97</v>
      </c>
      <c r="BV103" s="996"/>
      <c r="BW103" s="997"/>
      <c r="BX103" s="986"/>
      <c r="BZ103" s="983">
        <v>97</v>
      </c>
      <c r="CA103" s="996"/>
      <c r="CB103" s="997"/>
      <c r="CC103" s="986"/>
      <c r="DF103" s="43" t="b">
        <f t="shared" si="33"/>
        <v>0</v>
      </c>
      <c r="DG103" s="43" t="str">
        <f t="shared" si="34"/>
        <v/>
      </c>
      <c r="DH103" s="43" t="str">
        <f t="shared" si="35"/>
        <v/>
      </c>
      <c r="DI103" s="43" t="str">
        <f t="shared" si="36"/>
        <v/>
      </c>
      <c r="DJ103" s="43" t="str">
        <f t="shared" si="37"/>
        <v/>
      </c>
      <c r="DK103" s="43" t="e">
        <f t="shared" si="38"/>
        <v>#N/A</v>
      </c>
      <c r="DL103" s="43" t="e">
        <f t="shared" si="39"/>
        <v>#N/A</v>
      </c>
      <c r="DM103" s="43" t="e">
        <f t="shared" si="40"/>
        <v>#N/A</v>
      </c>
      <c r="DN103" s="43" t="e">
        <f t="shared" si="41"/>
        <v>#N/A</v>
      </c>
      <c r="DO103" s="43" t="e">
        <f t="shared" si="42"/>
        <v>#N/A</v>
      </c>
      <c r="DP103" s="43" t="e">
        <f t="shared" si="43"/>
        <v>#N/A</v>
      </c>
      <c r="DQ103" s="43" t="e">
        <f t="shared" si="44"/>
        <v>#N/A</v>
      </c>
      <c r="DR103" s="43" t="e">
        <f t="shared" si="45"/>
        <v>#N/A</v>
      </c>
      <c r="DS103" s="43">
        <f t="shared" si="46"/>
        <v>0</v>
      </c>
      <c r="DT103" s="43">
        <v>93</v>
      </c>
      <c r="DU103" s="43">
        <f t="shared" si="56"/>
        <v>11.059999999999974</v>
      </c>
      <c r="DV103" s="43">
        <f t="shared" si="47"/>
        <v>12.842081323225342</v>
      </c>
      <c r="DW103" s="43">
        <f t="shared" si="48"/>
        <v>0.4010014784173398</v>
      </c>
      <c r="DX103" s="43" t="e">
        <f t="shared" si="49"/>
        <v>#N/A</v>
      </c>
      <c r="DY103" s="50" t="e">
        <f t="shared" si="50"/>
        <v>#N/A</v>
      </c>
      <c r="DZ103" s="50" t="str">
        <f t="shared" si="51"/>
        <v/>
      </c>
      <c r="EA103" s="50">
        <f t="shared" si="52"/>
        <v>1.4280646664457888</v>
      </c>
      <c r="EB103" s="43" t="e">
        <f t="shared" si="53"/>
        <v>#N/A</v>
      </c>
      <c r="EC103" s="50" t="e">
        <f t="shared" si="54"/>
        <v>#N/A</v>
      </c>
      <c r="ED103" s="50" t="str">
        <f t="shared" si="55"/>
        <v/>
      </c>
    </row>
    <row r="104" spans="1:134" ht="12" customHeight="1">
      <c r="A104" s="669">
        <v>92</v>
      </c>
      <c r="B104" s="994"/>
      <c r="C104" s="995"/>
      <c r="D104" s="1026"/>
      <c r="E104" s="884"/>
      <c r="F104" s="1027" t="str">
        <f t="shared" si="57"/>
        <v/>
      </c>
      <c r="G104" s="1028" t="str">
        <f t="shared" si="58"/>
        <v/>
      </c>
      <c r="H104" s="886"/>
      <c r="I104" s="458" t="str">
        <f t="shared" si="59"/>
        <v/>
      </c>
      <c r="J104" s="886"/>
      <c r="BA104" s="1034">
        <v>98</v>
      </c>
      <c r="BB104" s="994"/>
      <c r="BC104" s="995"/>
      <c r="BD104" s="986"/>
      <c r="BF104" s="1034">
        <v>98</v>
      </c>
      <c r="BG104" s="994"/>
      <c r="BH104" s="995"/>
      <c r="BI104" s="986"/>
      <c r="BK104" s="1034">
        <v>98</v>
      </c>
      <c r="BL104" s="994"/>
      <c r="BM104" s="995"/>
      <c r="BN104" s="986"/>
      <c r="BP104" s="1034">
        <v>98</v>
      </c>
      <c r="BQ104" s="994">
        <v>4.7142857142857144</v>
      </c>
      <c r="BR104" s="995">
        <v>6.2</v>
      </c>
      <c r="BS104" s="986"/>
      <c r="BU104" s="1034">
        <v>98</v>
      </c>
      <c r="BV104" s="996"/>
      <c r="BW104" s="997"/>
      <c r="BX104" s="986"/>
      <c r="BZ104" s="1034">
        <v>98</v>
      </c>
      <c r="CA104" s="996"/>
      <c r="CB104" s="997"/>
      <c r="CC104" s="986"/>
      <c r="DF104" s="43" t="b">
        <f t="shared" si="33"/>
        <v>0</v>
      </c>
      <c r="DG104" s="43" t="str">
        <f t="shared" si="34"/>
        <v/>
      </c>
      <c r="DH104" s="43" t="str">
        <f t="shared" si="35"/>
        <v/>
      </c>
      <c r="DI104" s="43" t="str">
        <f t="shared" si="36"/>
        <v/>
      </c>
      <c r="DJ104" s="43" t="str">
        <f t="shared" si="37"/>
        <v/>
      </c>
      <c r="DK104" s="43" t="e">
        <f t="shared" si="38"/>
        <v>#N/A</v>
      </c>
      <c r="DL104" s="43" t="e">
        <f t="shared" si="39"/>
        <v>#N/A</v>
      </c>
      <c r="DM104" s="43" t="e">
        <f t="shared" si="40"/>
        <v>#N/A</v>
      </c>
      <c r="DN104" s="43" t="e">
        <f t="shared" si="41"/>
        <v>#N/A</v>
      </c>
      <c r="DO104" s="43" t="e">
        <f t="shared" si="42"/>
        <v>#N/A</v>
      </c>
      <c r="DP104" s="43" t="e">
        <f t="shared" si="43"/>
        <v>#N/A</v>
      </c>
      <c r="DQ104" s="43" t="e">
        <f t="shared" si="44"/>
        <v>#N/A</v>
      </c>
      <c r="DR104" s="43" t="e">
        <f t="shared" si="45"/>
        <v>#N/A</v>
      </c>
      <c r="DS104" s="43">
        <f t="shared" si="46"/>
        <v>0</v>
      </c>
      <c r="DT104" s="43">
        <v>94</v>
      </c>
      <c r="DU104" s="43">
        <f t="shared" si="56"/>
        <v>11.114999999999974</v>
      </c>
      <c r="DV104" s="43">
        <f t="shared" si="47"/>
        <v>12.884951757408663</v>
      </c>
      <c r="DW104" s="43">
        <f t="shared" si="48"/>
        <v>0.3999435260463623</v>
      </c>
      <c r="DX104" s="43" t="e">
        <f t="shared" si="49"/>
        <v>#N/A</v>
      </c>
      <c r="DY104" s="50" t="e">
        <f t="shared" si="50"/>
        <v>#N/A</v>
      </c>
      <c r="DZ104" s="50" t="str">
        <f t="shared" si="51"/>
        <v/>
      </c>
      <c r="EA104" s="50">
        <f t="shared" si="52"/>
        <v>1.4277679537951629</v>
      </c>
      <c r="EB104" s="43" t="e">
        <f t="shared" si="53"/>
        <v>#N/A</v>
      </c>
      <c r="EC104" s="50" t="e">
        <f t="shared" si="54"/>
        <v>#N/A</v>
      </c>
      <c r="ED104" s="50" t="str">
        <f t="shared" si="55"/>
        <v/>
      </c>
    </row>
    <row r="105" spans="1:134" ht="12" customHeight="1">
      <c r="A105" s="640">
        <v>93</v>
      </c>
      <c r="B105" s="994"/>
      <c r="C105" s="995"/>
      <c r="D105" s="1026"/>
      <c r="E105" s="884"/>
      <c r="F105" s="1027" t="str">
        <f t="shared" si="57"/>
        <v/>
      </c>
      <c r="G105" s="1028" t="str">
        <f t="shared" si="58"/>
        <v/>
      </c>
      <c r="H105" s="886"/>
      <c r="I105" s="458" t="str">
        <f t="shared" si="59"/>
        <v/>
      </c>
      <c r="J105" s="886"/>
      <c r="BA105" s="983">
        <v>99</v>
      </c>
      <c r="BB105" s="994"/>
      <c r="BC105" s="995"/>
      <c r="BD105" s="986"/>
      <c r="BF105" s="983">
        <v>99</v>
      </c>
      <c r="BG105" s="994"/>
      <c r="BH105" s="995"/>
      <c r="BI105" s="986"/>
      <c r="BK105" s="983">
        <v>99</v>
      </c>
      <c r="BL105" s="994"/>
      <c r="BM105" s="995"/>
      <c r="BN105" s="986"/>
      <c r="BP105" s="983">
        <v>99</v>
      </c>
      <c r="BQ105" s="994">
        <v>3.7142857142857144</v>
      </c>
      <c r="BR105" s="995">
        <v>6.4</v>
      </c>
      <c r="BS105" s="986"/>
      <c r="BU105" s="983">
        <v>99</v>
      </c>
      <c r="BV105" s="996"/>
      <c r="BW105" s="997"/>
      <c r="BX105" s="986"/>
      <c r="BZ105" s="983">
        <v>99</v>
      </c>
      <c r="CA105" s="996"/>
      <c r="CB105" s="997"/>
      <c r="CC105" s="986"/>
      <c r="DF105" s="43" t="b">
        <f t="shared" si="33"/>
        <v>0</v>
      </c>
      <c r="DG105" s="43" t="str">
        <f t="shared" si="34"/>
        <v/>
      </c>
      <c r="DH105" s="43" t="str">
        <f t="shared" si="35"/>
        <v/>
      </c>
      <c r="DI105" s="43" t="str">
        <f t="shared" si="36"/>
        <v/>
      </c>
      <c r="DJ105" s="43" t="str">
        <f t="shared" si="37"/>
        <v/>
      </c>
      <c r="DK105" s="43" t="e">
        <f t="shared" si="38"/>
        <v>#N/A</v>
      </c>
      <c r="DL105" s="43" t="e">
        <f t="shared" si="39"/>
        <v>#N/A</v>
      </c>
      <c r="DM105" s="43" t="e">
        <f t="shared" si="40"/>
        <v>#N/A</v>
      </c>
      <c r="DN105" s="43" t="e">
        <f t="shared" si="41"/>
        <v>#N/A</v>
      </c>
      <c r="DO105" s="43" t="e">
        <f t="shared" si="42"/>
        <v>#N/A</v>
      </c>
      <c r="DP105" s="43" t="e">
        <f t="shared" si="43"/>
        <v>#N/A</v>
      </c>
      <c r="DQ105" s="43" t="e">
        <f t="shared" si="44"/>
        <v>#N/A</v>
      </c>
      <c r="DR105" s="43" t="e">
        <f t="shared" si="45"/>
        <v>#N/A</v>
      </c>
      <c r="DS105" s="43">
        <f t="shared" si="46"/>
        <v>0</v>
      </c>
      <c r="DT105" s="43">
        <v>95</v>
      </c>
      <c r="DU105" s="43">
        <f t="shared" si="56"/>
        <v>11.169999999999973</v>
      </c>
      <c r="DV105" s="43">
        <f t="shared" si="47"/>
        <v>12.927822191591986</v>
      </c>
      <c r="DW105" s="43">
        <f t="shared" si="48"/>
        <v>0.39900057069972578</v>
      </c>
      <c r="DX105" s="43" t="e">
        <f t="shared" si="49"/>
        <v>#N/A</v>
      </c>
      <c r="DY105" s="50" t="e">
        <f t="shared" si="50"/>
        <v>#N/A</v>
      </c>
      <c r="DZ105" s="50" t="str">
        <f t="shared" si="51"/>
        <v/>
      </c>
      <c r="EA105" s="50">
        <f t="shared" si="52"/>
        <v>1.4275041020174815</v>
      </c>
      <c r="EB105" s="43" t="e">
        <f t="shared" si="53"/>
        <v>#N/A</v>
      </c>
      <c r="EC105" s="50" t="e">
        <f t="shared" si="54"/>
        <v>#N/A</v>
      </c>
      <c r="ED105" s="50" t="str">
        <f t="shared" si="55"/>
        <v/>
      </c>
    </row>
    <row r="106" spans="1:134" ht="12" customHeight="1">
      <c r="A106" s="640">
        <v>94</v>
      </c>
      <c r="B106" s="994"/>
      <c r="C106" s="995"/>
      <c r="D106" s="1026"/>
      <c r="E106" s="884"/>
      <c r="F106" s="1027" t="str">
        <f t="shared" si="57"/>
        <v/>
      </c>
      <c r="G106" s="1028" t="str">
        <f t="shared" si="58"/>
        <v/>
      </c>
      <c r="H106" s="886"/>
      <c r="I106" s="458" t="str">
        <f t="shared" si="59"/>
        <v/>
      </c>
      <c r="J106" s="886"/>
      <c r="BA106" s="983">
        <v>100</v>
      </c>
      <c r="BB106" s="994"/>
      <c r="BC106" s="995"/>
      <c r="BD106" s="986"/>
      <c r="BF106" s="983">
        <v>100</v>
      </c>
      <c r="BG106" s="994"/>
      <c r="BH106" s="995"/>
      <c r="BI106" s="986"/>
      <c r="BK106" s="983">
        <v>100</v>
      </c>
      <c r="BL106" s="994"/>
      <c r="BM106" s="995"/>
      <c r="BN106" s="986"/>
      <c r="BP106" s="983">
        <v>100</v>
      </c>
      <c r="BQ106" s="994">
        <v>4</v>
      </c>
      <c r="BR106" s="995">
        <v>6.4</v>
      </c>
      <c r="BS106" s="986"/>
      <c r="BU106" s="983">
        <v>100</v>
      </c>
      <c r="BV106" s="996"/>
      <c r="BW106" s="997"/>
      <c r="BX106" s="986"/>
      <c r="BZ106" s="983">
        <v>100</v>
      </c>
      <c r="CA106" s="996"/>
      <c r="CB106" s="997"/>
      <c r="CC106" s="986"/>
      <c r="DF106" s="43" t="b">
        <f t="shared" si="33"/>
        <v>0</v>
      </c>
      <c r="DG106" s="43" t="str">
        <f t="shared" si="34"/>
        <v/>
      </c>
      <c r="DH106" s="43" t="str">
        <f t="shared" si="35"/>
        <v/>
      </c>
      <c r="DI106" s="43" t="str">
        <f t="shared" si="36"/>
        <v/>
      </c>
      <c r="DJ106" s="43" t="str">
        <f t="shared" si="37"/>
        <v/>
      </c>
      <c r="DK106" s="43" t="e">
        <f t="shared" si="38"/>
        <v>#N/A</v>
      </c>
      <c r="DL106" s="43" t="e">
        <f t="shared" si="39"/>
        <v>#N/A</v>
      </c>
      <c r="DM106" s="43" t="e">
        <f t="shared" si="40"/>
        <v>#N/A</v>
      </c>
      <c r="DN106" s="43" t="e">
        <f t="shared" si="41"/>
        <v>#N/A</v>
      </c>
      <c r="DO106" s="43" t="e">
        <f t="shared" si="42"/>
        <v>#N/A</v>
      </c>
      <c r="DP106" s="43" t="e">
        <f t="shared" si="43"/>
        <v>#N/A</v>
      </c>
      <c r="DQ106" s="43" t="e">
        <f t="shared" si="44"/>
        <v>#N/A</v>
      </c>
      <c r="DR106" s="43" t="e">
        <f t="shared" si="45"/>
        <v>#N/A</v>
      </c>
      <c r="DS106" s="43">
        <f t="shared" si="46"/>
        <v>0</v>
      </c>
      <c r="DT106" s="43">
        <v>96</v>
      </c>
      <c r="DU106" s="43">
        <f t="shared" si="56"/>
        <v>11.224999999999973</v>
      </c>
      <c r="DV106" s="43">
        <f t="shared" si="47"/>
        <v>12.970692625775307</v>
      </c>
      <c r="DW106" s="43">
        <f t="shared" si="48"/>
        <v>0.39817342938702083</v>
      </c>
      <c r="DX106" s="43" t="e">
        <f t="shared" si="49"/>
        <v>#N/A</v>
      </c>
      <c r="DY106" s="50" t="e">
        <f t="shared" si="50"/>
        <v>#N/A</v>
      </c>
      <c r="DZ106" s="50" t="str">
        <f t="shared" si="51"/>
        <v/>
      </c>
      <c r="EA106" s="50">
        <f t="shared" si="52"/>
        <v>1.4272731293371463</v>
      </c>
      <c r="EB106" s="43" t="e">
        <f t="shared" si="53"/>
        <v>#N/A</v>
      </c>
      <c r="EC106" s="50" t="e">
        <f t="shared" si="54"/>
        <v>#N/A</v>
      </c>
      <c r="ED106" s="50" t="str">
        <f t="shared" si="55"/>
        <v/>
      </c>
    </row>
    <row r="107" spans="1:134" ht="12" customHeight="1">
      <c r="A107" s="669">
        <v>95</v>
      </c>
      <c r="B107" s="994"/>
      <c r="C107" s="995"/>
      <c r="D107" s="1026"/>
      <c r="E107" s="884"/>
      <c r="F107" s="1027" t="str">
        <f t="shared" si="57"/>
        <v/>
      </c>
      <c r="G107" s="1028" t="str">
        <f t="shared" si="58"/>
        <v/>
      </c>
      <c r="H107" s="886"/>
      <c r="I107" s="458" t="str">
        <f t="shared" si="59"/>
        <v/>
      </c>
      <c r="J107" s="886"/>
      <c r="BA107" s="983">
        <v>101</v>
      </c>
      <c r="BB107" s="994"/>
      <c r="BC107" s="995"/>
      <c r="BD107" s="1083"/>
      <c r="BF107" s="983">
        <v>101</v>
      </c>
      <c r="BG107" s="994"/>
      <c r="BH107" s="995"/>
      <c r="BI107" s="1083"/>
      <c r="BK107" s="983">
        <v>101</v>
      </c>
      <c r="BL107" s="994"/>
      <c r="BM107" s="995"/>
      <c r="BN107" s="1083"/>
      <c r="BP107" s="983">
        <v>101</v>
      </c>
      <c r="BQ107" s="994">
        <v>4.1428571428571432</v>
      </c>
      <c r="BR107" s="995">
        <v>6.4</v>
      </c>
      <c r="BS107" s="1083"/>
      <c r="BU107" s="983">
        <v>101</v>
      </c>
      <c r="BV107" s="996"/>
      <c r="BW107" s="997"/>
      <c r="BX107" s="1083"/>
      <c r="BZ107" s="983">
        <v>101</v>
      </c>
      <c r="CA107" s="996"/>
      <c r="CB107" s="997"/>
      <c r="CC107" s="1083"/>
      <c r="DF107" s="43" t="b">
        <f t="shared" si="33"/>
        <v>0</v>
      </c>
      <c r="DG107" s="43" t="str">
        <f t="shared" si="34"/>
        <v/>
      </c>
      <c r="DH107" s="43" t="str">
        <f t="shared" si="35"/>
        <v/>
      </c>
      <c r="DI107" s="43" t="str">
        <f t="shared" si="36"/>
        <v/>
      </c>
      <c r="DJ107" s="43" t="str">
        <f t="shared" si="37"/>
        <v/>
      </c>
      <c r="DK107" s="43" t="e">
        <f t="shared" si="38"/>
        <v>#N/A</v>
      </c>
      <c r="DL107" s="43" t="e">
        <f t="shared" si="39"/>
        <v>#N/A</v>
      </c>
      <c r="DM107" s="43" t="e">
        <f t="shared" si="40"/>
        <v>#N/A</v>
      </c>
      <c r="DN107" s="43" t="e">
        <f t="shared" si="41"/>
        <v>#N/A</v>
      </c>
      <c r="DO107" s="43" t="e">
        <f t="shared" si="42"/>
        <v>#N/A</v>
      </c>
      <c r="DP107" s="43" t="e">
        <f t="shared" si="43"/>
        <v>#N/A</v>
      </c>
      <c r="DQ107" s="43" t="e">
        <f t="shared" si="44"/>
        <v>#N/A</v>
      </c>
      <c r="DR107" s="43" t="e">
        <f t="shared" si="45"/>
        <v>#N/A</v>
      </c>
      <c r="DS107" s="43">
        <f t="shared" si="46"/>
        <v>0</v>
      </c>
      <c r="DT107" s="43">
        <v>97</v>
      </c>
      <c r="DU107" s="43">
        <f t="shared" si="56"/>
        <v>11.279999999999973</v>
      </c>
      <c r="DV107" s="43">
        <f t="shared" si="47"/>
        <v>13.013563059958628</v>
      </c>
      <c r="DW107" s="43">
        <f t="shared" si="48"/>
        <v>0.39746282515442788</v>
      </c>
      <c r="DX107" s="43" t="e">
        <f t="shared" si="49"/>
        <v>#N/A</v>
      </c>
      <c r="DY107" s="50" t="e">
        <f t="shared" si="50"/>
        <v>#N/A</v>
      </c>
      <c r="DZ107" s="50" t="str">
        <f t="shared" si="51"/>
        <v/>
      </c>
      <c r="EA107" s="50">
        <f t="shared" si="52"/>
        <v>1.4270750517186432</v>
      </c>
      <c r="EB107" s="43" t="e">
        <f t="shared" si="53"/>
        <v>#N/A</v>
      </c>
      <c r="EC107" s="50" t="e">
        <f t="shared" si="54"/>
        <v>#N/A</v>
      </c>
      <c r="ED107" s="50" t="str">
        <f t="shared" si="55"/>
        <v/>
      </c>
    </row>
    <row r="108" spans="1:134" ht="12" customHeight="1">
      <c r="A108" s="640">
        <v>96</v>
      </c>
      <c r="B108" s="994"/>
      <c r="C108" s="995"/>
      <c r="D108" s="1026"/>
      <c r="E108" s="884"/>
      <c r="F108" s="1027" t="str">
        <f t="shared" si="57"/>
        <v/>
      </c>
      <c r="G108" s="1028" t="str">
        <f t="shared" si="58"/>
        <v/>
      </c>
      <c r="H108" s="886"/>
      <c r="I108" s="458" t="str">
        <f t="shared" si="59"/>
        <v/>
      </c>
      <c r="J108" s="886"/>
      <c r="BA108" s="983">
        <v>102</v>
      </c>
      <c r="BB108" s="994"/>
      <c r="BC108" s="995"/>
      <c r="BD108" s="1083"/>
      <c r="BF108" s="983">
        <v>102</v>
      </c>
      <c r="BG108" s="994"/>
      <c r="BH108" s="995"/>
      <c r="BI108" s="1083"/>
      <c r="BK108" s="983">
        <v>102</v>
      </c>
      <c r="BL108" s="994"/>
      <c r="BM108" s="995"/>
      <c r="BN108" s="1083"/>
      <c r="BP108" s="983">
        <v>102</v>
      </c>
      <c r="BQ108" s="994">
        <v>4.4285714285714288</v>
      </c>
      <c r="BR108" s="995">
        <v>6.4</v>
      </c>
      <c r="BS108" s="1083"/>
      <c r="BU108" s="983">
        <v>102</v>
      </c>
      <c r="BV108" s="996"/>
      <c r="BW108" s="997"/>
      <c r="BX108" s="1083"/>
      <c r="BZ108" s="983">
        <v>102</v>
      </c>
      <c r="CA108" s="996"/>
      <c r="CB108" s="997"/>
      <c r="CC108" s="1083"/>
      <c r="DF108" s="43" t="b">
        <f t="shared" si="33"/>
        <v>0</v>
      </c>
      <c r="DG108" s="43" t="str">
        <f t="shared" si="34"/>
        <v/>
      </c>
      <c r="DH108" s="43" t="str">
        <f t="shared" si="35"/>
        <v/>
      </c>
      <c r="DI108" s="43" t="str">
        <f t="shared" si="36"/>
        <v/>
      </c>
      <c r="DJ108" s="43" t="str">
        <f t="shared" si="37"/>
        <v/>
      </c>
      <c r="DK108" s="43" t="e">
        <f t="shared" si="38"/>
        <v>#N/A</v>
      </c>
      <c r="DL108" s="43" t="e">
        <f t="shared" si="39"/>
        <v>#N/A</v>
      </c>
      <c r="DM108" s="43" t="e">
        <f t="shared" si="40"/>
        <v>#N/A</v>
      </c>
      <c r="DN108" s="43" t="e">
        <f t="shared" si="41"/>
        <v>#N/A</v>
      </c>
      <c r="DO108" s="43" t="e">
        <f t="shared" si="42"/>
        <v>#N/A</v>
      </c>
      <c r="DP108" s="43" t="e">
        <f t="shared" si="43"/>
        <v>#N/A</v>
      </c>
      <c r="DQ108" s="43" t="e">
        <f t="shared" si="44"/>
        <v>#N/A</v>
      </c>
      <c r="DR108" s="43" t="e">
        <f t="shared" si="45"/>
        <v>#N/A</v>
      </c>
      <c r="DS108" s="43">
        <f t="shared" si="46"/>
        <v>0</v>
      </c>
      <c r="DT108" s="43">
        <v>98</v>
      </c>
      <c r="DU108" s="43">
        <f t="shared" ref="DU108:DU139" si="60">DU107+$DU$5</f>
        <v>11.334999999999972</v>
      </c>
      <c r="DV108" s="43">
        <f t="shared" si="47"/>
        <v>13.056433494141951</v>
      </c>
      <c r="DW108" s="43">
        <f t="shared" si="48"/>
        <v>0.39686938398982391</v>
      </c>
      <c r="DX108" s="43" t="e">
        <f t="shared" si="49"/>
        <v>#N/A</v>
      </c>
      <c r="DY108" s="50" t="e">
        <f t="shared" si="50"/>
        <v>#N/A</v>
      </c>
      <c r="DZ108" s="50" t="str">
        <f t="shared" si="51"/>
        <v/>
      </c>
      <c r="EA108" s="50">
        <f t="shared" si="52"/>
        <v>1.4269098828610347</v>
      </c>
      <c r="EB108" s="43" t="e">
        <f t="shared" si="53"/>
        <v>#N/A</v>
      </c>
      <c r="EC108" s="50" t="e">
        <f t="shared" si="54"/>
        <v>#N/A</v>
      </c>
      <c r="ED108" s="50" t="str">
        <f t="shared" si="55"/>
        <v/>
      </c>
    </row>
    <row r="109" spans="1:134" ht="12" customHeight="1">
      <c r="A109" s="640">
        <v>97</v>
      </c>
      <c r="B109" s="994"/>
      <c r="C109" s="995"/>
      <c r="D109" s="1026"/>
      <c r="E109" s="884"/>
      <c r="F109" s="1027" t="str">
        <f t="shared" si="57"/>
        <v/>
      </c>
      <c r="G109" s="1028" t="str">
        <f t="shared" si="58"/>
        <v/>
      </c>
      <c r="H109" s="886"/>
      <c r="I109" s="458" t="str">
        <f t="shared" si="59"/>
        <v/>
      </c>
      <c r="J109" s="886"/>
      <c r="BA109" s="983">
        <v>103</v>
      </c>
      <c r="BB109" s="994"/>
      <c r="BC109" s="995"/>
      <c r="BD109" s="1083"/>
      <c r="BF109" s="983">
        <v>103</v>
      </c>
      <c r="BG109" s="994"/>
      <c r="BH109" s="995"/>
      <c r="BI109" s="1083"/>
      <c r="BK109" s="983">
        <v>103</v>
      </c>
      <c r="BL109" s="994"/>
      <c r="BM109" s="995"/>
      <c r="BN109" s="1083"/>
      <c r="BP109" s="983">
        <v>103</v>
      </c>
      <c r="BQ109" s="994">
        <v>4</v>
      </c>
      <c r="BR109" s="995">
        <v>6.6</v>
      </c>
      <c r="BS109" s="1083"/>
      <c r="BU109" s="983">
        <v>103</v>
      </c>
      <c r="BV109" s="996"/>
      <c r="BW109" s="997"/>
      <c r="BX109" s="1083"/>
      <c r="BZ109" s="983">
        <v>103</v>
      </c>
      <c r="CA109" s="996"/>
      <c r="CB109" s="997"/>
      <c r="CC109" s="1083"/>
      <c r="DF109" s="43" t="b">
        <f t="shared" si="33"/>
        <v>0</v>
      </c>
      <c r="DG109" s="43" t="str">
        <f t="shared" si="34"/>
        <v/>
      </c>
      <c r="DH109" s="43" t="str">
        <f t="shared" si="35"/>
        <v/>
      </c>
      <c r="DI109" s="43" t="str">
        <f t="shared" si="36"/>
        <v/>
      </c>
      <c r="DJ109" s="43" t="str">
        <f t="shared" si="37"/>
        <v/>
      </c>
      <c r="DK109" s="43" t="e">
        <f t="shared" si="38"/>
        <v>#N/A</v>
      </c>
      <c r="DL109" s="43" t="e">
        <f t="shared" si="39"/>
        <v>#N/A</v>
      </c>
      <c r="DM109" s="43" t="e">
        <f t="shared" si="40"/>
        <v>#N/A</v>
      </c>
      <c r="DN109" s="43" t="e">
        <f t="shared" si="41"/>
        <v>#N/A</v>
      </c>
      <c r="DO109" s="43" t="e">
        <f t="shared" si="42"/>
        <v>#N/A</v>
      </c>
      <c r="DP109" s="43" t="e">
        <f t="shared" si="43"/>
        <v>#N/A</v>
      </c>
      <c r="DQ109" s="43" t="e">
        <f t="shared" si="44"/>
        <v>#N/A</v>
      </c>
      <c r="DR109" s="43" t="e">
        <f t="shared" si="45"/>
        <v>#N/A</v>
      </c>
      <c r="DS109" s="43">
        <f t="shared" si="46"/>
        <v>0</v>
      </c>
      <c r="DT109" s="43">
        <v>99</v>
      </c>
      <c r="DU109" s="43">
        <f t="shared" si="60"/>
        <v>11.389999999999972</v>
      </c>
      <c r="DV109" s="43">
        <f t="shared" si="47"/>
        <v>13.099303928325272</v>
      </c>
      <c r="DW109" s="43">
        <f t="shared" si="48"/>
        <v>0.39639363210827411</v>
      </c>
      <c r="DX109" s="43" t="e">
        <f t="shared" si="49"/>
        <v>#N/A</v>
      </c>
      <c r="DY109" s="50" t="e">
        <f t="shared" si="50"/>
        <v>#N/A</v>
      </c>
      <c r="DZ109" s="50" t="str">
        <f t="shared" si="51"/>
        <v/>
      </c>
      <c r="EA109" s="50">
        <f t="shared" si="52"/>
        <v>1.4267776341932259</v>
      </c>
      <c r="EB109" s="43" t="e">
        <f t="shared" si="53"/>
        <v>#N/A</v>
      </c>
      <c r="EC109" s="50" t="e">
        <f t="shared" si="54"/>
        <v>#N/A</v>
      </c>
      <c r="ED109" s="50" t="str">
        <f t="shared" si="55"/>
        <v/>
      </c>
    </row>
    <row r="110" spans="1:134" ht="12" customHeight="1">
      <c r="A110" s="669">
        <v>98</v>
      </c>
      <c r="B110" s="994"/>
      <c r="C110" s="995"/>
      <c r="D110" s="1026"/>
      <c r="E110" s="884"/>
      <c r="F110" s="1027" t="str">
        <f t="shared" si="57"/>
        <v/>
      </c>
      <c r="G110" s="1028" t="str">
        <f t="shared" si="58"/>
        <v/>
      </c>
      <c r="H110" s="886"/>
      <c r="I110" s="458" t="str">
        <f t="shared" si="59"/>
        <v/>
      </c>
      <c r="J110" s="886"/>
      <c r="BA110" s="983">
        <v>104</v>
      </c>
      <c r="BB110" s="994"/>
      <c r="BC110" s="995"/>
      <c r="BD110" s="1083"/>
      <c r="BF110" s="983">
        <v>104</v>
      </c>
      <c r="BG110" s="994"/>
      <c r="BH110" s="995"/>
      <c r="BI110" s="1083"/>
      <c r="BK110" s="983">
        <v>104</v>
      </c>
      <c r="BL110" s="994"/>
      <c r="BM110" s="995"/>
      <c r="BN110" s="1083"/>
      <c r="BP110" s="983">
        <v>104</v>
      </c>
      <c r="BQ110" s="994">
        <v>4.5714285714285712</v>
      </c>
      <c r="BR110" s="995">
        <v>6.6</v>
      </c>
      <c r="BS110" s="1083"/>
      <c r="BU110" s="983">
        <v>104</v>
      </c>
      <c r="BV110" s="996"/>
      <c r="BW110" s="997"/>
      <c r="BX110" s="1083"/>
      <c r="BZ110" s="983">
        <v>104</v>
      </c>
      <c r="CA110" s="996"/>
      <c r="CB110" s="997"/>
      <c r="CC110" s="1083"/>
      <c r="DF110" s="43" t="b">
        <f t="shared" si="33"/>
        <v>0</v>
      </c>
      <c r="DG110" s="43" t="str">
        <f t="shared" si="34"/>
        <v/>
      </c>
      <c r="DH110" s="43" t="str">
        <f t="shared" si="35"/>
        <v/>
      </c>
      <c r="DI110" s="43" t="str">
        <f t="shared" si="36"/>
        <v/>
      </c>
      <c r="DJ110" s="43" t="str">
        <f t="shared" si="37"/>
        <v/>
      </c>
      <c r="DK110" s="43" t="e">
        <f t="shared" si="38"/>
        <v>#N/A</v>
      </c>
      <c r="DL110" s="43" t="e">
        <f t="shared" si="39"/>
        <v>#N/A</v>
      </c>
      <c r="DM110" s="43" t="e">
        <f t="shared" si="40"/>
        <v>#N/A</v>
      </c>
      <c r="DN110" s="43" t="e">
        <f t="shared" si="41"/>
        <v>#N/A</v>
      </c>
      <c r="DO110" s="43" t="e">
        <f t="shared" si="42"/>
        <v>#N/A</v>
      </c>
      <c r="DP110" s="43" t="e">
        <f t="shared" si="43"/>
        <v>#N/A</v>
      </c>
      <c r="DQ110" s="43" t="e">
        <f t="shared" si="44"/>
        <v>#N/A</v>
      </c>
      <c r="DR110" s="43" t="e">
        <f t="shared" si="45"/>
        <v>#N/A</v>
      </c>
      <c r="DS110" s="43">
        <f t="shared" si="46"/>
        <v>0</v>
      </c>
      <c r="DT110" s="43">
        <v>100</v>
      </c>
      <c r="DU110" s="43">
        <f t="shared" si="60"/>
        <v>11.444999999999972</v>
      </c>
      <c r="DV110" s="43">
        <f t="shared" si="47"/>
        <v>13.142174362508593</v>
      </c>
      <c r="DW110" s="43">
        <f t="shared" si="48"/>
        <v>0.3960359936449232</v>
      </c>
      <c r="DX110" s="43" t="e">
        <f t="shared" si="49"/>
        <v>#N/A</v>
      </c>
      <c r="DY110" s="50" t="e">
        <f t="shared" si="50"/>
        <v>#N/A</v>
      </c>
      <c r="DZ110" s="50" t="str">
        <f t="shared" si="51"/>
        <v/>
      </c>
      <c r="EA110" s="50">
        <f t="shared" si="52"/>
        <v>1.4266783148700168</v>
      </c>
      <c r="EB110" s="43" t="e">
        <f t="shared" si="53"/>
        <v>#N/A</v>
      </c>
      <c r="EC110" s="50" t="e">
        <f t="shared" si="54"/>
        <v>#N/A</v>
      </c>
      <c r="ED110" s="50" t="str">
        <f t="shared" si="55"/>
        <v/>
      </c>
    </row>
    <row r="111" spans="1:134" ht="12" customHeight="1">
      <c r="A111" s="640">
        <v>99</v>
      </c>
      <c r="B111" s="994"/>
      <c r="C111" s="995"/>
      <c r="D111" s="1026"/>
      <c r="E111" s="884"/>
      <c r="F111" s="1027" t="str">
        <f t="shared" si="57"/>
        <v/>
      </c>
      <c r="G111" s="1028" t="str">
        <f t="shared" si="58"/>
        <v/>
      </c>
      <c r="H111" s="886"/>
      <c r="I111" s="458" t="str">
        <f t="shared" si="59"/>
        <v/>
      </c>
      <c r="J111" s="886"/>
      <c r="BA111" s="983">
        <v>105</v>
      </c>
      <c r="BB111" s="994"/>
      <c r="BC111" s="995"/>
      <c r="BD111" s="1083"/>
      <c r="BF111" s="983">
        <v>105</v>
      </c>
      <c r="BG111" s="994"/>
      <c r="BH111" s="995"/>
      <c r="BI111" s="1083"/>
      <c r="BK111" s="983">
        <v>105</v>
      </c>
      <c r="BL111" s="994"/>
      <c r="BM111" s="995"/>
      <c r="BN111" s="1083"/>
      <c r="BP111" s="983">
        <v>105</v>
      </c>
      <c r="BQ111" s="994">
        <v>4.2857142857142856</v>
      </c>
      <c r="BR111" s="995">
        <v>7</v>
      </c>
      <c r="BS111" s="1083"/>
      <c r="BU111" s="983">
        <v>105</v>
      </c>
      <c r="BV111" s="996"/>
      <c r="BW111" s="997"/>
      <c r="BX111" s="1083"/>
      <c r="BZ111" s="983">
        <v>105</v>
      </c>
      <c r="CA111" s="996"/>
      <c r="CB111" s="997"/>
      <c r="CC111" s="1083"/>
      <c r="DF111" s="43" t="b">
        <f t="shared" si="33"/>
        <v>0</v>
      </c>
      <c r="DG111" s="43" t="str">
        <f t="shared" si="34"/>
        <v/>
      </c>
      <c r="DH111" s="43" t="str">
        <f t="shared" si="35"/>
        <v/>
      </c>
      <c r="DI111" s="43" t="str">
        <f t="shared" si="36"/>
        <v/>
      </c>
      <c r="DJ111" s="43" t="str">
        <f t="shared" si="37"/>
        <v/>
      </c>
      <c r="DK111" s="43" t="e">
        <f t="shared" si="38"/>
        <v>#N/A</v>
      </c>
      <c r="DL111" s="43" t="e">
        <f t="shared" si="39"/>
        <v>#N/A</v>
      </c>
      <c r="DM111" s="43" t="e">
        <f t="shared" si="40"/>
        <v>#N/A</v>
      </c>
      <c r="DN111" s="43" t="e">
        <f t="shared" si="41"/>
        <v>#N/A</v>
      </c>
      <c r="DO111" s="43" t="e">
        <f t="shared" si="42"/>
        <v>#N/A</v>
      </c>
      <c r="DP111" s="43" t="e">
        <f t="shared" si="43"/>
        <v>#N/A</v>
      </c>
      <c r="DQ111" s="43" t="e">
        <f t="shared" si="44"/>
        <v>#N/A</v>
      </c>
      <c r="DR111" s="43" t="e">
        <f t="shared" si="45"/>
        <v>#N/A</v>
      </c>
      <c r="DS111" s="43">
        <f t="shared" si="46"/>
        <v>0</v>
      </c>
      <c r="DT111" s="43">
        <v>101</v>
      </c>
      <c r="DU111" s="43">
        <f t="shared" si="60"/>
        <v>11.499999999999972</v>
      </c>
      <c r="DV111" s="43">
        <f t="shared" si="47"/>
        <v>13.185044796691914</v>
      </c>
      <c r="DW111" s="43">
        <f t="shared" si="48"/>
        <v>0.39579678877860802</v>
      </c>
      <c r="DX111" s="43" t="e">
        <f t="shared" si="49"/>
        <v>#N/A</v>
      </c>
      <c r="DY111" s="50" t="e">
        <f t="shared" si="50"/>
        <v>#N/A</v>
      </c>
      <c r="DZ111" s="50" t="str">
        <f t="shared" si="51"/>
        <v/>
      </c>
      <c r="EA111" s="50">
        <f t="shared" si="52"/>
        <v>1.4266119317689332</v>
      </c>
      <c r="EB111" s="43" t="e">
        <f t="shared" si="53"/>
        <v>#N/A</v>
      </c>
      <c r="EC111" s="50" t="e">
        <f t="shared" si="54"/>
        <v>#N/A</v>
      </c>
      <c r="ED111" s="50" t="str">
        <f t="shared" si="55"/>
        <v/>
      </c>
    </row>
    <row r="112" spans="1:134" ht="12" customHeight="1">
      <c r="A112" s="640">
        <v>100</v>
      </c>
      <c r="B112" s="994"/>
      <c r="C112" s="995"/>
      <c r="D112" s="1026"/>
      <c r="E112" s="884"/>
      <c r="F112" s="1027" t="str">
        <f t="shared" si="57"/>
        <v/>
      </c>
      <c r="G112" s="1028" t="str">
        <f t="shared" si="58"/>
        <v/>
      </c>
      <c r="H112" s="886"/>
      <c r="I112" s="458" t="str">
        <f t="shared" si="59"/>
        <v/>
      </c>
      <c r="J112" s="886"/>
      <c r="BA112" s="983">
        <v>106</v>
      </c>
      <c r="BB112" s="994"/>
      <c r="BC112" s="995"/>
      <c r="BD112" s="1083"/>
      <c r="BF112" s="983">
        <v>106</v>
      </c>
      <c r="BG112" s="994"/>
      <c r="BH112" s="995"/>
      <c r="BI112" s="1083"/>
      <c r="BK112" s="983">
        <v>106</v>
      </c>
      <c r="BL112" s="994"/>
      <c r="BM112" s="995"/>
      <c r="BN112" s="1083"/>
      <c r="BP112" s="983">
        <v>106</v>
      </c>
      <c r="BQ112" s="994">
        <v>5</v>
      </c>
      <c r="BR112" s="995">
        <v>7</v>
      </c>
      <c r="BS112" s="1083"/>
      <c r="BU112" s="983">
        <v>106</v>
      </c>
      <c r="BV112" s="996"/>
      <c r="BW112" s="997"/>
      <c r="BX112" s="1083"/>
      <c r="BZ112" s="983">
        <v>106</v>
      </c>
      <c r="CA112" s="996"/>
      <c r="CB112" s="997"/>
      <c r="CC112" s="1083"/>
      <c r="DF112" s="43" t="b">
        <f t="shared" si="33"/>
        <v>0</v>
      </c>
      <c r="DG112" s="43" t="str">
        <f t="shared" si="34"/>
        <v/>
      </c>
      <c r="DH112" s="43" t="str">
        <f t="shared" si="35"/>
        <v/>
      </c>
      <c r="DI112" s="43" t="str">
        <f t="shared" si="36"/>
        <v/>
      </c>
      <c r="DJ112" s="43" t="str">
        <f t="shared" si="37"/>
        <v/>
      </c>
      <c r="DK112" s="43" t="e">
        <f t="shared" si="38"/>
        <v>#N/A</v>
      </c>
      <c r="DL112" s="43" t="e">
        <f t="shared" si="39"/>
        <v>#N/A</v>
      </c>
      <c r="DM112" s="43" t="e">
        <f t="shared" si="40"/>
        <v>#N/A</v>
      </c>
      <c r="DN112" s="43" t="e">
        <f t="shared" si="41"/>
        <v>#N/A</v>
      </c>
      <c r="DO112" s="43" t="e">
        <f t="shared" si="42"/>
        <v>#N/A</v>
      </c>
      <c r="DP112" s="43" t="e">
        <f t="shared" si="43"/>
        <v>#N/A</v>
      </c>
      <c r="DQ112" s="43" t="e">
        <f t="shared" si="44"/>
        <v>#N/A</v>
      </c>
      <c r="DR112" s="43" t="e">
        <f t="shared" si="45"/>
        <v>#N/A</v>
      </c>
      <c r="DS112" s="43">
        <f t="shared" si="46"/>
        <v>0</v>
      </c>
      <c r="DT112" s="43">
        <v>102</v>
      </c>
      <c r="DU112" s="43">
        <f t="shared" si="60"/>
        <v>11.554999999999971</v>
      </c>
      <c r="DV112" s="43">
        <f t="shared" si="47"/>
        <v>13.227915230875237</v>
      </c>
      <c r="DW112" s="43">
        <f t="shared" si="48"/>
        <v>0.39567623230540261</v>
      </c>
      <c r="DX112" s="43" t="e">
        <f t="shared" si="49"/>
        <v>#N/A</v>
      </c>
      <c r="DY112" s="50" t="e">
        <f t="shared" si="50"/>
        <v>#N/A</v>
      </c>
      <c r="DZ112" s="50" t="str">
        <f t="shared" si="51"/>
        <v/>
      </c>
      <c r="EA112" s="50">
        <f t="shared" si="52"/>
        <v>1.4265784894878473</v>
      </c>
      <c r="EB112" s="43" t="e">
        <f t="shared" si="53"/>
        <v>#N/A</v>
      </c>
      <c r="EC112" s="50" t="e">
        <f t="shared" si="54"/>
        <v>#N/A</v>
      </c>
      <c r="ED112" s="50" t="str">
        <f t="shared" si="55"/>
        <v/>
      </c>
    </row>
    <row r="113" spans="1:134" ht="12" customHeight="1">
      <c r="A113" s="640">
        <v>101</v>
      </c>
      <c r="B113" s="994"/>
      <c r="C113" s="995"/>
      <c r="D113" s="329"/>
      <c r="E113" s="884"/>
      <c r="F113" s="1027" t="str">
        <f t="shared" si="57"/>
        <v/>
      </c>
      <c r="G113" s="1028" t="str">
        <f t="shared" si="58"/>
        <v/>
      </c>
      <c r="H113" s="886"/>
      <c r="I113" s="458" t="str">
        <f t="shared" si="59"/>
        <v/>
      </c>
      <c r="J113" s="886"/>
      <c r="BA113" s="983">
        <v>107</v>
      </c>
      <c r="BB113" s="994"/>
      <c r="BC113" s="995"/>
      <c r="BD113" s="1083"/>
      <c r="BF113" s="983">
        <v>107</v>
      </c>
      <c r="BG113" s="994"/>
      <c r="BH113" s="995"/>
      <c r="BI113" s="1083"/>
      <c r="BK113" s="983">
        <v>107</v>
      </c>
      <c r="BL113" s="994"/>
      <c r="BM113" s="995"/>
      <c r="BN113" s="1083"/>
      <c r="BP113" s="983">
        <v>107</v>
      </c>
      <c r="BQ113" s="994"/>
      <c r="BR113" s="995"/>
      <c r="BS113" s="1083"/>
      <c r="BU113" s="983">
        <v>107</v>
      </c>
      <c r="BV113" s="996"/>
      <c r="BW113" s="997"/>
      <c r="BX113" s="1083"/>
      <c r="BZ113" s="983">
        <v>107</v>
      </c>
      <c r="CA113" s="996"/>
      <c r="CB113" s="997"/>
      <c r="CC113" s="1083"/>
      <c r="DF113" s="43" t="b">
        <f t="shared" si="33"/>
        <v>0</v>
      </c>
      <c r="DG113" s="43" t="str">
        <f t="shared" si="34"/>
        <v/>
      </c>
      <c r="DH113" s="43" t="str">
        <f t="shared" si="35"/>
        <v/>
      </c>
      <c r="DI113" s="43" t="str">
        <f t="shared" si="36"/>
        <v/>
      </c>
      <c r="DJ113" s="43" t="str">
        <f t="shared" si="37"/>
        <v/>
      </c>
      <c r="DK113" s="43" t="e">
        <f t="shared" si="38"/>
        <v>#N/A</v>
      </c>
      <c r="DL113" s="43" t="e">
        <f t="shared" si="39"/>
        <v>#N/A</v>
      </c>
      <c r="DM113" s="43" t="e">
        <f t="shared" si="40"/>
        <v>#N/A</v>
      </c>
      <c r="DN113" s="43" t="e">
        <f t="shared" si="41"/>
        <v>#N/A</v>
      </c>
      <c r="DO113" s="43" t="e">
        <f t="shared" si="42"/>
        <v>#N/A</v>
      </c>
      <c r="DP113" s="43" t="e">
        <f t="shared" si="43"/>
        <v>#N/A</v>
      </c>
      <c r="DQ113" s="43" t="e">
        <f t="shared" si="44"/>
        <v>#N/A</v>
      </c>
      <c r="DR113" s="43" t="e">
        <f t="shared" si="45"/>
        <v>#N/A</v>
      </c>
      <c r="DS113" s="43">
        <f t="shared" si="46"/>
        <v>0</v>
      </c>
      <c r="DT113" s="43">
        <v>103</v>
      </c>
      <c r="DU113" s="43">
        <f t="shared" si="60"/>
        <v>11.609999999999971</v>
      </c>
      <c r="DV113" s="43">
        <f t="shared" si="47"/>
        <v>13.270785665058558</v>
      </c>
      <c r="DW113" s="43">
        <f t="shared" si="48"/>
        <v>0.39567443267684643</v>
      </c>
      <c r="DX113" s="43" t="e">
        <f t="shared" si="49"/>
        <v>#N/A</v>
      </c>
      <c r="DY113" s="50" t="e">
        <f t="shared" si="50"/>
        <v>#N/A</v>
      </c>
      <c r="DZ113" s="50" t="str">
        <f t="shared" si="51"/>
        <v/>
      </c>
      <c r="EA113" s="50">
        <f t="shared" si="52"/>
        <v>1.4265779903433859</v>
      </c>
      <c r="EB113" s="43" t="e">
        <f t="shared" si="53"/>
        <v>#N/A</v>
      </c>
      <c r="EC113" s="50" t="e">
        <f t="shared" si="54"/>
        <v>#N/A</v>
      </c>
      <c r="ED113" s="50" t="str">
        <f t="shared" si="55"/>
        <v/>
      </c>
    </row>
    <row r="114" spans="1:134" ht="12" customHeight="1">
      <c r="A114" s="640">
        <v>102</v>
      </c>
      <c r="B114" s="994"/>
      <c r="C114" s="995"/>
      <c r="D114" s="329"/>
      <c r="E114" s="884"/>
      <c r="F114" s="1027" t="str">
        <f t="shared" si="57"/>
        <v/>
      </c>
      <c r="G114" s="1028" t="str">
        <f t="shared" si="58"/>
        <v/>
      </c>
      <c r="H114" s="886"/>
      <c r="I114" s="458" t="str">
        <f t="shared" si="59"/>
        <v/>
      </c>
      <c r="J114" s="886"/>
      <c r="BA114" s="983">
        <v>108</v>
      </c>
      <c r="BB114" s="994"/>
      <c r="BC114" s="995"/>
      <c r="BD114" s="1083"/>
      <c r="BF114" s="983">
        <v>108</v>
      </c>
      <c r="BG114" s="994"/>
      <c r="BH114" s="995"/>
      <c r="BI114" s="1083"/>
      <c r="BK114" s="983">
        <v>108</v>
      </c>
      <c r="BL114" s="994"/>
      <c r="BM114" s="995"/>
      <c r="BN114" s="1083"/>
      <c r="BP114" s="983">
        <v>108</v>
      </c>
      <c r="BQ114" s="994"/>
      <c r="BR114" s="995"/>
      <c r="BS114" s="1083"/>
      <c r="BU114" s="983">
        <v>108</v>
      </c>
      <c r="BV114" s="996"/>
      <c r="BW114" s="997"/>
      <c r="BX114" s="1083"/>
      <c r="BZ114" s="983">
        <v>108</v>
      </c>
      <c r="CA114" s="996"/>
      <c r="CB114" s="997"/>
      <c r="CC114" s="1083"/>
      <c r="DF114" s="43" t="b">
        <f t="shared" si="33"/>
        <v>0</v>
      </c>
      <c r="DG114" s="43" t="str">
        <f t="shared" si="34"/>
        <v/>
      </c>
      <c r="DH114" s="43" t="str">
        <f t="shared" si="35"/>
        <v/>
      </c>
      <c r="DI114" s="43" t="str">
        <f t="shared" si="36"/>
        <v/>
      </c>
      <c r="DJ114" s="43" t="str">
        <f t="shared" si="37"/>
        <v/>
      </c>
      <c r="DK114" s="43" t="e">
        <f t="shared" si="38"/>
        <v>#N/A</v>
      </c>
      <c r="DL114" s="43" t="e">
        <f t="shared" si="39"/>
        <v>#N/A</v>
      </c>
      <c r="DM114" s="43" t="e">
        <f t="shared" si="40"/>
        <v>#N/A</v>
      </c>
      <c r="DN114" s="43" t="e">
        <f t="shared" si="41"/>
        <v>#N/A</v>
      </c>
      <c r="DO114" s="43" t="e">
        <f t="shared" si="42"/>
        <v>#N/A</v>
      </c>
      <c r="DP114" s="43" t="e">
        <f t="shared" si="43"/>
        <v>#N/A</v>
      </c>
      <c r="DQ114" s="43" t="e">
        <f t="shared" si="44"/>
        <v>#N/A</v>
      </c>
      <c r="DR114" s="43" t="e">
        <f t="shared" si="45"/>
        <v>#N/A</v>
      </c>
      <c r="DS114" s="43">
        <f t="shared" si="46"/>
        <v>0</v>
      </c>
      <c r="DT114" s="43">
        <v>104</v>
      </c>
      <c r="DU114" s="43">
        <f t="shared" si="60"/>
        <v>11.664999999999971</v>
      </c>
      <c r="DV114" s="43">
        <f t="shared" si="47"/>
        <v>13.313656099241879</v>
      </c>
      <c r="DW114" s="43">
        <f t="shared" si="48"/>
        <v>0.39579139151287013</v>
      </c>
      <c r="DX114" s="43" t="e">
        <f t="shared" si="49"/>
        <v>#N/A</v>
      </c>
      <c r="DY114" s="50" t="e">
        <f t="shared" si="50"/>
        <v>#N/A</v>
      </c>
      <c r="DZ114" s="50" t="str">
        <f t="shared" si="51"/>
        <v/>
      </c>
      <c r="EA114" s="50">
        <f t="shared" si="52"/>
        <v>1.4266104343701271</v>
      </c>
      <c r="EB114" s="43" t="e">
        <f t="shared" si="53"/>
        <v>#N/A</v>
      </c>
      <c r="EC114" s="50" t="e">
        <f t="shared" si="54"/>
        <v>#N/A</v>
      </c>
      <c r="ED114" s="50" t="str">
        <f t="shared" si="55"/>
        <v/>
      </c>
    </row>
    <row r="115" spans="1:134" ht="12" customHeight="1">
      <c r="A115" s="640">
        <v>103</v>
      </c>
      <c r="B115" s="994"/>
      <c r="C115" s="995"/>
      <c r="D115" s="329"/>
      <c r="E115" s="884"/>
      <c r="F115" s="1027" t="str">
        <f t="shared" si="57"/>
        <v/>
      </c>
      <c r="G115" s="1028" t="str">
        <f t="shared" si="58"/>
        <v/>
      </c>
      <c r="H115" s="886"/>
      <c r="I115" s="458" t="str">
        <f t="shared" si="59"/>
        <v/>
      </c>
      <c r="J115" s="886"/>
      <c r="BA115" s="983">
        <v>109</v>
      </c>
      <c r="BB115" s="994"/>
      <c r="BC115" s="995"/>
      <c r="BD115" s="1083"/>
      <c r="BF115" s="983">
        <v>109</v>
      </c>
      <c r="BG115" s="994"/>
      <c r="BH115" s="995"/>
      <c r="BI115" s="1083"/>
      <c r="BK115" s="983">
        <v>109</v>
      </c>
      <c r="BL115" s="994"/>
      <c r="BM115" s="995"/>
      <c r="BN115" s="1083"/>
      <c r="BP115" s="983">
        <v>109</v>
      </c>
      <c r="BQ115" s="994"/>
      <c r="BR115" s="995"/>
      <c r="BS115" s="1083"/>
      <c r="BU115" s="983">
        <v>109</v>
      </c>
      <c r="BV115" s="996"/>
      <c r="BW115" s="997"/>
      <c r="BX115" s="1083"/>
      <c r="BZ115" s="983">
        <v>109</v>
      </c>
      <c r="CA115" s="996"/>
      <c r="CB115" s="997"/>
      <c r="CC115" s="1083"/>
      <c r="DF115" s="43" t="b">
        <f t="shared" si="33"/>
        <v>0</v>
      </c>
      <c r="DG115" s="43" t="str">
        <f t="shared" si="34"/>
        <v/>
      </c>
      <c r="DH115" s="43" t="str">
        <f t="shared" si="35"/>
        <v/>
      </c>
      <c r="DI115" s="43" t="str">
        <f t="shared" si="36"/>
        <v/>
      </c>
      <c r="DJ115" s="43" t="str">
        <f t="shared" si="37"/>
        <v/>
      </c>
      <c r="DK115" s="43" t="e">
        <f t="shared" si="38"/>
        <v>#N/A</v>
      </c>
      <c r="DL115" s="43" t="e">
        <f t="shared" si="39"/>
        <v>#N/A</v>
      </c>
      <c r="DM115" s="43" t="e">
        <f t="shared" si="40"/>
        <v>#N/A</v>
      </c>
      <c r="DN115" s="43" t="e">
        <f t="shared" si="41"/>
        <v>#N/A</v>
      </c>
      <c r="DO115" s="43" t="e">
        <f t="shared" si="42"/>
        <v>#N/A</v>
      </c>
      <c r="DP115" s="43" t="e">
        <f t="shared" si="43"/>
        <v>#N/A</v>
      </c>
      <c r="DQ115" s="43" t="e">
        <f t="shared" si="44"/>
        <v>#N/A</v>
      </c>
      <c r="DR115" s="43" t="e">
        <f t="shared" si="45"/>
        <v>#N/A</v>
      </c>
      <c r="DS115" s="43">
        <f t="shared" si="46"/>
        <v>0</v>
      </c>
      <c r="DT115" s="43">
        <v>105</v>
      </c>
      <c r="DU115" s="43">
        <f t="shared" si="60"/>
        <v>11.71999999999997</v>
      </c>
      <c r="DV115" s="43">
        <f t="shared" si="47"/>
        <v>13.356526533425201</v>
      </c>
      <c r="DW115" s="43">
        <f t="shared" si="48"/>
        <v>0.39602700359451293</v>
      </c>
      <c r="DX115" s="43" t="e">
        <f t="shared" si="49"/>
        <v>#N/A</v>
      </c>
      <c r="DY115" s="50" t="e">
        <f t="shared" si="50"/>
        <v>#N/A</v>
      </c>
      <c r="DZ115" s="50" t="str">
        <f t="shared" si="51"/>
        <v/>
      </c>
      <c r="EA115" s="50">
        <f t="shared" si="52"/>
        <v>1.4266758193205902</v>
      </c>
      <c r="EB115" s="43" t="e">
        <f t="shared" si="53"/>
        <v>#N/A</v>
      </c>
      <c r="EC115" s="50" t="e">
        <f t="shared" si="54"/>
        <v>#N/A</v>
      </c>
      <c r="ED115" s="50" t="str">
        <f t="shared" si="55"/>
        <v/>
      </c>
    </row>
    <row r="116" spans="1:134" ht="12" customHeight="1">
      <c r="A116" s="640">
        <v>104</v>
      </c>
      <c r="B116" s="994"/>
      <c r="C116" s="995"/>
      <c r="D116" s="329"/>
      <c r="E116" s="884"/>
      <c r="F116" s="1027" t="str">
        <f t="shared" si="57"/>
        <v/>
      </c>
      <c r="G116" s="1028" t="str">
        <f t="shared" si="58"/>
        <v/>
      </c>
      <c r="H116" s="886"/>
      <c r="I116" s="458" t="str">
        <f t="shared" si="59"/>
        <v/>
      </c>
      <c r="J116" s="886"/>
      <c r="BA116" s="983">
        <v>110</v>
      </c>
      <c r="BB116" s="994"/>
      <c r="BC116" s="995"/>
      <c r="BD116" s="1083"/>
      <c r="BF116" s="983">
        <v>110</v>
      </c>
      <c r="BG116" s="994"/>
      <c r="BH116" s="995"/>
      <c r="BI116" s="1083"/>
      <c r="BK116" s="983">
        <v>110</v>
      </c>
      <c r="BL116" s="994"/>
      <c r="BM116" s="995"/>
      <c r="BN116" s="1083"/>
      <c r="BP116" s="983">
        <v>110</v>
      </c>
      <c r="BQ116" s="994"/>
      <c r="BR116" s="995"/>
      <c r="BS116" s="1083"/>
      <c r="BU116" s="983">
        <v>110</v>
      </c>
      <c r="BV116" s="996"/>
      <c r="BW116" s="997"/>
      <c r="BX116" s="1083"/>
      <c r="BZ116" s="983">
        <v>110</v>
      </c>
      <c r="CA116" s="996"/>
      <c r="CB116" s="997"/>
      <c r="CC116" s="1083"/>
      <c r="DF116" s="43" t="b">
        <f t="shared" si="33"/>
        <v>0</v>
      </c>
      <c r="DG116" s="43" t="str">
        <f t="shared" si="34"/>
        <v/>
      </c>
      <c r="DH116" s="43" t="str">
        <f t="shared" si="35"/>
        <v/>
      </c>
      <c r="DI116" s="43" t="str">
        <f t="shared" si="36"/>
        <v/>
      </c>
      <c r="DJ116" s="43" t="str">
        <f t="shared" si="37"/>
        <v/>
      </c>
      <c r="DK116" s="43" t="e">
        <f t="shared" si="38"/>
        <v>#N/A</v>
      </c>
      <c r="DL116" s="43" t="e">
        <f t="shared" si="39"/>
        <v>#N/A</v>
      </c>
      <c r="DM116" s="43" t="e">
        <f t="shared" si="40"/>
        <v>#N/A</v>
      </c>
      <c r="DN116" s="43" t="e">
        <f t="shared" si="41"/>
        <v>#N/A</v>
      </c>
      <c r="DO116" s="43" t="e">
        <f t="shared" si="42"/>
        <v>#N/A</v>
      </c>
      <c r="DP116" s="43" t="e">
        <f t="shared" si="43"/>
        <v>#N/A</v>
      </c>
      <c r="DQ116" s="43" t="e">
        <f t="shared" si="44"/>
        <v>#N/A</v>
      </c>
      <c r="DR116" s="43" t="e">
        <f t="shared" si="45"/>
        <v>#N/A</v>
      </c>
      <c r="DS116" s="43">
        <f t="shared" si="46"/>
        <v>0</v>
      </c>
      <c r="DT116" s="43">
        <v>106</v>
      </c>
      <c r="DU116" s="43">
        <f t="shared" si="60"/>
        <v>11.77499999999997</v>
      </c>
      <c r="DV116" s="43">
        <f t="shared" si="47"/>
        <v>13.399396967608523</v>
      </c>
      <c r="DW116" s="43">
        <f t="shared" si="48"/>
        <v>0.39638105733650686</v>
      </c>
      <c r="DX116" s="43" t="e">
        <f t="shared" si="49"/>
        <v>#N/A</v>
      </c>
      <c r="DY116" s="50" t="e">
        <f t="shared" si="50"/>
        <v>#N/A</v>
      </c>
      <c r="DZ116" s="50" t="str">
        <f t="shared" si="51"/>
        <v/>
      </c>
      <c r="EA116" s="50">
        <f t="shared" si="52"/>
        <v>1.4267741406660117</v>
      </c>
      <c r="EB116" s="43" t="e">
        <f t="shared" si="53"/>
        <v>#N/A</v>
      </c>
      <c r="EC116" s="50" t="e">
        <f t="shared" si="54"/>
        <v>#N/A</v>
      </c>
      <c r="ED116" s="50" t="str">
        <f t="shared" si="55"/>
        <v/>
      </c>
    </row>
    <row r="117" spans="1:134" ht="12" customHeight="1">
      <c r="A117" s="640">
        <v>105</v>
      </c>
      <c r="B117" s="994"/>
      <c r="C117" s="995"/>
      <c r="D117" s="329"/>
      <c r="E117" s="884"/>
      <c r="F117" s="1027" t="str">
        <f t="shared" si="57"/>
        <v/>
      </c>
      <c r="G117" s="1028" t="str">
        <f t="shared" si="58"/>
        <v/>
      </c>
      <c r="H117" s="886"/>
      <c r="I117" s="458" t="str">
        <f t="shared" si="59"/>
        <v/>
      </c>
      <c r="J117" s="886"/>
      <c r="BA117" s="983">
        <v>111</v>
      </c>
      <c r="BB117" s="994"/>
      <c r="BC117" s="995"/>
      <c r="BD117" s="1083"/>
      <c r="BF117" s="983">
        <v>111</v>
      </c>
      <c r="BG117" s="994"/>
      <c r="BH117" s="995"/>
      <c r="BI117" s="1083"/>
      <c r="BK117" s="983">
        <v>111</v>
      </c>
      <c r="BL117" s="994"/>
      <c r="BM117" s="995"/>
      <c r="BN117" s="1083"/>
      <c r="BP117" s="983">
        <v>111</v>
      </c>
      <c r="BQ117" s="994"/>
      <c r="BR117" s="995"/>
      <c r="BS117" s="1083"/>
      <c r="BU117" s="983">
        <v>111</v>
      </c>
      <c r="BV117" s="996"/>
      <c r="BW117" s="997"/>
      <c r="BX117" s="1083"/>
      <c r="BZ117" s="983">
        <v>111</v>
      </c>
      <c r="CA117" s="996"/>
      <c r="CB117" s="997"/>
      <c r="CC117" s="1083"/>
      <c r="DF117" s="43" t="b">
        <f t="shared" si="33"/>
        <v>0</v>
      </c>
      <c r="DG117" s="43" t="str">
        <f t="shared" si="34"/>
        <v/>
      </c>
      <c r="DH117" s="43" t="str">
        <f t="shared" si="35"/>
        <v/>
      </c>
      <c r="DI117" s="43" t="str">
        <f t="shared" si="36"/>
        <v/>
      </c>
      <c r="DJ117" s="43" t="str">
        <f t="shared" si="37"/>
        <v/>
      </c>
      <c r="DK117" s="43" t="e">
        <f t="shared" si="38"/>
        <v>#N/A</v>
      </c>
      <c r="DL117" s="43" t="e">
        <f t="shared" si="39"/>
        <v>#N/A</v>
      </c>
      <c r="DM117" s="43" t="e">
        <f t="shared" si="40"/>
        <v>#N/A</v>
      </c>
      <c r="DN117" s="43" t="e">
        <f t="shared" si="41"/>
        <v>#N/A</v>
      </c>
      <c r="DO117" s="43" t="e">
        <f t="shared" si="42"/>
        <v>#N/A</v>
      </c>
      <c r="DP117" s="43" t="e">
        <f t="shared" si="43"/>
        <v>#N/A</v>
      </c>
      <c r="DQ117" s="43" t="e">
        <f t="shared" si="44"/>
        <v>#N/A</v>
      </c>
      <c r="DR117" s="43" t="e">
        <f t="shared" si="45"/>
        <v>#N/A</v>
      </c>
      <c r="DS117" s="43">
        <f t="shared" si="46"/>
        <v>0</v>
      </c>
      <c r="DT117" s="43">
        <v>107</v>
      </c>
      <c r="DU117" s="43">
        <f t="shared" si="60"/>
        <v>11.82999999999997</v>
      </c>
      <c r="DV117" s="43">
        <f t="shared" si="47"/>
        <v>13.442267401791844</v>
      </c>
      <c r="DW117" s="43">
        <f t="shared" si="48"/>
        <v>0.39685323573478687</v>
      </c>
      <c r="DX117" s="43" t="e">
        <f t="shared" si="49"/>
        <v>#N/A</v>
      </c>
      <c r="DY117" s="50" t="e">
        <f t="shared" si="50"/>
        <v>#N/A</v>
      </c>
      <c r="DZ117" s="50" t="str">
        <f t="shared" si="51"/>
        <v/>
      </c>
      <c r="EA117" s="50">
        <f t="shared" si="52"/>
        <v>1.4269053915979153</v>
      </c>
      <c r="EB117" s="43" t="e">
        <f t="shared" si="53"/>
        <v>#N/A</v>
      </c>
      <c r="EC117" s="50" t="e">
        <f t="shared" si="54"/>
        <v>#N/A</v>
      </c>
      <c r="ED117" s="50" t="str">
        <f t="shared" si="55"/>
        <v/>
      </c>
    </row>
    <row r="118" spans="1:134" ht="12" customHeight="1">
      <c r="A118" s="640">
        <v>106</v>
      </c>
      <c r="B118" s="994"/>
      <c r="C118" s="995"/>
      <c r="D118" s="329"/>
      <c r="E118" s="884"/>
      <c r="F118" s="1027" t="str">
        <f t="shared" si="57"/>
        <v/>
      </c>
      <c r="G118" s="1028" t="str">
        <f t="shared" si="58"/>
        <v/>
      </c>
      <c r="H118" s="886"/>
      <c r="I118" s="458" t="str">
        <f t="shared" si="59"/>
        <v/>
      </c>
      <c r="J118" s="886"/>
      <c r="BA118" s="983">
        <v>112</v>
      </c>
      <c r="BB118" s="994"/>
      <c r="BC118" s="995"/>
      <c r="BD118" s="1083"/>
      <c r="BF118" s="983">
        <v>112</v>
      </c>
      <c r="BG118" s="994"/>
      <c r="BH118" s="995"/>
      <c r="BI118" s="1083"/>
      <c r="BK118" s="983">
        <v>112</v>
      </c>
      <c r="BL118" s="994"/>
      <c r="BM118" s="995"/>
      <c r="BN118" s="1083"/>
      <c r="BP118" s="983">
        <v>112</v>
      </c>
      <c r="BQ118" s="994"/>
      <c r="BR118" s="995"/>
      <c r="BS118" s="1083"/>
      <c r="BU118" s="983">
        <v>112</v>
      </c>
      <c r="BV118" s="996"/>
      <c r="BW118" s="997"/>
      <c r="BX118" s="1083"/>
      <c r="BZ118" s="983">
        <v>112</v>
      </c>
      <c r="CA118" s="996"/>
      <c r="CB118" s="997"/>
      <c r="CC118" s="1083"/>
      <c r="DF118" s="43" t="b">
        <f t="shared" si="33"/>
        <v>0</v>
      </c>
      <c r="DG118" s="43" t="str">
        <f t="shared" si="34"/>
        <v/>
      </c>
      <c r="DH118" s="43" t="str">
        <f t="shared" si="35"/>
        <v/>
      </c>
      <c r="DI118" s="43" t="str">
        <f t="shared" si="36"/>
        <v/>
      </c>
      <c r="DJ118" s="43" t="str">
        <f t="shared" si="37"/>
        <v/>
      </c>
      <c r="DK118" s="43" t="e">
        <f t="shared" si="38"/>
        <v>#N/A</v>
      </c>
      <c r="DL118" s="43" t="e">
        <f t="shared" si="39"/>
        <v>#N/A</v>
      </c>
      <c r="DM118" s="43" t="e">
        <f t="shared" si="40"/>
        <v>#N/A</v>
      </c>
      <c r="DN118" s="43" t="e">
        <f t="shared" si="41"/>
        <v>#N/A</v>
      </c>
      <c r="DO118" s="43" t="e">
        <f t="shared" si="42"/>
        <v>#N/A</v>
      </c>
      <c r="DP118" s="43" t="e">
        <f t="shared" si="43"/>
        <v>#N/A</v>
      </c>
      <c r="DQ118" s="43" t="e">
        <f t="shared" si="44"/>
        <v>#N/A</v>
      </c>
      <c r="DR118" s="43" t="e">
        <f t="shared" si="45"/>
        <v>#N/A</v>
      </c>
      <c r="DS118" s="43">
        <f t="shared" si="46"/>
        <v>0</v>
      </c>
      <c r="DT118" s="43">
        <v>108</v>
      </c>
      <c r="DU118" s="43">
        <f t="shared" si="60"/>
        <v>11.88499999999997</v>
      </c>
      <c r="DV118" s="43">
        <f t="shared" si="47"/>
        <v>13.485137835975166</v>
      </c>
      <c r="DW118" s="43">
        <f t="shared" si="48"/>
        <v>0.39744311777905789</v>
      </c>
      <c r="DX118" s="43" t="e">
        <f t="shared" si="49"/>
        <v>#N/A</v>
      </c>
      <c r="DY118" s="50" t="e">
        <f t="shared" si="50"/>
        <v>#N/A</v>
      </c>
      <c r="DZ118" s="50" t="str">
        <f t="shared" si="51"/>
        <v/>
      </c>
      <c r="EA118" s="50">
        <f t="shared" si="52"/>
        <v>1.4270695630304666</v>
      </c>
      <c r="EB118" s="43" t="e">
        <f t="shared" si="53"/>
        <v>#N/A</v>
      </c>
      <c r="EC118" s="50" t="e">
        <f t="shared" si="54"/>
        <v>#N/A</v>
      </c>
      <c r="ED118" s="50" t="str">
        <f t="shared" si="55"/>
        <v/>
      </c>
    </row>
    <row r="119" spans="1:134" ht="12" customHeight="1">
      <c r="A119" s="640">
        <v>107</v>
      </c>
      <c r="B119" s="994"/>
      <c r="C119" s="995"/>
      <c r="D119" s="329"/>
      <c r="E119" s="884"/>
      <c r="F119" s="1027" t="str">
        <f t="shared" si="57"/>
        <v/>
      </c>
      <c r="G119" s="1028" t="str">
        <f t="shared" si="58"/>
        <v/>
      </c>
      <c r="H119" s="886"/>
      <c r="I119" s="458" t="str">
        <f t="shared" si="59"/>
        <v/>
      </c>
      <c r="J119" s="886"/>
      <c r="BA119" s="983">
        <v>113</v>
      </c>
      <c r="BB119" s="994"/>
      <c r="BC119" s="995"/>
      <c r="BD119" s="1083"/>
      <c r="BF119" s="983">
        <v>113</v>
      </c>
      <c r="BG119" s="994"/>
      <c r="BH119" s="995"/>
      <c r="BI119" s="1083"/>
      <c r="BK119" s="983">
        <v>113</v>
      </c>
      <c r="BL119" s="994"/>
      <c r="BM119" s="995"/>
      <c r="BN119" s="1083"/>
      <c r="BP119" s="983">
        <v>113</v>
      </c>
      <c r="BQ119" s="994"/>
      <c r="BR119" s="995"/>
      <c r="BS119" s="1083"/>
      <c r="BU119" s="983">
        <v>113</v>
      </c>
      <c r="BV119" s="996"/>
      <c r="BW119" s="997"/>
      <c r="BX119" s="1083"/>
      <c r="BZ119" s="983">
        <v>113</v>
      </c>
      <c r="CA119" s="996"/>
      <c r="CB119" s="997"/>
      <c r="CC119" s="1083"/>
      <c r="DF119" s="43" t="b">
        <f t="shared" si="33"/>
        <v>0</v>
      </c>
      <c r="DG119" s="43" t="str">
        <f t="shared" si="34"/>
        <v/>
      </c>
      <c r="DH119" s="43" t="str">
        <f t="shared" si="35"/>
        <v/>
      </c>
      <c r="DI119" s="43" t="str">
        <f t="shared" si="36"/>
        <v/>
      </c>
      <c r="DJ119" s="43" t="str">
        <f t="shared" si="37"/>
        <v/>
      </c>
      <c r="DK119" s="43" t="e">
        <f t="shared" si="38"/>
        <v>#N/A</v>
      </c>
      <c r="DL119" s="43" t="e">
        <f t="shared" si="39"/>
        <v>#N/A</v>
      </c>
      <c r="DM119" s="43" t="e">
        <f t="shared" si="40"/>
        <v>#N/A</v>
      </c>
      <c r="DN119" s="43" t="e">
        <f t="shared" si="41"/>
        <v>#N/A</v>
      </c>
      <c r="DO119" s="43" t="e">
        <f t="shared" si="42"/>
        <v>#N/A</v>
      </c>
      <c r="DP119" s="43" t="e">
        <f t="shared" si="43"/>
        <v>#N/A</v>
      </c>
      <c r="DQ119" s="43" t="e">
        <f t="shared" si="44"/>
        <v>#N/A</v>
      </c>
      <c r="DR119" s="43" t="e">
        <f t="shared" si="45"/>
        <v>#N/A</v>
      </c>
      <c r="DS119" s="43">
        <f t="shared" si="46"/>
        <v>0</v>
      </c>
      <c r="DT119" s="43">
        <v>109</v>
      </c>
      <c r="DU119" s="43">
        <f t="shared" si="60"/>
        <v>11.939999999999969</v>
      </c>
      <c r="DV119" s="43">
        <f t="shared" si="47"/>
        <v>13.528008270158487</v>
      </c>
      <c r="DW119" s="43">
        <f t="shared" si="48"/>
        <v>0.39815018031580779</v>
      </c>
      <c r="DX119" s="43" t="e">
        <f t="shared" si="49"/>
        <v>#N/A</v>
      </c>
      <c r="DY119" s="50" t="e">
        <f t="shared" si="50"/>
        <v>#N/A</v>
      </c>
      <c r="DZ119" s="50" t="str">
        <f t="shared" si="51"/>
        <v/>
      </c>
      <c r="EA119" s="50">
        <f t="shared" si="52"/>
        <v>1.4272666436036188</v>
      </c>
      <c r="EB119" s="43" t="e">
        <f t="shared" si="53"/>
        <v>#N/A</v>
      </c>
      <c r="EC119" s="50" t="e">
        <f t="shared" si="54"/>
        <v>#N/A</v>
      </c>
      <c r="ED119" s="50" t="str">
        <f t="shared" si="55"/>
        <v/>
      </c>
    </row>
    <row r="120" spans="1:134" ht="12" customHeight="1">
      <c r="A120" s="640">
        <v>108</v>
      </c>
      <c r="B120" s="994"/>
      <c r="C120" s="995"/>
      <c r="D120" s="329"/>
      <c r="E120" s="884"/>
      <c r="F120" s="1027" t="str">
        <f t="shared" si="57"/>
        <v/>
      </c>
      <c r="G120" s="1028" t="str">
        <f t="shared" si="58"/>
        <v/>
      </c>
      <c r="H120" s="886"/>
      <c r="I120" s="458" t="str">
        <f t="shared" si="59"/>
        <v/>
      </c>
      <c r="J120" s="886"/>
      <c r="BA120" s="983">
        <v>114</v>
      </c>
      <c r="BB120" s="994"/>
      <c r="BC120" s="995"/>
      <c r="BD120" s="1083"/>
      <c r="BF120" s="983">
        <v>114</v>
      </c>
      <c r="BG120" s="994"/>
      <c r="BH120" s="995"/>
      <c r="BI120" s="1083"/>
      <c r="BK120" s="983">
        <v>114</v>
      </c>
      <c r="BL120" s="994"/>
      <c r="BM120" s="995"/>
      <c r="BN120" s="1083"/>
      <c r="BP120" s="983">
        <v>114</v>
      </c>
      <c r="BQ120" s="994"/>
      <c r="BR120" s="995"/>
      <c r="BS120" s="1083"/>
      <c r="BU120" s="983">
        <v>114</v>
      </c>
      <c r="BV120" s="996"/>
      <c r="BW120" s="997"/>
      <c r="BX120" s="1083"/>
      <c r="BZ120" s="983">
        <v>114</v>
      </c>
      <c r="CA120" s="996"/>
      <c r="CB120" s="997"/>
      <c r="CC120" s="1083"/>
      <c r="DF120" s="43" t="b">
        <f t="shared" si="33"/>
        <v>0</v>
      </c>
      <c r="DG120" s="43" t="str">
        <f t="shared" si="34"/>
        <v/>
      </c>
      <c r="DH120" s="43" t="str">
        <f t="shared" si="35"/>
        <v/>
      </c>
      <c r="DI120" s="43" t="str">
        <f t="shared" si="36"/>
        <v/>
      </c>
      <c r="DJ120" s="43" t="str">
        <f t="shared" si="37"/>
        <v/>
      </c>
      <c r="DK120" s="43" t="e">
        <f t="shared" si="38"/>
        <v>#N/A</v>
      </c>
      <c r="DL120" s="43" t="e">
        <f t="shared" si="39"/>
        <v>#N/A</v>
      </c>
      <c r="DM120" s="43" t="e">
        <f t="shared" si="40"/>
        <v>#N/A</v>
      </c>
      <c r="DN120" s="43" t="e">
        <f t="shared" si="41"/>
        <v>#N/A</v>
      </c>
      <c r="DO120" s="43" t="e">
        <f t="shared" si="42"/>
        <v>#N/A</v>
      </c>
      <c r="DP120" s="43" t="e">
        <f t="shared" si="43"/>
        <v>#N/A</v>
      </c>
      <c r="DQ120" s="43" t="e">
        <f t="shared" si="44"/>
        <v>#N/A</v>
      </c>
      <c r="DR120" s="43" t="e">
        <f t="shared" si="45"/>
        <v>#N/A</v>
      </c>
      <c r="DS120" s="43">
        <f t="shared" si="46"/>
        <v>0</v>
      </c>
      <c r="DT120" s="43">
        <v>110</v>
      </c>
      <c r="DU120" s="43">
        <f t="shared" si="60"/>
        <v>11.994999999999969</v>
      </c>
      <c r="DV120" s="43">
        <f t="shared" si="47"/>
        <v>13.570878704341808</v>
      </c>
      <c r="DW120" s="43">
        <f t="shared" si="48"/>
        <v>0.39897380034268776</v>
      </c>
      <c r="DX120" s="43" t="e">
        <f t="shared" si="49"/>
        <v>#N/A</v>
      </c>
      <c r="DY120" s="50" t="e">
        <f t="shared" si="50"/>
        <v>#N/A</v>
      </c>
      <c r="DZ120" s="50" t="str">
        <f t="shared" si="51"/>
        <v/>
      </c>
      <c r="EA120" s="50">
        <f t="shared" si="52"/>
        <v>1.4274966196870367</v>
      </c>
      <c r="EB120" s="43" t="e">
        <f t="shared" si="53"/>
        <v>#N/A</v>
      </c>
      <c r="EC120" s="50" t="e">
        <f t="shared" si="54"/>
        <v>#N/A</v>
      </c>
      <c r="ED120" s="50" t="str">
        <f t="shared" si="55"/>
        <v/>
      </c>
    </row>
    <row r="121" spans="1:134" ht="12" customHeight="1">
      <c r="A121" s="640">
        <v>109</v>
      </c>
      <c r="B121" s="994"/>
      <c r="C121" s="995"/>
      <c r="D121" s="329"/>
      <c r="E121" s="884"/>
      <c r="F121" s="1027" t="str">
        <f t="shared" si="57"/>
        <v/>
      </c>
      <c r="G121" s="1028" t="str">
        <f t="shared" si="58"/>
        <v/>
      </c>
      <c r="H121" s="886"/>
      <c r="I121" s="458" t="str">
        <f t="shared" si="59"/>
        <v/>
      </c>
      <c r="J121" s="886"/>
      <c r="BA121" s="983">
        <v>115</v>
      </c>
      <c r="BB121" s="994"/>
      <c r="BC121" s="995"/>
      <c r="BD121" s="1083"/>
      <c r="BF121" s="983">
        <v>115</v>
      </c>
      <c r="BG121" s="994"/>
      <c r="BH121" s="995"/>
      <c r="BI121" s="1083"/>
      <c r="BK121" s="983">
        <v>115</v>
      </c>
      <c r="BL121" s="994"/>
      <c r="BM121" s="995"/>
      <c r="BN121" s="1083"/>
      <c r="BP121" s="983">
        <v>115</v>
      </c>
      <c r="BQ121" s="994"/>
      <c r="BR121" s="995"/>
      <c r="BS121" s="1083"/>
      <c r="BU121" s="983">
        <v>115</v>
      </c>
      <c r="BV121" s="996"/>
      <c r="BW121" s="997"/>
      <c r="BX121" s="1083"/>
      <c r="BZ121" s="983">
        <v>115</v>
      </c>
      <c r="CA121" s="996"/>
      <c r="CB121" s="997"/>
      <c r="CC121" s="1083"/>
      <c r="DF121" s="43" t="b">
        <f t="shared" si="33"/>
        <v>0</v>
      </c>
      <c r="DG121" s="43" t="str">
        <f t="shared" si="34"/>
        <v/>
      </c>
      <c r="DH121" s="43" t="str">
        <f t="shared" si="35"/>
        <v/>
      </c>
      <c r="DI121" s="43" t="str">
        <f t="shared" si="36"/>
        <v/>
      </c>
      <c r="DJ121" s="43" t="str">
        <f t="shared" si="37"/>
        <v/>
      </c>
      <c r="DK121" s="43" t="e">
        <f t="shared" si="38"/>
        <v>#N/A</v>
      </c>
      <c r="DL121" s="43" t="e">
        <f t="shared" si="39"/>
        <v>#N/A</v>
      </c>
      <c r="DM121" s="43" t="e">
        <f t="shared" si="40"/>
        <v>#N/A</v>
      </c>
      <c r="DN121" s="43" t="e">
        <f t="shared" si="41"/>
        <v>#N/A</v>
      </c>
      <c r="DO121" s="43" t="e">
        <f t="shared" si="42"/>
        <v>#N/A</v>
      </c>
      <c r="DP121" s="43" t="e">
        <f t="shared" si="43"/>
        <v>#N/A</v>
      </c>
      <c r="DQ121" s="43" t="e">
        <f t="shared" si="44"/>
        <v>#N/A</v>
      </c>
      <c r="DR121" s="43" t="e">
        <f t="shared" si="45"/>
        <v>#N/A</v>
      </c>
      <c r="DS121" s="43">
        <f t="shared" si="46"/>
        <v>0</v>
      </c>
      <c r="DT121" s="43">
        <v>111</v>
      </c>
      <c r="DU121" s="43">
        <f t="shared" si="60"/>
        <v>12.049999999999969</v>
      </c>
      <c r="DV121" s="43">
        <f t="shared" si="47"/>
        <v>13.613749138525131</v>
      </c>
      <c r="DW121" s="43">
        <f t="shared" si="48"/>
        <v>0.39991325771105413</v>
      </c>
      <c r="DX121" s="43" t="e">
        <f t="shared" si="49"/>
        <v>#N/A</v>
      </c>
      <c r="DY121" s="50" t="e">
        <f t="shared" si="50"/>
        <v>#N/A</v>
      </c>
      <c r="DZ121" s="50" t="str">
        <f t="shared" si="51"/>
        <v/>
      </c>
      <c r="EA121" s="50">
        <f t="shared" si="52"/>
        <v>1.4277594753848062</v>
      </c>
      <c r="EB121" s="43" t="e">
        <f t="shared" si="53"/>
        <v>#N/A</v>
      </c>
      <c r="EC121" s="50" t="e">
        <f t="shared" si="54"/>
        <v>#N/A</v>
      </c>
      <c r="ED121" s="50" t="str">
        <f t="shared" si="55"/>
        <v/>
      </c>
    </row>
    <row r="122" spans="1:134" ht="12" customHeight="1">
      <c r="A122" s="640">
        <v>110</v>
      </c>
      <c r="B122" s="994"/>
      <c r="C122" s="995"/>
      <c r="D122" s="329"/>
      <c r="E122" s="884"/>
      <c r="F122" s="1027" t="str">
        <f t="shared" si="57"/>
        <v/>
      </c>
      <c r="G122" s="1028" t="str">
        <f t="shared" si="58"/>
        <v/>
      </c>
      <c r="H122" s="886"/>
      <c r="I122" s="458" t="str">
        <f t="shared" si="59"/>
        <v/>
      </c>
      <c r="J122" s="886"/>
      <c r="BA122" s="983">
        <v>116</v>
      </c>
      <c r="BB122" s="994"/>
      <c r="BC122" s="995"/>
      <c r="BD122" s="1083"/>
      <c r="BF122" s="983">
        <v>116</v>
      </c>
      <c r="BG122" s="994"/>
      <c r="BH122" s="995"/>
      <c r="BI122" s="1083"/>
      <c r="BK122" s="983">
        <v>116</v>
      </c>
      <c r="BL122" s="994"/>
      <c r="BM122" s="995"/>
      <c r="BN122" s="1083"/>
      <c r="BP122" s="983">
        <v>116</v>
      </c>
      <c r="BQ122" s="994"/>
      <c r="BR122" s="995"/>
      <c r="BS122" s="1083"/>
      <c r="BU122" s="983">
        <v>116</v>
      </c>
      <c r="BV122" s="996"/>
      <c r="BW122" s="997"/>
      <c r="BX122" s="1083"/>
      <c r="BZ122" s="983">
        <v>116</v>
      </c>
      <c r="CA122" s="996"/>
      <c r="CB122" s="997"/>
      <c r="CC122" s="1083"/>
      <c r="DF122" s="43" t="b">
        <f t="shared" si="33"/>
        <v>0</v>
      </c>
      <c r="DG122" s="43" t="str">
        <f t="shared" si="34"/>
        <v/>
      </c>
      <c r="DH122" s="43" t="str">
        <f t="shared" si="35"/>
        <v/>
      </c>
      <c r="DI122" s="43" t="str">
        <f t="shared" si="36"/>
        <v/>
      </c>
      <c r="DJ122" s="43" t="str">
        <f t="shared" si="37"/>
        <v/>
      </c>
      <c r="DK122" s="43" t="e">
        <f t="shared" si="38"/>
        <v>#N/A</v>
      </c>
      <c r="DL122" s="43" t="e">
        <f t="shared" si="39"/>
        <v>#N/A</v>
      </c>
      <c r="DM122" s="43" t="e">
        <f t="shared" si="40"/>
        <v>#N/A</v>
      </c>
      <c r="DN122" s="43" t="e">
        <f t="shared" si="41"/>
        <v>#N/A</v>
      </c>
      <c r="DO122" s="43" t="e">
        <f t="shared" si="42"/>
        <v>#N/A</v>
      </c>
      <c r="DP122" s="43" t="e">
        <f t="shared" si="43"/>
        <v>#N/A</v>
      </c>
      <c r="DQ122" s="43" t="e">
        <f t="shared" si="44"/>
        <v>#N/A</v>
      </c>
      <c r="DR122" s="43" t="e">
        <f t="shared" si="45"/>
        <v>#N/A</v>
      </c>
      <c r="DS122" s="43">
        <f t="shared" si="46"/>
        <v>0</v>
      </c>
      <c r="DT122" s="43">
        <v>112</v>
      </c>
      <c r="DU122" s="43">
        <f t="shared" si="60"/>
        <v>12.104999999999968</v>
      </c>
      <c r="DV122" s="43">
        <f t="shared" si="47"/>
        <v>13.656619572708452</v>
      </c>
      <c r="DW122" s="43">
        <f t="shared" si="48"/>
        <v>0.40096773820976372</v>
      </c>
      <c r="DX122" s="43" t="e">
        <f t="shared" si="49"/>
        <v>#N/A</v>
      </c>
      <c r="DY122" s="50" t="e">
        <f t="shared" si="50"/>
        <v>#N/A</v>
      </c>
      <c r="DZ122" s="50" t="str">
        <f t="shared" si="51"/>
        <v/>
      </c>
      <c r="EA122" s="50">
        <f t="shared" si="52"/>
        <v>1.4280551925409195</v>
      </c>
      <c r="EB122" s="43" t="e">
        <f t="shared" si="53"/>
        <v>#N/A</v>
      </c>
      <c r="EC122" s="50" t="e">
        <f t="shared" si="54"/>
        <v>#N/A</v>
      </c>
      <c r="ED122" s="50" t="str">
        <f t="shared" si="55"/>
        <v/>
      </c>
    </row>
    <row r="123" spans="1:134" ht="12" customHeight="1">
      <c r="A123" s="640">
        <v>111</v>
      </c>
      <c r="B123" s="994"/>
      <c r="C123" s="995"/>
      <c r="D123" s="329"/>
      <c r="E123" s="884"/>
      <c r="F123" s="1027" t="str">
        <f t="shared" si="57"/>
        <v/>
      </c>
      <c r="G123" s="1028" t="str">
        <f t="shared" si="58"/>
        <v/>
      </c>
      <c r="H123" s="886"/>
      <c r="I123" s="458" t="str">
        <f t="shared" si="59"/>
        <v/>
      </c>
      <c r="J123" s="886"/>
      <c r="BA123" s="983">
        <v>117</v>
      </c>
      <c r="BB123" s="994"/>
      <c r="BC123" s="995"/>
      <c r="BD123" s="1083"/>
      <c r="BF123" s="983">
        <v>117</v>
      </c>
      <c r="BG123" s="994"/>
      <c r="BH123" s="995"/>
      <c r="BI123" s="1083"/>
      <c r="BK123" s="983">
        <v>117</v>
      </c>
      <c r="BL123" s="994"/>
      <c r="BM123" s="995"/>
      <c r="BN123" s="1083"/>
      <c r="BP123" s="983">
        <v>117</v>
      </c>
      <c r="BQ123" s="994"/>
      <c r="BR123" s="995"/>
      <c r="BS123" s="1083"/>
      <c r="BU123" s="983">
        <v>117</v>
      </c>
      <c r="BV123" s="996"/>
      <c r="BW123" s="997"/>
      <c r="BX123" s="1083"/>
      <c r="BZ123" s="983">
        <v>117</v>
      </c>
      <c r="CA123" s="996"/>
      <c r="CB123" s="997"/>
      <c r="CC123" s="1083"/>
      <c r="DF123" s="43" t="b">
        <f t="shared" si="33"/>
        <v>0</v>
      </c>
      <c r="DG123" s="43" t="str">
        <f t="shared" si="34"/>
        <v/>
      </c>
      <c r="DH123" s="43" t="str">
        <f t="shared" si="35"/>
        <v/>
      </c>
      <c r="DI123" s="43" t="str">
        <f t="shared" si="36"/>
        <v/>
      </c>
      <c r="DJ123" s="43" t="str">
        <f t="shared" si="37"/>
        <v/>
      </c>
      <c r="DK123" s="43" t="e">
        <f t="shared" si="38"/>
        <v>#N/A</v>
      </c>
      <c r="DL123" s="43" t="e">
        <f t="shared" si="39"/>
        <v>#N/A</v>
      </c>
      <c r="DM123" s="43" t="e">
        <f t="shared" si="40"/>
        <v>#N/A</v>
      </c>
      <c r="DN123" s="43" t="e">
        <f t="shared" si="41"/>
        <v>#N/A</v>
      </c>
      <c r="DO123" s="43" t="e">
        <f t="shared" si="42"/>
        <v>#N/A</v>
      </c>
      <c r="DP123" s="43" t="e">
        <f t="shared" si="43"/>
        <v>#N/A</v>
      </c>
      <c r="DQ123" s="43" t="e">
        <f t="shared" si="44"/>
        <v>#N/A</v>
      </c>
      <c r="DR123" s="43" t="e">
        <f t="shared" si="45"/>
        <v>#N/A</v>
      </c>
      <c r="DS123" s="43">
        <f t="shared" si="46"/>
        <v>0</v>
      </c>
      <c r="DT123" s="43">
        <v>113</v>
      </c>
      <c r="DU123" s="43">
        <f t="shared" si="60"/>
        <v>12.159999999999968</v>
      </c>
      <c r="DV123" s="43">
        <f t="shared" si="47"/>
        <v>13.699490006891773</v>
      </c>
      <c r="DW123" s="43">
        <f t="shared" si="48"/>
        <v>0.40213633700008217</v>
      </c>
      <c r="DX123" s="43" t="e">
        <f t="shared" si="49"/>
        <v>#N/A</v>
      </c>
      <c r="DY123" s="50" t="e">
        <f t="shared" si="50"/>
        <v>#N/A</v>
      </c>
      <c r="DZ123" s="50" t="str">
        <f t="shared" si="51"/>
        <v/>
      </c>
      <c r="EA123" s="50">
        <f t="shared" si="52"/>
        <v>1.4283837507455317</v>
      </c>
      <c r="EB123" s="43" t="e">
        <f t="shared" si="53"/>
        <v>#N/A</v>
      </c>
      <c r="EC123" s="50" t="e">
        <f t="shared" si="54"/>
        <v>#N/A</v>
      </c>
      <c r="ED123" s="50" t="str">
        <f t="shared" si="55"/>
        <v/>
      </c>
    </row>
    <row r="124" spans="1:134" ht="12" customHeight="1">
      <c r="A124" s="640">
        <v>112</v>
      </c>
      <c r="B124" s="994"/>
      <c r="C124" s="995"/>
      <c r="D124" s="329"/>
      <c r="E124" s="884"/>
      <c r="F124" s="1027" t="str">
        <f t="shared" si="57"/>
        <v/>
      </c>
      <c r="G124" s="1028" t="str">
        <f t="shared" si="58"/>
        <v/>
      </c>
      <c r="H124" s="886"/>
      <c r="I124" s="458" t="str">
        <f t="shared" si="59"/>
        <v/>
      </c>
      <c r="J124" s="886"/>
      <c r="BA124" s="983">
        <v>118</v>
      </c>
      <c r="BB124" s="994"/>
      <c r="BC124" s="995"/>
      <c r="BD124" s="1083"/>
      <c r="BF124" s="983">
        <v>118</v>
      </c>
      <c r="BG124" s="994"/>
      <c r="BH124" s="995"/>
      <c r="BI124" s="1083"/>
      <c r="BK124" s="983">
        <v>118</v>
      </c>
      <c r="BL124" s="994"/>
      <c r="BM124" s="995"/>
      <c r="BN124" s="1083"/>
      <c r="BP124" s="983">
        <v>118</v>
      </c>
      <c r="BQ124" s="994"/>
      <c r="BR124" s="995"/>
      <c r="BS124" s="1083"/>
      <c r="BU124" s="983">
        <v>118</v>
      </c>
      <c r="BV124" s="996"/>
      <c r="BW124" s="997"/>
      <c r="BX124" s="1083"/>
      <c r="BZ124" s="983">
        <v>118</v>
      </c>
      <c r="CA124" s="996"/>
      <c r="CB124" s="997"/>
      <c r="CC124" s="1083"/>
      <c r="DF124" s="43" t="b">
        <f t="shared" si="33"/>
        <v>0</v>
      </c>
      <c r="DG124" s="43" t="str">
        <f t="shared" si="34"/>
        <v/>
      </c>
      <c r="DH124" s="43" t="str">
        <f t="shared" si="35"/>
        <v/>
      </c>
      <c r="DI124" s="43" t="str">
        <f t="shared" si="36"/>
        <v/>
      </c>
      <c r="DJ124" s="43" t="str">
        <f t="shared" si="37"/>
        <v/>
      </c>
      <c r="DK124" s="43" t="e">
        <f t="shared" si="38"/>
        <v>#N/A</v>
      </c>
      <c r="DL124" s="43" t="e">
        <f t="shared" si="39"/>
        <v>#N/A</v>
      </c>
      <c r="DM124" s="43" t="e">
        <f t="shared" si="40"/>
        <v>#N/A</v>
      </c>
      <c r="DN124" s="43" t="e">
        <f t="shared" si="41"/>
        <v>#N/A</v>
      </c>
      <c r="DO124" s="43" t="e">
        <f t="shared" si="42"/>
        <v>#N/A</v>
      </c>
      <c r="DP124" s="43" t="e">
        <f t="shared" si="43"/>
        <v>#N/A</v>
      </c>
      <c r="DQ124" s="43" t="e">
        <f t="shared" si="44"/>
        <v>#N/A</v>
      </c>
      <c r="DR124" s="43" t="e">
        <f t="shared" si="45"/>
        <v>#N/A</v>
      </c>
      <c r="DS124" s="43">
        <f t="shared" si="46"/>
        <v>0</v>
      </c>
      <c r="DT124" s="43">
        <v>114</v>
      </c>
      <c r="DU124" s="43">
        <f t="shared" si="60"/>
        <v>12.214999999999968</v>
      </c>
      <c r="DV124" s="43">
        <f t="shared" si="47"/>
        <v>13.742360441075096</v>
      </c>
      <c r="DW124" s="43">
        <f t="shared" si="48"/>
        <v>0.40341806236885114</v>
      </c>
      <c r="DX124" s="43" t="e">
        <f t="shared" si="49"/>
        <v>#N/A</v>
      </c>
      <c r="DY124" s="50" t="e">
        <f t="shared" si="50"/>
        <v>#N/A</v>
      </c>
      <c r="DZ124" s="50" t="str">
        <f t="shared" si="51"/>
        <v/>
      </c>
      <c r="EA124" s="50">
        <f t="shared" si="52"/>
        <v>1.428745127341986</v>
      </c>
      <c r="EB124" s="43" t="e">
        <f t="shared" si="53"/>
        <v>#N/A</v>
      </c>
      <c r="EC124" s="50" t="e">
        <f t="shared" si="54"/>
        <v>#N/A</v>
      </c>
      <c r="ED124" s="50" t="str">
        <f t="shared" si="55"/>
        <v/>
      </c>
    </row>
    <row r="125" spans="1:134" ht="12" customHeight="1">
      <c r="A125" s="640">
        <v>113</v>
      </c>
      <c r="B125" s="994"/>
      <c r="C125" s="995"/>
      <c r="D125" s="329"/>
      <c r="E125" s="884"/>
      <c r="F125" s="1027" t="str">
        <f t="shared" si="57"/>
        <v/>
      </c>
      <c r="G125" s="1028" t="str">
        <f t="shared" si="58"/>
        <v/>
      </c>
      <c r="H125" s="886"/>
      <c r="I125" s="458" t="str">
        <f t="shared" si="59"/>
        <v/>
      </c>
      <c r="J125" s="886"/>
      <c r="BA125" s="983">
        <v>119</v>
      </c>
      <c r="BB125" s="994"/>
      <c r="BC125" s="995"/>
      <c r="BD125" s="1083"/>
      <c r="BF125" s="983">
        <v>119</v>
      </c>
      <c r="BG125" s="994"/>
      <c r="BH125" s="995"/>
      <c r="BI125" s="1083"/>
      <c r="BK125" s="983">
        <v>119</v>
      </c>
      <c r="BL125" s="994"/>
      <c r="BM125" s="995"/>
      <c r="BN125" s="1083"/>
      <c r="BP125" s="983">
        <v>119</v>
      </c>
      <c r="BQ125" s="994"/>
      <c r="BR125" s="995"/>
      <c r="BS125" s="1083"/>
      <c r="BU125" s="983">
        <v>119</v>
      </c>
      <c r="BV125" s="996"/>
      <c r="BW125" s="997"/>
      <c r="BX125" s="1083"/>
      <c r="BZ125" s="983">
        <v>119</v>
      </c>
      <c r="CA125" s="996"/>
      <c r="CB125" s="997"/>
      <c r="CC125" s="1083"/>
      <c r="DF125" s="43" t="b">
        <f t="shared" si="33"/>
        <v>0</v>
      </c>
      <c r="DG125" s="43" t="str">
        <f t="shared" si="34"/>
        <v/>
      </c>
      <c r="DH125" s="43" t="str">
        <f t="shared" si="35"/>
        <v/>
      </c>
      <c r="DI125" s="43" t="str">
        <f t="shared" si="36"/>
        <v/>
      </c>
      <c r="DJ125" s="43" t="str">
        <f t="shared" si="37"/>
        <v/>
      </c>
      <c r="DK125" s="43" t="e">
        <f t="shared" si="38"/>
        <v>#N/A</v>
      </c>
      <c r="DL125" s="43" t="e">
        <f t="shared" si="39"/>
        <v>#N/A</v>
      </c>
      <c r="DM125" s="43" t="e">
        <f t="shared" si="40"/>
        <v>#N/A</v>
      </c>
      <c r="DN125" s="43" t="e">
        <f t="shared" si="41"/>
        <v>#N/A</v>
      </c>
      <c r="DO125" s="43" t="e">
        <f t="shared" si="42"/>
        <v>#N/A</v>
      </c>
      <c r="DP125" s="43" t="e">
        <f t="shared" si="43"/>
        <v>#N/A</v>
      </c>
      <c r="DQ125" s="43" t="e">
        <f t="shared" si="44"/>
        <v>#N/A</v>
      </c>
      <c r="DR125" s="43" t="e">
        <f t="shared" si="45"/>
        <v>#N/A</v>
      </c>
      <c r="DS125" s="43">
        <f t="shared" si="46"/>
        <v>0</v>
      </c>
      <c r="DT125" s="43">
        <v>115</v>
      </c>
      <c r="DU125" s="43">
        <f t="shared" si="60"/>
        <v>12.269999999999968</v>
      </c>
      <c r="DV125" s="43">
        <f t="shared" si="47"/>
        <v>13.785230875258417</v>
      </c>
      <c r="DW125" s="43">
        <f t="shared" si="48"/>
        <v>0.40481183976489282</v>
      </c>
      <c r="DX125" s="43" t="e">
        <f t="shared" si="49"/>
        <v>#N/A</v>
      </c>
      <c r="DY125" s="50" t="e">
        <f t="shared" si="50"/>
        <v>#N/A</v>
      </c>
      <c r="DZ125" s="50" t="str">
        <f t="shared" si="51"/>
        <v/>
      </c>
      <c r="EA125" s="50">
        <f t="shared" si="52"/>
        <v>1.4291392974346013</v>
      </c>
      <c r="EB125" s="43" t="e">
        <f t="shared" si="53"/>
        <v>#N/A</v>
      </c>
      <c r="EC125" s="50" t="e">
        <f t="shared" si="54"/>
        <v>#N/A</v>
      </c>
      <c r="ED125" s="50" t="str">
        <f t="shared" si="55"/>
        <v/>
      </c>
    </row>
    <row r="126" spans="1:134" ht="12" customHeight="1">
      <c r="A126" s="640">
        <v>114</v>
      </c>
      <c r="B126" s="994"/>
      <c r="C126" s="995"/>
      <c r="D126" s="329"/>
      <c r="E126" s="884"/>
      <c r="F126" s="1027" t="str">
        <f t="shared" si="57"/>
        <v/>
      </c>
      <c r="G126" s="1028" t="str">
        <f t="shared" si="58"/>
        <v/>
      </c>
      <c r="H126" s="886"/>
      <c r="I126" s="458" t="str">
        <f t="shared" si="59"/>
        <v/>
      </c>
      <c r="J126" s="886"/>
      <c r="BA126" s="983">
        <v>120</v>
      </c>
      <c r="BB126" s="994"/>
      <c r="BC126" s="995"/>
      <c r="BD126" s="1083"/>
      <c r="BF126" s="983">
        <v>120</v>
      </c>
      <c r="BG126" s="994"/>
      <c r="BH126" s="995"/>
      <c r="BI126" s="1083"/>
      <c r="BK126" s="983">
        <v>120</v>
      </c>
      <c r="BL126" s="994"/>
      <c r="BM126" s="995"/>
      <c r="BN126" s="1083"/>
      <c r="BP126" s="983">
        <v>120</v>
      </c>
      <c r="BQ126" s="994"/>
      <c r="BR126" s="995"/>
      <c r="BS126" s="1083"/>
      <c r="BU126" s="983">
        <v>120</v>
      </c>
      <c r="BV126" s="996"/>
      <c r="BW126" s="997"/>
      <c r="BX126" s="1083"/>
      <c r="BZ126" s="983">
        <v>120</v>
      </c>
      <c r="CA126" s="996"/>
      <c r="CB126" s="997"/>
      <c r="CC126" s="1083"/>
      <c r="DF126" s="43" t="b">
        <f t="shared" si="33"/>
        <v>0</v>
      </c>
      <c r="DG126" s="43" t="str">
        <f t="shared" si="34"/>
        <v/>
      </c>
      <c r="DH126" s="43" t="str">
        <f t="shared" si="35"/>
        <v/>
      </c>
      <c r="DI126" s="43" t="str">
        <f t="shared" si="36"/>
        <v/>
      </c>
      <c r="DJ126" s="43" t="str">
        <f t="shared" si="37"/>
        <v/>
      </c>
      <c r="DK126" s="43" t="e">
        <f t="shared" si="38"/>
        <v>#N/A</v>
      </c>
      <c r="DL126" s="43" t="e">
        <f t="shared" si="39"/>
        <v>#N/A</v>
      </c>
      <c r="DM126" s="43" t="e">
        <f t="shared" si="40"/>
        <v>#N/A</v>
      </c>
      <c r="DN126" s="43" t="e">
        <f t="shared" si="41"/>
        <v>#N/A</v>
      </c>
      <c r="DO126" s="43" t="e">
        <f t="shared" si="42"/>
        <v>#N/A</v>
      </c>
      <c r="DP126" s="43" t="e">
        <f t="shared" si="43"/>
        <v>#N/A</v>
      </c>
      <c r="DQ126" s="43" t="e">
        <f t="shared" si="44"/>
        <v>#N/A</v>
      </c>
      <c r="DR126" s="43" t="e">
        <f t="shared" si="45"/>
        <v>#N/A</v>
      </c>
      <c r="DS126" s="43">
        <f t="shared" si="46"/>
        <v>0</v>
      </c>
      <c r="DT126" s="43">
        <v>116</v>
      </c>
      <c r="DU126" s="43">
        <f t="shared" si="60"/>
        <v>12.324999999999967</v>
      </c>
      <c r="DV126" s="43">
        <f t="shared" si="47"/>
        <v>13.828101309441738</v>
      </c>
      <c r="DW126" s="43">
        <f t="shared" si="48"/>
        <v>0.40631651608203273</v>
      </c>
      <c r="DX126" s="43" t="e">
        <f t="shared" si="49"/>
        <v>#N/A</v>
      </c>
      <c r="DY126" s="50" t="e">
        <f t="shared" si="50"/>
        <v>#N/A</v>
      </c>
      <c r="DZ126" s="50" t="str">
        <f t="shared" si="51"/>
        <v/>
      </c>
      <c r="EA126" s="50">
        <f t="shared" si="52"/>
        <v>1.4295662338972162</v>
      </c>
      <c r="EB126" s="43" t="e">
        <f t="shared" si="53"/>
        <v>#N/A</v>
      </c>
      <c r="EC126" s="50" t="e">
        <f t="shared" si="54"/>
        <v>#N/A</v>
      </c>
      <c r="ED126" s="50" t="str">
        <f t="shared" si="55"/>
        <v/>
      </c>
    </row>
    <row r="127" spans="1:134" ht="12" customHeight="1">
      <c r="A127" s="640">
        <v>115</v>
      </c>
      <c r="B127" s="994"/>
      <c r="C127" s="995"/>
      <c r="D127" s="329"/>
      <c r="E127" s="884"/>
      <c r="F127" s="1027" t="str">
        <f t="shared" si="57"/>
        <v/>
      </c>
      <c r="G127" s="1028" t="str">
        <f t="shared" si="58"/>
        <v/>
      </c>
      <c r="H127" s="886"/>
      <c r="I127" s="458" t="str">
        <f t="shared" si="59"/>
        <v/>
      </c>
      <c r="J127" s="886"/>
      <c r="BA127" s="983">
        <v>121</v>
      </c>
      <c r="BB127" s="994"/>
      <c r="BC127" s="995"/>
      <c r="BD127" s="1083"/>
      <c r="BF127" s="983">
        <v>121</v>
      </c>
      <c r="BG127" s="994"/>
      <c r="BH127" s="995"/>
      <c r="BI127" s="1083"/>
      <c r="BK127" s="983">
        <v>121</v>
      </c>
      <c r="BL127" s="994"/>
      <c r="BM127" s="995"/>
      <c r="BN127" s="1083"/>
      <c r="BP127" s="983">
        <v>121</v>
      </c>
      <c r="BQ127" s="994"/>
      <c r="BR127" s="995"/>
      <c r="BS127" s="1083"/>
      <c r="BU127" s="983">
        <v>121</v>
      </c>
      <c r="BV127" s="996"/>
      <c r="BW127" s="997"/>
      <c r="BX127" s="1083"/>
      <c r="BZ127" s="983">
        <v>121</v>
      </c>
      <c r="CA127" s="996"/>
      <c r="CB127" s="997"/>
      <c r="CC127" s="1083"/>
      <c r="DF127" s="43" t="b">
        <f t="shared" si="33"/>
        <v>0</v>
      </c>
      <c r="DG127" s="43" t="str">
        <f t="shared" si="34"/>
        <v/>
      </c>
      <c r="DH127" s="43" t="str">
        <f t="shared" si="35"/>
        <v/>
      </c>
      <c r="DI127" s="43" t="str">
        <f t="shared" si="36"/>
        <v/>
      </c>
      <c r="DJ127" s="43" t="str">
        <f t="shared" si="37"/>
        <v/>
      </c>
      <c r="DK127" s="43" t="e">
        <f t="shared" si="38"/>
        <v>#N/A</v>
      </c>
      <c r="DL127" s="43" t="e">
        <f t="shared" si="39"/>
        <v>#N/A</v>
      </c>
      <c r="DM127" s="43" t="e">
        <f t="shared" si="40"/>
        <v>#N/A</v>
      </c>
      <c r="DN127" s="43" t="e">
        <f t="shared" si="41"/>
        <v>#N/A</v>
      </c>
      <c r="DO127" s="43" t="e">
        <f t="shared" si="42"/>
        <v>#N/A</v>
      </c>
      <c r="DP127" s="43" t="e">
        <f t="shared" si="43"/>
        <v>#N/A</v>
      </c>
      <c r="DQ127" s="43" t="e">
        <f t="shared" si="44"/>
        <v>#N/A</v>
      </c>
      <c r="DR127" s="43" t="e">
        <f t="shared" si="45"/>
        <v>#N/A</v>
      </c>
      <c r="DS127" s="43">
        <f t="shared" si="46"/>
        <v>0</v>
      </c>
      <c r="DT127" s="43">
        <v>117</v>
      </c>
      <c r="DU127" s="43">
        <f t="shared" si="60"/>
        <v>12.379999999999967</v>
      </c>
      <c r="DV127" s="43">
        <f t="shared" si="47"/>
        <v>13.870971743625061</v>
      </c>
      <c r="DW127" s="43">
        <f t="shared" si="48"/>
        <v>0.40793086415108226</v>
      </c>
      <c r="DX127" s="43" t="e">
        <f t="shared" si="49"/>
        <v>#N/A</v>
      </c>
      <c r="DY127" s="50" t="e">
        <f t="shared" si="50"/>
        <v>#N/A</v>
      </c>
      <c r="DZ127" s="50" t="str">
        <f t="shared" si="51"/>
        <v/>
      </c>
      <c r="EA127" s="50">
        <f t="shared" si="52"/>
        <v>1.4300259073824775</v>
      </c>
      <c r="EB127" s="43" t="e">
        <f t="shared" si="53"/>
        <v>#N/A</v>
      </c>
      <c r="EC127" s="50" t="e">
        <f t="shared" si="54"/>
        <v>#N/A</v>
      </c>
      <c r="ED127" s="50" t="str">
        <f t="shared" si="55"/>
        <v/>
      </c>
    </row>
    <row r="128" spans="1:134" ht="12" customHeight="1">
      <c r="A128" s="640">
        <v>116</v>
      </c>
      <c r="B128" s="994"/>
      <c r="C128" s="995"/>
      <c r="D128" s="329"/>
      <c r="E128" s="884"/>
      <c r="F128" s="1027" t="str">
        <f t="shared" si="57"/>
        <v/>
      </c>
      <c r="G128" s="1028" t="str">
        <f t="shared" si="58"/>
        <v/>
      </c>
      <c r="H128" s="886"/>
      <c r="I128" s="458" t="str">
        <f t="shared" si="59"/>
        <v/>
      </c>
      <c r="J128" s="886"/>
      <c r="BA128" s="983">
        <v>122</v>
      </c>
      <c r="BB128" s="994"/>
      <c r="BC128" s="995"/>
      <c r="BD128" s="1083"/>
      <c r="BF128" s="983">
        <v>122</v>
      </c>
      <c r="BG128" s="994"/>
      <c r="BH128" s="995"/>
      <c r="BI128" s="1083"/>
      <c r="BK128" s="983">
        <v>122</v>
      </c>
      <c r="BL128" s="994"/>
      <c r="BM128" s="995"/>
      <c r="BN128" s="1083"/>
      <c r="BP128" s="983">
        <v>122</v>
      </c>
      <c r="BQ128" s="994"/>
      <c r="BR128" s="995"/>
      <c r="BS128" s="1083"/>
      <c r="BU128" s="983">
        <v>122</v>
      </c>
      <c r="BV128" s="996"/>
      <c r="BW128" s="997"/>
      <c r="BX128" s="1083"/>
      <c r="BZ128" s="983">
        <v>122</v>
      </c>
      <c r="CA128" s="996"/>
      <c r="CB128" s="997"/>
      <c r="CC128" s="1083"/>
      <c r="DF128" s="43" t="b">
        <f t="shared" si="33"/>
        <v>0</v>
      </c>
      <c r="DG128" s="43" t="str">
        <f t="shared" si="34"/>
        <v/>
      </c>
      <c r="DH128" s="43" t="str">
        <f t="shared" si="35"/>
        <v/>
      </c>
      <c r="DI128" s="43" t="str">
        <f t="shared" si="36"/>
        <v/>
      </c>
      <c r="DJ128" s="43" t="str">
        <f t="shared" si="37"/>
        <v/>
      </c>
      <c r="DK128" s="43" t="e">
        <f t="shared" si="38"/>
        <v>#N/A</v>
      </c>
      <c r="DL128" s="43" t="e">
        <f t="shared" si="39"/>
        <v>#N/A</v>
      </c>
      <c r="DM128" s="43" t="e">
        <f t="shared" si="40"/>
        <v>#N/A</v>
      </c>
      <c r="DN128" s="43" t="e">
        <f t="shared" si="41"/>
        <v>#N/A</v>
      </c>
      <c r="DO128" s="43" t="e">
        <f t="shared" si="42"/>
        <v>#N/A</v>
      </c>
      <c r="DP128" s="43" t="e">
        <f t="shared" si="43"/>
        <v>#N/A</v>
      </c>
      <c r="DQ128" s="43" t="e">
        <f t="shared" si="44"/>
        <v>#N/A</v>
      </c>
      <c r="DR128" s="43" t="e">
        <f t="shared" si="45"/>
        <v>#N/A</v>
      </c>
      <c r="DS128" s="43">
        <f t="shared" si="46"/>
        <v>0</v>
      </c>
      <c r="DT128" s="43">
        <v>118</v>
      </c>
      <c r="DU128" s="43">
        <f t="shared" si="60"/>
        <v>12.434999999999967</v>
      </c>
      <c r="DV128" s="43">
        <f t="shared" si="47"/>
        <v>13.913842177808382</v>
      </c>
      <c r="DW128" s="43">
        <f t="shared" si="48"/>
        <v>0.40965358740265068</v>
      </c>
      <c r="DX128" s="43" t="e">
        <f t="shared" si="49"/>
        <v>#N/A</v>
      </c>
      <c r="DY128" s="50" t="e">
        <f t="shared" si="50"/>
        <v>#N/A</v>
      </c>
      <c r="DZ128" s="50" t="str">
        <f t="shared" si="51"/>
        <v/>
      </c>
      <c r="EA128" s="50">
        <f t="shared" si="52"/>
        <v>1.4305182863318768</v>
      </c>
      <c r="EB128" s="43" t="e">
        <f t="shared" si="53"/>
        <v>#N/A</v>
      </c>
      <c r="EC128" s="50" t="e">
        <f t="shared" si="54"/>
        <v>#N/A</v>
      </c>
      <c r="ED128" s="50" t="str">
        <f t="shared" si="55"/>
        <v/>
      </c>
    </row>
    <row r="129" spans="1:134" ht="12" customHeight="1">
      <c r="A129" s="640">
        <v>117</v>
      </c>
      <c r="B129" s="994"/>
      <c r="C129" s="995"/>
      <c r="D129" s="329"/>
      <c r="E129" s="884"/>
      <c r="F129" s="1027" t="str">
        <f t="shared" si="57"/>
        <v/>
      </c>
      <c r="G129" s="1028" t="str">
        <f t="shared" si="58"/>
        <v/>
      </c>
      <c r="H129" s="886"/>
      <c r="I129" s="458" t="str">
        <f t="shared" si="59"/>
        <v/>
      </c>
      <c r="J129" s="886"/>
      <c r="BA129" s="983">
        <v>123</v>
      </c>
      <c r="BB129" s="994"/>
      <c r="BC129" s="995"/>
      <c r="BD129" s="1083"/>
      <c r="BF129" s="983">
        <v>123</v>
      </c>
      <c r="BG129" s="994"/>
      <c r="BH129" s="995"/>
      <c r="BI129" s="1083"/>
      <c r="BK129" s="983">
        <v>123</v>
      </c>
      <c r="BL129" s="994"/>
      <c r="BM129" s="995"/>
      <c r="BN129" s="1083"/>
      <c r="BP129" s="983">
        <v>123</v>
      </c>
      <c r="BQ129" s="994"/>
      <c r="BR129" s="995"/>
      <c r="BS129" s="1083"/>
      <c r="BU129" s="983">
        <v>123</v>
      </c>
      <c r="BV129" s="996"/>
      <c r="BW129" s="997"/>
      <c r="BX129" s="1083"/>
      <c r="BZ129" s="983">
        <v>123</v>
      </c>
      <c r="CA129" s="996"/>
      <c r="CB129" s="997"/>
      <c r="CC129" s="1083"/>
      <c r="DF129" s="43" t="b">
        <f t="shared" si="33"/>
        <v>0</v>
      </c>
      <c r="DG129" s="43" t="str">
        <f t="shared" si="34"/>
        <v/>
      </c>
      <c r="DH129" s="43" t="str">
        <f t="shared" si="35"/>
        <v/>
      </c>
      <c r="DI129" s="43" t="str">
        <f t="shared" si="36"/>
        <v/>
      </c>
      <c r="DJ129" s="43" t="str">
        <f t="shared" si="37"/>
        <v/>
      </c>
      <c r="DK129" s="43" t="e">
        <f t="shared" si="38"/>
        <v>#N/A</v>
      </c>
      <c r="DL129" s="43" t="e">
        <f t="shared" si="39"/>
        <v>#N/A</v>
      </c>
      <c r="DM129" s="43" t="e">
        <f t="shared" si="40"/>
        <v>#N/A</v>
      </c>
      <c r="DN129" s="43" t="e">
        <f t="shared" si="41"/>
        <v>#N/A</v>
      </c>
      <c r="DO129" s="43" t="e">
        <f t="shared" si="42"/>
        <v>#N/A</v>
      </c>
      <c r="DP129" s="43" t="e">
        <f t="shared" si="43"/>
        <v>#N/A</v>
      </c>
      <c r="DQ129" s="43" t="e">
        <f t="shared" si="44"/>
        <v>#N/A</v>
      </c>
      <c r="DR129" s="43" t="e">
        <f t="shared" si="45"/>
        <v>#N/A</v>
      </c>
      <c r="DS129" s="43">
        <f t="shared" si="46"/>
        <v>0</v>
      </c>
      <c r="DT129" s="43">
        <v>119</v>
      </c>
      <c r="DU129" s="43">
        <f t="shared" si="60"/>
        <v>12.489999999999966</v>
      </c>
      <c r="DV129" s="43">
        <f t="shared" si="47"/>
        <v>13.956712611991703</v>
      </c>
      <c r="DW129" s="43">
        <f t="shared" si="48"/>
        <v>0.41148332466271104</v>
      </c>
      <c r="DX129" s="43" t="e">
        <f t="shared" si="49"/>
        <v>#N/A</v>
      </c>
      <c r="DY129" s="50" t="e">
        <f t="shared" si="50"/>
        <v>#N/A</v>
      </c>
      <c r="DZ129" s="50" t="str">
        <f t="shared" si="51"/>
        <v/>
      </c>
      <c r="EA129" s="50">
        <f t="shared" si="52"/>
        <v>1.4310433369865174</v>
      </c>
      <c r="EB129" s="43" t="e">
        <f t="shared" si="53"/>
        <v>#N/A</v>
      </c>
      <c r="EC129" s="50" t="e">
        <f t="shared" si="54"/>
        <v>#N/A</v>
      </c>
      <c r="ED129" s="50" t="str">
        <f t="shared" si="55"/>
        <v/>
      </c>
    </row>
    <row r="130" spans="1:134" ht="12" customHeight="1">
      <c r="A130" s="640">
        <v>118</v>
      </c>
      <c r="B130" s="994"/>
      <c r="C130" s="995"/>
      <c r="D130" s="329"/>
      <c r="E130" s="884"/>
      <c r="F130" s="1027" t="str">
        <f t="shared" si="57"/>
        <v/>
      </c>
      <c r="G130" s="1028" t="str">
        <f t="shared" si="58"/>
        <v/>
      </c>
      <c r="H130" s="886"/>
      <c r="I130" s="458" t="str">
        <f t="shared" si="59"/>
        <v/>
      </c>
      <c r="J130" s="886"/>
      <c r="BA130" s="983">
        <v>124</v>
      </c>
      <c r="BB130" s="994"/>
      <c r="BC130" s="995"/>
      <c r="BD130" s="1083"/>
      <c r="BF130" s="983">
        <v>124</v>
      </c>
      <c r="BG130" s="994"/>
      <c r="BH130" s="995"/>
      <c r="BI130" s="1083"/>
      <c r="BK130" s="983">
        <v>124</v>
      </c>
      <c r="BL130" s="994"/>
      <c r="BM130" s="995"/>
      <c r="BN130" s="1083"/>
      <c r="BP130" s="983">
        <v>124</v>
      </c>
      <c r="BQ130" s="994"/>
      <c r="BR130" s="995"/>
      <c r="BS130" s="1083"/>
      <c r="BU130" s="983">
        <v>124</v>
      </c>
      <c r="BV130" s="996"/>
      <c r="BW130" s="997"/>
      <c r="BX130" s="1083"/>
      <c r="BZ130" s="983">
        <v>124</v>
      </c>
      <c r="CA130" s="996"/>
      <c r="CB130" s="997"/>
      <c r="CC130" s="1083"/>
      <c r="DF130" s="43" t="b">
        <f t="shared" si="33"/>
        <v>0</v>
      </c>
      <c r="DG130" s="43" t="str">
        <f t="shared" si="34"/>
        <v/>
      </c>
      <c r="DH130" s="43" t="str">
        <f t="shared" si="35"/>
        <v/>
      </c>
      <c r="DI130" s="43" t="str">
        <f t="shared" si="36"/>
        <v/>
      </c>
      <c r="DJ130" s="43" t="str">
        <f t="shared" si="37"/>
        <v/>
      </c>
      <c r="DK130" s="43" t="e">
        <f t="shared" si="38"/>
        <v>#N/A</v>
      </c>
      <c r="DL130" s="43" t="e">
        <f t="shared" si="39"/>
        <v>#N/A</v>
      </c>
      <c r="DM130" s="43" t="e">
        <f t="shared" si="40"/>
        <v>#N/A</v>
      </c>
      <c r="DN130" s="43" t="e">
        <f t="shared" si="41"/>
        <v>#N/A</v>
      </c>
      <c r="DO130" s="43" t="e">
        <f t="shared" si="42"/>
        <v>#N/A</v>
      </c>
      <c r="DP130" s="43" t="e">
        <f t="shared" si="43"/>
        <v>#N/A</v>
      </c>
      <c r="DQ130" s="43" t="e">
        <f t="shared" si="44"/>
        <v>#N/A</v>
      </c>
      <c r="DR130" s="43" t="e">
        <f t="shared" si="45"/>
        <v>#N/A</v>
      </c>
      <c r="DS130" s="43">
        <f t="shared" si="46"/>
        <v>0</v>
      </c>
      <c r="DT130" s="43">
        <v>120</v>
      </c>
      <c r="DU130" s="43">
        <f t="shared" si="60"/>
        <v>12.544999999999966</v>
      </c>
      <c r="DV130" s="43">
        <f t="shared" si="47"/>
        <v>13.999583046175026</v>
      </c>
      <c r="DW130" s="43">
        <f t="shared" si="48"/>
        <v>0.41341865504340686</v>
      </c>
      <c r="DX130" s="43" t="e">
        <f t="shared" si="49"/>
        <v>#N/A</v>
      </c>
      <c r="DY130" s="50" t="e">
        <f t="shared" si="50"/>
        <v>#N/A</v>
      </c>
      <c r="DZ130" s="50" t="str">
        <f t="shared" si="51"/>
        <v/>
      </c>
      <c r="EA130" s="50">
        <f t="shared" si="52"/>
        <v>1.4316010233986032</v>
      </c>
      <c r="EB130" s="43" t="e">
        <f t="shared" si="53"/>
        <v>#N/A</v>
      </c>
      <c r="EC130" s="50" t="e">
        <f t="shared" si="54"/>
        <v>#N/A</v>
      </c>
      <c r="ED130" s="50" t="str">
        <f t="shared" si="55"/>
        <v/>
      </c>
    </row>
    <row r="131" spans="1:134" ht="12" customHeight="1">
      <c r="A131" s="640">
        <v>119</v>
      </c>
      <c r="B131" s="994"/>
      <c r="C131" s="995"/>
      <c r="D131" s="329"/>
      <c r="E131" s="884"/>
      <c r="F131" s="1027" t="str">
        <f t="shared" si="57"/>
        <v/>
      </c>
      <c r="G131" s="1028" t="str">
        <f t="shared" si="58"/>
        <v/>
      </c>
      <c r="H131" s="886"/>
      <c r="I131" s="458" t="str">
        <f t="shared" si="59"/>
        <v/>
      </c>
      <c r="J131" s="886"/>
      <c r="BA131" s="983">
        <v>125</v>
      </c>
      <c r="BB131" s="994"/>
      <c r="BC131" s="995"/>
      <c r="BD131" s="1083"/>
      <c r="BF131" s="983">
        <v>125</v>
      </c>
      <c r="BG131" s="994"/>
      <c r="BH131" s="995"/>
      <c r="BI131" s="1083"/>
      <c r="BK131" s="983">
        <v>125</v>
      </c>
      <c r="BL131" s="994"/>
      <c r="BM131" s="995"/>
      <c r="BN131" s="1083"/>
      <c r="BP131" s="983">
        <v>125</v>
      </c>
      <c r="BQ131" s="994"/>
      <c r="BR131" s="995"/>
      <c r="BS131" s="1083"/>
      <c r="BU131" s="983">
        <v>125</v>
      </c>
      <c r="BV131" s="996"/>
      <c r="BW131" s="997"/>
      <c r="BX131" s="1083"/>
      <c r="BZ131" s="983">
        <v>125</v>
      </c>
      <c r="CA131" s="996"/>
      <c r="CB131" s="997"/>
      <c r="CC131" s="1083"/>
      <c r="DF131" s="43" t="b">
        <f t="shared" si="33"/>
        <v>0</v>
      </c>
      <c r="DG131" s="43" t="str">
        <f t="shared" si="34"/>
        <v/>
      </c>
      <c r="DH131" s="43" t="str">
        <f t="shared" si="35"/>
        <v/>
      </c>
      <c r="DI131" s="43" t="str">
        <f t="shared" si="36"/>
        <v/>
      </c>
      <c r="DJ131" s="43" t="str">
        <f t="shared" si="37"/>
        <v/>
      </c>
      <c r="DK131" s="43" t="e">
        <f t="shared" si="38"/>
        <v>#N/A</v>
      </c>
      <c r="DL131" s="43" t="e">
        <f t="shared" si="39"/>
        <v>#N/A</v>
      </c>
      <c r="DM131" s="43" t="e">
        <f t="shared" si="40"/>
        <v>#N/A</v>
      </c>
      <c r="DN131" s="43" t="e">
        <f t="shared" si="41"/>
        <v>#N/A</v>
      </c>
      <c r="DO131" s="43" t="e">
        <f t="shared" si="42"/>
        <v>#N/A</v>
      </c>
      <c r="DP131" s="43" t="e">
        <f t="shared" si="43"/>
        <v>#N/A</v>
      </c>
      <c r="DQ131" s="43" t="e">
        <f t="shared" si="44"/>
        <v>#N/A</v>
      </c>
      <c r="DR131" s="43" t="e">
        <f t="shared" si="45"/>
        <v>#N/A</v>
      </c>
      <c r="DS131" s="43">
        <f t="shared" si="46"/>
        <v>0</v>
      </c>
      <c r="DT131" s="43">
        <v>121</v>
      </c>
      <c r="DU131" s="43">
        <f t="shared" si="60"/>
        <v>12.599999999999966</v>
      </c>
      <c r="DV131" s="43">
        <f t="shared" si="47"/>
        <v>14.042453480358347</v>
      </c>
      <c r="DW131" s="43">
        <f t="shared" si="48"/>
        <v>0.41545810289260859</v>
      </c>
      <c r="DX131" s="43" t="e">
        <f t="shared" si="49"/>
        <v>#N/A</v>
      </c>
      <c r="DY131" s="50" t="e">
        <f t="shared" si="50"/>
        <v>#N/A</v>
      </c>
      <c r="DZ131" s="50" t="str">
        <f t="shared" si="51"/>
        <v/>
      </c>
      <c r="EA131" s="50">
        <f t="shared" si="52"/>
        <v>1.432191307443651</v>
      </c>
      <c r="EB131" s="43" t="e">
        <f t="shared" si="53"/>
        <v>#N/A</v>
      </c>
      <c r="EC131" s="50" t="e">
        <f t="shared" si="54"/>
        <v>#N/A</v>
      </c>
      <c r="ED131" s="50" t="str">
        <f t="shared" si="55"/>
        <v/>
      </c>
    </row>
    <row r="132" spans="1:134" ht="12" customHeight="1">
      <c r="A132" s="640">
        <v>120</v>
      </c>
      <c r="B132" s="994"/>
      <c r="C132" s="995"/>
      <c r="D132" s="329"/>
      <c r="E132" s="884"/>
      <c r="F132" s="1027" t="str">
        <f t="shared" si="57"/>
        <v/>
      </c>
      <c r="G132" s="1028" t="str">
        <f t="shared" si="58"/>
        <v/>
      </c>
      <c r="H132" s="886"/>
      <c r="I132" s="458" t="str">
        <f t="shared" si="59"/>
        <v/>
      </c>
      <c r="J132" s="886"/>
      <c r="BA132" s="983">
        <v>126</v>
      </c>
      <c r="BB132" s="994"/>
      <c r="BC132" s="995"/>
      <c r="BD132" s="1083"/>
      <c r="BF132" s="983">
        <v>126</v>
      </c>
      <c r="BG132" s="994"/>
      <c r="BH132" s="995"/>
      <c r="BI132" s="1083"/>
      <c r="BK132" s="983">
        <v>126</v>
      </c>
      <c r="BL132" s="994"/>
      <c r="BM132" s="995"/>
      <c r="BN132" s="1083"/>
      <c r="BP132" s="983">
        <v>126</v>
      </c>
      <c r="BQ132" s="994"/>
      <c r="BR132" s="995"/>
      <c r="BS132" s="1083"/>
      <c r="BU132" s="983">
        <v>126</v>
      </c>
      <c r="BV132" s="996"/>
      <c r="BW132" s="997"/>
      <c r="BX132" s="1083"/>
      <c r="BZ132" s="983">
        <v>126</v>
      </c>
      <c r="CA132" s="996"/>
      <c r="CB132" s="997"/>
      <c r="CC132" s="1083"/>
      <c r="DF132" s="43" t="b">
        <f t="shared" si="33"/>
        <v>0</v>
      </c>
      <c r="DG132" s="43" t="str">
        <f t="shared" si="34"/>
        <v/>
      </c>
      <c r="DH132" s="43" t="str">
        <f t="shared" si="35"/>
        <v/>
      </c>
      <c r="DI132" s="43" t="str">
        <f t="shared" si="36"/>
        <v/>
      </c>
      <c r="DJ132" s="43" t="str">
        <f t="shared" si="37"/>
        <v/>
      </c>
      <c r="DK132" s="43" t="e">
        <f t="shared" si="38"/>
        <v>#N/A</v>
      </c>
      <c r="DL132" s="43" t="e">
        <f t="shared" si="39"/>
        <v>#N/A</v>
      </c>
      <c r="DM132" s="43" t="e">
        <f t="shared" si="40"/>
        <v>#N/A</v>
      </c>
      <c r="DN132" s="43" t="e">
        <f t="shared" si="41"/>
        <v>#N/A</v>
      </c>
      <c r="DO132" s="43" t="e">
        <f t="shared" si="42"/>
        <v>#N/A</v>
      </c>
      <c r="DP132" s="43" t="e">
        <f t="shared" si="43"/>
        <v>#N/A</v>
      </c>
      <c r="DQ132" s="43" t="e">
        <f t="shared" si="44"/>
        <v>#N/A</v>
      </c>
      <c r="DR132" s="43" t="e">
        <f t="shared" si="45"/>
        <v>#N/A</v>
      </c>
      <c r="DS132" s="43">
        <f t="shared" si="46"/>
        <v>0</v>
      </c>
      <c r="DT132" s="43">
        <v>122</v>
      </c>
      <c r="DU132" s="43">
        <f t="shared" si="60"/>
        <v>12.654999999999966</v>
      </c>
      <c r="DV132" s="43">
        <f t="shared" si="47"/>
        <v>14.085323914541668</v>
      </c>
      <c r="DW132" s="43">
        <f t="shared" si="48"/>
        <v>0.4176001427671639</v>
      </c>
      <c r="DX132" s="43" t="e">
        <f t="shared" si="49"/>
        <v>#N/A</v>
      </c>
      <c r="DY132" s="50" t="e">
        <f t="shared" si="50"/>
        <v>#N/A</v>
      </c>
      <c r="DZ132" s="50" t="str">
        <f t="shared" si="51"/>
        <v/>
      </c>
      <c r="EA132" s="50">
        <f t="shared" si="52"/>
        <v>1.4328141488334016</v>
      </c>
      <c r="EB132" s="43" t="e">
        <f t="shared" si="53"/>
        <v>#N/A</v>
      </c>
      <c r="EC132" s="50" t="e">
        <f t="shared" si="54"/>
        <v>#N/A</v>
      </c>
      <c r="ED132" s="50" t="str">
        <f t="shared" si="55"/>
        <v/>
      </c>
    </row>
    <row r="133" spans="1:134" ht="12" customHeight="1">
      <c r="A133" s="640">
        <v>121</v>
      </c>
      <c r="B133" s="994"/>
      <c r="C133" s="995"/>
      <c r="D133" s="329"/>
      <c r="E133" s="884"/>
      <c r="F133" s="1027" t="str">
        <f t="shared" si="57"/>
        <v/>
      </c>
      <c r="G133" s="1028" t="str">
        <f t="shared" si="58"/>
        <v/>
      </c>
      <c r="H133" s="886"/>
      <c r="I133" s="458" t="str">
        <f t="shared" si="59"/>
        <v/>
      </c>
      <c r="J133" s="886"/>
      <c r="BA133" s="983">
        <v>127</v>
      </c>
      <c r="BB133" s="994"/>
      <c r="BC133" s="995"/>
      <c r="BD133" s="1083"/>
      <c r="BF133" s="983">
        <v>127</v>
      </c>
      <c r="BG133" s="994"/>
      <c r="BH133" s="995"/>
      <c r="BI133" s="1083"/>
      <c r="BK133" s="983">
        <v>127</v>
      </c>
      <c r="BL133" s="994"/>
      <c r="BM133" s="995"/>
      <c r="BN133" s="1083"/>
      <c r="BP133" s="983">
        <v>127</v>
      </c>
      <c r="BQ133" s="994"/>
      <c r="BR133" s="995"/>
      <c r="BS133" s="1083"/>
      <c r="BU133" s="983">
        <v>127</v>
      </c>
      <c r="BV133" s="996"/>
      <c r="BW133" s="997"/>
      <c r="BX133" s="1083"/>
      <c r="BZ133" s="983">
        <v>127</v>
      </c>
      <c r="CA133" s="996"/>
      <c r="CB133" s="997"/>
      <c r="CC133" s="1083"/>
      <c r="DF133" s="43" t="b">
        <f t="shared" si="33"/>
        <v>0</v>
      </c>
      <c r="DG133" s="43" t="str">
        <f t="shared" si="34"/>
        <v/>
      </c>
      <c r="DH133" s="43" t="str">
        <f t="shared" si="35"/>
        <v/>
      </c>
      <c r="DI133" s="43" t="str">
        <f t="shared" si="36"/>
        <v/>
      </c>
      <c r="DJ133" s="43" t="str">
        <f t="shared" si="37"/>
        <v/>
      </c>
      <c r="DK133" s="43" t="e">
        <f t="shared" si="38"/>
        <v>#N/A</v>
      </c>
      <c r="DL133" s="43" t="e">
        <f t="shared" si="39"/>
        <v>#N/A</v>
      </c>
      <c r="DM133" s="43" t="e">
        <f t="shared" si="40"/>
        <v>#N/A</v>
      </c>
      <c r="DN133" s="43" t="e">
        <f t="shared" si="41"/>
        <v>#N/A</v>
      </c>
      <c r="DO133" s="43" t="e">
        <f t="shared" si="42"/>
        <v>#N/A</v>
      </c>
      <c r="DP133" s="43" t="e">
        <f t="shared" si="43"/>
        <v>#N/A</v>
      </c>
      <c r="DQ133" s="43" t="e">
        <f t="shared" si="44"/>
        <v>#N/A</v>
      </c>
      <c r="DR133" s="43" t="e">
        <f t="shared" si="45"/>
        <v>#N/A</v>
      </c>
      <c r="DS133" s="43">
        <f t="shared" si="46"/>
        <v>0</v>
      </c>
      <c r="DT133" s="43">
        <v>123</v>
      </c>
      <c r="DU133" s="43">
        <f t="shared" si="60"/>
        <v>12.709999999999965</v>
      </c>
      <c r="DV133" s="43">
        <f t="shared" si="47"/>
        <v>14.128194348724991</v>
      </c>
      <c r="DW133" s="43">
        <f t="shared" si="48"/>
        <v>0.4198432043965824</v>
      </c>
      <c r="DX133" s="43" t="e">
        <f t="shared" si="49"/>
        <v>#N/A</v>
      </c>
      <c r="DY133" s="50" t="e">
        <f t="shared" si="50"/>
        <v>#N/A</v>
      </c>
      <c r="DZ133" s="50" t="str">
        <f t="shared" si="51"/>
        <v/>
      </c>
      <c r="EA133" s="50">
        <f t="shared" si="52"/>
        <v>1.4334695051294324</v>
      </c>
      <c r="EB133" s="43" t="e">
        <f t="shared" si="53"/>
        <v>#N/A</v>
      </c>
      <c r="EC133" s="50" t="e">
        <f t="shared" si="54"/>
        <v>#N/A</v>
      </c>
      <c r="ED133" s="50" t="str">
        <f t="shared" si="55"/>
        <v/>
      </c>
    </row>
    <row r="134" spans="1:134" ht="12" customHeight="1">
      <c r="A134" s="640">
        <v>122</v>
      </c>
      <c r="B134" s="994"/>
      <c r="C134" s="995"/>
      <c r="D134" s="329"/>
      <c r="E134" s="884"/>
      <c r="F134" s="1027" t="str">
        <f t="shared" si="57"/>
        <v/>
      </c>
      <c r="G134" s="1028" t="str">
        <f t="shared" si="58"/>
        <v/>
      </c>
      <c r="H134" s="886"/>
      <c r="I134" s="458" t="str">
        <f t="shared" si="59"/>
        <v/>
      </c>
      <c r="J134" s="886"/>
      <c r="BA134" s="983">
        <v>128</v>
      </c>
      <c r="BB134" s="994"/>
      <c r="BC134" s="995"/>
      <c r="BD134" s="1083"/>
      <c r="BF134" s="983">
        <v>128</v>
      </c>
      <c r="BG134" s="994"/>
      <c r="BH134" s="995"/>
      <c r="BI134" s="1083"/>
      <c r="BK134" s="983">
        <v>128</v>
      </c>
      <c r="BL134" s="994"/>
      <c r="BM134" s="995"/>
      <c r="BN134" s="1083"/>
      <c r="BP134" s="983">
        <v>128</v>
      </c>
      <c r="BQ134" s="994"/>
      <c r="BR134" s="995"/>
      <c r="BS134" s="1083"/>
      <c r="BU134" s="983">
        <v>128</v>
      </c>
      <c r="BV134" s="996"/>
      <c r="BW134" s="997"/>
      <c r="BX134" s="1083"/>
      <c r="BZ134" s="983">
        <v>128</v>
      </c>
      <c r="CA134" s="996"/>
      <c r="CB134" s="997"/>
      <c r="CC134" s="1083"/>
      <c r="DF134" s="43" t="b">
        <f t="shared" si="33"/>
        <v>0</v>
      </c>
      <c r="DG134" s="43" t="str">
        <f t="shared" si="34"/>
        <v/>
      </c>
      <c r="DH134" s="43" t="str">
        <f t="shared" si="35"/>
        <v/>
      </c>
      <c r="DI134" s="43" t="str">
        <f t="shared" si="36"/>
        <v/>
      </c>
      <c r="DJ134" s="43" t="str">
        <f t="shared" si="37"/>
        <v/>
      </c>
      <c r="DK134" s="43" t="e">
        <f t="shared" si="38"/>
        <v>#N/A</v>
      </c>
      <c r="DL134" s="43" t="e">
        <f t="shared" si="39"/>
        <v>#N/A</v>
      </c>
      <c r="DM134" s="43" t="e">
        <f t="shared" si="40"/>
        <v>#N/A</v>
      </c>
      <c r="DN134" s="43" t="e">
        <f t="shared" si="41"/>
        <v>#N/A</v>
      </c>
      <c r="DO134" s="43" t="e">
        <f t="shared" si="42"/>
        <v>#N/A</v>
      </c>
      <c r="DP134" s="43" t="e">
        <f t="shared" si="43"/>
        <v>#N/A</v>
      </c>
      <c r="DQ134" s="43" t="e">
        <f t="shared" si="44"/>
        <v>#N/A</v>
      </c>
      <c r="DR134" s="43" t="e">
        <f t="shared" si="45"/>
        <v>#N/A</v>
      </c>
      <c r="DS134" s="43">
        <f t="shared" si="46"/>
        <v>0</v>
      </c>
      <c r="DT134" s="43">
        <v>124</v>
      </c>
      <c r="DU134" s="43">
        <f t="shared" si="60"/>
        <v>12.764999999999965</v>
      </c>
      <c r="DV134" s="43">
        <f t="shared" si="47"/>
        <v>14.171064782908312</v>
      </c>
      <c r="DW134" s="43">
        <f t="shared" si="48"/>
        <v>0.42218567760599102</v>
      </c>
      <c r="DX134" s="43" t="e">
        <f t="shared" si="49"/>
        <v>#N/A</v>
      </c>
      <c r="DY134" s="50" t="e">
        <f t="shared" si="50"/>
        <v>#N/A</v>
      </c>
      <c r="DZ134" s="50" t="str">
        <f t="shared" si="51"/>
        <v/>
      </c>
      <c r="EA134" s="50">
        <f t="shared" si="52"/>
        <v>1.4341573317574539</v>
      </c>
      <c r="EB134" s="43" t="e">
        <f t="shared" si="53"/>
        <v>#N/A</v>
      </c>
      <c r="EC134" s="50" t="e">
        <f t="shared" si="54"/>
        <v>#N/A</v>
      </c>
      <c r="ED134" s="50" t="str">
        <f t="shared" si="55"/>
        <v/>
      </c>
    </row>
    <row r="135" spans="1:134" ht="12" customHeight="1">
      <c r="A135" s="640">
        <v>123</v>
      </c>
      <c r="B135" s="994"/>
      <c r="C135" s="995"/>
      <c r="D135" s="329"/>
      <c r="E135" s="884"/>
      <c r="F135" s="1027" t="str">
        <f t="shared" si="57"/>
        <v/>
      </c>
      <c r="G135" s="1028" t="str">
        <f t="shared" si="58"/>
        <v/>
      </c>
      <c r="H135" s="886"/>
      <c r="I135" s="458" t="str">
        <f t="shared" si="59"/>
        <v/>
      </c>
      <c r="J135" s="886"/>
      <c r="BA135" s="983">
        <v>129</v>
      </c>
      <c r="BB135" s="994"/>
      <c r="BC135" s="995"/>
      <c r="BD135" s="1083"/>
      <c r="BF135" s="983">
        <v>129</v>
      </c>
      <c r="BG135" s="994"/>
      <c r="BH135" s="995"/>
      <c r="BI135" s="1083"/>
      <c r="BK135" s="983">
        <v>129</v>
      </c>
      <c r="BL135" s="994"/>
      <c r="BM135" s="995"/>
      <c r="BN135" s="1083"/>
      <c r="BP135" s="983">
        <v>129</v>
      </c>
      <c r="BQ135" s="994"/>
      <c r="BR135" s="995"/>
      <c r="BS135" s="1083"/>
      <c r="BU135" s="983">
        <v>129</v>
      </c>
      <c r="BV135" s="996"/>
      <c r="BW135" s="997"/>
      <c r="BX135" s="1083"/>
      <c r="BZ135" s="983">
        <v>129</v>
      </c>
      <c r="CA135" s="996"/>
      <c r="CB135" s="997"/>
      <c r="CC135" s="1083"/>
      <c r="DF135" s="43" t="b">
        <f t="shared" si="33"/>
        <v>0</v>
      </c>
      <c r="DG135" s="43" t="str">
        <f t="shared" si="34"/>
        <v/>
      </c>
      <c r="DH135" s="43" t="str">
        <f t="shared" si="35"/>
        <v/>
      </c>
      <c r="DI135" s="43" t="str">
        <f t="shared" si="36"/>
        <v/>
      </c>
      <c r="DJ135" s="43" t="str">
        <f t="shared" si="37"/>
        <v/>
      </c>
      <c r="DK135" s="43" t="e">
        <f t="shared" si="38"/>
        <v>#N/A</v>
      </c>
      <c r="DL135" s="43" t="e">
        <f t="shared" si="39"/>
        <v>#N/A</v>
      </c>
      <c r="DM135" s="43" t="e">
        <f t="shared" si="40"/>
        <v>#N/A</v>
      </c>
      <c r="DN135" s="43" t="e">
        <f t="shared" si="41"/>
        <v>#N/A</v>
      </c>
      <c r="DO135" s="43" t="e">
        <f t="shared" si="42"/>
        <v>#N/A</v>
      </c>
      <c r="DP135" s="43" t="e">
        <f t="shared" si="43"/>
        <v>#N/A</v>
      </c>
      <c r="DQ135" s="43" t="e">
        <f t="shared" si="44"/>
        <v>#N/A</v>
      </c>
      <c r="DR135" s="43" t="e">
        <f t="shared" si="45"/>
        <v>#N/A</v>
      </c>
      <c r="DS135" s="43">
        <f t="shared" si="46"/>
        <v>0</v>
      </c>
      <c r="DT135" s="43">
        <v>125</v>
      </c>
      <c r="DU135" s="43">
        <f t="shared" si="60"/>
        <v>12.819999999999965</v>
      </c>
      <c r="DV135" s="43">
        <f t="shared" si="47"/>
        <v>14.213935217091633</v>
      </c>
      <c r="DW135" s="43">
        <f t="shared" si="48"/>
        <v>0.42462591716954057</v>
      </c>
      <c r="DX135" s="43" t="e">
        <f t="shared" si="49"/>
        <v>#N/A</v>
      </c>
      <c r="DY135" s="50" t="e">
        <f t="shared" si="50"/>
        <v>#N/A</v>
      </c>
      <c r="DZ135" s="50" t="str">
        <f t="shared" si="51"/>
        <v/>
      </c>
      <c r="EA135" s="50">
        <f t="shared" si="52"/>
        <v>1.4348775820222794</v>
      </c>
      <c r="EB135" s="43" t="e">
        <f t="shared" si="53"/>
        <v>#N/A</v>
      </c>
      <c r="EC135" s="50" t="e">
        <f t="shared" si="54"/>
        <v>#N/A</v>
      </c>
      <c r="ED135" s="50" t="str">
        <f t="shared" si="55"/>
        <v/>
      </c>
    </row>
    <row r="136" spans="1:134" ht="12" customHeight="1">
      <c r="A136" s="640">
        <v>124</v>
      </c>
      <c r="B136" s="994"/>
      <c r="C136" s="995"/>
      <c r="D136" s="329"/>
      <c r="E136" s="884"/>
      <c r="F136" s="1027" t="str">
        <f t="shared" si="57"/>
        <v/>
      </c>
      <c r="G136" s="1028" t="str">
        <f t="shared" si="58"/>
        <v/>
      </c>
      <c r="H136" s="886"/>
      <c r="I136" s="458" t="str">
        <f t="shared" si="59"/>
        <v/>
      </c>
      <c r="J136" s="886"/>
      <c r="BA136" s="983">
        <v>130</v>
      </c>
      <c r="BB136" s="994"/>
      <c r="BC136" s="995"/>
      <c r="BD136" s="1083"/>
      <c r="BF136" s="983">
        <v>130</v>
      </c>
      <c r="BG136" s="994"/>
      <c r="BH136" s="995"/>
      <c r="BI136" s="1083"/>
      <c r="BK136" s="983">
        <v>130</v>
      </c>
      <c r="BL136" s="994"/>
      <c r="BM136" s="995"/>
      <c r="BN136" s="1083"/>
      <c r="BP136" s="983">
        <v>130</v>
      </c>
      <c r="BQ136" s="994"/>
      <c r="BR136" s="995"/>
      <c r="BS136" s="1083"/>
      <c r="BU136" s="983">
        <v>130</v>
      </c>
      <c r="BV136" s="996"/>
      <c r="BW136" s="997"/>
      <c r="BX136" s="1083"/>
      <c r="BZ136" s="983">
        <v>130</v>
      </c>
      <c r="CA136" s="996"/>
      <c r="CB136" s="997"/>
      <c r="CC136" s="1083"/>
      <c r="DF136" s="43" t="b">
        <f t="shared" si="33"/>
        <v>0</v>
      </c>
      <c r="DG136" s="43" t="str">
        <f t="shared" si="34"/>
        <v/>
      </c>
      <c r="DH136" s="43" t="str">
        <f t="shared" si="35"/>
        <v/>
      </c>
      <c r="DI136" s="43" t="str">
        <f t="shared" si="36"/>
        <v/>
      </c>
      <c r="DJ136" s="43" t="str">
        <f t="shared" si="37"/>
        <v/>
      </c>
      <c r="DK136" s="43" t="e">
        <f t="shared" si="38"/>
        <v>#N/A</v>
      </c>
      <c r="DL136" s="43" t="e">
        <f t="shared" si="39"/>
        <v>#N/A</v>
      </c>
      <c r="DM136" s="43" t="e">
        <f t="shared" si="40"/>
        <v>#N/A</v>
      </c>
      <c r="DN136" s="43" t="e">
        <f t="shared" si="41"/>
        <v>#N/A</v>
      </c>
      <c r="DO136" s="43" t="e">
        <f t="shared" si="42"/>
        <v>#N/A</v>
      </c>
      <c r="DP136" s="43" t="e">
        <f t="shared" si="43"/>
        <v>#N/A</v>
      </c>
      <c r="DQ136" s="43" t="e">
        <f t="shared" si="44"/>
        <v>#N/A</v>
      </c>
      <c r="DR136" s="43" t="e">
        <f t="shared" si="45"/>
        <v>#N/A</v>
      </c>
      <c r="DS136" s="43">
        <f t="shared" si="46"/>
        <v>0</v>
      </c>
      <c r="DT136" s="43">
        <v>126</v>
      </c>
      <c r="DU136" s="43">
        <f t="shared" si="60"/>
        <v>12.874999999999964</v>
      </c>
      <c r="DV136" s="43">
        <f t="shared" si="47"/>
        <v>14.256805651274956</v>
      </c>
      <c r="DW136" s="43">
        <f t="shared" si="48"/>
        <v>0.42716224756797239</v>
      </c>
      <c r="DX136" s="43" t="e">
        <f t="shared" si="49"/>
        <v>#N/A</v>
      </c>
      <c r="DY136" s="50" t="e">
        <f t="shared" si="50"/>
        <v>#N/A</v>
      </c>
      <c r="DZ136" s="50" t="str">
        <f t="shared" si="51"/>
        <v/>
      </c>
      <c r="EA136" s="50">
        <f t="shared" si="52"/>
        <v>1.4356302071234608</v>
      </c>
      <c r="EB136" s="43" t="e">
        <f t="shared" si="53"/>
        <v>#N/A</v>
      </c>
      <c r="EC136" s="50" t="e">
        <f t="shared" si="54"/>
        <v>#N/A</v>
      </c>
      <c r="ED136" s="50" t="str">
        <f t="shared" si="55"/>
        <v/>
      </c>
    </row>
    <row r="137" spans="1:134" ht="12" customHeight="1">
      <c r="A137" s="640">
        <v>125</v>
      </c>
      <c r="B137" s="994"/>
      <c r="C137" s="995"/>
      <c r="D137" s="329"/>
      <c r="E137" s="884"/>
      <c r="F137" s="1027" t="str">
        <f t="shared" si="57"/>
        <v/>
      </c>
      <c r="G137" s="1028" t="str">
        <f t="shared" si="58"/>
        <v/>
      </c>
      <c r="H137" s="886"/>
      <c r="I137" s="458" t="str">
        <f t="shared" si="59"/>
        <v/>
      </c>
      <c r="J137" s="886"/>
      <c r="BA137" s="983">
        <v>131</v>
      </c>
      <c r="BB137" s="994"/>
      <c r="BC137" s="995"/>
      <c r="BD137" s="1083"/>
      <c r="BF137" s="983">
        <v>131</v>
      </c>
      <c r="BG137" s="994"/>
      <c r="BH137" s="995"/>
      <c r="BI137" s="1083"/>
      <c r="BK137" s="983">
        <v>131</v>
      </c>
      <c r="BL137" s="994"/>
      <c r="BM137" s="995"/>
      <c r="BN137" s="1083"/>
      <c r="BP137" s="983">
        <v>131</v>
      </c>
      <c r="BQ137" s="994"/>
      <c r="BR137" s="995"/>
      <c r="BS137" s="1083"/>
      <c r="BU137" s="983">
        <v>131</v>
      </c>
      <c r="BV137" s="996"/>
      <c r="BW137" s="997"/>
      <c r="BX137" s="1083"/>
      <c r="BZ137" s="983">
        <v>131</v>
      </c>
      <c r="CA137" s="996"/>
      <c r="CB137" s="997"/>
      <c r="CC137" s="1083"/>
      <c r="DF137" s="43" t="b">
        <f t="shared" si="33"/>
        <v>0</v>
      </c>
      <c r="DG137" s="43" t="str">
        <f t="shared" si="34"/>
        <v/>
      </c>
      <c r="DH137" s="43" t="str">
        <f t="shared" si="35"/>
        <v/>
      </c>
      <c r="DI137" s="43" t="str">
        <f t="shared" si="36"/>
        <v/>
      </c>
      <c r="DJ137" s="43" t="str">
        <f t="shared" si="37"/>
        <v/>
      </c>
      <c r="DK137" s="43" t="e">
        <f t="shared" si="38"/>
        <v>#N/A</v>
      </c>
      <c r="DL137" s="43" t="e">
        <f t="shared" si="39"/>
        <v>#N/A</v>
      </c>
      <c r="DM137" s="43" t="e">
        <f t="shared" si="40"/>
        <v>#N/A</v>
      </c>
      <c r="DN137" s="43" t="e">
        <f t="shared" si="41"/>
        <v>#N/A</v>
      </c>
      <c r="DO137" s="43" t="e">
        <f t="shared" si="42"/>
        <v>#N/A</v>
      </c>
      <c r="DP137" s="43" t="e">
        <f t="shared" si="43"/>
        <v>#N/A</v>
      </c>
      <c r="DQ137" s="43" t="e">
        <f t="shared" si="44"/>
        <v>#N/A</v>
      </c>
      <c r="DR137" s="43" t="e">
        <f t="shared" si="45"/>
        <v>#N/A</v>
      </c>
      <c r="DS137" s="43">
        <f t="shared" si="46"/>
        <v>0</v>
      </c>
      <c r="DT137" s="43">
        <v>127</v>
      </c>
      <c r="DU137" s="43">
        <f t="shared" si="60"/>
        <v>12.929999999999964</v>
      </c>
      <c r="DV137" s="43">
        <f t="shared" si="47"/>
        <v>14.299676085458277</v>
      </c>
      <c r="DW137" s="43">
        <f t="shared" si="48"/>
        <v>0.42979296762671026</v>
      </c>
      <c r="DX137" s="43" t="e">
        <f t="shared" si="49"/>
        <v>#N/A</v>
      </c>
      <c r="DY137" s="50" t="e">
        <f t="shared" si="50"/>
        <v>#N/A</v>
      </c>
      <c r="DZ137" s="50" t="str">
        <f t="shared" si="51"/>
        <v/>
      </c>
      <c r="EA137" s="50">
        <f t="shared" si="52"/>
        <v>1.4364151561715728</v>
      </c>
      <c r="EB137" s="43" t="e">
        <f t="shared" si="53"/>
        <v>#N/A</v>
      </c>
      <c r="EC137" s="50" t="e">
        <f t="shared" si="54"/>
        <v>#N/A</v>
      </c>
      <c r="ED137" s="50" t="str">
        <f t="shared" si="55"/>
        <v/>
      </c>
    </row>
    <row r="138" spans="1:134" ht="12" customHeight="1">
      <c r="A138" s="640">
        <v>126</v>
      </c>
      <c r="B138" s="994"/>
      <c r="C138" s="995"/>
      <c r="D138" s="329"/>
      <c r="E138" s="884"/>
      <c r="F138" s="1027" t="str">
        <f t="shared" si="57"/>
        <v/>
      </c>
      <c r="G138" s="1028" t="str">
        <f t="shared" si="58"/>
        <v/>
      </c>
      <c r="H138" s="886"/>
      <c r="I138" s="458" t="str">
        <f t="shared" si="59"/>
        <v/>
      </c>
      <c r="J138" s="886"/>
      <c r="BA138" s="983">
        <v>132</v>
      </c>
      <c r="BB138" s="994"/>
      <c r="BC138" s="995"/>
      <c r="BD138" s="1083"/>
      <c r="BF138" s="983">
        <v>132</v>
      </c>
      <c r="BG138" s="994"/>
      <c r="BH138" s="995"/>
      <c r="BI138" s="1083"/>
      <c r="BK138" s="983">
        <v>132</v>
      </c>
      <c r="BL138" s="994"/>
      <c r="BM138" s="995"/>
      <c r="BN138" s="1083"/>
      <c r="BP138" s="983">
        <v>132</v>
      </c>
      <c r="BQ138" s="994"/>
      <c r="BR138" s="995"/>
      <c r="BS138" s="1083"/>
      <c r="BU138" s="983">
        <v>132</v>
      </c>
      <c r="BV138" s="996"/>
      <c r="BW138" s="997"/>
      <c r="BX138" s="1083"/>
      <c r="BZ138" s="983">
        <v>132</v>
      </c>
      <c r="CA138" s="996"/>
      <c r="CB138" s="997"/>
      <c r="CC138" s="1083"/>
      <c r="DF138" s="43" t="b">
        <f t="shared" si="33"/>
        <v>0</v>
      </c>
      <c r="DG138" s="43" t="str">
        <f t="shared" si="34"/>
        <v/>
      </c>
      <c r="DH138" s="43" t="str">
        <f t="shared" si="35"/>
        <v/>
      </c>
      <c r="DI138" s="43" t="str">
        <f t="shared" si="36"/>
        <v/>
      </c>
      <c r="DJ138" s="43" t="str">
        <f t="shared" si="37"/>
        <v/>
      </c>
      <c r="DK138" s="43" t="e">
        <f t="shared" si="38"/>
        <v>#N/A</v>
      </c>
      <c r="DL138" s="43" t="e">
        <f t="shared" si="39"/>
        <v>#N/A</v>
      </c>
      <c r="DM138" s="43" t="e">
        <f t="shared" si="40"/>
        <v>#N/A</v>
      </c>
      <c r="DN138" s="43" t="e">
        <f t="shared" si="41"/>
        <v>#N/A</v>
      </c>
      <c r="DO138" s="43" t="e">
        <f t="shared" si="42"/>
        <v>#N/A</v>
      </c>
      <c r="DP138" s="43" t="e">
        <f t="shared" si="43"/>
        <v>#N/A</v>
      </c>
      <c r="DQ138" s="43" t="e">
        <f t="shared" si="44"/>
        <v>#N/A</v>
      </c>
      <c r="DR138" s="43" t="e">
        <f t="shared" si="45"/>
        <v>#N/A</v>
      </c>
      <c r="DS138" s="43">
        <f t="shared" si="46"/>
        <v>0</v>
      </c>
      <c r="DT138" s="43">
        <v>128</v>
      </c>
      <c r="DU138" s="43">
        <f t="shared" si="60"/>
        <v>12.984999999999964</v>
      </c>
      <c r="DV138" s="43">
        <f t="shared" si="47"/>
        <v>14.342546519641598</v>
      </c>
      <c r="DW138" s="43">
        <f t="shared" si="48"/>
        <v>0.43251635501357827</v>
      </c>
      <c r="DX138" s="43" t="e">
        <f t="shared" si="49"/>
        <v>#N/A</v>
      </c>
      <c r="DY138" s="50" t="e">
        <f t="shared" si="50"/>
        <v>#N/A</v>
      </c>
      <c r="DZ138" s="50" t="str">
        <f t="shared" si="51"/>
        <v/>
      </c>
      <c r="EA138" s="50">
        <f t="shared" si="52"/>
        <v>1.4372323762051358</v>
      </c>
      <c r="EB138" s="43" t="e">
        <f t="shared" si="53"/>
        <v>#N/A</v>
      </c>
      <c r="EC138" s="50" t="e">
        <f t="shared" si="54"/>
        <v>#N/A</v>
      </c>
      <c r="ED138" s="50" t="str">
        <f t="shared" si="55"/>
        <v/>
      </c>
    </row>
    <row r="139" spans="1:134" ht="12" customHeight="1">
      <c r="A139" s="640">
        <v>127</v>
      </c>
      <c r="B139" s="994"/>
      <c r="C139" s="995"/>
      <c r="D139" s="329"/>
      <c r="E139" s="884"/>
      <c r="F139" s="1027" t="str">
        <f t="shared" si="57"/>
        <v/>
      </c>
      <c r="G139" s="1028" t="str">
        <f t="shared" si="58"/>
        <v/>
      </c>
      <c r="H139" s="886"/>
      <c r="I139" s="458" t="str">
        <f t="shared" si="59"/>
        <v/>
      </c>
      <c r="J139" s="886"/>
      <c r="BA139" s="983">
        <v>133</v>
      </c>
      <c r="BB139" s="994"/>
      <c r="BC139" s="995"/>
      <c r="BD139" s="1083"/>
      <c r="BF139" s="983">
        <v>133</v>
      </c>
      <c r="BG139" s="994"/>
      <c r="BH139" s="995"/>
      <c r="BI139" s="1083"/>
      <c r="BK139" s="983">
        <v>133</v>
      </c>
      <c r="BL139" s="994"/>
      <c r="BM139" s="995"/>
      <c r="BN139" s="1083"/>
      <c r="BP139" s="983">
        <v>133</v>
      </c>
      <c r="BQ139" s="994"/>
      <c r="BR139" s="995"/>
      <c r="BS139" s="1083"/>
      <c r="BU139" s="983">
        <v>133</v>
      </c>
      <c r="BV139" s="996"/>
      <c r="BW139" s="997"/>
      <c r="BX139" s="1083"/>
      <c r="BZ139" s="983">
        <v>133</v>
      </c>
      <c r="CA139" s="996"/>
      <c r="CB139" s="997"/>
      <c r="CC139" s="1083"/>
      <c r="DF139" s="43" t="b">
        <f t="shared" ref="DF139:DF202" si="61">IF(AND(ISNUMBER(B141),ISNUMBER(C141)),TRUE,FALSE)</f>
        <v>0</v>
      </c>
      <c r="DG139" s="43" t="str">
        <f t="shared" ref="DG139:DG202" si="62">IF(DF139,B141,"")</f>
        <v/>
      </c>
      <c r="DH139" s="43" t="str">
        <f t="shared" ref="DH139:DH202" si="63">IF(DF139,C141,"")</f>
        <v/>
      </c>
      <c r="DI139" s="43" t="str">
        <f t="shared" ref="DI139:DI202" si="64">IF(DF139,F141,"")</f>
        <v/>
      </c>
      <c r="DJ139" s="43" t="str">
        <f t="shared" ref="DJ139:DJ202" si="65">IF(DF139,G141,"")</f>
        <v/>
      </c>
      <c r="DK139" s="43" t="e">
        <f t="shared" ref="DK139:DK202" si="66">IF($DM$6,IF(AND(DF139,DI139&lt;&gt;""),DI139,NA()),NA())</f>
        <v>#N/A</v>
      </c>
      <c r="DL139" s="43" t="e">
        <f t="shared" ref="DL139:DL202" si="67">IF($DM$6,IF(AND(DF139,DJ139&lt;&gt;""),DJ139,NA()),NA())</f>
        <v>#N/A</v>
      </c>
      <c r="DM139" s="43" t="e">
        <f t="shared" ref="DM139:DM202" si="68">OR(DK139&lt;-forzoom,DK139&gt;forzoom,DL139&lt;-forzoom,DL139&gt;forzoom)</f>
        <v>#N/A</v>
      </c>
      <c r="DN139" s="43" t="e">
        <f t="shared" ref="DN139:DN202" si="69">IF(DM139,IF(ISNA(DK139),NA(),IF(DK139&lt;-forzoom,-forzoom,IF(DK139&gt;forzoom,forzoom,DK139))),NA())</f>
        <v>#N/A</v>
      </c>
      <c r="DO139" s="43" t="e">
        <f t="shared" ref="DO139:DO202" si="70">IF(ISNA(DL139),NA(),IF(DL139&lt;-forzoom,-forzoom,IF(DL139&gt;forzoom,forzoom,DL139)))</f>
        <v>#N/A</v>
      </c>
      <c r="DP139" s="43" t="e">
        <f t="shared" ref="DP139:DP202" si="71">IF(AND($DJ$7,DF139,$DO$1),B141,NA())</f>
        <v>#N/A</v>
      </c>
      <c r="DQ139" s="43" t="e">
        <f t="shared" ref="DQ139:DQ202" si="72">IF(AND($DJ$7,DF139,$DO$1),IF($DS$1,$C$9-($DD$20*$C$10/$B$10)*$B$9,$U$40)+IF($DS$1,$DD$20*$C$10/$B$10,$W$40)*DP139,NA())</f>
        <v>#N/A</v>
      </c>
      <c r="DR139" s="43" t="e">
        <f t="shared" ref="DR139:DR202" si="73">IF(AND(DF139,$DO$1),C141-DQ139,NA())</f>
        <v>#N/A</v>
      </c>
      <c r="DS139" s="43">
        <f t="shared" ref="DS139:DS202" si="74">IF(ISNA(DR139),0,DR139^2)</f>
        <v>0</v>
      </c>
      <c r="DT139" s="43">
        <v>129</v>
      </c>
      <c r="DU139" s="43">
        <f t="shared" si="60"/>
        <v>13.039999999999964</v>
      </c>
      <c r="DV139" s="43">
        <f t="shared" ref="DV139:DV202" si="75">$U$40+$W$40*DU139</f>
        <v>14.385416953824919</v>
      </c>
      <c r="DW139" s="43">
        <f t="shared" ref="DW139:DW202" si="76">$DU$7*SQRT((1/$C$7)+((DU139-$B$9)^2)/(($C$7-1)*$B$10^2))</f>
        <v>0.43533067057800251</v>
      </c>
      <c r="DX139" s="43" t="e">
        <f t="shared" ref="DX139:DX202" si="77">IF(AND($DJ$7,$DU$1),DV139-$DU$6*DW139,NA())</f>
        <v>#N/A</v>
      </c>
      <c r="DY139" s="50" t="e">
        <f t="shared" ref="DY139:DY202" si="78">IF(AND($DJ$7,$DU$1),DV139+$DU$6*DW139,NA())</f>
        <v>#N/A</v>
      </c>
      <c r="DZ139" s="50" t="str">
        <f t="shared" ref="DZ139:DZ202" si="79">IF(ISNA(DX139),"",DX139)</f>
        <v/>
      </c>
      <c r="EA139" s="50">
        <f t="shared" ref="EA139:EA202" si="80">$DU$7*SQRT(1+(1/$C$7)+((DU139-$B$9)^2)/(($C$7-1)*$B$10^2))</f>
        <v>1.4380818122081658</v>
      </c>
      <c r="EB139" s="43" t="e">
        <f t="shared" ref="EB139:EB202" si="81">IF(AND($DJ$7,$DW$1),DV139-$DU$6*EA139,NA())</f>
        <v>#N/A</v>
      </c>
      <c r="EC139" s="50" t="e">
        <f t="shared" ref="EC139:EC202" si="82">IF(AND($DJ$7,$DW$1),DV139+$DU$6*EA139,NA())</f>
        <v>#N/A</v>
      </c>
      <c r="ED139" s="50" t="str">
        <f t="shared" ref="ED139:ED202" si="83">IF(ISNA(EB139),"",EB139)</f>
        <v/>
      </c>
    </row>
    <row r="140" spans="1:134" ht="12" customHeight="1">
      <c r="A140" s="640">
        <v>128</v>
      </c>
      <c r="B140" s="994"/>
      <c r="C140" s="995"/>
      <c r="D140" s="329"/>
      <c r="E140" s="884"/>
      <c r="F140" s="1027" t="str">
        <f t="shared" si="57"/>
        <v/>
      </c>
      <c r="G140" s="1028" t="str">
        <f t="shared" si="58"/>
        <v/>
      </c>
      <c r="H140" s="886"/>
      <c r="I140" s="458" t="str">
        <f t="shared" si="59"/>
        <v/>
      </c>
      <c r="J140" s="886"/>
      <c r="BA140" s="983">
        <v>134</v>
      </c>
      <c r="BB140" s="994"/>
      <c r="BC140" s="995"/>
      <c r="BD140" s="1083"/>
      <c r="BF140" s="983">
        <v>134</v>
      </c>
      <c r="BG140" s="994"/>
      <c r="BH140" s="995"/>
      <c r="BI140" s="1083"/>
      <c r="BK140" s="983">
        <v>134</v>
      </c>
      <c r="BL140" s="994"/>
      <c r="BM140" s="995"/>
      <c r="BN140" s="1083"/>
      <c r="BP140" s="983">
        <v>134</v>
      </c>
      <c r="BQ140" s="994"/>
      <c r="BR140" s="995"/>
      <c r="BS140" s="1083"/>
      <c r="BU140" s="983">
        <v>134</v>
      </c>
      <c r="BV140" s="996"/>
      <c r="BW140" s="997"/>
      <c r="BX140" s="1083"/>
      <c r="BZ140" s="983">
        <v>134</v>
      </c>
      <c r="CA140" s="996"/>
      <c r="CB140" s="997"/>
      <c r="CC140" s="1083"/>
      <c r="DF140" s="43" t="b">
        <f t="shared" si="61"/>
        <v>0</v>
      </c>
      <c r="DG140" s="43" t="str">
        <f t="shared" si="62"/>
        <v/>
      </c>
      <c r="DH140" s="43" t="str">
        <f t="shared" si="63"/>
        <v/>
      </c>
      <c r="DI140" s="43" t="str">
        <f t="shared" si="64"/>
        <v/>
      </c>
      <c r="DJ140" s="43" t="str">
        <f t="shared" si="65"/>
        <v/>
      </c>
      <c r="DK140" s="43" t="e">
        <f t="shared" si="66"/>
        <v>#N/A</v>
      </c>
      <c r="DL140" s="43" t="e">
        <f t="shared" si="67"/>
        <v>#N/A</v>
      </c>
      <c r="DM140" s="43" t="e">
        <f t="shared" si="68"/>
        <v>#N/A</v>
      </c>
      <c r="DN140" s="43" t="e">
        <f t="shared" si="69"/>
        <v>#N/A</v>
      </c>
      <c r="DO140" s="43" t="e">
        <f t="shared" si="70"/>
        <v>#N/A</v>
      </c>
      <c r="DP140" s="43" t="e">
        <f t="shared" si="71"/>
        <v>#N/A</v>
      </c>
      <c r="DQ140" s="43" t="e">
        <f t="shared" si="72"/>
        <v>#N/A</v>
      </c>
      <c r="DR140" s="43" t="e">
        <f t="shared" si="73"/>
        <v>#N/A</v>
      </c>
      <c r="DS140" s="43">
        <f t="shared" si="74"/>
        <v>0</v>
      </c>
      <c r="DT140" s="43">
        <v>130</v>
      </c>
      <c r="DU140" s="43">
        <f t="shared" ref="DU140:DU171" si="84">DU139+$DU$5</f>
        <v>13.094999999999963</v>
      </c>
      <c r="DV140" s="43">
        <f t="shared" si="75"/>
        <v>14.428287388008242</v>
      </c>
      <c r="DW140" s="43">
        <f t="shared" si="76"/>
        <v>0.43823416251629604</v>
      </c>
      <c r="DX140" s="43" t="e">
        <f t="shared" si="77"/>
        <v>#N/A</v>
      </c>
      <c r="DY140" s="50" t="e">
        <f t="shared" si="78"/>
        <v>#N/A</v>
      </c>
      <c r="DZ140" s="50" t="str">
        <f t="shared" si="79"/>
        <v/>
      </c>
      <c r="EA140" s="50">
        <f t="shared" si="80"/>
        <v>1.4389634071283357</v>
      </c>
      <c r="EB140" s="43" t="e">
        <f t="shared" si="81"/>
        <v>#N/A</v>
      </c>
      <c r="EC140" s="50" t="e">
        <f t="shared" si="82"/>
        <v>#N/A</v>
      </c>
      <c r="ED140" s="50" t="str">
        <f t="shared" si="83"/>
        <v/>
      </c>
    </row>
    <row r="141" spans="1:134" ht="12" customHeight="1">
      <c r="A141" s="640">
        <v>129</v>
      </c>
      <c r="B141" s="994"/>
      <c r="C141" s="995"/>
      <c r="D141" s="329"/>
      <c r="E141" s="884"/>
      <c r="F141" s="1027" t="str">
        <f t="shared" ref="F141:F204" si="85">IF(AND($DH$1,$B$10&lt;&gt;""),IF(OR(COUNT($DG$11:$DG$310)&lt;2,DG139=""),"",(DG139-$B$9)/$B$10),"")</f>
        <v/>
      </c>
      <c r="G141" s="1028" t="str">
        <f t="shared" ref="G141:G204" si="86">IF(AND($DH$1,$C$10&lt;&gt;""),IF(OR(COUNT($DH$11:$DH$310)&lt;2,DH139=""),"",(DH139-$C$9)/$C$10),"")</f>
        <v/>
      </c>
      <c r="H141" s="886"/>
      <c r="I141" s="458" t="str">
        <f t="shared" ref="I141:I204" si="87">IF(AND(F141&lt;&gt;"",G141&lt;&gt;""),F141*G141,"")</f>
        <v/>
      </c>
      <c r="J141" s="886"/>
      <c r="BA141" s="983">
        <v>135</v>
      </c>
      <c r="BB141" s="994"/>
      <c r="BC141" s="995"/>
      <c r="BD141" s="1083"/>
      <c r="BF141" s="983">
        <v>135</v>
      </c>
      <c r="BG141" s="994"/>
      <c r="BH141" s="995"/>
      <c r="BI141" s="1083"/>
      <c r="BK141" s="983">
        <v>135</v>
      </c>
      <c r="BL141" s="994"/>
      <c r="BM141" s="995"/>
      <c r="BN141" s="1083"/>
      <c r="BP141" s="983">
        <v>135</v>
      </c>
      <c r="BQ141" s="994"/>
      <c r="BR141" s="995"/>
      <c r="BS141" s="1083"/>
      <c r="BU141" s="983">
        <v>135</v>
      </c>
      <c r="BV141" s="996"/>
      <c r="BW141" s="997"/>
      <c r="BX141" s="1083"/>
      <c r="BZ141" s="983">
        <v>135</v>
      </c>
      <c r="CA141" s="996"/>
      <c r="CB141" s="997"/>
      <c r="CC141" s="1083"/>
      <c r="DF141" s="43" t="b">
        <f t="shared" si="61"/>
        <v>0</v>
      </c>
      <c r="DG141" s="43" t="str">
        <f t="shared" si="62"/>
        <v/>
      </c>
      <c r="DH141" s="43" t="str">
        <f t="shared" si="63"/>
        <v/>
      </c>
      <c r="DI141" s="43" t="str">
        <f t="shared" si="64"/>
        <v/>
      </c>
      <c r="DJ141" s="43" t="str">
        <f t="shared" si="65"/>
        <v/>
      </c>
      <c r="DK141" s="43" t="e">
        <f t="shared" si="66"/>
        <v>#N/A</v>
      </c>
      <c r="DL141" s="43" t="e">
        <f t="shared" si="67"/>
        <v>#N/A</v>
      </c>
      <c r="DM141" s="43" t="e">
        <f t="shared" si="68"/>
        <v>#N/A</v>
      </c>
      <c r="DN141" s="43" t="e">
        <f t="shared" si="69"/>
        <v>#N/A</v>
      </c>
      <c r="DO141" s="43" t="e">
        <f t="shared" si="70"/>
        <v>#N/A</v>
      </c>
      <c r="DP141" s="43" t="e">
        <f t="shared" si="71"/>
        <v>#N/A</v>
      </c>
      <c r="DQ141" s="43" t="e">
        <f t="shared" si="72"/>
        <v>#N/A</v>
      </c>
      <c r="DR141" s="43" t="e">
        <f t="shared" si="73"/>
        <v>#N/A</v>
      </c>
      <c r="DS141" s="43">
        <f t="shared" si="74"/>
        <v>0</v>
      </c>
      <c r="DT141" s="43">
        <v>131</v>
      </c>
      <c r="DU141" s="43">
        <f t="shared" si="84"/>
        <v>13.149999999999963</v>
      </c>
      <c r="DV141" s="43">
        <f t="shared" si="75"/>
        <v>14.471157822191563</v>
      </c>
      <c r="DW141" s="43">
        <f t="shared" si="76"/>
        <v>0.44122507035030323</v>
      </c>
      <c r="DX141" s="43" t="e">
        <f t="shared" si="77"/>
        <v>#N/A</v>
      </c>
      <c r="DY141" s="50" t="e">
        <f t="shared" si="78"/>
        <v>#N/A</v>
      </c>
      <c r="DZ141" s="50" t="str">
        <f t="shared" si="79"/>
        <v/>
      </c>
      <c r="EA141" s="50">
        <f t="shared" si="80"/>
        <v>1.4398771018957344</v>
      </c>
      <c r="EB141" s="43" t="e">
        <f t="shared" si="81"/>
        <v>#N/A</v>
      </c>
      <c r="EC141" s="50" t="e">
        <f t="shared" si="82"/>
        <v>#N/A</v>
      </c>
      <c r="ED141" s="50" t="str">
        <f t="shared" si="83"/>
        <v/>
      </c>
    </row>
    <row r="142" spans="1:134" ht="12" customHeight="1">
      <c r="A142" s="640">
        <v>130</v>
      </c>
      <c r="B142" s="994"/>
      <c r="C142" s="995"/>
      <c r="D142" s="329"/>
      <c r="E142" s="884"/>
      <c r="F142" s="1027" t="str">
        <f t="shared" si="85"/>
        <v/>
      </c>
      <c r="G142" s="1028" t="str">
        <f t="shared" si="86"/>
        <v/>
      </c>
      <c r="H142" s="886"/>
      <c r="I142" s="458" t="str">
        <f t="shared" si="87"/>
        <v/>
      </c>
      <c r="J142" s="886"/>
      <c r="BA142" s="983">
        <v>136</v>
      </c>
      <c r="BB142" s="994"/>
      <c r="BC142" s="995"/>
      <c r="BD142" s="1083"/>
      <c r="BF142" s="983">
        <v>136</v>
      </c>
      <c r="BG142" s="994"/>
      <c r="BH142" s="995"/>
      <c r="BI142" s="1083"/>
      <c r="BK142" s="983">
        <v>136</v>
      </c>
      <c r="BL142" s="994"/>
      <c r="BM142" s="995"/>
      <c r="BN142" s="1083"/>
      <c r="BP142" s="983">
        <v>136</v>
      </c>
      <c r="BQ142" s="994"/>
      <c r="BR142" s="995"/>
      <c r="BS142" s="1083"/>
      <c r="BU142" s="983">
        <v>136</v>
      </c>
      <c r="BV142" s="996"/>
      <c r="BW142" s="997"/>
      <c r="BX142" s="1083"/>
      <c r="BZ142" s="983">
        <v>136</v>
      </c>
      <c r="CA142" s="996"/>
      <c r="CB142" s="997"/>
      <c r="CC142" s="1083"/>
      <c r="DF142" s="43" t="b">
        <f t="shared" si="61"/>
        <v>0</v>
      </c>
      <c r="DG142" s="43" t="str">
        <f t="shared" si="62"/>
        <v/>
      </c>
      <c r="DH142" s="43" t="str">
        <f t="shared" si="63"/>
        <v/>
      </c>
      <c r="DI142" s="43" t="str">
        <f t="shared" si="64"/>
        <v/>
      </c>
      <c r="DJ142" s="43" t="str">
        <f t="shared" si="65"/>
        <v/>
      </c>
      <c r="DK142" s="43" t="e">
        <f t="shared" si="66"/>
        <v>#N/A</v>
      </c>
      <c r="DL142" s="43" t="e">
        <f t="shared" si="67"/>
        <v>#N/A</v>
      </c>
      <c r="DM142" s="43" t="e">
        <f t="shared" si="68"/>
        <v>#N/A</v>
      </c>
      <c r="DN142" s="43" t="e">
        <f t="shared" si="69"/>
        <v>#N/A</v>
      </c>
      <c r="DO142" s="43" t="e">
        <f t="shared" si="70"/>
        <v>#N/A</v>
      </c>
      <c r="DP142" s="43" t="e">
        <f t="shared" si="71"/>
        <v>#N/A</v>
      </c>
      <c r="DQ142" s="43" t="e">
        <f t="shared" si="72"/>
        <v>#N/A</v>
      </c>
      <c r="DR142" s="43" t="e">
        <f t="shared" si="73"/>
        <v>#N/A</v>
      </c>
      <c r="DS142" s="43">
        <f t="shared" si="74"/>
        <v>0</v>
      </c>
      <c r="DT142" s="43">
        <v>132</v>
      </c>
      <c r="DU142" s="43">
        <f t="shared" si="84"/>
        <v>13.204999999999963</v>
      </c>
      <c r="DV142" s="43">
        <f t="shared" si="75"/>
        <v>14.514028256374884</v>
      </c>
      <c r="DW142" s="43">
        <f t="shared" si="76"/>
        <v>0.44430162870926448</v>
      </c>
      <c r="DX142" s="43" t="e">
        <f t="shared" si="77"/>
        <v>#N/A</v>
      </c>
      <c r="DY142" s="50" t="e">
        <f t="shared" si="78"/>
        <v>#N/A</v>
      </c>
      <c r="DZ142" s="50" t="str">
        <f t="shared" si="79"/>
        <v/>
      </c>
      <c r="EA142" s="50">
        <f t="shared" si="80"/>
        <v>1.4408228354422115</v>
      </c>
      <c r="EB142" s="43" t="e">
        <f t="shared" si="81"/>
        <v>#N/A</v>
      </c>
      <c r="EC142" s="50" t="e">
        <f t="shared" si="82"/>
        <v>#N/A</v>
      </c>
      <c r="ED142" s="50" t="str">
        <f t="shared" si="83"/>
        <v/>
      </c>
    </row>
    <row r="143" spans="1:134" ht="12" customHeight="1">
      <c r="A143" s="640">
        <v>131</v>
      </c>
      <c r="B143" s="994"/>
      <c r="C143" s="995"/>
      <c r="D143" s="329"/>
      <c r="E143" s="884"/>
      <c r="F143" s="1027" t="str">
        <f t="shared" si="85"/>
        <v/>
      </c>
      <c r="G143" s="1028" t="str">
        <f t="shared" si="86"/>
        <v/>
      </c>
      <c r="H143" s="886"/>
      <c r="I143" s="458" t="str">
        <f t="shared" si="87"/>
        <v/>
      </c>
      <c r="J143" s="886"/>
      <c r="BA143" s="983">
        <v>137</v>
      </c>
      <c r="BB143" s="994"/>
      <c r="BC143" s="995"/>
      <c r="BD143" s="1083"/>
      <c r="BF143" s="983">
        <v>137</v>
      </c>
      <c r="BG143" s="994"/>
      <c r="BH143" s="995"/>
      <c r="BI143" s="1083"/>
      <c r="BK143" s="983">
        <v>137</v>
      </c>
      <c r="BL143" s="994"/>
      <c r="BM143" s="995"/>
      <c r="BN143" s="1083"/>
      <c r="BP143" s="983">
        <v>137</v>
      </c>
      <c r="BQ143" s="994"/>
      <c r="BR143" s="995"/>
      <c r="BS143" s="1083"/>
      <c r="BU143" s="983">
        <v>137</v>
      </c>
      <c r="BV143" s="996"/>
      <c r="BW143" s="997"/>
      <c r="BX143" s="1083"/>
      <c r="BZ143" s="983">
        <v>137</v>
      </c>
      <c r="CA143" s="996"/>
      <c r="CB143" s="997"/>
      <c r="CC143" s="1083"/>
      <c r="DF143" s="43" t="b">
        <f t="shared" si="61"/>
        <v>0</v>
      </c>
      <c r="DG143" s="43" t="str">
        <f t="shared" si="62"/>
        <v/>
      </c>
      <c r="DH143" s="43" t="str">
        <f t="shared" si="63"/>
        <v/>
      </c>
      <c r="DI143" s="43" t="str">
        <f t="shared" si="64"/>
        <v/>
      </c>
      <c r="DJ143" s="43" t="str">
        <f t="shared" si="65"/>
        <v/>
      </c>
      <c r="DK143" s="43" t="e">
        <f t="shared" si="66"/>
        <v>#N/A</v>
      </c>
      <c r="DL143" s="43" t="e">
        <f t="shared" si="67"/>
        <v>#N/A</v>
      </c>
      <c r="DM143" s="43" t="e">
        <f t="shared" si="68"/>
        <v>#N/A</v>
      </c>
      <c r="DN143" s="43" t="e">
        <f t="shared" si="69"/>
        <v>#N/A</v>
      </c>
      <c r="DO143" s="43" t="e">
        <f t="shared" si="70"/>
        <v>#N/A</v>
      </c>
      <c r="DP143" s="43" t="e">
        <f t="shared" si="71"/>
        <v>#N/A</v>
      </c>
      <c r="DQ143" s="43" t="e">
        <f t="shared" si="72"/>
        <v>#N/A</v>
      </c>
      <c r="DR143" s="43" t="e">
        <f t="shared" si="73"/>
        <v>#N/A</v>
      </c>
      <c r="DS143" s="43">
        <f t="shared" si="74"/>
        <v>0</v>
      </c>
      <c r="DT143" s="43">
        <v>133</v>
      </c>
      <c r="DU143" s="43">
        <f t="shared" si="84"/>
        <v>13.259999999999962</v>
      </c>
      <c r="DV143" s="43">
        <f t="shared" si="75"/>
        <v>14.556898690558207</v>
      </c>
      <c r="DW143" s="43">
        <f t="shared" si="76"/>
        <v>0.44746207090722739</v>
      </c>
      <c r="DX143" s="43" t="e">
        <f t="shared" si="77"/>
        <v>#N/A</v>
      </c>
      <c r="DY143" s="50" t="e">
        <f t="shared" si="78"/>
        <v>#N/A</v>
      </c>
      <c r="DZ143" s="50" t="str">
        <f t="shared" si="79"/>
        <v/>
      </c>
      <c r="EA143" s="50">
        <f t="shared" si="80"/>
        <v>1.4418005447212916</v>
      </c>
      <c r="EB143" s="43" t="e">
        <f t="shared" si="81"/>
        <v>#N/A</v>
      </c>
      <c r="EC143" s="50" t="e">
        <f t="shared" si="82"/>
        <v>#N/A</v>
      </c>
      <c r="ED143" s="50" t="str">
        <f t="shared" si="83"/>
        <v/>
      </c>
    </row>
    <row r="144" spans="1:134" ht="12" customHeight="1">
      <c r="A144" s="640">
        <v>132</v>
      </c>
      <c r="B144" s="994"/>
      <c r="C144" s="995"/>
      <c r="D144" s="329"/>
      <c r="E144" s="884"/>
      <c r="F144" s="1027" t="str">
        <f t="shared" si="85"/>
        <v/>
      </c>
      <c r="G144" s="1028" t="str">
        <f t="shared" si="86"/>
        <v/>
      </c>
      <c r="H144" s="886"/>
      <c r="I144" s="458" t="str">
        <f t="shared" si="87"/>
        <v/>
      </c>
      <c r="J144" s="886"/>
      <c r="BA144" s="983">
        <v>138</v>
      </c>
      <c r="BB144" s="994"/>
      <c r="BC144" s="995"/>
      <c r="BD144" s="1083"/>
      <c r="BF144" s="983">
        <v>138</v>
      </c>
      <c r="BG144" s="994"/>
      <c r="BH144" s="995"/>
      <c r="BI144" s="1083"/>
      <c r="BK144" s="983">
        <v>138</v>
      </c>
      <c r="BL144" s="994"/>
      <c r="BM144" s="995"/>
      <c r="BN144" s="1083"/>
      <c r="BP144" s="983">
        <v>138</v>
      </c>
      <c r="BQ144" s="994"/>
      <c r="BR144" s="995"/>
      <c r="BS144" s="1083"/>
      <c r="BU144" s="983">
        <v>138</v>
      </c>
      <c r="BV144" s="996"/>
      <c r="BW144" s="997"/>
      <c r="BX144" s="1083"/>
      <c r="BZ144" s="983">
        <v>138</v>
      </c>
      <c r="CA144" s="996"/>
      <c r="CB144" s="997"/>
      <c r="CC144" s="1083"/>
      <c r="DF144" s="43" t="b">
        <f t="shared" si="61"/>
        <v>0</v>
      </c>
      <c r="DG144" s="43" t="str">
        <f t="shared" si="62"/>
        <v/>
      </c>
      <c r="DH144" s="43" t="str">
        <f t="shared" si="63"/>
        <v/>
      </c>
      <c r="DI144" s="43" t="str">
        <f t="shared" si="64"/>
        <v/>
      </c>
      <c r="DJ144" s="43" t="str">
        <f t="shared" si="65"/>
        <v/>
      </c>
      <c r="DK144" s="43" t="e">
        <f t="shared" si="66"/>
        <v>#N/A</v>
      </c>
      <c r="DL144" s="43" t="e">
        <f t="shared" si="67"/>
        <v>#N/A</v>
      </c>
      <c r="DM144" s="43" t="e">
        <f t="shared" si="68"/>
        <v>#N/A</v>
      </c>
      <c r="DN144" s="43" t="e">
        <f t="shared" si="69"/>
        <v>#N/A</v>
      </c>
      <c r="DO144" s="43" t="e">
        <f t="shared" si="70"/>
        <v>#N/A</v>
      </c>
      <c r="DP144" s="43" t="e">
        <f t="shared" si="71"/>
        <v>#N/A</v>
      </c>
      <c r="DQ144" s="43" t="e">
        <f t="shared" si="72"/>
        <v>#N/A</v>
      </c>
      <c r="DR144" s="43" t="e">
        <f t="shared" si="73"/>
        <v>#N/A</v>
      </c>
      <c r="DS144" s="43">
        <f t="shared" si="74"/>
        <v>0</v>
      </c>
      <c r="DT144" s="43">
        <v>134</v>
      </c>
      <c r="DU144" s="43">
        <f t="shared" si="84"/>
        <v>13.314999999999962</v>
      </c>
      <c r="DV144" s="43">
        <f t="shared" si="75"/>
        <v>14.599769124741528</v>
      </c>
      <c r="DW144" s="43">
        <f t="shared" si="76"/>
        <v>0.4507046323106394</v>
      </c>
      <c r="DX144" s="43" t="e">
        <f t="shared" si="77"/>
        <v>#N/A</v>
      </c>
      <c r="DY144" s="50" t="e">
        <f t="shared" si="78"/>
        <v>#N/A</v>
      </c>
      <c r="DZ144" s="50" t="str">
        <f t="shared" si="79"/>
        <v/>
      </c>
      <c r="EA144" s="50">
        <f t="shared" si="80"/>
        <v>1.4428101647286444</v>
      </c>
      <c r="EB144" s="43" t="e">
        <f t="shared" si="81"/>
        <v>#N/A</v>
      </c>
      <c r="EC144" s="50" t="e">
        <f t="shared" si="82"/>
        <v>#N/A</v>
      </c>
      <c r="ED144" s="50" t="str">
        <f t="shared" si="83"/>
        <v/>
      </c>
    </row>
    <row r="145" spans="1:134" ht="12" customHeight="1">
      <c r="A145" s="640">
        <v>133</v>
      </c>
      <c r="B145" s="994"/>
      <c r="C145" s="995"/>
      <c r="D145" s="329"/>
      <c r="E145" s="884"/>
      <c r="F145" s="1027" t="str">
        <f t="shared" si="85"/>
        <v/>
      </c>
      <c r="G145" s="1028" t="str">
        <f t="shared" si="86"/>
        <v/>
      </c>
      <c r="H145" s="886"/>
      <c r="I145" s="458" t="str">
        <f t="shared" si="87"/>
        <v/>
      </c>
      <c r="J145" s="886"/>
      <c r="BA145" s="983">
        <v>139</v>
      </c>
      <c r="BB145" s="994"/>
      <c r="BC145" s="995"/>
      <c r="BD145" s="1083"/>
      <c r="BF145" s="983">
        <v>139</v>
      </c>
      <c r="BG145" s="994"/>
      <c r="BH145" s="995"/>
      <c r="BI145" s="1083"/>
      <c r="BK145" s="983">
        <v>139</v>
      </c>
      <c r="BL145" s="994"/>
      <c r="BM145" s="995"/>
      <c r="BN145" s="1083"/>
      <c r="BP145" s="983">
        <v>139</v>
      </c>
      <c r="BQ145" s="994"/>
      <c r="BR145" s="995"/>
      <c r="BS145" s="1083"/>
      <c r="BU145" s="983">
        <v>139</v>
      </c>
      <c r="BV145" s="996"/>
      <c r="BW145" s="997"/>
      <c r="BX145" s="1083"/>
      <c r="BZ145" s="983">
        <v>139</v>
      </c>
      <c r="CA145" s="996"/>
      <c r="CB145" s="997"/>
      <c r="CC145" s="1083"/>
      <c r="DF145" s="43" t="b">
        <f t="shared" si="61"/>
        <v>0</v>
      </c>
      <c r="DG145" s="43" t="str">
        <f t="shared" si="62"/>
        <v/>
      </c>
      <c r="DH145" s="43" t="str">
        <f t="shared" si="63"/>
        <v/>
      </c>
      <c r="DI145" s="43" t="str">
        <f t="shared" si="64"/>
        <v/>
      </c>
      <c r="DJ145" s="43" t="str">
        <f t="shared" si="65"/>
        <v/>
      </c>
      <c r="DK145" s="43" t="e">
        <f t="shared" si="66"/>
        <v>#N/A</v>
      </c>
      <c r="DL145" s="43" t="e">
        <f t="shared" si="67"/>
        <v>#N/A</v>
      </c>
      <c r="DM145" s="43" t="e">
        <f t="shared" si="68"/>
        <v>#N/A</v>
      </c>
      <c r="DN145" s="43" t="e">
        <f t="shared" si="69"/>
        <v>#N/A</v>
      </c>
      <c r="DO145" s="43" t="e">
        <f t="shared" si="70"/>
        <v>#N/A</v>
      </c>
      <c r="DP145" s="43" t="e">
        <f t="shared" si="71"/>
        <v>#N/A</v>
      </c>
      <c r="DQ145" s="43" t="e">
        <f t="shared" si="72"/>
        <v>#N/A</v>
      </c>
      <c r="DR145" s="43" t="e">
        <f t="shared" si="73"/>
        <v>#N/A</v>
      </c>
      <c r="DS145" s="43">
        <f t="shared" si="74"/>
        <v>0</v>
      </c>
      <c r="DT145" s="43">
        <v>135</v>
      </c>
      <c r="DU145" s="43">
        <f t="shared" si="84"/>
        <v>13.369999999999962</v>
      </c>
      <c r="DV145" s="43">
        <f t="shared" si="75"/>
        <v>14.642639558924849</v>
      </c>
      <c r="DW145" s="43">
        <f t="shared" si="76"/>
        <v>0.45402755349290991</v>
      </c>
      <c r="DX145" s="43" t="e">
        <f t="shared" si="77"/>
        <v>#N/A</v>
      </c>
      <c r="DY145" s="50" t="e">
        <f t="shared" si="78"/>
        <v>#N/A</v>
      </c>
      <c r="DZ145" s="50" t="str">
        <f t="shared" si="79"/>
        <v/>
      </c>
      <c r="EA145" s="50">
        <f t="shared" si="80"/>
        <v>1.4438516285230925</v>
      </c>
      <c r="EB145" s="43" t="e">
        <f t="shared" si="81"/>
        <v>#N/A</v>
      </c>
      <c r="EC145" s="50" t="e">
        <f t="shared" si="82"/>
        <v>#N/A</v>
      </c>
      <c r="ED145" s="50" t="str">
        <f t="shared" si="83"/>
        <v/>
      </c>
    </row>
    <row r="146" spans="1:134" ht="12" customHeight="1">
      <c r="A146" s="640">
        <v>134</v>
      </c>
      <c r="B146" s="994"/>
      <c r="C146" s="995"/>
      <c r="D146" s="329"/>
      <c r="E146" s="884"/>
      <c r="F146" s="1027" t="str">
        <f t="shared" si="85"/>
        <v/>
      </c>
      <c r="G146" s="1028" t="str">
        <f t="shared" si="86"/>
        <v/>
      </c>
      <c r="H146" s="886"/>
      <c r="I146" s="458" t="str">
        <f t="shared" si="87"/>
        <v/>
      </c>
      <c r="J146" s="886"/>
      <c r="BA146" s="983">
        <v>140</v>
      </c>
      <c r="BB146" s="994"/>
      <c r="BC146" s="995"/>
      <c r="BD146" s="1083"/>
      <c r="BF146" s="983">
        <v>140</v>
      </c>
      <c r="BG146" s="994"/>
      <c r="BH146" s="995"/>
      <c r="BI146" s="1083"/>
      <c r="BK146" s="983">
        <v>140</v>
      </c>
      <c r="BL146" s="994"/>
      <c r="BM146" s="995"/>
      <c r="BN146" s="1083"/>
      <c r="BP146" s="983">
        <v>140</v>
      </c>
      <c r="BQ146" s="994"/>
      <c r="BR146" s="995"/>
      <c r="BS146" s="1083"/>
      <c r="BU146" s="983">
        <v>140</v>
      </c>
      <c r="BV146" s="996"/>
      <c r="BW146" s="997"/>
      <c r="BX146" s="1083"/>
      <c r="BZ146" s="983">
        <v>140</v>
      </c>
      <c r="CA146" s="996"/>
      <c r="CB146" s="997"/>
      <c r="CC146" s="1083"/>
      <c r="DF146" s="43" t="b">
        <f t="shared" si="61"/>
        <v>0</v>
      </c>
      <c r="DG146" s="43" t="str">
        <f t="shared" si="62"/>
        <v/>
      </c>
      <c r="DH146" s="43" t="str">
        <f t="shared" si="63"/>
        <v/>
      </c>
      <c r="DI146" s="43" t="str">
        <f t="shared" si="64"/>
        <v/>
      </c>
      <c r="DJ146" s="43" t="str">
        <f t="shared" si="65"/>
        <v/>
      </c>
      <c r="DK146" s="43" t="e">
        <f t="shared" si="66"/>
        <v>#N/A</v>
      </c>
      <c r="DL146" s="43" t="e">
        <f t="shared" si="67"/>
        <v>#N/A</v>
      </c>
      <c r="DM146" s="43" t="e">
        <f t="shared" si="68"/>
        <v>#N/A</v>
      </c>
      <c r="DN146" s="43" t="e">
        <f t="shared" si="69"/>
        <v>#N/A</v>
      </c>
      <c r="DO146" s="43" t="e">
        <f t="shared" si="70"/>
        <v>#N/A</v>
      </c>
      <c r="DP146" s="43" t="e">
        <f t="shared" si="71"/>
        <v>#N/A</v>
      </c>
      <c r="DQ146" s="43" t="e">
        <f t="shared" si="72"/>
        <v>#N/A</v>
      </c>
      <c r="DR146" s="43" t="e">
        <f t="shared" si="73"/>
        <v>#N/A</v>
      </c>
      <c r="DS146" s="43">
        <f t="shared" si="74"/>
        <v>0</v>
      </c>
      <c r="DT146" s="43">
        <v>136</v>
      </c>
      <c r="DU146" s="43">
        <f t="shared" si="84"/>
        <v>13.424999999999962</v>
      </c>
      <c r="DV146" s="43">
        <f t="shared" si="75"/>
        <v>14.685509993108171</v>
      </c>
      <c r="DW146" s="43">
        <f t="shared" si="76"/>
        <v>0.45742908317470388</v>
      </c>
      <c r="DX146" s="43" t="e">
        <f t="shared" si="77"/>
        <v>#N/A</v>
      </c>
      <c r="DY146" s="50" t="e">
        <f t="shared" si="78"/>
        <v>#N/A</v>
      </c>
      <c r="DZ146" s="50" t="str">
        <f t="shared" si="79"/>
        <v/>
      </c>
      <c r="EA146" s="50">
        <f t="shared" si="80"/>
        <v>1.4449248672481485</v>
      </c>
      <c r="EB146" s="43" t="e">
        <f t="shared" si="81"/>
        <v>#N/A</v>
      </c>
      <c r="EC146" s="50" t="e">
        <f t="shared" si="82"/>
        <v>#N/A</v>
      </c>
      <c r="ED146" s="50" t="str">
        <f t="shared" si="83"/>
        <v/>
      </c>
    </row>
    <row r="147" spans="1:134" ht="12" customHeight="1">
      <c r="A147" s="640">
        <v>135</v>
      </c>
      <c r="B147" s="994"/>
      <c r="C147" s="995"/>
      <c r="D147" s="329"/>
      <c r="E147" s="884"/>
      <c r="F147" s="1027" t="str">
        <f t="shared" si="85"/>
        <v/>
      </c>
      <c r="G147" s="1028" t="str">
        <f t="shared" si="86"/>
        <v/>
      </c>
      <c r="H147" s="886"/>
      <c r="I147" s="458" t="str">
        <f t="shared" si="87"/>
        <v/>
      </c>
      <c r="J147" s="886"/>
      <c r="BA147" s="983">
        <v>141</v>
      </c>
      <c r="BB147" s="994"/>
      <c r="BC147" s="995"/>
      <c r="BD147" s="1083"/>
      <c r="BF147" s="983">
        <v>141</v>
      </c>
      <c r="BG147" s="994"/>
      <c r="BH147" s="995"/>
      <c r="BI147" s="1083"/>
      <c r="BK147" s="983">
        <v>141</v>
      </c>
      <c r="BL147" s="994"/>
      <c r="BM147" s="995"/>
      <c r="BN147" s="1083"/>
      <c r="BP147" s="983">
        <v>141</v>
      </c>
      <c r="BQ147" s="994"/>
      <c r="BR147" s="995"/>
      <c r="BS147" s="1083"/>
      <c r="BU147" s="983">
        <v>141</v>
      </c>
      <c r="BV147" s="996"/>
      <c r="BW147" s="997"/>
      <c r="BX147" s="1083"/>
      <c r="BZ147" s="983">
        <v>141</v>
      </c>
      <c r="CA147" s="996"/>
      <c r="CB147" s="997"/>
      <c r="CC147" s="1083"/>
      <c r="DF147" s="43" t="b">
        <f t="shared" si="61"/>
        <v>0</v>
      </c>
      <c r="DG147" s="43" t="str">
        <f t="shared" si="62"/>
        <v/>
      </c>
      <c r="DH147" s="43" t="str">
        <f t="shared" si="63"/>
        <v/>
      </c>
      <c r="DI147" s="43" t="str">
        <f t="shared" si="64"/>
        <v/>
      </c>
      <c r="DJ147" s="43" t="str">
        <f t="shared" si="65"/>
        <v/>
      </c>
      <c r="DK147" s="43" t="e">
        <f t="shared" si="66"/>
        <v>#N/A</v>
      </c>
      <c r="DL147" s="43" t="e">
        <f t="shared" si="67"/>
        <v>#N/A</v>
      </c>
      <c r="DM147" s="43" t="e">
        <f t="shared" si="68"/>
        <v>#N/A</v>
      </c>
      <c r="DN147" s="43" t="e">
        <f t="shared" si="69"/>
        <v>#N/A</v>
      </c>
      <c r="DO147" s="43" t="e">
        <f t="shared" si="70"/>
        <v>#N/A</v>
      </c>
      <c r="DP147" s="43" t="e">
        <f t="shared" si="71"/>
        <v>#N/A</v>
      </c>
      <c r="DQ147" s="43" t="e">
        <f t="shared" si="72"/>
        <v>#N/A</v>
      </c>
      <c r="DR147" s="43" t="e">
        <f t="shared" si="73"/>
        <v>#N/A</v>
      </c>
      <c r="DS147" s="43">
        <f t="shared" si="74"/>
        <v>0</v>
      </c>
      <c r="DT147" s="43">
        <v>137</v>
      </c>
      <c r="DU147" s="43">
        <f t="shared" si="84"/>
        <v>13.479999999999961</v>
      </c>
      <c r="DV147" s="43">
        <f t="shared" si="75"/>
        <v>14.728380427291492</v>
      </c>
      <c r="DW147" s="43">
        <f t="shared" si="76"/>
        <v>0.46090748095051309</v>
      </c>
      <c r="DX147" s="43" t="e">
        <f t="shared" si="77"/>
        <v>#N/A</v>
      </c>
      <c r="DY147" s="50" t="e">
        <f t="shared" si="78"/>
        <v>#N/A</v>
      </c>
      <c r="DZ147" s="50" t="str">
        <f t="shared" si="79"/>
        <v/>
      </c>
      <c r="EA147" s="50">
        <f t="shared" si="80"/>
        <v>1.4460298101540565</v>
      </c>
      <c r="EB147" s="43" t="e">
        <f t="shared" si="81"/>
        <v>#N/A</v>
      </c>
      <c r="EC147" s="50" t="e">
        <f t="shared" si="82"/>
        <v>#N/A</v>
      </c>
      <c r="ED147" s="50" t="str">
        <f t="shared" si="83"/>
        <v/>
      </c>
    </row>
    <row r="148" spans="1:134" ht="12" customHeight="1">
      <c r="A148" s="640">
        <v>136</v>
      </c>
      <c r="B148" s="994"/>
      <c r="C148" s="995"/>
      <c r="D148" s="329"/>
      <c r="E148" s="884"/>
      <c r="F148" s="1027" t="str">
        <f t="shared" si="85"/>
        <v/>
      </c>
      <c r="G148" s="1028" t="str">
        <f t="shared" si="86"/>
        <v/>
      </c>
      <c r="H148" s="886"/>
      <c r="I148" s="458" t="str">
        <f t="shared" si="87"/>
        <v/>
      </c>
      <c r="J148" s="886"/>
      <c r="BA148" s="983">
        <v>142</v>
      </c>
      <c r="BB148" s="994"/>
      <c r="BC148" s="995"/>
      <c r="BD148" s="1083"/>
      <c r="BF148" s="983">
        <v>142</v>
      </c>
      <c r="BG148" s="994"/>
      <c r="BH148" s="995"/>
      <c r="BI148" s="1083"/>
      <c r="BK148" s="983">
        <v>142</v>
      </c>
      <c r="BL148" s="994"/>
      <c r="BM148" s="995"/>
      <c r="BN148" s="1083"/>
      <c r="BP148" s="983">
        <v>142</v>
      </c>
      <c r="BQ148" s="994"/>
      <c r="BR148" s="995"/>
      <c r="BS148" s="1083"/>
      <c r="BU148" s="983">
        <v>142</v>
      </c>
      <c r="BV148" s="996"/>
      <c r="BW148" s="997"/>
      <c r="BX148" s="1083"/>
      <c r="BZ148" s="983">
        <v>142</v>
      </c>
      <c r="CA148" s="996"/>
      <c r="CB148" s="997"/>
      <c r="CC148" s="1083"/>
      <c r="DF148" s="43" t="b">
        <f t="shared" si="61"/>
        <v>0</v>
      </c>
      <c r="DG148" s="43" t="str">
        <f t="shared" si="62"/>
        <v/>
      </c>
      <c r="DH148" s="43" t="str">
        <f t="shared" si="63"/>
        <v/>
      </c>
      <c r="DI148" s="43" t="str">
        <f t="shared" si="64"/>
        <v/>
      </c>
      <c r="DJ148" s="43" t="str">
        <f t="shared" si="65"/>
        <v/>
      </c>
      <c r="DK148" s="43" t="e">
        <f t="shared" si="66"/>
        <v>#N/A</v>
      </c>
      <c r="DL148" s="43" t="e">
        <f t="shared" si="67"/>
        <v>#N/A</v>
      </c>
      <c r="DM148" s="43" t="e">
        <f t="shared" si="68"/>
        <v>#N/A</v>
      </c>
      <c r="DN148" s="43" t="e">
        <f t="shared" si="69"/>
        <v>#N/A</v>
      </c>
      <c r="DO148" s="43" t="e">
        <f t="shared" si="70"/>
        <v>#N/A</v>
      </c>
      <c r="DP148" s="43" t="e">
        <f t="shared" si="71"/>
        <v>#N/A</v>
      </c>
      <c r="DQ148" s="43" t="e">
        <f t="shared" si="72"/>
        <v>#N/A</v>
      </c>
      <c r="DR148" s="43" t="e">
        <f t="shared" si="73"/>
        <v>#N/A</v>
      </c>
      <c r="DS148" s="43">
        <f t="shared" si="74"/>
        <v>0</v>
      </c>
      <c r="DT148" s="43">
        <v>138</v>
      </c>
      <c r="DU148" s="43">
        <f t="shared" si="84"/>
        <v>13.534999999999961</v>
      </c>
      <c r="DV148" s="43">
        <f t="shared" si="75"/>
        <v>14.771250861474813</v>
      </c>
      <c r="DW148" s="43">
        <f t="shared" si="76"/>
        <v>0.46446101980365317</v>
      </c>
      <c r="DX148" s="43" t="e">
        <f t="shared" si="77"/>
        <v>#N/A</v>
      </c>
      <c r="DY148" s="50" t="e">
        <f t="shared" si="78"/>
        <v>#N/A</v>
      </c>
      <c r="DZ148" s="50" t="str">
        <f t="shared" si="79"/>
        <v/>
      </c>
      <c r="EA148" s="50">
        <f t="shared" si="80"/>
        <v>1.4471663846203306</v>
      </c>
      <c r="EB148" s="43" t="e">
        <f t="shared" si="81"/>
        <v>#N/A</v>
      </c>
      <c r="EC148" s="50" t="e">
        <f t="shared" si="82"/>
        <v>#N/A</v>
      </c>
      <c r="ED148" s="50" t="str">
        <f t="shared" si="83"/>
        <v/>
      </c>
    </row>
    <row r="149" spans="1:134" ht="12" customHeight="1">
      <c r="A149" s="640">
        <v>137</v>
      </c>
      <c r="B149" s="994"/>
      <c r="C149" s="995"/>
      <c r="D149" s="329"/>
      <c r="E149" s="884"/>
      <c r="F149" s="1027" t="str">
        <f t="shared" si="85"/>
        <v/>
      </c>
      <c r="G149" s="1028" t="str">
        <f t="shared" si="86"/>
        <v/>
      </c>
      <c r="H149" s="886"/>
      <c r="I149" s="458" t="str">
        <f t="shared" si="87"/>
        <v/>
      </c>
      <c r="J149" s="886"/>
      <c r="BA149" s="983">
        <v>143</v>
      </c>
      <c r="BB149" s="994"/>
      <c r="BC149" s="995"/>
      <c r="BD149" s="1083"/>
      <c r="BF149" s="983">
        <v>143</v>
      </c>
      <c r="BG149" s="994"/>
      <c r="BH149" s="995"/>
      <c r="BI149" s="1083"/>
      <c r="BK149" s="983">
        <v>143</v>
      </c>
      <c r="BL149" s="994"/>
      <c r="BM149" s="995"/>
      <c r="BN149" s="1083"/>
      <c r="BP149" s="983">
        <v>143</v>
      </c>
      <c r="BQ149" s="994"/>
      <c r="BR149" s="995"/>
      <c r="BS149" s="1083"/>
      <c r="BU149" s="983">
        <v>143</v>
      </c>
      <c r="BV149" s="996"/>
      <c r="BW149" s="997"/>
      <c r="BX149" s="1083"/>
      <c r="BZ149" s="983">
        <v>143</v>
      </c>
      <c r="CA149" s="996"/>
      <c r="CB149" s="997"/>
      <c r="CC149" s="1083"/>
      <c r="DF149" s="43" t="b">
        <f t="shared" si="61"/>
        <v>0</v>
      </c>
      <c r="DG149" s="43" t="str">
        <f t="shared" si="62"/>
        <v/>
      </c>
      <c r="DH149" s="43" t="str">
        <f t="shared" si="63"/>
        <v/>
      </c>
      <c r="DI149" s="43" t="str">
        <f t="shared" si="64"/>
        <v/>
      </c>
      <c r="DJ149" s="43" t="str">
        <f t="shared" si="65"/>
        <v/>
      </c>
      <c r="DK149" s="43" t="e">
        <f t="shared" si="66"/>
        <v>#N/A</v>
      </c>
      <c r="DL149" s="43" t="e">
        <f t="shared" si="67"/>
        <v>#N/A</v>
      </c>
      <c r="DM149" s="43" t="e">
        <f t="shared" si="68"/>
        <v>#N/A</v>
      </c>
      <c r="DN149" s="43" t="e">
        <f t="shared" si="69"/>
        <v>#N/A</v>
      </c>
      <c r="DO149" s="43" t="e">
        <f t="shared" si="70"/>
        <v>#N/A</v>
      </c>
      <c r="DP149" s="43" t="e">
        <f t="shared" si="71"/>
        <v>#N/A</v>
      </c>
      <c r="DQ149" s="43" t="e">
        <f t="shared" si="72"/>
        <v>#N/A</v>
      </c>
      <c r="DR149" s="43" t="e">
        <f t="shared" si="73"/>
        <v>#N/A</v>
      </c>
      <c r="DS149" s="43">
        <f t="shared" si="74"/>
        <v>0</v>
      </c>
      <c r="DT149" s="43">
        <v>139</v>
      </c>
      <c r="DU149" s="43">
        <f t="shared" si="84"/>
        <v>13.589999999999961</v>
      </c>
      <c r="DV149" s="43">
        <f t="shared" si="75"/>
        <v>14.814121295658136</v>
      </c>
      <c r="DW149" s="43">
        <f t="shared" si="76"/>
        <v>0.46808798841324251</v>
      </c>
      <c r="DX149" s="43" t="e">
        <f t="shared" si="77"/>
        <v>#N/A</v>
      </c>
      <c r="DY149" s="50" t="e">
        <f t="shared" si="78"/>
        <v>#N/A</v>
      </c>
      <c r="DZ149" s="50" t="str">
        <f t="shared" si="79"/>
        <v/>
      </c>
      <c r="EA149" s="50">
        <f t="shared" si="80"/>
        <v>1.4483345161787675</v>
      </c>
      <c r="EB149" s="43" t="e">
        <f t="shared" si="81"/>
        <v>#N/A</v>
      </c>
      <c r="EC149" s="50" t="e">
        <f t="shared" si="82"/>
        <v>#N/A</v>
      </c>
      <c r="ED149" s="50" t="str">
        <f t="shared" si="83"/>
        <v/>
      </c>
    </row>
    <row r="150" spans="1:134" ht="12" customHeight="1">
      <c r="A150" s="640">
        <v>138</v>
      </c>
      <c r="B150" s="994"/>
      <c r="C150" s="995"/>
      <c r="D150" s="329"/>
      <c r="E150" s="884"/>
      <c r="F150" s="1027" t="str">
        <f t="shared" si="85"/>
        <v/>
      </c>
      <c r="G150" s="1028" t="str">
        <f t="shared" si="86"/>
        <v/>
      </c>
      <c r="H150" s="886"/>
      <c r="I150" s="458" t="str">
        <f t="shared" si="87"/>
        <v/>
      </c>
      <c r="J150" s="886"/>
      <c r="BA150" s="983">
        <v>144</v>
      </c>
      <c r="BB150" s="994"/>
      <c r="BC150" s="995"/>
      <c r="BD150" s="1083"/>
      <c r="BF150" s="983">
        <v>144</v>
      </c>
      <c r="BG150" s="994"/>
      <c r="BH150" s="995"/>
      <c r="BI150" s="1083"/>
      <c r="BK150" s="983">
        <v>144</v>
      </c>
      <c r="BL150" s="994"/>
      <c r="BM150" s="995"/>
      <c r="BN150" s="1083"/>
      <c r="BP150" s="983">
        <v>144</v>
      </c>
      <c r="BQ150" s="994"/>
      <c r="BR150" s="995"/>
      <c r="BS150" s="1083"/>
      <c r="BU150" s="983">
        <v>144</v>
      </c>
      <c r="BV150" s="996"/>
      <c r="BW150" s="997"/>
      <c r="BX150" s="1083"/>
      <c r="BZ150" s="983">
        <v>144</v>
      </c>
      <c r="CA150" s="996"/>
      <c r="CB150" s="997"/>
      <c r="CC150" s="1083"/>
      <c r="DF150" s="43" t="b">
        <f t="shared" si="61"/>
        <v>0</v>
      </c>
      <c r="DG150" s="43" t="str">
        <f t="shared" si="62"/>
        <v/>
      </c>
      <c r="DH150" s="43" t="str">
        <f t="shared" si="63"/>
        <v/>
      </c>
      <c r="DI150" s="43" t="str">
        <f t="shared" si="64"/>
        <v/>
      </c>
      <c r="DJ150" s="43" t="str">
        <f t="shared" si="65"/>
        <v/>
      </c>
      <c r="DK150" s="43" t="e">
        <f t="shared" si="66"/>
        <v>#N/A</v>
      </c>
      <c r="DL150" s="43" t="e">
        <f t="shared" si="67"/>
        <v>#N/A</v>
      </c>
      <c r="DM150" s="43" t="e">
        <f t="shared" si="68"/>
        <v>#N/A</v>
      </c>
      <c r="DN150" s="43" t="e">
        <f t="shared" si="69"/>
        <v>#N/A</v>
      </c>
      <c r="DO150" s="43" t="e">
        <f t="shared" si="70"/>
        <v>#N/A</v>
      </c>
      <c r="DP150" s="43" t="e">
        <f t="shared" si="71"/>
        <v>#N/A</v>
      </c>
      <c r="DQ150" s="43" t="e">
        <f t="shared" si="72"/>
        <v>#N/A</v>
      </c>
      <c r="DR150" s="43" t="e">
        <f t="shared" si="73"/>
        <v>#N/A</v>
      </c>
      <c r="DS150" s="43">
        <f t="shared" si="74"/>
        <v>0</v>
      </c>
      <c r="DT150" s="43">
        <v>140</v>
      </c>
      <c r="DU150" s="43">
        <f t="shared" si="84"/>
        <v>13.64499999999996</v>
      </c>
      <c r="DV150" s="43">
        <f t="shared" si="75"/>
        <v>14.856991729841457</v>
      </c>
      <c r="DW150" s="43">
        <f t="shared" si="76"/>
        <v>0.47178669325794553</v>
      </c>
      <c r="DX150" s="43" t="e">
        <f t="shared" si="77"/>
        <v>#N/A</v>
      </c>
      <c r="DY150" s="50" t="e">
        <f t="shared" si="78"/>
        <v>#N/A</v>
      </c>
      <c r="DZ150" s="50" t="str">
        <f t="shared" si="79"/>
        <v/>
      </c>
      <c r="EA150" s="50">
        <f t="shared" si="80"/>
        <v>1.4495341285369225</v>
      </c>
      <c r="EB150" s="43" t="e">
        <f t="shared" si="81"/>
        <v>#N/A</v>
      </c>
      <c r="EC150" s="50" t="e">
        <f t="shared" si="82"/>
        <v>#N/A</v>
      </c>
      <c r="ED150" s="50" t="str">
        <f t="shared" si="83"/>
        <v/>
      </c>
    </row>
    <row r="151" spans="1:134" ht="12" customHeight="1">
      <c r="A151" s="640">
        <v>139</v>
      </c>
      <c r="B151" s="994"/>
      <c r="C151" s="995"/>
      <c r="D151" s="329"/>
      <c r="E151" s="884"/>
      <c r="F151" s="1027" t="str">
        <f t="shared" si="85"/>
        <v/>
      </c>
      <c r="G151" s="1028" t="str">
        <f t="shared" si="86"/>
        <v/>
      </c>
      <c r="H151" s="886"/>
      <c r="I151" s="458" t="str">
        <f t="shared" si="87"/>
        <v/>
      </c>
      <c r="J151" s="886"/>
      <c r="BA151" s="983">
        <v>145</v>
      </c>
      <c r="BB151" s="994"/>
      <c r="BC151" s="995"/>
      <c r="BD151" s="1083"/>
      <c r="BF151" s="983">
        <v>145</v>
      </c>
      <c r="BG151" s="994"/>
      <c r="BH151" s="995"/>
      <c r="BI151" s="1083"/>
      <c r="BK151" s="983">
        <v>145</v>
      </c>
      <c r="BL151" s="994"/>
      <c r="BM151" s="995"/>
      <c r="BN151" s="1083"/>
      <c r="BP151" s="983">
        <v>145</v>
      </c>
      <c r="BQ151" s="994"/>
      <c r="BR151" s="995"/>
      <c r="BS151" s="1083"/>
      <c r="BU151" s="983">
        <v>145</v>
      </c>
      <c r="BV151" s="996"/>
      <c r="BW151" s="997"/>
      <c r="BX151" s="1083"/>
      <c r="BZ151" s="983">
        <v>145</v>
      </c>
      <c r="CA151" s="996"/>
      <c r="CB151" s="997"/>
      <c r="CC151" s="1083"/>
      <c r="DF151" s="43" t="b">
        <f t="shared" si="61"/>
        <v>0</v>
      </c>
      <c r="DG151" s="43" t="str">
        <f t="shared" si="62"/>
        <v/>
      </c>
      <c r="DH151" s="43" t="str">
        <f t="shared" si="63"/>
        <v/>
      </c>
      <c r="DI151" s="43" t="str">
        <f t="shared" si="64"/>
        <v/>
      </c>
      <c r="DJ151" s="43" t="str">
        <f t="shared" si="65"/>
        <v/>
      </c>
      <c r="DK151" s="43" t="e">
        <f t="shared" si="66"/>
        <v>#N/A</v>
      </c>
      <c r="DL151" s="43" t="e">
        <f t="shared" si="67"/>
        <v>#N/A</v>
      </c>
      <c r="DM151" s="43" t="e">
        <f t="shared" si="68"/>
        <v>#N/A</v>
      </c>
      <c r="DN151" s="43" t="e">
        <f t="shared" si="69"/>
        <v>#N/A</v>
      </c>
      <c r="DO151" s="43" t="e">
        <f t="shared" si="70"/>
        <v>#N/A</v>
      </c>
      <c r="DP151" s="43" t="e">
        <f t="shared" si="71"/>
        <v>#N/A</v>
      </c>
      <c r="DQ151" s="43" t="e">
        <f t="shared" si="72"/>
        <v>#N/A</v>
      </c>
      <c r="DR151" s="43" t="e">
        <f t="shared" si="73"/>
        <v>#N/A</v>
      </c>
      <c r="DS151" s="43">
        <f t="shared" si="74"/>
        <v>0</v>
      </c>
      <c r="DT151" s="43">
        <v>141</v>
      </c>
      <c r="DU151" s="43">
        <f t="shared" si="84"/>
        <v>13.69999999999996</v>
      </c>
      <c r="DV151" s="43">
        <f t="shared" si="75"/>
        <v>14.899862164024778</v>
      </c>
      <c r="DW151" s="43">
        <f t="shared" si="76"/>
        <v>0.47555546052230552</v>
      </c>
      <c r="DX151" s="43" t="e">
        <f t="shared" si="77"/>
        <v>#N/A</v>
      </c>
      <c r="DY151" s="50" t="e">
        <f t="shared" si="78"/>
        <v>#N/A</v>
      </c>
      <c r="DZ151" s="50" t="str">
        <f t="shared" si="79"/>
        <v/>
      </c>
      <c r="EA151" s="50">
        <f t="shared" si="80"/>
        <v>1.4507651436020277</v>
      </c>
      <c r="EB151" s="43" t="e">
        <f t="shared" si="81"/>
        <v>#N/A</v>
      </c>
      <c r="EC151" s="50" t="e">
        <f t="shared" si="82"/>
        <v>#N/A</v>
      </c>
      <c r="ED151" s="50" t="str">
        <f t="shared" si="83"/>
        <v/>
      </c>
    </row>
    <row r="152" spans="1:134" ht="12" customHeight="1">
      <c r="A152" s="640">
        <v>140</v>
      </c>
      <c r="B152" s="994"/>
      <c r="C152" s="995"/>
      <c r="D152" s="329"/>
      <c r="E152" s="884"/>
      <c r="F152" s="1027" t="str">
        <f t="shared" si="85"/>
        <v/>
      </c>
      <c r="G152" s="1028" t="str">
        <f t="shared" si="86"/>
        <v/>
      </c>
      <c r="H152" s="886"/>
      <c r="I152" s="458" t="str">
        <f t="shared" si="87"/>
        <v/>
      </c>
      <c r="J152" s="886"/>
      <c r="BA152" s="983">
        <v>146</v>
      </c>
      <c r="BB152" s="994"/>
      <c r="BC152" s="995"/>
      <c r="BD152" s="1083"/>
      <c r="BF152" s="983">
        <v>146</v>
      </c>
      <c r="BG152" s="994"/>
      <c r="BH152" s="995"/>
      <c r="BI152" s="1083"/>
      <c r="BK152" s="983">
        <v>146</v>
      </c>
      <c r="BL152" s="994"/>
      <c r="BM152" s="995"/>
      <c r="BN152" s="1083"/>
      <c r="BP152" s="983">
        <v>146</v>
      </c>
      <c r="BQ152" s="994"/>
      <c r="BR152" s="995"/>
      <c r="BS152" s="1083"/>
      <c r="BU152" s="983">
        <v>146</v>
      </c>
      <c r="BV152" s="996"/>
      <c r="BW152" s="997"/>
      <c r="BX152" s="1083"/>
      <c r="BZ152" s="983">
        <v>146</v>
      </c>
      <c r="CA152" s="996"/>
      <c r="CB152" s="997"/>
      <c r="CC152" s="1083"/>
      <c r="DF152" s="43" t="b">
        <f t="shared" si="61"/>
        <v>0</v>
      </c>
      <c r="DG152" s="43" t="str">
        <f t="shared" si="62"/>
        <v/>
      </c>
      <c r="DH152" s="43" t="str">
        <f t="shared" si="63"/>
        <v/>
      </c>
      <c r="DI152" s="43" t="str">
        <f t="shared" si="64"/>
        <v/>
      </c>
      <c r="DJ152" s="43" t="str">
        <f t="shared" si="65"/>
        <v/>
      </c>
      <c r="DK152" s="43" t="e">
        <f t="shared" si="66"/>
        <v>#N/A</v>
      </c>
      <c r="DL152" s="43" t="e">
        <f t="shared" si="67"/>
        <v>#N/A</v>
      </c>
      <c r="DM152" s="43" t="e">
        <f t="shared" si="68"/>
        <v>#N/A</v>
      </c>
      <c r="DN152" s="43" t="e">
        <f t="shared" si="69"/>
        <v>#N/A</v>
      </c>
      <c r="DO152" s="43" t="e">
        <f t="shared" si="70"/>
        <v>#N/A</v>
      </c>
      <c r="DP152" s="43" t="e">
        <f t="shared" si="71"/>
        <v>#N/A</v>
      </c>
      <c r="DQ152" s="43" t="e">
        <f t="shared" si="72"/>
        <v>#N/A</v>
      </c>
      <c r="DR152" s="43" t="e">
        <f t="shared" si="73"/>
        <v>#N/A</v>
      </c>
      <c r="DS152" s="43">
        <f t="shared" si="74"/>
        <v>0</v>
      </c>
      <c r="DT152" s="43">
        <v>142</v>
      </c>
      <c r="DU152" s="43">
        <f t="shared" si="84"/>
        <v>13.75499999999996</v>
      </c>
      <c r="DV152" s="43">
        <f t="shared" si="75"/>
        <v>14.942732598208101</v>
      </c>
      <c r="DW152" s="43">
        <f t="shared" si="76"/>
        <v>0.47939263781236974</v>
      </c>
      <c r="DX152" s="43" t="e">
        <f t="shared" si="77"/>
        <v>#N/A</v>
      </c>
      <c r="DY152" s="50" t="e">
        <f t="shared" si="78"/>
        <v>#N/A</v>
      </c>
      <c r="DZ152" s="50" t="str">
        <f t="shared" si="79"/>
        <v/>
      </c>
      <c r="EA152" s="50">
        <f t="shared" si="80"/>
        <v>1.4520274815053367</v>
      </c>
      <c r="EB152" s="43" t="e">
        <f t="shared" si="81"/>
        <v>#N/A</v>
      </c>
      <c r="EC152" s="50" t="e">
        <f t="shared" si="82"/>
        <v>#N/A</v>
      </c>
      <c r="ED152" s="50" t="str">
        <f t="shared" si="83"/>
        <v/>
      </c>
    </row>
    <row r="153" spans="1:134" ht="12" customHeight="1">
      <c r="A153" s="640">
        <v>141</v>
      </c>
      <c r="B153" s="994"/>
      <c r="C153" s="995"/>
      <c r="D153" s="329"/>
      <c r="E153" s="884"/>
      <c r="F153" s="1027" t="str">
        <f t="shared" si="85"/>
        <v/>
      </c>
      <c r="G153" s="1028" t="str">
        <f t="shared" si="86"/>
        <v/>
      </c>
      <c r="H153" s="886"/>
      <c r="I153" s="458" t="str">
        <f t="shared" si="87"/>
        <v/>
      </c>
      <c r="J153" s="886"/>
      <c r="BA153" s="983">
        <v>147</v>
      </c>
      <c r="BB153" s="994"/>
      <c r="BC153" s="995"/>
      <c r="BD153" s="1083"/>
      <c r="BF153" s="983">
        <v>147</v>
      </c>
      <c r="BG153" s="994"/>
      <c r="BH153" s="995"/>
      <c r="BI153" s="1083"/>
      <c r="BK153" s="983">
        <v>147</v>
      </c>
      <c r="BL153" s="994"/>
      <c r="BM153" s="995"/>
      <c r="BN153" s="1083"/>
      <c r="BP153" s="983">
        <v>147</v>
      </c>
      <c r="BQ153" s="994"/>
      <c r="BR153" s="995"/>
      <c r="BS153" s="1083"/>
      <c r="BU153" s="983">
        <v>147</v>
      </c>
      <c r="BV153" s="996"/>
      <c r="BW153" s="997"/>
      <c r="BX153" s="1083"/>
      <c r="BZ153" s="983">
        <v>147</v>
      </c>
      <c r="CA153" s="996"/>
      <c r="CB153" s="997"/>
      <c r="CC153" s="1083"/>
      <c r="DF153" s="43" t="b">
        <f t="shared" si="61"/>
        <v>0</v>
      </c>
      <c r="DG153" s="43" t="str">
        <f t="shared" si="62"/>
        <v/>
      </c>
      <c r="DH153" s="43" t="str">
        <f t="shared" si="63"/>
        <v/>
      </c>
      <c r="DI153" s="43" t="str">
        <f t="shared" si="64"/>
        <v/>
      </c>
      <c r="DJ153" s="43" t="str">
        <f t="shared" si="65"/>
        <v/>
      </c>
      <c r="DK153" s="43" t="e">
        <f t="shared" si="66"/>
        <v>#N/A</v>
      </c>
      <c r="DL153" s="43" t="e">
        <f t="shared" si="67"/>
        <v>#N/A</v>
      </c>
      <c r="DM153" s="43" t="e">
        <f t="shared" si="68"/>
        <v>#N/A</v>
      </c>
      <c r="DN153" s="43" t="e">
        <f t="shared" si="69"/>
        <v>#N/A</v>
      </c>
      <c r="DO153" s="43" t="e">
        <f t="shared" si="70"/>
        <v>#N/A</v>
      </c>
      <c r="DP153" s="43" t="e">
        <f t="shared" si="71"/>
        <v>#N/A</v>
      </c>
      <c r="DQ153" s="43" t="e">
        <f t="shared" si="72"/>
        <v>#N/A</v>
      </c>
      <c r="DR153" s="43" t="e">
        <f t="shared" si="73"/>
        <v>#N/A</v>
      </c>
      <c r="DS153" s="43">
        <f t="shared" si="74"/>
        <v>0</v>
      </c>
      <c r="DT153" s="43">
        <v>143</v>
      </c>
      <c r="DU153" s="43">
        <f t="shared" si="84"/>
        <v>13.80999999999996</v>
      </c>
      <c r="DV153" s="43">
        <f t="shared" si="75"/>
        <v>14.985603032391422</v>
      </c>
      <c r="DW153" s="43">
        <f t="shared" si="76"/>
        <v>0.48329659568801658</v>
      </c>
      <c r="DX153" s="43" t="e">
        <f t="shared" si="77"/>
        <v>#N/A</v>
      </c>
      <c r="DY153" s="50" t="e">
        <f t="shared" si="78"/>
        <v>#N/A</v>
      </c>
      <c r="DZ153" s="50" t="str">
        <f t="shared" si="79"/>
        <v/>
      </c>
      <c r="EA153" s="50">
        <f t="shared" si="80"/>
        <v>1.4533210606268856</v>
      </c>
      <c r="EB153" s="43" t="e">
        <f t="shared" si="81"/>
        <v>#N/A</v>
      </c>
      <c r="EC153" s="50" t="e">
        <f t="shared" si="82"/>
        <v>#N/A</v>
      </c>
      <c r="ED153" s="50" t="str">
        <f t="shared" si="83"/>
        <v/>
      </c>
    </row>
    <row r="154" spans="1:134" ht="12" customHeight="1">
      <c r="A154" s="640">
        <v>142</v>
      </c>
      <c r="B154" s="994"/>
      <c r="C154" s="995"/>
      <c r="D154" s="329"/>
      <c r="E154" s="884"/>
      <c r="F154" s="1027" t="str">
        <f t="shared" si="85"/>
        <v/>
      </c>
      <c r="G154" s="1028" t="str">
        <f t="shared" si="86"/>
        <v/>
      </c>
      <c r="H154" s="886"/>
      <c r="I154" s="458" t="str">
        <f t="shared" si="87"/>
        <v/>
      </c>
      <c r="J154" s="886"/>
      <c r="BA154" s="983">
        <v>148</v>
      </c>
      <c r="BB154" s="994"/>
      <c r="BC154" s="995"/>
      <c r="BD154" s="1083"/>
      <c r="BF154" s="983">
        <v>148</v>
      </c>
      <c r="BG154" s="994"/>
      <c r="BH154" s="995"/>
      <c r="BI154" s="1083"/>
      <c r="BK154" s="983">
        <v>148</v>
      </c>
      <c r="BL154" s="994"/>
      <c r="BM154" s="995"/>
      <c r="BN154" s="1083"/>
      <c r="BP154" s="983">
        <v>148</v>
      </c>
      <c r="BQ154" s="994"/>
      <c r="BR154" s="995"/>
      <c r="BS154" s="1083"/>
      <c r="BU154" s="983">
        <v>148</v>
      </c>
      <c r="BV154" s="996"/>
      <c r="BW154" s="997"/>
      <c r="BX154" s="1083"/>
      <c r="BZ154" s="983">
        <v>148</v>
      </c>
      <c r="CA154" s="996"/>
      <c r="CB154" s="997"/>
      <c r="CC154" s="1083"/>
      <c r="DF154" s="43" t="b">
        <f t="shared" si="61"/>
        <v>0</v>
      </c>
      <c r="DG154" s="43" t="str">
        <f t="shared" si="62"/>
        <v/>
      </c>
      <c r="DH154" s="43" t="str">
        <f t="shared" si="63"/>
        <v/>
      </c>
      <c r="DI154" s="43" t="str">
        <f t="shared" si="64"/>
        <v/>
      </c>
      <c r="DJ154" s="43" t="str">
        <f t="shared" si="65"/>
        <v/>
      </c>
      <c r="DK154" s="43" t="e">
        <f t="shared" si="66"/>
        <v>#N/A</v>
      </c>
      <c r="DL154" s="43" t="e">
        <f t="shared" si="67"/>
        <v>#N/A</v>
      </c>
      <c r="DM154" s="43" t="e">
        <f t="shared" si="68"/>
        <v>#N/A</v>
      </c>
      <c r="DN154" s="43" t="e">
        <f t="shared" si="69"/>
        <v>#N/A</v>
      </c>
      <c r="DO154" s="43" t="e">
        <f t="shared" si="70"/>
        <v>#N/A</v>
      </c>
      <c r="DP154" s="43" t="e">
        <f t="shared" si="71"/>
        <v>#N/A</v>
      </c>
      <c r="DQ154" s="43" t="e">
        <f t="shared" si="72"/>
        <v>#N/A</v>
      </c>
      <c r="DR154" s="43" t="e">
        <f t="shared" si="73"/>
        <v>#N/A</v>
      </c>
      <c r="DS154" s="43">
        <f t="shared" si="74"/>
        <v>0</v>
      </c>
      <c r="DT154" s="43">
        <v>144</v>
      </c>
      <c r="DU154" s="43">
        <f t="shared" si="84"/>
        <v>13.864999999999959</v>
      </c>
      <c r="DV154" s="43">
        <f t="shared" si="75"/>
        <v>15.028473466574743</v>
      </c>
      <c r="DW154" s="43">
        <f t="shared" si="76"/>
        <v>0.48726572901996196</v>
      </c>
      <c r="DX154" s="43" t="e">
        <f t="shared" si="77"/>
        <v>#N/A</v>
      </c>
      <c r="DY154" s="50" t="e">
        <f t="shared" si="78"/>
        <v>#N/A</v>
      </c>
      <c r="DZ154" s="50" t="str">
        <f t="shared" si="79"/>
        <v/>
      </c>
      <c r="EA154" s="50">
        <f t="shared" si="80"/>
        <v>1.4546457976206388</v>
      </c>
      <c r="EB154" s="43" t="e">
        <f t="shared" si="81"/>
        <v>#N/A</v>
      </c>
      <c r="EC154" s="50" t="e">
        <f t="shared" si="82"/>
        <v>#N/A</v>
      </c>
      <c r="ED154" s="50" t="str">
        <f t="shared" si="83"/>
        <v/>
      </c>
    </row>
    <row r="155" spans="1:134" ht="12" customHeight="1">
      <c r="A155" s="640">
        <v>143</v>
      </c>
      <c r="B155" s="994"/>
      <c r="C155" s="995"/>
      <c r="D155" s="329"/>
      <c r="E155" s="884"/>
      <c r="F155" s="1027" t="str">
        <f t="shared" si="85"/>
        <v/>
      </c>
      <c r="G155" s="1028" t="str">
        <f t="shared" si="86"/>
        <v/>
      </c>
      <c r="H155" s="886"/>
      <c r="I155" s="458" t="str">
        <f t="shared" si="87"/>
        <v/>
      </c>
      <c r="J155" s="886"/>
      <c r="BA155" s="983">
        <v>149</v>
      </c>
      <c r="BB155" s="994"/>
      <c r="BC155" s="995"/>
      <c r="BD155" s="1083"/>
      <c r="BF155" s="983">
        <v>149</v>
      </c>
      <c r="BG155" s="994"/>
      <c r="BH155" s="995"/>
      <c r="BI155" s="1083"/>
      <c r="BK155" s="983">
        <v>149</v>
      </c>
      <c r="BL155" s="994"/>
      <c r="BM155" s="995"/>
      <c r="BN155" s="1083"/>
      <c r="BP155" s="983">
        <v>149</v>
      </c>
      <c r="BQ155" s="994"/>
      <c r="BR155" s="995"/>
      <c r="BS155" s="1083"/>
      <c r="BU155" s="983">
        <v>149</v>
      </c>
      <c r="BV155" s="996"/>
      <c r="BW155" s="997"/>
      <c r="BX155" s="1083"/>
      <c r="BZ155" s="983">
        <v>149</v>
      </c>
      <c r="CA155" s="996"/>
      <c r="CB155" s="997"/>
      <c r="CC155" s="1083"/>
      <c r="DF155" s="43" t="b">
        <f t="shared" si="61"/>
        <v>0</v>
      </c>
      <c r="DG155" s="43" t="str">
        <f t="shared" si="62"/>
        <v/>
      </c>
      <c r="DH155" s="43" t="str">
        <f t="shared" si="63"/>
        <v/>
      </c>
      <c r="DI155" s="43" t="str">
        <f t="shared" si="64"/>
        <v/>
      </c>
      <c r="DJ155" s="43" t="str">
        <f t="shared" si="65"/>
        <v/>
      </c>
      <c r="DK155" s="43" t="e">
        <f t="shared" si="66"/>
        <v>#N/A</v>
      </c>
      <c r="DL155" s="43" t="e">
        <f t="shared" si="67"/>
        <v>#N/A</v>
      </c>
      <c r="DM155" s="43" t="e">
        <f t="shared" si="68"/>
        <v>#N/A</v>
      </c>
      <c r="DN155" s="43" t="e">
        <f t="shared" si="69"/>
        <v>#N/A</v>
      </c>
      <c r="DO155" s="43" t="e">
        <f t="shared" si="70"/>
        <v>#N/A</v>
      </c>
      <c r="DP155" s="43" t="e">
        <f t="shared" si="71"/>
        <v>#N/A</v>
      </c>
      <c r="DQ155" s="43" t="e">
        <f t="shared" si="72"/>
        <v>#N/A</v>
      </c>
      <c r="DR155" s="43" t="e">
        <f t="shared" si="73"/>
        <v>#N/A</v>
      </c>
      <c r="DS155" s="43">
        <f t="shared" si="74"/>
        <v>0</v>
      </c>
      <c r="DT155" s="43">
        <v>145</v>
      </c>
      <c r="DU155" s="43">
        <f t="shared" si="84"/>
        <v>13.919999999999959</v>
      </c>
      <c r="DV155" s="43">
        <f t="shared" si="75"/>
        <v>15.071343900758066</v>
      </c>
      <c r="DW155" s="43">
        <f t="shared" si="76"/>
        <v>0.49129845817984019</v>
      </c>
      <c r="DX155" s="43" t="e">
        <f t="shared" si="77"/>
        <v>#N/A</v>
      </c>
      <c r="DY155" s="50" t="e">
        <f t="shared" si="78"/>
        <v>#N/A</v>
      </c>
      <c r="DZ155" s="50" t="str">
        <f t="shared" si="79"/>
        <v/>
      </c>
      <c r="EA155" s="50">
        <f t="shared" si="80"/>
        <v>1.4560016074400184</v>
      </c>
      <c r="EB155" s="43" t="e">
        <f t="shared" si="81"/>
        <v>#N/A</v>
      </c>
      <c r="EC155" s="50" t="e">
        <f t="shared" si="82"/>
        <v>#N/A</v>
      </c>
      <c r="ED155" s="50" t="str">
        <f t="shared" si="83"/>
        <v/>
      </c>
    </row>
    <row r="156" spans="1:134" ht="12" customHeight="1">
      <c r="A156" s="640">
        <v>144</v>
      </c>
      <c r="B156" s="994"/>
      <c r="C156" s="995"/>
      <c r="D156" s="329"/>
      <c r="E156" s="884"/>
      <c r="F156" s="1027" t="str">
        <f t="shared" si="85"/>
        <v/>
      </c>
      <c r="G156" s="1028" t="str">
        <f t="shared" si="86"/>
        <v/>
      </c>
      <c r="H156" s="886"/>
      <c r="I156" s="458" t="str">
        <f t="shared" si="87"/>
        <v/>
      </c>
      <c r="J156" s="886"/>
      <c r="BA156" s="983">
        <v>150</v>
      </c>
      <c r="BB156" s="994"/>
      <c r="BC156" s="995"/>
      <c r="BD156" s="1083"/>
      <c r="BF156" s="983">
        <v>150</v>
      </c>
      <c r="BG156" s="994"/>
      <c r="BH156" s="995"/>
      <c r="BI156" s="1083"/>
      <c r="BK156" s="983">
        <v>150</v>
      </c>
      <c r="BL156" s="994"/>
      <c r="BM156" s="995"/>
      <c r="BN156" s="1083"/>
      <c r="BP156" s="983">
        <v>150</v>
      </c>
      <c r="BQ156" s="994"/>
      <c r="BR156" s="995"/>
      <c r="BS156" s="1083"/>
      <c r="BU156" s="983">
        <v>150</v>
      </c>
      <c r="BV156" s="996"/>
      <c r="BW156" s="997"/>
      <c r="BX156" s="1083"/>
      <c r="BZ156" s="983">
        <v>150</v>
      </c>
      <c r="CA156" s="996"/>
      <c r="CB156" s="997"/>
      <c r="CC156" s="1083"/>
      <c r="DF156" s="43" t="b">
        <f t="shared" si="61"/>
        <v>0</v>
      </c>
      <c r="DG156" s="43" t="str">
        <f t="shared" si="62"/>
        <v/>
      </c>
      <c r="DH156" s="43" t="str">
        <f t="shared" si="63"/>
        <v/>
      </c>
      <c r="DI156" s="43" t="str">
        <f t="shared" si="64"/>
        <v/>
      </c>
      <c r="DJ156" s="43" t="str">
        <f t="shared" si="65"/>
        <v/>
      </c>
      <c r="DK156" s="43" t="e">
        <f t="shared" si="66"/>
        <v>#N/A</v>
      </c>
      <c r="DL156" s="43" t="e">
        <f t="shared" si="67"/>
        <v>#N/A</v>
      </c>
      <c r="DM156" s="43" t="e">
        <f t="shared" si="68"/>
        <v>#N/A</v>
      </c>
      <c r="DN156" s="43" t="e">
        <f t="shared" si="69"/>
        <v>#N/A</v>
      </c>
      <c r="DO156" s="43" t="e">
        <f t="shared" si="70"/>
        <v>#N/A</v>
      </c>
      <c r="DP156" s="43" t="e">
        <f t="shared" si="71"/>
        <v>#N/A</v>
      </c>
      <c r="DQ156" s="43" t="e">
        <f t="shared" si="72"/>
        <v>#N/A</v>
      </c>
      <c r="DR156" s="43" t="e">
        <f t="shared" si="73"/>
        <v>#N/A</v>
      </c>
      <c r="DS156" s="43">
        <f t="shared" si="74"/>
        <v>0</v>
      </c>
      <c r="DT156" s="43">
        <v>146</v>
      </c>
      <c r="DU156" s="43">
        <f t="shared" si="84"/>
        <v>13.974999999999959</v>
      </c>
      <c r="DV156" s="43">
        <f t="shared" si="75"/>
        <v>15.114214334941387</v>
      </c>
      <c r="DW156" s="43">
        <f t="shared" si="76"/>
        <v>0.49539323007205693</v>
      </c>
      <c r="DX156" s="43" t="e">
        <f t="shared" si="77"/>
        <v>#N/A</v>
      </c>
      <c r="DY156" s="50" t="e">
        <f t="shared" si="78"/>
        <v>#N/A</v>
      </c>
      <c r="DZ156" s="50" t="str">
        <f t="shared" si="79"/>
        <v/>
      </c>
      <c r="EA156" s="50">
        <f t="shared" si="80"/>
        <v>1.4573884033637892</v>
      </c>
      <c r="EB156" s="43" t="e">
        <f t="shared" si="81"/>
        <v>#N/A</v>
      </c>
      <c r="EC156" s="50" t="e">
        <f t="shared" si="82"/>
        <v>#N/A</v>
      </c>
      <c r="ED156" s="50" t="str">
        <f t="shared" si="83"/>
        <v/>
      </c>
    </row>
    <row r="157" spans="1:134" ht="12" customHeight="1">
      <c r="A157" s="640">
        <v>145</v>
      </c>
      <c r="B157" s="994"/>
      <c r="C157" s="995"/>
      <c r="D157" s="329"/>
      <c r="E157" s="884"/>
      <c r="F157" s="1027" t="str">
        <f t="shared" si="85"/>
        <v/>
      </c>
      <c r="G157" s="1028" t="str">
        <f t="shared" si="86"/>
        <v/>
      </c>
      <c r="H157" s="886"/>
      <c r="I157" s="458" t="str">
        <f t="shared" si="87"/>
        <v/>
      </c>
      <c r="J157" s="886"/>
      <c r="BA157" s="983">
        <v>151</v>
      </c>
      <c r="BB157" s="994"/>
      <c r="BC157" s="995"/>
      <c r="BD157" s="1083"/>
      <c r="BF157" s="983">
        <v>151</v>
      </c>
      <c r="BG157" s="994"/>
      <c r="BH157" s="995"/>
      <c r="BI157" s="1083"/>
      <c r="BK157" s="983">
        <v>151</v>
      </c>
      <c r="BL157" s="994"/>
      <c r="BM157" s="995"/>
      <c r="BN157" s="1083"/>
      <c r="BP157" s="983">
        <v>151</v>
      </c>
      <c r="BQ157" s="994"/>
      <c r="BR157" s="995"/>
      <c r="BS157" s="1083"/>
      <c r="BU157" s="983">
        <v>151</v>
      </c>
      <c r="BV157" s="996"/>
      <c r="BW157" s="997"/>
      <c r="BX157" s="1083"/>
      <c r="BZ157" s="983">
        <v>151</v>
      </c>
      <c r="CA157" s="996"/>
      <c r="CB157" s="997"/>
      <c r="CC157" s="1083"/>
      <c r="DF157" s="43" t="b">
        <f t="shared" si="61"/>
        <v>0</v>
      </c>
      <c r="DG157" s="43" t="str">
        <f t="shared" si="62"/>
        <v/>
      </c>
      <c r="DH157" s="43" t="str">
        <f t="shared" si="63"/>
        <v/>
      </c>
      <c r="DI157" s="43" t="str">
        <f t="shared" si="64"/>
        <v/>
      </c>
      <c r="DJ157" s="43" t="str">
        <f t="shared" si="65"/>
        <v/>
      </c>
      <c r="DK157" s="43" t="e">
        <f t="shared" si="66"/>
        <v>#N/A</v>
      </c>
      <c r="DL157" s="43" t="e">
        <f t="shared" si="67"/>
        <v>#N/A</v>
      </c>
      <c r="DM157" s="43" t="e">
        <f t="shared" si="68"/>
        <v>#N/A</v>
      </c>
      <c r="DN157" s="43" t="e">
        <f t="shared" si="69"/>
        <v>#N/A</v>
      </c>
      <c r="DO157" s="43" t="e">
        <f t="shared" si="70"/>
        <v>#N/A</v>
      </c>
      <c r="DP157" s="43" t="e">
        <f t="shared" si="71"/>
        <v>#N/A</v>
      </c>
      <c r="DQ157" s="43" t="e">
        <f t="shared" si="72"/>
        <v>#N/A</v>
      </c>
      <c r="DR157" s="43" t="e">
        <f t="shared" si="73"/>
        <v>#N/A</v>
      </c>
      <c r="DS157" s="43">
        <f t="shared" si="74"/>
        <v>0</v>
      </c>
      <c r="DT157" s="43">
        <v>147</v>
      </c>
      <c r="DU157" s="43">
        <f t="shared" si="84"/>
        <v>14.029999999999959</v>
      </c>
      <c r="DV157" s="43">
        <f t="shared" si="75"/>
        <v>15.157084769124708</v>
      </c>
      <c r="DW157" s="43">
        <f t="shared" si="76"/>
        <v>0.49954851901628944</v>
      </c>
      <c r="DX157" s="43" t="e">
        <f t="shared" si="77"/>
        <v>#N/A</v>
      </c>
      <c r="DY157" s="50" t="e">
        <f t="shared" si="78"/>
        <v>#N/A</v>
      </c>
      <c r="DZ157" s="50" t="str">
        <f t="shared" si="79"/>
        <v/>
      </c>
      <c r="EA157" s="50">
        <f t="shared" si="80"/>
        <v>1.4588060970222865</v>
      </c>
      <c r="EB157" s="43" t="e">
        <f t="shared" si="81"/>
        <v>#N/A</v>
      </c>
      <c r="EC157" s="50" t="e">
        <f t="shared" si="82"/>
        <v>#N/A</v>
      </c>
      <c r="ED157" s="50" t="str">
        <f t="shared" si="83"/>
        <v/>
      </c>
    </row>
    <row r="158" spans="1:134" ht="12" customHeight="1">
      <c r="A158" s="640">
        <v>146</v>
      </c>
      <c r="B158" s="994"/>
      <c r="C158" s="995"/>
      <c r="D158" s="329"/>
      <c r="E158" s="884"/>
      <c r="F158" s="1027" t="str">
        <f t="shared" si="85"/>
        <v/>
      </c>
      <c r="G158" s="1028" t="str">
        <f t="shared" si="86"/>
        <v/>
      </c>
      <c r="H158" s="886"/>
      <c r="I158" s="458" t="str">
        <f t="shared" si="87"/>
        <v/>
      </c>
      <c r="J158" s="886"/>
      <c r="BA158" s="983">
        <v>152</v>
      </c>
      <c r="BB158" s="994"/>
      <c r="BC158" s="995"/>
      <c r="BD158" s="1083"/>
      <c r="BF158" s="983">
        <v>152</v>
      </c>
      <c r="BG158" s="994"/>
      <c r="BH158" s="995"/>
      <c r="BI158" s="1083"/>
      <c r="BK158" s="983">
        <v>152</v>
      </c>
      <c r="BL158" s="994"/>
      <c r="BM158" s="995"/>
      <c r="BN158" s="1083"/>
      <c r="BP158" s="983">
        <v>152</v>
      </c>
      <c r="BQ158" s="994"/>
      <c r="BR158" s="995"/>
      <c r="BS158" s="1083"/>
      <c r="BU158" s="983">
        <v>152</v>
      </c>
      <c r="BV158" s="996"/>
      <c r="BW158" s="997"/>
      <c r="BX158" s="1083"/>
      <c r="BZ158" s="983">
        <v>152</v>
      </c>
      <c r="CA158" s="996"/>
      <c r="CB158" s="997"/>
      <c r="CC158" s="1083"/>
      <c r="DF158" s="43" t="b">
        <f t="shared" si="61"/>
        <v>0</v>
      </c>
      <c r="DG158" s="43" t="str">
        <f t="shared" si="62"/>
        <v/>
      </c>
      <c r="DH158" s="43" t="str">
        <f t="shared" si="63"/>
        <v/>
      </c>
      <c r="DI158" s="43" t="str">
        <f t="shared" si="64"/>
        <v/>
      </c>
      <c r="DJ158" s="43" t="str">
        <f t="shared" si="65"/>
        <v/>
      </c>
      <c r="DK158" s="43" t="e">
        <f t="shared" si="66"/>
        <v>#N/A</v>
      </c>
      <c r="DL158" s="43" t="e">
        <f t="shared" si="67"/>
        <v>#N/A</v>
      </c>
      <c r="DM158" s="43" t="e">
        <f t="shared" si="68"/>
        <v>#N/A</v>
      </c>
      <c r="DN158" s="43" t="e">
        <f t="shared" si="69"/>
        <v>#N/A</v>
      </c>
      <c r="DO158" s="43" t="e">
        <f t="shared" si="70"/>
        <v>#N/A</v>
      </c>
      <c r="DP158" s="43" t="e">
        <f t="shared" si="71"/>
        <v>#N/A</v>
      </c>
      <c r="DQ158" s="43" t="e">
        <f t="shared" si="72"/>
        <v>#N/A</v>
      </c>
      <c r="DR158" s="43" t="e">
        <f t="shared" si="73"/>
        <v>#N/A</v>
      </c>
      <c r="DS158" s="43">
        <f t="shared" si="74"/>
        <v>0</v>
      </c>
      <c r="DT158" s="43">
        <v>148</v>
      </c>
      <c r="DU158" s="43">
        <f t="shared" si="84"/>
        <v>14.084999999999958</v>
      </c>
      <c r="DV158" s="43">
        <f t="shared" si="75"/>
        <v>15.199955203308031</v>
      </c>
      <c r="DW158" s="43">
        <f t="shared" si="76"/>
        <v>0.50376282748959822</v>
      </c>
      <c r="DX158" s="43" t="e">
        <f t="shared" si="77"/>
        <v>#N/A</v>
      </c>
      <c r="DY158" s="50" t="e">
        <f t="shared" si="78"/>
        <v>#N/A</v>
      </c>
      <c r="DZ158" s="50" t="str">
        <f t="shared" si="79"/>
        <v/>
      </c>
      <c r="EA158" s="50">
        <f t="shared" si="80"/>
        <v>1.4602545984239679</v>
      </c>
      <c r="EB158" s="43" t="e">
        <f t="shared" si="81"/>
        <v>#N/A</v>
      </c>
      <c r="EC158" s="50" t="e">
        <f t="shared" si="82"/>
        <v>#N/A</v>
      </c>
      <c r="ED158" s="50" t="str">
        <f t="shared" si="83"/>
        <v/>
      </c>
    </row>
    <row r="159" spans="1:134" ht="12" customHeight="1">
      <c r="A159" s="640">
        <v>147</v>
      </c>
      <c r="B159" s="994"/>
      <c r="C159" s="995"/>
      <c r="D159" s="329"/>
      <c r="E159" s="884"/>
      <c r="F159" s="1027" t="str">
        <f t="shared" si="85"/>
        <v/>
      </c>
      <c r="G159" s="1028" t="str">
        <f t="shared" si="86"/>
        <v/>
      </c>
      <c r="H159" s="886"/>
      <c r="I159" s="458" t="str">
        <f t="shared" si="87"/>
        <v/>
      </c>
      <c r="J159" s="886"/>
      <c r="BA159" s="983">
        <v>153</v>
      </c>
      <c r="BB159" s="994"/>
      <c r="BC159" s="995"/>
      <c r="BD159" s="1083"/>
      <c r="BF159" s="983">
        <v>153</v>
      </c>
      <c r="BG159" s="994"/>
      <c r="BH159" s="995"/>
      <c r="BI159" s="1083"/>
      <c r="BK159" s="983">
        <v>153</v>
      </c>
      <c r="BL159" s="994"/>
      <c r="BM159" s="995"/>
      <c r="BN159" s="1083"/>
      <c r="BP159" s="983">
        <v>153</v>
      </c>
      <c r="BQ159" s="994"/>
      <c r="BR159" s="995"/>
      <c r="BS159" s="1083"/>
      <c r="BU159" s="983">
        <v>153</v>
      </c>
      <c r="BV159" s="996"/>
      <c r="BW159" s="997"/>
      <c r="BX159" s="1083"/>
      <c r="BZ159" s="983">
        <v>153</v>
      </c>
      <c r="CA159" s="996"/>
      <c r="CB159" s="997"/>
      <c r="CC159" s="1083"/>
      <c r="DF159" s="43" t="b">
        <f t="shared" si="61"/>
        <v>0</v>
      </c>
      <c r="DG159" s="43" t="str">
        <f t="shared" si="62"/>
        <v/>
      </c>
      <c r="DH159" s="43" t="str">
        <f t="shared" si="63"/>
        <v/>
      </c>
      <c r="DI159" s="43" t="str">
        <f t="shared" si="64"/>
        <v/>
      </c>
      <c r="DJ159" s="43" t="str">
        <f t="shared" si="65"/>
        <v/>
      </c>
      <c r="DK159" s="43" t="e">
        <f t="shared" si="66"/>
        <v>#N/A</v>
      </c>
      <c r="DL159" s="43" t="e">
        <f t="shared" si="67"/>
        <v>#N/A</v>
      </c>
      <c r="DM159" s="43" t="e">
        <f t="shared" si="68"/>
        <v>#N/A</v>
      </c>
      <c r="DN159" s="43" t="e">
        <f t="shared" si="69"/>
        <v>#N/A</v>
      </c>
      <c r="DO159" s="43" t="e">
        <f t="shared" si="70"/>
        <v>#N/A</v>
      </c>
      <c r="DP159" s="43" t="e">
        <f t="shared" si="71"/>
        <v>#N/A</v>
      </c>
      <c r="DQ159" s="43" t="e">
        <f t="shared" si="72"/>
        <v>#N/A</v>
      </c>
      <c r="DR159" s="43" t="e">
        <f t="shared" si="73"/>
        <v>#N/A</v>
      </c>
      <c r="DS159" s="43">
        <f t="shared" si="74"/>
        <v>0</v>
      </c>
      <c r="DT159" s="43">
        <v>149</v>
      </c>
      <c r="DU159" s="43">
        <f t="shared" si="84"/>
        <v>14.139999999999958</v>
      </c>
      <c r="DV159" s="43">
        <f t="shared" si="75"/>
        <v>15.242825637491352</v>
      </c>
      <c r="DW159" s="43">
        <f t="shared" si="76"/>
        <v>0.5080346867371025</v>
      </c>
      <c r="DX159" s="43" t="e">
        <f t="shared" si="77"/>
        <v>#N/A</v>
      </c>
      <c r="DY159" s="50" t="e">
        <f t="shared" si="78"/>
        <v>#N/A</v>
      </c>
      <c r="DZ159" s="50" t="str">
        <f t="shared" si="79"/>
        <v/>
      </c>
      <c r="EA159" s="50">
        <f t="shared" si="80"/>
        <v>1.4617338159822724</v>
      </c>
      <c r="EB159" s="43" t="e">
        <f t="shared" si="81"/>
        <v>#N/A</v>
      </c>
      <c r="EC159" s="50" t="e">
        <f t="shared" si="82"/>
        <v>#N/A</v>
      </c>
      <c r="ED159" s="50" t="str">
        <f t="shared" si="83"/>
        <v/>
      </c>
    </row>
    <row r="160" spans="1:134" ht="12" customHeight="1">
      <c r="A160" s="640">
        <v>148</v>
      </c>
      <c r="B160" s="994"/>
      <c r="C160" s="995"/>
      <c r="D160" s="329"/>
      <c r="E160" s="884"/>
      <c r="F160" s="1027" t="str">
        <f t="shared" si="85"/>
        <v/>
      </c>
      <c r="G160" s="1028" t="str">
        <f t="shared" si="86"/>
        <v/>
      </c>
      <c r="H160" s="886"/>
      <c r="I160" s="458" t="str">
        <f t="shared" si="87"/>
        <v/>
      </c>
      <c r="J160" s="886"/>
      <c r="BA160" s="983">
        <v>154</v>
      </c>
      <c r="BB160" s="994"/>
      <c r="BC160" s="995"/>
      <c r="BD160" s="1083"/>
      <c r="BF160" s="983">
        <v>154</v>
      </c>
      <c r="BG160" s="994"/>
      <c r="BH160" s="995"/>
      <c r="BI160" s="1083"/>
      <c r="BK160" s="983">
        <v>154</v>
      </c>
      <c r="BL160" s="994"/>
      <c r="BM160" s="995"/>
      <c r="BN160" s="1083"/>
      <c r="BP160" s="983">
        <v>154</v>
      </c>
      <c r="BQ160" s="994"/>
      <c r="BR160" s="995"/>
      <c r="BS160" s="1083"/>
      <c r="BU160" s="983">
        <v>154</v>
      </c>
      <c r="BV160" s="996"/>
      <c r="BW160" s="997"/>
      <c r="BX160" s="1083"/>
      <c r="BZ160" s="983">
        <v>154</v>
      </c>
      <c r="CA160" s="996"/>
      <c r="CB160" s="997"/>
      <c r="CC160" s="1083"/>
      <c r="DF160" s="43" t="b">
        <f t="shared" si="61"/>
        <v>0</v>
      </c>
      <c r="DG160" s="43" t="str">
        <f t="shared" si="62"/>
        <v/>
      </c>
      <c r="DH160" s="43" t="str">
        <f t="shared" si="63"/>
        <v/>
      </c>
      <c r="DI160" s="43" t="str">
        <f t="shared" si="64"/>
        <v/>
      </c>
      <c r="DJ160" s="43" t="str">
        <f t="shared" si="65"/>
        <v/>
      </c>
      <c r="DK160" s="43" t="e">
        <f t="shared" si="66"/>
        <v>#N/A</v>
      </c>
      <c r="DL160" s="43" t="e">
        <f t="shared" si="67"/>
        <v>#N/A</v>
      </c>
      <c r="DM160" s="43" t="e">
        <f t="shared" si="68"/>
        <v>#N/A</v>
      </c>
      <c r="DN160" s="43" t="e">
        <f t="shared" si="69"/>
        <v>#N/A</v>
      </c>
      <c r="DO160" s="43" t="e">
        <f t="shared" si="70"/>
        <v>#N/A</v>
      </c>
      <c r="DP160" s="43" t="e">
        <f t="shared" si="71"/>
        <v>#N/A</v>
      </c>
      <c r="DQ160" s="43" t="e">
        <f t="shared" si="72"/>
        <v>#N/A</v>
      </c>
      <c r="DR160" s="43" t="e">
        <f t="shared" si="73"/>
        <v>#N/A</v>
      </c>
      <c r="DS160" s="43">
        <f t="shared" si="74"/>
        <v>0</v>
      </c>
      <c r="DT160" s="43">
        <v>150</v>
      </c>
      <c r="DU160" s="43">
        <f t="shared" si="84"/>
        <v>14.194999999999958</v>
      </c>
      <c r="DV160" s="43">
        <f t="shared" si="75"/>
        <v>15.285696071674673</v>
      </c>
      <c r="DW160" s="43">
        <f t="shared" si="76"/>
        <v>0.512362657260091</v>
      </c>
      <c r="DX160" s="43" t="e">
        <f t="shared" si="77"/>
        <v>#N/A</v>
      </c>
      <c r="DY160" s="50" t="e">
        <f t="shared" si="78"/>
        <v>#N/A</v>
      </c>
      <c r="DZ160" s="50" t="str">
        <f t="shared" si="79"/>
        <v/>
      </c>
      <c r="EA160" s="50">
        <f t="shared" si="80"/>
        <v>1.4632436565427682</v>
      </c>
      <c r="EB160" s="43" t="e">
        <f t="shared" si="81"/>
        <v>#N/A</v>
      </c>
      <c r="EC160" s="50" t="e">
        <f t="shared" si="82"/>
        <v>#N/A</v>
      </c>
      <c r="ED160" s="50" t="str">
        <f t="shared" si="83"/>
        <v/>
      </c>
    </row>
    <row r="161" spans="1:134" ht="12" customHeight="1">
      <c r="A161" s="640">
        <v>149</v>
      </c>
      <c r="B161" s="994"/>
      <c r="C161" s="995"/>
      <c r="D161" s="329"/>
      <c r="E161" s="884"/>
      <c r="F161" s="1027" t="str">
        <f t="shared" si="85"/>
        <v/>
      </c>
      <c r="G161" s="1028" t="str">
        <f t="shared" si="86"/>
        <v/>
      </c>
      <c r="H161" s="886"/>
      <c r="I161" s="458" t="str">
        <f t="shared" si="87"/>
        <v/>
      </c>
      <c r="J161" s="886"/>
      <c r="BA161" s="983">
        <v>155</v>
      </c>
      <c r="BB161" s="994"/>
      <c r="BC161" s="995"/>
      <c r="BD161" s="1083"/>
      <c r="BF161" s="983">
        <v>155</v>
      </c>
      <c r="BG161" s="994"/>
      <c r="BH161" s="995"/>
      <c r="BI161" s="1083"/>
      <c r="BK161" s="983">
        <v>155</v>
      </c>
      <c r="BL161" s="994"/>
      <c r="BM161" s="995"/>
      <c r="BN161" s="1083"/>
      <c r="BP161" s="983">
        <v>155</v>
      </c>
      <c r="BQ161" s="994"/>
      <c r="BR161" s="995"/>
      <c r="BS161" s="1083"/>
      <c r="BU161" s="983">
        <v>155</v>
      </c>
      <c r="BV161" s="996"/>
      <c r="BW161" s="997"/>
      <c r="BX161" s="1083"/>
      <c r="BZ161" s="983">
        <v>155</v>
      </c>
      <c r="CA161" s="996"/>
      <c r="CB161" s="997"/>
      <c r="CC161" s="1083"/>
      <c r="DF161" s="43" t="b">
        <f t="shared" si="61"/>
        <v>0</v>
      </c>
      <c r="DG161" s="43" t="str">
        <f t="shared" si="62"/>
        <v/>
      </c>
      <c r="DH161" s="43" t="str">
        <f t="shared" si="63"/>
        <v/>
      </c>
      <c r="DI161" s="43" t="str">
        <f t="shared" si="64"/>
        <v/>
      </c>
      <c r="DJ161" s="43" t="str">
        <f t="shared" si="65"/>
        <v/>
      </c>
      <c r="DK161" s="43" t="e">
        <f t="shared" si="66"/>
        <v>#N/A</v>
      </c>
      <c r="DL161" s="43" t="e">
        <f t="shared" si="67"/>
        <v>#N/A</v>
      </c>
      <c r="DM161" s="43" t="e">
        <f t="shared" si="68"/>
        <v>#N/A</v>
      </c>
      <c r="DN161" s="43" t="e">
        <f t="shared" si="69"/>
        <v>#N/A</v>
      </c>
      <c r="DO161" s="43" t="e">
        <f t="shared" si="70"/>
        <v>#N/A</v>
      </c>
      <c r="DP161" s="43" t="e">
        <f t="shared" si="71"/>
        <v>#N/A</v>
      </c>
      <c r="DQ161" s="43" t="e">
        <f t="shared" si="72"/>
        <v>#N/A</v>
      </c>
      <c r="DR161" s="43" t="e">
        <f t="shared" si="73"/>
        <v>#N/A</v>
      </c>
      <c r="DS161" s="43">
        <f t="shared" si="74"/>
        <v>0</v>
      </c>
      <c r="DT161" s="43">
        <v>151</v>
      </c>
      <c r="DU161" s="43">
        <f t="shared" si="84"/>
        <v>14.249999999999957</v>
      </c>
      <c r="DV161" s="43">
        <f t="shared" si="75"/>
        <v>15.328566505857996</v>
      </c>
      <c r="DW161" s="43">
        <f t="shared" si="76"/>
        <v>0.51674532919029037</v>
      </c>
      <c r="DX161" s="43" t="e">
        <f t="shared" si="77"/>
        <v>#N/A</v>
      </c>
      <c r="DY161" s="50" t="e">
        <f t="shared" si="78"/>
        <v>#N/A</v>
      </c>
      <c r="DZ161" s="50" t="str">
        <f t="shared" si="79"/>
        <v/>
      </c>
      <c r="EA161" s="50">
        <f t="shared" si="80"/>
        <v>1.464784025410576</v>
      </c>
      <c r="EB161" s="43" t="e">
        <f t="shared" si="81"/>
        <v>#N/A</v>
      </c>
      <c r="EC161" s="50" t="e">
        <f t="shared" si="82"/>
        <v>#N/A</v>
      </c>
      <c r="ED161" s="50" t="str">
        <f t="shared" si="83"/>
        <v/>
      </c>
    </row>
    <row r="162" spans="1:134" ht="12" customHeight="1">
      <c r="A162" s="640">
        <v>150</v>
      </c>
      <c r="B162" s="994"/>
      <c r="C162" s="995"/>
      <c r="D162" s="329"/>
      <c r="E162" s="884"/>
      <c r="F162" s="1027" t="str">
        <f t="shared" si="85"/>
        <v/>
      </c>
      <c r="G162" s="1028" t="str">
        <f t="shared" si="86"/>
        <v/>
      </c>
      <c r="H162" s="886"/>
      <c r="I162" s="458" t="str">
        <f t="shared" si="87"/>
        <v/>
      </c>
      <c r="J162" s="886"/>
      <c r="BA162" s="983">
        <v>156</v>
      </c>
      <c r="BB162" s="994"/>
      <c r="BC162" s="995"/>
      <c r="BD162" s="1083"/>
      <c r="BF162" s="983">
        <v>156</v>
      </c>
      <c r="BG162" s="994"/>
      <c r="BH162" s="995"/>
      <c r="BI162" s="1083"/>
      <c r="BK162" s="983">
        <v>156</v>
      </c>
      <c r="BL162" s="994"/>
      <c r="BM162" s="995"/>
      <c r="BN162" s="1083"/>
      <c r="BP162" s="983">
        <v>156</v>
      </c>
      <c r="BQ162" s="994"/>
      <c r="BR162" s="995"/>
      <c r="BS162" s="1083"/>
      <c r="BU162" s="983">
        <v>156</v>
      </c>
      <c r="BV162" s="996"/>
      <c r="BW162" s="997"/>
      <c r="BX162" s="1083"/>
      <c r="BZ162" s="983">
        <v>156</v>
      </c>
      <c r="CA162" s="996"/>
      <c r="CB162" s="997"/>
      <c r="CC162" s="1083"/>
      <c r="DF162" s="43" t="b">
        <f t="shared" si="61"/>
        <v>0</v>
      </c>
      <c r="DG162" s="43" t="str">
        <f t="shared" si="62"/>
        <v/>
      </c>
      <c r="DH162" s="43" t="str">
        <f t="shared" si="63"/>
        <v/>
      </c>
      <c r="DI162" s="43" t="str">
        <f t="shared" si="64"/>
        <v/>
      </c>
      <c r="DJ162" s="43" t="str">
        <f t="shared" si="65"/>
        <v/>
      </c>
      <c r="DK162" s="43" t="e">
        <f t="shared" si="66"/>
        <v>#N/A</v>
      </c>
      <c r="DL162" s="43" t="e">
        <f t="shared" si="67"/>
        <v>#N/A</v>
      </c>
      <c r="DM162" s="43" t="e">
        <f t="shared" si="68"/>
        <v>#N/A</v>
      </c>
      <c r="DN162" s="43" t="e">
        <f t="shared" si="69"/>
        <v>#N/A</v>
      </c>
      <c r="DO162" s="43" t="e">
        <f t="shared" si="70"/>
        <v>#N/A</v>
      </c>
      <c r="DP162" s="43" t="e">
        <f t="shared" si="71"/>
        <v>#N/A</v>
      </c>
      <c r="DQ162" s="43" t="e">
        <f t="shared" si="72"/>
        <v>#N/A</v>
      </c>
      <c r="DR162" s="43" t="e">
        <f t="shared" si="73"/>
        <v>#N/A</v>
      </c>
      <c r="DS162" s="43">
        <f t="shared" si="74"/>
        <v>0</v>
      </c>
      <c r="DT162" s="43">
        <v>152</v>
      </c>
      <c r="DU162" s="43">
        <f t="shared" si="84"/>
        <v>14.304999999999957</v>
      </c>
      <c r="DV162" s="43">
        <f t="shared" si="75"/>
        <v>15.371436940041317</v>
      </c>
      <c r="DW162" s="43">
        <f t="shared" si="76"/>
        <v>0.521181322558806</v>
      </c>
      <c r="DX162" s="43" t="e">
        <f t="shared" si="77"/>
        <v>#N/A</v>
      </c>
      <c r="DY162" s="50" t="e">
        <f t="shared" si="78"/>
        <v>#N/A</v>
      </c>
      <c r="DZ162" s="50" t="str">
        <f t="shared" si="79"/>
        <v/>
      </c>
      <c r="EA162" s="50">
        <f t="shared" si="80"/>
        <v>1.4663548263780413</v>
      </c>
      <c r="EB162" s="43" t="e">
        <f t="shared" si="81"/>
        <v>#N/A</v>
      </c>
      <c r="EC162" s="50" t="e">
        <f t="shared" si="82"/>
        <v>#N/A</v>
      </c>
      <c r="ED162" s="50" t="str">
        <f t="shared" si="83"/>
        <v/>
      </c>
    </row>
    <row r="163" spans="1:134" ht="12" customHeight="1">
      <c r="A163" s="640">
        <v>151</v>
      </c>
      <c r="B163" s="994"/>
      <c r="C163" s="995"/>
      <c r="D163" s="329"/>
      <c r="E163" s="884"/>
      <c r="F163" s="1027" t="str">
        <f t="shared" si="85"/>
        <v/>
      </c>
      <c r="G163" s="1028" t="str">
        <f t="shared" si="86"/>
        <v/>
      </c>
      <c r="H163" s="886"/>
      <c r="I163" s="458" t="str">
        <f t="shared" si="87"/>
        <v/>
      </c>
      <c r="J163" s="886"/>
      <c r="BA163" s="983">
        <v>157</v>
      </c>
      <c r="BB163" s="994"/>
      <c r="BC163" s="995"/>
      <c r="BD163" s="1083"/>
      <c r="BF163" s="983">
        <v>157</v>
      </c>
      <c r="BG163" s="994"/>
      <c r="BH163" s="995"/>
      <c r="BI163" s="1083"/>
      <c r="BK163" s="983">
        <v>157</v>
      </c>
      <c r="BL163" s="994"/>
      <c r="BM163" s="995"/>
      <c r="BN163" s="1083"/>
      <c r="BP163" s="983">
        <v>157</v>
      </c>
      <c r="BQ163" s="994"/>
      <c r="BR163" s="995"/>
      <c r="BS163" s="1083"/>
      <c r="BU163" s="983">
        <v>157</v>
      </c>
      <c r="BV163" s="996"/>
      <c r="BW163" s="997"/>
      <c r="BX163" s="1083"/>
      <c r="BZ163" s="983">
        <v>157</v>
      </c>
      <c r="CA163" s="996"/>
      <c r="CB163" s="997"/>
      <c r="CC163" s="1083"/>
      <c r="DF163" s="43" t="b">
        <f t="shared" si="61"/>
        <v>0</v>
      </c>
      <c r="DG163" s="43" t="str">
        <f t="shared" si="62"/>
        <v/>
      </c>
      <c r="DH163" s="43" t="str">
        <f t="shared" si="63"/>
        <v/>
      </c>
      <c r="DI163" s="43" t="str">
        <f t="shared" si="64"/>
        <v/>
      </c>
      <c r="DJ163" s="43" t="str">
        <f t="shared" si="65"/>
        <v/>
      </c>
      <c r="DK163" s="43" t="e">
        <f t="shared" si="66"/>
        <v>#N/A</v>
      </c>
      <c r="DL163" s="43" t="e">
        <f t="shared" si="67"/>
        <v>#N/A</v>
      </c>
      <c r="DM163" s="43" t="e">
        <f t="shared" si="68"/>
        <v>#N/A</v>
      </c>
      <c r="DN163" s="43" t="e">
        <f t="shared" si="69"/>
        <v>#N/A</v>
      </c>
      <c r="DO163" s="43" t="e">
        <f t="shared" si="70"/>
        <v>#N/A</v>
      </c>
      <c r="DP163" s="43" t="e">
        <f t="shared" si="71"/>
        <v>#N/A</v>
      </c>
      <c r="DQ163" s="43" t="e">
        <f t="shared" si="72"/>
        <v>#N/A</v>
      </c>
      <c r="DR163" s="43" t="e">
        <f t="shared" si="73"/>
        <v>#N/A</v>
      </c>
      <c r="DS163" s="43">
        <f t="shared" si="74"/>
        <v>0</v>
      </c>
      <c r="DT163" s="43">
        <v>153</v>
      </c>
      <c r="DU163" s="43">
        <f t="shared" si="84"/>
        <v>14.359999999999957</v>
      </c>
      <c r="DV163" s="43">
        <f t="shared" si="75"/>
        <v>15.414307374224638</v>
      </c>
      <c r="DW163" s="43">
        <f t="shared" si="76"/>
        <v>0.52566928746800023</v>
      </c>
      <c r="DX163" s="43" t="e">
        <f t="shared" si="77"/>
        <v>#N/A</v>
      </c>
      <c r="DY163" s="50" t="e">
        <f t="shared" si="78"/>
        <v>#N/A</v>
      </c>
      <c r="DZ163" s="50" t="str">
        <f t="shared" si="79"/>
        <v/>
      </c>
      <c r="EA163" s="50">
        <f t="shared" si="80"/>
        <v>1.467955961752649</v>
      </c>
      <c r="EB163" s="43" t="e">
        <f t="shared" si="81"/>
        <v>#N/A</v>
      </c>
      <c r="EC163" s="50" t="e">
        <f t="shared" si="82"/>
        <v>#N/A</v>
      </c>
      <c r="ED163" s="50" t="str">
        <f t="shared" si="83"/>
        <v/>
      </c>
    </row>
    <row r="164" spans="1:134" ht="12" customHeight="1">
      <c r="A164" s="640">
        <v>152</v>
      </c>
      <c r="B164" s="994"/>
      <c r="C164" s="995"/>
      <c r="D164" s="329"/>
      <c r="E164" s="884"/>
      <c r="F164" s="1027" t="str">
        <f t="shared" si="85"/>
        <v/>
      </c>
      <c r="G164" s="1028" t="str">
        <f t="shared" si="86"/>
        <v/>
      </c>
      <c r="H164" s="886"/>
      <c r="I164" s="458" t="str">
        <f t="shared" si="87"/>
        <v/>
      </c>
      <c r="J164" s="886"/>
      <c r="BA164" s="983">
        <v>158</v>
      </c>
      <c r="BB164" s="994"/>
      <c r="BC164" s="995"/>
      <c r="BD164" s="1083"/>
      <c r="BF164" s="983">
        <v>158</v>
      </c>
      <c r="BG164" s="994"/>
      <c r="BH164" s="995"/>
      <c r="BI164" s="1083"/>
      <c r="BK164" s="983">
        <v>158</v>
      </c>
      <c r="BL164" s="994"/>
      <c r="BM164" s="995"/>
      <c r="BN164" s="1083"/>
      <c r="BP164" s="983">
        <v>158</v>
      </c>
      <c r="BQ164" s="994"/>
      <c r="BR164" s="995"/>
      <c r="BS164" s="1083"/>
      <c r="BU164" s="983">
        <v>158</v>
      </c>
      <c r="BV164" s="996"/>
      <c r="BW164" s="997"/>
      <c r="BX164" s="1083"/>
      <c r="BZ164" s="983">
        <v>158</v>
      </c>
      <c r="CA164" s="996"/>
      <c r="CB164" s="997"/>
      <c r="CC164" s="1083"/>
      <c r="DF164" s="43" t="b">
        <f t="shared" si="61"/>
        <v>0</v>
      </c>
      <c r="DG164" s="43" t="str">
        <f t="shared" si="62"/>
        <v/>
      </c>
      <c r="DH164" s="43" t="str">
        <f t="shared" si="63"/>
        <v/>
      </c>
      <c r="DI164" s="43" t="str">
        <f t="shared" si="64"/>
        <v/>
      </c>
      <c r="DJ164" s="43" t="str">
        <f t="shared" si="65"/>
        <v/>
      </c>
      <c r="DK164" s="43" t="e">
        <f t="shared" si="66"/>
        <v>#N/A</v>
      </c>
      <c r="DL164" s="43" t="e">
        <f t="shared" si="67"/>
        <v>#N/A</v>
      </c>
      <c r="DM164" s="43" t="e">
        <f t="shared" si="68"/>
        <v>#N/A</v>
      </c>
      <c r="DN164" s="43" t="e">
        <f t="shared" si="69"/>
        <v>#N/A</v>
      </c>
      <c r="DO164" s="43" t="e">
        <f t="shared" si="70"/>
        <v>#N/A</v>
      </c>
      <c r="DP164" s="43" t="e">
        <f t="shared" si="71"/>
        <v>#N/A</v>
      </c>
      <c r="DQ164" s="43" t="e">
        <f t="shared" si="72"/>
        <v>#N/A</v>
      </c>
      <c r="DR164" s="43" t="e">
        <f t="shared" si="73"/>
        <v>#N/A</v>
      </c>
      <c r="DS164" s="43">
        <f t="shared" si="74"/>
        <v>0</v>
      </c>
      <c r="DT164" s="43">
        <v>154</v>
      </c>
      <c r="DU164" s="43">
        <f t="shared" si="84"/>
        <v>14.414999999999957</v>
      </c>
      <c r="DV164" s="43">
        <f t="shared" si="75"/>
        <v>15.457177808407961</v>
      </c>
      <c r="DW164" s="43">
        <f t="shared" si="76"/>
        <v>0.53020790417428576</v>
      </c>
      <c r="DX164" s="43" t="e">
        <f t="shared" si="77"/>
        <v>#N/A</v>
      </c>
      <c r="DY164" s="50" t="e">
        <f t="shared" si="78"/>
        <v>#N/A</v>
      </c>
      <c r="DZ164" s="50" t="str">
        <f t="shared" si="79"/>
        <v/>
      </c>
      <c r="EA164" s="50">
        <f t="shared" si="80"/>
        <v>1.4695873323851558</v>
      </c>
      <c r="EB164" s="43" t="e">
        <f t="shared" si="81"/>
        <v>#N/A</v>
      </c>
      <c r="EC164" s="50" t="e">
        <f t="shared" si="82"/>
        <v>#N/A</v>
      </c>
      <c r="ED164" s="50" t="str">
        <f t="shared" si="83"/>
        <v/>
      </c>
    </row>
    <row r="165" spans="1:134" ht="12" customHeight="1">
      <c r="A165" s="640">
        <v>153</v>
      </c>
      <c r="B165" s="994"/>
      <c r="C165" s="995"/>
      <c r="D165" s="329"/>
      <c r="E165" s="884"/>
      <c r="F165" s="1027" t="str">
        <f t="shared" si="85"/>
        <v/>
      </c>
      <c r="G165" s="1028" t="str">
        <f t="shared" si="86"/>
        <v/>
      </c>
      <c r="H165" s="886"/>
      <c r="I165" s="458" t="str">
        <f t="shared" si="87"/>
        <v/>
      </c>
      <c r="J165" s="886"/>
      <c r="BA165" s="983">
        <v>159</v>
      </c>
      <c r="BB165" s="994"/>
      <c r="BC165" s="995"/>
      <c r="BD165" s="1083"/>
      <c r="BF165" s="983">
        <v>159</v>
      </c>
      <c r="BG165" s="994"/>
      <c r="BH165" s="995"/>
      <c r="BI165" s="1083"/>
      <c r="BK165" s="983">
        <v>159</v>
      </c>
      <c r="BL165" s="994"/>
      <c r="BM165" s="995"/>
      <c r="BN165" s="1083"/>
      <c r="BP165" s="983">
        <v>159</v>
      </c>
      <c r="BQ165" s="994"/>
      <c r="BR165" s="995"/>
      <c r="BS165" s="1083"/>
      <c r="BU165" s="983">
        <v>159</v>
      </c>
      <c r="BV165" s="996"/>
      <c r="BW165" s="997"/>
      <c r="BX165" s="1083"/>
      <c r="BZ165" s="983">
        <v>159</v>
      </c>
      <c r="CA165" s="996"/>
      <c r="CB165" s="997"/>
      <c r="CC165" s="1083"/>
      <c r="DF165" s="43" t="b">
        <f t="shared" si="61"/>
        <v>0</v>
      </c>
      <c r="DG165" s="43" t="str">
        <f t="shared" si="62"/>
        <v/>
      </c>
      <c r="DH165" s="43" t="str">
        <f t="shared" si="63"/>
        <v/>
      </c>
      <c r="DI165" s="43" t="str">
        <f t="shared" si="64"/>
        <v/>
      </c>
      <c r="DJ165" s="43" t="str">
        <f t="shared" si="65"/>
        <v/>
      </c>
      <c r="DK165" s="43" t="e">
        <f t="shared" si="66"/>
        <v>#N/A</v>
      </c>
      <c r="DL165" s="43" t="e">
        <f t="shared" si="67"/>
        <v>#N/A</v>
      </c>
      <c r="DM165" s="43" t="e">
        <f t="shared" si="68"/>
        <v>#N/A</v>
      </c>
      <c r="DN165" s="43" t="e">
        <f t="shared" si="69"/>
        <v>#N/A</v>
      </c>
      <c r="DO165" s="43" t="e">
        <f t="shared" si="70"/>
        <v>#N/A</v>
      </c>
      <c r="DP165" s="43" t="e">
        <f t="shared" si="71"/>
        <v>#N/A</v>
      </c>
      <c r="DQ165" s="43" t="e">
        <f t="shared" si="72"/>
        <v>#N/A</v>
      </c>
      <c r="DR165" s="43" t="e">
        <f t="shared" si="73"/>
        <v>#N/A</v>
      </c>
      <c r="DS165" s="43">
        <f t="shared" si="74"/>
        <v>0</v>
      </c>
      <c r="DT165" s="43">
        <v>155</v>
      </c>
      <c r="DU165" s="43">
        <f t="shared" si="84"/>
        <v>14.469999999999956</v>
      </c>
      <c r="DV165" s="43">
        <f t="shared" si="75"/>
        <v>15.500048242591282</v>
      </c>
      <c r="DW165" s="43">
        <f t="shared" si="76"/>
        <v>0.53479588308948911</v>
      </c>
      <c r="DX165" s="43" t="e">
        <f t="shared" si="77"/>
        <v>#N/A</v>
      </c>
      <c r="DY165" s="50" t="e">
        <f t="shared" si="78"/>
        <v>#N/A</v>
      </c>
      <c r="DZ165" s="50" t="str">
        <f t="shared" si="79"/>
        <v/>
      </c>
      <c r="EA165" s="50">
        <f t="shared" si="80"/>
        <v>1.4712488376979251</v>
      </c>
      <c r="EB165" s="43" t="e">
        <f t="shared" si="81"/>
        <v>#N/A</v>
      </c>
      <c r="EC165" s="50" t="e">
        <f t="shared" si="82"/>
        <v>#N/A</v>
      </c>
      <c r="ED165" s="50" t="str">
        <f t="shared" si="83"/>
        <v/>
      </c>
    </row>
    <row r="166" spans="1:134" ht="12" customHeight="1">
      <c r="A166" s="640">
        <v>154</v>
      </c>
      <c r="B166" s="994"/>
      <c r="C166" s="995"/>
      <c r="D166" s="329"/>
      <c r="E166" s="884"/>
      <c r="F166" s="1027" t="str">
        <f t="shared" si="85"/>
        <v/>
      </c>
      <c r="G166" s="1028" t="str">
        <f t="shared" si="86"/>
        <v/>
      </c>
      <c r="H166" s="886"/>
      <c r="I166" s="458" t="str">
        <f t="shared" si="87"/>
        <v/>
      </c>
      <c r="J166" s="886"/>
      <c r="BA166" s="983">
        <v>160</v>
      </c>
      <c r="BB166" s="994"/>
      <c r="BC166" s="995"/>
      <c r="BD166" s="1083"/>
      <c r="BF166" s="983">
        <v>160</v>
      </c>
      <c r="BG166" s="994"/>
      <c r="BH166" s="995"/>
      <c r="BI166" s="1083"/>
      <c r="BK166" s="983">
        <v>160</v>
      </c>
      <c r="BL166" s="994"/>
      <c r="BM166" s="995"/>
      <c r="BN166" s="1083"/>
      <c r="BP166" s="983">
        <v>160</v>
      </c>
      <c r="BQ166" s="994"/>
      <c r="BR166" s="995"/>
      <c r="BS166" s="1083"/>
      <c r="BU166" s="983">
        <v>160</v>
      </c>
      <c r="BV166" s="996"/>
      <c r="BW166" s="997"/>
      <c r="BX166" s="1083"/>
      <c r="BZ166" s="983">
        <v>160</v>
      </c>
      <c r="CA166" s="996"/>
      <c r="CB166" s="997"/>
      <c r="CC166" s="1083"/>
      <c r="DF166" s="43" t="b">
        <f t="shared" si="61"/>
        <v>0</v>
      </c>
      <c r="DG166" s="43" t="str">
        <f t="shared" si="62"/>
        <v/>
      </c>
      <c r="DH166" s="43" t="str">
        <f t="shared" si="63"/>
        <v/>
      </c>
      <c r="DI166" s="43" t="str">
        <f t="shared" si="64"/>
        <v/>
      </c>
      <c r="DJ166" s="43" t="str">
        <f t="shared" si="65"/>
        <v/>
      </c>
      <c r="DK166" s="43" t="e">
        <f t="shared" si="66"/>
        <v>#N/A</v>
      </c>
      <c r="DL166" s="43" t="e">
        <f t="shared" si="67"/>
        <v>#N/A</v>
      </c>
      <c r="DM166" s="43" t="e">
        <f t="shared" si="68"/>
        <v>#N/A</v>
      </c>
      <c r="DN166" s="43" t="e">
        <f t="shared" si="69"/>
        <v>#N/A</v>
      </c>
      <c r="DO166" s="43" t="e">
        <f t="shared" si="70"/>
        <v>#N/A</v>
      </c>
      <c r="DP166" s="43" t="e">
        <f t="shared" si="71"/>
        <v>#N/A</v>
      </c>
      <c r="DQ166" s="43" t="e">
        <f t="shared" si="72"/>
        <v>#N/A</v>
      </c>
      <c r="DR166" s="43" t="e">
        <f t="shared" si="73"/>
        <v>#N/A</v>
      </c>
      <c r="DS166" s="43">
        <f t="shared" si="74"/>
        <v>0</v>
      </c>
      <c r="DT166" s="43">
        <v>156</v>
      </c>
      <c r="DU166" s="43">
        <f t="shared" si="84"/>
        <v>14.524999999999956</v>
      </c>
      <c r="DV166" s="43">
        <f t="shared" si="75"/>
        <v>15.542918676774603</v>
      </c>
      <c r="DW166" s="43">
        <f t="shared" si="76"/>
        <v>0.53943196470810761</v>
      </c>
      <c r="DX166" s="43" t="e">
        <f t="shared" si="77"/>
        <v>#N/A</v>
      </c>
      <c r="DY166" s="50" t="e">
        <f t="shared" si="78"/>
        <v>#N/A</v>
      </c>
      <c r="DZ166" s="50" t="str">
        <f t="shared" si="79"/>
        <v/>
      </c>
      <c r="EA166" s="50">
        <f t="shared" si="80"/>
        <v>1.4729403757134498</v>
      </c>
      <c r="EB166" s="43" t="e">
        <f t="shared" si="81"/>
        <v>#N/A</v>
      </c>
      <c r="EC166" s="50" t="e">
        <f t="shared" si="82"/>
        <v>#N/A</v>
      </c>
      <c r="ED166" s="50" t="str">
        <f t="shared" si="83"/>
        <v/>
      </c>
    </row>
    <row r="167" spans="1:134" ht="12" customHeight="1">
      <c r="A167" s="640">
        <v>155</v>
      </c>
      <c r="B167" s="994"/>
      <c r="C167" s="995"/>
      <c r="D167" s="329"/>
      <c r="E167" s="884"/>
      <c r="F167" s="1027" t="str">
        <f t="shared" si="85"/>
        <v/>
      </c>
      <c r="G167" s="1028" t="str">
        <f t="shared" si="86"/>
        <v/>
      </c>
      <c r="H167" s="886"/>
      <c r="I167" s="458" t="str">
        <f t="shared" si="87"/>
        <v/>
      </c>
      <c r="J167" s="886"/>
      <c r="BA167" s="983">
        <v>161</v>
      </c>
      <c r="BB167" s="994"/>
      <c r="BC167" s="995"/>
      <c r="BD167" s="1083"/>
      <c r="BF167" s="983">
        <v>161</v>
      </c>
      <c r="BG167" s="994"/>
      <c r="BH167" s="995"/>
      <c r="BI167" s="1083"/>
      <c r="BK167" s="983">
        <v>161</v>
      </c>
      <c r="BL167" s="994"/>
      <c r="BM167" s="995"/>
      <c r="BN167" s="1083"/>
      <c r="BP167" s="983">
        <v>161</v>
      </c>
      <c r="BQ167" s="994"/>
      <c r="BR167" s="995"/>
      <c r="BS167" s="1083"/>
      <c r="BU167" s="983">
        <v>161</v>
      </c>
      <c r="BV167" s="996"/>
      <c r="BW167" s="997"/>
      <c r="BX167" s="1083"/>
      <c r="BZ167" s="983">
        <v>161</v>
      </c>
      <c r="CA167" s="996"/>
      <c r="CB167" s="997"/>
      <c r="CC167" s="1083"/>
      <c r="DF167" s="43" t="b">
        <f t="shared" si="61"/>
        <v>0</v>
      </c>
      <c r="DG167" s="43" t="str">
        <f t="shared" si="62"/>
        <v/>
      </c>
      <c r="DH167" s="43" t="str">
        <f t="shared" si="63"/>
        <v/>
      </c>
      <c r="DI167" s="43" t="str">
        <f t="shared" si="64"/>
        <v/>
      </c>
      <c r="DJ167" s="43" t="str">
        <f t="shared" si="65"/>
        <v/>
      </c>
      <c r="DK167" s="43" t="e">
        <f t="shared" si="66"/>
        <v>#N/A</v>
      </c>
      <c r="DL167" s="43" t="e">
        <f t="shared" si="67"/>
        <v>#N/A</v>
      </c>
      <c r="DM167" s="43" t="e">
        <f t="shared" si="68"/>
        <v>#N/A</v>
      </c>
      <c r="DN167" s="43" t="e">
        <f t="shared" si="69"/>
        <v>#N/A</v>
      </c>
      <c r="DO167" s="43" t="e">
        <f t="shared" si="70"/>
        <v>#N/A</v>
      </c>
      <c r="DP167" s="43" t="e">
        <f t="shared" si="71"/>
        <v>#N/A</v>
      </c>
      <c r="DQ167" s="43" t="e">
        <f t="shared" si="72"/>
        <v>#N/A</v>
      </c>
      <c r="DR167" s="43" t="e">
        <f t="shared" si="73"/>
        <v>#N/A</v>
      </c>
      <c r="DS167" s="43">
        <f t="shared" si="74"/>
        <v>0</v>
      </c>
      <c r="DT167" s="43">
        <v>157</v>
      </c>
      <c r="DU167" s="43">
        <f t="shared" si="84"/>
        <v>14.579999999999956</v>
      </c>
      <c r="DV167" s="43">
        <f t="shared" si="75"/>
        <v>15.585789110957924</v>
      </c>
      <c r="DW167" s="43">
        <f t="shared" si="76"/>
        <v>0.54411491946741908</v>
      </c>
      <c r="DX167" s="43" t="e">
        <f t="shared" si="77"/>
        <v>#N/A</v>
      </c>
      <c r="DY167" s="50" t="e">
        <f t="shared" si="78"/>
        <v>#N/A</v>
      </c>
      <c r="DZ167" s="50" t="str">
        <f t="shared" si="79"/>
        <v/>
      </c>
      <c r="EA167" s="50">
        <f t="shared" si="80"/>
        <v>1.4746618430830392</v>
      </c>
      <c r="EB167" s="43" t="e">
        <f t="shared" si="81"/>
        <v>#N/A</v>
      </c>
      <c r="EC167" s="50" t="e">
        <f t="shared" si="82"/>
        <v>#N/A</v>
      </c>
      <c r="ED167" s="50" t="str">
        <f t="shared" si="83"/>
        <v/>
      </c>
    </row>
    <row r="168" spans="1:134" ht="12" customHeight="1">
      <c r="A168" s="640">
        <v>156</v>
      </c>
      <c r="B168" s="994"/>
      <c r="C168" s="995"/>
      <c r="D168" s="329"/>
      <c r="E168" s="884"/>
      <c r="F168" s="1027" t="str">
        <f t="shared" si="85"/>
        <v/>
      </c>
      <c r="G168" s="1028" t="str">
        <f t="shared" si="86"/>
        <v/>
      </c>
      <c r="H168" s="886"/>
      <c r="I168" s="458" t="str">
        <f t="shared" si="87"/>
        <v/>
      </c>
      <c r="J168" s="886"/>
      <c r="BA168" s="983">
        <v>162</v>
      </c>
      <c r="BB168" s="994"/>
      <c r="BC168" s="995"/>
      <c r="BD168" s="1083"/>
      <c r="BF168" s="983">
        <v>162</v>
      </c>
      <c r="BG168" s="994"/>
      <c r="BH168" s="995"/>
      <c r="BI168" s="1083"/>
      <c r="BK168" s="983">
        <v>162</v>
      </c>
      <c r="BL168" s="994"/>
      <c r="BM168" s="995"/>
      <c r="BN168" s="1083"/>
      <c r="BP168" s="983">
        <v>162</v>
      </c>
      <c r="BQ168" s="994"/>
      <c r="BR168" s="995"/>
      <c r="BS168" s="1083"/>
      <c r="BU168" s="983">
        <v>162</v>
      </c>
      <c r="BV168" s="996"/>
      <c r="BW168" s="997"/>
      <c r="BX168" s="1083"/>
      <c r="BZ168" s="983">
        <v>162</v>
      </c>
      <c r="CA168" s="996"/>
      <c r="CB168" s="997"/>
      <c r="CC168" s="1083"/>
      <c r="DF168" s="43" t="b">
        <f t="shared" si="61"/>
        <v>0</v>
      </c>
      <c r="DG168" s="43" t="str">
        <f t="shared" si="62"/>
        <v/>
      </c>
      <c r="DH168" s="43" t="str">
        <f t="shared" si="63"/>
        <v/>
      </c>
      <c r="DI168" s="43" t="str">
        <f t="shared" si="64"/>
        <v/>
      </c>
      <c r="DJ168" s="43" t="str">
        <f t="shared" si="65"/>
        <v/>
      </c>
      <c r="DK168" s="43" t="e">
        <f t="shared" si="66"/>
        <v>#N/A</v>
      </c>
      <c r="DL168" s="43" t="e">
        <f t="shared" si="67"/>
        <v>#N/A</v>
      </c>
      <c r="DM168" s="43" t="e">
        <f t="shared" si="68"/>
        <v>#N/A</v>
      </c>
      <c r="DN168" s="43" t="e">
        <f t="shared" si="69"/>
        <v>#N/A</v>
      </c>
      <c r="DO168" s="43" t="e">
        <f t="shared" si="70"/>
        <v>#N/A</v>
      </c>
      <c r="DP168" s="43" t="e">
        <f t="shared" si="71"/>
        <v>#N/A</v>
      </c>
      <c r="DQ168" s="43" t="e">
        <f t="shared" si="72"/>
        <v>#N/A</v>
      </c>
      <c r="DR168" s="43" t="e">
        <f t="shared" si="73"/>
        <v>#N/A</v>
      </c>
      <c r="DS168" s="43">
        <f t="shared" si="74"/>
        <v>0</v>
      </c>
      <c r="DT168" s="43">
        <v>158</v>
      </c>
      <c r="DU168" s="43">
        <f t="shared" si="84"/>
        <v>14.634999999999955</v>
      </c>
      <c r="DV168" s="43">
        <f t="shared" si="75"/>
        <v>15.628659545141247</v>
      </c>
      <c r="DW168" s="43">
        <f t="shared" si="76"/>
        <v>0.54884354754704678</v>
      </c>
      <c r="DX168" s="43" t="e">
        <f t="shared" si="77"/>
        <v>#N/A</v>
      </c>
      <c r="DY168" s="50" t="e">
        <f t="shared" si="78"/>
        <v>#N/A</v>
      </c>
      <c r="DZ168" s="50" t="str">
        <f t="shared" si="79"/>
        <v/>
      </c>
      <c r="EA168" s="50">
        <f t="shared" si="80"/>
        <v>1.4764131351156613</v>
      </c>
      <c r="EB168" s="43" t="e">
        <f t="shared" si="81"/>
        <v>#N/A</v>
      </c>
      <c r="EC168" s="50" t="e">
        <f t="shared" si="82"/>
        <v>#N/A</v>
      </c>
      <c r="ED168" s="50" t="str">
        <f t="shared" si="83"/>
        <v/>
      </c>
    </row>
    <row r="169" spans="1:134" ht="12" customHeight="1">
      <c r="A169" s="640">
        <v>157</v>
      </c>
      <c r="B169" s="994"/>
      <c r="C169" s="995"/>
      <c r="D169" s="329"/>
      <c r="E169" s="884"/>
      <c r="F169" s="1027" t="str">
        <f t="shared" si="85"/>
        <v/>
      </c>
      <c r="G169" s="1028" t="str">
        <f t="shared" si="86"/>
        <v/>
      </c>
      <c r="H169" s="886"/>
      <c r="I169" s="458" t="str">
        <f t="shared" si="87"/>
        <v/>
      </c>
      <c r="J169" s="886"/>
      <c r="BA169" s="983">
        <v>163</v>
      </c>
      <c r="BB169" s="994"/>
      <c r="BC169" s="995"/>
      <c r="BD169" s="1083"/>
      <c r="BF169" s="983">
        <v>163</v>
      </c>
      <c r="BG169" s="994"/>
      <c r="BH169" s="995"/>
      <c r="BI169" s="1083"/>
      <c r="BK169" s="983">
        <v>163</v>
      </c>
      <c r="BL169" s="994"/>
      <c r="BM169" s="995"/>
      <c r="BN169" s="1083"/>
      <c r="BP169" s="983">
        <v>163</v>
      </c>
      <c r="BQ169" s="994"/>
      <c r="BR169" s="995"/>
      <c r="BS169" s="1083"/>
      <c r="BU169" s="983">
        <v>163</v>
      </c>
      <c r="BV169" s="996"/>
      <c r="BW169" s="997"/>
      <c r="BX169" s="1083"/>
      <c r="BZ169" s="983">
        <v>163</v>
      </c>
      <c r="CA169" s="996"/>
      <c r="CB169" s="997"/>
      <c r="CC169" s="1083"/>
      <c r="DF169" s="43" t="b">
        <f t="shared" si="61"/>
        <v>0</v>
      </c>
      <c r="DG169" s="43" t="str">
        <f t="shared" si="62"/>
        <v/>
      </c>
      <c r="DH169" s="43" t="str">
        <f t="shared" si="63"/>
        <v/>
      </c>
      <c r="DI169" s="43" t="str">
        <f t="shared" si="64"/>
        <v/>
      </c>
      <c r="DJ169" s="43" t="str">
        <f t="shared" si="65"/>
        <v/>
      </c>
      <c r="DK169" s="43" t="e">
        <f t="shared" si="66"/>
        <v>#N/A</v>
      </c>
      <c r="DL169" s="43" t="e">
        <f t="shared" si="67"/>
        <v>#N/A</v>
      </c>
      <c r="DM169" s="43" t="e">
        <f t="shared" si="68"/>
        <v>#N/A</v>
      </c>
      <c r="DN169" s="43" t="e">
        <f t="shared" si="69"/>
        <v>#N/A</v>
      </c>
      <c r="DO169" s="43" t="e">
        <f t="shared" si="70"/>
        <v>#N/A</v>
      </c>
      <c r="DP169" s="43" t="e">
        <f t="shared" si="71"/>
        <v>#N/A</v>
      </c>
      <c r="DQ169" s="43" t="e">
        <f t="shared" si="72"/>
        <v>#N/A</v>
      </c>
      <c r="DR169" s="43" t="e">
        <f t="shared" si="73"/>
        <v>#N/A</v>
      </c>
      <c r="DS169" s="43">
        <f t="shared" si="74"/>
        <v>0</v>
      </c>
      <c r="DT169" s="43">
        <v>159</v>
      </c>
      <c r="DU169" s="43">
        <f t="shared" si="84"/>
        <v>14.689999999999955</v>
      </c>
      <c r="DV169" s="43">
        <f t="shared" si="75"/>
        <v>15.671529979324568</v>
      </c>
      <c r="DW169" s="43">
        <f t="shared" si="76"/>
        <v>0.55361667861420438</v>
      </c>
      <c r="DX169" s="43" t="e">
        <f t="shared" si="77"/>
        <v>#N/A</v>
      </c>
      <c r="DY169" s="50" t="e">
        <f t="shared" si="78"/>
        <v>#N/A</v>
      </c>
      <c r="DZ169" s="50" t="str">
        <f t="shared" si="79"/>
        <v/>
      </c>
      <c r="EA169" s="50">
        <f t="shared" si="80"/>
        <v>1.478194145806921</v>
      </c>
      <c r="EB169" s="43" t="e">
        <f t="shared" si="81"/>
        <v>#N/A</v>
      </c>
      <c r="EC169" s="50" t="e">
        <f t="shared" si="82"/>
        <v>#N/A</v>
      </c>
      <c r="ED169" s="50" t="str">
        <f t="shared" si="83"/>
        <v/>
      </c>
    </row>
    <row r="170" spans="1:134" ht="12" customHeight="1">
      <c r="A170" s="640">
        <v>158</v>
      </c>
      <c r="B170" s="994"/>
      <c r="C170" s="995"/>
      <c r="D170" s="329"/>
      <c r="E170" s="884"/>
      <c r="F170" s="1027" t="str">
        <f t="shared" si="85"/>
        <v/>
      </c>
      <c r="G170" s="1028" t="str">
        <f t="shared" si="86"/>
        <v/>
      </c>
      <c r="H170" s="886"/>
      <c r="I170" s="458" t="str">
        <f t="shared" si="87"/>
        <v/>
      </c>
      <c r="J170" s="886"/>
      <c r="BA170" s="983">
        <v>164</v>
      </c>
      <c r="BB170" s="994"/>
      <c r="BC170" s="995"/>
      <c r="BD170" s="1083"/>
      <c r="BF170" s="983">
        <v>164</v>
      </c>
      <c r="BG170" s="994"/>
      <c r="BH170" s="995"/>
      <c r="BI170" s="1083"/>
      <c r="BK170" s="983">
        <v>164</v>
      </c>
      <c r="BL170" s="994"/>
      <c r="BM170" s="995"/>
      <c r="BN170" s="1083"/>
      <c r="BP170" s="983">
        <v>164</v>
      </c>
      <c r="BQ170" s="994"/>
      <c r="BR170" s="995"/>
      <c r="BS170" s="1083"/>
      <c r="BU170" s="983">
        <v>164</v>
      </c>
      <c r="BV170" s="996"/>
      <c r="BW170" s="997"/>
      <c r="BX170" s="1083"/>
      <c r="BZ170" s="983">
        <v>164</v>
      </c>
      <c r="CA170" s="996"/>
      <c r="CB170" s="997"/>
      <c r="CC170" s="1083"/>
      <c r="DF170" s="43" t="b">
        <f t="shared" si="61"/>
        <v>0</v>
      </c>
      <c r="DG170" s="43" t="str">
        <f t="shared" si="62"/>
        <v/>
      </c>
      <c r="DH170" s="43" t="str">
        <f t="shared" si="63"/>
        <v/>
      </c>
      <c r="DI170" s="43" t="str">
        <f t="shared" si="64"/>
        <v/>
      </c>
      <c r="DJ170" s="43" t="str">
        <f t="shared" si="65"/>
        <v/>
      </c>
      <c r="DK170" s="43" t="e">
        <f t="shared" si="66"/>
        <v>#N/A</v>
      </c>
      <c r="DL170" s="43" t="e">
        <f t="shared" si="67"/>
        <v>#N/A</v>
      </c>
      <c r="DM170" s="43" t="e">
        <f t="shared" si="68"/>
        <v>#N/A</v>
      </c>
      <c r="DN170" s="43" t="e">
        <f t="shared" si="69"/>
        <v>#N/A</v>
      </c>
      <c r="DO170" s="43" t="e">
        <f t="shared" si="70"/>
        <v>#N/A</v>
      </c>
      <c r="DP170" s="43" t="e">
        <f t="shared" si="71"/>
        <v>#N/A</v>
      </c>
      <c r="DQ170" s="43" t="e">
        <f t="shared" si="72"/>
        <v>#N/A</v>
      </c>
      <c r="DR170" s="43" t="e">
        <f t="shared" si="73"/>
        <v>#N/A</v>
      </c>
      <c r="DS170" s="43">
        <f t="shared" si="74"/>
        <v>0</v>
      </c>
      <c r="DT170" s="43">
        <v>160</v>
      </c>
      <c r="DU170" s="43">
        <f t="shared" si="84"/>
        <v>14.744999999999955</v>
      </c>
      <c r="DV170" s="43">
        <f t="shared" si="75"/>
        <v>15.714400413507889</v>
      </c>
      <c r="DW170" s="43">
        <f t="shared" si="76"/>
        <v>0.55843317152048155</v>
      </c>
      <c r="DX170" s="43" t="e">
        <f t="shared" si="77"/>
        <v>#N/A</v>
      </c>
      <c r="DY170" s="50" t="e">
        <f t="shared" si="78"/>
        <v>#N/A</v>
      </c>
      <c r="DZ170" s="50" t="str">
        <f t="shared" si="79"/>
        <v/>
      </c>
      <c r="EA170" s="50">
        <f t="shared" si="80"/>
        <v>1.4800047678681487</v>
      </c>
      <c r="EB170" s="43" t="e">
        <f t="shared" si="81"/>
        <v>#N/A</v>
      </c>
      <c r="EC170" s="50" t="e">
        <f t="shared" si="82"/>
        <v>#N/A</v>
      </c>
      <c r="ED170" s="50" t="str">
        <f t="shared" si="83"/>
        <v/>
      </c>
    </row>
    <row r="171" spans="1:134" ht="12" customHeight="1">
      <c r="A171" s="640">
        <v>159</v>
      </c>
      <c r="B171" s="994"/>
      <c r="C171" s="995"/>
      <c r="D171" s="329"/>
      <c r="E171" s="884"/>
      <c r="F171" s="1027" t="str">
        <f t="shared" si="85"/>
        <v/>
      </c>
      <c r="G171" s="1028" t="str">
        <f t="shared" si="86"/>
        <v/>
      </c>
      <c r="H171" s="886"/>
      <c r="I171" s="458" t="str">
        <f t="shared" si="87"/>
        <v/>
      </c>
      <c r="J171" s="886"/>
      <c r="BA171" s="983">
        <v>165</v>
      </c>
      <c r="BB171" s="994"/>
      <c r="BC171" s="995"/>
      <c r="BD171" s="1083"/>
      <c r="BF171" s="983">
        <v>165</v>
      </c>
      <c r="BG171" s="994"/>
      <c r="BH171" s="995"/>
      <c r="BI171" s="1083"/>
      <c r="BK171" s="983">
        <v>165</v>
      </c>
      <c r="BL171" s="994"/>
      <c r="BM171" s="995"/>
      <c r="BN171" s="1083"/>
      <c r="BP171" s="983">
        <v>165</v>
      </c>
      <c r="BQ171" s="994"/>
      <c r="BR171" s="995"/>
      <c r="BS171" s="1083"/>
      <c r="BU171" s="983">
        <v>165</v>
      </c>
      <c r="BV171" s="996"/>
      <c r="BW171" s="997"/>
      <c r="BX171" s="1083"/>
      <c r="BZ171" s="983">
        <v>165</v>
      </c>
      <c r="CA171" s="996"/>
      <c r="CB171" s="997"/>
      <c r="CC171" s="1083"/>
      <c r="DF171" s="43" t="b">
        <f t="shared" si="61"/>
        <v>0</v>
      </c>
      <c r="DG171" s="43" t="str">
        <f t="shared" si="62"/>
        <v/>
      </c>
      <c r="DH171" s="43" t="str">
        <f t="shared" si="63"/>
        <v/>
      </c>
      <c r="DI171" s="43" t="str">
        <f t="shared" si="64"/>
        <v/>
      </c>
      <c r="DJ171" s="43" t="str">
        <f t="shared" si="65"/>
        <v/>
      </c>
      <c r="DK171" s="43" t="e">
        <f t="shared" si="66"/>
        <v>#N/A</v>
      </c>
      <c r="DL171" s="43" t="e">
        <f t="shared" si="67"/>
        <v>#N/A</v>
      </c>
      <c r="DM171" s="43" t="e">
        <f t="shared" si="68"/>
        <v>#N/A</v>
      </c>
      <c r="DN171" s="43" t="e">
        <f t="shared" si="69"/>
        <v>#N/A</v>
      </c>
      <c r="DO171" s="43" t="e">
        <f t="shared" si="70"/>
        <v>#N/A</v>
      </c>
      <c r="DP171" s="43" t="e">
        <f t="shared" si="71"/>
        <v>#N/A</v>
      </c>
      <c r="DQ171" s="43" t="e">
        <f t="shared" si="72"/>
        <v>#N/A</v>
      </c>
      <c r="DR171" s="43" t="e">
        <f t="shared" si="73"/>
        <v>#N/A</v>
      </c>
      <c r="DS171" s="43">
        <f t="shared" si="74"/>
        <v>0</v>
      </c>
      <c r="DT171" s="43">
        <v>161</v>
      </c>
      <c r="DU171" s="43">
        <f t="shared" si="84"/>
        <v>14.799999999999955</v>
      </c>
      <c r="DV171" s="43">
        <f t="shared" si="75"/>
        <v>15.757270847691212</v>
      </c>
      <c r="DW171" s="43">
        <f t="shared" si="76"/>
        <v>0.56329191395565792</v>
      </c>
      <c r="DX171" s="43" t="e">
        <f t="shared" si="77"/>
        <v>#N/A</v>
      </c>
      <c r="DY171" s="50" t="e">
        <f t="shared" si="78"/>
        <v>#N/A</v>
      </c>
      <c r="DZ171" s="50" t="str">
        <f t="shared" si="79"/>
        <v/>
      </c>
      <c r="EA171" s="50">
        <f t="shared" si="80"/>
        <v>1.4818448927556005</v>
      </c>
      <c r="EB171" s="43" t="e">
        <f t="shared" si="81"/>
        <v>#N/A</v>
      </c>
      <c r="EC171" s="50" t="e">
        <f t="shared" si="82"/>
        <v>#N/A</v>
      </c>
      <c r="ED171" s="50" t="str">
        <f t="shared" si="83"/>
        <v/>
      </c>
    </row>
    <row r="172" spans="1:134" ht="12" customHeight="1">
      <c r="A172" s="640">
        <v>160</v>
      </c>
      <c r="B172" s="994"/>
      <c r="C172" s="995"/>
      <c r="D172" s="329"/>
      <c r="E172" s="884"/>
      <c r="F172" s="1027" t="str">
        <f t="shared" si="85"/>
        <v/>
      </c>
      <c r="G172" s="1028" t="str">
        <f t="shared" si="86"/>
        <v/>
      </c>
      <c r="H172" s="886"/>
      <c r="I172" s="458" t="str">
        <f t="shared" si="87"/>
        <v/>
      </c>
      <c r="J172" s="886"/>
      <c r="BA172" s="983">
        <v>166</v>
      </c>
      <c r="BB172" s="994"/>
      <c r="BC172" s="995"/>
      <c r="BD172" s="1083"/>
      <c r="BF172" s="983">
        <v>166</v>
      </c>
      <c r="BG172" s="994"/>
      <c r="BH172" s="995"/>
      <c r="BI172" s="1083"/>
      <c r="BK172" s="983">
        <v>166</v>
      </c>
      <c r="BL172" s="994"/>
      <c r="BM172" s="995"/>
      <c r="BN172" s="1083"/>
      <c r="BP172" s="983">
        <v>166</v>
      </c>
      <c r="BQ172" s="994"/>
      <c r="BR172" s="995"/>
      <c r="BS172" s="1083"/>
      <c r="BU172" s="983">
        <v>166</v>
      </c>
      <c r="BV172" s="996"/>
      <c r="BW172" s="997"/>
      <c r="BX172" s="1083"/>
      <c r="BZ172" s="983">
        <v>166</v>
      </c>
      <c r="CA172" s="996"/>
      <c r="CB172" s="997"/>
      <c r="CC172" s="1083"/>
      <c r="DF172" s="43" t="b">
        <f t="shared" si="61"/>
        <v>0</v>
      </c>
      <c r="DG172" s="43" t="str">
        <f t="shared" si="62"/>
        <v/>
      </c>
      <c r="DH172" s="43" t="str">
        <f t="shared" si="63"/>
        <v/>
      </c>
      <c r="DI172" s="43" t="str">
        <f t="shared" si="64"/>
        <v/>
      </c>
      <c r="DJ172" s="43" t="str">
        <f t="shared" si="65"/>
        <v/>
      </c>
      <c r="DK172" s="43" t="e">
        <f t="shared" si="66"/>
        <v>#N/A</v>
      </c>
      <c r="DL172" s="43" t="e">
        <f t="shared" si="67"/>
        <v>#N/A</v>
      </c>
      <c r="DM172" s="43" t="e">
        <f t="shared" si="68"/>
        <v>#N/A</v>
      </c>
      <c r="DN172" s="43" t="e">
        <f t="shared" si="69"/>
        <v>#N/A</v>
      </c>
      <c r="DO172" s="43" t="e">
        <f t="shared" si="70"/>
        <v>#N/A</v>
      </c>
      <c r="DP172" s="43" t="e">
        <f t="shared" si="71"/>
        <v>#N/A</v>
      </c>
      <c r="DQ172" s="43" t="e">
        <f t="shared" si="72"/>
        <v>#N/A</v>
      </c>
      <c r="DR172" s="43" t="e">
        <f t="shared" si="73"/>
        <v>#N/A</v>
      </c>
      <c r="DS172" s="43">
        <f t="shared" si="74"/>
        <v>0</v>
      </c>
      <c r="DT172" s="43">
        <v>162</v>
      </c>
      <c r="DU172" s="43">
        <f t="shared" ref="DU172:DU203" si="88">DU171+$DU$5</f>
        <v>14.854999999999954</v>
      </c>
      <c r="DV172" s="43">
        <f t="shared" si="75"/>
        <v>15.800141281874533</v>
      </c>
      <c r="DW172" s="43">
        <f t="shared" si="76"/>
        <v>0.5681918220636738</v>
      </c>
      <c r="DX172" s="43" t="e">
        <f t="shared" si="77"/>
        <v>#N/A</v>
      </c>
      <c r="DY172" s="50" t="e">
        <f t="shared" si="78"/>
        <v>#N/A</v>
      </c>
      <c r="DZ172" s="50" t="str">
        <f t="shared" si="79"/>
        <v/>
      </c>
      <c r="EA172" s="50">
        <f t="shared" si="80"/>
        <v>1.4837144106997366</v>
      </c>
      <c r="EB172" s="43" t="e">
        <f t="shared" si="81"/>
        <v>#N/A</v>
      </c>
      <c r="EC172" s="50" t="e">
        <f t="shared" si="82"/>
        <v>#N/A</v>
      </c>
      <c r="ED172" s="50" t="str">
        <f t="shared" si="83"/>
        <v/>
      </c>
    </row>
    <row r="173" spans="1:134" ht="12" customHeight="1">
      <c r="A173" s="640">
        <v>161</v>
      </c>
      <c r="B173" s="994"/>
      <c r="C173" s="995"/>
      <c r="D173" s="329"/>
      <c r="E173" s="884"/>
      <c r="F173" s="1027" t="str">
        <f t="shared" si="85"/>
        <v/>
      </c>
      <c r="G173" s="1028" t="str">
        <f t="shared" si="86"/>
        <v/>
      </c>
      <c r="H173" s="886"/>
      <c r="I173" s="458" t="str">
        <f t="shared" si="87"/>
        <v/>
      </c>
      <c r="J173" s="886"/>
      <c r="BA173" s="983">
        <v>167</v>
      </c>
      <c r="BB173" s="994"/>
      <c r="BC173" s="995"/>
      <c r="BD173" s="1083"/>
      <c r="BF173" s="983">
        <v>167</v>
      </c>
      <c r="BG173" s="994"/>
      <c r="BH173" s="995"/>
      <c r="BI173" s="1083"/>
      <c r="BK173" s="983">
        <v>167</v>
      </c>
      <c r="BL173" s="994"/>
      <c r="BM173" s="995"/>
      <c r="BN173" s="1083"/>
      <c r="BP173" s="983">
        <v>167</v>
      </c>
      <c r="BQ173" s="994"/>
      <c r="BR173" s="995"/>
      <c r="BS173" s="1083"/>
      <c r="BU173" s="983">
        <v>167</v>
      </c>
      <c r="BV173" s="996"/>
      <c r="BW173" s="997"/>
      <c r="BX173" s="1083"/>
      <c r="BZ173" s="983">
        <v>167</v>
      </c>
      <c r="CA173" s="996"/>
      <c r="CB173" s="997"/>
      <c r="CC173" s="1083"/>
      <c r="DF173" s="43" t="b">
        <f t="shared" si="61"/>
        <v>0</v>
      </c>
      <c r="DG173" s="43" t="str">
        <f t="shared" si="62"/>
        <v/>
      </c>
      <c r="DH173" s="43" t="str">
        <f t="shared" si="63"/>
        <v/>
      </c>
      <c r="DI173" s="43" t="str">
        <f t="shared" si="64"/>
        <v/>
      </c>
      <c r="DJ173" s="43" t="str">
        <f t="shared" si="65"/>
        <v/>
      </c>
      <c r="DK173" s="43" t="e">
        <f t="shared" si="66"/>
        <v>#N/A</v>
      </c>
      <c r="DL173" s="43" t="e">
        <f t="shared" si="67"/>
        <v>#N/A</v>
      </c>
      <c r="DM173" s="43" t="e">
        <f t="shared" si="68"/>
        <v>#N/A</v>
      </c>
      <c r="DN173" s="43" t="e">
        <f t="shared" si="69"/>
        <v>#N/A</v>
      </c>
      <c r="DO173" s="43" t="e">
        <f t="shared" si="70"/>
        <v>#N/A</v>
      </c>
      <c r="DP173" s="43" t="e">
        <f t="shared" si="71"/>
        <v>#N/A</v>
      </c>
      <c r="DQ173" s="43" t="e">
        <f t="shared" si="72"/>
        <v>#N/A</v>
      </c>
      <c r="DR173" s="43" t="e">
        <f t="shared" si="73"/>
        <v>#N/A</v>
      </c>
      <c r="DS173" s="43">
        <f t="shared" si="74"/>
        <v>0</v>
      </c>
      <c r="DT173" s="43">
        <v>163</v>
      </c>
      <c r="DU173" s="43">
        <f t="shared" si="88"/>
        <v>14.909999999999954</v>
      </c>
      <c r="DV173" s="43">
        <f t="shared" si="75"/>
        <v>15.843011716057854</v>
      </c>
      <c r="DW173" s="43">
        <f t="shared" si="76"/>
        <v>0.57313184002553141</v>
      </c>
      <c r="DX173" s="43" t="e">
        <f t="shared" si="77"/>
        <v>#N/A</v>
      </c>
      <c r="DY173" s="50" t="e">
        <f t="shared" si="78"/>
        <v>#N/A</v>
      </c>
      <c r="DZ173" s="50" t="str">
        <f t="shared" si="79"/>
        <v/>
      </c>
      <c r="EA173" s="50">
        <f t="shared" si="80"/>
        <v>1.485613210734571</v>
      </c>
      <c r="EB173" s="43" t="e">
        <f t="shared" si="81"/>
        <v>#N/A</v>
      </c>
      <c r="EC173" s="50" t="e">
        <f t="shared" si="82"/>
        <v>#N/A</v>
      </c>
      <c r="ED173" s="50" t="str">
        <f t="shared" si="83"/>
        <v/>
      </c>
    </row>
    <row r="174" spans="1:134" ht="12" customHeight="1">
      <c r="A174" s="640">
        <v>162</v>
      </c>
      <c r="B174" s="994"/>
      <c r="C174" s="995"/>
      <c r="D174" s="329"/>
      <c r="E174" s="884"/>
      <c r="F174" s="1027" t="str">
        <f t="shared" si="85"/>
        <v/>
      </c>
      <c r="G174" s="1028" t="str">
        <f t="shared" si="86"/>
        <v/>
      </c>
      <c r="H174" s="886"/>
      <c r="I174" s="458" t="str">
        <f t="shared" si="87"/>
        <v/>
      </c>
      <c r="J174" s="886"/>
      <c r="BA174" s="983">
        <v>168</v>
      </c>
      <c r="BB174" s="994"/>
      <c r="BC174" s="995"/>
      <c r="BD174" s="1083"/>
      <c r="BF174" s="983">
        <v>168</v>
      </c>
      <c r="BG174" s="994"/>
      <c r="BH174" s="995"/>
      <c r="BI174" s="1083"/>
      <c r="BK174" s="983">
        <v>168</v>
      </c>
      <c r="BL174" s="994"/>
      <c r="BM174" s="995"/>
      <c r="BN174" s="1083"/>
      <c r="BP174" s="983">
        <v>168</v>
      </c>
      <c r="BQ174" s="994"/>
      <c r="BR174" s="995"/>
      <c r="BS174" s="1083"/>
      <c r="BU174" s="983">
        <v>168</v>
      </c>
      <c r="BV174" s="996"/>
      <c r="BW174" s="997"/>
      <c r="BX174" s="1083"/>
      <c r="BZ174" s="983">
        <v>168</v>
      </c>
      <c r="CA174" s="996"/>
      <c r="CB174" s="997"/>
      <c r="CC174" s="1083"/>
      <c r="DF174" s="43" t="b">
        <f t="shared" si="61"/>
        <v>0</v>
      </c>
      <c r="DG174" s="43" t="str">
        <f t="shared" si="62"/>
        <v/>
      </c>
      <c r="DH174" s="43" t="str">
        <f t="shared" si="63"/>
        <v/>
      </c>
      <c r="DI174" s="43" t="str">
        <f t="shared" si="64"/>
        <v/>
      </c>
      <c r="DJ174" s="43" t="str">
        <f t="shared" si="65"/>
        <v/>
      </c>
      <c r="DK174" s="43" t="e">
        <f t="shared" si="66"/>
        <v>#N/A</v>
      </c>
      <c r="DL174" s="43" t="e">
        <f t="shared" si="67"/>
        <v>#N/A</v>
      </c>
      <c r="DM174" s="43" t="e">
        <f t="shared" si="68"/>
        <v>#N/A</v>
      </c>
      <c r="DN174" s="43" t="e">
        <f t="shared" si="69"/>
        <v>#N/A</v>
      </c>
      <c r="DO174" s="43" t="e">
        <f t="shared" si="70"/>
        <v>#N/A</v>
      </c>
      <c r="DP174" s="43" t="e">
        <f t="shared" si="71"/>
        <v>#N/A</v>
      </c>
      <c r="DQ174" s="43" t="e">
        <f t="shared" si="72"/>
        <v>#N/A</v>
      </c>
      <c r="DR174" s="43" t="e">
        <f t="shared" si="73"/>
        <v>#N/A</v>
      </c>
      <c r="DS174" s="43">
        <f t="shared" si="74"/>
        <v>0</v>
      </c>
      <c r="DT174" s="43">
        <v>164</v>
      </c>
      <c r="DU174" s="43">
        <f t="shared" si="88"/>
        <v>14.964999999999954</v>
      </c>
      <c r="DV174" s="43">
        <f t="shared" si="75"/>
        <v>15.885882150241176</v>
      </c>
      <c r="DW174" s="43">
        <f t="shared" si="76"/>
        <v>0.57811093961355697</v>
      </c>
      <c r="DX174" s="43" t="e">
        <f t="shared" si="77"/>
        <v>#N/A</v>
      </c>
      <c r="DY174" s="50" t="e">
        <f t="shared" si="78"/>
        <v>#N/A</v>
      </c>
      <c r="DZ174" s="50" t="str">
        <f t="shared" si="79"/>
        <v/>
      </c>
      <c r="EA174" s="50">
        <f t="shared" si="80"/>
        <v>1.4875411807270744</v>
      </c>
      <c r="EB174" s="43" t="e">
        <f t="shared" si="81"/>
        <v>#N/A</v>
      </c>
      <c r="EC174" s="50" t="e">
        <f t="shared" si="82"/>
        <v>#N/A</v>
      </c>
      <c r="ED174" s="50" t="str">
        <f t="shared" si="83"/>
        <v/>
      </c>
    </row>
    <row r="175" spans="1:134" ht="12" customHeight="1">
      <c r="A175" s="640">
        <v>163</v>
      </c>
      <c r="B175" s="994"/>
      <c r="C175" s="995"/>
      <c r="D175" s="329"/>
      <c r="E175" s="884"/>
      <c r="F175" s="1027" t="str">
        <f t="shared" si="85"/>
        <v/>
      </c>
      <c r="G175" s="1028" t="str">
        <f t="shared" si="86"/>
        <v/>
      </c>
      <c r="H175" s="886"/>
      <c r="I175" s="458" t="str">
        <f t="shared" si="87"/>
        <v/>
      </c>
      <c r="J175" s="886"/>
      <c r="BA175" s="983">
        <v>169</v>
      </c>
      <c r="BB175" s="994"/>
      <c r="BC175" s="995"/>
      <c r="BD175" s="1083"/>
      <c r="BF175" s="983">
        <v>169</v>
      </c>
      <c r="BG175" s="994"/>
      <c r="BH175" s="995"/>
      <c r="BI175" s="1083"/>
      <c r="BK175" s="983">
        <v>169</v>
      </c>
      <c r="BL175" s="994"/>
      <c r="BM175" s="995"/>
      <c r="BN175" s="1083"/>
      <c r="BP175" s="983">
        <v>169</v>
      </c>
      <c r="BQ175" s="994"/>
      <c r="BR175" s="995"/>
      <c r="BS175" s="1083"/>
      <c r="BU175" s="983">
        <v>169</v>
      </c>
      <c r="BV175" s="996"/>
      <c r="BW175" s="997"/>
      <c r="BX175" s="1083"/>
      <c r="BZ175" s="983">
        <v>169</v>
      </c>
      <c r="CA175" s="996"/>
      <c r="CB175" s="997"/>
      <c r="CC175" s="1083"/>
      <c r="DF175" s="43" t="b">
        <f t="shared" si="61"/>
        <v>0</v>
      </c>
      <c r="DG175" s="43" t="str">
        <f t="shared" si="62"/>
        <v/>
      </c>
      <c r="DH175" s="43" t="str">
        <f t="shared" si="63"/>
        <v/>
      </c>
      <c r="DI175" s="43" t="str">
        <f t="shared" si="64"/>
        <v/>
      </c>
      <c r="DJ175" s="43" t="str">
        <f t="shared" si="65"/>
        <v/>
      </c>
      <c r="DK175" s="43" t="e">
        <f t="shared" si="66"/>
        <v>#N/A</v>
      </c>
      <c r="DL175" s="43" t="e">
        <f t="shared" si="67"/>
        <v>#N/A</v>
      </c>
      <c r="DM175" s="43" t="e">
        <f t="shared" si="68"/>
        <v>#N/A</v>
      </c>
      <c r="DN175" s="43" t="e">
        <f t="shared" si="69"/>
        <v>#N/A</v>
      </c>
      <c r="DO175" s="43" t="e">
        <f t="shared" si="70"/>
        <v>#N/A</v>
      </c>
      <c r="DP175" s="43" t="e">
        <f t="shared" si="71"/>
        <v>#N/A</v>
      </c>
      <c r="DQ175" s="43" t="e">
        <f t="shared" si="72"/>
        <v>#N/A</v>
      </c>
      <c r="DR175" s="43" t="e">
        <f t="shared" si="73"/>
        <v>#N/A</v>
      </c>
      <c r="DS175" s="43">
        <f t="shared" si="74"/>
        <v>0</v>
      </c>
      <c r="DT175" s="43">
        <v>165</v>
      </c>
      <c r="DU175" s="43">
        <f t="shared" si="88"/>
        <v>15.019999999999953</v>
      </c>
      <c r="DV175" s="43">
        <f t="shared" si="75"/>
        <v>15.928752584424497</v>
      </c>
      <c r="DW175" s="43">
        <f t="shared" si="76"/>
        <v>0.58312811972112299</v>
      </c>
      <c r="DX175" s="43" t="e">
        <f t="shared" si="77"/>
        <v>#N/A</v>
      </c>
      <c r="DY175" s="50" t="e">
        <f t="shared" si="78"/>
        <v>#N/A</v>
      </c>
      <c r="DZ175" s="50" t="str">
        <f t="shared" si="79"/>
        <v/>
      </c>
      <c r="EA175" s="50">
        <f t="shared" si="80"/>
        <v>1.4894982074066159</v>
      </c>
      <c r="EB175" s="43" t="e">
        <f t="shared" si="81"/>
        <v>#N/A</v>
      </c>
      <c r="EC175" s="50" t="e">
        <f t="shared" si="82"/>
        <v>#N/A</v>
      </c>
      <c r="ED175" s="50" t="str">
        <f t="shared" si="83"/>
        <v/>
      </c>
    </row>
    <row r="176" spans="1:134" ht="12" customHeight="1">
      <c r="A176" s="640">
        <v>164</v>
      </c>
      <c r="B176" s="994"/>
      <c r="C176" s="995"/>
      <c r="D176" s="329"/>
      <c r="E176" s="884"/>
      <c r="F176" s="1027" t="str">
        <f t="shared" si="85"/>
        <v/>
      </c>
      <c r="G176" s="1028" t="str">
        <f t="shared" si="86"/>
        <v/>
      </c>
      <c r="H176" s="886"/>
      <c r="I176" s="458" t="str">
        <f t="shared" si="87"/>
        <v/>
      </c>
      <c r="J176" s="886"/>
      <c r="BA176" s="983">
        <v>170</v>
      </c>
      <c r="BB176" s="994"/>
      <c r="BC176" s="995"/>
      <c r="BD176" s="1083"/>
      <c r="BF176" s="983">
        <v>170</v>
      </c>
      <c r="BG176" s="994"/>
      <c r="BH176" s="995"/>
      <c r="BI176" s="1083"/>
      <c r="BK176" s="983">
        <v>170</v>
      </c>
      <c r="BL176" s="994"/>
      <c r="BM176" s="995"/>
      <c r="BN176" s="1083"/>
      <c r="BP176" s="983">
        <v>170</v>
      </c>
      <c r="BQ176" s="994"/>
      <c r="BR176" s="995"/>
      <c r="BS176" s="1083"/>
      <c r="BU176" s="983">
        <v>170</v>
      </c>
      <c r="BV176" s="996"/>
      <c r="BW176" s="997"/>
      <c r="BX176" s="1083"/>
      <c r="BZ176" s="983">
        <v>170</v>
      </c>
      <c r="CA176" s="996"/>
      <c r="CB176" s="997"/>
      <c r="CC176" s="1083"/>
      <c r="DF176" s="43" t="b">
        <f t="shared" si="61"/>
        <v>0</v>
      </c>
      <c r="DG176" s="43" t="str">
        <f t="shared" si="62"/>
        <v/>
      </c>
      <c r="DH176" s="43" t="str">
        <f t="shared" si="63"/>
        <v/>
      </c>
      <c r="DI176" s="43" t="str">
        <f t="shared" si="64"/>
        <v/>
      </c>
      <c r="DJ176" s="43" t="str">
        <f t="shared" si="65"/>
        <v/>
      </c>
      <c r="DK176" s="43" t="e">
        <f t="shared" si="66"/>
        <v>#N/A</v>
      </c>
      <c r="DL176" s="43" t="e">
        <f t="shared" si="67"/>
        <v>#N/A</v>
      </c>
      <c r="DM176" s="43" t="e">
        <f t="shared" si="68"/>
        <v>#N/A</v>
      </c>
      <c r="DN176" s="43" t="e">
        <f t="shared" si="69"/>
        <v>#N/A</v>
      </c>
      <c r="DO176" s="43" t="e">
        <f t="shared" si="70"/>
        <v>#N/A</v>
      </c>
      <c r="DP176" s="43" t="e">
        <f t="shared" si="71"/>
        <v>#N/A</v>
      </c>
      <c r="DQ176" s="43" t="e">
        <f t="shared" si="72"/>
        <v>#N/A</v>
      </c>
      <c r="DR176" s="43" t="e">
        <f t="shared" si="73"/>
        <v>#N/A</v>
      </c>
      <c r="DS176" s="43">
        <f t="shared" si="74"/>
        <v>0</v>
      </c>
      <c r="DT176" s="43">
        <v>166</v>
      </c>
      <c r="DU176" s="43">
        <f t="shared" si="88"/>
        <v>15.074999999999953</v>
      </c>
      <c r="DV176" s="43">
        <f t="shared" si="75"/>
        <v>15.971623018607819</v>
      </c>
      <c r="DW176" s="43">
        <f t="shared" si="76"/>
        <v>0.58818240587161363</v>
      </c>
      <c r="DX176" s="43" t="e">
        <f t="shared" si="77"/>
        <v>#N/A</v>
      </c>
      <c r="DY176" s="50" t="e">
        <f t="shared" si="78"/>
        <v>#N/A</v>
      </c>
      <c r="DZ176" s="50" t="str">
        <f t="shared" si="79"/>
        <v/>
      </c>
      <c r="EA176" s="50">
        <f t="shared" si="80"/>
        <v>1.4914841763944224</v>
      </c>
      <c r="EB176" s="43" t="e">
        <f t="shared" si="81"/>
        <v>#N/A</v>
      </c>
      <c r="EC176" s="50" t="e">
        <f t="shared" si="82"/>
        <v>#N/A</v>
      </c>
      <c r="ED176" s="50" t="str">
        <f t="shared" si="83"/>
        <v/>
      </c>
    </row>
    <row r="177" spans="1:134" ht="12" customHeight="1">
      <c r="A177" s="640">
        <v>165</v>
      </c>
      <c r="B177" s="994"/>
      <c r="C177" s="995"/>
      <c r="D177" s="329"/>
      <c r="E177" s="884"/>
      <c r="F177" s="1027" t="str">
        <f t="shared" si="85"/>
        <v/>
      </c>
      <c r="G177" s="1028" t="str">
        <f t="shared" si="86"/>
        <v/>
      </c>
      <c r="H177" s="886"/>
      <c r="I177" s="458" t="str">
        <f t="shared" si="87"/>
        <v/>
      </c>
      <c r="J177" s="886"/>
      <c r="BA177" s="983">
        <v>171</v>
      </c>
      <c r="BB177" s="994"/>
      <c r="BC177" s="995"/>
      <c r="BD177" s="1083"/>
      <c r="BF177" s="983">
        <v>171</v>
      </c>
      <c r="BG177" s="994"/>
      <c r="BH177" s="995"/>
      <c r="BI177" s="1083"/>
      <c r="BK177" s="983">
        <v>171</v>
      </c>
      <c r="BL177" s="994"/>
      <c r="BM177" s="995"/>
      <c r="BN177" s="1083"/>
      <c r="BP177" s="983">
        <v>171</v>
      </c>
      <c r="BQ177" s="994"/>
      <c r="BR177" s="995"/>
      <c r="BS177" s="1083"/>
      <c r="BU177" s="983">
        <v>171</v>
      </c>
      <c r="BV177" s="996"/>
      <c r="BW177" s="997"/>
      <c r="BX177" s="1083"/>
      <c r="BZ177" s="983">
        <v>171</v>
      </c>
      <c r="CA177" s="996"/>
      <c r="CB177" s="997"/>
      <c r="CC177" s="1083"/>
      <c r="DF177" s="43" t="b">
        <f t="shared" si="61"/>
        <v>0</v>
      </c>
      <c r="DG177" s="43" t="str">
        <f t="shared" si="62"/>
        <v/>
      </c>
      <c r="DH177" s="43" t="str">
        <f t="shared" si="63"/>
        <v/>
      </c>
      <c r="DI177" s="43" t="str">
        <f t="shared" si="64"/>
        <v/>
      </c>
      <c r="DJ177" s="43" t="str">
        <f t="shared" si="65"/>
        <v/>
      </c>
      <c r="DK177" s="43" t="e">
        <f t="shared" si="66"/>
        <v>#N/A</v>
      </c>
      <c r="DL177" s="43" t="e">
        <f t="shared" si="67"/>
        <v>#N/A</v>
      </c>
      <c r="DM177" s="43" t="e">
        <f t="shared" si="68"/>
        <v>#N/A</v>
      </c>
      <c r="DN177" s="43" t="e">
        <f t="shared" si="69"/>
        <v>#N/A</v>
      </c>
      <c r="DO177" s="43" t="e">
        <f t="shared" si="70"/>
        <v>#N/A</v>
      </c>
      <c r="DP177" s="43" t="e">
        <f t="shared" si="71"/>
        <v>#N/A</v>
      </c>
      <c r="DQ177" s="43" t="e">
        <f t="shared" si="72"/>
        <v>#N/A</v>
      </c>
      <c r="DR177" s="43" t="e">
        <f t="shared" si="73"/>
        <v>#N/A</v>
      </c>
      <c r="DS177" s="43">
        <f t="shared" si="74"/>
        <v>0</v>
      </c>
      <c r="DT177" s="43">
        <v>167</v>
      </c>
      <c r="DU177" s="43">
        <f t="shared" si="88"/>
        <v>15.129999999999953</v>
      </c>
      <c r="DV177" s="43">
        <f t="shared" si="75"/>
        <v>16.014493452791143</v>
      </c>
      <c r="DW177" s="43">
        <f t="shared" si="76"/>
        <v>0.59327284971010696</v>
      </c>
      <c r="DX177" s="43" t="e">
        <f t="shared" si="77"/>
        <v>#N/A</v>
      </c>
      <c r="DY177" s="50" t="e">
        <f t="shared" si="78"/>
        <v>#N/A</v>
      </c>
      <c r="DZ177" s="50" t="str">
        <f t="shared" si="79"/>
        <v/>
      </c>
      <c r="EA177" s="50">
        <f t="shared" si="80"/>
        <v>1.4934989722330514</v>
      </c>
      <c r="EB177" s="43" t="e">
        <f t="shared" si="81"/>
        <v>#N/A</v>
      </c>
      <c r="EC177" s="50" t="e">
        <f t="shared" si="82"/>
        <v>#N/A</v>
      </c>
      <c r="ED177" s="50" t="str">
        <f t="shared" si="83"/>
        <v/>
      </c>
    </row>
    <row r="178" spans="1:134" ht="12" customHeight="1">
      <c r="A178" s="640">
        <v>166</v>
      </c>
      <c r="B178" s="994"/>
      <c r="C178" s="995"/>
      <c r="D178" s="329"/>
      <c r="E178" s="884"/>
      <c r="F178" s="1027" t="str">
        <f t="shared" si="85"/>
        <v/>
      </c>
      <c r="G178" s="1028" t="str">
        <f t="shared" si="86"/>
        <v/>
      </c>
      <c r="H178" s="886"/>
      <c r="I178" s="458" t="str">
        <f t="shared" si="87"/>
        <v/>
      </c>
      <c r="J178" s="886"/>
      <c r="BA178" s="983">
        <v>172</v>
      </c>
      <c r="BB178" s="994"/>
      <c r="BC178" s="995"/>
      <c r="BD178" s="1083"/>
      <c r="BF178" s="983">
        <v>172</v>
      </c>
      <c r="BG178" s="994"/>
      <c r="BH178" s="995"/>
      <c r="BI178" s="1083"/>
      <c r="BK178" s="983">
        <v>172</v>
      </c>
      <c r="BL178" s="994"/>
      <c r="BM178" s="995"/>
      <c r="BN178" s="1083"/>
      <c r="BP178" s="983">
        <v>172</v>
      </c>
      <c r="BQ178" s="994"/>
      <c r="BR178" s="995"/>
      <c r="BS178" s="1083"/>
      <c r="BU178" s="983">
        <v>172</v>
      </c>
      <c r="BV178" s="996"/>
      <c r="BW178" s="997"/>
      <c r="BX178" s="1083"/>
      <c r="BZ178" s="983">
        <v>172</v>
      </c>
      <c r="CA178" s="996"/>
      <c r="CB178" s="997"/>
      <c r="CC178" s="1083"/>
      <c r="DF178" s="43" t="b">
        <f t="shared" si="61"/>
        <v>0</v>
      </c>
      <c r="DG178" s="43" t="str">
        <f t="shared" si="62"/>
        <v/>
      </c>
      <c r="DH178" s="43" t="str">
        <f t="shared" si="63"/>
        <v/>
      </c>
      <c r="DI178" s="43" t="str">
        <f t="shared" si="64"/>
        <v/>
      </c>
      <c r="DJ178" s="43" t="str">
        <f t="shared" si="65"/>
        <v/>
      </c>
      <c r="DK178" s="43" t="e">
        <f t="shared" si="66"/>
        <v>#N/A</v>
      </c>
      <c r="DL178" s="43" t="e">
        <f t="shared" si="67"/>
        <v>#N/A</v>
      </c>
      <c r="DM178" s="43" t="e">
        <f t="shared" si="68"/>
        <v>#N/A</v>
      </c>
      <c r="DN178" s="43" t="e">
        <f t="shared" si="69"/>
        <v>#N/A</v>
      </c>
      <c r="DO178" s="43" t="e">
        <f t="shared" si="70"/>
        <v>#N/A</v>
      </c>
      <c r="DP178" s="43" t="e">
        <f t="shared" si="71"/>
        <v>#N/A</v>
      </c>
      <c r="DQ178" s="43" t="e">
        <f t="shared" si="72"/>
        <v>#N/A</v>
      </c>
      <c r="DR178" s="43" t="e">
        <f t="shared" si="73"/>
        <v>#N/A</v>
      </c>
      <c r="DS178" s="43">
        <f t="shared" si="74"/>
        <v>0</v>
      </c>
      <c r="DT178" s="43">
        <v>168</v>
      </c>
      <c r="DU178" s="43">
        <f t="shared" si="88"/>
        <v>15.184999999999953</v>
      </c>
      <c r="DV178" s="43">
        <f t="shared" si="75"/>
        <v>16.057363886974464</v>
      </c>
      <c r="DW178" s="43">
        <f t="shared" si="76"/>
        <v>0.59839852848096753</v>
      </c>
      <c r="DX178" s="43" t="e">
        <f t="shared" si="77"/>
        <v>#N/A</v>
      </c>
      <c r="DY178" s="50" t="e">
        <f t="shared" si="78"/>
        <v>#N/A</v>
      </c>
      <c r="DZ178" s="50" t="str">
        <f t="shared" si="79"/>
        <v/>
      </c>
      <c r="EA178" s="50">
        <f t="shared" si="80"/>
        <v>1.4955424784158478</v>
      </c>
      <c r="EB178" s="43" t="e">
        <f t="shared" si="81"/>
        <v>#N/A</v>
      </c>
      <c r="EC178" s="50" t="e">
        <f t="shared" si="82"/>
        <v>#N/A</v>
      </c>
      <c r="ED178" s="50" t="str">
        <f t="shared" si="83"/>
        <v/>
      </c>
    </row>
    <row r="179" spans="1:134" ht="12" customHeight="1">
      <c r="A179" s="640">
        <v>167</v>
      </c>
      <c r="B179" s="994"/>
      <c r="C179" s="995"/>
      <c r="D179" s="329"/>
      <c r="E179" s="884"/>
      <c r="F179" s="1027" t="str">
        <f t="shared" si="85"/>
        <v/>
      </c>
      <c r="G179" s="1028" t="str">
        <f t="shared" si="86"/>
        <v/>
      </c>
      <c r="H179" s="886"/>
      <c r="I179" s="458" t="str">
        <f t="shared" si="87"/>
        <v/>
      </c>
      <c r="J179" s="886"/>
      <c r="BA179" s="983">
        <v>173</v>
      </c>
      <c r="BB179" s="994"/>
      <c r="BC179" s="995"/>
      <c r="BD179" s="1083"/>
      <c r="BF179" s="983">
        <v>173</v>
      </c>
      <c r="BG179" s="994"/>
      <c r="BH179" s="995"/>
      <c r="BI179" s="1083"/>
      <c r="BK179" s="983">
        <v>173</v>
      </c>
      <c r="BL179" s="994"/>
      <c r="BM179" s="995"/>
      <c r="BN179" s="1083"/>
      <c r="BP179" s="983">
        <v>173</v>
      </c>
      <c r="BQ179" s="994"/>
      <c r="BR179" s="995"/>
      <c r="BS179" s="1083"/>
      <c r="BU179" s="983">
        <v>173</v>
      </c>
      <c r="BV179" s="996"/>
      <c r="BW179" s="997"/>
      <c r="BX179" s="1083"/>
      <c r="BZ179" s="983">
        <v>173</v>
      </c>
      <c r="CA179" s="996"/>
      <c r="CB179" s="997"/>
      <c r="CC179" s="1083"/>
      <c r="DF179" s="43" t="b">
        <f t="shared" si="61"/>
        <v>0</v>
      </c>
      <c r="DG179" s="43" t="str">
        <f t="shared" si="62"/>
        <v/>
      </c>
      <c r="DH179" s="43" t="str">
        <f t="shared" si="63"/>
        <v/>
      </c>
      <c r="DI179" s="43" t="str">
        <f t="shared" si="64"/>
        <v/>
      </c>
      <c r="DJ179" s="43" t="str">
        <f t="shared" si="65"/>
        <v/>
      </c>
      <c r="DK179" s="43" t="e">
        <f t="shared" si="66"/>
        <v>#N/A</v>
      </c>
      <c r="DL179" s="43" t="e">
        <f t="shared" si="67"/>
        <v>#N/A</v>
      </c>
      <c r="DM179" s="43" t="e">
        <f t="shared" si="68"/>
        <v>#N/A</v>
      </c>
      <c r="DN179" s="43" t="e">
        <f t="shared" si="69"/>
        <v>#N/A</v>
      </c>
      <c r="DO179" s="43" t="e">
        <f t="shared" si="70"/>
        <v>#N/A</v>
      </c>
      <c r="DP179" s="43" t="e">
        <f t="shared" si="71"/>
        <v>#N/A</v>
      </c>
      <c r="DQ179" s="43" t="e">
        <f t="shared" si="72"/>
        <v>#N/A</v>
      </c>
      <c r="DR179" s="43" t="e">
        <f t="shared" si="73"/>
        <v>#N/A</v>
      </c>
      <c r="DS179" s="43">
        <f t="shared" si="74"/>
        <v>0</v>
      </c>
      <c r="DT179" s="43">
        <v>169</v>
      </c>
      <c r="DU179" s="43">
        <f t="shared" si="88"/>
        <v>15.239999999999952</v>
      </c>
      <c r="DV179" s="43">
        <f t="shared" si="75"/>
        <v>16.100234321157785</v>
      </c>
      <c r="DW179" s="43">
        <f t="shared" si="76"/>
        <v>0.6035585444942585</v>
      </c>
      <c r="DX179" s="43" t="e">
        <f t="shared" si="77"/>
        <v>#N/A</v>
      </c>
      <c r="DY179" s="50" t="e">
        <f t="shared" si="78"/>
        <v>#N/A</v>
      </c>
      <c r="DZ179" s="50" t="str">
        <f t="shared" si="79"/>
        <v/>
      </c>
      <c r="EA179" s="50">
        <f t="shared" si="80"/>
        <v>1.4976145774163849</v>
      </c>
      <c r="EB179" s="43" t="e">
        <f t="shared" si="81"/>
        <v>#N/A</v>
      </c>
      <c r="EC179" s="50" t="e">
        <f t="shared" si="82"/>
        <v>#N/A</v>
      </c>
      <c r="ED179" s="50" t="str">
        <f t="shared" si="83"/>
        <v/>
      </c>
    </row>
    <row r="180" spans="1:134" ht="12" customHeight="1">
      <c r="A180" s="640">
        <v>168</v>
      </c>
      <c r="B180" s="994"/>
      <c r="C180" s="995"/>
      <c r="D180" s="329"/>
      <c r="E180" s="884"/>
      <c r="F180" s="1027" t="str">
        <f t="shared" si="85"/>
        <v/>
      </c>
      <c r="G180" s="1028" t="str">
        <f t="shared" si="86"/>
        <v/>
      </c>
      <c r="H180" s="886"/>
      <c r="I180" s="458" t="str">
        <f t="shared" si="87"/>
        <v/>
      </c>
      <c r="J180" s="886"/>
      <c r="BA180" s="983">
        <v>174</v>
      </c>
      <c r="BB180" s="994"/>
      <c r="BC180" s="995"/>
      <c r="BD180" s="1083"/>
      <c r="BF180" s="983">
        <v>174</v>
      </c>
      <c r="BG180" s="994"/>
      <c r="BH180" s="995"/>
      <c r="BI180" s="1083"/>
      <c r="BK180" s="983">
        <v>174</v>
      </c>
      <c r="BL180" s="994"/>
      <c r="BM180" s="995"/>
      <c r="BN180" s="1083"/>
      <c r="BP180" s="983">
        <v>174</v>
      </c>
      <c r="BQ180" s="994"/>
      <c r="BR180" s="995"/>
      <c r="BS180" s="1083"/>
      <c r="BU180" s="983">
        <v>174</v>
      </c>
      <c r="BV180" s="996"/>
      <c r="BW180" s="997"/>
      <c r="BX180" s="1083"/>
      <c r="BZ180" s="983">
        <v>174</v>
      </c>
      <c r="CA180" s="996"/>
      <c r="CB180" s="997"/>
      <c r="CC180" s="1083"/>
      <c r="DF180" s="43" t="b">
        <f t="shared" si="61"/>
        <v>0</v>
      </c>
      <c r="DG180" s="43" t="str">
        <f t="shared" si="62"/>
        <v/>
      </c>
      <c r="DH180" s="43" t="str">
        <f t="shared" si="63"/>
        <v/>
      </c>
      <c r="DI180" s="43" t="str">
        <f t="shared" si="64"/>
        <v/>
      </c>
      <c r="DJ180" s="43" t="str">
        <f t="shared" si="65"/>
        <v/>
      </c>
      <c r="DK180" s="43" t="e">
        <f t="shared" si="66"/>
        <v>#N/A</v>
      </c>
      <c r="DL180" s="43" t="e">
        <f t="shared" si="67"/>
        <v>#N/A</v>
      </c>
      <c r="DM180" s="43" t="e">
        <f t="shared" si="68"/>
        <v>#N/A</v>
      </c>
      <c r="DN180" s="43" t="e">
        <f t="shared" si="69"/>
        <v>#N/A</v>
      </c>
      <c r="DO180" s="43" t="e">
        <f t="shared" si="70"/>
        <v>#N/A</v>
      </c>
      <c r="DP180" s="43" t="e">
        <f t="shared" si="71"/>
        <v>#N/A</v>
      </c>
      <c r="DQ180" s="43" t="e">
        <f t="shared" si="72"/>
        <v>#N/A</v>
      </c>
      <c r="DR180" s="43" t="e">
        <f t="shared" si="73"/>
        <v>#N/A</v>
      </c>
      <c r="DS180" s="43">
        <f t="shared" si="74"/>
        <v>0</v>
      </c>
      <c r="DT180" s="43">
        <v>170</v>
      </c>
      <c r="DU180" s="43">
        <f t="shared" si="88"/>
        <v>15.294999999999952</v>
      </c>
      <c r="DV180" s="43">
        <f t="shared" si="75"/>
        <v>16.143104755341106</v>
      </c>
      <c r="DW180" s="43">
        <f t="shared" si="76"/>
        <v>0.60875202458363376</v>
      </c>
      <c r="DX180" s="43" t="e">
        <f t="shared" si="77"/>
        <v>#N/A</v>
      </c>
      <c r="DY180" s="50" t="e">
        <f t="shared" si="78"/>
        <v>#N/A</v>
      </c>
      <c r="DZ180" s="50" t="str">
        <f t="shared" si="79"/>
        <v/>
      </c>
      <c r="EA180" s="50">
        <f t="shared" si="80"/>
        <v>1.499715150717863</v>
      </c>
      <c r="EB180" s="43" t="e">
        <f t="shared" si="81"/>
        <v>#N/A</v>
      </c>
      <c r="EC180" s="50" t="e">
        <f t="shared" si="82"/>
        <v>#N/A</v>
      </c>
      <c r="ED180" s="50" t="str">
        <f t="shared" si="83"/>
        <v/>
      </c>
    </row>
    <row r="181" spans="1:134" ht="12" customHeight="1">
      <c r="A181" s="640">
        <v>169</v>
      </c>
      <c r="B181" s="994"/>
      <c r="C181" s="995"/>
      <c r="D181" s="329"/>
      <c r="E181" s="884"/>
      <c r="F181" s="1027" t="str">
        <f t="shared" si="85"/>
        <v/>
      </c>
      <c r="G181" s="1028" t="str">
        <f t="shared" si="86"/>
        <v/>
      </c>
      <c r="H181" s="886"/>
      <c r="I181" s="458" t="str">
        <f t="shared" si="87"/>
        <v/>
      </c>
      <c r="J181" s="886"/>
      <c r="BA181" s="983">
        <v>175</v>
      </c>
      <c r="BB181" s="994"/>
      <c r="BC181" s="995"/>
      <c r="BD181" s="1083"/>
      <c r="BF181" s="983">
        <v>175</v>
      </c>
      <c r="BG181" s="994"/>
      <c r="BH181" s="995"/>
      <c r="BI181" s="1083"/>
      <c r="BK181" s="983">
        <v>175</v>
      </c>
      <c r="BL181" s="994"/>
      <c r="BM181" s="995"/>
      <c r="BN181" s="1083"/>
      <c r="BP181" s="983">
        <v>175</v>
      </c>
      <c r="BQ181" s="994"/>
      <c r="BR181" s="995"/>
      <c r="BS181" s="1083"/>
      <c r="BU181" s="983">
        <v>175</v>
      </c>
      <c r="BV181" s="996"/>
      <c r="BW181" s="997"/>
      <c r="BX181" s="1083"/>
      <c r="BZ181" s="983">
        <v>175</v>
      </c>
      <c r="CA181" s="996"/>
      <c r="CB181" s="997"/>
      <c r="CC181" s="1083"/>
      <c r="DF181" s="43" t="b">
        <f t="shared" si="61"/>
        <v>0</v>
      </c>
      <c r="DG181" s="43" t="str">
        <f t="shared" si="62"/>
        <v/>
      </c>
      <c r="DH181" s="43" t="str">
        <f t="shared" si="63"/>
        <v/>
      </c>
      <c r="DI181" s="43" t="str">
        <f t="shared" si="64"/>
        <v/>
      </c>
      <c r="DJ181" s="43" t="str">
        <f t="shared" si="65"/>
        <v/>
      </c>
      <c r="DK181" s="43" t="e">
        <f t="shared" si="66"/>
        <v>#N/A</v>
      </c>
      <c r="DL181" s="43" t="e">
        <f t="shared" si="67"/>
        <v>#N/A</v>
      </c>
      <c r="DM181" s="43" t="e">
        <f t="shared" si="68"/>
        <v>#N/A</v>
      </c>
      <c r="DN181" s="43" t="e">
        <f t="shared" si="69"/>
        <v>#N/A</v>
      </c>
      <c r="DO181" s="43" t="e">
        <f t="shared" si="70"/>
        <v>#N/A</v>
      </c>
      <c r="DP181" s="43" t="e">
        <f t="shared" si="71"/>
        <v>#N/A</v>
      </c>
      <c r="DQ181" s="43" t="e">
        <f t="shared" si="72"/>
        <v>#N/A</v>
      </c>
      <c r="DR181" s="43" t="e">
        <f t="shared" si="73"/>
        <v>#N/A</v>
      </c>
      <c r="DS181" s="43">
        <f t="shared" si="74"/>
        <v>0</v>
      </c>
      <c r="DT181" s="43">
        <v>171</v>
      </c>
      <c r="DU181" s="43">
        <f t="shared" si="88"/>
        <v>15.349999999999952</v>
      </c>
      <c r="DV181" s="43">
        <f t="shared" si="75"/>
        <v>16.185975189524427</v>
      </c>
      <c r="DW181" s="43">
        <f t="shared" si="76"/>
        <v>0.61397811955811799</v>
      </c>
      <c r="DX181" s="43" t="e">
        <f t="shared" si="77"/>
        <v>#N/A</v>
      </c>
      <c r="DY181" s="50" t="e">
        <f t="shared" si="78"/>
        <v>#N/A</v>
      </c>
      <c r="DZ181" s="50" t="str">
        <f t="shared" si="79"/>
        <v/>
      </c>
      <c r="EA181" s="50">
        <f t="shared" si="80"/>
        <v>1.5018440788424581</v>
      </c>
      <c r="EB181" s="43" t="e">
        <f t="shared" si="81"/>
        <v>#N/A</v>
      </c>
      <c r="EC181" s="50" t="e">
        <f t="shared" si="82"/>
        <v>#N/A</v>
      </c>
      <c r="ED181" s="50" t="str">
        <f t="shared" si="83"/>
        <v/>
      </c>
    </row>
    <row r="182" spans="1:134" ht="12" customHeight="1">
      <c r="A182" s="640">
        <v>170</v>
      </c>
      <c r="B182" s="994"/>
      <c r="C182" s="995"/>
      <c r="D182" s="329"/>
      <c r="E182" s="884"/>
      <c r="F182" s="1027" t="str">
        <f t="shared" si="85"/>
        <v/>
      </c>
      <c r="G182" s="1028" t="str">
        <f t="shared" si="86"/>
        <v/>
      </c>
      <c r="H182" s="886"/>
      <c r="I182" s="458" t="str">
        <f t="shared" si="87"/>
        <v/>
      </c>
      <c r="J182" s="886"/>
      <c r="BA182" s="983">
        <v>176</v>
      </c>
      <c r="BB182" s="994"/>
      <c r="BC182" s="995"/>
      <c r="BD182" s="1083"/>
      <c r="BF182" s="983">
        <v>176</v>
      </c>
      <c r="BG182" s="994"/>
      <c r="BH182" s="995"/>
      <c r="BI182" s="1083"/>
      <c r="BK182" s="983">
        <v>176</v>
      </c>
      <c r="BL182" s="994"/>
      <c r="BM182" s="995"/>
      <c r="BN182" s="1083"/>
      <c r="BP182" s="983">
        <v>176</v>
      </c>
      <c r="BQ182" s="994"/>
      <c r="BR182" s="995"/>
      <c r="BS182" s="1083"/>
      <c r="BU182" s="983">
        <v>176</v>
      </c>
      <c r="BV182" s="996"/>
      <c r="BW182" s="997"/>
      <c r="BX182" s="1083"/>
      <c r="BZ182" s="983">
        <v>176</v>
      </c>
      <c r="CA182" s="996"/>
      <c r="CB182" s="997"/>
      <c r="CC182" s="1083"/>
      <c r="DF182" s="43" t="b">
        <f t="shared" si="61"/>
        <v>0</v>
      </c>
      <c r="DG182" s="43" t="str">
        <f t="shared" si="62"/>
        <v/>
      </c>
      <c r="DH182" s="43" t="str">
        <f t="shared" si="63"/>
        <v/>
      </c>
      <c r="DI182" s="43" t="str">
        <f t="shared" si="64"/>
        <v/>
      </c>
      <c r="DJ182" s="43" t="str">
        <f t="shared" si="65"/>
        <v/>
      </c>
      <c r="DK182" s="43" t="e">
        <f t="shared" si="66"/>
        <v>#N/A</v>
      </c>
      <c r="DL182" s="43" t="e">
        <f t="shared" si="67"/>
        <v>#N/A</v>
      </c>
      <c r="DM182" s="43" t="e">
        <f t="shared" si="68"/>
        <v>#N/A</v>
      </c>
      <c r="DN182" s="43" t="e">
        <f t="shared" si="69"/>
        <v>#N/A</v>
      </c>
      <c r="DO182" s="43" t="e">
        <f t="shared" si="70"/>
        <v>#N/A</v>
      </c>
      <c r="DP182" s="43" t="e">
        <f t="shared" si="71"/>
        <v>#N/A</v>
      </c>
      <c r="DQ182" s="43" t="e">
        <f t="shared" si="72"/>
        <v>#N/A</v>
      </c>
      <c r="DR182" s="43" t="e">
        <f t="shared" si="73"/>
        <v>#N/A</v>
      </c>
      <c r="DS182" s="43">
        <f t="shared" si="74"/>
        <v>0</v>
      </c>
      <c r="DT182" s="43">
        <v>172</v>
      </c>
      <c r="DU182" s="43">
        <f t="shared" si="88"/>
        <v>15.404999999999951</v>
      </c>
      <c r="DV182" s="43">
        <f t="shared" si="75"/>
        <v>16.228845623707748</v>
      </c>
      <c r="DW182" s="43">
        <f t="shared" si="76"/>
        <v>0.61923600364996267</v>
      </c>
      <c r="DX182" s="43" t="e">
        <f t="shared" si="77"/>
        <v>#N/A</v>
      </c>
      <c r="DY182" s="50" t="e">
        <f t="shared" si="78"/>
        <v>#N/A</v>
      </c>
      <c r="DZ182" s="50" t="str">
        <f t="shared" si="79"/>
        <v/>
      </c>
      <c r="EA182" s="50">
        <f t="shared" si="80"/>
        <v>1.5040012413806068</v>
      </c>
      <c r="EB182" s="43" t="e">
        <f t="shared" si="81"/>
        <v>#N/A</v>
      </c>
      <c r="EC182" s="50" t="e">
        <f t="shared" si="82"/>
        <v>#N/A</v>
      </c>
      <c r="ED182" s="50" t="str">
        <f t="shared" si="83"/>
        <v/>
      </c>
    </row>
    <row r="183" spans="1:134" ht="12" customHeight="1">
      <c r="A183" s="640">
        <v>171</v>
      </c>
      <c r="B183" s="994"/>
      <c r="C183" s="995"/>
      <c r="D183" s="329"/>
      <c r="E183" s="884"/>
      <c r="F183" s="1027" t="str">
        <f t="shared" si="85"/>
        <v/>
      </c>
      <c r="G183" s="1028" t="str">
        <f t="shared" si="86"/>
        <v/>
      </c>
      <c r="H183" s="886"/>
      <c r="I183" s="458" t="str">
        <f t="shared" si="87"/>
        <v/>
      </c>
      <c r="J183" s="886"/>
      <c r="BA183" s="983">
        <v>177</v>
      </c>
      <c r="BB183" s="994"/>
      <c r="BC183" s="995"/>
      <c r="BD183" s="1083"/>
      <c r="BF183" s="983">
        <v>177</v>
      </c>
      <c r="BG183" s="994"/>
      <c r="BH183" s="995"/>
      <c r="BI183" s="1083"/>
      <c r="BK183" s="983">
        <v>177</v>
      </c>
      <c r="BL183" s="994"/>
      <c r="BM183" s="995"/>
      <c r="BN183" s="1083"/>
      <c r="BP183" s="983">
        <v>177</v>
      </c>
      <c r="BQ183" s="994"/>
      <c r="BR183" s="995"/>
      <c r="BS183" s="1083"/>
      <c r="BU183" s="983">
        <v>177</v>
      </c>
      <c r="BV183" s="996"/>
      <c r="BW183" s="997"/>
      <c r="BX183" s="1083"/>
      <c r="BZ183" s="983">
        <v>177</v>
      </c>
      <c r="CA183" s="996"/>
      <c r="CB183" s="997"/>
      <c r="CC183" s="1083"/>
      <c r="DF183" s="43" t="b">
        <f t="shared" si="61"/>
        <v>0</v>
      </c>
      <c r="DG183" s="43" t="str">
        <f t="shared" si="62"/>
        <v/>
      </c>
      <c r="DH183" s="43" t="str">
        <f t="shared" si="63"/>
        <v/>
      </c>
      <c r="DI183" s="43" t="str">
        <f t="shared" si="64"/>
        <v/>
      </c>
      <c r="DJ183" s="43" t="str">
        <f t="shared" si="65"/>
        <v/>
      </c>
      <c r="DK183" s="43" t="e">
        <f t="shared" si="66"/>
        <v>#N/A</v>
      </c>
      <c r="DL183" s="43" t="e">
        <f t="shared" si="67"/>
        <v>#N/A</v>
      </c>
      <c r="DM183" s="43" t="e">
        <f t="shared" si="68"/>
        <v>#N/A</v>
      </c>
      <c r="DN183" s="43" t="e">
        <f t="shared" si="69"/>
        <v>#N/A</v>
      </c>
      <c r="DO183" s="43" t="e">
        <f t="shared" si="70"/>
        <v>#N/A</v>
      </c>
      <c r="DP183" s="43" t="e">
        <f t="shared" si="71"/>
        <v>#N/A</v>
      </c>
      <c r="DQ183" s="43" t="e">
        <f t="shared" si="72"/>
        <v>#N/A</v>
      </c>
      <c r="DR183" s="43" t="e">
        <f t="shared" si="73"/>
        <v>#N/A</v>
      </c>
      <c r="DS183" s="43">
        <f t="shared" si="74"/>
        <v>0</v>
      </c>
      <c r="DT183" s="43">
        <v>173</v>
      </c>
      <c r="DU183" s="43">
        <f t="shared" si="88"/>
        <v>15.459999999999951</v>
      </c>
      <c r="DV183" s="43">
        <f t="shared" si="75"/>
        <v>16.271716057891069</v>
      </c>
      <c r="DW183" s="43">
        <f t="shared" si="76"/>
        <v>0.62452487396054535</v>
      </c>
      <c r="DX183" s="43" t="e">
        <f t="shared" si="77"/>
        <v>#N/A</v>
      </c>
      <c r="DY183" s="50" t="e">
        <f t="shared" si="78"/>
        <v>#N/A</v>
      </c>
      <c r="DZ183" s="50" t="str">
        <f t="shared" si="79"/>
        <v/>
      </c>
      <c r="EA183" s="50">
        <f t="shared" si="80"/>
        <v>1.5061865170202078</v>
      </c>
      <c r="EB183" s="43" t="e">
        <f t="shared" si="81"/>
        <v>#N/A</v>
      </c>
      <c r="EC183" s="50" t="e">
        <f t="shared" si="82"/>
        <v>#N/A</v>
      </c>
      <c r="ED183" s="50" t="str">
        <f t="shared" si="83"/>
        <v/>
      </c>
    </row>
    <row r="184" spans="1:134" ht="12" customHeight="1">
      <c r="A184" s="640">
        <v>172</v>
      </c>
      <c r="B184" s="994"/>
      <c r="C184" s="995"/>
      <c r="D184" s="329"/>
      <c r="E184" s="884"/>
      <c r="F184" s="1027" t="str">
        <f t="shared" si="85"/>
        <v/>
      </c>
      <c r="G184" s="1028" t="str">
        <f t="shared" si="86"/>
        <v/>
      </c>
      <c r="H184" s="886"/>
      <c r="I184" s="458" t="str">
        <f t="shared" si="87"/>
        <v/>
      </c>
      <c r="J184" s="886"/>
      <c r="BA184" s="983">
        <v>178</v>
      </c>
      <c r="BB184" s="994"/>
      <c r="BC184" s="995"/>
      <c r="BD184" s="1083"/>
      <c r="BF184" s="983">
        <v>178</v>
      </c>
      <c r="BG184" s="994"/>
      <c r="BH184" s="995"/>
      <c r="BI184" s="1083"/>
      <c r="BK184" s="983">
        <v>178</v>
      </c>
      <c r="BL184" s="994"/>
      <c r="BM184" s="995"/>
      <c r="BN184" s="1083"/>
      <c r="BP184" s="983">
        <v>178</v>
      </c>
      <c r="BQ184" s="994"/>
      <c r="BR184" s="995"/>
      <c r="BS184" s="1083"/>
      <c r="BU184" s="983">
        <v>178</v>
      </c>
      <c r="BV184" s="996"/>
      <c r="BW184" s="997"/>
      <c r="BX184" s="1083"/>
      <c r="BZ184" s="983">
        <v>178</v>
      </c>
      <c r="CA184" s="996"/>
      <c r="CB184" s="997"/>
      <c r="CC184" s="1083"/>
      <c r="DF184" s="43" t="b">
        <f t="shared" si="61"/>
        <v>0</v>
      </c>
      <c r="DG184" s="43" t="str">
        <f t="shared" si="62"/>
        <v/>
      </c>
      <c r="DH184" s="43" t="str">
        <f t="shared" si="63"/>
        <v/>
      </c>
      <c r="DI184" s="43" t="str">
        <f t="shared" si="64"/>
        <v/>
      </c>
      <c r="DJ184" s="43" t="str">
        <f t="shared" si="65"/>
        <v/>
      </c>
      <c r="DK184" s="43" t="e">
        <f t="shared" si="66"/>
        <v>#N/A</v>
      </c>
      <c r="DL184" s="43" t="e">
        <f t="shared" si="67"/>
        <v>#N/A</v>
      </c>
      <c r="DM184" s="43" t="e">
        <f t="shared" si="68"/>
        <v>#N/A</v>
      </c>
      <c r="DN184" s="43" t="e">
        <f t="shared" si="69"/>
        <v>#N/A</v>
      </c>
      <c r="DO184" s="43" t="e">
        <f t="shared" si="70"/>
        <v>#N/A</v>
      </c>
      <c r="DP184" s="43" t="e">
        <f t="shared" si="71"/>
        <v>#N/A</v>
      </c>
      <c r="DQ184" s="43" t="e">
        <f t="shared" si="72"/>
        <v>#N/A</v>
      </c>
      <c r="DR184" s="43" t="e">
        <f t="shared" si="73"/>
        <v>#N/A</v>
      </c>
      <c r="DS184" s="43">
        <f t="shared" si="74"/>
        <v>0</v>
      </c>
      <c r="DT184" s="43">
        <v>174</v>
      </c>
      <c r="DU184" s="43">
        <f t="shared" si="88"/>
        <v>15.514999999999951</v>
      </c>
      <c r="DV184" s="43">
        <f t="shared" si="75"/>
        <v>16.31458649207439</v>
      </c>
      <c r="DW184" s="43">
        <f t="shared" si="76"/>
        <v>0.62984394990608428</v>
      </c>
      <c r="DX184" s="43" t="e">
        <f t="shared" si="77"/>
        <v>#N/A</v>
      </c>
      <c r="DY184" s="50" t="e">
        <f t="shared" si="78"/>
        <v>#N/A</v>
      </c>
      <c r="DZ184" s="50" t="str">
        <f t="shared" si="79"/>
        <v/>
      </c>
      <c r="EA184" s="50">
        <f t="shared" si="80"/>
        <v>1.5083997835757359</v>
      </c>
      <c r="EB184" s="43" t="e">
        <f t="shared" si="81"/>
        <v>#N/A</v>
      </c>
      <c r="EC184" s="50" t="e">
        <f t="shared" si="82"/>
        <v>#N/A</v>
      </c>
      <c r="ED184" s="50" t="str">
        <f t="shared" si="83"/>
        <v/>
      </c>
    </row>
    <row r="185" spans="1:134" ht="12" customHeight="1">
      <c r="A185" s="640">
        <v>173</v>
      </c>
      <c r="B185" s="994"/>
      <c r="C185" s="995"/>
      <c r="D185" s="329"/>
      <c r="E185" s="884"/>
      <c r="F185" s="1027" t="str">
        <f t="shared" si="85"/>
        <v/>
      </c>
      <c r="G185" s="1028" t="str">
        <f t="shared" si="86"/>
        <v/>
      </c>
      <c r="H185" s="886"/>
      <c r="I185" s="458" t="str">
        <f t="shared" si="87"/>
        <v/>
      </c>
      <c r="J185" s="886"/>
      <c r="BA185" s="983">
        <v>179</v>
      </c>
      <c r="BB185" s="994"/>
      <c r="BC185" s="995"/>
      <c r="BD185" s="1083"/>
      <c r="BF185" s="983">
        <v>179</v>
      </c>
      <c r="BG185" s="994"/>
      <c r="BH185" s="995"/>
      <c r="BI185" s="1083"/>
      <c r="BK185" s="983">
        <v>179</v>
      </c>
      <c r="BL185" s="994"/>
      <c r="BM185" s="995"/>
      <c r="BN185" s="1083"/>
      <c r="BP185" s="983">
        <v>179</v>
      </c>
      <c r="BQ185" s="994"/>
      <c r="BR185" s="995"/>
      <c r="BS185" s="1083"/>
      <c r="BU185" s="983">
        <v>179</v>
      </c>
      <c r="BV185" s="996"/>
      <c r="BW185" s="997"/>
      <c r="BX185" s="1083"/>
      <c r="BZ185" s="983">
        <v>179</v>
      </c>
      <c r="CA185" s="996"/>
      <c r="CB185" s="997"/>
      <c r="CC185" s="1083"/>
      <c r="DF185" s="43" t="b">
        <f t="shared" si="61"/>
        <v>0</v>
      </c>
      <c r="DG185" s="43" t="str">
        <f t="shared" si="62"/>
        <v/>
      </c>
      <c r="DH185" s="43" t="str">
        <f t="shared" si="63"/>
        <v/>
      </c>
      <c r="DI185" s="43" t="str">
        <f t="shared" si="64"/>
        <v/>
      </c>
      <c r="DJ185" s="43" t="str">
        <f t="shared" si="65"/>
        <v/>
      </c>
      <c r="DK185" s="43" t="e">
        <f t="shared" si="66"/>
        <v>#N/A</v>
      </c>
      <c r="DL185" s="43" t="e">
        <f t="shared" si="67"/>
        <v>#N/A</v>
      </c>
      <c r="DM185" s="43" t="e">
        <f t="shared" si="68"/>
        <v>#N/A</v>
      </c>
      <c r="DN185" s="43" t="e">
        <f t="shared" si="69"/>
        <v>#N/A</v>
      </c>
      <c r="DO185" s="43" t="e">
        <f t="shared" si="70"/>
        <v>#N/A</v>
      </c>
      <c r="DP185" s="43" t="e">
        <f t="shared" si="71"/>
        <v>#N/A</v>
      </c>
      <c r="DQ185" s="43" t="e">
        <f t="shared" si="72"/>
        <v>#N/A</v>
      </c>
      <c r="DR185" s="43" t="e">
        <f t="shared" si="73"/>
        <v>#N/A</v>
      </c>
      <c r="DS185" s="43">
        <f t="shared" si="74"/>
        <v>0</v>
      </c>
      <c r="DT185" s="43">
        <v>175</v>
      </c>
      <c r="DU185" s="43">
        <f t="shared" si="88"/>
        <v>15.569999999999951</v>
      </c>
      <c r="DV185" s="43">
        <f t="shared" si="75"/>
        <v>16.357456926257711</v>
      </c>
      <c r="DW185" s="43">
        <f t="shared" si="76"/>
        <v>0.63519247266475498</v>
      </c>
      <c r="DX185" s="43" t="e">
        <f t="shared" si="77"/>
        <v>#N/A</v>
      </c>
      <c r="DY185" s="50" t="e">
        <f t="shared" si="78"/>
        <v>#N/A</v>
      </c>
      <c r="DZ185" s="50" t="str">
        <f t="shared" si="79"/>
        <v/>
      </c>
      <c r="EA185" s="50">
        <f t="shared" si="80"/>
        <v>1.5106409180172484</v>
      </c>
      <c r="EB185" s="43" t="e">
        <f t="shared" si="81"/>
        <v>#N/A</v>
      </c>
      <c r="EC185" s="50" t="e">
        <f t="shared" si="82"/>
        <v>#N/A</v>
      </c>
      <c r="ED185" s="50" t="str">
        <f t="shared" si="83"/>
        <v/>
      </c>
    </row>
    <row r="186" spans="1:134" ht="12" customHeight="1">
      <c r="A186" s="640">
        <v>174</v>
      </c>
      <c r="B186" s="994"/>
      <c r="C186" s="995"/>
      <c r="D186" s="329"/>
      <c r="E186" s="884"/>
      <c r="F186" s="1027" t="str">
        <f t="shared" si="85"/>
        <v/>
      </c>
      <c r="G186" s="1028" t="str">
        <f t="shared" si="86"/>
        <v/>
      </c>
      <c r="H186" s="886"/>
      <c r="I186" s="458" t="str">
        <f t="shared" si="87"/>
        <v/>
      </c>
      <c r="J186" s="886"/>
      <c r="BA186" s="983">
        <v>180</v>
      </c>
      <c r="BB186" s="994"/>
      <c r="BC186" s="995"/>
      <c r="BD186" s="1083"/>
      <c r="BF186" s="983">
        <v>180</v>
      </c>
      <c r="BG186" s="994"/>
      <c r="BH186" s="995"/>
      <c r="BI186" s="1083"/>
      <c r="BK186" s="983">
        <v>180</v>
      </c>
      <c r="BL186" s="994"/>
      <c r="BM186" s="995"/>
      <c r="BN186" s="1083"/>
      <c r="BP186" s="983">
        <v>180</v>
      </c>
      <c r="BQ186" s="994"/>
      <c r="BR186" s="995"/>
      <c r="BS186" s="1083"/>
      <c r="BU186" s="983">
        <v>180</v>
      </c>
      <c r="BV186" s="996"/>
      <c r="BW186" s="997"/>
      <c r="BX186" s="1083"/>
      <c r="BZ186" s="983">
        <v>180</v>
      </c>
      <c r="CA186" s="996"/>
      <c r="CB186" s="997"/>
      <c r="CC186" s="1083"/>
      <c r="DF186" s="43" t="b">
        <f t="shared" si="61"/>
        <v>0</v>
      </c>
      <c r="DG186" s="43" t="str">
        <f t="shared" si="62"/>
        <v/>
      </c>
      <c r="DH186" s="43" t="str">
        <f t="shared" si="63"/>
        <v/>
      </c>
      <c r="DI186" s="43" t="str">
        <f t="shared" si="64"/>
        <v/>
      </c>
      <c r="DJ186" s="43" t="str">
        <f t="shared" si="65"/>
        <v/>
      </c>
      <c r="DK186" s="43" t="e">
        <f t="shared" si="66"/>
        <v>#N/A</v>
      </c>
      <c r="DL186" s="43" t="e">
        <f t="shared" si="67"/>
        <v>#N/A</v>
      </c>
      <c r="DM186" s="43" t="e">
        <f t="shared" si="68"/>
        <v>#N/A</v>
      </c>
      <c r="DN186" s="43" t="e">
        <f t="shared" si="69"/>
        <v>#N/A</v>
      </c>
      <c r="DO186" s="43" t="e">
        <f t="shared" si="70"/>
        <v>#N/A</v>
      </c>
      <c r="DP186" s="43" t="e">
        <f t="shared" si="71"/>
        <v>#N/A</v>
      </c>
      <c r="DQ186" s="43" t="e">
        <f t="shared" si="72"/>
        <v>#N/A</v>
      </c>
      <c r="DR186" s="43" t="e">
        <f t="shared" si="73"/>
        <v>#N/A</v>
      </c>
      <c r="DS186" s="43">
        <f t="shared" si="74"/>
        <v>0</v>
      </c>
      <c r="DT186" s="43">
        <v>176</v>
      </c>
      <c r="DU186" s="43">
        <f t="shared" si="88"/>
        <v>15.62499999999995</v>
      </c>
      <c r="DV186" s="43">
        <f t="shared" si="75"/>
        <v>16.400327360441036</v>
      </c>
      <c r="DW186" s="43">
        <f t="shared" si="76"/>
        <v>0.64056970462662177</v>
      </c>
      <c r="DX186" s="43" t="e">
        <f t="shared" si="77"/>
        <v>#N/A</v>
      </c>
      <c r="DY186" s="50" t="e">
        <f t="shared" si="78"/>
        <v>#N/A</v>
      </c>
      <c r="DZ186" s="50" t="str">
        <f t="shared" si="79"/>
        <v/>
      </c>
      <c r="EA186" s="50">
        <f t="shared" si="80"/>
        <v>1.5129097964992715</v>
      </c>
      <c r="EB186" s="43" t="e">
        <f t="shared" si="81"/>
        <v>#N/A</v>
      </c>
      <c r="EC186" s="50" t="e">
        <f t="shared" si="82"/>
        <v>#N/A</v>
      </c>
      <c r="ED186" s="50" t="str">
        <f t="shared" si="83"/>
        <v/>
      </c>
    </row>
    <row r="187" spans="1:134" ht="12" customHeight="1">
      <c r="A187" s="640">
        <v>175</v>
      </c>
      <c r="B187" s="994"/>
      <c r="C187" s="995"/>
      <c r="D187" s="329"/>
      <c r="E187" s="884"/>
      <c r="F187" s="1027" t="str">
        <f t="shared" si="85"/>
        <v/>
      </c>
      <c r="G187" s="1028" t="str">
        <f t="shared" si="86"/>
        <v/>
      </c>
      <c r="H187" s="886"/>
      <c r="I187" s="458" t="str">
        <f t="shared" si="87"/>
        <v/>
      </c>
      <c r="J187" s="886"/>
      <c r="BA187" s="983">
        <v>181</v>
      </c>
      <c r="BB187" s="994"/>
      <c r="BC187" s="995"/>
      <c r="BD187" s="1083"/>
      <c r="BF187" s="983">
        <v>181</v>
      </c>
      <c r="BG187" s="994"/>
      <c r="BH187" s="995"/>
      <c r="BI187" s="1083"/>
      <c r="BK187" s="983">
        <v>181</v>
      </c>
      <c r="BL187" s="994"/>
      <c r="BM187" s="995"/>
      <c r="BN187" s="1083"/>
      <c r="BP187" s="983">
        <v>181</v>
      </c>
      <c r="BQ187" s="994"/>
      <c r="BR187" s="995"/>
      <c r="BS187" s="1083"/>
      <c r="BU187" s="983">
        <v>181</v>
      </c>
      <c r="BV187" s="996"/>
      <c r="BW187" s="997"/>
      <c r="BX187" s="1083"/>
      <c r="BZ187" s="983">
        <v>181</v>
      </c>
      <c r="CA187" s="996"/>
      <c r="CB187" s="997"/>
      <c r="CC187" s="1083"/>
      <c r="DF187" s="43" t="b">
        <f t="shared" si="61"/>
        <v>0</v>
      </c>
      <c r="DG187" s="43" t="str">
        <f t="shared" si="62"/>
        <v/>
      </c>
      <c r="DH187" s="43" t="str">
        <f t="shared" si="63"/>
        <v/>
      </c>
      <c r="DI187" s="43" t="str">
        <f t="shared" si="64"/>
        <v/>
      </c>
      <c r="DJ187" s="43" t="str">
        <f t="shared" si="65"/>
        <v/>
      </c>
      <c r="DK187" s="43" t="e">
        <f t="shared" si="66"/>
        <v>#N/A</v>
      </c>
      <c r="DL187" s="43" t="e">
        <f t="shared" si="67"/>
        <v>#N/A</v>
      </c>
      <c r="DM187" s="43" t="e">
        <f t="shared" si="68"/>
        <v>#N/A</v>
      </c>
      <c r="DN187" s="43" t="e">
        <f t="shared" si="69"/>
        <v>#N/A</v>
      </c>
      <c r="DO187" s="43" t="e">
        <f t="shared" si="70"/>
        <v>#N/A</v>
      </c>
      <c r="DP187" s="43" t="e">
        <f t="shared" si="71"/>
        <v>#N/A</v>
      </c>
      <c r="DQ187" s="43" t="e">
        <f t="shared" si="72"/>
        <v>#N/A</v>
      </c>
      <c r="DR187" s="43" t="e">
        <f t="shared" si="73"/>
        <v>#N/A</v>
      </c>
      <c r="DS187" s="43">
        <f t="shared" si="74"/>
        <v>0</v>
      </c>
      <c r="DT187" s="43">
        <v>177</v>
      </c>
      <c r="DU187" s="43">
        <f t="shared" si="88"/>
        <v>15.67999999999995</v>
      </c>
      <c r="DV187" s="43">
        <f t="shared" si="75"/>
        <v>16.443197794624357</v>
      </c>
      <c r="DW187" s="43">
        <f t="shared" si="76"/>
        <v>0.64597492884764018</v>
      </c>
      <c r="DX187" s="43" t="e">
        <f t="shared" si="77"/>
        <v>#N/A</v>
      </c>
      <c r="DY187" s="50" t="e">
        <f t="shared" si="78"/>
        <v>#N/A</v>
      </c>
      <c r="DZ187" s="50" t="str">
        <f t="shared" si="79"/>
        <v/>
      </c>
      <c r="EA187" s="50">
        <f t="shared" si="80"/>
        <v>1.5152062943895601</v>
      </c>
      <c r="EB187" s="43" t="e">
        <f t="shared" si="81"/>
        <v>#N/A</v>
      </c>
      <c r="EC187" s="50" t="e">
        <f t="shared" si="82"/>
        <v>#N/A</v>
      </c>
      <c r="ED187" s="50" t="str">
        <f t="shared" si="83"/>
        <v/>
      </c>
    </row>
    <row r="188" spans="1:134" ht="12" customHeight="1">
      <c r="A188" s="640">
        <v>176</v>
      </c>
      <c r="B188" s="994"/>
      <c r="C188" s="995"/>
      <c r="D188" s="329"/>
      <c r="E188" s="884"/>
      <c r="F188" s="1027" t="str">
        <f t="shared" si="85"/>
        <v/>
      </c>
      <c r="G188" s="1028" t="str">
        <f t="shared" si="86"/>
        <v/>
      </c>
      <c r="H188" s="886"/>
      <c r="I188" s="458" t="str">
        <f t="shared" si="87"/>
        <v/>
      </c>
      <c r="J188" s="886"/>
      <c r="BA188" s="983">
        <v>182</v>
      </c>
      <c r="BB188" s="994"/>
      <c r="BC188" s="995"/>
      <c r="BD188" s="1083"/>
      <c r="BF188" s="983">
        <v>182</v>
      </c>
      <c r="BG188" s="994"/>
      <c r="BH188" s="995"/>
      <c r="BI188" s="1083"/>
      <c r="BK188" s="983">
        <v>182</v>
      </c>
      <c r="BL188" s="994"/>
      <c r="BM188" s="995"/>
      <c r="BN188" s="1083"/>
      <c r="BP188" s="983">
        <v>182</v>
      </c>
      <c r="BQ188" s="994"/>
      <c r="BR188" s="995"/>
      <c r="BS188" s="1083"/>
      <c r="BU188" s="983">
        <v>182</v>
      </c>
      <c r="BV188" s="996"/>
      <c r="BW188" s="997"/>
      <c r="BX188" s="1083"/>
      <c r="BZ188" s="983">
        <v>182</v>
      </c>
      <c r="CA188" s="996"/>
      <c r="CB188" s="997"/>
      <c r="CC188" s="1083"/>
      <c r="DF188" s="43" t="b">
        <f t="shared" si="61"/>
        <v>0</v>
      </c>
      <c r="DG188" s="43" t="str">
        <f t="shared" si="62"/>
        <v/>
      </c>
      <c r="DH188" s="43" t="str">
        <f t="shared" si="63"/>
        <v/>
      </c>
      <c r="DI188" s="43" t="str">
        <f t="shared" si="64"/>
        <v/>
      </c>
      <c r="DJ188" s="43" t="str">
        <f t="shared" si="65"/>
        <v/>
      </c>
      <c r="DK188" s="43" t="e">
        <f t="shared" si="66"/>
        <v>#N/A</v>
      </c>
      <c r="DL188" s="43" t="e">
        <f t="shared" si="67"/>
        <v>#N/A</v>
      </c>
      <c r="DM188" s="43" t="e">
        <f t="shared" si="68"/>
        <v>#N/A</v>
      </c>
      <c r="DN188" s="43" t="e">
        <f t="shared" si="69"/>
        <v>#N/A</v>
      </c>
      <c r="DO188" s="43" t="e">
        <f t="shared" si="70"/>
        <v>#N/A</v>
      </c>
      <c r="DP188" s="43" t="e">
        <f t="shared" si="71"/>
        <v>#N/A</v>
      </c>
      <c r="DQ188" s="43" t="e">
        <f t="shared" si="72"/>
        <v>#N/A</v>
      </c>
      <c r="DR188" s="43" t="e">
        <f t="shared" si="73"/>
        <v>#N/A</v>
      </c>
      <c r="DS188" s="43">
        <f t="shared" si="74"/>
        <v>0</v>
      </c>
      <c r="DT188" s="43">
        <v>178</v>
      </c>
      <c r="DU188" s="43">
        <f t="shared" si="88"/>
        <v>15.73499999999995</v>
      </c>
      <c r="DV188" s="43">
        <f t="shared" si="75"/>
        <v>16.486068228807678</v>
      </c>
      <c r="DW188" s="43">
        <f t="shared" si="76"/>
        <v>0.65140744850883814</v>
      </c>
      <c r="DX188" s="43" t="e">
        <f t="shared" si="77"/>
        <v>#N/A</v>
      </c>
      <c r="DY188" s="50" t="e">
        <f t="shared" si="78"/>
        <v>#N/A</v>
      </c>
      <c r="DZ188" s="50" t="str">
        <f t="shared" si="79"/>
        <v/>
      </c>
      <c r="EA188" s="50">
        <f t="shared" si="80"/>
        <v>1.5175302862977147</v>
      </c>
      <c r="EB188" s="43" t="e">
        <f t="shared" si="81"/>
        <v>#N/A</v>
      </c>
      <c r="EC188" s="50" t="e">
        <f t="shared" si="82"/>
        <v>#N/A</v>
      </c>
      <c r="ED188" s="50" t="str">
        <f t="shared" si="83"/>
        <v/>
      </c>
    </row>
    <row r="189" spans="1:134" ht="12" customHeight="1">
      <c r="A189" s="640">
        <v>177</v>
      </c>
      <c r="B189" s="994"/>
      <c r="C189" s="995"/>
      <c r="D189" s="329"/>
      <c r="E189" s="884"/>
      <c r="F189" s="1027" t="str">
        <f t="shared" si="85"/>
        <v/>
      </c>
      <c r="G189" s="1028" t="str">
        <f t="shared" si="86"/>
        <v/>
      </c>
      <c r="H189" s="886"/>
      <c r="I189" s="458" t="str">
        <f t="shared" si="87"/>
        <v/>
      </c>
      <c r="J189" s="886"/>
      <c r="BA189" s="983">
        <v>183</v>
      </c>
      <c r="BB189" s="994"/>
      <c r="BC189" s="995"/>
      <c r="BD189" s="1083"/>
      <c r="BF189" s="983">
        <v>183</v>
      </c>
      <c r="BG189" s="994"/>
      <c r="BH189" s="995"/>
      <c r="BI189" s="1083"/>
      <c r="BK189" s="983">
        <v>183</v>
      </c>
      <c r="BL189" s="994"/>
      <c r="BM189" s="995"/>
      <c r="BN189" s="1083"/>
      <c r="BP189" s="983">
        <v>183</v>
      </c>
      <c r="BQ189" s="994"/>
      <c r="BR189" s="995"/>
      <c r="BS189" s="1083"/>
      <c r="BU189" s="983">
        <v>183</v>
      </c>
      <c r="BV189" s="996"/>
      <c r="BW189" s="997"/>
      <c r="BX189" s="1083"/>
      <c r="BZ189" s="983">
        <v>183</v>
      </c>
      <c r="CA189" s="996"/>
      <c r="CB189" s="997"/>
      <c r="CC189" s="1083"/>
      <c r="DF189" s="43" t="b">
        <f t="shared" si="61"/>
        <v>0</v>
      </c>
      <c r="DG189" s="43" t="str">
        <f t="shared" si="62"/>
        <v/>
      </c>
      <c r="DH189" s="43" t="str">
        <f t="shared" si="63"/>
        <v/>
      </c>
      <c r="DI189" s="43" t="str">
        <f t="shared" si="64"/>
        <v/>
      </c>
      <c r="DJ189" s="43" t="str">
        <f t="shared" si="65"/>
        <v/>
      </c>
      <c r="DK189" s="43" t="e">
        <f t="shared" si="66"/>
        <v>#N/A</v>
      </c>
      <c r="DL189" s="43" t="e">
        <f t="shared" si="67"/>
        <v>#N/A</v>
      </c>
      <c r="DM189" s="43" t="e">
        <f t="shared" si="68"/>
        <v>#N/A</v>
      </c>
      <c r="DN189" s="43" t="e">
        <f t="shared" si="69"/>
        <v>#N/A</v>
      </c>
      <c r="DO189" s="43" t="e">
        <f t="shared" si="70"/>
        <v>#N/A</v>
      </c>
      <c r="DP189" s="43" t="e">
        <f t="shared" si="71"/>
        <v>#N/A</v>
      </c>
      <c r="DQ189" s="43" t="e">
        <f t="shared" si="72"/>
        <v>#N/A</v>
      </c>
      <c r="DR189" s="43" t="e">
        <f t="shared" si="73"/>
        <v>#N/A</v>
      </c>
      <c r="DS189" s="43">
        <f t="shared" si="74"/>
        <v>0</v>
      </c>
      <c r="DT189" s="43">
        <v>179</v>
      </c>
      <c r="DU189" s="43">
        <f t="shared" si="88"/>
        <v>15.789999999999949</v>
      </c>
      <c r="DV189" s="43">
        <f t="shared" si="75"/>
        <v>16.528938662991003</v>
      </c>
      <c r="DW189" s="43">
        <f t="shared" si="76"/>
        <v>0.65686658638164874</v>
      </c>
      <c r="DX189" s="43" t="e">
        <f t="shared" si="77"/>
        <v>#N/A</v>
      </c>
      <c r="DY189" s="50" t="e">
        <f t="shared" si="78"/>
        <v>#N/A</v>
      </c>
      <c r="DZ189" s="50" t="str">
        <f t="shared" si="79"/>
        <v/>
      </c>
      <c r="EA189" s="50">
        <f t="shared" si="80"/>
        <v>1.5198816461036395</v>
      </c>
      <c r="EB189" s="43" t="e">
        <f t="shared" si="81"/>
        <v>#N/A</v>
      </c>
      <c r="EC189" s="50" t="e">
        <f t="shared" si="82"/>
        <v>#N/A</v>
      </c>
      <c r="ED189" s="50" t="str">
        <f t="shared" si="83"/>
        <v/>
      </c>
    </row>
    <row r="190" spans="1:134" ht="12" customHeight="1">
      <c r="A190" s="640">
        <v>178</v>
      </c>
      <c r="B190" s="994"/>
      <c r="C190" s="995"/>
      <c r="D190" s="329"/>
      <c r="E190" s="884"/>
      <c r="F190" s="1027" t="str">
        <f t="shared" si="85"/>
        <v/>
      </c>
      <c r="G190" s="1028" t="str">
        <f t="shared" si="86"/>
        <v/>
      </c>
      <c r="H190" s="886"/>
      <c r="I190" s="458" t="str">
        <f t="shared" si="87"/>
        <v/>
      </c>
      <c r="J190" s="886"/>
      <c r="BA190" s="983">
        <v>184</v>
      </c>
      <c r="BB190" s="994"/>
      <c r="BC190" s="995"/>
      <c r="BD190" s="1083"/>
      <c r="BF190" s="983">
        <v>184</v>
      </c>
      <c r="BG190" s="994"/>
      <c r="BH190" s="995"/>
      <c r="BI190" s="1083"/>
      <c r="BK190" s="983">
        <v>184</v>
      </c>
      <c r="BL190" s="994"/>
      <c r="BM190" s="995"/>
      <c r="BN190" s="1083"/>
      <c r="BP190" s="983">
        <v>184</v>
      </c>
      <c r="BQ190" s="994"/>
      <c r="BR190" s="995"/>
      <c r="BS190" s="1083"/>
      <c r="BU190" s="983">
        <v>184</v>
      </c>
      <c r="BV190" s="996"/>
      <c r="BW190" s="997"/>
      <c r="BX190" s="1083"/>
      <c r="BZ190" s="983">
        <v>184</v>
      </c>
      <c r="CA190" s="996"/>
      <c r="CB190" s="997"/>
      <c r="CC190" s="1083"/>
      <c r="DF190" s="43" t="b">
        <f t="shared" si="61"/>
        <v>0</v>
      </c>
      <c r="DG190" s="43" t="str">
        <f t="shared" si="62"/>
        <v/>
      </c>
      <c r="DH190" s="43" t="str">
        <f t="shared" si="63"/>
        <v/>
      </c>
      <c r="DI190" s="43" t="str">
        <f t="shared" si="64"/>
        <v/>
      </c>
      <c r="DJ190" s="43" t="str">
        <f t="shared" si="65"/>
        <v/>
      </c>
      <c r="DK190" s="43" t="e">
        <f t="shared" si="66"/>
        <v>#N/A</v>
      </c>
      <c r="DL190" s="43" t="e">
        <f t="shared" si="67"/>
        <v>#N/A</v>
      </c>
      <c r="DM190" s="43" t="e">
        <f t="shared" si="68"/>
        <v>#N/A</v>
      </c>
      <c r="DN190" s="43" t="e">
        <f t="shared" si="69"/>
        <v>#N/A</v>
      </c>
      <c r="DO190" s="43" t="e">
        <f t="shared" si="70"/>
        <v>#N/A</v>
      </c>
      <c r="DP190" s="43" t="e">
        <f t="shared" si="71"/>
        <v>#N/A</v>
      </c>
      <c r="DQ190" s="43" t="e">
        <f t="shared" si="72"/>
        <v>#N/A</v>
      </c>
      <c r="DR190" s="43" t="e">
        <f t="shared" si="73"/>
        <v>#N/A</v>
      </c>
      <c r="DS190" s="43">
        <f t="shared" si="74"/>
        <v>0</v>
      </c>
      <c r="DT190" s="43">
        <v>180</v>
      </c>
      <c r="DU190" s="43">
        <f t="shared" si="88"/>
        <v>15.844999999999949</v>
      </c>
      <c r="DV190" s="43">
        <f t="shared" si="75"/>
        <v>16.571809097174324</v>
      </c>
      <c r="DW190" s="43">
        <f t="shared" si="76"/>
        <v>0.66235168430024394</v>
      </c>
      <c r="DX190" s="43" t="e">
        <f t="shared" si="77"/>
        <v>#N/A</v>
      </c>
      <c r="DY190" s="50" t="e">
        <f t="shared" si="78"/>
        <v>#N/A</v>
      </c>
      <c r="DZ190" s="50" t="str">
        <f t="shared" si="79"/>
        <v/>
      </c>
      <c r="EA190" s="50">
        <f t="shared" si="80"/>
        <v>1.5222602469858428</v>
      </c>
      <c r="EB190" s="43" t="e">
        <f t="shared" si="81"/>
        <v>#N/A</v>
      </c>
      <c r="EC190" s="50" t="e">
        <f t="shared" si="82"/>
        <v>#N/A</v>
      </c>
      <c r="ED190" s="50" t="str">
        <f t="shared" si="83"/>
        <v/>
      </c>
    </row>
    <row r="191" spans="1:134" ht="12" customHeight="1">
      <c r="A191" s="640">
        <v>179</v>
      </c>
      <c r="B191" s="994"/>
      <c r="C191" s="995"/>
      <c r="D191" s="329"/>
      <c r="E191" s="884"/>
      <c r="F191" s="1027" t="str">
        <f t="shared" si="85"/>
        <v/>
      </c>
      <c r="G191" s="1028" t="str">
        <f t="shared" si="86"/>
        <v/>
      </c>
      <c r="H191" s="886"/>
      <c r="I191" s="458" t="str">
        <f t="shared" si="87"/>
        <v/>
      </c>
      <c r="J191" s="886"/>
      <c r="BA191" s="983">
        <v>185</v>
      </c>
      <c r="BB191" s="994"/>
      <c r="BC191" s="995"/>
      <c r="BD191" s="1083"/>
      <c r="BF191" s="983">
        <v>185</v>
      </c>
      <c r="BG191" s="994"/>
      <c r="BH191" s="995"/>
      <c r="BI191" s="1083"/>
      <c r="BK191" s="983">
        <v>185</v>
      </c>
      <c r="BL191" s="994"/>
      <c r="BM191" s="995"/>
      <c r="BN191" s="1083"/>
      <c r="BP191" s="983">
        <v>185</v>
      </c>
      <c r="BQ191" s="994"/>
      <c r="BR191" s="995"/>
      <c r="BS191" s="1083"/>
      <c r="BU191" s="983">
        <v>185</v>
      </c>
      <c r="BV191" s="996"/>
      <c r="BW191" s="997"/>
      <c r="BX191" s="1083"/>
      <c r="BZ191" s="983">
        <v>185</v>
      </c>
      <c r="CA191" s="996"/>
      <c r="CB191" s="997"/>
      <c r="CC191" s="1083"/>
      <c r="DF191" s="43" t="b">
        <f t="shared" si="61"/>
        <v>0</v>
      </c>
      <c r="DG191" s="43" t="str">
        <f t="shared" si="62"/>
        <v/>
      </c>
      <c r="DH191" s="43" t="str">
        <f t="shared" si="63"/>
        <v/>
      </c>
      <c r="DI191" s="43" t="str">
        <f t="shared" si="64"/>
        <v/>
      </c>
      <c r="DJ191" s="43" t="str">
        <f t="shared" si="65"/>
        <v/>
      </c>
      <c r="DK191" s="43" t="e">
        <f t="shared" si="66"/>
        <v>#N/A</v>
      </c>
      <c r="DL191" s="43" t="e">
        <f t="shared" si="67"/>
        <v>#N/A</v>
      </c>
      <c r="DM191" s="43" t="e">
        <f t="shared" si="68"/>
        <v>#N/A</v>
      </c>
      <c r="DN191" s="43" t="e">
        <f t="shared" si="69"/>
        <v>#N/A</v>
      </c>
      <c r="DO191" s="43" t="e">
        <f t="shared" si="70"/>
        <v>#N/A</v>
      </c>
      <c r="DP191" s="43" t="e">
        <f t="shared" si="71"/>
        <v>#N/A</v>
      </c>
      <c r="DQ191" s="43" t="e">
        <f t="shared" si="72"/>
        <v>#N/A</v>
      </c>
      <c r="DR191" s="43" t="e">
        <f t="shared" si="73"/>
        <v>#N/A</v>
      </c>
      <c r="DS191" s="43">
        <f t="shared" si="74"/>
        <v>0</v>
      </c>
      <c r="DT191" s="43">
        <v>181</v>
      </c>
      <c r="DU191" s="43">
        <f t="shared" si="88"/>
        <v>15.899999999999949</v>
      </c>
      <c r="DV191" s="43">
        <f t="shared" si="75"/>
        <v>16.614679531357645</v>
      </c>
      <c r="DW191" s="43">
        <f t="shared" si="76"/>
        <v>0.66786210264160373</v>
      </c>
      <c r="DX191" s="43" t="e">
        <f t="shared" si="77"/>
        <v>#N/A</v>
      </c>
      <c r="DY191" s="50" t="e">
        <f t="shared" si="78"/>
        <v>#N/A</v>
      </c>
      <c r="DZ191" s="50" t="str">
        <f t="shared" si="79"/>
        <v/>
      </c>
      <c r="EA191" s="50">
        <f t="shared" si="80"/>
        <v>1.5246659614495541</v>
      </c>
      <c r="EB191" s="43" t="e">
        <f t="shared" si="81"/>
        <v>#N/A</v>
      </c>
      <c r="EC191" s="50" t="e">
        <f t="shared" si="82"/>
        <v>#N/A</v>
      </c>
      <c r="ED191" s="50" t="str">
        <f t="shared" si="83"/>
        <v/>
      </c>
    </row>
    <row r="192" spans="1:134" ht="12" customHeight="1">
      <c r="A192" s="640">
        <v>180</v>
      </c>
      <c r="B192" s="994"/>
      <c r="C192" s="995"/>
      <c r="D192" s="329"/>
      <c r="E192" s="884"/>
      <c r="F192" s="1027" t="str">
        <f t="shared" si="85"/>
        <v/>
      </c>
      <c r="G192" s="1028" t="str">
        <f t="shared" si="86"/>
        <v/>
      </c>
      <c r="H192" s="886"/>
      <c r="I192" s="458" t="str">
        <f t="shared" si="87"/>
        <v/>
      </c>
      <c r="J192" s="886"/>
      <c r="BA192" s="983">
        <v>186</v>
      </c>
      <c r="BB192" s="994"/>
      <c r="BC192" s="995"/>
      <c r="BD192" s="1083"/>
      <c r="BF192" s="983">
        <v>186</v>
      </c>
      <c r="BG192" s="994"/>
      <c r="BH192" s="995"/>
      <c r="BI192" s="1083"/>
      <c r="BK192" s="983">
        <v>186</v>
      </c>
      <c r="BL192" s="994"/>
      <c r="BM192" s="995"/>
      <c r="BN192" s="1083"/>
      <c r="BP192" s="983">
        <v>186</v>
      </c>
      <c r="BQ192" s="994"/>
      <c r="BR192" s="995"/>
      <c r="BS192" s="1083"/>
      <c r="BU192" s="983">
        <v>186</v>
      </c>
      <c r="BV192" s="996"/>
      <c r="BW192" s="997"/>
      <c r="BX192" s="1083"/>
      <c r="BZ192" s="983">
        <v>186</v>
      </c>
      <c r="CA192" s="996"/>
      <c r="CB192" s="997"/>
      <c r="CC192" s="1083"/>
      <c r="DF192" s="43" t="b">
        <f t="shared" si="61"/>
        <v>0</v>
      </c>
      <c r="DG192" s="43" t="str">
        <f t="shared" si="62"/>
        <v/>
      </c>
      <c r="DH192" s="43" t="str">
        <f t="shared" si="63"/>
        <v/>
      </c>
      <c r="DI192" s="43" t="str">
        <f t="shared" si="64"/>
        <v/>
      </c>
      <c r="DJ192" s="43" t="str">
        <f t="shared" si="65"/>
        <v/>
      </c>
      <c r="DK192" s="43" t="e">
        <f t="shared" si="66"/>
        <v>#N/A</v>
      </c>
      <c r="DL192" s="43" t="e">
        <f t="shared" si="67"/>
        <v>#N/A</v>
      </c>
      <c r="DM192" s="43" t="e">
        <f t="shared" si="68"/>
        <v>#N/A</v>
      </c>
      <c r="DN192" s="43" t="e">
        <f t="shared" si="69"/>
        <v>#N/A</v>
      </c>
      <c r="DO192" s="43" t="e">
        <f t="shared" si="70"/>
        <v>#N/A</v>
      </c>
      <c r="DP192" s="43" t="e">
        <f t="shared" si="71"/>
        <v>#N/A</v>
      </c>
      <c r="DQ192" s="43" t="e">
        <f t="shared" si="72"/>
        <v>#N/A</v>
      </c>
      <c r="DR192" s="43" t="e">
        <f t="shared" si="73"/>
        <v>#N/A</v>
      </c>
      <c r="DS192" s="43">
        <f t="shared" si="74"/>
        <v>0</v>
      </c>
      <c r="DT192" s="43">
        <v>182</v>
      </c>
      <c r="DU192" s="43">
        <f t="shared" si="88"/>
        <v>15.954999999999949</v>
      </c>
      <c r="DV192" s="43">
        <f t="shared" si="75"/>
        <v>16.657549965540966</v>
      </c>
      <c r="DW192" s="43">
        <f t="shared" si="76"/>
        <v>0.67339721981395417</v>
      </c>
      <c r="DX192" s="43" t="e">
        <f t="shared" si="77"/>
        <v>#N/A</v>
      </c>
      <c r="DY192" s="50" t="e">
        <f t="shared" si="78"/>
        <v>#N/A</v>
      </c>
      <c r="DZ192" s="50" t="str">
        <f t="shared" si="79"/>
        <v/>
      </c>
      <c r="EA192" s="50">
        <f t="shared" si="80"/>
        <v>1.5270986613546593</v>
      </c>
      <c r="EB192" s="43" t="e">
        <f t="shared" si="81"/>
        <v>#N/A</v>
      </c>
      <c r="EC192" s="50" t="e">
        <f t="shared" si="82"/>
        <v>#N/A</v>
      </c>
      <c r="ED192" s="50" t="str">
        <f t="shared" si="83"/>
        <v/>
      </c>
    </row>
    <row r="193" spans="1:134" ht="12" customHeight="1">
      <c r="A193" s="640">
        <v>181</v>
      </c>
      <c r="B193" s="994"/>
      <c r="C193" s="995"/>
      <c r="D193" s="329"/>
      <c r="E193" s="884"/>
      <c r="F193" s="1027" t="str">
        <f t="shared" si="85"/>
        <v/>
      </c>
      <c r="G193" s="1028" t="str">
        <f t="shared" si="86"/>
        <v/>
      </c>
      <c r="H193" s="886"/>
      <c r="I193" s="458" t="str">
        <f t="shared" si="87"/>
        <v/>
      </c>
      <c r="J193" s="886"/>
      <c r="BA193" s="983">
        <v>187</v>
      </c>
      <c r="BB193" s="994"/>
      <c r="BC193" s="995"/>
      <c r="BD193" s="1083"/>
      <c r="BF193" s="983">
        <v>187</v>
      </c>
      <c r="BG193" s="994"/>
      <c r="BH193" s="995"/>
      <c r="BI193" s="1083"/>
      <c r="BK193" s="983">
        <v>187</v>
      </c>
      <c r="BL193" s="994"/>
      <c r="BM193" s="995"/>
      <c r="BN193" s="1083"/>
      <c r="BP193" s="983">
        <v>187</v>
      </c>
      <c r="BQ193" s="994"/>
      <c r="BR193" s="995"/>
      <c r="BS193" s="1083"/>
      <c r="BU193" s="983">
        <v>187</v>
      </c>
      <c r="BV193" s="996"/>
      <c r="BW193" s="997"/>
      <c r="BX193" s="1083"/>
      <c r="BZ193" s="983">
        <v>187</v>
      </c>
      <c r="CA193" s="996"/>
      <c r="CB193" s="997"/>
      <c r="CC193" s="1083"/>
      <c r="DF193" s="43" t="b">
        <f t="shared" si="61"/>
        <v>0</v>
      </c>
      <c r="DG193" s="43" t="str">
        <f t="shared" si="62"/>
        <v/>
      </c>
      <c r="DH193" s="43" t="str">
        <f t="shared" si="63"/>
        <v/>
      </c>
      <c r="DI193" s="43" t="str">
        <f t="shared" si="64"/>
        <v/>
      </c>
      <c r="DJ193" s="43" t="str">
        <f t="shared" si="65"/>
        <v/>
      </c>
      <c r="DK193" s="43" t="e">
        <f t="shared" si="66"/>
        <v>#N/A</v>
      </c>
      <c r="DL193" s="43" t="e">
        <f t="shared" si="67"/>
        <v>#N/A</v>
      </c>
      <c r="DM193" s="43" t="e">
        <f t="shared" si="68"/>
        <v>#N/A</v>
      </c>
      <c r="DN193" s="43" t="e">
        <f t="shared" si="69"/>
        <v>#N/A</v>
      </c>
      <c r="DO193" s="43" t="e">
        <f t="shared" si="70"/>
        <v>#N/A</v>
      </c>
      <c r="DP193" s="43" t="e">
        <f t="shared" si="71"/>
        <v>#N/A</v>
      </c>
      <c r="DQ193" s="43" t="e">
        <f t="shared" si="72"/>
        <v>#N/A</v>
      </c>
      <c r="DR193" s="43" t="e">
        <f t="shared" si="73"/>
        <v>#N/A</v>
      </c>
      <c r="DS193" s="43">
        <f t="shared" si="74"/>
        <v>0</v>
      </c>
      <c r="DT193" s="43">
        <v>183</v>
      </c>
      <c r="DU193" s="43">
        <f t="shared" si="88"/>
        <v>16.009999999999948</v>
      </c>
      <c r="DV193" s="43">
        <f t="shared" si="75"/>
        <v>16.700420399724287</v>
      </c>
      <c r="DW193" s="43">
        <f t="shared" si="76"/>
        <v>0.67895643175410458</v>
      </c>
      <c r="DX193" s="43" t="e">
        <f t="shared" si="77"/>
        <v>#N/A</v>
      </c>
      <c r="DY193" s="50" t="e">
        <f t="shared" si="78"/>
        <v>#N/A</v>
      </c>
      <c r="DZ193" s="50" t="str">
        <f t="shared" si="79"/>
        <v/>
      </c>
      <c r="EA193" s="50">
        <f t="shared" si="80"/>
        <v>1.5295582179434346</v>
      </c>
      <c r="EB193" s="43" t="e">
        <f t="shared" si="81"/>
        <v>#N/A</v>
      </c>
      <c r="EC193" s="50" t="e">
        <f t="shared" si="82"/>
        <v>#N/A</v>
      </c>
      <c r="ED193" s="50" t="str">
        <f t="shared" si="83"/>
        <v/>
      </c>
    </row>
    <row r="194" spans="1:134" ht="12" customHeight="1">
      <c r="A194" s="640">
        <v>182</v>
      </c>
      <c r="B194" s="994"/>
      <c r="C194" s="995"/>
      <c r="D194" s="329"/>
      <c r="E194" s="884"/>
      <c r="F194" s="1027" t="str">
        <f t="shared" si="85"/>
        <v/>
      </c>
      <c r="G194" s="1028" t="str">
        <f t="shared" si="86"/>
        <v/>
      </c>
      <c r="H194" s="886"/>
      <c r="I194" s="458" t="str">
        <f t="shared" si="87"/>
        <v/>
      </c>
      <c r="J194" s="886"/>
      <c r="BA194" s="983">
        <v>188</v>
      </c>
      <c r="BB194" s="994"/>
      <c r="BC194" s="995"/>
      <c r="BD194" s="1083"/>
      <c r="BF194" s="983">
        <v>188</v>
      </c>
      <c r="BG194" s="994"/>
      <c r="BH194" s="995"/>
      <c r="BI194" s="1083"/>
      <c r="BK194" s="983">
        <v>188</v>
      </c>
      <c r="BL194" s="994"/>
      <c r="BM194" s="995"/>
      <c r="BN194" s="1083"/>
      <c r="BP194" s="983">
        <v>188</v>
      </c>
      <c r="BQ194" s="994"/>
      <c r="BR194" s="995"/>
      <c r="BS194" s="1083"/>
      <c r="BU194" s="983">
        <v>188</v>
      </c>
      <c r="BV194" s="996"/>
      <c r="BW194" s="997"/>
      <c r="BX194" s="1083"/>
      <c r="BZ194" s="983">
        <v>188</v>
      </c>
      <c r="CA194" s="996"/>
      <c r="CB194" s="997"/>
      <c r="CC194" s="1083"/>
      <c r="DF194" s="43" t="b">
        <f t="shared" si="61"/>
        <v>0</v>
      </c>
      <c r="DG194" s="43" t="str">
        <f t="shared" si="62"/>
        <v/>
      </c>
      <c r="DH194" s="43" t="str">
        <f t="shared" si="63"/>
        <v/>
      </c>
      <c r="DI194" s="43" t="str">
        <f t="shared" si="64"/>
        <v/>
      </c>
      <c r="DJ194" s="43" t="str">
        <f t="shared" si="65"/>
        <v/>
      </c>
      <c r="DK194" s="43" t="e">
        <f t="shared" si="66"/>
        <v>#N/A</v>
      </c>
      <c r="DL194" s="43" t="e">
        <f t="shared" si="67"/>
        <v>#N/A</v>
      </c>
      <c r="DM194" s="43" t="e">
        <f t="shared" si="68"/>
        <v>#N/A</v>
      </c>
      <c r="DN194" s="43" t="e">
        <f t="shared" si="69"/>
        <v>#N/A</v>
      </c>
      <c r="DO194" s="43" t="e">
        <f t="shared" si="70"/>
        <v>#N/A</v>
      </c>
      <c r="DP194" s="43" t="e">
        <f t="shared" si="71"/>
        <v>#N/A</v>
      </c>
      <c r="DQ194" s="43" t="e">
        <f t="shared" si="72"/>
        <v>#N/A</v>
      </c>
      <c r="DR194" s="43" t="e">
        <f t="shared" si="73"/>
        <v>#N/A</v>
      </c>
      <c r="DS194" s="43">
        <f t="shared" si="74"/>
        <v>0</v>
      </c>
      <c r="DT194" s="43">
        <v>184</v>
      </c>
      <c r="DU194" s="43">
        <f t="shared" si="88"/>
        <v>16.064999999999948</v>
      </c>
      <c r="DV194" s="43">
        <f t="shared" si="75"/>
        <v>16.743290833907608</v>
      </c>
      <c r="DW194" s="43">
        <f t="shared" si="76"/>
        <v>0.68453915143414101</v>
      </c>
      <c r="DX194" s="43" t="e">
        <f t="shared" si="77"/>
        <v>#N/A</v>
      </c>
      <c r="DY194" s="50" t="e">
        <f t="shared" si="78"/>
        <v>#N/A</v>
      </c>
      <c r="DZ194" s="50" t="str">
        <f t="shared" si="79"/>
        <v/>
      </c>
      <c r="EA194" s="50">
        <f t="shared" si="80"/>
        <v>1.5320445018680766</v>
      </c>
      <c r="EB194" s="43" t="e">
        <f t="shared" si="81"/>
        <v>#N/A</v>
      </c>
      <c r="EC194" s="50" t="e">
        <f t="shared" si="82"/>
        <v>#N/A</v>
      </c>
      <c r="ED194" s="50" t="str">
        <f t="shared" si="83"/>
        <v/>
      </c>
    </row>
    <row r="195" spans="1:134" ht="12" customHeight="1">
      <c r="A195" s="640">
        <v>183</v>
      </c>
      <c r="B195" s="994"/>
      <c r="C195" s="995"/>
      <c r="D195" s="329"/>
      <c r="E195" s="884"/>
      <c r="F195" s="1027" t="str">
        <f t="shared" si="85"/>
        <v/>
      </c>
      <c r="G195" s="1028" t="str">
        <f t="shared" si="86"/>
        <v/>
      </c>
      <c r="H195" s="886"/>
      <c r="I195" s="458" t="str">
        <f t="shared" si="87"/>
        <v/>
      </c>
      <c r="J195" s="886"/>
      <c r="BA195" s="983">
        <v>189</v>
      </c>
      <c r="BB195" s="994"/>
      <c r="BC195" s="995"/>
      <c r="BD195" s="1083"/>
      <c r="BF195" s="983">
        <v>189</v>
      </c>
      <c r="BG195" s="994"/>
      <c r="BH195" s="995"/>
      <c r="BI195" s="1083"/>
      <c r="BK195" s="983">
        <v>189</v>
      </c>
      <c r="BL195" s="994"/>
      <c r="BM195" s="995"/>
      <c r="BN195" s="1083"/>
      <c r="BP195" s="983">
        <v>189</v>
      </c>
      <c r="BQ195" s="994"/>
      <c r="BR195" s="995"/>
      <c r="BS195" s="1083"/>
      <c r="BU195" s="983">
        <v>189</v>
      </c>
      <c r="BV195" s="996"/>
      <c r="BW195" s="997"/>
      <c r="BX195" s="1083"/>
      <c r="BZ195" s="983">
        <v>189</v>
      </c>
      <c r="CA195" s="996"/>
      <c r="CB195" s="997"/>
      <c r="CC195" s="1083"/>
      <c r="DF195" s="43" t="b">
        <f t="shared" si="61"/>
        <v>0</v>
      </c>
      <c r="DG195" s="43" t="str">
        <f t="shared" si="62"/>
        <v/>
      </c>
      <c r="DH195" s="43" t="str">
        <f t="shared" si="63"/>
        <v/>
      </c>
      <c r="DI195" s="43" t="str">
        <f t="shared" si="64"/>
        <v/>
      </c>
      <c r="DJ195" s="43" t="str">
        <f t="shared" si="65"/>
        <v/>
      </c>
      <c r="DK195" s="43" t="e">
        <f t="shared" si="66"/>
        <v>#N/A</v>
      </c>
      <c r="DL195" s="43" t="e">
        <f t="shared" si="67"/>
        <v>#N/A</v>
      </c>
      <c r="DM195" s="43" t="e">
        <f t="shared" si="68"/>
        <v>#N/A</v>
      </c>
      <c r="DN195" s="43" t="e">
        <f t="shared" si="69"/>
        <v>#N/A</v>
      </c>
      <c r="DO195" s="43" t="e">
        <f t="shared" si="70"/>
        <v>#N/A</v>
      </c>
      <c r="DP195" s="43" t="e">
        <f t="shared" si="71"/>
        <v>#N/A</v>
      </c>
      <c r="DQ195" s="43" t="e">
        <f t="shared" si="72"/>
        <v>#N/A</v>
      </c>
      <c r="DR195" s="43" t="e">
        <f t="shared" si="73"/>
        <v>#N/A</v>
      </c>
      <c r="DS195" s="43">
        <f t="shared" si="74"/>
        <v>0</v>
      </c>
      <c r="DT195" s="43">
        <v>185</v>
      </c>
      <c r="DU195" s="43">
        <f t="shared" si="88"/>
        <v>16.119999999999948</v>
      </c>
      <c r="DV195" s="43">
        <f t="shared" si="75"/>
        <v>16.786161268090929</v>
      </c>
      <c r="DW195" s="43">
        <f t="shared" si="76"/>
        <v>0.69014480837784042</v>
      </c>
      <c r="DX195" s="43" t="e">
        <f t="shared" si="77"/>
        <v>#N/A</v>
      </c>
      <c r="DY195" s="50" t="e">
        <f t="shared" si="78"/>
        <v>#N/A</v>
      </c>
      <c r="DZ195" s="50" t="str">
        <f t="shared" si="79"/>
        <v/>
      </c>
      <c r="EA195" s="50">
        <f t="shared" si="80"/>
        <v>1.5345573832180128</v>
      </c>
      <c r="EB195" s="43" t="e">
        <f t="shared" si="81"/>
        <v>#N/A</v>
      </c>
      <c r="EC195" s="50" t="e">
        <f t="shared" si="82"/>
        <v>#N/A</v>
      </c>
      <c r="ED195" s="50" t="str">
        <f t="shared" si="83"/>
        <v/>
      </c>
    </row>
    <row r="196" spans="1:134" ht="12" customHeight="1">
      <c r="A196" s="640">
        <v>184</v>
      </c>
      <c r="B196" s="994"/>
      <c r="C196" s="995"/>
      <c r="D196" s="329"/>
      <c r="E196" s="884"/>
      <c r="F196" s="1027" t="str">
        <f t="shared" si="85"/>
        <v/>
      </c>
      <c r="G196" s="1028" t="str">
        <f t="shared" si="86"/>
        <v/>
      </c>
      <c r="H196" s="886"/>
      <c r="I196" s="458" t="str">
        <f t="shared" si="87"/>
        <v/>
      </c>
      <c r="J196" s="886"/>
      <c r="BA196" s="983">
        <v>190</v>
      </c>
      <c r="BB196" s="994"/>
      <c r="BC196" s="995"/>
      <c r="BD196" s="1083"/>
      <c r="BF196" s="983">
        <v>190</v>
      </c>
      <c r="BG196" s="994"/>
      <c r="BH196" s="995"/>
      <c r="BI196" s="1083"/>
      <c r="BK196" s="983">
        <v>190</v>
      </c>
      <c r="BL196" s="994"/>
      <c r="BM196" s="995"/>
      <c r="BN196" s="1083"/>
      <c r="BP196" s="983">
        <v>190</v>
      </c>
      <c r="BQ196" s="994"/>
      <c r="BR196" s="995"/>
      <c r="BS196" s="1083"/>
      <c r="BU196" s="983">
        <v>190</v>
      </c>
      <c r="BV196" s="996"/>
      <c r="BW196" s="997"/>
      <c r="BX196" s="1083"/>
      <c r="BZ196" s="983">
        <v>190</v>
      </c>
      <c r="CA196" s="996"/>
      <c r="CB196" s="997"/>
      <c r="CC196" s="1083"/>
      <c r="DF196" s="43" t="b">
        <f t="shared" si="61"/>
        <v>0</v>
      </c>
      <c r="DG196" s="43" t="str">
        <f t="shared" si="62"/>
        <v/>
      </c>
      <c r="DH196" s="43" t="str">
        <f t="shared" si="63"/>
        <v/>
      </c>
      <c r="DI196" s="43" t="str">
        <f t="shared" si="64"/>
        <v/>
      </c>
      <c r="DJ196" s="43" t="str">
        <f t="shared" si="65"/>
        <v/>
      </c>
      <c r="DK196" s="43" t="e">
        <f t="shared" si="66"/>
        <v>#N/A</v>
      </c>
      <c r="DL196" s="43" t="e">
        <f t="shared" si="67"/>
        <v>#N/A</v>
      </c>
      <c r="DM196" s="43" t="e">
        <f t="shared" si="68"/>
        <v>#N/A</v>
      </c>
      <c r="DN196" s="43" t="e">
        <f t="shared" si="69"/>
        <v>#N/A</v>
      </c>
      <c r="DO196" s="43" t="e">
        <f t="shared" si="70"/>
        <v>#N/A</v>
      </c>
      <c r="DP196" s="43" t="e">
        <f t="shared" si="71"/>
        <v>#N/A</v>
      </c>
      <c r="DQ196" s="43" t="e">
        <f t="shared" si="72"/>
        <v>#N/A</v>
      </c>
      <c r="DR196" s="43" t="e">
        <f t="shared" si="73"/>
        <v>#N/A</v>
      </c>
      <c r="DS196" s="43">
        <f t="shared" si="74"/>
        <v>0</v>
      </c>
      <c r="DT196" s="43">
        <v>186</v>
      </c>
      <c r="DU196" s="43">
        <f t="shared" si="88"/>
        <v>16.174999999999947</v>
      </c>
      <c r="DV196" s="43">
        <f t="shared" si="75"/>
        <v>16.82903170227425</v>
      </c>
      <c r="DW196" s="43">
        <f t="shared" si="76"/>
        <v>0.6957728481871096</v>
      </c>
      <c r="DX196" s="43" t="e">
        <f t="shared" si="77"/>
        <v>#N/A</v>
      </c>
      <c r="DY196" s="50" t="e">
        <f t="shared" si="78"/>
        <v>#N/A</v>
      </c>
      <c r="DZ196" s="50" t="str">
        <f t="shared" si="79"/>
        <v/>
      </c>
      <c r="EA196" s="50">
        <f t="shared" si="80"/>
        <v>1.5370967315469877</v>
      </c>
      <c r="EB196" s="43" t="e">
        <f t="shared" si="81"/>
        <v>#N/A</v>
      </c>
      <c r="EC196" s="50" t="e">
        <f t="shared" si="82"/>
        <v>#N/A</v>
      </c>
      <c r="ED196" s="50" t="str">
        <f t="shared" si="83"/>
        <v/>
      </c>
    </row>
    <row r="197" spans="1:134" ht="12" customHeight="1">
      <c r="A197" s="640">
        <v>185</v>
      </c>
      <c r="B197" s="994"/>
      <c r="C197" s="995"/>
      <c r="D197" s="329"/>
      <c r="E197" s="884"/>
      <c r="F197" s="1027" t="str">
        <f t="shared" si="85"/>
        <v/>
      </c>
      <c r="G197" s="1028" t="str">
        <f t="shared" si="86"/>
        <v/>
      </c>
      <c r="H197" s="886"/>
      <c r="I197" s="458" t="str">
        <f t="shared" si="87"/>
        <v/>
      </c>
      <c r="J197" s="886"/>
      <c r="BA197" s="983">
        <v>191</v>
      </c>
      <c r="BB197" s="994"/>
      <c r="BC197" s="995"/>
      <c r="BD197" s="1083"/>
      <c r="BF197" s="983">
        <v>191</v>
      </c>
      <c r="BG197" s="994"/>
      <c r="BH197" s="995"/>
      <c r="BI197" s="1083"/>
      <c r="BK197" s="983">
        <v>191</v>
      </c>
      <c r="BL197" s="994"/>
      <c r="BM197" s="995"/>
      <c r="BN197" s="1083"/>
      <c r="BP197" s="983">
        <v>191</v>
      </c>
      <c r="BQ197" s="994"/>
      <c r="BR197" s="995"/>
      <c r="BS197" s="1083"/>
      <c r="BU197" s="983">
        <v>191</v>
      </c>
      <c r="BV197" s="996"/>
      <c r="BW197" s="997"/>
      <c r="BX197" s="1083"/>
      <c r="BZ197" s="983">
        <v>191</v>
      </c>
      <c r="CA197" s="996"/>
      <c r="CB197" s="997"/>
      <c r="CC197" s="1083"/>
      <c r="DF197" s="43" t="b">
        <f t="shared" si="61"/>
        <v>0</v>
      </c>
      <c r="DG197" s="43" t="str">
        <f t="shared" si="62"/>
        <v/>
      </c>
      <c r="DH197" s="43" t="str">
        <f t="shared" si="63"/>
        <v/>
      </c>
      <c r="DI197" s="43" t="str">
        <f t="shared" si="64"/>
        <v/>
      </c>
      <c r="DJ197" s="43" t="str">
        <f t="shared" si="65"/>
        <v/>
      </c>
      <c r="DK197" s="43" t="e">
        <f t="shared" si="66"/>
        <v>#N/A</v>
      </c>
      <c r="DL197" s="43" t="e">
        <f t="shared" si="67"/>
        <v>#N/A</v>
      </c>
      <c r="DM197" s="43" t="e">
        <f t="shared" si="68"/>
        <v>#N/A</v>
      </c>
      <c r="DN197" s="43" t="e">
        <f t="shared" si="69"/>
        <v>#N/A</v>
      </c>
      <c r="DO197" s="43" t="e">
        <f t="shared" si="70"/>
        <v>#N/A</v>
      </c>
      <c r="DP197" s="43" t="e">
        <f t="shared" si="71"/>
        <v>#N/A</v>
      </c>
      <c r="DQ197" s="43" t="e">
        <f t="shared" si="72"/>
        <v>#N/A</v>
      </c>
      <c r="DR197" s="43" t="e">
        <f t="shared" si="73"/>
        <v>#N/A</v>
      </c>
      <c r="DS197" s="43">
        <f t="shared" si="74"/>
        <v>0</v>
      </c>
      <c r="DT197" s="43">
        <v>187</v>
      </c>
      <c r="DU197" s="43">
        <f t="shared" si="88"/>
        <v>16.229999999999947</v>
      </c>
      <c r="DV197" s="43">
        <f t="shared" si="75"/>
        <v>16.871902136457571</v>
      </c>
      <c r="DW197" s="43">
        <f t="shared" si="76"/>
        <v>0.701422732078683</v>
      </c>
      <c r="DX197" s="43" t="e">
        <f t="shared" si="77"/>
        <v>#N/A</v>
      </c>
      <c r="DY197" s="50" t="e">
        <f t="shared" si="78"/>
        <v>#N/A</v>
      </c>
      <c r="DZ197" s="50" t="str">
        <f t="shared" si="79"/>
        <v/>
      </c>
      <c r="EA197" s="50">
        <f t="shared" si="80"/>
        <v>1.5396624158999119</v>
      </c>
      <c r="EB197" s="43" t="e">
        <f t="shared" si="81"/>
        <v>#N/A</v>
      </c>
      <c r="EC197" s="50" t="e">
        <f t="shared" si="82"/>
        <v>#N/A</v>
      </c>
      <c r="ED197" s="50" t="str">
        <f t="shared" si="83"/>
        <v/>
      </c>
    </row>
    <row r="198" spans="1:134" ht="12" customHeight="1">
      <c r="A198" s="640">
        <v>186</v>
      </c>
      <c r="B198" s="994"/>
      <c r="C198" s="995"/>
      <c r="D198" s="329"/>
      <c r="E198" s="884"/>
      <c r="F198" s="1027" t="str">
        <f t="shared" si="85"/>
        <v/>
      </c>
      <c r="G198" s="1028" t="str">
        <f t="shared" si="86"/>
        <v/>
      </c>
      <c r="H198" s="886"/>
      <c r="I198" s="458" t="str">
        <f t="shared" si="87"/>
        <v/>
      </c>
      <c r="J198" s="886"/>
      <c r="BA198" s="983">
        <v>192</v>
      </c>
      <c r="BB198" s="994"/>
      <c r="BC198" s="995"/>
      <c r="BD198" s="1083"/>
      <c r="BF198" s="983">
        <v>192</v>
      </c>
      <c r="BG198" s="994"/>
      <c r="BH198" s="995"/>
      <c r="BI198" s="1083"/>
      <c r="BK198" s="983">
        <v>192</v>
      </c>
      <c r="BL198" s="994"/>
      <c r="BM198" s="995"/>
      <c r="BN198" s="1083"/>
      <c r="BP198" s="983">
        <v>192</v>
      </c>
      <c r="BQ198" s="994"/>
      <c r="BR198" s="995"/>
      <c r="BS198" s="1083"/>
      <c r="BU198" s="983">
        <v>192</v>
      </c>
      <c r="BV198" s="996"/>
      <c r="BW198" s="997"/>
      <c r="BX198" s="1083"/>
      <c r="BZ198" s="983">
        <v>192</v>
      </c>
      <c r="CA198" s="996"/>
      <c r="CB198" s="997"/>
      <c r="CC198" s="1083"/>
      <c r="DF198" s="43" t="b">
        <f t="shared" si="61"/>
        <v>0</v>
      </c>
      <c r="DG198" s="43" t="str">
        <f t="shared" si="62"/>
        <v/>
      </c>
      <c r="DH198" s="43" t="str">
        <f t="shared" si="63"/>
        <v/>
      </c>
      <c r="DI198" s="43" t="str">
        <f t="shared" si="64"/>
        <v/>
      </c>
      <c r="DJ198" s="43" t="str">
        <f t="shared" si="65"/>
        <v/>
      </c>
      <c r="DK198" s="43" t="e">
        <f t="shared" si="66"/>
        <v>#N/A</v>
      </c>
      <c r="DL198" s="43" t="e">
        <f t="shared" si="67"/>
        <v>#N/A</v>
      </c>
      <c r="DM198" s="43" t="e">
        <f t="shared" si="68"/>
        <v>#N/A</v>
      </c>
      <c r="DN198" s="43" t="e">
        <f t="shared" si="69"/>
        <v>#N/A</v>
      </c>
      <c r="DO198" s="43" t="e">
        <f t="shared" si="70"/>
        <v>#N/A</v>
      </c>
      <c r="DP198" s="43" t="e">
        <f t="shared" si="71"/>
        <v>#N/A</v>
      </c>
      <c r="DQ198" s="43" t="e">
        <f t="shared" si="72"/>
        <v>#N/A</v>
      </c>
      <c r="DR198" s="43" t="e">
        <f t="shared" si="73"/>
        <v>#N/A</v>
      </c>
      <c r="DS198" s="43">
        <f t="shared" si="74"/>
        <v>0</v>
      </c>
      <c r="DT198" s="43">
        <v>188</v>
      </c>
      <c r="DU198" s="43">
        <f t="shared" si="88"/>
        <v>16.284999999999947</v>
      </c>
      <c r="DV198" s="43">
        <f t="shared" si="75"/>
        <v>16.914772570640892</v>
      </c>
      <c r="DW198" s="43">
        <f t="shared" si="76"/>
        <v>0.70709393643125629</v>
      </c>
      <c r="DX198" s="43" t="e">
        <f t="shared" si="77"/>
        <v>#N/A</v>
      </c>
      <c r="DY198" s="50" t="e">
        <f t="shared" si="78"/>
        <v>#N/A</v>
      </c>
      <c r="DZ198" s="50" t="str">
        <f t="shared" si="79"/>
        <v/>
      </c>
      <c r="EA198" s="50">
        <f t="shared" si="80"/>
        <v>1.5422543048394706</v>
      </c>
      <c r="EB198" s="43" t="e">
        <f t="shared" si="81"/>
        <v>#N/A</v>
      </c>
      <c r="EC198" s="50" t="e">
        <f t="shared" si="82"/>
        <v>#N/A</v>
      </c>
      <c r="ED198" s="50" t="str">
        <f t="shared" si="83"/>
        <v/>
      </c>
    </row>
    <row r="199" spans="1:134" ht="12" customHeight="1">
      <c r="A199" s="640">
        <v>187</v>
      </c>
      <c r="B199" s="994"/>
      <c r="C199" s="995"/>
      <c r="D199" s="329"/>
      <c r="E199" s="884"/>
      <c r="F199" s="1027" t="str">
        <f t="shared" si="85"/>
        <v/>
      </c>
      <c r="G199" s="1028" t="str">
        <f t="shared" si="86"/>
        <v/>
      </c>
      <c r="H199" s="886"/>
      <c r="I199" s="458" t="str">
        <f t="shared" si="87"/>
        <v/>
      </c>
      <c r="J199" s="886"/>
      <c r="BA199" s="983">
        <v>193</v>
      </c>
      <c r="BB199" s="994"/>
      <c r="BC199" s="995"/>
      <c r="BD199" s="1083"/>
      <c r="BF199" s="983">
        <v>193</v>
      </c>
      <c r="BG199" s="994"/>
      <c r="BH199" s="995"/>
      <c r="BI199" s="1083"/>
      <c r="BK199" s="983">
        <v>193</v>
      </c>
      <c r="BL199" s="994"/>
      <c r="BM199" s="995"/>
      <c r="BN199" s="1083"/>
      <c r="BP199" s="983">
        <v>193</v>
      </c>
      <c r="BQ199" s="994"/>
      <c r="BR199" s="995"/>
      <c r="BS199" s="1083"/>
      <c r="BU199" s="983">
        <v>193</v>
      </c>
      <c r="BV199" s="996"/>
      <c r="BW199" s="997"/>
      <c r="BX199" s="1083"/>
      <c r="BZ199" s="983">
        <v>193</v>
      </c>
      <c r="CA199" s="996"/>
      <c r="CB199" s="997"/>
      <c r="CC199" s="1083"/>
      <c r="DF199" s="43" t="b">
        <f t="shared" si="61"/>
        <v>0</v>
      </c>
      <c r="DG199" s="43" t="str">
        <f t="shared" si="62"/>
        <v/>
      </c>
      <c r="DH199" s="43" t="str">
        <f t="shared" si="63"/>
        <v/>
      </c>
      <c r="DI199" s="43" t="str">
        <f t="shared" si="64"/>
        <v/>
      </c>
      <c r="DJ199" s="43" t="str">
        <f t="shared" si="65"/>
        <v/>
      </c>
      <c r="DK199" s="43" t="e">
        <f t="shared" si="66"/>
        <v>#N/A</v>
      </c>
      <c r="DL199" s="43" t="e">
        <f t="shared" si="67"/>
        <v>#N/A</v>
      </c>
      <c r="DM199" s="43" t="e">
        <f t="shared" si="68"/>
        <v>#N/A</v>
      </c>
      <c r="DN199" s="43" t="e">
        <f t="shared" si="69"/>
        <v>#N/A</v>
      </c>
      <c r="DO199" s="43" t="e">
        <f t="shared" si="70"/>
        <v>#N/A</v>
      </c>
      <c r="DP199" s="43" t="e">
        <f t="shared" si="71"/>
        <v>#N/A</v>
      </c>
      <c r="DQ199" s="43" t="e">
        <f t="shared" si="72"/>
        <v>#N/A</v>
      </c>
      <c r="DR199" s="43" t="e">
        <f t="shared" si="73"/>
        <v>#N/A</v>
      </c>
      <c r="DS199" s="43">
        <f t="shared" si="74"/>
        <v>0</v>
      </c>
      <c r="DT199" s="43">
        <v>189</v>
      </c>
      <c r="DU199" s="43">
        <f t="shared" si="88"/>
        <v>16.339999999999947</v>
      </c>
      <c r="DV199" s="43">
        <f t="shared" si="75"/>
        <v>16.957643004824217</v>
      </c>
      <c r="DW199" s="43">
        <f t="shared" si="76"/>
        <v>0.71278595234318376</v>
      </c>
      <c r="DX199" s="43" t="e">
        <f t="shared" si="77"/>
        <v>#N/A</v>
      </c>
      <c r="DY199" s="50" t="e">
        <f t="shared" si="78"/>
        <v>#N/A</v>
      </c>
      <c r="DZ199" s="50" t="str">
        <f t="shared" si="79"/>
        <v/>
      </c>
      <c r="EA199" s="50">
        <f t="shared" si="80"/>
        <v>1.5448722664724774</v>
      </c>
      <c r="EB199" s="43" t="e">
        <f t="shared" si="81"/>
        <v>#N/A</v>
      </c>
      <c r="EC199" s="50" t="e">
        <f t="shared" si="82"/>
        <v>#N/A</v>
      </c>
      <c r="ED199" s="50" t="str">
        <f t="shared" si="83"/>
        <v/>
      </c>
    </row>
    <row r="200" spans="1:134" ht="12" customHeight="1">
      <c r="A200" s="640">
        <v>188</v>
      </c>
      <c r="B200" s="994"/>
      <c r="C200" s="995"/>
      <c r="D200" s="329"/>
      <c r="E200" s="884"/>
      <c r="F200" s="1027" t="str">
        <f t="shared" si="85"/>
        <v/>
      </c>
      <c r="G200" s="1028" t="str">
        <f t="shared" si="86"/>
        <v/>
      </c>
      <c r="H200" s="886"/>
      <c r="I200" s="458" t="str">
        <f t="shared" si="87"/>
        <v/>
      </c>
      <c r="J200" s="886"/>
      <c r="BA200" s="983">
        <v>194</v>
      </c>
      <c r="BB200" s="994"/>
      <c r="BC200" s="995"/>
      <c r="BD200" s="1083"/>
      <c r="BF200" s="983">
        <v>194</v>
      </c>
      <c r="BG200" s="994"/>
      <c r="BH200" s="995"/>
      <c r="BI200" s="1083"/>
      <c r="BK200" s="983">
        <v>194</v>
      </c>
      <c r="BL200" s="994"/>
      <c r="BM200" s="995"/>
      <c r="BN200" s="1083"/>
      <c r="BP200" s="983">
        <v>194</v>
      </c>
      <c r="BQ200" s="994"/>
      <c r="BR200" s="995"/>
      <c r="BS200" s="1083"/>
      <c r="BU200" s="983">
        <v>194</v>
      </c>
      <c r="BV200" s="996"/>
      <c r="BW200" s="997"/>
      <c r="BX200" s="1083"/>
      <c r="BZ200" s="983">
        <v>194</v>
      </c>
      <c r="CA200" s="996"/>
      <c r="CB200" s="997"/>
      <c r="CC200" s="1083"/>
      <c r="DF200" s="43" t="b">
        <f t="shared" si="61"/>
        <v>0</v>
      </c>
      <c r="DG200" s="43" t="str">
        <f t="shared" si="62"/>
        <v/>
      </c>
      <c r="DH200" s="43" t="str">
        <f t="shared" si="63"/>
        <v/>
      </c>
      <c r="DI200" s="43" t="str">
        <f t="shared" si="64"/>
        <v/>
      </c>
      <c r="DJ200" s="43" t="str">
        <f t="shared" si="65"/>
        <v/>
      </c>
      <c r="DK200" s="43" t="e">
        <f t="shared" si="66"/>
        <v>#N/A</v>
      </c>
      <c r="DL200" s="43" t="e">
        <f t="shared" si="67"/>
        <v>#N/A</v>
      </c>
      <c r="DM200" s="43" t="e">
        <f t="shared" si="68"/>
        <v>#N/A</v>
      </c>
      <c r="DN200" s="43" t="e">
        <f t="shared" si="69"/>
        <v>#N/A</v>
      </c>
      <c r="DO200" s="43" t="e">
        <f t="shared" si="70"/>
        <v>#N/A</v>
      </c>
      <c r="DP200" s="43" t="e">
        <f t="shared" si="71"/>
        <v>#N/A</v>
      </c>
      <c r="DQ200" s="43" t="e">
        <f t="shared" si="72"/>
        <v>#N/A</v>
      </c>
      <c r="DR200" s="43" t="e">
        <f t="shared" si="73"/>
        <v>#N/A</v>
      </c>
      <c r="DS200" s="43">
        <f t="shared" si="74"/>
        <v>0</v>
      </c>
      <c r="DT200" s="43">
        <v>190</v>
      </c>
      <c r="DU200" s="43">
        <f t="shared" si="88"/>
        <v>16.394999999999946</v>
      </c>
      <c r="DV200" s="43">
        <f t="shared" si="75"/>
        <v>17.000513439007538</v>
      </c>
      <c r="DW200" s="43">
        <f t="shared" si="76"/>
        <v>0.7184982852008166</v>
      </c>
      <c r="DX200" s="43" t="e">
        <f t="shared" si="77"/>
        <v>#N/A</v>
      </c>
      <c r="DY200" s="50" t="e">
        <f t="shared" si="78"/>
        <v>#N/A</v>
      </c>
      <c r="DZ200" s="50" t="str">
        <f t="shared" si="79"/>
        <v/>
      </c>
      <c r="EA200" s="50">
        <f t="shared" si="80"/>
        <v>1.5475161684759688</v>
      </c>
      <c r="EB200" s="43" t="e">
        <f t="shared" si="81"/>
        <v>#N/A</v>
      </c>
      <c r="EC200" s="50" t="e">
        <f t="shared" si="82"/>
        <v>#N/A</v>
      </c>
      <c r="ED200" s="50" t="str">
        <f t="shared" si="83"/>
        <v/>
      </c>
    </row>
    <row r="201" spans="1:134" ht="12" customHeight="1">
      <c r="A201" s="640">
        <v>189</v>
      </c>
      <c r="B201" s="994"/>
      <c r="C201" s="995"/>
      <c r="D201" s="329"/>
      <c r="E201" s="884"/>
      <c r="F201" s="1027" t="str">
        <f t="shared" si="85"/>
        <v/>
      </c>
      <c r="G201" s="1028" t="str">
        <f t="shared" si="86"/>
        <v/>
      </c>
      <c r="H201" s="886"/>
      <c r="I201" s="458" t="str">
        <f t="shared" si="87"/>
        <v/>
      </c>
      <c r="J201" s="886"/>
      <c r="BA201" s="983">
        <v>195</v>
      </c>
      <c r="BB201" s="994"/>
      <c r="BC201" s="995"/>
      <c r="BD201" s="1083"/>
      <c r="BF201" s="983">
        <v>195</v>
      </c>
      <c r="BG201" s="994"/>
      <c r="BH201" s="995"/>
      <c r="BI201" s="1083"/>
      <c r="BK201" s="983">
        <v>195</v>
      </c>
      <c r="BL201" s="994"/>
      <c r="BM201" s="995"/>
      <c r="BN201" s="1083"/>
      <c r="BP201" s="983">
        <v>195</v>
      </c>
      <c r="BQ201" s="994"/>
      <c r="BR201" s="995"/>
      <c r="BS201" s="1083"/>
      <c r="BU201" s="983">
        <v>195</v>
      </c>
      <c r="BV201" s="996"/>
      <c r="BW201" s="997"/>
      <c r="BX201" s="1083"/>
      <c r="BZ201" s="983">
        <v>195</v>
      </c>
      <c r="CA201" s="996"/>
      <c r="CB201" s="997"/>
      <c r="CC201" s="1083"/>
      <c r="DF201" s="43" t="b">
        <f t="shared" si="61"/>
        <v>0</v>
      </c>
      <c r="DG201" s="43" t="str">
        <f t="shared" si="62"/>
        <v/>
      </c>
      <c r="DH201" s="43" t="str">
        <f t="shared" si="63"/>
        <v/>
      </c>
      <c r="DI201" s="43" t="str">
        <f t="shared" si="64"/>
        <v/>
      </c>
      <c r="DJ201" s="43" t="str">
        <f t="shared" si="65"/>
        <v/>
      </c>
      <c r="DK201" s="43" t="e">
        <f t="shared" si="66"/>
        <v>#N/A</v>
      </c>
      <c r="DL201" s="43" t="e">
        <f t="shared" si="67"/>
        <v>#N/A</v>
      </c>
      <c r="DM201" s="43" t="e">
        <f t="shared" si="68"/>
        <v>#N/A</v>
      </c>
      <c r="DN201" s="43" t="e">
        <f t="shared" si="69"/>
        <v>#N/A</v>
      </c>
      <c r="DO201" s="43" t="e">
        <f t="shared" si="70"/>
        <v>#N/A</v>
      </c>
      <c r="DP201" s="43" t="e">
        <f t="shared" si="71"/>
        <v>#N/A</v>
      </c>
      <c r="DQ201" s="43" t="e">
        <f t="shared" si="72"/>
        <v>#N/A</v>
      </c>
      <c r="DR201" s="43" t="e">
        <f t="shared" si="73"/>
        <v>#N/A</v>
      </c>
      <c r="DS201" s="43">
        <f t="shared" si="74"/>
        <v>0</v>
      </c>
      <c r="DT201" s="43">
        <v>191</v>
      </c>
      <c r="DU201" s="43">
        <f t="shared" si="88"/>
        <v>16.449999999999946</v>
      </c>
      <c r="DV201" s="43">
        <f t="shared" si="75"/>
        <v>17.043383873190859</v>
      </c>
      <c r="DW201" s="43">
        <f t="shared" si="76"/>
        <v>0.72423045425751953</v>
      </c>
      <c r="DX201" s="43" t="e">
        <f t="shared" si="77"/>
        <v>#N/A</v>
      </c>
      <c r="DY201" s="50" t="e">
        <f t="shared" si="78"/>
        <v>#N/A</v>
      </c>
      <c r="DZ201" s="50" t="str">
        <f t="shared" si="79"/>
        <v/>
      </c>
      <c r="EA201" s="50">
        <f t="shared" si="80"/>
        <v>1.5501858781230342</v>
      </c>
      <c r="EB201" s="43" t="e">
        <f t="shared" si="81"/>
        <v>#N/A</v>
      </c>
      <c r="EC201" s="50" t="e">
        <f t="shared" si="82"/>
        <v>#N/A</v>
      </c>
      <c r="ED201" s="50" t="str">
        <f t="shared" si="83"/>
        <v/>
      </c>
    </row>
    <row r="202" spans="1:134" ht="12" customHeight="1">
      <c r="A202" s="640">
        <v>190</v>
      </c>
      <c r="B202" s="994"/>
      <c r="C202" s="995"/>
      <c r="D202" s="329"/>
      <c r="E202" s="884"/>
      <c r="F202" s="1027" t="str">
        <f t="shared" si="85"/>
        <v/>
      </c>
      <c r="G202" s="1028" t="str">
        <f t="shared" si="86"/>
        <v/>
      </c>
      <c r="H202" s="886"/>
      <c r="I202" s="458" t="str">
        <f t="shared" si="87"/>
        <v/>
      </c>
      <c r="J202" s="886"/>
      <c r="BA202" s="983">
        <v>196</v>
      </c>
      <c r="BB202" s="994"/>
      <c r="BC202" s="995"/>
      <c r="BD202" s="1083"/>
      <c r="BF202" s="983">
        <v>196</v>
      </c>
      <c r="BG202" s="994"/>
      <c r="BH202" s="995"/>
      <c r="BI202" s="1083"/>
      <c r="BK202" s="983">
        <v>196</v>
      </c>
      <c r="BL202" s="994"/>
      <c r="BM202" s="995"/>
      <c r="BN202" s="1083"/>
      <c r="BP202" s="983">
        <v>196</v>
      </c>
      <c r="BQ202" s="994"/>
      <c r="BR202" s="995"/>
      <c r="BS202" s="1083"/>
      <c r="BU202" s="983">
        <v>196</v>
      </c>
      <c r="BV202" s="996"/>
      <c r="BW202" s="997"/>
      <c r="BX202" s="1083"/>
      <c r="BZ202" s="983">
        <v>196</v>
      </c>
      <c r="CA202" s="996"/>
      <c r="CB202" s="997"/>
      <c r="CC202" s="1083"/>
      <c r="DF202" s="43" t="b">
        <f t="shared" si="61"/>
        <v>0</v>
      </c>
      <c r="DG202" s="43" t="str">
        <f t="shared" si="62"/>
        <v/>
      </c>
      <c r="DH202" s="43" t="str">
        <f t="shared" si="63"/>
        <v/>
      </c>
      <c r="DI202" s="43" t="str">
        <f t="shared" si="64"/>
        <v/>
      </c>
      <c r="DJ202" s="43" t="str">
        <f t="shared" si="65"/>
        <v/>
      </c>
      <c r="DK202" s="43" t="e">
        <f t="shared" si="66"/>
        <v>#N/A</v>
      </c>
      <c r="DL202" s="43" t="e">
        <f t="shared" si="67"/>
        <v>#N/A</v>
      </c>
      <c r="DM202" s="43" t="e">
        <f t="shared" si="68"/>
        <v>#N/A</v>
      </c>
      <c r="DN202" s="43" t="e">
        <f t="shared" si="69"/>
        <v>#N/A</v>
      </c>
      <c r="DO202" s="43" t="e">
        <f t="shared" si="70"/>
        <v>#N/A</v>
      </c>
      <c r="DP202" s="43" t="e">
        <f t="shared" si="71"/>
        <v>#N/A</v>
      </c>
      <c r="DQ202" s="43" t="e">
        <f t="shared" si="72"/>
        <v>#N/A</v>
      </c>
      <c r="DR202" s="43" t="e">
        <f t="shared" si="73"/>
        <v>#N/A</v>
      </c>
      <c r="DS202" s="43">
        <f t="shared" si="74"/>
        <v>0</v>
      </c>
      <c r="DT202" s="43">
        <v>192</v>
      </c>
      <c r="DU202" s="43">
        <f t="shared" si="88"/>
        <v>16.504999999999946</v>
      </c>
      <c r="DV202" s="43">
        <f t="shared" si="75"/>
        <v>17.086254307374183</v>
      </c>
      <c r="DW202" s="43">
        <f t="shared" si="76"/>
        <v>0.72998199222336746</v>
      </c>
      <c r="DX202" s="43" t="e">
        <f t="shared" si="77"/>
        <v>#N/A</v>
      </c>
      <c r="DY202" s="50" t="e">
        <f t="shared" si="78"/>
        <v>#N/A</v>
      </c>
      <c r="DZ202" s="50" t="str">
        <f t="shared" si="79"/>
        <v/>
      </c>
      <c r="EA202" s="50">
        <f t="shared" si="80"/>
        <v>1.5528812623083665</v>
      </c>
      <c r="EB202" s="43" t="e">
        <f t="shared" si="81"/>
        <v>#N/A</v>
      </c>
      <c r="EC202" s="50" t="e">
        <f t="shared" si="82"/>
        <v>#N/A</v>
      </c>
      <c r="ED202" s="50" t="str">
        <f t="shared" si="83"/>
        <v/>
      </c>
    </row>
    <row r="203" spans="1:134" ht="12" customHeight="1">
      <c r="A203" s="640">
        <v>191</v>
      </c>
      <c r="B203" s="994"/>
      <c r="C203" s="995"/>
      <c r="D203" s="329"/>
      <c r="E203" s="884"/>
      <c r="F203" s="1027" t="str">
        <f t="shared" si="85"/>
        <v/>
      </c>
      <c r="G203" s="1028" t="str">
        <f t="shared" si="86"/>
        <v/>
      </c>
      <c r="H203" s="886"/>
      <c r="I203" s="458" t="str">
        <f t="shared" si="87"/>
        <v/>
      </c>
      <c r="J203" s="886"/>
      <c r="BA203" s="983">
        <v>197</v>
      </c>
      <c r="BB203" s="994"/>
      <c r="BC203" s="995"/>
      <c r="BD203" s="1083"/>
      <c r="BF203" s="983">
        <v>197</v>
      </c>
      <c r="BG203" s="994"/>
      <c r="BH203" s="995"/>
      <c r="BI203" s="1083"/>
      <c r="BK203" s="983">
        <v>197</v>
      </c>
      <c r="BL203" s="994"/>
      <c r="BM203" s="995"/>
      <c r="BN203" s="1083"/>
      <c r="BP203" s="983">
        <v>197</v>
      </c>
      <c r="BQ203" s="994"/>
      <c r="BR203" s="995"/>
      <c r="BS203" s="1083"/>
      <c r="BU203" s="983">
        <v>197</v>
      </c>
      <c r="BV203" s="996"/>
      <c r="BW203" s="997"/>
      <c r="BX203" s="1083"/>
      <c r="BZ203" s="983">
        <v>197</v>
      </c>
      <c r="CA203" s="996"/>
      <c r="CB203" s="997"/>
      <c r="CC203" s="1083"/>
      <c r="DF203" s="43" t="b">
        <f t="shared" ref="DF203:DF266" si="89">IF(AND(ISNUMBER(B205),ISNUMBER(C205)),TRUE,FALSE)</f>
        <v>0</v>
      </c>
      <c r="DG203" s="43" t="str">
        <f t="shared" ref="DG203:DG266" si="90">IF(DF203,B205,"")</f>
        <v/>
      </c>
      <c r="DH203" s="43" t="str">
        <f t="shared" ref="DH203:DH266" si="91">IF(DF203,C205,"")</f>
        <v/>
      </c>
      <c r="DI203" s="43" t="str">
        <f t="shared" ref="DI203:DI266" si="92">IF(DF203,F205,"")</f>
        <v/>
      </c>
      <c r="DJ203" s="43" t="str">
        <f t="shared" ref="DJ203:DJ266" si="93">IF(DF203,G205,"")</f>
        <v/>
      </c>
      <c r="DK203" s="43" t="e">
        <f t="shared" ref="DK203:DK266" si="94">IF($DM$6,IF(AND(DF203,DI203&lt;&gt;""),DI203,NA()),NA())</f>
        <v>#N/A</v>
      </c>
      <c r="DL203" s="43" t="e">
        <f t="shared" ref="DL203:DL266" si="95">IF($DM$6,IF(AND(DF203,DJ203&lt;&gt;""),DJ203,NA()),NA())</f>
        <v>#N/A</v>
      </c>
      <c r="DM203" s="43" t="e">
        <f t="shared" ref="DM203:DM266" si="96">OR(DK203&lt;-forzoom,DK203&gt;forzoom,DL203&lt;-forzoom,DL203&gt;forzoom)</f>
        <v>#N/A</v>
      </c>
      <c r="DN203" s="43" t="e">
        <f t="shared" ref="DN203:DN266" si="97">IF(DM203,IF(ISNA(DK203),NA(),IF(DK203&lt;-forzoom,-forzoom,IF(DK203&gt;forzoom,forzoom,DK203))),NA())</f>
        <v>#N/A</v>
      </c>
      <c r="DO203" s="43" t="e">
        <f t="shared" ref="DO203:DO266" si="98">IF(ISNA(DL203),NA(),IF(DL203&lt;-forzoom,-forzoom,IF(DL203&gt;forzoom,forzoom,DL203)))</f>
        <v>#N/A</v>
      </c>
      <c r="DP203" s="43" t="e">
        <f t="shared" ref="DP203:DP266" si="99">IF(AND($DJ$7,DF203,$DO$1),B205,NA())</f>
        <v>#N/A</v>
      </c>
      <c r="DQ203" s="43" t="e">
        <f t="shared" ref="DQ203:DQ266" si="100">IF(AND($DJ$7,DF203,$DO$1),IF($DS$1,$C$9-($DD$20*$C$10/$B$10)*$B$9,$U$40)+IF($DS$1,$DD$20*$C$10/$B$10,$W$40)*DP203,NA())</f>
        <v>#N/A</v>
      </c>
      <c r="DR203" s="43" t="e">
        <f t="shared" ref="DR203:DR266" si="101">IF(AND(DF203,$DO$1),C205-DQ203,NA())</f>
        <v>#N/A</v>
      </c>
      <c r="DS203" s="43">
        <f t="shared" ref="DS203:DS266" si="102">IF(ISNA(DR203),0,DR203^2)</f>
        <v>0</v>
      </c>
      <c r="DT203" s="43">
        <v>193</v>
      </c>
      <c r="DU203" s="43">
        <f t="shared" si="88"/>
        <v>16.559999999999945</v>
      </c>
      <c r="DV203" s="43">
        <f t="shared" ref="DV203:DV211" si="103">$U$40+$W$40*DU203</f>
        <v>17.129124741557504</v>
      </c>
      <c r="DW203" s="43">
        <f t="shared" ref="DW203:DW211" si="104">$DU$7*SQRT((1/$C$7)+((DU203-$B$9)^2)/(($C$7-1)*$B$10^2))</f>
        <v>0.73575244486548907</v>
      </c>
      <c r="DX203" s="43" t="e">
        <f t="shared" ref="DX203:DX211" si="105">IF(AND($DJ$7,$DU$1),DV203-$DU$6*DW203,NA())</f>
        <v>#N/A</v>
      </c>
      <c r="DY203" s="50" t="e">
        <f t="shared" ref="DY203:DY211" si="106">IF(AND($DJ$7,$DU$1),DV203+$DU$6*DW203,NA())</f>
        <v>#N/A</v>
      </c>
      <c r="DZ203" s="50" t="str">
        <f t="shared" ref="DZ203:DZ211" si="107">IF(ISNA(DX203),"",DX203)</f>
        <v/>
      </c>
      <c r="EA203" s="50">
        <f t="shared" ref="EA203:EA211" si="108">$DU$7*SQRT(1+(1/$C$7)+((DU203-$B$9)^2)/(($C$7-1)*$B$10^2))</f>
        <v>1.5556021875735373</v>
      </c>
      <c r="EB203" s="43" t="e">
        <f t="shared" ref="EB203:EB211" si="109">IF(AND($DJ$7,$DW$1),DV203-$DU$6*EA203,NA())</f>
        <v>#N/A</v>
      </c>
      <c r="EC203" s="50" t="e">
        <f t="shared" ref="EC203:EC211" si="110">IF(AND($DJ$7,$DW$1),DV203+$DU$6*EA203,NA())</f>
        <v>#N/A</v>
      </c>
      <c r="ED203" s="50" t="str">
        <f t="shared" ref="ED203:ED211" si="111">IF(ISNA(EB203),"",EB203)</f>
        <v/>
      </c>
    </row>
    <row r="204" spans="1:134" ht="12" customHeight="1">
      <c r="A204" s="640">
        <v>192</v>
      </c>
      <c r="B204" s="994"/>
      <c r="C204" s="995"/>
      <c r="D204" s="329"/>
      <c r="E204" s="884"/>
      <c r="F204" s="1027" t="str">
        <f t="shared" si="85"/>
        <v/>
      </c>
      <c r="G204" s="1028" t="str">
        <f t="shared" si="86"/>
        <v/>
      </c>
      <c r="H204" s="886"/>
      <c r="I204" s="458" t="str">
        <f t="shared" si="87"/>
        <v/>
      </c>
      <c r="J204" s="886"/>
      <c r="BA204" s="983">
        <v>198</v>
      </c>
      <c r="BB204" s="994"/>
      <c r="BC204" s="995"/>
      <c r="BD204" s="1083"/>
      <c r="BF204" s="983">
        <v>198</v>
      </c>
      <c r="BG204" s="994"/>
      <c r="BH204" s="995"/>
      <c r="BI204" s="1083"/>
      <c r="BK204" s="983">
        <v>198</v>
      </c>
      <c r="BL204" s="994"/>
      <c r="BM204" s="995"/>
      <c r="BN204" s="1083"/>
      <c r="BP204" s="983">
        <v>198</v>
      </c>
      <c r="BQ204" s="994"/>
      <c r="BR204" s="995"/>
      <c r="BS204" s="1083"/>
      <c r="BU204" s="983">
        <v>198</v>
      </c>
      <c r="BV204" s="996"/>
      <c r="BW204" s="997"/>
      <c r="BX204" s="1083"/>
      <c r="BZ204" s="983">
        <v>198</v>
      </c>
      <c r="CA204" s="996"/>
      <c r="CB204" s="997"/>
      <c r="CC204" s="1083"/>
      <c r="DF204" s="43" t="b">
        <f t="shared" si="89"/>
        <v>0</v>
      </c>
      <c r="DG204" s="43" t="str">
        <f t="shared" si="90"/>
        <v/>
      </c>
      <c r="DH204" s="43" t="str">
        <f t="shared" si="91"/>
        <v/>
      </c>
      <c r="DI204" s="43" t="str">
        <f t="shared" si="92"/>
        <v/>
      </c>
      <c r="DJ204" s="43" t="str">
        <f t="shared" si="93"/>
        <v/>
      </c>
      <c r="DK204" s="43" t="e">
        <f t="shared" si="94"/>
        <v>#N/A</v>
      </c>
      <c r="DL204" s="43" t="e">
        <f t="shared" si="95"/>
        <v>#N/A</v>
      </c>
      <c r="DM204" s="43" t="e">
        <f t="shared" si="96"/>
        <v>#N/A</v>
      </c>
      <c r="DN204" s="43" t="e">
        <f t="shared" si="97"/>
        <v>#N/A</v>
      </c>
      <c r="DO204" s="43" t="e">
        <f t="shared" si="98"/>
        <v>#N/A</v>
      </c>
      <c r="DP204" s="43" t="e">
        <f t="shared" si="99"/>
        <v>#N/A</v>
      </c>
      <c r="DQ204" s="43" t="e">
        <f t="shared" si="100"/>
        <v>#N/A</v>
      </c>
      <c r="DR204" s="43" t="e">
        <f t="shared" si="101"/>
        <v>#N/A</v>
      </c>
      <c r="DS204" s="43">
        <f t="shared" si="102"/>
        <v>0</v>
      </c>
      <c r="DT204" s="43">
        <v>194</v>
      </c>
      <c r="DU204" s="43">
        <f t="shared" ref="DU204:DU211" si="112">DU203+$DU$5</f>
        <v>16.614999999999945</v>
      </c>
      <c r="DV204" s="43">
        <f t="shared" si="103"/>
        <v>17.171995175740825</v>
      </c>
      <c r="DW204" s="43">
        <f t="shared" si="104"/>
        <v>0.7415413706189945</v>
      </c>
      <c r="DX204" s="43" t="e">
        <f t="shared" si="105"/>
        <v>#N/A</v>
      </c>
      <c r="DY204" s="50" t="e">
        <f t="shared" si="106"/>
        <v>#N/A</v>
      </c>
      <c r="DZ204" s="50" t="str">
        <f t="shared" si="107"/>
        <v/>
      </c>
      <c r="EA204" s="50">
        <f t="shared" si="108"/>
        <v>1.558348520131978</v>
      </c>
      <c r="EB204" s="43" t="e">
        <f t="shared" si="109"/>
        <v>#N/A</v>
      </c>
      <c r="EC204" s="50" t="e">
        <f t="shared" si="110"/>
        <v>#N/A</v>
      </c>
      <c r="ED204" s="50" t="str">
        <f t="shared" si="111"/>
        <v/>
      </c>
    </row>
    <row r="205" spans="1:134" ht="12" customHeight="1">
      <c r="A205" s="640">
        <v>193</v>
      </c>
      <c r="B205" s="994"/>
      <c r="C205" s="995"/>
      <c r="D205" s="329"/>
      <c r="E205" s="884"/>
      <c r="F205" s="1027" t="str">
        <f t="shared" ref="F205:F268" si="113">IF(AND($DH$1,$B$10&lt;&gt;""),IF(OR(COUNT($DG$11:$DG$310)&lt;2,DG203=""),"",(DG203-$B$9)/$B$10),"")</f>
        <v/>
      </c>
      <c r="G205" s="1028" t="str">
        <f t="shared" ref="G205:G268" si="114">IF(AND($DH$1,$C$10&lt;&gt;""),IF(OR(COUNT($DH$11:$DH$310)&lt;2,DH203=""),"",(DH203-$C$9)/$C$10),"")</f>
        <v/>
      </c>
      <c r="H205" s="886"/>
      <c r="I205" s="458" t="str">
        <f t="shared" ref="I205:I268" si="115">IF(AND(F205&lt;&gt;"",G205&lt;&gt;""),F205*G205,"")</f>
        <v/>
      </c>
      <c r="J205" s="886"/>
      <c r="BA205" s="983">
        <v>199</v>
      </c>
      <c r="BB205" s="994"/>
      <c r="BC205" s="995"/>
      <c r="BD205" s="1083"/>
      <c r="BF205" s="983">
        <v>199</v>
      </c>
      <c r="BG205" s="994"/>
      <c r="BH205" s="995"/>
      <c r="BI205" s="1083"/>
      <c r="BK205" s="983">
        <v>199</v>
      </c>
      <c r="BL205" s="994"/>
      <c r="BM205" s="995"/>
      <c r="BN205" s="1083"/>
      <c r="BP205" s="983">
        <v>199</v>
      </c>
      <c r="BQ205" s="994"/>
      <c r="BR205" s="995"/>
      <c r="BS205" s="1083"/>
      <c r="BU205" s="983">
        <v>199</v>
      </c>
      <c r="BV205" s="996"/>
      <c r="BW205" s="997"/>
      <c r="BX205" s="1083"/>
      <c r="BZ205" s="983">
        <v>199</v>
      </c>
      <c r="CA205" s="996"/>
      <c r="CB205" s="997"/>
      <c r="CC205" s="1083"/>
      <c r="DF205" s="43" t="b">
        <f t="shared" si="89"/>
        <v>0</v>
      </c>
      <c r="DG205" s="43" t="str">
        <f t="shared" si="90"/>
        <v/>
      </c>
      <c r="DH205" s="43" t="str">
        <f t="shared" si="91"/>
        <v/>
      </c>
      <c r="DI205" s="43" t="str">
        <f t="shared" si="92"/>
        <v/>
      </c>
      <c r="DJ205" s="43" t="str">
        <f t="shared" si="93"/>
        <v/>
      </c>
      <c r="DK205" s="43" t="e">
        <f t="shared" si="94"/>
        <v>#N/A</v>
      </c>
      <c r="DL205" s="43" t="e">
        <f t="shared" si="95"/>
        <v>#N/A</v>
      </c>
      <c r="DM205" s="43" t="e">
        <f t="shared" si="96"/>
        <v>#N/A</v>
      </c>
      <c r="DN205" s="43" t="e">
        <f t="shared" si="97"/>
        <v>#N/A</v>
      </c>
      <c r="DO205" s="43" t="e">
        <f t="shared" si="98"/>
        <v>#N/A</v>
      </c>
      <c r="DP205" s="43" t="e">
        <f t="shared" si="99"/>
        <v>#N/A</v>
      </c>
      <c r="DQ205" s="43" t="e">
        <f t="shared" si="100"/>
        <v>#N/A</v>
      </c>
      <c r="DR205" s="43" t="e">
        <f t="shared" si="101"/>
        <v>#N/A</v>
      </c>
      <c r="DS205" s="43">
        <f t="shared" si="102"/>
        <v>0</v>
      </c>
      <c r="DT205" s="43">
        <v>195</v>
      </c>
      <c r="DU205" s="43">
        <f t="shared" si="112"/>
        <v>16.669999999999945</v>
      </c>
      <c r="DV205" s="43">
        <f t="shared" si="103"/>
        <v>17.214865609924146</v>
      </c>
      <c r="DW205" s="43">
        <f t="shared" si="104"/>
        <v>0.74734834020840235</v>
      </c>
      <c r="DX205" s="43" t="e">
        <f t="shared" si="105"/>
        <v>#N/A</v>
      </c>
      <c r="DY205" s="50" t="e">
        <f t="shared" si="106"/>
        <v>#N/A</v>
      </c>
      <c r="DZ205" s="50" t="str">
        <f t="shared" si="107"/>
        <v/>
      </c>
      <c r="EA205" s="50">
        <f t="shared" si="108"/>
        <v>1.5611201258936749</v>
      </c>
      <c r="EB205" s="43" t="e">
        <f t="shared" si="109"/>
        <v>#N/A</v>
      </c>
      <c r="EC205" s="50" t="e">
        <f t="shared" si="110"/>
        <v>#N/A</v>
      </c>
      <c r="ED205" s="50" t="str">
        <f t="shared" si="111"/>
        <v/>
      </c>
    </row>
    <row r="206" spans="1:134" ht="12" customHeight="1">
      <c r="A206" s="640">
        <v>194</v>
      </c>
      <c r="B206" s="994"/>
      <c r="C206" s="995"/>
      <c r="D206" s="329"/>
      <c r="E206" s="884"/>
      <c r="F206" s="1027" t="str">
        <f t="shared" si="113"/>
        <v/>
      </c>
      <c r="G206" s="1028" t="str">
        <f t="shared" si="114"/>
        <v/>
      </c>
      <c r="H206" s="886"/>
      <c r="I206" s="458" t="str">
        <f t="shared" si="115"/>
        <v/>
      </c>
      <c r="J206" s="886"/>
      <c r="BA206" s="983">
        <v>200</v>
      </c>
      <c r="BB206" s="994"/>
      <c r="BC206" s="995"/>
      <c r="BD206" s="1083"/>
      <c r="BF206" s="983">
        <v>200</v>
      </c>
      <c r="BG206" s="994"/>
      <c r="BH206" s="995"/>
      <c r="BI206" s="1083"/>
      <c r="BK206" s="983">
        <v>200</v>
      </c>
      <c r="BL206" s="994"/>
      <c r="BM206" s="995"/>
      <c r="BN206" s="1083"/>
      <c r="BP206" s="983">
        <v>200</v>
      </c>
      <c r="BQ206" s="994"/>
      <c r="BR206" s="995"/>
      <c r="BS206" s="1083"/>
      <c r="BU206" s="983">
        <v>200</v>
      </c>
      <c r="BV206" s="996"/>
      <c r="BW206" s="997"/>
      <c r="BX206" s="1083"/>
      <c r="BZ206" s="983">
        <v>200</v>
      </c>
      <c r="CA206" s="996"/>
      <c r="CB206" s="997"/>
      <c r="CC206" s="1083"/>
      <c r="DF206" s="43" t="b">
        <f t="shared" si="89"/>
        <v>0</v>
      </c>
      <c r="DG206" s="43" t="str">
        <f t="shared" si="90"/>
        <v/>
      </c>
      <c r="DH206" s="43" t="str">
        <f t="shared" si="91"/>
        <v/>
      </c>
      <c r="DI206" s="43" t="str">
        <f t="shared" si="92"/>
        <v/>
      </c>
      <c r="DJ206" s="43" t="str">
        <f t="shared" si="93"/>
        <v/>
      </c>
      <c r="DK206" s="43" t="e">
        <f t="shared" si="94"/>
        <v>#N/A</v>
      </c>
      <c r="DL206" s="43" t="e">
        <f t="shared" si="95"/>
        <v>#N/A</v>
      </c>
      <c r="DM206" s="43" t="e">
        <f t="shared" si="96"/>
        <v>#N/A</v>
      </c>
      <c r="DN206" s="43" t="e">
        <f t="shared" si="97"/>
        <v>#N/A</v>
      </c>
      <c r="DO206" s="43" t="e">
        <f t="shared" si="98"/>
        <v>#N/A</v>
      </c>
      <c r="DP206" s="43" t="e">
        <f t="shared" si="99"/>
        <v>#N/A</v>
      </c>
      <c r="DQ206" s="43" t="e">
        <f t="shared" si="100"/>
        <v>#N/A</v>
      </c>
      <c r="DR206" s="43" t="e">
        <f t="shared" si="101"/>
        <v>#N/A</v>
      </c>
      <c r="DS206" s="43">
        <f t="shared" si="102"/>
        <v>0</v>
      </c>
      <c r="DT206" s="43">
        <v>196</v>
      </c>
      <c r="DU206" s="43">
        <f t="shared" si="112"/>
        <v>16.724999999999945</v>
      </c>
      <c r="DV206" s="43">
        <f t="shared" si="103"/>
        <v>17.257736044107467</v>
      </c>
      <c r="DW206" s="43">
        <f t="shared" si="104"/>
        <v>0.75317293627945459</v>
      </c>
      <c r="DX206" s="43" t="e">
        <f t="shared" si="105"/>
        <v>#N/A</v>
      </c>
      <c r="DY206" s="50" t="e">
        <f t="shared" si="106"/>
        <v>#N/A</v>
      </c>
      <c r="DZ206" s="50" t="str">
        <f t="shared" si="107"/>
        <v/>
      </c>
      <c r="EA206" s="50">
        <f t="shared" si="108"/>
        <v>1.5639168704895554</v>
      </c>
      <c r="EB206" s="43" t="e">
        <f t="shared" si="109"/>
        <v>#N/A</v>
      </c>
      <c r="EC206" s="50" t="e">
        <f t="shared" si="110"/>
        <v>#N/A</v>
      </c>
      <c r="ED206" s="50" t="str">
        <f t="shared" si="111"/>
        <v/>
      </c>
    </row>
    <row r="207" spans="1:134" ht="12" customHeight="1">
      <c r="A207" s="640">
        <v>195</v>
      </c>
      <c r="B207" s="994"/>
      <c r="C207" s="995"/>
      <c r="D207" s="329"/>
      <c r="E207" s="884"/>
      <c r="F207" s="1027" t="str">
        <f t="shared" si="113"/>
        <v/>
      </c>
      <c r="G207" s="1028" t="str">
        <f t="shared" si="114"/>
        <v/>
      </c>
      <c r="H207" s="886"/>
      <c r="I207" s="458" t="str">
        <f t="shared" si="115"/>
        <v/>
      </c>
      <c r="J207" s="886"/>
      <c r="BA207" s="983">
        <v>201</v>
      </c>
      <c r="BB207" s="994"/>
      <c r="BC207" s="995"/>
      <c r="BD207" s="1083"/>
      <c r="BF207" s="983">
        <v>201</v>
      </c>
      <c r="BG207" s="994"/>
      <c r="BH207" s="995"/>
      <c r="BI207" s="1083"/>
      <c r="BK207" s="983">
        <v>201</v>
      </c>
      <c r="BL207" s="994"/>
      <c r="BM207" s="995"/>
      <c r="BN207" s="1083"/>
      <c r="BP207" s="983">
        <v>201</v>
      </c>
      <c r="BQ207" s="994"/>
      <c r="BR207" s="995"/>
      <c r="BS207" s="1083"/>
      <c r="BU207" s="983">
        <v>201</v>
      </c>
      <c r="BV207" s="994"/>
      <c r="BW207" s="995"/>
      <c r="BX207" s="1083"/>
      <c r="BZ207" s="983">
        <v>201</v>
      </c>
      <c r="CA207" s="994"/>
      <c r="CB207" s="995"/>
      <c r="CC207" s="1083"/>
      <c r="DF207" s="43" t="b">
        <f t="shared" si="89"/>
        <v>0</v>
      </c>
      <c r="DG207" s="43" t="str">
        <f t="shared" si="90"/>
        <v/>
      </c>
      <c r="DH207" s="43" t="str">
        <f t="shared" si="91"/>
        <v/>
      </c>
      <c r="DI207" s="43" t="str">
        <f t="shared" si="92"/>
        <v/>
      </c>
      <c r="DJ207" s="43" t="str">
        <f t="shared" si="93"/>
        <v/>
      </c>
      <c r="DK207" s="43" t="e">
        <f t="shared" si="94"/>
        <v>#N/A</v>
      </c>
      <c r="DL207" s="43" t="e">
        <f t="shared" si="95"/>
        <v>#N/A</v>
      </c>
      <c r="DM207" s="43" t="e">
        <f t="shared" si="96"/>
        <v>#N/A</v>
      </c>
      <c r="DN207" s="43" t="e">
        <f t="shared" si="97"/>
        <v>#N/A</v>
      </c>
      <c r="DO207" s="43" t="e">
        <f t="shared" si="98"/>
        <v>#N/A</v>
      </c>
      <c r="DP207" s="43" t="e">
        <f t="shared" si="99"/>
        <v>#N/A</v>
      </c>
      <c r="DQ207" s="43" t="e">
        <f t="shared" si="100"/>
        <v>#N/A</v>
      </c>
      <c r="DR207" s="43" t="e">
        <f t="shared" si="101"/>
        <v>#N/A</v>
      </c>
      <c r="DS207" s="43">
        <f t="shared" si="102"/>
        <v>0</v>
      </c>
      <c r="DT207" s="43">
        <v>197</v>
      </c>
      <c r="DU207" s="43">
        <f t="shared" si="112"/>
        <v>16.779999999999944</v>
      </c>
      <c r="DV207" s="43">
        <f t="shared" si="103"/>
        <v>17.300606478290788</v>
      </c>
      <c r="DW207" s="43">
        <f t="shared" si="104"/>
        <v>0.7590147530411917</v>
      </c>
      <c r="DX207" s="43" t="e">
        <f t="shared" si="105"/>
        <v>#N/A</v>
      </c>
      <c r="DY207" s="50" t="e">
        <f t="shared" si="106"/>
        <v>#N/A</v>
      </c>
      <c r="DZ207" s="50" t="str">
        <f t="shared" si="107"/>
        <v/>
      </c>
      <c r="EA207" s="50">
        <f t="shared" si="108"/>
        <v>1.5667386192955768</v>
      </c>
      <c r="EB207" s="43" t="e">
        <f t="shared" si="109"/>
        <v>#N/A</v>
      </c>
      <c r="EC207" s="50" t="e">
        <f t="shared" si="110"/>
        <v>#N/A</v>
      </c>
      <c r="ED207" s="50" t="str">
        <f t="shared" si="111"/>
        <v/>
      </c>
    </row>
    <row r="208" spans="1:134" ht="12" customHeight="1">
      <c r="A208" s="640">
        <v>196</v>
      </c>
      <c r="B208" s="994"/>
      <c r="C208" s="995"/>
      <c r="D208" s="329"/>
      <c r="E208" s="884"/>
      <c r="F208" s="1027" t="str">
        <f t="shared" si="113"/>
        <v/>
      </c>
      <c r="G208" s="1028" t="str">
        <f t="shared" si="114"/>
        <v/>
      </c>
      <c r="H208" s="886"/>
      <c r="I208" s="458" t="str">
        <f t="shared" si="115"/>
        <v/>
      </c>
      <c r="J208" s="886"/>
      <c r="BA208" s="983">
        <v>202</v>
      </c>
      <c r="BB208" s="994"/>
      <c r="BC208" s="995"/>
      <c r="BD208" s="1083"/>
      <c r="BF208" s="983">
        <v>202</v>
      </c>
      <c r="BG208" s="994"/>
      <c r="BH208" s="995"/>
      <c r="BI208" s="1083"/>
      <c r="BK208" s="983">
        <v>202</v>
      </c>
      <c r="BL208" s="994"/>
      <c r="BM208" s="995"/>
      <c r="BN208" s="1083"/>
      <c r="BP208" s="983">
        <v>202</v>
      </c>
      <c r="BQ208" s="994"/>
      <c r="BR208" s="995"/>
      <c r="BS208" s="1083"/>
      <c r="BU208" s="983">
        <v>202</v>
      </c>
      <c r="BV208" s="994"/>
      <c r="BW208" s="995"/>
      <c r="BX208" s="1083"/>
      <c r="BZ208" s="983">
        <v>202</v>
      </c>
      <c r="CA208" s="994"/>
      <c r="CB208" s="995"/>
      <c r="CC208" s="1083"/>
      <c r="DF208" s="43" t="b">
        <f t="shared" si="89"/>
        <v>0</v>
      </c>
      <c r="DG208" s="43" t="str">
        <f t="shared" si="90"/>
        <v/>
      </c>
      <c r="DH208" s="43" t="str">
        <f t="shared" si="91"/>
        <v/>
      </c>
      <c r="DI208" s="43" t="str">
        <f t="shared" si="92"/>
        <v/>
      </c>
      <c r="DJ208" s="43" t="str">
        <f t="shared" si="93"/>
        <v/>
      </c>
      <c r="DK208" s="43" t="e">
        <f t="shared" si="94"/>
        <v>#N/A</v>
      </c>
      <c r="DL208" s="43" t="e">
        <f t="shared" si="95"/>
        <v>#N/A</v>
      </c>
      <c r="DM208" s="43" t="e">
        <f t="shared" si="96"/>
        <v>#N/A</v>
      </c>
      <c r="DN208" s="43" t="e">
        <f t="shared" si="97"/>
        <v>#N/A</v>
      </c>
      <c r="DO208" s="43" t="e">
        <f t="shared" si="98"/>
        <v>#N/A</v>
      </c>
      <c r="DP208" s="43" t="e">
        <f t="shared" si="99"/>
        <v>#N/A</v>
      </c>
      <c r="DQ208" s="43" t="e">
        <f t="shared" si="100"/>
        <v>#N/A</v>
      </c>
      <c r="DR208" s="43" t="e">
        <f t="shared" si="101"/>
        <v>#N/A</v>
      </c>
      <c r="DS208" s="43">
        <f t="shared" si="102"/>
        <v>0</v>
      </c>
      <c r="DT208" s="43">
        <v>198</v>
      </c>
      <c r="DU208" s="43">
        <f t="shared" si="112"/>
        <v>16.834999999999944</v>
      </c>
      <c r="DV208" s="43">
        <f t="shared" si="103"/>
        <v>17.343476912474109</v>
      </c>
      <c r="DW208" s="43">
        <f t="shared" si="104"/>
        <v>0.76487339591814252</v>
      </c>
      <c r="DX208" s="43" t="e">
        <f t="shared" si="105"/>
        <v>#N/A</v>
      </c>
      <c r="DY208" s="50" t="e">
        <f t="shared" si="106"/>
        <v>#N/A</v>
      </c>
      <c r="DZ208" s="50" t="str">
        <f t="shared" si="107"/>
        <v/>
      </c>
      <c r="EA208" s="50">
        <f t="shared" si="108"/>
        <v>1.5695852374565011</v>
      </c>
      <c r="EB208" s="43" t="e">
        <f t="shared" si="109"/>
        <v>#N/A</v>
      </c>
      <c r="EC208" s="50" t="e">
        <f t="shared" si="110"/>
        <v>#N/A</v>
      </c>
      <c r="ED208" s="50" t="str">
        <f t="shared" si="111"/>
        <v/>
      </c>
    </row>
    <row r="209" spans="1:134" ht="12" customHeight="1">
      <c r="A209" s="640">
        <v>197</v>
      </c>
      <c r="B209" s="994"/>
      <c r="C209" s="995"/>
      <c r="D209" s="329"/>
      <c r="E209" s="884"/>
      <c r="F209" s="1027" t="str">
        <f t="shared" si="113"/>
        <v/>
      </c>
      <c r="G209" s="1028" t="str">
        <f t="shared" si="114"/>
        <v/>
      </c>
      <c r="H209" s="886"/>
      <c r="I209" s="458" t="str">
        <f t="shared" si="115"/>
        <v/>
      </c>
      <c r="J209" s="886"/>
      <c r="BA209" s="983">
        <v>203</v>
      </c>
      <c r="BB209" s="994"/>
      <c r="BC209" s="995"/>
      <c r="BD209" s="1083"/>
      <c r="BF209" s="983">
        <v>203</v>
      </c>
      <c r="BG209" s="994"/>
      <c r="BH209" s="995"/>
      <c r="BI209" s="1083"/>
      <c r="BK209" s="983">
        <v>203</v>
      </c>
      <c r="BL209" s="994"/>
      <c r="BM209" s="995"/>
      <c r="BN209" s="1083"/>
      <c r="BP209" s="983">
        <v>203</v>
      </c>
      <c r="BQ209" s="994"/>
      <c r="BR209" s="995"/>
      <c r="BS209" s="1083"/>
      <c r="BU209" s="983">
        <v>203</v>
      </c>
      <c r="BV209" s="994"/>
      <c r="BW209" s="995"/>
      <c r="BX209" s="1083"/>
      <c r="BZ209" s="983">
        <v>203</v>
      </c>
      <c r="CA209" s="994"/>
      <c r="CB209" s="995"/>
      <c r="CC209" s="1083"/>
      <c r="DF209" s="43" t="b">
        <f t="shared" si="89"/>
        <v>0</v>
      </c>
      <c r="DG209" s="43" t="str">
        <f t="shared" si="90"/>
        <v/>
      </c>
      <c r="DH209" s="43" t="str">
        <f t="shared" si="91"/>
        <v/>
      </c>
      <c r="DI209" s="43" t="str">
        <f t="shared" si="92"/>
        <v/>
      </c>
      <c r="DJ209" s="43" t="str">
        <f t="shared" si="93"/>
        <v/>
      </c>
      <c r="DK209" s="43" t="e">
        <f t="shared" si="94"/>
        <v>#N/A</v>
      </c>
      <c r="DL209" s="43" t="e">
        <f t="shared" si="95"/>
        <v>#N/A</v>
      </c>
      <c r="DM209" s="43" t="e">
        <f t="shared" si="96"/>
        <v>#N/A</v>
      </c>
      <c r="DN209" s="43" t="e">
        <f t="shared" si="97"/>
        <v>#N/A</v>
      </c>
      <c r="DO209" s="43" t="e">
        <f t="shared" si="98"/>
        <v>#N/A</v>
      </c>
      <c r="DP209" s="43" t="e">
        <f t="shared" si="99"/>
        <v>#N/A</v>
      </c>
      <c r="DQ209" s="43" t="e">
        <f t="shared" si="100"/>
        <v>#N/A</v>
      </c>
      <c r="DR209" s="43" t="e">
        <f t="shared" si="101"/>
        <v>#N/A</v>
      </c>
      <c r="DS209" s="43">
        <f t="shared" si="102"/>
        <v>0</v>
      </c>
      <c r="DT209" s="43">
        <v>199</v>
      </c>
      <c r="DU209" s="43">
        <f t="shared" si="112"/>
        <v>16.889999999999944</v>
      </c>
      <c r="DV209" s="43">
        <f t="shared" si="103"/>
        <v>17.386347346657431</v>
      </c>
      <c r="DW209" s="43">
        <f t="shared" si="104"/>
        <v>0.77074848121246819</v>
      </c>
      <c r="DX209" s="43" t="e">
        <f t="shared" si="105"/>
        <v>#N/A</v>
      </c>
      <c r="DY209" s="50" t="e">
        <f t="shared" si="106"/>
        <v>#N/A</v>
      </c>
      <c r="DZ209" s="50" t="str">
        <f t="shared" si="107"/>
        <v/>
      </c>
      <c r="EA209" s="50">
        <f t="shared" si="108"/>
        <v>1.5724565899093543</v>
      </c>
      <c r="EB209" s="43" t="e">
        <f t="shared" si="109"/>
        <v>#N/A</v>
      </c>
      <c r="EC209" s="50" t="e">
        <f t="shared" si="110"/>
        <v>#N/A</v>
      </c>
      <c r="ED209" s="50" t="str">
        <f t="shared" si="111"/>
        <v/>
      </c>
    </row>
    <row r="210" spans="1:134" ht="12" customHeight="1">
      <c r="A210" s="640">
        <v>198</v>
      </c>
      <c r="B210" s="994"/>
      <c r="C210" s="995"/>
      <c r="D210" s="329"/>
      <c r="E210" s="884"/>
      <c r="F210" s="1027" t="str">
        <f t="shared" si="113"/>
        <v/>
      </c>
      <c r="G210" s="1028" t="str">
        <f t="shared" si="114"/>
        <v/>
      </c>
      <c r="H210" s="886"/>
      <c r="I210" s="458" t="str">
        <f t="shared" si="115"/>
        <v/>
      </c>
      <c r="J210" s="886"/>
      <c r="BA210" s="983">
        <v>204</v>
      </c>
      <c r="BB210" s="994"/>
      <c r="BC210" s="995"/>
      <c r="BD210" s="1083"/>
      <c r="BF210" s="983">
        <v>204</v>
      </c>
      <c r="BG210" s="994"/>
      <c r="BH210" s="995"/>
      <c r="BI210" s="1083"/>
      <c r="BK210" s="983">
        <v>204</v>
      </c>
      <c r="BL210" s="994"/>
      <c r="BM210" s="995"/>
      <c r="BN210" s="1083"/>
      <c r="BP210" s="983">
        <v>204</v>
      </c>
      <c r="BQ210" s="994"/>
      <c r="BR210" s="995"/>
      <c r="BS210" s="1083"/>
      <c r="BU210" s="983">
        <v>204</v>
      </c>
      <c r="BV210" s="994"/>
      <c r="BW210" s="995"/>
      <c r="BX210" s="1083"/>
      <c r="BZ210" s="983">
        <v>204</v>
      </c>
      <c r="CA210" s="994"/>
      <c r="CB210" s="995"/>
      <c r="CC210" s="1083"/>
      <c r="DF210" s="43" t="b">
        <f t="shared" si="89"/>
        <v>0</v>
      </c>
      <c r="DG210" s="43" t="str">
        <f t="shared" si="90"/>
        <v/>
      </c>
      <c r="DH210" s="43" t="str">
        <f t="shared" si="91"/>
        <v/>
      </c>
      <c r="DI210" s="43" t="str">
        <f t="shared" si="92"/>
        <v/>
      </c>
      <c r="DJ210" s="43" t="str">
        <f t="shared" si="93"/>
        <v/>
      </c>
      <c r="DK210" s="43" t="e">
        <f t="shared" si="94"/>
        <v>#N/A</v>
      </c>
      <c r="DL210" s="43" t="e">
        <f t="shared" si="95"/>
        <v>#N/A</v>
      </c>
      <c r="DM210" s="43" t="e">
        <f t="shared" si="96"/>
        <v>#N/A</v>
      </c>
      <c r="DN210" s="43" t="e">
        <f t="shared" si="97"/>
        <v>#N/A</v>
      </c>
      <c r="DO210" s="43" t="e">
        <f t="shared" si="98"/>
        <v>#N/A</v>
      </c>
      <c r="DP210" s="43" t="e">
        <f t="shared" si="99"/>
        <v>#N/A</v>
      </c>
      <c r="DQ210" s="43" t="e">
        <f t="shared" si="100"/>
        <v>#N/A</v>
      </c>
      <c r="DR210" s="43" t="e">
        <f t="shared" si="101"/>
        <v>#N/A</v>
      </c>
      <c r="DS210" s="43">
        <f t="shared" si="102"/>
        <v>0</v>
      </c>
      <c r="DT210" s="43">
        <v>200</v>
      </c>
      <c r="DU210" s="43">
        <f t="shared" si="112"/>
        <v>16.944999999999943</v>
      </c>
      <c r="DV210" s="43">
        <f t="shared" si="103"/>
        <v>17.429217780840752</v>
      </c>
      <c r="DW210" s="43">
        <f t="shared" si="104"/>
        <v>0.77663963577588913</v>
      </c>
      <c r="DX210" s="43" t="e">
        <f t="shared" si="105"/>
        <v>#N/A</v>
      </c>
      <c r="DY210" s="50" t="e">
        <f t="shared" si="106"/>
        <v>#N/A</v>
      </c>
      <c r="DZ210" s="50" t="str">
        <f t="shared" si="107"/>
        <v/>
      </c>
      <c r="EA210" s="50">
        <f t="shared" si="108"/>
        <v>1.5753525414065688</v>
      </c>
      <c r="EB210" s="43" t="e">
        <f t="shared" si="109"/>
        <v>#N/A</v>
      </c>
      <c r="EC210" s="50" t="e">
        <f t="shared" si="110"/>
        <v>#N/A</v>
      </c>
      <c r="ED210" s="50" t="str">
        <f t="shared" si="111"/>
        <v/>
      </c>
    </row>
    <row r="211" spans="1:134" ht="12" customHeight="1">
      <c r="A211" s="640">
        <v>199</v>
      </c>
      <c r="B211" s="994"/>
      <c r="C211" s="995"/>
      <c r="D211" s="329"/>
      <c r="E211" s="884"/>
      <c r="F211" s="1027" t="str">
        <f t="shared" si="113"/>
        <v/>
      </c>
      <c r="G211" s="1028" t="str">
        <f t="shared" si="114"/>
        <v/>
      </c>
      <c r="H211" s="886"/>
      <c r="I211" s="458" t="str">
        <f t="shared" si="115"/>
        <v/>
      </c>
      <c r="J211" s="886"/>
      <c r="BA211" s="983">
        <v>205</v>
      </c>
      <c r="BB211" s="994"/>
      <c r="BC211" s="995"/>
      <c r="BD211" s="1083"/>
      <c r="BF211" s="983">
        <v>205</v>
      </c>
      <c r="BG211" s="994"/>
      <c r="BH211" s="995"/>
      <c r="BI211" s="1083"/>
      <c r="BK211" s="983">
        <v>205</v>
      </c>
      <c r="BL211" s="994"/>
      <c r="BM211" s="995"/>
      <c r="BN211" s="1083"/>
      <c r="BP211" s="983">
        <v>205</v>
      </c>
      <c r="BQ211" s="994"/>
      <c r="BR211" s="995"/>
      <c r="BS211" s="1083"/>
      <c r="BU211" s="983">
        <v>205</v>
      </c>
      <c r="BV211" s="994"/>
      <c r="BW211" s="995"/>
      <c r="BX211" s="1083"/>
      <c r="BZ211" s="983">
        <v>205</v>
      </c>
      <c r="CA211" s="994"/>
      <c r="CB211" s="995"/>
      <c r="CC211" s="1083"/>
      <c r="DF211" s="43" t="b">
        <f t="shared" si="89"/>
        <v>0</v>
      </c>
      <c r="DG211" s="43" t="str">
        <f t="shared" si="90"/>
        <v/>
      </c>
      <c r="DH211" s="43" t="str">
        <f t="shared" si="91"/>
        <v/>
      </c>
      <c r="DI211" s="43" t="str">
        <f t="shared" si="92"/>
        <v/>
      </c>
      <c r="DJ211" s="43" t="str">
        <f t="shared" si="93"/>
        <v/>
      </c>
      <c r="DK211" s="43" t="e">
        <f t="shared" si="94"/>
        <v>#N/A</v>
      </c>
      <c r="DL211" s="43" t="e">
        <f t="shared" si="95"/>
        <v>#N/A</v>
      </c>
      <c r="DM211" s="43" t="e">
        <f t="shared" si="96"/>
        <v>#N/A</v>
      </c>
      <c r="DN211" s="43" t="e">
        <f t="shared" si="97"/>
        <v>#N/A</v>
      </c>
      <c r="DO211" s="43" t="e">
        <f t="shared" si="98"/>
        <v>#N/A</v>
      </c>
      <c r="DP211" s="43" t="e">
        <f t="shared" si="99"/>
        <v>#N/A</v>
      </c>
      <c r="DQ211" s="43" t="e">
        <f t="shared" si="100"/>
        <v>#N/A</v>
      </c>
      <c r="DR211" s="43" t="e">
        <f t="shared" si="101"/>
        <v>#N/A</v>
      </c>
      <c r="DS211" s="43">
        <f t="shared" si="102"/>
        <v>0</v>
      </c>
      <c r="DT211" s="43">
        <v>201</v>
      </c>
      <c r="DU211" s="43">
        <f t="shared" si="112"/>
        <v>16.999999999999943</v>
      </c>
      <c r="DV211" s="43">
        <f t="shared" si="103"/>
        <v>17.472088215024076</v>
      </c>
      <c r="DW211" s="43">
        <f t="shared" si="104"/>
        <v>0.78254649669121235</v>
      </c>
      <c r="DX211" s="43" t="e">
        <f t="shared" si="105"/>
        <v>#N/A</v>
      </c>
      <c r="DY211" s="50" t="e">
        <f t="shared" si="106"/>
        <v>#N/A</v>
      </c>
      <c r="DZ211" s="50" t="str">
        <f t="shared" si="107"/>
        <v/>
      </c>
      <c r="EA211" s="50">
        <f t="shared" si="108"/>
        <v>1.5782729565387981</v>
      </c>
      <c r="EB211" s="43" t="e">
        <f t="shared" si="109"/>
        <v>#N/A</v>
      </c>
      <c r="EC211" s="50" t="e">
        <f t="shared" si="110"/>
        <v>#N/A</v>
      </c>
      <c r="ED211" s="50" t="str">
        <f t="shared" si="111"/>
        <v/>
      </c>
    </row>
    <row r="212" spans="1:134" ht="12" customHeight="1">
      <c r="A212" s="640">
        <v>200</v>
      </c>
      <c r="B212" s="994"/>
      <c r="C212" s="995"/>
      <c r="D212" s="329"/>
      <c r="E212" s="884"/>
      <c r="F212" s="1027" t="str">
        <f t="shared" si="113"/>
        <v/>
      </c>
      <c r="G212" s="1028" t="str">
        <f t="shared" si="114"/>
        <v/>
      </c>
      <c r="H212" s="886"/>
      <c r="I212" s="458" t="str">
        <f t="shared" si="115"/>
        <v/>
      </c>
      <c r="J212" s="886"/>
      <c r="BA212" s="983">
        <v>206</v>
      </c>
      <c r="BB212" s="994"/>
      <c r="BC212" s="995"/>
      <c r="BD212" s="1083"/>
      <c r="BF212" s="983">
        <v>206</v>
      </c>
      <c r="BG212" s="994"/>
      <c r="BH212" s="995"/>
      <c r="BI212" s="1083"/>
      <c r="BK212" s="983">
        <v>206</v>
      </c>
      <c r="BL212" s="994"/>
      <c r="BM212" s="995"/>
      <c r="BN212" s="1083"/>
      <c r="BP212" s="983">
        <v>206</v>
      </c>
      <c r="BQ212" s="994"/>
      <c r="BR212" s="995"/>
      <c r="BS212" s="1083"/>
      <c r="BU212" s="983">
        <v>206</v>
      </c>
      <c r="BV212" s="994"/>
      <c r="BW212" s="995"/>
      <c r="BX212" s="1083"/>
      <c r="BZ212" s="983">
        <v>206</v>
      </c>
      <c r="CA212" s="994"/>
      <c r="CB212" s="995"/>
      <c r="CC212" s="1083"/>
      <c r="DF212" s="43" t="b">
        <f t="shared" si="89"/>
        <v>0</v>
      </c>
      <c r="DG212" s="43" t="str">
        <f t="shared" si="90"/>
        <v/>
      </c>
      <c r="DH212" s="43" t="str">
        <f t="shared" si="91"/>
        <v/>
      </c>
      <c r="DI212" s="43" t="str">
        <f t="shared" si="92"/>
        <v/>
      </c>
      <c r="DJ212" s="43" t="str">
        <f t="shared" si="93"/>
        <v/>
      </c>
      <c r="DK212" s="43" t="e">
        <f t="shared" si="94"/>
        <v>#N/A</v>
      </c>
      <c r="DL212" s="43" t="e">
        <f t="shared" si="95"/>
        <v>#N/A</v>
      </c>
      <c r="DM212" s="43" t="e">
        <f t="shared" si="96"/>
        <v>#N/A</v>
      </c>
      <c r="DN212" s="43" t="e">
        <f t="shared" si="97"/>
        <v>#N/A</v>
      </c>
      <c r="DO212" s="43" t="e">
        <f t="shared" si="98"/>
        <v>#N/A</v>
      </c>
      <c r="DP212" s="43" t="e">
        <f t="shared" si="99"/>
        <v>#N/A</v>
      </c>
      <c r="DQ212" s="43" t="e">
        <f t="shared" si="100"/>
        <v>#N/A</v>
      </c>
      <c r="DR212" s="43" t="e">
        <f t="shared" si="101"/>
        <v>#N/A</v>
      </c>
      <c r="DS212" s="43">
        <f t="shared" si="102"/>
        <v>0</v>
      </c>
    </row>
    <row r="213" spans="1:134" ht="12" customHeight="1">
      <c r="A213" s="640">
        <v>201</v>
      </c>
      <c r="B213" s="994"/>
      <c r="C213" s="995"/>
      <c r="D213" s="329"/>
      <c r="E213" s="884"/>
      <c r="F213" s="1027" t="str">
        <f t="shared" si="113"/>
        <v/>
      </c>
      <c r="G213" s="1028" t="str">
        <f t="shared" si="114"/>
        <v/>
      </c>
      <c r="H213" s="886"/>
      <c r="I213" s="458" t="str">
        <f t="shared" si="115"/>
        <v/>
      </c>
      <c r="J213" s="886"/>
      <c r="BA213" s="983">
        <v>207</v>
      </c>
      <c r="BB213" s="994"/>
      <c r="BC213" s="995"/>
      <c r="BD213" s="1083"/>
      <c r="BF213" s="983">
        <v>207</v>
      </c>
      <c r="BG213" s="994"/>
      <c r="BH213" s="995"/>
      <c r="BI213" s="1083"/>
      <c r="BK213" s="983">
        <v>207</v>
      </c>
      <c r="BL213" s="994"/>
      <c r="BM213" s="995"/>
      <c r="BN213" s="1083"/>
      <c r="BP213" s="983">
        <v>207</v>
      </c>
      <c r="BQ213" s="994"/>
      <c r="BR213" s="995"/>
      <c r="BS213" s="1083"/>
      <c r="BU213" s="983">
        <v>207</v>
      </c>
      <c r="BV213" s="994"/>
      <c r="BW213" s="995"/>
      <c r="BX213" s="1083"/>
      <c r="BZ213" s="983">
        <v>207</v>
      </c>
      <c r="CA213" s="994"/>
      <c r="CB213" s="995"/>
      <c r="CC213" s="1083"/>
      <c r="DF213" s="43" t="b">
        <f t="shared" si="89"/>
        <v>0</v>
      </c>
      <c r="DG213" s="43" t="str">
        <f t="shared" si="90"/>
        <v/>
      </c>
      <c r="DH213" s="43" t="str">
        <f t="shared" si="91"/>
        <v/>
      </c>
      <c r="DI213" s="43" t="str">
        <f t="shared" si="92"/>
        <v/>
      </c>
      <c r="DJ213" s="43" t="str">
        <f t="shared" si="93"/>
        <v/>
      </c>
      <c r="DK213" s="43" t="e">
        <f t="shared" si="94"/>
        <v>#N/A</v>
      </c>
      <c r="DL213" s="43" t="e">
        <f t="shared" si="95"/>
        <v>#N/A</v>
      </c>
      <c r="DM213" s="43" t="e">
        <f t="shared" si="96"/>
        <v>#N/A</v>
      </c>
      <c r="DN213" s="43" t="e">
        <f t="shared" si="97"/>
        <v>#N/A</v>
      </c>
      <c r="DO213" s="43" t="e">
        <f t="shared" si="98"/>
        <v>#N/A</v>
      </c>
      <c r="DP213" s="43" t="e">
        <f t="shared" si="99"/>
        <v>#N/A</v>
      </c>
      <c r="DQ213" s="43" t="e">
        <f t="shared" si="100"/>
        <v>#N/A</v>
      </c>
      <c r="DR213" s="43" t="e">
        <f t="shared" si="101"/>
        <v>#N/A</v>
      </c>
      <c r="DS213" s="43">
        <f t="shared" si="102"/>
        <v>0</v>
      </c>
    </row>
    <row r="214" spans="1:134" ht="12" customHeight="1">
      <c r="A214" s="640">
        <v>202</v>
      </c>
      <c r="B214" s="994"/>
      <c r="C214" s="995"/>
      <c r="D214" s="329"/>
      <c r="E214" s="884"/>
      <c r="F214" s="1027" t="str">
        <f t="shared" si="113"/>
        <v/>
      </c>
      <c r="G214" s="1028" t="str">
        <f t="shared" si="114"/>
        <v/>
      </c>
      <c r="H214" s="886"/>
      <c r="I214" s="458" t="str">
        <f t="shared" si="115"/>
        <v/>
      </c>
      <c r="J214" s="886"/>
      <c r="BA214" s="983">
        <v>208</v>
      </c>
      <c r="BB214" s="994"/>
      <c r="BC214" s="995"/>
      <c r="BD214" s="1083"/>
      <c r="BF214" s="983">
        <v>208</v>
      </c>
      <c r="BG214" s="994"/>
      <c r="BH214" s="995"/>
      <c r="BI214" s="1083"/>
      <c r="BK214" s="983">
        <v>208</v>
      </c>
      <c r="BL214" s="994"/>
      <c r="BM214" s="995"/>
      <c r="BN214" s="1083"/>
      <c r="BP214" s="983">
        <v>208</v>
      </c>
      <c r="BQ214" s="994"/>
      <c r="BR214" s="995"/>
      <c r="BS214" s="1083"/>
      <c r="BU214" s="983">
        <v>208</v>
      </c>
      <c r="BV214" s="994"/>
      <c r="BW214" s="995"/>
      <c r="BX214" s="1083"/>
      <c r="BZ214" s="983">
        <v>208</v>
      </c>
      <c r="CA214" s="994"/>
      <c r="CB214" s="995"/>
      <c r="CC214" s="1083"/>
      <c r="DF214" s="43" t="b">
        <f t="shared" si="89"/>
        <v>0</v>
      </c>
      <c r="DG214" s="43" t="str">
        <f t="shared" si="90"/>
        <v/>
      </c>
      <c r="DH214" s="43" t="str">
        <f t="shared" si="91"/>
        <v/>
      </c>
      <c r="DI214" s="43" t="str">
        <f t="shared" si="92"/>
        <v/>
      </c>
      <c r="DJ214" s="43" t="str">
        <f t="shared" si="93"/>
        <v/>
      </c>
      <c r="DK214" s="43" t="e">
        <f t="shared" si="94"/>
        <v>#N/A</v>
      </c>
      <c r="DL214" s="43" t="e">
        <f t="shared" si="95"/>
        <v>#N/A</v>
      </c>
      <c r="DM214" s="43" t="e">
        <f t="shared" si="96"/>
        <v>#N/A</v>
      </c>
      <c r="DN214" s="43" t="e">
        <f t="shared" si="97"/>
        <v>#N/A</v>
      </c>
      <c r="DO214" s="43" t="e">
        <f t="shared" si="98"/>
        <v>#N/A</v>
      </c>
      <c r="DP214" s="43" t="e">
        <f t="shared" si="99"/>
        <v>#N/A</v>
      </c>
      <c r="DQ214" s="43" t="e">
        <f t="shared" si="100"/>
        <v>#N/A</v>
      </c>
      <c r="DR214" s="43" t="e">
        <f t="shared" si="101"/>
        <v>#N/A</v>
      </c>
      <c r="DS214" s="43">
        <f t="shared" si="102"/>
        <v>0</v>
      </c>
    </row>
    <row r="215" spans="1:134" ht="12" customHeight="1">
      <c r="A215" s="640">
        <v>203</v>
      </c>
      <c r="B215" s="994"/>
      <c r="C215" s="995"/>
      <c r="D215" s="329"/>
      <c r="E215" s="884"/>
      <c r="F215" s="1027" t="str">
        <f t="shared" si="113"/>
        <v/>
      </c>
      <c r="G215" s="1028" t="str">
        <f t="shared" si="114"/>
        <v/>
      </c>
      <c r="H215" s="886"/>
      <c r="I215" s="458" t="str">
        <f t="shared" si="115"/>
        <v/>
      </c>
      <c r="J215" s="886"/>
      <c r="BA215" s="983">
        <v>209</v>
      </c>
      <c r="BB215" s="994"/>
      <c r="BC215" s="995"/>
      <c r="BD215" s="1083"/>
      <c r="BF215" s="983">
        <v>209</v>
      </c>
      <c r="BG215" s="994"/>
      <c r="BH215" s="995"/>
      <c r="BI215" s="1083"/>
      <c r="BK215" s="983">
        <v>209</v>
      </c>
      <c r="BL215" s="994"/>
      <c r="BM215" s="995"/>
      <c r="BN215" s="1083"/>
      <c r="BP215" s="983">
        <v>209</v>
      </c>
      <c r="BQ215" s="994"/>
      <c r="BR215" s="995"/>
      <c r="BS215" s="1083"/>
      <c r="BU215" s="983">
        <v>209</v>
      </c>
      <c r="BV215" s="994"/>
      <c r="BW215" s="995"/>
      <c r="BX215" s="1083"/>
      <c r="BZ215" s="983">
        <v>209</v>
      </c>
      <c r="CA215" s="994"/>
      <c r="CB215" s="995"/>
      <c r="CC215" s="1083"/>
      <c r="DF215" s="43" t="b">
        <f t="shared" si="89"/>
        <v>0</v>
      </c>
      <c r="DG215" s="43" t="str">
        <f t="shared" si="90"/>
        <v/>
      </c>
      <c r="DH215" s="43" t="str">
        <f t="shared" si="91"/>
        <v/>
      </c>
      <c r="DI215" s="43" t="str">
        <f t="shared" si="92"/>
        <v/>
      </c>
      <c r="DJ215" s="43" t="str">
        <f t="shared" si="93"/>
        <v/>
      </c>
      <c r="DK215" s="43" t="e">
        <f t="shared" si="94"/>
        <v>#N/A</v>
      </c>
      <c r="DL215" s="43" t="e">
        <f t="shared" si="95"/>
        <v>#N/A</v>
      </c>
      <c r="DM215" s="43" t="e">
        <f t="shared" si="96"/>
        <v>#N/A</v>
      </c>
      <c r="DN215" s="43" t="e">
        <f t="shared" si="97"/>
        <v>#N/A</v>
      </c>
      <c r="DO215" s="43" t="e">
        <f t="shared" si="98"/>
        <v>#N/A</v>
      </c>
      <c r="DP215" s="43" t="e">
        <f t="shared" si="99"/>
        <v>#N/A</v>
      </c>
      <c r="DQ215" s="43" t="e">
        <f t="shared" si="100"/>
        <v>#N/A</v>
      </c>
      <c r="DR215" s="43" t="e">
        <f t="shared" si="101"/>
        <v>#N/A</v>
      </c>
      <c r="DS215" s="43">
        <f t="shared" si="102"/>
        <v>0</v>
      </c>
    </row>
    <row r="216" spans="1:134" ht="12" customHeight="1">
      <c r="A216" s="640">
        <v>204</v>
      </c>
      <c r="B216" s="994"/>
      <c r="C216" s="995"/>
      <c r="D216" s="329"/>
      <c r="E216" s="884"/>
      <c r="F216" s="1027" t="str">
        <f t="shared" si="113"/>
        <v/>
      </c>
      <c r="G216" s="1028" t="str">
        <f t="shared" si="114"/>
        <v/>
      </c>
      <c r="H216" s="886"/>
      <c r="I216" s="458" t="str">
        <f t="shared" si="115"/>
        <v/>
      </c>
      <c r="J216" s="886"/>
      <c r="BA216" s="983">
        <v>210</v>
      </c>
      <c r="BB216" s="994"/>
      <c r="BC216" s="995"/>
      <c r="BD216" s="1083"/>
      <c r="BF216" s="983">
        <v>210</v>
      </c>
      <c r="BG216" s="994"/>
      <c r="BH216" s="995"/>
      <c r="BI216" s="1083"/>
      <c r="BK216" s="983">
        <v>210</v>
      </c>
      <c r="BL216" s="994"/>
      <c r="BM216" s="995"/>
      <c r="BN216" s="1083"/>
      <c r="BP216" s="983">
        <v>210</v>
      </c>
      <c r="BQ216" s="994"/>
      <c r="BR216" s="995"/>
      <c r="BS216" s="1083"/>
      <c r="BU216" s="983">
        <v>210</v>
      </c>
      <c r="BV216" s="994"/>
      <c r="BW216" s="995"/>
      <c r="BX216" s="1083"/>
      <c r="BZ216" s="983">
        <v>210</v>
      </c>
      <c r="CA216" s="994"/>
      <c r="CB216" s="995"/>
      <c r="CC216" s="1083"/>
      <c r="DF216" s="43" t="b">
        <f t="shared" si="89"/>
        <v>0</v>
      </c>
      <c r="DG216" s="43" t="str">
        <f t="shared" si="90"/>
        <v/>
      </c>
      <c r="DH216" s="43" t="str">
        <f t="shared" si="91"/>
        <v/>
      </c>
      <c r="DI216" s="43" t="str">
        <f t="shared" si="92"/>
        <v/>
      </c>
      <c r="DJ216" s="43" t="str">
        <f t="shared" si="93"/>
        <v/>
      </c>
      <c r="DK216" s="43" t="e">
        <f t="shared" si="94"/>
        <v>#N/A</v>
      </c>
      <c r="DL216" s="43" t="e">
        <f t="shared" si="95"/>
        <v>#N/A</v>
      </c>
      <c r="DM216" s="43" t="e">
        <f t="shared" si="96"/>
        <v>#N/A</v>
      </c>
      <c r="DN216" s="43" t="e">
        <f t="shared" si="97"/>
        <v>#N/A</v>
      </c>
      <c r="DO216" s="43" t="e">
        <f t="shared" si="98"/>
        <v>#N/A</v>
      </c>
      <c r="DP216" s="43" t="e">
        <f t="shared" si="99"/>
        <v>#N/A</v>
      </c>
      <c r="DQ216" s="43" t="e">
        <f t="shared" si="100"/>
        <v>#N/A</v>
      </c>
      <c r="DR216" s="43" t="e">
        <f t="shared" si="101"/>
        <v>#N/A</v>
      </c>
      <c r="DS216" s="43">
        <f t="shared" si="102"/>
        <v>0</v>
      </c>
    </row>
    <row r="217" spans="1:134" ht="12" customHeight="1">
      <c r="A217" s="640">
        <v>205</v>
      </c>
      <c r="B217" s="994"/>
      <c r="C217" s="995"/>
      <c r="D217" s="329"/>
      <c r="E217" s="884"/>
      <c r="F217" s="1027" t="str">
        <f t="shared" si="113"/>
        <v/>
      </c>
      <c r="G217" s="1028" t="str">
        <f t="shared" si="114"/>
        <v/>
      </c>
      <c r="H217" s="886"/>
      <c r="I217" s="458" t="str">
        <f t="shared" si="115"/>
        <v/>
      </c>
      <c r="J217" s="886"/>
      <c r="BA217" s="983">
        <v>211</v>
      </c>
      <c r="BB217" s="994"/>
      <c r="BC217" s="995"/>
      <c r="BD217" s="1083"/>
      <c r="BF217" s="983">
        <v>211</v>
      </c>
      <c r="BG217" s="994"/>
      <c r="BH217" s="995"/>
      <c r="BI217" s="1083"/>
      <c r="BK217" s="983">
        <v>211</v>
      </c>
      <c r="BL217" s="994"/>
      <c r="BM217" s="995"/>
      <c r="BN217" s="1083"/>
      <c r="BP217" s="983">
        <v>211</v>
      </c>
      <c r="BQ217" s="994"/>
      <c r="BR217" s="995"/>
      <c r="BS217" s="1083"/>
      <c r="BU217" s="983">
        <v>211</v>
      </c>
      <c r="BV217" s="994"/>
      <c r="BW217" s="995"/>
      <c r="BX217" s="1083"/>
      <c r="BZ217" s="983">
        <v>211</v>
      </c>
      <c r="CA217" s="994"/>
      <c r="CB217" s="995"/>
      <c r="CC217" s="1083"/>
      <c r="DF217" s="43" t="b">
        <f t="shared" si="89"/>
        <v>0</v>
      </c>
      <c r="DG217" s="43" t="str">
        <f t="shared" si="90"/>
        <v/>
      </c>
      <c r="DH217" s="43" t="str">
        <f t="shared" si="91"/>
        <v/>
      </c>
      <c r="DI217" s="43" t="str">
        <f t="shared" si="92"/>
        <v/>
      </c>
      <c r="DJ217" s="43" t="str">
        <f t="shared" si="93"/>
        <v/>
      </c>
      <c r="DK217" s="43" t="e">
        <f t="shared" si="94"/>
        <v>#N/A</v>
      </c>
      <c r="DL217" s="43" t="e">
        <f t="shared" si="95"/>
        <v>#N/A</v>
      </c>
      <c r="DM217" s="43" t="e">
        <f t="shared" si="96"/>
        <v>#N/A</v>
      </c>
      <c r="DN217" s="43" t="e">
        <f t="shared" si="97"/>
        <v>#N/A</v>
      </c>
      <c r="DO217" s="43" t="e">
        <f t="shared" si="98"/>
        <v>#N/A</v>
      </c>
      <c r="DP217" s="43" t="e">
        <f t="shared" si="99"/>
        <v>#N/A</v>
      </c>
      <c r="DQ217" s="43" t="e">
        <f t="shared" si="100"/>
        <v>#N/A</v>
      </c>
      <c r="DR217" s="43" t="e">
        <f t="shared" si="101"/>
        <v>#N/A</v>
      </c>
      <c r="DS217" s="43">
        <f t="shared" si="102"/>
        <v>0</v>
      </c>
    </row>
    <row r="218" spans="1:134" ht="12" customHeight="1">
      <c r="A218" s="640">
        <v>206</v>
      </c>
      <c r="B218" s="994"/>
      <c r="C218" s="995"/>
      <c r="D218" s="329"/>
      <c r="E218" s="884"/>
      <c r="F218" s="1027" t="str">
        <f t="shared" si="113"/>
        <v/>
      </c>
      <c r="G218" s="1028" t="str">
        <f t="shared" si="114"/>
        <v/>
      </c>
      <c r="H218" s="886"/>
      <c r="I218" s="458" t="str">
        <f t="shared" si="115"/>
        <v/>
      </c>
      <c r="J218" s="886"/>
      <c r="BA218" s="983">
        <v>212</v>
      </c>
      <c r="BB218" s="994"/>
      <c r="BC218" s="995"/>
      <c r="BD218" s="1083"/>
      <c r="BF218" s="983">
        <v>212</v>
      </c>
      <c r="BG218" s="994"/>
      <c r="BH218" s="995"/>
      <c r="BI218" s="1083"/>
      <c r="BK218" s="983">
        <v>212</v>
      </c>
      <c r="BL218" s="994"/>
      <c r="BM218" s="995"/>
      <c r="BN218" s="1083"/>
      <c r="BP218" s="983">
        <v>212</v>
      </c>
      <c r="BQ218" s="994"/>
      <c r="BR218" s="995"/>
      <c r="BS218" s="1083"/>
      <c r="BU218" s="983">
        <v>212</v>
      </c>
      <c r="BV218" s="994"/>
      <c r="BW218" s="995"/>
      <c r="BX218" s="1083"/>
      <c r="BZ218" s="983">
        <v>212</v>
      </c>
      <c r="CA218" s="994"/>
      <c r="CB218" s="995"/>
      <c r="CC218" s="1083"/>
      <c r="DF218" s="43" t="b">
        <f t="shared" si="89"/>
        <v>0</v>
      </c>
      <c r="DG218" s="43" t="str">
        <f t="shared" si="90"/>
        <v/>
      </c>
      <c r="DH218" s="43" t="str">
        <f t="shared" si="91"/>
        <v/>
      </c>
      <c r="DI218" s="43" t="str">
        <f t="shared" si="92"/>
        <v/>
      </c>
      <c r="DJ218" s="43" t="str">
        <f t="shared" si="93"/>
        <v/>
      </c>
      <c r="DK218" s="43" t="e">
        <f t="shared" si="94"/>
        <v>#N/A</v>
      </c>
      <c r="DL218" s="43" t="e">
        <f t="shared" si="95"/>
        <v>#N/A</v>
      </c>
      <c r="DM218" s="43" t="e">
        <f t="shared" si="96"/>
        <v>#N/A</v>
      </c>
      <c r="DN218" s="43" t="e">
        <f t="shared" si="97"/>
        <v>#N/A</v>
      </c>
      <c r="DO218" s="43" t="e">
        <f t="shared" si="98"/>
        <v>#N/A</v>
      </c>
      <c r="DP218" s="43" t="e">
        <f t="shared" si="99"/>
        <v>#N/A</v>
      </c>
      <c r="DQ218" s="43" t="e">
        <f t="shared" si="100"/>
        <v>#N/A</v>
      </c>
      <c r="DR218" s="43" t="e">
        <f t="shared" si="101"/>
        <v>#N/A</v>
      </c>
      <c r="DS218" s="43">
        <f t="shared" si="102"/>
        <v>0</v>
      </c>
    </row>
    <row r="219" spans="1:134" ht="12" customHeight="1">
      <c r="A219" s="640">
        <v>207</v>
      </c>
      <c r="B219" s="994"/>
      <c r="C219" s="995"/>
      <c r="D219" s="329"/>
      <c r="E219" s="884"/>
      <c r="F219" s="1027" t="str">
        <f t="shared" si="113"/>
        <v/>
      </c>
      <c r="G219" s="1028" t="str">
        <f t="shared" si="114"/>
        <v/>
      </c>
      <c r="H219" s="886"/>
      <c r="I219" s="458" t="str">
        <f t="shared" si="115"/>
        <v/>
      </c>
      <c r="J219" s="886"/>
      <c r="BA219" s="983">
        <v>213</v>
      </c>
      <c r="BB219" s="994"/>
      <c r="BC219" s="995"/>
      <c r="BD219" s="1083"/>
      <c r="BF219" s="983">
        <v>213</v>
      </c>
      <c r="BG219" s="994"/>
      <c r="BH219" s="995"/>
      <c r="BI219" s="1083"/>
      <c r="BK219" s="983">
        <v>213</v>
      </c>
      <c r="BL219" s="994"/>
      <c r="BM219" s="995"/>
      <c r="BN219" s="1083"/>
      <c r="BP219" s="983">
        <v>213</v>
      </c>
      <c r="BQ219" s="994"/>
      <c r="BR219" s="995"/>
      <c r="BS219" s="1083"/>
      <c r="BU219" s="983">
        <v>213</v>
      </c>
      <c r="BV219" s="994"/>
      <c r="BW219" s="995"/>
      <c r="BX219" s="1083"/>
      <c r="BZ219" s="983">
        <v>213</v>
      </c>
      <c r="CA219" s="994"/>
      <c r="CB219" s="995"/>
      <c r="CC219" s="1083"/>
      <c r="DF219" s="43" t="b">
        <f t="shared" si="89"/>
        <v>0</v>
      </c>
      <c r="DG219" s="43" t="str">
        <f t="shared" si="90"/>
        <v/>
      </c>
      <c r="DH219" s="43" t="str">
        <f t="shared" si="91"/>
        <v/>
      </c>
      <c r="DI219" s="43" t="str">
        <f t="shared" si="92"/>
        <v/>
      </c>
      <c r="DJ219" s="43" t="str">
        <f t="shared" si="93"/>
        <v/>
      </c>
      <c r="DK219" s="43" t="e">
        <f t="shared" si="94"/>
        <v>#N/A</v>
      </c>
      <c r="DL219" s="43" t="e">
        <f t="shared" si="95"/>
        <v>#N/A</v>
      </c>
      <c r="DM219" s="43" t="e">
        <f t="shared" si="96"/>
        <v>#N/A</v>
      </c>
      <c r="DN219" s="43" t="e">
        <f t="shared" si="97"/>
        <v>#N/A</v>
      </c>
      <c r="DO219" s="43" t="e">
        <f t="shared" si="98"/>
        <v>#N/A</v>
      </c>
      <c r="DP219" s="43" t="e">
        <f t="shared" si="99"/>
        <v>#N/A</v>
      </c>
      <c r="DQ219" s="43" t="e">
        <f t="shared" si="100"/>
        <v>#N/A</v>
      </c>
      <c r="DR219" s="43" t="e">
        <f t="shared" si="101"/>
        <v>#N/A</v>
      </c>
      <c r="DS219" s="43">
        <f t="shared" si="102"/>
        <v>0</v>
      </c>
    </row>
    <row r="220" spans="1:134" ht="12" customHeight="1">
      <c r="A220" s="640">
        <v>208</v>
      </c>
      <c r="B220" s="994"/>
      <c r="C220" s="995"/>
      <c r="D220" s="329"/>
      <c r="E220" s="884"/>
      <c r="F220" s="1027" t="str">
        <f t="shared" si="113"/>
        <v/>
      </c>
      <c r="G220" s="1028" t="str">
        <f t="shared" si="114"/>
        <v/>
      </c>
      <c r="H220" s="886"/>
      <c r="I220" s="458" t="str">
        <f t="shared" si="115"/>
        <v/>
      </c>
      <c r="J220" s="886"/>
      <c r="BA220" s="983">
        <v>214</v>
      </c>
      <c r="BB220" s="994"/>
      <c r="BC220" s="995"/>
      <c r="BD220" s="1083"/>
      <c r="BF220" s="983">
        <v>214</v>
      </c>
      <c r="BG220" s="994"/>
      <c r="BH220" s="995"/>
      <c r="BI220" s="1083"/>
      <c r="BK220" s="983">
        <v>214</v>
      </c>
      <c r="BL220" s="994"/>
      <c r="BM220" s="995"/>
      <c r="BN220" s="1083"/>
      <c r="BP220" s="983">
        <v>214</v>
      </c>
      <c r="BQ220" s="994"/>
      <c r="BR220" s="995"/>
      <c r="BS220" s="1083"/>
      <c r="BU220" s="983">
        <v>214</v>
      </c>
      <c r="BV220" s="994"/>
      <c r="BW220" s="995"/>
      <c r="BX220" s="1083"/>
      <c r="BZ220" s="983">
        <v>214</v>
      </c>
      <c r="CA220" s="994"/>
      <c r="CB220" s="995"/>
      <c r="CC220" s="1083"/>
      <c r="DF220" s="43" t="b">
        <f t="shared" si="89"/>
        <v>0</v>
      </c>
      <c r="DG220" s="43" t="str">
        <f t="shared" si="90"/>
        <v/>
      </c>
      <c r="DH220" s="43" t="str">
        <f t="shared" si="91"/>
        <v/>
      </c>
      <c r="DI220" s="43" t="str">
        <f t="shared" si="92"/>
        <v/>
      </c>
      <c r="DJ220" s="43" t="str">
        <f t="shared" si="93"/>
        <v/>
      </c>
      <c r="DK220" s="43" t="e">
        <f t="shared" si="94"/>
        <v>#N/A</v>
      </c>
      <c r="DL220" s="43" t="e">
        <f t="shared" si="95"/>
        <v>#N/A</v>
      </c>
      <c r="DM220" s="43" t="e">
        <f t="shared" si="96"/>
        <v>#N/A</v>
      </c>
      <c r="DN220" s="43" t="e">
        <f t="shared" si="97"/>
        <v>#N/A</v>
      </c>
      <c r="DO220" s="43" t="e">
        <f t="shared" si="98"/>
        <v>#N/A</v>
      </c>
      <c r="DP220" s="43" t="e">
        <f t="shared" si="99"/>
        <v>#N/A</v>
      </c>
      <c r="DQ220" s="43" t="e">
        <f t="shared" si="100"/>
        <v>#N/A</v>
      </c>
      <c r="DR220" s="43" t="e">
        <f t="shared" si="101"/>
        <v>#N/A</v>
      </c>
      <c r="DS220" s="43">
        <f t="shared" si="102"/>
        <v>0</v>
      </c>
    </row>
    <row r="221" spans="1:134" ht="12" customHeight="1">
      <c r="A221" s="640">
        <v>209</v>
      </c>
      <c r="B221" s="994"/>
      <c r="C221" s="995"/>
      <c r="D221" s="329"/>
      <c r="E221" s="884"/>
      <c r="F221" s="1027" t="str">
        <f t="shared" si="113"/>
        <v/>
      </c>
      <c r="G221" s="1028" t="str">
        <f t="shared" si="114"/>
        <v/>
      </c>
      <c r="H221" s="886"/>
      <c r="I221" s="458" t="str">
        <f t="shared" si="115"/>
        <v/>
      </c>
      <c r="J221" s="886"/>
      <c r="BA221" s="983">
        <v>215</v>
      </c>
      <c r="BB221" s="994"/>
      <c r="BC221" s="995"/>
      <c r="BD221" s="1083"/>
      <c r="BF221" s="983">
        <v>215</v>
      </c>
      <c r="BG221" s="994"/>
      <c r="BH221" s="995"/>
      <c r="BI221" s="1083"/>
      <c r="BK221" s="983">
        <v>215</v>
      </c>
      <c r="BL221" s="994"/>
      <c r="BM221" s="995"/>
      <c r="BN221" s="1083"/>
      <c r="BP221" s="983">
        <v>215</v>
      </c>
      <c r="BQ221" s="994"/>
      <c r="BR221" s="995"/>
      <c r="BS221" s="1083"/>
      <c r="BU221" s="983">
        <v>215</v>
      </c>
      <c r="BV221" s="994"/>
      <c r="BW221" s="995"/>
      <c r="BX221" s="1083"/>
      <c r="BZ221" s="983">
        <v>215</v>
      </c>
      <c r="CA221" s="994"/>
      <c r="CB221" s="995"/>
      <c r="CC221" s="1083"/>
      <c r="DF221" s="43" t="b">
        <f t="shared" si="89"/>
        <v>0</v>
      </c>
      <c r="DG221" s="43" t="str">
        <f t="shared" si="90"/>
        <v/>
      </c>
      <c r="DH221" s="43" t="str">
        <f t="shared" si="91"/>
        <v/>
      </c>
      <c r="DI221" s="43" t="str">
        <f t="shared" si="92"/>
        <v/>
      </c>
      <c r="DJ221" s="43" t="str">
        <f t="shared" si="93"/>
        <v/>
      </c>
      <c r="DK221" s="43" t="e">
        <f t="shared" si="94"/>
        <v>#N/A</v>
      </c>
      <c r="DL221" s="43" t="e">
        <f t="shared" si="95"/>
        <v>#N/A</v>
      </c>
      <c r="DM221" s="43" t="e">
        <f t="shared" si="96"/>
        <v>#N/A</v>
      </c>
      <c r="DN221" s="43" t="e">
        <f t="shared" si="97"/>
        <v>#N/A</v>
      </c>
      <c r="DO221" s="43" t="e">
        <f t="shared" si="98"/>
        <v>#N/A</v>
      </c>
      <c r="DP221" s="43" t="e">
        <f t="shared" si="99"/>
        <v>#N/A</v>
      </c>
      <c r="DQ221" s="43" t="e">
        <f t="shared" si="100"/>
        <v>#N/A</v>
      </c>
      <c r="DR221" s="43" t="e">
        <f t="shared" si="101"/>
        <v>#N/A</v>
      </c>
      <c r="DS221" s="43">
        <f t="shared" si="102"/>
        <v>0</v>
      </c>
    </row>
    <row r="222" spans="1:134" ht="12" customHeight="1">
      <c r="A222" s="640">
        <v>210</v>
      </c>
      <c r="B222" s="994"/>
      <c r="C222" s="995"/>
      <c r="D222" s="329"/>
      <c r="E222" s="884"/>
      <c r="F222" s="1027" t="str">
        <f t="shared" si="113"/>
        <v/>
      </c>
      <c r="G222" s="1028" t="str">
        <f t="shared" si="114"/>
        <v/>
      </c>
      <c r="H222" s="886"/>
      <c r="I222" s="458" t="str">
        <f t="shared" si="115"/>
        <v/>
      </c>
      <c r="J222" s="886"/>
      <c r="BA222" s="983">
        <v>216</v>
      </c>
      <c r="BB222" s="994"/>
      <c r="BC222" s="995"/>
      <c r="BD222" s="1083"/>
      <c r="BF222" s="983">
        <v>216</v>
      </c>
      <c r="BG222" s="994"/>
      <c r="BH222" s="995"/>
      <c r="BI222" s="1083"/>
      <c r="BK222" s="983">
        <v>216</v>
      </c>
      <c r="BL222" s="994"/>
      <c r="BM222" s="995"/>
      <c r="BN222" s="1083"/>
      <c r="BP222" s="983">
        <v>216</v>
      </c>
      <c r="BQ222" s="994"/>
      <c r="BR222" s="995"/>
      <c r="BS222" s="1083"/>
      <c r="BU222" s="983">
        <v>216</v>
      </c>
      <c r="BV222" s="994"/>
      <c r="BW222" s="995"/>
      <c r="BX222" s="1083"/>
      <c r="BZ222" s="983">
        <v>216</v>
      </c>
      <c r="CA222" s="994"/>
      <c r="CB222" s="995"/>
      <c r="CC222" s="1083"/>
      <c r="DF222" s="43" t="b">
        <f t="shared" si="89"/>
        <v>0</v>
      </c>
      <c r="DG222" s="43" t="str">
        <f t="shared" si="90"/>
        <v/>
      </c>
      <c r="DH222" s="43" t="str">
        <f t="shared" si="91"/>
        <v/>
      </c>
      <c r="DI222" s="43" t="str">
        <f t="shared" si="92"/>
        <v/>
      </c>
      <c r="DJ222" s="43" t="str">
        <f t="shared" si="93"/>
        <v/>
      </c>
      <c r="DK222" s="43" t="e">
        <f t="shared" si="94"/>
        <v>#N/A</v>
      </c>
      <c r="DL222" s="43" t="e">
        <f t="shared" si="95"/>
        <v>#N/A</v>
      </c>
      <c r="DM222" s="43" t="e">
        <f t="shared" si="96"/>
        <v>#N/A</v>
      </c>
      <c r="DN222" s="43" t="e">
        <f t="shared" si="97"/>
        <v>#N/A</v>
      </c>
      <c r="DO222" s="43" t="e">
        <f t="shared" si="98"/>
        <v>#N/A</v>
      </c>
      <c r="DP222" s="43" t="e">
        <f t="shared" si="99"/>
        <v>#N/A</v>
      </c>
      <c r="DQ222" s="43" t="e">
        <f t="shared" si="100"/>
        <v>#N/A</v>
      </c>
      <c r="DR222" s="43" t="e">
        <f t="shared" si="101"/>
        <v>#N/A</v>
      </c>
      <c r="DS222" s="43">
        <f t="shared" si="102"/>
        <v>0</v>
      </c>
    </row>
    <row r="223" spans="1:134" ht="12" customHeight="1">
      <c r="A223" s="640">
        <v>211</v>
      </c>
      <c r="B223" s="994"/>
      <c r="C223" s="995"/>
      <c r="D223" s="329"/>
      <c r="E223" s="884"/>
      <c r="F223" s="1027" t="str">
        <f t="shared" si="113"/>
        <v/>
      </c>
      <c r="G223" s="1028" t="str">
        <f t="shared" si="114"/>
        <v/>
      </c>
      <c r="H223" s="886"/>
      <c r="I223" s="458" t="str">
        <f t="shared" si="115"/>
        <v/>
      </c>
      <c r="J223" s="886"/>
      <c r="BA223" s="983">
        <v>217</v>
      </c>
      <c r="BB223" s="994"/>
      <c r="BC223" s="995"/>
      <c r="BD223" s="1083"/>
      <c r="BF223" s="983">
        <v>217</v>
      </c>
      <c r="BG223" s="994"/>
      <c r="BH223" s="995"/>
      <c r="BI223" s="1083"/>
      <c r="BK223" s="983">
        <v>217</v>
      </c>
      <c r="BL223" s="994"/>
      <c r="BM223" s="995"/>
      <c r="BN223" s="1083"/>
      <c r="BP223" s="983">
        <v>217</v>
      </c>
      <c r="BQ223" s="994"/>
      <c r="BR223" s="995"/>
      <c r="BS223" s="1083"/>
      <c r="BU223" s="983">
        <v>217</v>
      </c>
      <c r="BV223" s="994"/>
      <c r="BW223" s="995"/>
      <c r="BX223" s="1083"/>
      <c r="BZ223" s="983">
        <v>217</v>
      </c>
      <c r="CA223" s="994"/>
      <c r="CB223" s="995"/>
      <c r="CC223" s="1083"/>
      <c r="DF223" s="43" t="b">
        <f t="shared" si="89"/>
        <v>0</v>
      </c>
      <c r="DG223" s="43" t="str">
        <f t="shared" si="90"/>
        <v/>
      </c>
      <c r="DH223" s="43" t="str">
        <f t="shared" si="91"/>
        <v/>
      </c>
      <c r="DI223" s="43" t="str">
        <f t="shared" si="92"/>
        <v/>
      </c>
      <c r="DJ223" s="43" t="str">
        <f t="shared" si="93"/>
        <v/>
      </c>
      <c r="DK223" s="43" t="e">
        <f t="shared" si="94"/>
        <v>#N/A</v>
      </c>
      <c r="DL223" s="43" t="e">
        <f t="shared" si="95"/>
        <v>#N/A</v>
      </c>
      <c r="DM223" s="43" t="e">
        <f t="shared" si="96"/>
        <v>#N/A</v>
      </c>
      <c r="DN223" s="43" t="e">
        <f t="shared" si="97"/>
        <v>#N/A</v>
      </c>
      <c r="DO223" s="43" t="e">
        <f t="shared" si="98"/>
        <v>#N/A</v>
      </c>
      <c r="DP223" s="43" t="e">
        <f t="shared" si="99"/>
        <v>#N/A</v>
      </c>
      <c r="DQ223" s="43" t="e">
        <f t="shared" si="100"/>
        <v>#N/A</v>
      </c>
      <c r="DR223" s="43" t="e">
        <f t="shared" si="101"/>
        <v>#N/A</v>
      </c>
      <c r="DS223" s="43">
        <f t="shared" si="102"/>
        <v>0</v>
      </c>
    </row>
    <row r="224" spans="1:134" ht="12" customHeight="1">
      <c r="A224" s="640">
        <v>212</v>
      </c>
      <c r="B224" s="994"/>
      <c r="C224" s="995"/>
      <c r="D224" s="329"/>
      <c r="E224" s="884"/>
      <c r="F224" s="1027" t="str">
        <f t="shared" si="113"/>
        <v/>
      </c>
      <c r="G224" s="1028" t="str">
        <f t="shared" si="114"/>
        <v/>
      </c>
      <c r="H224" s="886"/>
      <c r="I224" s="458" t="str">
        <f t="shared" si="115"/>
        <v/>
      </c>
      <c r="J224" s="886"/>
      <c r="BA224" s="983">
        <v>218</v>
      </c>
      <c r="BB224" s="994"/>
      <c r="BC224" s="995"/>
      <c r="BD224" s="1083"/>
      <c r="BF224" s="983">
        <v>218</v>
      </c>
      <c r="BG224" s="994"/>
      <c r="BH224" s="995"/>
      <c r="BI224" s="1083"/>
      <c r="BK224" s="983">
        <v>218</v>
      </c>
      <c r="BL224" s="994"/>
      <c r="BM224" s="995"/>
      <c r="BN224" s="1083"/>
      <c r="BP224" s="983">
        <v>218</v>
      </c>
      <c r="BQ224" s="994"/>
      <c r="BR224" s="995"/>
      <c r="BS224" s="1083"/>
      <c r="BU224" s="983">
        <v>218</v>
      </c>
      <c r="BV224" s="994"/>
      <c r="BW224" s="995"/>
      <c r="BX224" s="1083"/>
      <c r="BZ224" s="983">
        <v>218</v>
      </c>
      <c r="CA224" s="994"/>
      <c r="CB224" s="995"/>
      <c r="CC224" s="1083"/>
      <c r="DF224" s="43" t="b">
        <f t="shared" si="89"/>
        <v>0</v>
      </c>
      <c r="DG224" s="43" t="str">
        <f t="shared" si="90"/>
        <v/>
      </c>
      <c r="DH224" s="43" t="str">
        <f t="shared" si="91"/>
        <v/>
      </c>
      <c r="DI224" s="43" t="str">
        <f t="shared" si="92"/>
        <v/>
      </c>
      <c r="DJ224" s="43" t="str">
        <f t="shared" si="93"/>
        <v/>
      </c>
      <c r="DK224" s="43" t="e">
        <f t="shared" si="94"/>
        <v>#N/A</v>
      </c>
      <c r="DL224" s="43" t="e">
        <f t="shared" si="95"/>
        <v>#N/A</v>
      </c>
      <c r="DM224" s="43" t="e">
        <f t="shared" si="96"/>
        <v>#N/A</v>
      </c>
      <c r="DN224" s="43" t="e">
        <f t="shared" si="97"/>
        <v>#N/A</v>
      </c>
      <c r="DO224" s="43" t="e">
        <f t="shared" si="98"/>
        <v>#N/A</v>
      </c>
      <c r="DP224" s="43" t="e">
        <f t="shared" si="99"/>
        <v>#N/A</v>
      </c>
      <c r="DQ224" s="43" t="e">
        <f t="shared" si="100"/>
        <v>#N/A</v>
      </c>
      <c r="DR224" s="43" t="e">
        <f t="shared" si="101"/>
        <v>#N/A</v>
      </c>
      <c r="DS224" s="43">
        <f t="shared" si="102"/>
        <v>0</v>
      </c>
    </row>
    <row r="225" spans="1:123" ht="12" customHeight="1">
      <c r="A225" s="640">
        <v>213</v>
      </c>
      <c r="B225" s="994"/>
      <c r="C225" s="995"/>
      <c r="D225" s="329"/>
      <c r="E225" s="884"/>
      <c r="F225" s="1027" t="str">
        <f t="shared" si="113"/>
        <v/>
      </c>
      <c r="G225" s="1028" t="str">
        <f t="shared" si="114"/>
        <v/>
      </c>
      <c r="H225" s="886"/>
      <c r="I225" s="458" t="str">
        <f t="shared" si="115"/>
        <v/>
      </c>
      <c r="J225" s="886"/>
      <c r="BA225" s="983">
        <v>219</v>
      </c>
      <c r="BB225" s="994"/>
      <c r="BC225" s="995"/>
      <c r="BD225" s="1083"/>
      <c r="BF225" s="983">
        <v>219</v>
      </c>
      <c r="BG225" s="994"/>
      <c r="BH225" s="995"/>
      <c r="BI225" s="1083"/>
      <c r="BK225" s="983">
        <v>219</v>
      </c>
      <c r="BL225" s="994"/>
      <c r="BM225" s="995"/>
      <c r="BN225" s="1083"/>
      <c r="BP225" s="983">
        <v>219</v>
      </c>
      <c r="BQ225" s="994"/>
      <c r="BR225" s="995"/>
      <c r="BS225" s="1083"/>
      <c r="BU225" s="983">
        <v>219</v>
      </c>
      <c r="BV225" s="994"/>
      <c r="BW225" s="995"/>
      <c r="BX225" s="1083"/>
      <c r="BZ225" s="983">
        <v>219</v>
      </c>
      <c r="CA225" s="994"/>
      <c r="CB225" s="995"/>
      <c r="CC225" s="1083"/>
      <c r="DF225" s="43" t="b">
        <f t="shared" si="89"/>
        <v>0</v>
      </c>
      <c r="DG225" s="43" t="str">
        <f t="shared" si="90"/>
        <v/>
      </c>
      <c r="DH225" s="43" t="str">
        <f t="shared" si="91"/>
        <v/>
      </c>
      <c r="DI225" s="43" t="str">
        <f t="shared" si="92"/>
        <v/>
      </c>
      <c r="DJ225" s="43" t="str">
        <f t="shared" si="93"/>
        <v/>
      </c>
      <c r="DK225" s="43" t="e">
        <f t="shared" si="94"/>
        <v>#N/A</v>
      </c>
      <c r="DL225" s="43" t="e">
        <f t="shared" si="95"/>
        <v>#N/A</v>
      </c>
      <c r="DM225" s="43" t="e">
        <f t="shared" si="96"/>
        <v>#N/A</v>
      </c>
      <c r="DN225" s="43" t="e">
        <f t="shared" si="97"/>
        <v>#N/A</v>
      </c>
      <c r="DO225" s="43" t="e">
        <f t="shared" si="98"/>
        <v>#N/A</v>
      </c>
      <c r="DP225" s="43" t="e">
        <f t="shared" si="99"/>
        <v>#N/A</v>
      </c>
      <c r="DQ225" s="43" t="e">
        <f t="shared" si="100"/>
        <v>#N/A</v>
      </c>
      <c r="DR225" s="43" t="e">
        <f t="shared" si="101"/>
        <v>#N/A</v>
      </c>
      <c r="DS225" s="43">
        <f t="shared" si="102"/>
        <v>0</v>
      </c>
    </row>
    <row r="226" spans="1:123" ht="12" customHeight="1">
      <c r="A226" s="640">
        <v>214</v>
      </c>
      <c r="B226" s="994"/>
      <c r="C226" s="995"/>
      <c r="D226" s="329"/>
      <c r="E226" s="884"/>
      <c r="F226" s="1027" t="str">
        <f t="shared" si="113"/>
        <v/>
      </c>
      <c r="G226" s="1028" t="str">
        <f t="shared" si="114"/>
        <v/>
      </c>
      <c r="H226" s="886"/>
      <c r="I226" s="458" t="str">
        <f t="shared" si="115"/>
        <v/>
      </c>
      <c r="J226" s="886"/>
      <c r="BA226" s="983">
        <v>220</v>
      </c>
      <c r="BB226" s="994"/>
      <c r="BC226" s="995"/>
      <c r="BD226" s="1083"/>
      <c r="BF226" s="983">
        <v>220</v>
      </c>
      <c r="BG226" s="994"/>
      <c r="BH226" s="995"/>
      <c r="BI226" s="1083"/>
      <c r="BK226" s="983">
        <v>220</v>
      </c>
      <c r="BL226" s="994"/>
      <c r="BM226" s="995"/>
      <c r="BN226" s="1083"/>
      <c r="BP226" s="983">
        <v>220</v>
      </c>
      <c r="BQ226" s="994"/>
      <c r="BR226" s="995"/>
      <c r="BS226" s="1083"/>
      <c r="BU226" s="983">
        <v>220</v>
      </c>
      <c r="BV226" s="994"/>
      <c r="BW226" s="995"/>
      <c r="BX226" s="1083"/>
      <c r="BZ226" s="983">
        <v>220</v>
      </c>
      <c r="CA226" s="994"/>
      <c r="CB226" s="995"/>
      <c r="CC226" s="1083"/>
      <c r="DF226" s="43" t="b">
        <f t="shared" si="89"/>
        <v>0</v>
      </c>
      <c r="DG226" s="43" t="str">
        <f t="shared" si="90"/>
        <v/>
      </c>
      <c r="DH226" s="43" t="str">
        <f t="shared" si="91"/>
        <v/>
      </c>
      <c r="DI226" s="43" t="str">
        <f t="shared" si="92"/>
        <v/>
      </c>
      <c r="DJ226" s="43" t="str">
        <f t="shared" si="93"/>
        <v/>
      </c>
      <c r="DK226" s="43" t="e">
        <f t="shared" si="94"/>
        <v>#N/A</v>
      </c>
      <c r="DL226" s="43" t="e">
        <f t="shared" si="95"/>
        <v>#N/A</v>
      </c>
      <c r="DM226" s="43" t="e">
        <f t="shared" si="96"/>
        <v>#N/A</v>
      </c>
      <c r="DN226" s="43" t="e">
        <f t="shared" si="97"/>
        <v>#N/A</v>
      </c>
      <c r="DO226" s="43" t="e">
        <f t="shared" si="98"/>
        <v>#N/A</v>
      </c>
      <c r="DP226" s="43" t="e">
        <f t="shared" si="99"/>
        <v>#N/A</v>
      </c>
      <c r="DQ226" s="43" t="e">
        <f t="shared" si="100"/>
        <v>#N/A</v>
      </c>
      <c r="DR226" s="43" t="e">
        <f t="shared" si="101"/>
        <v>#N/A</v>
      </c>
      <c r="DS226" s="43">
        <f t="shared" si="102"/>
        <v>0</v>
      </c>
    </row>
    <row r="227" spans="1:123" ht="12" customHeight="1">
      <c r="A227" s="640">
        <v>215</v>
      </c>
      <c r="B227" s="994"/>
      <c r="C227" s="995"/>
      <c r="D227" s="329"/>
      <c r="E227" s="884"/>
      <c r="F227" s="1027" t="str">
        <f t="shared" si="113"/>
        <v/>
      </c>
      <c r="G227" s="1028" t="str">
        <f t="shared" si="114"/>
        <v/>
      </c>
      <c r="H227" s="886"/>
      <c r="I227" s="458" t="str">
        <f t="shared" si="115"/>
        <v/>
      </c>
      <c r="J227" s="886"/>
      <c r="BA227" s="983">
        <v>221</v>
      </c>
      <c r="BB227" s="994"/>
      <c r="BC227" s="995"/>
      <c r="BD227" s="1083"/>
      <c r="BF227" s="983">
        <v>221</v>
      </c>
      <c r="BG227" s="994"/>
      <c r="BH227" s="995"/>
      <c r="BI227" s="1083"/>
      <c r="BK227" s="983">
        <v>221</v>
      </c>
      <c r="BL227" s="994"/>
      <c r="BM227" s="995"/>
      <c r="BN227" s="1083"/>
      <c r="BP227" s="983">
        <v>221</v>
      </c>
      <c r="BQ227" s="994"/>
      <c r="BR227" s="995"/>
      <c r="BS227" s="1083"/>
      <c r="BU227" s="983">
        <v>221</v>
      </c>
      <c r="BV227" s="994"/>
      <c r="BW227" s="995"/>
      <c r="BX227" s="1083"/>
      <c r="BZ227" s="983">
        <v>221</v>
      </c>
      <c r="CA227" s="994"/>
      <c r="CB227" s="995"/>
      <c r="CC227" s="1083"/>
      <c r="DF227" s="43" t="b">
        <f t="shared" si="89"/>
        <v>0</v>
      </c>
      <c r="DG227" s="43" t="str">
        <f t="shared" si="90"/>
        <v/>
      </c>
      <c r="DH227" s="43" t="str">
        <f t="shared" si="91"/>
        <v/>
      </c>
      <c r="DI227" s="43" t="str">
        <f t="shared" si="92"/>
        <v/>
      </c>
      <c r="DJ227" s="43" t="str">
        <f t="shared" si="93"/>
        <v/>
      </c>
      <c r="DK227" s="43" t="e">
        <f t="shared" si="94"/>
        <v>#N/A</v>
      </c>
      <c r="DL227" s="43" t="e">
        <f t="shared" si="95"/>
        <v>#N/A</v>
      </c>
      <c r="DM227" s="43" t="e">
        <f t="shared" si="96"/>
        <v>#N/A</v>
      </c>
      <c r="DN227" s="43" t="e">
        <f t="shared" si="97"/>
        <v>#N/A</v>
      </c>
      <c r="DO227" s="43" t="e">
        <f t="shared" si="98"/>
        <v>#N/A</v>
      </c>
      <c r="DP227" s="43" t="e">
        <f t="shared" si="99"/>
        <v>#N/A</v>
      </c>
      <c r="DQ227" s="43" t="e">
        <f t="shared" si="100"/>
        <v>#N/A</v>
      </c>
      <c r="DR227" s="43" t="e">
        <f t="shared" si="101"/>
        <v>#N/A</v>
      </c>
      <c r="DS227" s="43">
        <f t="shared" si="102"/>
        <v>0</v>
      </c>
    </row>
    <row r="228" spans="1:123" ht="12" customHeight="1">
      <c r="A228" s="640">
        <v>216</v>
      </c>
      <c r="B228" s="994"/>
      <c r="C228" s="995"/>
      <c r="D228" s="329"/>
      <c r="E228" s="884"/>
      <c r="F228" s="1027" t="str">
        <f t="shared" si="113"/>
        <v/>
      </c>
      <c r="G228" s="1028" t="str">
        <f t="shared" si="114"/>
        <v/>
      </c>
      <c r="H228" s="886"/>
      <c r="I228" s="458" t="str">
        <f t="shared" si="115"/>
        <v/>
      </c>
      <c r="J228" s="886"/>
      <c r="BA228" s="983">
        <v>222</v>
      </c>
      <c r="BB228" s="994"/>
      <c r="BC228" s="995"/>
      <c r="BD228" s="1083"/>
      <c r="BF228" s="983">
        <v>222</v>
      </c>
      <c r="BG228" s="994"/>
      <c r="BH228" s="995"/>
      <c r="BI228" s="1083"/>
      <c r="BK228" s="983">
        <v>222</v>
      </c>
      <c r="BL228" s="994"/>
      <c r="BM228" s="995"/>
      <c r="BN228" s="1083"/>
      <c r="BP228" s="983">
        <v>222</v>
      </c>
      <c r="BQ228" s="994"/>
      <c r="BR228" s="995"/>
      <c r="BS228" s="1083"/>
      <c r="BU228" s="983">
        <v>222</v>
      </c>
      <c r="BV228" s="994"/>
      <c r="BW228" s="995"/>
      <c r="BX228" s="1083"/>
      <c r="BZ228" s="983">
        <v>222</v>
      </c>
      <c r="CA228" s="994"/>
      <c r="CB228" s="995"/>
      <c r="CC228" s="1083"/>
      <c r="DF228" s="43" t="b">
        <f t="shared" si="89"/>
        <v>0</v>
      </c>
      <c r="DG228" s="43" t="str">
        <f t="shared" si="90"/>
        <v/>
      </c>
      <c r="DH228" s="43" t="str">
        <f t="shared" si="91"/>
        <v/>
      </c>
      <c r="DI228" s="43" t="str">
        <f t="shared" si="92"/>
        <v/>
      </c>
      <c r="DJ228" s="43" t="str">
        <f t="shared" si="93"/>
        <v/>
      </c>
      <c r="DK228" s="43" t="e">
        <f t="shared" si="94"/>
        <v>#N/A</v>
      </c>
      <c r="DL228" s="43" t="e">
        <f t="shared" si="95"/>
        <v>#N/A</v>
      </c>
      <c r="DM228" s="43" t="e">
        <f t="shared" si="96"/>
        <v>#N/A</v>
      </c>
      <c r="DN228" s="43" t="e">
        <f t="shared" si="97"/>
        <v>#N/A</v>
      </c>
      <c r="DO228" s="43" t="e">
        <f t="shared" si="98"/>
        <v>#N/A</v>
      </c>
      <c r="DP228" s="43" t="e">
        <f t="shared" si="99"/>
        <v>#N/A</v>
      </c>
      <c r="DQ228" s="43" t="e">
        <f t="shared" si="100"/>
        <v>#N/A</v>
      </c>
      <c r="DR228" s="43" t="e">
        <f t="shared" si="101"/>
        <v>#N/A</v>
      </c>
      <c r="DS228" s="43">
        <f t="shared" si="102"/>
        <v>0</v>
      </c>
    </row>
    <row r="229" spans="1:123" ht="12" customHeight="1">
      <c r="A229" s="640">
        <v>217</v>
      </c>
      <c r="B229" s="994"/>
      <c r="C229" s="995"/>
      <c r="D229" s="329"/>
      <c r="E229" s="884"/>
      <c r="F229" s="1027" t="str">
        <f t="shared" si="113"/>
        <v/>
      </c>
      <c r="G229" s="1028" t="str">
        <f t="shared" si="114"/>
        <v/>
      </c>
      <c r="H229" s="886"/>
      <c r="I229" s="458" t="str">
        <f t="shared" si="115"/>
        <v/>
      </c>
      <c r="J229" s="886"/>
      <c r="BA229" s="983">
        <v>223</v>
      </c>
      <c r="BB229" s="994"/>
      <c r="BC229" s="995"/>
      <c r="BD229" s="1083"/>
      <c r="BF229" s="983">
        <v>223</v>
      </c>
      <c r="BG229" s="994"/>
      <c r="BH229" s="995"/>
      <c r="BI229" s="1083"/>
      <c r="BK229" s="983">
        <v>223</v>
      </c>
      <c r="BL229" s="994"/>
      <c r="BM229" s="995"/>
      <c r="BN229" s="1083"/>
      <c r="BP229" s="983">
        <v>223</v>
      </c>
      <c r="BQ229" s="994"/>
      <c r="BR229" s="995"/>
      <c r="BS229" s="1083"/>
      <c r="BU229" s="983">
        <v>223</v>
      </c>
      <c r="BV229" s="994"/>
      <c r="BW229" s="995"/>
      <c r="BX229" s="1083"/>
      <c r="BZ229" s="983">
        <v>223</v>
      </c>
      <c r="CA229" s="994"/>
      <c r="CB229" s="995"/>
      <c r="CC229" s="1083"/>
      <c r="DF229" s="43" t="b">
        <f t="shared" si="89"/>
        <v>0</v>
      </c>
      <c r="DG229" s="43" t="str">
        <f t="shared" si="90"/>
        <v/>
      </c>
      <c r="DH229" s="43" t="str">
        <f t="shared" si="91"/>
        <v/>
      </c>
      <c r="DI229" s="43" t="str">
        <f t="shared" si="92"/>
        <v/>
      </c>
      <c r="DJ229" s="43" t="str">
        <f t="shared" si="93"/>
        <v/>
      </c>
      <c r="DK229" s="43" t="e">
        <f t="shared" si="94"/>
        <v>#N/A</v>
      </c>
      <c r="DL229" s="43" t="e">
        <f t="shared" si="95"/>
        <v>#N/A</v>
      </c>
      <c r="DM229" s="43" t="e">
        <f t="shared" si="96"/>
        <v>#N/A</v>
      </c>
      <c r="DN229" s="43" t="e">
        <f t="shared" si="97"/>
        <v>#N/A</v>
      </c>
      <c r="DO229" s="43" t="e">
        <f t="shared" si="98"/>
        <v>#N/A</v>
      </c>
      <c r="DP229" s="43" t="e">
        <f t="shared" si="99"/>
        <v>#N/A</v>
      </c>
      <c r="DQ229" s="43" t="e">
        <f t="shared" si="100"/>
        <v>#N/A</v>
      </c>
      <c r="DR229" s="43" t="e">
        <f t="shared" si="101"/>
        <v>#N/A</v>
      </c>
      <c r="DS229" s="43">
        <f t="shared" si="102"/>
        <v>0</v>
      </c>
    </row>
    <row r="230" spans="1:123" ht="12" customHeight="1">
      <c r="A230" s="640">
        <v>218</v>
      </c>
      <c r="B230" s="994"/>
      <c r="C230" s="995"/>
      <c r="D230" s="329"/>
      <c r="E230" s="884"/>
      <c r="F230" s="1027" t="str">
        <f t="shared" si="113"/>
        <v/>
      </c>
      <c r="G230" s="1028" t="str">
        <f t="shared" si="114"/>
        <v/>
      </c>
      <c r="H230" s="886"/>
      <c r="I230" s="458" t="str">
        <f t="shared" si="115"/>
        <v/>
      </c>
      <c r="J230" s="886"/>
      <c r="BA230" s="983">
        <v>224</v>
      </c>
      <c r="BB230" s="994"/>
      <c r="BC230" s="995"/>
      <c r="BD230" s="1083"/>
      <c r="BF230" s="983">
        <v>224</v>
      </c>
      <c r="BG230" s="994"/>
      <c r="BH230" s="995"/>
      <c r="BI230" s="1083"/>
      <c r="BK230" s="983">
        <v>224</v>
      </c>
      <c r="BL230" s="994"/>
      <c r="BM230" s="995"/>
      <c r="BN230" s="1083"/>
      <c r="BP230" s="983">
        <v>224</v>
      </c>
      <c r="BQ230" s="994"/>
      <c r="BR230" s="995"/>
      <c r="BS230" s="1083"/>
      <c r="BU230" s="983">
        <v>224</v>
      </c>
      <c r="BV230" s="994"/>
      <c r="BW230" s="995"/>
      <c r="BX230" s="1083"/>
      <c r="BZ230" s="983">
        <v>224</v>
      </c>
      <c r="CA230" s="994"/>
      <c r="CB230" s="995"/>
      <c r="CC230" s="1083"/>
      <c r="DF230" s="43" t="b">
        <f t="shared" si="89"/>
        <v>0</v>
      </c>
      <c r="DG230" s="43" t="str">
        <f t="shared" si="90"/>
        <v/>
      </c>
      <c r="DH230" s="43" t="str">
        <f t="shared" si="91"/>
        <v/>
      </c>
      <c r="DI230" s="43" t="str">
        <f t="shared" si="92"/>
        <v/>
      </c>
      <c r="DJ230" s="43" t="str">
        <f t="shared" si="93"/>
        <v/>
      </c>
      <c r="DK230" s="43" t="e">
        <f t="shared" si="94"/>
        <v>#N/A</v>
      </c>
      <c r="DL230" s="43" t="e">
        <f t="shared" si="95"/>
        <v>#N/A</v>
      </c>
      <c r="DM230" s="43" t="e">
        <f t="shared" si="96"/>
        <v>#N/A</v>
      </c>
      <c r="DN230" s="43" t="e">
        <f t="shared" si="97"/>
        <v>#N/A</v>
      </c>
      <c r="DO230" s="43" t="e">
        <f t="shared" si="98"/>
        <v>#N/A</v>
      </c>
      <c r="DP230" s="43" t="e">
        <f t="shared" si="99"/>
        <v>#N/A</v>
      </c>
      <c r="DQ230" s="43" t="e">
        <f t="shared" si="100"/>
        <v>#N/A</v>
      </c>
      <c r="DR230" s="43" t="e">
        <f t="shared" si="101"/>
        <v>#N/A</v>
      </c>
      <c r="DS230" s="43">
        <f t="shared" si="102"/>
        <v>0</v>
      </c>
    </row>
    <row r="231" spans="1:123" ht="12" customHeight="1">
      <c r="A231" s="640">
        <v>219</v>
      </c>
      <c r="B231" s="994"/>
      <c r="C231" s="995"/>
      <c r="D231" s="329"/>
      <c r="E231" s="884"/>
      <c r="F231" s="1027" t="str">
        <f t="shared" si="113"/>
        <v/>
      </c>
      <c r="G231" s="1028" t="str">
        <f t="shared" si="114"/>
        <v/>
      </c>
      <c r="H231" s="886"/>
      <c r="I231" s="458" t="str">
        <f t="shared" si="115"/>
        <v/>
      </c>
      <c r="J231" s="886"/>
      <c r="BA231" s="983">
        <v>225</v>
      </c>
      <c r="BB231" s="994"/>
      <c r="BC231" s="995"/>
      <c r="BD231" s="1083"/>
      <c r="BF231" s="983">
        <v>225</v>
      </c>
      <c r="BG231" s="994"/>
      <c r="BH231" s="995"/>
      <c r="BI231" s="1083"/>
      <c r="BK231" s="983">
        <v>225</v>
      </c>
      <c r="BL231" s="994"/>
      <c r="BM231" s="995"/>
      <c r="BN231" s="1083"/>
      <c r="BP231" s="983">
        <v>225</v>
      </c>
      <c r="BQ231" s="994"/>
      <c r="BR231" s="995"/>
      <c r="BS231" s="1083"/>
      <c r="BU231" s="983">
        <v>225</v>
      </c>
      <c r="BV231" s="994"/>
      <c r="BW231" s="995"/>
      <c r="BX231" s="1083"/>
      <c r="BZ231" s="983">
        <v>225</v>
      </c>
      <c r="CA231" s="994"/>
      <c r="CB231" s="995"/>
      <c r="CC231" s="1083"/>
      <c r="DF231" s="43" t="b">
        <f t="shared" si="89"/>
        <v>0</v>
      </c>
      <c r="DG231" s="43" t="str">
        <f t="shared" si="90"/>
        <v/>
      </c>
      <c r="DH231" s="43" t="str">
        <f t="shared" si="91"/>
        <v/>
      </c>
      <c r="DI231" s="43" t="str">
        <f t="shared" si="92"/>
        <v/>
      </c>
      <c r="DJ231" s="43" t="str">
        <f t="shared" si="93"/>
        <v/>
      </c>
      <c r="DK231" s="43" t="e">
        <f t="shared" si="94"/>
        <v>#N/A</v>
      </c>
      <c r="DL231" s="43" t="e">
        <f t="shared" si="95"/>
        <v>#N/A</v>
      </c>
      <c r="DM231" s="43" t="e">
        <f t="shared" si="96"/>
        <v>#N/A</v>
      </c>
      <c r="DN231" s="43" t="e">
        <f t="shared" si="97"/>
        <v>#N/A</v>
      </c>
      <c r="DO231" s="43" t="e">
        <f t="shared" si="98"/>
        <v>#N/A</v>
      </c>
      <c r="DP231" s="43" t="e">
        <f t="shared" si="99"/>
        <v>#N/A</v>
      </c>
      <c r="DQ231" s="43" t="e">
        <f t="shared" si="100"/>
        <v>#N/A</v>
      </c>
      <c r="DR231" s="43" t="e">
        <f t="shared" si="101"/>
        <v>#N/A</v>
      </c>
      <c r="DS231" s="43">
        <f t="shared" si="102"/>
        <v>0</v>
      </c>
    </row>
    <row r="232" spans="1:123" ht="12" customHeight="1">
      <c r="A232" s="640">
        <v>220</v>
      </c>
      <c r="B232" s="994"/>
      <c r="C232" s="995"/>
      <c r="D232" s="329"/>
      <c r="E232" s="884"/>
      <c r="F232" s="1027" t="str">
        <f t="shared" si="113"/>
        <v/>
      </c>
      <c r="G232" s="1028" t="str">
        <f t="shared" si="114"/>
        <v/>
      </c>
      <c r="H232" s="886"/>
      <c r="I232" s="458" t="str">
        <f t="shared" si="115"/>
        <v/>
      </c>
      <c r="J232" s="886"/>
      <c r="BA232" s="983">
        <v>226</v>
      </c>
      <c r="BB232" s="994"/>
      <c r="BC232" s="995"/>
      <c r="BD232" s="1083"/>
      <c r="BF232" s="983">
        <v>226</v>
      </c>
      <c r="BG232" s="994"/>
      <c r="BH232" s="995"/>
      <c r="BI232" s="1083"/>
      <c r="BK232" s="983">
        <v>226</v>
      </c>
      <c r="BL232" s="994"/>
      <c r="BM232" s="995"/>
      <c r="BN232" s="1083"/>
      <c r="BP232" s="983">
        <v>226</v>
      </c>
      <c r="BQ232" s="994"/>
      <c r="BR232" s="995"/>
      <c r="BS232" s="1083"/>
      <c r="BU232" s="983">
        <v>226</v>
      </c>
      <c r="BV232" s="994"/>
      <c r="BW232" s="995"/>
      <c r="BX232" s="1083"/>
      <c r="BZ232" s="983">
        <v>226</v>
      </c>
      <c r="CA232" s="994"/>
      <c r="CB232" s="995"/>
      <c r="CC232" s="1083"/>
      <c r="DF232" s="43" t="b">
        <f t="shared" si="89"/>
        <v>0</v>
      </c>
      <c r="DG232" s="43" t="str">
        <f t="shared" si="90"/>
        <v/>
      </c>
      <c r="DH232" s="43" t="str">
        <f t="shared" si="91"/>
        <v/>
      </c>
      <c r="DI232" s="43" t="str">
        <f t="shared" si="92"/>
        <v/>
      </c>
      <c r="DJ232" s="43" t="str">
        <f t="shared" si="93"/>
        <v/>
      </c>
      <c r="DK232" s="43" t="e">
        <f t="shared" si="94"/>
        <v>#N/A</v>
      </c>
      <c r="DL232" s="43" t="e">
        <f t="shared" si="95"/>
        <v>#N/A</v>
      </c>
      <c r="DM232" s="43" t="e">
        <f t="shared" si="96"/>
        <v>#N/A</v>
      </c>
      <c r="DN232" s="43" t="e">
        <f t="shared" si="97"/>
        <v>#N/A</v>
      </c>
      <c r="DO232" s="43" t="e">
        <f t="shared" si="98"/>
        <v>#N/A</v>
      </c>
      <c r="DP232" s="43" t="e">
        <f t="shared" si="99"/>
        <v>#N/A</v>
      </c>
      <c r="DQ232" s="43" t="e">
        <f t="shared" si="100"/>
        <v>#N/A</v>
      </c>
      <c r="DR232" s="43" t="e">
        <f t="shared" si="101"/>
        <v>#N/A</v>
      </c>
      <c r="DS232" s="43">
        <f t="shared" si="102"/>
        <v>0</v>
      </c>
    </row>
    <row r="233" spans="1:123" ht="12" customHeight="1">
      <c r="A233" s="640">
        <v>221</v>
      </c>
      <c r="B233" s="994"/>
      <c r="C233" s="995"/>
      <c r="D233" s="329"/>
      <c r="E233" s="884"/>
      <c r="F233" s="1027" t="str">
        <f t="shared" si="113"/>
        <v/>
      </c>
      <c r="G233" s="1028" t="str">
        <f t="shared" si="114"/>
        <v/>
      </c>
      <c r="H233" s="886"/>
      <c r="I233" s="458" t="str">
        <f t="shared" si="115"/>
        <v/>
      </c>
      <c r="J233" s="886"/>
      <c r="BA233" s="983">
        <v>227</v>
      </c>
      <c r="BB233" s="994"/>
      <c r="BC233" s="995"/>
      <c r="BD233" s="1083"/>
      <c r="BF233" s="983">
        <v>227</v>
      </c>
      <c r="BG233" s="994"/>
      <c r="BH233" s="995"/>
      <c r="BI233" s="1083"/>
      <c r="BK233" s="983">
        <v>227</v>
      </c>
      <c r="BL233" s="994"/>
      <c r="BM233" s="995"/>
      <c r="BN233" s="1083"/>
      <c r="BP233" s="983">
        <v>227</v>
      </c>
      <c r="BQ233" s="994"/>
      <c r="BR233" s="995"/>
      <c r="BS233" s="1083"/>
      <c r="BU233" s="983">
        <v>227</v>
      </c>
      <c r="BV233" s="994"/>
      <c r="BW233" s="995"/>
      <c r="BX233" s="1083"/>
      <c r="BZ233" s="983">
        <v>227</v>
      </c>
      <c r="CA233" s="994"/>
      <c r="CB233" s="995"/>
      <c r="CC233" s="1083"/>
      <c r="DF233" s="43" t="b">
        <f t="shared" si="89"/>
        <v>0</v>
      </c>
      <c r="DG233" s="43" t="str">
        <f t="shared" si="90"/>
        <v/>
      </c>
      <c r="DH233" s="43" t="str">
        <f t="shared" si="91"/>
        <v/>
      </c>
      <c r="DI233" s="43" t="str">
        <f t="shared" si="92"/>
        <v/>
      </c>
      <c r="DJ233" s="43" t="str">
        <f t="shared" si="93"/>
        <v/>
      </c>
      <c r="DK233" s="43" t="e">
        <f t="shared" si="94"/>
        <v>#N/A</v>
      </c>
      <c r="DL233" s="43" t="e">
        <f t="shared" si="95"/>
        <v>#N/A</v>
      </c>
      <c r="DM233" s="43" t="e">
        <f t="shared" si="96"/>
        <v>#N/A</v>
      </c>
      <c r="DN233" s="43" t="e">
        <f t="shared" si="97"/>
        <v>#N/A</v>
      </c>
      <c r="DO233" s="43" t="e">
        <f t="shared" si="98"/>
        <v>#N/A</v>
      </c>
      <c r="DP233" s="43" t="e">
        <f t="shared" si="99"/>
        <v>#N/A</v>
      </c>
      <c r="DQ233" s="43" t="e">
        <f t="shared" si="100"/>
        <v>#N/A</v>
      </c>
      <c r="DR233" s="43" t="e">
        <f t="shared" si="101"/>
        <v>#N/A</v>
      </c>
      <c r="DS233" s="43">
        <f t="shared" si="102"/>
        <v>0</v>
      </c>
    </row>
    <row r="234" spans="1:123" ht="12" customHeight="1">
      <c r="A234" s="640">
        <v>222</v>
      </c>
      <c r="B234" s="994"/>
      <c r="C234" s="995"/>
      <c r="D234" s="329"/>
      <c r="E234" s="884"/>
      <c r="F234" s="1027" t="str">
        <f t="shared" si="113"/>
        <v/>
      </c>
      <c r="G234" s="1028" t="str">
        <f t="shared" si="114"/>
        <v/>
      </c>
      <c r="H234" s="886"/>
      <c r="I234" s="458" t="str">
        <f t="shared" si="115"/>
        <v/>
      </c>
      <c r="J234" s="886"/>
      <c r="BA234" s="983">
        <v>228</v>
      </c>
      <c r="BB234" s="994"/>
      <c r="BC234" s="995"/>
      <c r="BD234" s="1083"/>
      <c r="BF234" s="983">
        <v>228</v>
      </c>
      <c r="BG234" s="994"/>
      <c r="BH234" s="995"/>
      <c r="BI234" s="1083"/>
      <c r="BK234" s="983">
        <v>228</v>
      </c>
      <c r="BL234" s="994"/>
      <c r="BM234" s="995"/>
      <c r="BN234" s="1083"/>
      <c r="BP234" s="983">
        <v>228</v>
      </c>
      <c r="BQ234" s="994"/>
      <c r="BR234" s="995"/>
      <c r="BS234" s="1083"/>
      <c r="BU234" s="983">
        <v>228</v>
      </c>
      <c r="BV234" s="994"/>
      <c r="BW234" s="995"/>
      <c r="BX234" s="1083"/>
      <c r="BZ234" s="983">
        <v>228</v>
      </c>
      <c r="CA234" s="994"/>
      <c r="CB234" s="995"/>
      <c r="CC234" s="1083"/>
      <c r="DF234" s="43" t="b">
        <f t="shared" si="89"/>
        <v>0</v>
      </c>
      <c r="DG234" s="43" t="str">
        <f t="shared" si="90"/>
        <v/>
      </c>
      <c r="DH234" s="43" t="str">
        <f t="shared" si="91"/>
        <v/>
      </c>
      <c r="DI234" s="43" t="str">
        <f t="shared" si="92"/>
        <v/>
      </c>
      <c r="DJ234" s="43" t="str">
        <f t="shared" si="93"/>
        <v/>
      </c>
      <c r="DK234" s="43" t="e">
        <f t="shared" si="94"/>
        <v>#N/A</v>
      </c>
      <c r="DL234" s="43" t="e">
        <f t="shared" si="95"/>
        <v>#N/A</v>
      </c>
      <c r="DM234" s="43" t="e">
        <f t="shared" si="96"/>
        <v>#N/A</v>
      </c>
      <c r="DN234" s="43" t="e">
        <f t="shared" si="97"/>
        <v>#N/A</v>
      </c>
      <c r="DO234" s="43" t="e">
        <f t="shared" si="98"/>
        <v>#N/A</v>
      </c>
      <c r="DP234" s="43" t="e">
        <f t="shared" si="99"/>
        <v>#N/A</v>
      </c>
      <c r="DQ234" s="43" t="e">
        <f t="shared" si="100"/>
        <v>#N/A</v>
      </c>
      <c r="DR234" s="43" t="e">
        <f t="shared" si="101"/>
        <v>#N/A</v>
      </c>
      <c r="DS234" s="43">
        <f t="shared" si="102"/>
        <v>0</v>
      </c>
    </row>
    <row r="235" spans="1:123" ht="12" customHeight="1">
      <c r="A235" s="640">
        <v>223</v>
      </c>
      <c r="B235" s="994"/>
      <c r="C235" s="995"/>
      <c r="D235" s="329"/>
      <c r="E235" s="884"/>
      <c r="F235" s="1027" t="str">
        <f t="shared" si="113"/>
        <v/>
      </c>
      <c r="G235" s="1028" t="str">
        <f t="shared" si="114"/>
        <v/>
      </c>
      <c r="H235" s="886"/>
      <c r="I235" s="458" t="str">
        <f t="shared" si="115"/>
        <v/>
      </c>
      <c r="J235" s="886"/>
      <c r="BA235" s="983">
        <v>229</v>
      </c>
      <c r="BB235" s="994"/>
      <c r="BC235" s="995"/>
      <c r="BD235" s="1083"/>
      <c r="BF235" s="983">
        <v>229</v>
      </c>
      <c r="BG235" s="994"/>
      <c r="BH235" s="995"/>
      <c r="BI235" s="1083"/>
      <c r="BK235" s="983">
        <v>229</v>
      </c>
      <c r="BL235" s="994"/>
      <c r="BM235" s="995"/>
      <c r="BN235" s="1083"/>
      <c r="BP235" s="983">
        <v>229</v>
      </c>
      <c r="BQ235" s="994"/>
      <c r="BR235" s="995"/>
      <c r="BS235" s="1083"/>
      <c r="BU235" s="983">
        <v>229</v>
      </c>
      <c r="BV235" s="994"/>
      <c r="BW235" s="995"/>
      <c r="BX235" s="1083"/>
      <c r="BZ235" s="983">
        <v>229</v>
      </c>
      <c r="CA235" s="994"/>
      <c r="CB235" s="995"/>
      <c r="CC235" s="1083"/>
      <c r="DF235" s="43" t="b">
        <f t="shared" si="89"/>
        <v>0</v>
      </c>
      <c r="DG235" s="43" t="str">
        <f t="shared" si="90"/>
        <v/>
      </c>
      <c r="DH235" s="43" t="str">
        <f t="shared" si="91"/>
        <v/>
      </c>
      <c r="DI235" s="43" t="str">
        <f t="shared" si="92"/>
        <v/>
      </c>
      <c r="DJ235" s="43" t="str">
        <f t="shared" si="93"/>
        <v/>
      </c>
      <c r="DK235" s="43" t="e">
        <f t="shared" si="94"/>
        <v>#N/A</v>
      </c>
      <c r="DL235" s="43" t="e">
        <f t="shared" si="95"/>
        <v>#N/A</v>
      </c>
      <c r="DM235" s="43" t="e">
        <f t="shared" si="96"/>
        <v>#N/A</v>
      </c>
      <c r="DN235" s="43" t="e">
        <f t="shared" si="97"/>
        <v>#N/A</v>
      </c>
      <c r="DO235" s="43" t="e">
        <f t="shared" si="98"/>
        <v>#N/A</v>
      </c>
      <c r="DP235" s="43" t="e">
        <f t="shared" si="99"/>
        <v>#N/A</v>
      </c>
      <c r="DQ235" s="43" t="e">
        <f t="shared" si="100"/>
        <v>#N/A</v>
      </c>
      <c r="DR235" s="43" t="e">
        <f t="shared" si="101"/>
        <v>#N/A</v>
      </c>
      <c r="DS235" s="43">
        <f t="shared" si="102"/>
        <v>0</v>
      </c>
    </row>
    <row r="236" spans="1:123" ht="12" customHeight="1">
      <c r="A236" s="640">
        <v>224</v>
      </c>
      <c r="B236" s="994"/>
      <c r="C236" s="995"/>
      <c r="D236" s="329"/>
      <c r="E236" s="884"/>
      <c r="F236" s="1027" t="str">
        <f t="shared" si="113"/>
        <v/>
      </c>
      <c r="G236" s="1028" t="str">
        <f t="shared" si="114"/>
        <v/>
      </c>
      <c r="H236" s="886"/>
      <c r="I236" s="458" t="str">
        <f t="shared" si="115"/>
        <v/>
      </c>
      <c r="J236" s="886"/>
      <c r="BA236" s="983">
        <v>230</v>
      </c>
      <c r="BB236" s="994"/>
      <c r="BC236" s="995"/>
      <c r="BD236" s="1083"/>
      <c r="BF236" s="983">
        <v>230</v>
      </c>
      <c r="BG236" s="994"/>
      <c r="BH236" s="995"/>
      <c r="BI236" s="1083"/>
      <c r="BK236" s="983">
        <v>230</v>
      </c>
      <c r="BL236" s="994"/>
      <c r="BM236" s="995"/>
      <c r="BN236" s="1083"/>
      <c r="BP236" s="983">
        <v>230</v>
      </c>
      <c r="BQ236" s="994"/>
      <c r="BR236" s="995"/>
      <c r="BS236" s="1083"/>
      <c r="BU236" s="983">
        <v>230</v>
      </c>
      <c r="BV236" s="994"/>
      <c r="BW236" s="995"/>
      <c r="BX236" s="1083"/>
      <c r="BZ236" s="983">
        <v>230</v>
      </c>
      <c r="CA236" s="994"/>
      <c r="CB236" s="995"/>
      <c r="CC236" s="1083"/>
      <c r="DF236" s="43" t="b">
        <f t="shared" si="89"/>
        <v>0</v>
      </c>
      <c r="DG236" s="43" t="str">
        <f t="shared" si="90"/>
        <v/>
      </c>
      <c r="DH236" s="43" t="str">
        <f t="shared" si="91"/>
        <v/>
      </c>
      <c r="DI236" s="43" t="str">
        <f t="shared" si="92"/>
        <v/>
      </c>
      <c r="DJ236" s="43" t="str">
        <f t="shared" si="93"/>
        <v/>
      </c>
      <c r="DK236" s="43" t="e">
        <f t="shared" si="94"/>
        <v>#N/A</v>
      </c>
      <c r="DL236" s="43" t="e">
        <f t="shared" si="95"/>
        <v>#N/A</v>
      </c>
      <c r="DM236" s="43" t="e">
        <f t="shared" si="96"/>
        <v>#N/A</v>
      </c>
      <c r="DN236" s="43" t="e">
        <f t="shared" si="97"/>
        <v>#N/A</v>
      </c>
      <c r="DO236" s="43" t="e">
        <f t="shared" si="98"/>
        <v>#N/A</v>
      </c>
      <c r="DP236" s="43" t="e">
        <f t="shared" si="99"/>
        <v>#N/A</v>
      </c>
      <c r="DQ236" s="43" t="e">
        <f t="shared" si="100"/>
        <v>#N/A</v>
      </c>
      <c r="DR236" s="43" t="e">
        <f t="shared" si="101"/>
        <v>#N/A</v>
      </c>
      <c r="DS236" s="43">
        <f t="shared" si="102"/>
        <v>0</v>
      </c>
    </row>
    <row r="237" spans="1:123" ht="12" customHeight="1">
      <c r="A237" s="640">
        <v>225</v>
      </c>
      <c r="B237" s="994"/>
      <c r="C237" s="995"/>
      <c r="D237" s="329"/>
      <c r="E237" s="884"/>
      <c r="F237" s="1027" t="str">
        <f t="shared" si="113"/>
        <v/>
      </c>
      <c r="G237" s="1028" t="str">
        <f t="shared" si="114"/>
        <v/>
      </c>
      <c r="H237" s="886"/>
      <c r="I237" s="458" t="str">
        <f t="shared" si="115"/>
        <v/>
      </c>
      <c r="J237" s="886"/>
      <c r="BA237" s="983">
        <v>231</v>
      </c>
      <c r="BB237" s="994"/>
      <c r="BC237" s="995"/>
      <c r="BD237" s="1083"/>
      <c r="BF237" s="983">
        <v>231</v>
      </c>
      <c r="BG237" s="994"/>
      <c r="BH237" s="995"/>
      <c r="BI237" s="1083"/>
      <c r="BK237" s="983">
        <v>231</v>
      </c>
      <c r="BL237" s="994"/>
      <c r="BM237" s="995"/>
      <c r="BN237" s="1083"/>
      <c r="BP237" s="983">
        <v>231</v>
      </c>
      <c r="BQ237" s="994"/>
      <c r="BR237" s="995"/>
      <c r="BS237" s="1083"/>
      <c r="BU237" s="983">
        <v>231</v>
      </c>
      <c r="BV237" s="994"/>
      <c r="BW237" s="995"/>
      <c r="BX237" s="1083"/>
      <c r="BZ237" s="983">
        <v>231</v>
      </c>
      <c r="CA237" s="994"/>
      <c r="CB237" s="995"/>
      <c r="CC237" s="1083"/>
      <c r="DF237" s="43" t="b">
        <f t="shared" si="89"/>
        <v>0</v>
      </c>
      <c r="DG237" s="43" t="str">
        <f t="shared" si="90"/>
        <v/>
      </c>
      <c r="DH237" s="43" t="str">
        <f t="shared" si="91"/>
        <v/>
      </c>
      <c r="DI237" s="43" t="str">
        <f t="shared" si="92"/>
        <v/>
      </c>
      <c r="DJ237" s="43" t="str">
        <f t="shared" si="93"/>
        <v/>
      </c>
      <c r="DK237" s="43" t="e">
        <f t="shared" si="94"/>
        <v>#N/A</v>
      </c>
      <c r="DL237" s="43" t="e">
        <f t="shared" si="95"/>
        <v>#N/A</v>
      </c>
      <c r="DM237" s="43" t="e">
        <f t="shared" si="96"/>
        <v>#N/A</v>
      </c>
      <c r="DN237" s="43" t="e">
        <f t="shared" si="97"/>
        <v>#N/A</v>
      </c>
      <c r="DO237" s="43" t="e">
        <f t="shared" si="98"/>
        <v>#N/A</v>
      </c>
      <c r="DP237" s="43" t="e">
        <f t="shared" si="99"/>
        <v>#N/A</v>
      </c>
      <c r="DQ237" s="43" t="e">
        <f t="shared" si="100"/>
        <v>#N/A</v>
      </c>
      <c r="DR237" s="43" t="e">
        <f t="shared" si="101"/>
        <v>#N/A</v>
      </c>
      <c r="DS237" s="43">
        <f t="shared" si="102"/>
        <v>0</v>
      </c>
    </row>
    <row r="238" spans="1:123" ht="12" customHeight="1">
      <c r="A238" s="640">
        <v>226</v>
      </c>
      <c r="B238" s="994"/>
      <c r="C238" s="995"/>
      <c r="D238" s="329"/>
      <c r="E238" s="884"/>
      <c r="F238" s="1027" t="str">
        <f t="shared" si="113"/>
        <v/>
      </c>
      <c r="G238" s="1028" t="str">
        <f t="shared" si="114"/>
        <v/>
      </c>
      <c r="H238" s="886"/>
      <c r="I238" s="458" t="str">
        <f t="shared" si="115"/>
        <v/>
      </c>
      <c r="J238" s="886"/>
      <c r="BA238" s="983">
        <v>232</v>
      </c>
      <c r="BB238" s="994"/>
      <c r="BC238" s="995"/>
      <c r="BD238" s="1083"/>
      <c r="BF238" s="983">
        <v>232</v>
      </c>
      <c r="BG238" s="994"/>
      <c r="BH238" s="995"/>
      <c r="BI238" s="1083"/>
      <c r="BK238" s="983">
        <v>232</v>
      </c>
      <c r="BL238" s="994"/>
      <c r="BM238" s="995"/>
      <c r="BN238" s="1083"/>
      <c r="BP238" s="983">
        <v>232</v>
      </c>
      <c r="BQ238" s="994"/>
      <c r="BR238" s="995"/>
      <c r="BS238" s="1083"/>
      <c r="BU238" s="983">
        <v>232</v>
      </c>
      <c r="BV238" s="994"/>
      <c r="BW238" s="995"/>
      <c r="BX238" s="1083"/>
      <c r="BZ238" s="983">
        <v>232</v>
      </c>
      <c r="CA238" s="994"/>
      <c r="CB238" s="995"/>
      <c r="CC238" s="1083"/>
      <c r="DF238" s="43" t="b">
        <f t="shared" si="89"/>
        <v>0</v>
      </c>
      <c r="DG238" s="43" t="str">
        <f t="shared" si="90"/>
        <v/>
      </c>
      <c r="DH238" s="43" t="str">
        <f t="shared" si="91"/>
        <v/>
      </c>
      <c r="DI238" s="43" t="str">
        <f t="shared" si="92"/>
        <v/>
      </c>
      <c r="DJ238" s="43" t="str">
        <f t="shared" si="93"/>
        <v/>
      </c>
      <c r="DK238" s="43" t="e">
        <f t="shared" si="94"/>
        <v>#N/A</v>
      </c>
      <c r="DL238" s="43" t="e">
        <f t="shared" si="95"/>
        <v>#N/A</v>
      </c>
      <c r="DM238" s="43" t="e">
        <f t="shared" si="96"/>
        <v>#N/A</v>
      </c>
      <c r="DN238" s="43" t="e">
        <f t="shared" si="97"/>
        <v>#N/A</v>
      </c>
      <c r="DO238" s="43" t="e">
        <f t="shared" si="98"/>
        <v>#N/A</v>
      </c>
      <c r="DP238" s="43" t="e">
        <f t="shared" si="99"/>
        <v>#N/A</v>
      </c>
      <c r="DQ238" s="43" t="e">
        <f t="shared" si="100"/>
        <v>#N/A</v>
      </c>
      <c r="DR238" s="43" t="e">
        <f t="shared" si="101"/>
        <v>#N/A</v>
      </c>
      <c r="DS238" s="43">
        <f t="shared" si="102"/>
        <v>0</v>
      </c>
    </row>
    <row r="239" spans="1:123" ht="12" customHeight="1">
      <c r="A239" s="640">
        <v>227</v>
      </c>
      <c r="B239" s="994"/>
      <c r="C239" s="995"/>
      <c r="D239" s="329"/>
      <c r="E239" s="884"/>
      <c r="F239" s="1027" t="str">
        <f t="shared" si="113"/>
        <v/>
      </c>
      <c r="G239" s="1028" t="str">
        <f t="shared" si="114"/>
        <v/>
      </c>
      <c r="H239" s="886"/>
      <c r="I239" s="458" t="str">
        <f t="shared" si="115"/>
        <v/>
      </c>
      <c r="J239" s="886"/>
      <c r="BA239" s="983">
        <v>233</v>
      </c>
      <c r="BB239" s="994"/>
      <c r="BC239" s="995"/>
      <c r="BD239" s="1083"/>
      <c r="BF239" s="983">
        <v>233</v>
      </c>
      <c r="BG239" s="994"/>
      <c r="BH239" s="995"/>
      <c r="BI239" s="1083"/>
      <c r="BK239" s="983">
        <v>233</v>
      </c>
      <c r="BL239" s="994"/>
      <c r="BM239" s="995"/>
      <c r="BN239" s="1083"/>
      <c r="BP239" s="983">
        <v>233</v>
      </c>
      <c r="BQ239" s="994"/>
      <c r="BR239" s="995"/>
      <c r="BS239" s="1083"/>
      <c r="BU239" s="983">
        <v>233</v>
      </c>
      <c r="BV239" s="994"/>
      <c r="BW239" s="995"/>
      <c r="BX239" s="1083"/>
      <c r="BZ239" s="983">
        <v>233</v>
      </c>
      <c r="CA239" s="994"/>
      <c r="CB239" s="995"/>
      <c r="CC239" s="1083"/>
      <c r="DF239" s="43" t="b">
        <f t="shared" si="89"/>
        <v>0</v>
      </c>
      <c r="DG239" s="43" t="str">
        <f t="shared" si="90"/>
        <v/>
      </c>
      <c r="DH239" s="43" t="str">
        <f t="shared" si="91"/>
        <v/>
      </c>
      <c r="DI239" s="43" t="str">
        <f t="shared" si="92"/>
        <v/>
      </c>
      <c r="DJ239" s="43" t="str">
        <f t="shared" si="93"/>
        <v/>
      </c>
      <c r="DK239" s="43" t="e">
        <f t="shared" si="94"/>
        <v>#N/A</v>
      </c>
      <c r="DL239" s="43" t="e">
        <f t="shared" si="95"/>
        <v>#N/A</v>
      </c>
      <c r="DM239" s="43" t="e">
        <f t="shared" si="96"/>
        <v>#N/A</v>
      </c>
      <c r="DN239" s="43" t="e">
        <f t="shared" si="97"/>
        <v>#N/A</v>
      </c>
      <c r="DO239" s="43" t="e">
        <f t="shared" si="98"/>
        <v>#N/A</v>
      </c>
      <c r="DP239" s="43" t="e">
        <f t="shared" si="99"/>
        <v>#N/A</v>
      </c>
      <c r="DQ239" s="43" t="e">
        <f t="shared" si="100"/>
        <v>#N/A</v>
      </c>
      <c r="DR239" s="43" t="e">
        <f t="shared" si="101"/>
        <v>#N/A</v>
      </c>
      <c r="DS239" s="43">
        <f t="shared" si="102"/>
        <v>0</v>
      </c>
    </row>
    <row r="240" spans="1:123" ht="12" customHeight="1">
      <c r="A240" s="640">
        <v>228</v>
      </c>
      <c r="B240" s="994"/>
      <c r="C240" s="995"/>
      <c r="D240" s="329"/>
      <c r="E240" s="884"/>
      <c r="F240" s="1027" t="str">
        <f t="shared" si="113"/>
        <v/>
      </c>
      <c r="G240" s="1028" t="str">
        <f t="shared" si="114"/>
        <v/>
      </c>
      <c r="H240" s="886"/>
      <c r="I240" s="458" t="str">
        <f t="shared" si="115"/>
        <v/>
      </c>
      <c r="J240" s="886"/>
      <c r="BA240" s="983">
        <v>234</v>
      </c>
      <c r="BB240" s="994"/>
      <c r="BC240" s="995"/>
      <c r="BD240" s="1083"/>
      <c r="BF240" s="983">
        <v>234</v>
      </c>
      <c r="BG240" s="994"/>
      <c r="BH240" s="995"/>
      <c r="BI240" s="1083"/>
      <c r="BK240" s="983">
        <v>234</v>
      </c>
      <c r="BL240" s="994"/>
      <c r="BM240" s="995"/>
      <c r="BN240" s="1083"/>
      <c r="BP240" s="983">
        <v>234</v>
      </c>
      <c r="BQ240" s="994"/>
      <c r="BR240" s="995"/>
      <c r="BS240" s="1083"/>
      <c r="BU240" s="983">
        <v>234</v>
      </c>
      <c r="BV240" s="994"/>
      <c r="BW240" s="995"/>
      <c r="BX240" s="1083"/>
      <c r="BZ240" s="983">
        <v>234</v>
      </c>
      <c r="CA240" s="994"/>
      <c r="CB240" s="995"/>
      <c r="CC240" s="1083"/>
      <c r="DF240" s="43" t="b">
        <f t="shared" si="89"/>
        <v>0</v>
      </c>
      <c r="DG240" s="43" t="str">
        <f t="shared" si="90"/>
        <v/>
      </c>
      <c r="DH240" s="43" t="str">
        <f t="shared" si="91"/>
        <v/>
      </c>
      <c r="DI240" s="43" t="str">
        <f t="shared" si="92"/>
        <v/>
      </c>
      <c r="DJ240" s="43" t="str">
        <f t="shared" si="93"/>
        <v/>
      </c>
      <c r="DK240" s="43" t="e">
        <f t="shared" si="94"/>
        <v>#N/A</v>
      </c>
      <c r="DL240" s="43" t="e">
        <f t="shared" si="95"/>
        <v>#N/A</v>
      </c>
      <c r="DM240" s="43" t="e">
        <f t="shared" si="96"/>
        <v>#N/A</v>
      </c>
      <c r="DN240" s="43" t="e">
        <f t="shared" si="97"/>
        <v>#N/A</v>
      </c>
      <c r="DO240" s="43" t="e">
        <f t="shared" si="98"/>
        <v>#N/A</v>
      </c>
      <c r="DP240" s="43" t="e">
        <f t="shared" si="99"/>
        <v>#N/A</v>
      </c>
      <c r="DQ240" s="43" t="e">
        <f t="shared" si="100"/>
        <v>#N/A</v>
      </c>
      <c r="DR240" s="43" t="e">
        <f t="shared" si="101"/>
        <v>#N/A</v>
      </c>
      <c r="DS240" s="43">
        <f t="shared" si="102"/>
        <v>0</v>
      </c>
    </row>
    <row r="241" spans="1:123" ht="12" customHeight="1">
      <c r="A241" s="640">
        <v>229</v>
      </c>
      <c r="B241" s="994"/>
      <c r="C241" s="995"/>
      <c r="D241" s="329"/>
      <c r="E241" s="884"/>
      <c r="F241" s="1027" t="str">
        <f t="shared" si="113"/>
        <v/>
      </c>
      <c r="G241" s="1028" t="str">
        <f t="shared" si="114"/>
        <v/>
      </c>
      <c r="H241" s="886"/>
      <c r="I241" s="458" t="str">
        <f t="shared" si="115"/>
        <v/>
      </c>
      <c r="J241" s="886"/>
      <c r="BA241" s="983">
        <v>235</v>
      </c>
      <c r="BB241" s="994"/>
      <c r="BC241" s="995"/>
      <c r="BD241" s="1083"/>
      <c r="BF241" s="983">
        <v>235</v>
      </c>
      <c r="BG241" s="994"/>
      <c r="BH241" s="995"/>
      <c r="BI241" s="1083"/>
      <c r="BK241" s="983">
        <v>235</v>
      </c>
      <c r="BL241" s="994"/>
      <c r="BM241" s="995"/>
      <c r="BN241" s="1083"/>
      <c r="BP241" s="983">
        <v>235</v>
      </c>
      <c r="BQ241" s="994"/>
      <c r="BR241" s="995"/>
      <c r="BS241" s="1083"/>
      <c r="BU241" s="983">
        <v>235</v>
      </c>
      <c r="BV241" s="994"/>
      <c r="BW241" s="995"/>
      <c r="BX241" s="1083"/>
      <c r="BZ241" s="983">
        <v>235</v>
      </c>
      <c r="CA241" s="994"/>
      <c r="CB241" s="995"/>
      <c r="CC241" s="1083"/>
      <c r="DF241" s="43" t="b">
        <f t="shared" si="89"/>
        <v>0</v>
      </c>
      <c r="DG241" s="43" t="str">
        <f t="shared" si="90"/>
        <v/>
      </c>
      <c r="DH241" s="43" t="str">
        <f t="shared" si="91"/>
        <v/>
      </c>
      <c r="DI241" s="43" t="str">
        <f t="shared" si="92"/>
        <v/>
      </c>
      <c r="DJ241" s="43" t="str">
        <f t="shared" si="93"/>
        <v/>
      </c>
      <c r="DK241" s="43" t="e">
        <f t="shared" si="94"/>
        <v>#N/A</v>
      </c>
      <c r="DL241" s="43" t="e">
        <f t="shared" si="95"/>
        <v>#N/A</v>
      </c>
      <c r="DM241" s="43" t="e">
        <f t="shared" si="96"/>
        <v>#N/A</v>
      </c>
      <c r="DN241" s="43" t="e">
        <f t="shared" si="97"/>
        <v>#N/A</v>
      </c>
      <c r="DO241" s="43" t="e">
        <f t="shared" si="98"/>
        <v>#N/A</v>
      </c>
      <c r="DP241" s="43" t="e">
        <f t="shared" si="99"/>
        <v>#N/A</v>
      </c>
      <c r="DQ241" s="43" t="e">
        <f t="shared" si="100"/>
        <v>#N/A</v>
      </c>
      <c r="DR241" s="43" t="e">
        <f t="shared" si="101"/>
        <v>#N/A</v>
      </c>
      <c r="DS241" s="43">
        <f t="shared" si="102"/>
        <v>0</v>
      </c>
    </row>
    <row r="242" spans="1:123" ht="12" customHeight="1">
      <c r="A242" s="640">
        <v>230</v>
      </c>
      <c r="B242" s="994"/>
      <c r="C242" s="995"/>
      <c r="D242" s="329"/>
      <c r="E242" s="884"/>
      <c r="F242" s="1027" t="str">
        <f t="shared" si="113"/>
        <v/>
      </c>
      <c r="G242" s="1028" t="str">
        <f t="shared" si="114"/>
        <v/>
      </c>
      <c r="H242" s="886"/>
      <c r="I242" s="458" t="str">
        <f t="shared" si="115"/>
        <v/>
      </c>
      <c r="J242" s="886"/>
      <c r="BA242" s="983">
        <v>236</v>
      </c>
      <c r="BB242" s="994"/>
      <c r="BC242" s="995"/>
      <c r="BD242" s="1083"/>
      <c r="BF242" s="983">
        <v>236</v>
      </c>
      <c r="BG242" s="994"/>
      <c r="BH242" s="995"/>
      <c r="BI242" s="1083"/>
      <c r="BK242" s="983">
        <v>236</v>
      </c>
      <c r="BL242" s="994"/>
      <c r="BM242" s="995"/>
      <c r="BN242" s="1083"/>
      <c r="BP242" s="983">
        <v>236</v>
      </c>
      <c r="BQ242" s="994"/>
      <c r="BR242" s="995"/>
      <c r="BS242" s="1083"/>
      <c r="BU242" s="983">
        <v>236</v>
      </c>
      <c r="BV242" s="994"/>
      <c r="BW242" s="995"/>
      <c r="BX242" s="1083"/>
      <c r="BZ242" s="983">
        <v>236</v>
      </c>
      <c r="CA242" s="994"/>
      <c r="CB242" s="995"/>
      <c r="CC242" s="1083"/>
      <c r="DF242" s="43" t="b">
        <f t="shared" si="89"/>
        <v>0</v>
      </c>
      <c r="DG242" s="43" t="str">
        <f t="shared" si="90"/>
        <v/>
      </c>
      <c r="DH242" s="43" t="str">
        <f t="shared" si="91"/>
        <v/>
      </c>
      <c r="DI242" s="43" t="str">
        <f t="shared" si="92"/>
        <v/>
      </c>
      <c r="DJ242" s="43" t="str">
        <f t="shared" si="93"/>
        <v/>
      </c>
      <c r="DK242" s="43" t="e">
        <f t="shared" si="94"/>
        <v>#N/A</v>
      </c>
      <c r="DL242" s="43" t="e">
        <f t="shared" si="95"/>
        <v>#N/A</v>
      </c>
      <c r="DM242" s="43" t="e">
        <f t="shared" si="96"/>
        <v>#N/A</v>
      </c>
      <c r="DN242" s="43" t="e">
        <f t="shared" si="97"/>
        <v>#N/A</v>
      </c>
      <c r="DO242" s="43" t="e">
        <f t="shared" si="98"/>
        <v>#N/A</v>
      </c>
      <c r="DP242" s="43" t="e">
        <f t="shared" si="99"/>
        <v>#N/A</v>
      </c>
      <c r="DQ242" s="43" t="e">
        <f t="shared" si="100"/>
        <v>#N/A</v>
      </c>
      <c r="DR242" s="43" t="e">
        <f t="shared" si="101"/>
        <v>#N/A</v>
      </c>
      <c r="DS242" s="43">
        <f t="shared" si="102"/>
        <v>0</v>
      </c>
    </row>
    <row r="243" spans="1:123" ht="12" customHeight="1">
      <c r="A243" s="640">
        <v>231</v>
      </c>
      <c r="B243" s="994"/>
      <c r="C243" s="995"/>
      <c r="D243" s="329"/>
      <c r="E243" s="884"/>
      <c r="F243" s="1027" t="str">
        <f t="shared" si="113"/>
        <v/>
      </c>
      <c r="G243" s="1028" t="str">
        <f t="shared" si="114"/>
        <v/>
      </c>
      <c r="H243" s="886"/>
      <c r="I243" s="458" t="str">
        <f t="shared" si="115"/>
        <v/>
      </c>
      <c r="J243" s="886"/>
      <c r="BA243" s="983">
        <v>237</v>
      </c>
      <c r="BB243" s="994"/>
      <c r="BC243" s="995"/>
      <c r="BD243" s="1083"/>
      <c r="BF243" s="983">
        <v>237</v>
      </c>
      <c r="BG243" s="994"/>
      <c r="BH243" s="995"/>
      <c r="BI243" s="1083"/>
      <c r="BK243" s="983">
        <v>237</v>
      </c>
      <c r="BL243" s="994"/>
      <c r="BM243" s="995"/>
      <c r="BN243" s="1083"/>
      <c r="BP243" s="983">
        <v>237</v>
      </c>
      <c r="BQ243" s="994"/>
      <c r="BR243" s="995"/>
      <c r="BS243" s="1083"/>
      <c r="BU243" s="983">
        <v>237</v>
      </c>
      <c r="BV243" s="994"/>
      <c r="BW243" s="995"/>
      <c r="BX243" s="1083"/>
      <c r="BZ243" s="983">
        <v>237</v>
      </c>
      <c r="CA243" s="994"/>
      <c r="CB243" s="995"/>
      <c r="CC243" s="1083"/>
      <c r="DF243" s="43" t="b">
        <f t="shared" si="89"/>
        <v>0</v>
      </c>
      <c r="DG243" s="43" t="str">
        <f t="shared" si="90"/>
        <v/>
      </c>
      <c r="DH243" s="43" t="str">
        <f t="shared" si="91"/>
        <v/>
      </c>
      <c r="DI243" s="43" t="str">
        <f t="shared" si="92"/>
        <v/>
      </c>
      <c r="DJ243" s="43" t="str">
        <f t="shared" si="93"/>
        <v/>
      </c>
      <c r="DK243" s="43" t="e">
        <f t="shared" si="94"/>
        <v>#N/A</v>
      </c>
      <c r="DL243" s="43" t="e">
        <f t="shared" si="95"/>
        <v>#N/A</v>
      </c>
      <c r="DM243" s="43" t="e">
        <f t="shared" si="96"/>
        <v>#N/A</v>
      </c>
      <c r="DN243" s="43" t="e">
        <f t="shared" si="97"/>
        <v>#N/A</v>
      </c>
      <c r="DO243" s="43" t="e">
        <f t="shared" si="98"/>
        <v>#N/A</v>
      </c>
      <c r="DP243" s="43" t="e">
        <f t="shared" si="99"/>
        <v>#N/A</v>
      </c>
      <c r="DQ243" s="43" t="e">
        <f t="shared" si="100"/>
        <v>#N/A</v>
      </c>
      <c r="DR243" s="43" t="e">
        <f t="shared" si="101"/>
        <v>#N/A</v>
      </c>
      <c r="DS243" s="43">
        <f t="shared" si="102"/>
        <v>0</v>
      </c>
    </row>
    <row r="244" spans="1:123" ht="12" customHeight="1">
      <c r="A244" s="640">
        <v>232</v>
      </c>
      <c r="B244" s="994"/>
      <c r="C244" s="995"/>
      <c r="D244" s="329"/>
      <c r="E244" s="884"/>
      <c r="F244" s="1027" t="str">
        <f t="shared" si="113"/>
        <v/>
      </c>
      <c r="G244" s="1028" t="str">
        <f t="shared" si="114"/>
        <v/>
      </c>
      <c r="H244" s="886"/>
      <c r="I244" s="458" t="str">
        <f t="shared" si="115"/>
        <v/>
      </c>
      <c r="J244" s="886"/>
      <c r="BA244" s="983">
        <v>238</v>
      </c>
      <c r="BB244" s="994"/>
      <c r="BC244" s="995"/>
      <c r="BD244" s="1083"/>
      <c r="BF244" s="983">
        <v>238</v>
      </c>
      <c r="BG244" s="994"/>
      <c r="BH244" s="995"/>
      <c r="BI244" s="1083"/>
      <c r="BK244" s="983">
        <v>238</v>
      </c>
      <c r="BL244" s="994"/>
      <c r="BM244" s="995"/>
      <c r="BN244" s="1083"/>
      <c r="BP244" s="983">
        <v>238</v>
      </c>
      <c r="BQ244" s="994"/>
      <c r="BR244" s="995"/>
      <c r="BS244" s="1083"/>
      <c r="BU244" s="983">
        <v>238</v>
      </c>
      <c r="BV244" s="994"/>
      <c r="BW244" s="995"/>
      <c r="BX244" s="1083"/>
      <c r="BZ244" s="983">
        <v>238</v>
      </c>
      <c r="CA244" s="994"/>
      <c r="CB244" s="995"/>
      <c r="CC244" s="1083"/>
      <c r="DF244" s="43" t="b">
        <f t="shared" si="89"/>
        <v>0</v>
      </c>
      <c r="DG244" s="43" t="str">
        <f t="shared" si="90"/>
        <v/>
      </c>
      <c r="DH244" s="43" t="str">
        <f t="shared" si="91"/>
        <v/>
      </c>
      <c r="DI244" s="43" t="str">
        <f t="shared" si="92"/>
        <v/>
      </c>
      <c r="DJ244" s="43" t="str">
        <f t="shared" si="93"/>
        <v/>
      </c>
      <c r="DK244" s="43" t="e">
        <f t="shared" si="94"/>
        <v>#N/A</v>
      </c>
      <c r="DL244" s="43" t="e">
        <f t="shared" si="95"/>
        <v>#N/A</v>
      </c>
      <c r="DM244" s="43" t="e">
        <f t="shared" si="96"/>
        <v>#N/A</v>
      </c>
      <c r="DN244" s="43" t="e">
        <f t="shared" si="97"/>
        <v>#N/A</v>
      </c>
      <c r="DO244" s="43" t="e">
        <f t="shared" si="98"/>
        <v>#N/A</v>
      </c>
      <c r="DP244" s="43" t="e">
        <f t="shared" si="99"/>
        <v>#N/A</v>
      </c>
      <c r="DQ244" s="43" t="e">
        <f t="shared" si="100"/>
        <v>#N/A</v>
      </c>
      <c r="DR244" s="43" t="e">
        <f t="shared" si="101"/>
        <v>#N/A</v>
      </c>
      <c r="DS244" s="43">
        <f t="shared" si="102"/>
        <v>0</v>
      </c>
    </row>
    <row r="245" spans="1:123" ht="12" customHeight="1">
      <c r="A245" s="640">
        <v>233</v>
      </c>
      <c r="B245" s="994"/>
      <c r="C245" s="995"/>
      <c r="D245" s="329"/>
      <c r="E245" s="884"/>
      <c r="F245" s="1027" t="str">
        <f t="shared" si="113"/>
        <v/>
      </c>
      <c r="G245" s="1028" t="str">
        <f t="shared" si="114"/>
        <v/>
      </c>
      <c r="H245" s="886"/>
      <c r="I245" s="458" t="str">
        <f t="shared" si="115"/>
        <v/>
      </c>
      <c r="J245" s="886"/>
      <c r="BA245" s="983">
        <v>239</v>
      </c>
      <c r="BB245" s="994"/>
      <c r="BC245" s="995"/>
      <c r="BD245" s="1083"/>
      <c r="BF245" s="983">
        <v>239</v>
      </c>
      <c r="BG245" s="994"/>
      <c r="BH245" s="995"/>
      <c r="BI245" s="1083"/>
      <c r="BK245" s="983">
        <v>239</v>
      </c>
      <c r="BL245" s="994"/>
      <c r="BM245" s="995"/>
      <c r="BN245" s="1083"/>
      <c r="BP245" s="983">
        <v>239</v>
      </c>
      <c r="BQ245" s="994"/>
      <c r="BR245" s="995"/>
      <c r="BS245" s="1083"/>
      <c r="BU245" s="983">
        <v>239</v>
      </c>
      <c r="BV245" s="994"/>
      <c r="BW245" s="995"/>
      <c r="BX245" s="1083"/>
      <c r="BZ245" s="983">
        <v>239</v>
      </c>
      <c r="CA245" s="994"/>
      <c r="CB245" s="995"/>
      <c r="CC245" s="1083"/>
      <c r="DF245" s="43" t="b">
        <f t="shared" si="89"/>
        <v>0</v>
      </c>
      <c r="DG245" s="43" t="str">
        <f t="shared" si="90"/>
        <v/>
      </c>
      <c r="DH245" s="43" t="str">
        <f t="shared" si="91"/>
        <v/>
      </c>
      <c r="DI245" s="43" t="str">
        <f t="shared" si="92"/>
        <v/>
      </c>
      <c r="DJ245" s="43" t="str">
        <f t="shared" si="93"/>
        <v/>
      </c>
      <c r="DK245" s="43" t="e">
        <f t="shared" si="94"/>
        <v>#N/A</v>
      </c>
      <c r="DL245" s="43" t="e">
        <f t="shared" si="95"/>
        <v>#N/A</v>
      </c>
      <c r="DM245" s="43" t="e">
        <f t="shared" si="96"/>
        <v>#N/A</v>
      </c>
      <c r="DN245" s="43" t="e">
        <f t="shared" si="97"/>
        <v>#N/A</v>
      </c>
      <c r="DO245" s="43" t="e">
        <f t="shared" si="98"/>
        <v>#N/A</v>
      </c>
      <c r="DP245" s="43" t="e">
        <f t="shared" si="99"/>
        <v>#N/A</v>
      </c>
      <c r="DQ245" s="43" t="e">
        <f t="shared" si="100"/>
        <v>#N/A</v>
      </c>
      <c r="DR245" s="43" t="e">
        <f t="shared" si="101"/>
        <v>#N/A</v>
      </c>
      <c r="DS245" s="43">
        <f t="shared" si="102"/>
        <v>0</v>
      </c>
    </row>
    <row r="246" spans="1:123" ht="12" customHeight="1">
      <c r="A246" s="640">
        <v>234</v>
      </c>
      <c r="B246" s="994"/>
      <c r="C246" s="995"/>
      <c r="D246" s="329"/>
      <c r="E246" s="884"/>
      <c r="F246" s="1027" t="str">
        <f t="shared" si="113"/>
        <v/>
      </c>
      <c r="G246" s="1028" t="str">
        <f t="shared" si="114"/>
        <v/>
      </c>
      <c r="H246" s="886"/>
      <c r="I246" s="458" t="str">
        <f t="shared" si="115"/>
        <v/>
      </c>
      <c r="J246" s="886"/>
      <c r="BA246" s="983">
        <v>240</v>
      </c>
      <c r="BB246" s="994"/>
      <c r="BC246" s="995"/>
      <c r="BD246" s="1083"/>
      <c r="BF246" s="983">
        <v>240</v>
      </c>
      <c r="BG246" s="994"/>
      <c r="BH246" s="995"/>
      <c r="BI246" s="1083"/>
      <c r="BK246" s="983">
        <v>240</v>
      </c>
      <c r="BL246" s="994"/>
      <c r="BM246" s="995"/>
      <c r="BN246" s="1083"/>
      <c r="BP246" s="983">
        <v>240</v>
      </c>
      <c r="BQ246" s="994"/>
      <c r="BR246" s="995"/>
      <c r="BS246" s="1083"/>
      <c r="BU246" s="983">
        <v>240</v>
      </c>
      <c r="BV246" s="994"/>
      <c r="BW246" s="995"/>
      <c r="BX246" s="1083"/>
      <c r="BZ246" s="983">
        <v>240</v>
      </c>
      <c r="CA246" s="994"/>
      <c r="CB246" s="995"/>
      <c r="CC246" s="1083"/>
      <c r="DF246" s="43" t="b">
        <f t="shared" si="89"/>
        <v>0</v>
      </c>
      <c r="DG246" s="43" t="str">
        <f t="shared" si="90"/>
        <v/>
      </c>
      <c r="DH246" s="43" t="str">
        <f t="shared" si="91"/>
        <v/>
      </c>
      <c r="DI246" s="43" t="str">
        <f t="shared" si="92"/>
        <v/>
      </c>
      <c r="DJ246" s="43" t="str">
        <f t="shared" si="93"/>
        <v/>
      </c>
      <c r="DK246" s="43" t="e">
        <f t="shared" si="94"/>
        <v>#N/A</v>
      </c>
      <c r="DL246" s="43" t="e">
        <f t="shared" si="95"/>
        <v>#N/A</v>
      </c>
      <c r="DM246" s="43" t="e">
        <f t="shared" si="96"/>
        <v>#N/A</v>
      </c>
      <c r="DN246" s="43" t="e">
        <f t="shared" si="97"/>
        <v>#N/A</v>
      </c>
      <c r="DO246" s="43" t="e">
        <f t="shared" si="98"/>
        <v>#N/A</v>
      </c>
      <c r="DP246" s="43" t="e">
        <f t="shared" si="99"/>
        <v>#N/A</v>
      </c>
      <c r="DQ246" s="43" t="e">
        <f t="shared" si="100"/>
        <v>#N/A</v>
      </c>
      <c r="DR246" s="43" t="e">
        <f t="shared" si="101"/>
        <v>#N/A</v>
      </c>
      <c r="DS246" s="43">
        <f t="shared" si="102"/>
        <v>0</v>
      </c>
    </row>
    <row r="247" spans="1:123" ht="12" customHeight="1">
      <c r="A247" s="640">
        <v>235</v>
      </c>
      <c r="B247" s="994"/>
      <c r="C247" s="995"/>
      <c r="D247" s="329"/>
      <c r="E247" s="884"/>
      <c r="F247" s="1027" t="str">
        <f t="shared" si="113"/>
        <v/>
      </c>
      <c r="G247" s="1028" t="str">
        <f t="shared" si="114"/>
        <v/>
      </c>
      <c r="H247" s="886"/>
      <c r="I247" s="458" t="str">
        <f t="shared" si="115"/>
        <v/>
      </c>
      <c r="J247" s="886"/>
      <c r="BA247" s="983">
        <v>241</v>
      </c>
      <c r="BB247" s="994"/>
      <c r="BC247" s="995"/>
      <c r="BD247" s="1083"/>
      <c r="BF247" s="983">
        <v>241</v>
      </c>
      <c r="BG247" s="994"/>
      <c r="BH247" s="995"/>
      <c r="BI247" s="1083"/>
      <c r="BK247" s="983">
        <v>241</v>
      </c>
      <c r="BL247" s="994"/>
      <c r="BM247" s="995"/>
      <c r="BN247" s="1083"/>
      <c r="BP247" s="983">
        <v>241</v>
      </c>
      <c r="BQ247" s="994"/>
      <c r="BR247" s="995"/>
      <c r="BS247" s="1083"/>
      <c r="BU247" s="983">
        <v>241</v>
      </c>
      <c r="BV247" s="994"/>
      <c r="BW247" s="995"/>
      <c r="BX247" s="1083"/>
      <c r="BZ247" s="983">
        <v>241</v>
      </c>
      <c r="CA247" s="994"/>
      <c r="CB247" s="995"/>
      <c r="CC247" s="1083"/>
      <c r="DF247" s="43" t="b">
        <f t="shared" si="89"/>
        <v>0</v>
      </c>
      <c r="DG247" s="43" t="str">
        <f t="shared" si="90"/>
        <v/>
      </c>
      <c r="DH247" s="43" t="str">
        <f t="shared" si="91"/>
        <v/>
      </c>
      <c r="DI247" s="43" t="str">
        <f t="shared" si="92"/>
        <v/>
      </c>
      <c r="DJ247" s="43" t="str">
        <f t="shared" si="93"/>
        <v/>
      </c>
      <c r="DK247" s="43" t="e">
        <f t="shared" si="94"/>
        <v>#N/A</v>
      </c>
      <c r="DL247" s="43" t="e">
        <f t="shared" si="95"/>
        <v>#N/A</v>
      </c>
      <c r="DM247" s="43" t="e">
        <f t="shared" si="96"/>
        <v>#N/A</v>
      </c>
      <c r="DN247" s="43" t="e">
        <f t="shared" si="97"/>
        <v>#N/A</v>
      </c>
      <c r="DO247" s="43" t="e">
        <f t="shared" si="98"/>
        <v>#N/A</v>
      </c>
      <c r="DP247" s="43" t="e">
        <f t="shared" si="99"/>
        <v>#N/A</v>
      </c>
      <c r="DQ247" s="43" t="e">
        <f t="shared" si="100"/>
        <v>#N/A</v>
      </c>
      <c r="DR247" s="43" t="e">
        <f t="shared" si="101"/>
        <v>#N/A</v>
      </c>
      <c r="DS247" s="43">
        <f t="shared" si="102"/>
        <v>0</v>
      </c>
    </row>
    <row r="248" spans="1:123" ht="12" customHeight="1">
      <c r="A248" s="640">
        <v>236</v>
      </c>
      <c r="B248" s="994"/>
      <c r="C248" s="995"/>
      <c r="D248" s="329"/>
      <c r="E248" s="884"/>
      <c r="F248" s="1027" t="str">
        <f t="shared" si="113"/>
        <v/>
      </c>
      <c r="G248" s="1028" t="str">
        <f t="shared" si="114"/>
        <v/>
      </c>
      <c r="H248" s="886"/>
      <c r="I248" s="458" t="str">
        <f t="shared" si="115"/>
        <v/>
      </c>
      <c r="J248" s="886"/>
      <c r="BA248" s="983">
        <v>242</v>
      </c>
      <c r="BB248" s="994"/>
      <c r="BC248" s="995"/>
      <c r="BD248" s="1083"/>
      <c r="BF248" s="983">
        <v>242</v>
      </c>
      <c r="BG248" s="994"/>
      <c r="BH248" s="995"/>
      <c r="BI248" s="1083"/>
      <c r="BK248" s="983">
        <v>242</v>
      </c>
      <c r="BL248" s="994"/>
      <c r="BM248" s="995"/>
      <c r="BN248" s="1083"/>
      <c r="BP248" s="983">
        <v>242</v>
      </c>
      <c r="BQ248" s="994"/>
      <c r="BR248" s="995"/>
      <c r="BS248" s="1083"/>
      <c r="BU248" s="983">
        <v>242</v>
      </c>
      <c r="BV248" s="994"/>
      <c r="BW248" s="995"/>
      <c r="BX248" s="1083"/>
      <c r="BZ248" s="983">
        <v>242</v>
      </c>
      <c r="CA248" s="994"/>
      <c r="CB248" s="995"/>
      <c r="CC248" s="1083"/>
      <c r="DF248" s="43" t="b">
        <f t="shared" si="89"/>
        <v>0</v>
      </c>
      <c r="DG248" s="43" t="str">
        <f t="shared" si="90"/>
        <v/>
      </c>
      <c r="DH248" s="43" t="str">
        <f t="shared" si="91"/>
        <v/>
      </c>
      <c r="DI248" s="43" t="str">
        <f t="shared" si="92"/>
        <v/>
      </c>
      <c r="DJ248" s="43" t="str">
        <f t="shared" si="93"/>
        <v/>
      </c>
      <c r="DK248" s="43" t="e">
        <f t="shared" si="94"/>
        <v>#N/A</v>
      </c>
      <c r="DL248" s="43" t="e">
        <f t="shared" si="95"/>
        <v>#N/A</v>
      </c>
      <c r="DM248" s="43" t="e">
        <f t="shared" si="96"/>
        <v>#N/A</v>
      </c>
      <c r="DN248" s="43" t="e">
        <f t="shared" si="97"/>
        <v>#N/A</v>
      </c>
      <c r="DO248" s="43" t="e">
        <f t="shared" si="98"/>
        <v>#N/A</v>
      </c>
      <c r="DP248" s="43" t="e">
        <f t="shared" si="99"/>
        <v>#N/A</v>
      </c>
      <c r="DQ248" s="43" t="e">
        <f t="shared" si="100"/>
        <v>#N/A</v>
      </c>
      <c r="DR248" s="43" t="e">
        <f t="shared" si="101"/>
        <v>#N/A</v>
      </c>
      <c r="DS248" s="43">
        <f t="shared" si="102"/>
        <v>0</v>
      </c>
    </row>
    <row r="249" spans="1:123" ht="12" customHeight="1">
      <c r="A249" s="640">
        <v>237</v>
      </c>
      <c r="B249" s="994"/>
      <c r="C249" s="995"/>
      <c r="D249" s="329"/>
      <c r="E249" s="884"/>
      <c r="F249" s="1027" t="str">
        <f t="shared" si="113"/>
        <v/>
      </c>
      <c r="G249" s="1028" t="str">
        <f t="shared" si="114"/>
        <v/>
      </c>
      <c r="H249" s="886"/>
      <c r="I249" s="458" t="str">
        <f t="shared" si="115"/>
        <v/>
      </c>
      <c r="J249" s="886"/>
      <c r="BA249" s="983">
        <v>243</v>
      </c>
      <c r="BB249" s="994"/>
      <c r="BC249" s="995"/>
      <c r="BD249" s="1083"/>
      <c r="BF249" s="983">
        <v>243</v>
      </c>
      <c r="BG249" s="994"/>
      <c r="BH249" s="995"/>
      <c r="BI249" s="1083"/>
      <c r="BK249" s="983">
        <v>243</v>
      </c>
      <c r="BL249" s="994"/>
      <c r="BM249" s="995"/>
      <c r="BN249" s="1083"/>
      <c r="BP249" s="983">
        <v>243</v>
      </c>
      <c r="BQ249" s="994"/>
      <c r="BR249" s="995"/>
      <c r="BS249" s="1083"/>
      <c r="BU249" s="983">
        <v>243</v>
      </c>
      <c r="BV249" s="994"/>
      <c r="BW249" s="995"/>
      <c r="BX249" s="1083"/>
      <c r="BZ249" s="983">
        <v>243</v>
      </c>
      <c r="CA249" s="994"/>
      <c r="CB249" s="995"/>
      <c r="CC249" s="1083"/>
      <c r="DF249" s="43" t="b">
        <f t="shared" si="89"/>
        <v>0</v>
      </c>
      <c r="DG249" s="43" t="str">
        <f t="shared" si="90"/>
        <v/>
      </c>
      <c r="DH249" s="43" t="str">
        <f t="shared" si="91"/>
        <v/>
      </c>
      <c r="DI249" s="43" t="str">
        <f t="shared" si="92"/>
        <v/>
      </c>
      <c r="DJ249" s="43" t="str">
        <f t="shared" si="93"/>
        <v/>
      </c>
      <c r="DK249" s="43" t="e">
        <f t="shared" si="94"/>
        <v>#N/A</v>
      </c>
      <c r="DL249" s="43" t="e">
        <f t="shared" si="95"/>
        <v>#N/A</v>
      </c>
      <c r="DM249" s="43" t="e">
        <f t="shared" si="96"/>
        <v>#N/A</v>
      </c>
      <c r="DN249" s="43" t="e">
        <f t="shared" si="97"/>
        <v>#N/A</v>
      </c>
      <c r="DO249" s="43" t="e">
        <f t="shared" si="98"/>
        <v>#N/A</v>
      </c>
      <c r="DP249" s="43" t="e">
        <f t="shared" si="99"/>
        <v>#N/A</v>
      </c>
      <c r="DQ249" s="43" t="e">
        <f t="shared" si="100"/>
        <v>#N/A</v>
      </c>
      <c r="DR249" s="43" t="e">
        <f t="shared" si="101"/>
        <v>#N/A</v>
      </c>
      <c r="DS249" s="43">
        <f t="shared" si="102"/>
        <v>0</v>
      </c>
    </row>
    <row r="250" spans="1:123" ht="12" customHeight="1">
      <c r="A250" s="640">
        <v>238</v>
      </c>
      <c r="B250" s="994"/>
      <c r="C250" s="995"/>
      <c r="D250" s="329"/>
      <c r="E250" s="884"/>
      <c r="F250" s="1027" t="str">
        <f t="shared" si="113"/>
        <v/>
      </c>
      <c r="G250" s="1028" t="str">
        <f t="shared" si="114"/>
        <v/>
      </c>
      <c r="H250" s="886"/>
      <c r="I250" s="458" t="str">
        <f t="shared" si="115"/>
        <v/>
      </c>
      <c r="J250" s="886"/>
      <c r="BA250" s="983">
        <v>244</v>
      </c>
      <c r="BB250" s="994"/>
      <c r="BC250" s="995"/>
      <c r="BD250" s="1083"/>
      <c r="BF250" s="983">
        <v>244</v>
      </c>
      <c r="BG250" s="994"/>
      <c r="BH250" s="995"/>
      <c r="BI250" s="1083"/>
      <c r="BK250" s="983">
        <v>244</v>
      </c>
      <c r="BL250" s="994"/>
      <c r="BM250" s="995"/>
      <c r="BN250" s="1083"/>
      <c r="BP250" s="983">
        <v>244</v>
      </c>
      <c r="BQ250" s="994"/>
      <c r="BR250" s="995"/>
      <c r="BS250" s="1083"/>
      <c r="BU250" s="983">
        <v>244</v>
      </c>
      <c r="BV250" s="994"/>
      <c r="BW250" s="995"/>
      <c r="BX250" s="1083"/>
      <c r="BZ250" s="983">
        <v>244</v>
      </c>
      <c r="CA250" s="994"/>
      <c r="CB250" s="995"/>
      <c r="CC250" s="1083"/>
      <c r="DF250" s="43" t="b">
        <f t="shared" si="89"/>
        <v>0</v>
      </c>
      <c r="DG250" s="43" t="str">
        <f t="shared" si="90"/>
        <v/>
      </c>
      <c r="DH250" s="43" t="str">
        <f t="shared" si="91"/>
        <v/>
      </c>
      <c r="DI250" s="43" t="str">
        <f t="shared" si="92"/>
        <v/>
      </c>
      <c r="DJ250" s="43" t="str">
        <f t="shared" si="93"/>
        <v/>
      </c>
      <c r="DK250" s="43" t="e">
        <f t="shared" si="94"/>
        <v>#N/A</v>
      </c>
      <c r="DL250" s="43" t="e">
        <f t="shared" si="95"/>
        <v>#N/A</v>
      </c>
      <c r="DM250" s="43" t="e">
        <f t="shared" si="96"/>
        <v>#N/A</v>
      </c>
      <c r="DN250" s="43" t="e">
        <f t="shared" si="97"/>
        <v>#N/A</v>
      </c>
      <c r="DO250" s="43" t="e">
        <f t="shared" si="98"/>
        <v>#N/A</v>
      </c>
      <c r="DP250" s="43" t="e">
        <f t="shared" si="99"/>
        <v>#N/A</v>
      </c>
      <c r="DQ250" s="43" t="e">
        <f t="shared" si="100"/>
        <v>#N/A</v>
      </c>
      <c r="DR250" s="43" t="e">
        <f t="shared" si="101"/>
        <v>#N/A</v>
      </c>
      <c r="DS250" s="43">
        <f t="shared" si="102"/>
        <v>0</v>
      </c>
    </row>
    <row r="251" spans="1:123" ht="12" customHeight="1">
      <c r="A251" s="640">
        <v>239</v>
      </c>
      <c r="B251" s="994"/>
      <c r="C251" s="995"/>
      <c r="D251" s="329"/>
      <c r="E251" s="884"/>
      <c r="F251" s="1027" t="str">
        <f t="shared" si="113"/>
        <v/>
      </c>
      <c r="G251" s="1028" t="str">
        <f t="shared" si="114"/>
        <v/>
      </c>
      <c r="H251" s="886"/>
      <c r="I251" s="458" t="str">
        <f t="shared" si="115"/>
        <v/>
      </c>
      <c r="J251" s="886"/>
      <c r="BA251" s="983">
        <v>245</v>
      </c>
      <c r="BB251" s="994"/>
      <c r="BC251" s="995"/>
      <c r="BD251" s="1083"/>
      <c r="BF251" s="983">
        <v>245</v>
      </c>
      <c r="BG251" s="994"/>
      <c r="BH251" s="995"/>
      <c r="BI251" s="1083"/>
      <c r="BK251" s="983">
        <v>245</v>
      </c>
      <c r="BL251" s="994"/>
      <c r="BM251" s="995"/>
      <c r="BN251" s="1083"/>
      <c r="BP251" s="983">
        <v>245</v>
      </c>
      <c r="BQ251" s="994"/>
      <c r="BR251" s="995"/>
      <c r="BS251" s="1083"/>
      <c r="BU251" s="983">
        <v>245</v>
      </c>
      <c r="BV251" s="994"/>
      <c r="BW251" s="995"/>
      <c r="BX251" s="1083"/>
      <c r="BZ251" s="983">
        <v>245</v>
      </c>
      <c r="CA251" s="994"/>
      <c r="CB251" s="995"/>
      <c r="CC251" s="1083"/>
      <c r="DF251" s="43" t="b">
        <f t="shared" si="89"/>
        <v>0</v>
      </c>
      <c r="DG251" s="43" t="str">
        <f t="shared" si="90"/>
        <v/>
      </c>
      <c r="DH251" s="43" t="str">
        <f t="shared" si="91"/>
        <v/>
      </c>
      <c r="DI251" s="43" t="str">
        <f t="shared" si="92"/>
        <v/>
      </c>
      <c r="DJ251" s="43" t="str">
        <f t="shared" si="93"/>
        <v/>
      </c>
      <c r="DK251" s="43" t="e">
        <f t="shared" si="94"/>
        <v>#N/A</v>
      </c>
      <c r="DL251" s="43" t="e">
        <f t="shared" si="95"/>
        <v>#N/A</v>
      </c>
      <c r="DM251" s="43" t="e">
        <f t="shared" si="96"/>
        <v>#N/A</v>
      </c>
      <c r="DN251" s="43" t="e">
        <f t="shared" si="97"/>
        <v>#N/A</v>
      </c>
      <c r="DO251" s="43" t="e">
        <f t="shared" si="98"/>
        <v>#N/A</v>
      </c>
      <c r="DP251" s="43" t="e">
        <f t="shared" si="99"/>
        <v>#N/A</v>
      </c>
      <c r="DQ251" s="43" t="e">
        <f t="shared" si="100"/>
        <v>#N/A</v>
      </c>
      <c r="DR251" s="43" t="e">
        <f t="shared" si="101"/>
        <v>#N/A</v>
      </c>
      <c r="DS251" s="43">
        <f t="shared" si="102"/>
        <v>0</v>
      </c>
    </row>
    <row r="252" spans="1:123" ht="12" customHeight="1">
      <c r="A252" s="640">
        <v>240</v>
      </c>
      <c r="B252" s="994"/>
      <c r="C252" s="995"/>
      <c r="D252" s="329"/>
      <c r="E252" s="884"/>
      <c r="F252" s="1027" t="str">
        <f t="shared" si="113"/>
        <v/>
      </c>
      <c r="G252" s="1028" t="str">
        <f t="shared" si="114"/>
        <v/>
      </c>
      <c r="H252" s="886"/>
      <c r="I252" s="458" t="str">
        <f t="shared" si="115"/>
        <v/>
      </c>
      <c r="J252" s="886"/>
      <c r="BA252" s="983">
        <v>246</v>
      </c>
      <c r="BB252" s="994"/>
      <c r="BC252" s="995"/>
      <c r="BD252" s="1083"/>
      <c r="BF252" s="983">
        <v>246</v>
      </c>
      <c r="BG252" s="994"/>
      <c r="BH252" s="995"/>
      <c r="BI252" s="1083"/>
      <c r="BK252" s="983">
        <v>246</v>
      </c>
      <c r="BL252" s="994"/>
      <c r="BM252" s="995"/>
      <c r="BN252" s="1083"/>
      <c r="BP252" s="983">
        <v>246</v>
      </c>
      <c r="BQ252" s="994"/>
      <c r="BR252" s="995"/>
      <c r="BS252" s="1083"/>
      <c r="BU252" s="983">
        <v>246</v>
      </c>
      <c r="BV252" s="994"/>
      <c r="BW252" s="995"/>
      <c r="BX252" s="1083"/>
      <c r="BZ252" s="983">
        <v>246</v>
      </c>
      <c r="CA252" s="994"/>
      <c r="CB252" s="995"/>
      <c r="CC252" s="1083"/>
      <c r="DF252" s="43" t="b">
        <f t="shared" si="89"/>
        <v>0</v>
      </c>
      <c r="DG252" s="43" t="str">
        <f t="shared" si="90"/>
        <v/>
      </c>
      <c r="DH252" s="43" t="str">
        <f t="shared" si="91"/>
        <v/>
      </c>
      <c r="DI252" s="43" t="str">
        <f t="shared" si="92"/>
        <v/>
      </c>
      <c r="DJ252" s="43" t="str">
        <f t="shared" si="93"/>
        <v/>
      </c>
      <c r="DK252" s="43" t="e">
        <f t="shared" si="94"/>
        <v>#N/A</v>
      </c>
      <c r="DL252" s="43" t="e">
        <f t="shared" si="95"/>
        <v>#N/A</v>
      </c>
      <c r="DM252" s="43" t="e">
        <f t="shared" si="96"/>
        <v>#N/A</v>
      </c>
      <c r="DN252" s="43" t="e">
        <f t="shared" si="97"/>
        <v>#N/A</v>
      </c>
      <c r="DO252" s="43" t="e">
        <f t="shared" si="98"/>
        <v>#N/A</v>
      </c>
      <c r="DP252" s="43" t="e">
        <f t="shared" si="99"/>
        <v>#N/A</v>
      </c>
      <c r="DQ252" s="43" t="e">
        <f t="shared" si="100"/>
        <v>#N/A</v>
      </c>
      <c r="DR252" s="43" t="e">
        <f t="shared" si="101"/>
        <v>#N/A</v>
      </c>
      <c r="DS252" s="43">
        <f t="shared" si="102"/>
        <v>0</v>
      </c>
    </row>
    <row r="253" spans="1:123" ht="12" customHeight="1">
      <c r="A253" s="640">
        <v>241</v>
      </c>
      <c r="B253" s="994"/>
      <c r="C253" s="995"/>
      <c r="D253" s="329"/>
      <c r="E253" s="884"/>
      <c r="F253" s="1027" t="str">
        <f t="shared" si="113"/>
        <v/>
      </c>
      <c r="G253" s="1028" t="str">
        <f t="shared" si="114"/>
        <v/>
      </c>
      <c r="H253" s="886"/>
      <c r="I253" s="458" t="str">
        <f t="shared" si="115"/>
        <v/>
      </c>
      <c r="J253" s="886"/>
      <c r="BA253" s="983">
        <v>247</v>
      </c>
      <c r="BB253" s="994"/>
      <c r="BC253" s="995"/>
      <c r="BD253" s="1083"/>
      <c r="BF253" s="983">
        <v>247</v>
      </c>
      <c r="BG253" s="994"/>
      <c r="BH253" s="995"/>
      <c r="BI253" s="1083"/>
      <c r="BK253" s="983">
        <v>247</v>
      </c>
      <c r="BL253" s="994"/>
      <c r="BM253" s="995"/>
      <c r="BN253" s="1083"/>
      <c r="BP253" s="983">
        <v>247</v>
      </c>
      <c r="BQ253" s="994"/>
      <c r="BR253" s="995"/>
      <c r="BS253" s="1083"/>
      <c r="BU253" s="983">
        <v>247</v>
      </c>
      <c r="BV253" s="994"/>
      <c r="BW253" s="995"/>
      <c r="BX253" s="1083"/>
      <c r="BZ253" s="983">
        <v>247</v>
      </c>
      <c r="CA253" s="994"/>
      <c r="CB253" s="995"/>
      <c r="CC253" s="1083"/>
      <c r="DF253" s="43" t="b">
        <f t="shared" si="89"/>
        <v>0</v>
      </c>
      <c r="DG253" s="43" t="str">
        <f t="shared" si="90"/>
        <v/>
      </c>
      <c r="DH253" s="43" t="str">
        <f t="shared" si="91"/>
        <v/>
      </c>
      <c r="DI253" s="43" t="str">
        <f t="shared" si="92"/>
        <v/>
      </c>
      <c r="DJ253" s="43" t="str">
        <f t="shared" si="93"/>
        <v/>
      </c>
      <c r="DK253" s="43" t="e">
        <f t="shared" si="94"/>
        <v>#N/A</v>
      </c>
      <c r="DL253" s="43" t="e">
        <f t="shared" si="95"/>
        <v>#N/A</v>
      </c>
      <c r="DM253" s="43" t="e">
        <f t="shared" si="96"/>
        <v>#N/A</v>
      </c>
      <c r="DN253" s="43" t="e">
        <f t="shared" si="97"/>
        <v>#N/A</v>
      </c>
      <c r="DO253" s="43" t="e">
        <f t="shared" si="98"/>
        <v>#N/A</v>
      </c>
      <c r="DP253" s="43" t="e">
        <f t="shared" si="99"/>
        <v>#N/A</v>
      </c>
      <c r="DQ253" s="43" t="e">
        <f t="shared" si="100"/>
        <v>#N/A</v>
      </c>
      <c r="DR253" s="43" t="e">
        <f t="shared" si="101"/>
        <v>#N/A</v>
      </c>
      <c r="DS253" s="43">
        <f t="shared" si="102"/>
        <v>0</v>
      </c>
    </row>
    <row r="254" spans="1:123" ht="12" customHeight="1">
      <c r="A254" s="640">
        <v>242</v>
      </c>
      <c r="B254" s="994"/>
      <c r="C254" s="995"/>
      <c r="D254" s="329"/>
      <c r="E254" s="884"/>
      <c r="F254" s="1027" t="str">
        <f t="shared" si="113"/>
        <v/>
      </c>
      <c r="G254" s="1028" t="str">
        <f t="shared" si="114"/>
        <v/>
      </c>
      <c r="H254" s="886"/>
      <c r="I254" s="458" t="str">
        <f t="shared" si="115"/>
        <v/>
      </c>
      <c r="J254" s="886"/>
      <c r="BA254" s="983">
        <v>248</v>
      </c>
      <c r="BB254" s="994"/>
      <c r="BC254" s="995"/>
      <c r="BD254" s="1083"/>
      <c r="BF254" s="983">
        <v>248</v>
      </c>
      <c r="BG254" s="994"/>
      <c r="BH254" s="995"/>
      <c r="BI254" s="1083"/>
      <c r="BK254" s="983">
        <v>248</v>
      </c>
      <c r="BL254" s="994"/>
      <c r="BM254" s="995"/>
      <c r="BN254" s="1083"/>
      <c r="BP254" s="983">
        <v>248</v>
      </c>
      <c r="BQ254" s="994"/>
      <c r="BR254" s="995"/>
      <c r="BS254" s="1083"/>
      <c r="BU254" s="983">
        <v>248</v>
      </c>
      <c r="BV254" s="994"/>
      <c r="BW254" s="995"/>
      <c r="BX254" s="1083"/>
      <c r="BZ254" s="983">
        <v>248</v>
      </c>
      <c r="CA254" s="994"/>
      <c r="CB254" s="995"/>
      <c r="CC254" s="1083"/>
      <c r="DF254" s="43" t="b">
        <f t="shared" si="89"/>
        <v>0</v>
      </c>
      <c r="DG254" s="43" t="str">
        <f t="shared" si="90"/>
        <v/>
      </c>
      <c r="DH254" s="43" t="str">
        <f t="shared" si="91"/>
        <v/>
      </c>
      <c r="DI254" s="43" t="str">
        <f t="shared" si="92"/>
        <v/>
      </c>
      <c r="DJ254" s="43" t="str">
        <f t="shared" si="93"/>
        <v/>
      </c>
      <c r="DK254" s="43" t="e">
        <f t="shared" si="94"/>
        <v>#N/A</v>
      </c>
      <c r="DL254" s="43" t="e">
        <f t="shared" si="95"/>
        <v>#N/A</v>
      </c>
      <c r="DM254" s="43" t="e">
        <f t="shared" si="96"/>
        <v>#N/A</v>
      </c>
      <c r="DN254" s="43" t="e">
        <f t="shared" si="97"/>
        <v>#N/A</v>
      </c>
      <c r="DO254" s="43" t="e">
        <f t="shared" si="98"/>
        <v>#N/A</v>
      </c>
      <c r="DP254" s="43" t="e">
        <f t="shared" si="99"/>
        <v>#N/A</v>
      </c>
      <c r="DQ254" s="43" t="e">
        <f t="shared" si="100"/>
        <v>#N/A</v>
      </c>
      <c r="DR254" s="43" t="e">
        <f t="shared" si="101"/>
        <v>#N/A</v>
      </c>
      <c r="DS254" s="43">
        <f t="shared" si="102"/>
        <v>0</v>
      </c>
    </row>
    <row r="255" spans="1:123" ht="12" customHeight="1">
      <c r="A255" s="640">
        <v>243</v>
      </c>
      <c r="B255" s="994"/>
      <c r="C255" s="995"/>
      <c r="D255" s="329"/>
      <c r="E255" s="884"/>
      <c r="F255" s="1027" t="str">
        <f t="shared" si="113"/>
        <v/>
      </c>
      <c r="G255" s="1028" t="str">
        <f t="shared" si="114"/>
        <v/>
      </c>
      <c r="H255" s="886"/>
      <c r="I255" s="458" t="str">
        <f t="shared" si="115"/>
        <v/>
      </c>
      <c r="J255" s="886"/>
      <c r="BA255" s="983">
        <v>249</v>
      </c>
      <c r="BB255" s="994"/>
      <c r="BC255" s="995"/>
      <c r="BD255" s="1083"/>
      <c r="BF255" s="983">
        <v>249</v>
      </c>
      <c r="BG255" s="994"/>
      <c r="BH255" s="995"/>
      <c r="BI255" s="1083"/>
      <c r="BK255" s="983">
        <v>249</v>
      </c>
      <c r="BL255" s="994"/>
      <c r="BM255" s="995"/>
      <c r="BN255" s="1083"/>
      <c r="BP255" s="983">
        <v>249</v>
      </c>
      <c r="BQ255" s="994"/>
      <c r="BR255" s="995"/>
      <c r="BS255" s="1083"/>
      <c r="BU255" s="983">
        <v>249</v>
      </c>
      <c r="BV255" s="994"/>
      <c r="BW255" s="995"/>
      <c r="BX255" s="1083"/>
      <c r="BZ255" s="983">
        <v>249</v>
      </c>
      <c r="CA255" s="994"/>
      <c r="CB255" s="995"/>
      <c r="CC255" s="1083"/>
      <c r="DF255" s="43" t="b">
        <f t="shared" si="89"/>
        <v>0</v>
      </c>
      <c r="DG255" s="43" t="str">
        <f t="shared" si="90"/>
        <v/>
      </c>
      <c r="DH255" s="43" t="str">
        <f t="shared" si="91"/>
        <v/>
      </c>
      <c r="DI255" s="43" t="str">
        <f t="shared" si="92"/>
        <v/>
      </c>
      <c r="DJ255" s="43" t="str">
        <f t="shared" si="93"/>
        <v/>
      </c>
      <c r="DK255" s="43" t="e">
        <f t="shared" si="94"/>
        <v>#N/A</v>
      </c>
      <c r="DL255" s="43" t="e">
        <f t="shared" si="95"/>
        <v>#N/A</v>
      </c>
      <c r="DM255" s="43" t="e">
        <f t="shared" si="96"/>
        <v>#N/A</v>
      </c>
      <c r="DN255" s="43" t="e">
        <f t="shared" si="97"/>
        <v>#N/A</v>
      </c>
      <c r="DO255" s="43" t="e">
        <f t="shared" si="98"/>
        <v>#N/A</v>
      </c>
      <c r="DP255" s="43" t="e">
        <f t="shared" si="99"/>
        <v>#N/A</v>
      </c>
      <c r="DQ255" s="43" t="e">
        <f t="shared" si="100"/>
        <v>#N/A</v>
      </c>
      <c r="DR255" s="43" t="e">
        <f t="shared" si="101"/>
        <v>#N/A</v>
      </c>
      <c r="DS255" s="43">
        <f t="shared" si="102"/>
        <v>0</v>
      </c>
    </row>
    <row r="256" spans="1:123" ht="12" customHeight="1">
      <c r="A256" s="640">
        <v>244</v>
      </c>
      <c r="B256" s="994"/>
      <c r="C256" s="995"/>
      <c r="D256" s="329"/>
      <c r="E256" s="884"/>
      <c r="F256" s="1027" t="str">
        <f t="shared" si="113"/>
        <v/>
      </c>
      <c r="G256" s="1028" t="str">
        <f t="shared" si="114"/>
        <v/>
      </c>
      <c r="H256" s="886"/>
      <c r="I256" s="458" t="str">
        <f t="shared" si="115"/>
        <v/>
      </c>
      <c r="J256" s="886"/>
      <c r="BA256" s="983">
        <v>250</v>
      </c>
      <c r="BB256" s="994"/>
      <c r="BC256" s="995"/>
      <c r="BD256" s="1083"/>
      <c r="BF256" s="983">
        <v>250</v>
      </c>
      <c r="BG256" s="994"/>
      <c r="BH256" s="995"/>
      <c r="BI256" s="1083"/>
      <c r="BK256" s="983">
        <v>250</v>
      </c>
      <c r="BL256" s="994"/>
      <c r="BM256" s="995"/>
      <c r="BN256" s="1083"/>
      <c r="BP256" s="983">
        <v>250</v>
      </c>
      <c r="BQ256" s="994"/>
      <c r="BR256" s="995"/>
      <c r="BS256" s="1083"/>
      <c r="BU256" s="983">
        <v>250</v>
      </c>
      <c r="BV256" s="994"/>
      <c r="BW256" s="995"/>
      <c r="BX256" s="1083"/>
      <c r="BZ256" s="983">
        <v>250</v>
      </c>
      <c r="CA256" s="994"/>
      <c r="CB256" s="995"/>
      <c r="CC256" s="1083"/>
      <c r="DF256" s="43" t="b">
        <f t="shared" si="89"/>
        <v>0</v>
      </c>
      <c r="DG256" s="43" t="str">
        <f t="shared" si="90"/>
        <v/>
      </c>
      <c r="DH256" s="43" t="str">
        <f t="shared" si="91"/>
        <v/>
      </c>
      <c r="DI256" s="43" t="str">
        <f t="shared" si="92"/>
        <v/>
      </c>
      <c r="DJ256" s="43" t="str">
        <f t="shared" si="93"/>
        <v/>
      </c>
      <c r="DK256" s="43" t="e">
        <f t="shared" si="94"/>
        <v>#N/A</v>
      </c>
      <c r="DL256" s="43" t="e">
        <f t="shared" si="95"/>
        <v>#N/A</v>
      </c>
      <c r="DM256" s="43" t="e">
        <f t="shared" si="96"/>
        <v>#N/A</v>
      </c>
      <c r="DN256" s="43" t="e">
        <f t="shared" si="97"/>
        <v>#N/A</v>
      </c>
      <c r="DO256" s="43" t="e">
        <f t="shared" si="98"/>
        <v>#N/A</v>
      </c>
      <c r="DP256" s="43" t="e">
        <f t="shared" si="99"/>
        <v>#N/A</v>
      </c>
      <c r="DQ256" s="43" t="e">
        <f t="shared" si="100"/>
        <v>#N/A</v>
      </c>
      <c r="DR256" s="43" t="e">
        <f t="shared" si="101"/>
        <v>#N/A</v>
      </c>
      <c r="DS256" s="43">
        <f t="shared" si="102"/>
        <v>0</v>
      </c>
    </row>
    <row r="257" spans="1:123" ht="12" customHeight="1">
      <c r="A257" s="640">
        <v>245</v>
      </c>
      <c r="B257" s="994"/>
      <c r="C257" s="995"/>
      <c r="D257" s="329"/>
      <c r="E257" s="884"/>
      <c r="F257" s="1027" t="str">
        <f t="shared" si="113"/>
        <v/>
      </c>
      <c r="G257" s="1028" t="str">
        <f t="shared" si="114"/>
        <v/>
      </c>
      <c r="H257" s="886"/>
      <c r="I257" s="458" t="str">
        <f t="shared" si="115"/>
        <v/>
      </c>
      <c r="J257" s="886"/>
      <c r="BA257" s="983">
        <v>251</v>
      </c>
      <c r="BB257" s="994"/>
      <c r="BC257" s="995"/>
      <c r="BD257" s="1083"/>
      <c r="BF257" s="983">
        <v>251</v>
      </c>
      <c r="BG257" s="994"/>
      <c r="BH257" s="995"/>
      <c r="BI257" s="1083"/>
      <c r="BK257" s="983">
        <v>251</v>
      </c>
      <c r="BL257" s="994"/>
      <c r="BM257" s="995"/>
      <c r="BN257" s="1083"/>
      <c r="BP257" s="983">
        <v>251</v>
      </c>
      <c r="BQ257" s="994"/>
      <c r="BR257" s="995"/>
      <c r="BS257" s="1083"/>
      <c r="BU257" s="983">
        <v>251</v>
      </c>
      <c r="BV257" s="994"/>
      <c r="BW257" s="995"/>
      <c r="BX257" s="1083"/>
      <c r="BZ257" s="983">
        <v>251</v>
      </c>
      <c r="CA257" s="994"/>
      <c r="CB257" s="995"/>
      <c r="CC257" s="1083"/>
      <c r="DF257" s="43" t="b">
        <f t="shared" si="89"/>
        <v>0</v>
      </c>
      <c r="DG257" s="43" t="str">
        <f t="shared" si="90"/>
        <v/>
      </c>
      <c r="DH257" s="43" t="str">
        <f t="shared" si="91"/>
        <v/>
      </c>
      <c r="DI257" s="43" t="str">
        <f t="shared" si="92"/>
        <v/>
      </c>
      <c r="DJ257" s="43" t="str">
        <f t="shared" si="93"/>
        <v/>
      </c>
      <c r="DK257" s="43" t="e">
        <f t="shared" si="94"/>
        <v>#N/A</v>
      </c>
      <c r="DL257" s="43" t="e">
        <f t="shared" si="95"/>
        <v>#N/A</v>
      </c>
      <c r="DM257" s="43" t="e">
        <f t="shared" si="96"/>
        <v>#N/A</v>
      </c>
      <c r="DN257" s="43" t="e">
        <f t="shared" si="97"/>
        <v>#N/A</v>
      </c>
      <c r="DO257" s="43" t="e">
        <f t="shared" si="98"/>
        <v>#N/A</v>
      </c>
      <c r="DP257" s="43" t="e">
        <f t="shared" si="99"/>
        <v>#N/A</v>
      </c>
      <c r="DQ257" s="43" t="e">
        <f t="shared" si="100"/>
        <v>#N/A</v>
      </c>
      <c r="DR257" s="43" t="e">
        <f t="shared" si="101"/>
        <v>#N/A</v>
      </c>
      <c r="DS257" s="43">
        <f t="shared" si="102"/>
        <v>0</v>
      </c>
    </row>
    <row r="258" spans="1:123" ht="12" customHeight="1">
      <c r="A258" s="640">
        <v>246</v>
      </c>
      <c r="B258" s="994"/>
      <c r="C258" s="995"/>
      <c r="D258" s="329"/>
      <c r="E258" s="884"/>
      <c r="F258" s="1027" t="str">
        <f t="shared" si="113"/>
        <v/>
      </c>
      <c r="G258" s="1028" t="str">
        <f t="shared" si="114"/>
        <v/>
      </c>
      <c r="H258" s="886"/>
      <c r="I258" s="458" t="str">
        <f t="shared" si="115"/>
        <v/>
      </c>
      <c r="J258" s="886"/>
      <c r="BA258" s="983">
        <v>252</v>
      </c>
      <c r="BB258" s="994"/>
      <c r="BC258" s="995"/>
      <c r="BD258" s="1083"/>
      <c r="BF258" s="983">
        <v>252</v>
      </c>
      <c r="BG258" s="994"/>
      <c r="BH258" s="995"/>
      <c r="BI258" s="1083"/>
      <c r="BK258" s="983">
        <v>252</v>
      </c>
      <c r="BL258" s="994"/>
      <c r="BM258" s="995"/>
      <c r="BN258" s="1083"/>
      <c r="BP258" s="983">
        <v>252</v>
      </c>
      <c r="BQ258" s="994"/>
      <c r="BR258" s="995"/>
      <c r="BS258" s="1083"/>
      <c r="BU258" s="983">
        <v>252</v>
      </c>
      <c r="BV258" s="994"/>
      <c r="BW258" s="995"/>
      <c r="BX258" s="1083"/>
      <c r="BZ258" s="983">
        <v>252</v>
      </c>
      <c r="CA258" s="994"/>
      <c r="CB258" s="995"/>
      <c r="CC258" s="1083"/>
      <c r="DF258" s="43" t="b">
        <f t="shared" si="89"/>
        <v>0</v>
      </c>
      <c r="DG258" s="43" t="str">
        <f t="shared" si="90"/>
        <v/>
      </c>
      <c r="DH258" s="43" t="str">
        <f t="shared" si="91"/>
        <v/>
      </c>
      <c r="DI258" s="43" t="str">
        <f t="shared" si="92"/>
        <v/>
      </c>
      <c r="DJ258" s="43" t="str">
        <f t="shared" si="93"/>
        <v/>
      </c>
      <c r="DK258" s="43" t="e">
        <f t="shared" si="94"/>
        <v>#N/A</v>
      </c>
      <c r="DL258" s="43" t="e">
        <f t="shared" si="95"/>
        <v>#N/A</v>
      </c>
      <c r="DM258" s="43" t="e">
        <f t="shared" si="96"/>
        <v>#N/A</v>
      </c>
      <c r="DN258" s="43" t="e">
        <f t="shared" si="97"/>
        <v>#N/A</v>
      </c>
      <c r="DO258" s="43" t="e">
        <f t="shared" si="98"/>
        <v>#N/A</v>
      </c>
      <c r="DP258" s="43" t="e">
        <f t="shared" si="99"/>
        <v>#N/A</v>
      </c>
      <c r="DQ258" s="43" t="e">
        <f t="shared" si="100"/>
        <v>#N/A</v>
      </c>
      <c r="DR258" s="43" t="e">
        <f t="shared" si="101"/>
        <v>#N/A</v>
      </c>
      <c r="DS258" s="43">
        <f t="shared" si="102"/>
        <v>0</v>
      </c>
    </row>
    <row r="259" spans="1:123" ht="12" customHeight="1">
      <c r="A259" s="640">
        <v>247</v>
      </c>
      <c r="B259" s="994"/>
      <c r="C259" s="995"/>
      <c r="D259" s="329"/>
      <c r="E259" s="884"/>
      <c r="F259" s="1027" t="str">
        <f t="shared" si="113"/>
        <v/>
      </c>
      <c r="G259" s="1028" t="str">
        <f t="shared" si="114"/>
        <v/>
      </c>
      <c r="H259" s="886"/>
      <c r="I259" s="458" t="str">
        <f t="shared" si="115"/>
        <v/>
      </c>
      <c r="J259" s="886"/>
      <c r="BA259" s="983">
        <v>253</v>
      </c>
      <c r="BB259" s="994"/>
      <c r="BC259" s="995"/>
      <c r="BD259" s="1083"/>
      <c r="BF259" s="983">
        <v>253</v>
      </c>
      <c r="BG259" s="994"/>
      <c r="BH259" s="995"/>
      <c r="BI259" s="1083"/>
      <c r="BK259" s="983">
        <v>253</v>
      </c>
      <c r="BL259" s="994"/>
      <c r="BM259" s="995"/>
      <c r="BN259" s="1083"/>
      <c r="BP259" s="983">
        <v>253</v>
      </c>
      <c r="BQ259" s="994"/>
      <c r="BR259" s="995"/>
      <c r="BS259" s="1083"/>
      <c r="BU259" s="983">
        <v>253</v>
      </c>
      <c r="BV259" s="994"/>
      <c r="BW259" s="995"/>
      <c r="BX259" s="1083"/>
      <c r="BZ259" s="983">
        <v>253</v>
      </c>
      <c r="CA259" s="994"/>
      <c r="CB259" s="995"/>
      <c r="CC259" s="1083"/>
      <c r="DF259" s="43" t="b">
        <f t="shared" si="89"/>
        <v>0</v>
      </c>
      <c r="DG259" s="43" t="str">
        <f t="shared" si="90"/>
        <v/>
      </c>
      <c r="DH259" s="43" t="str">
        <f t="shared" si="91"/>
        <v/>
      </c>
      <c r="DI259" s="43" t="str">
        <f t="shared" si="92"/>
        <v/>
      </c>
      <c r="DJ259" s="43" t="str">
        <f t="shared" si="93"/>
        <v/>
      </c>
      <c r="DK259" s="43" t="e">
        <f t="shared" si="94"/>
        <v>#N/A</v>
      </c>
      <c r="DL259" s="43" t="e">
        <f t="shared" si="95"/>
        <v>#N/A</v>
      </c>
      <c r="DM259" s="43" t="e">
        <f t="shared" si="96"/>
        <v>#N/A</v>
      </c>
      <c r="DN259" s="43" t="e">
        <f t="shared" si="97"/>
        <v>#N/A</v>
      </c>
      <c r="DO259" s="43" t="e">
        <f t="shared" si="98"/>
        <v>#N/A</v>
      </c>
      <c r="DP259" s="43" t="e">
        <f t="shared" si="99"/>
        <v>#N/A</v>
      </c>
      <c r="DQ259" s="43" t="e">
        <f t="shared" si="100"/>
        <v>#N/A</v>
      </c>
      <c r="DR259" s="43" t="e">
        <f t="shared" si="101"/>
        <v>#N/A</v>
      </c>
      <c r="DS259" s="43">
        <f t="shared" si="102"/>
        <v>0</v>
      </c>
    </row>
    <row r="260" spans="1:123" ht="12" customHeight="1">
      <c r="A260" s="640">
        <v>248</v>
      </c>
      <c r="B260" s="994"/>
      <c r="C260" s="995"/>
      <c r="D260" s="329"/>
      <c r="E260" s="884"/>
      <c r="F260" s="1027" t="str">
        <f t="shared" si="113"/>
        <v/>
      </c>
      <c r="G260" s="1028" t="str">
        <f t="shared" si="114"/>
        <v/>
      </c>
      <c r="H260" s="886"/>
      <c r="I260" s="458" t="str">
        <f t="shared" si="115"/>
        <v/>
      </c>
      <c r="J260" s="886"/>
      <c r="BA260" s="983">
        <v>254</v>
      </c>
      <c r="BB260" s="994"/>
      <c r="BC260" s="995"/>
      <c r="BD260" s="1083"/>
      <c r="BF260" s="983">
        <v>254</v>
      </c>
      <c r="BG260" s="994"/>
      <c r="BH260" s="995"/>
      <c r="BI260" s="1083"/>
      <c r="BK260" s="983">
        <v>254</v>
      </c>
      <c r="BL260" s="994"/>
      <c r="BM260" s="995"/>
      <c r="BN260" s="1083"/>
      <c r="BP260" s="983">
        <v>254</v>
      </c>
      <c r="BQ260" s="994"/>
      <c r="BR260" s="995"/>
      <c r="BS260" s="1083"/>
      <c r="BU260" s="983">
        <v>254</v>
      </c>
      <c r="BV260" s="994"/>
      <c r="BW260" s="995"/>
      <c r="BX260" s="1083"/>
      <c r="BZ260" s="983">
        <v>254</v>
      </c>
      <c r="CA260" s="994"/>
      <c r="CB260" s="995"/>
      <c r="CC260" s="1083"/>
      <c r="DF260" s="43" t="b">
        <f t="shared" si="89"/>
        <v>0</v>
      </c>
      <c r="DG260" s="43" t="str">
        <f t="shared" si="90"/>
        <v/>
      </c>
      <c r="DH260" s="43" t="str">
        <f t="shared" si="91"/>
        <v/>
      </c>
      <c r="DI260" s="43" t="str">
        <f t="shared" si="92"/>
        <v/>
      </c>
      <c r="DJ260" s="43" t="str">
        <f t="shared" si="93"/>
        <v/>
      </c>
      <c r="DK260" s="43" t="e">
        <f t="shared" si="94"/>
        <v>#N/A</v>
      </c>
      <c r="DL260" s="43" t="e">
        <f t="shared" si="95"/>
        <v>#N/A</v>
      </c>
      <c r="DM260" s="43" t="e">
        <f t="shared" si="96"/>
        <v>#N/A</v>
      </c>
      <c r="DN260" s="43" t="e">
        <f t="shared" si="97"/>
        <v>#N/A</v>
      </c>
      <c r="DO260" s="43" t="e">
        <f t="shared" si="98"/>
        <v>#N/A</v>
      </c>
      <c r="DP260" s="43" t="e">
        <f t="shared" si="99"/>
        <v>#N/A</v>
      </c>
      <c r="DQ260" s="43" t="e">
        <f t="shared" si="100"/>
        <v>#N/A</v>
      </c>
      <c r="DR260" s="43" t="e">
        <f t="shared" si="101"/>
        <v>#N/A</v>
      </c>
      <c r="DS260" s="43">
        <f t="shared" si="102"/>
        <v>0</v>
      </c>
    </row>
    <row r="261" spans="1:123" ht="12" customHeight="1">
      <c r="A261" s="640">
        <v>249</v>
      </c>
      <c r="B261" s="994"/>
      <c r="C261" s="995"/>
      <c r="D261" s="329"/>
      <c r="E261" s="884"/>
      <c r="F261" s="1027" t="str">
        <f t="shared" si="113"/>
        <v/>
      </c>
      <c r="G261" s="1028" t="str">
        <f t="shared" si="114"/>
        <v/>
      </c>
      <c r="H261" s="886"/>
      <c r="I261" s="458" t="str">
        <f t="shared" si="115"/>
        <v/>
      </c>
      <c r="J261" s="886"/>
      <c r="BA261" s="983">
        <v>255</v>
      </c>
      <c r="BB261" s="994"/>
      <c r="BC261" s="995"/>
      <c r="BD261" s="1083"/>
      <c r="BF261" s="983">
        <v>255</v>
      </c>
      <c r="BG261" s="994"/>
      <c r="BH261" s="995"/>
      <c r="BI261" s="1083"/>
      <c r="BK261" s="983">
        <v>255</v>
      </c>
      <c r="BL261" s="994"/>
      <c r="BM261" s="995"/>
      <c r="BN261" s="1083"/>
      <c r="BP261" s="983">
        <v>255</v>
      </c>
      <c r="BQ261" s="994"/>
      <c r="BR261" s="995"/>
      <c r="BS261" s="1083"/>
      <c r="BU261" s="983">
        <v>255</v>
      </c>
      <c r="BV261" s="994"/>
      <c r="BW261" s="995"/>
      <c r="BX261" s="1083"/>
      <c r="BZ261" s="983">
        <v>255</v>
      </c>
      <c r="CA261" s="994"/>
      <c r="CB261" s="995"/>
      <c r="CC261" s="1083"/>
      <c r="DF261" s="43" t="b">
        <f t="shared" si="89"/>
        <v>0</v>
      </c>
      <c r="DG261" s="43" t="str">
        <f t="shared" si="90"/>
        <v/>
      </c>
      <c r="DH261" s="43" t="str">
        <f t="shared" si="91"/>
        <v/>
      </c>
      <c r="DI261" s="43" t="str">
        <f t="shared" si="92"/>
        <v/>
      </c>
      <c r="DJ261" s="43" t="str">
        <f t="shared" si="93"/>
        <v/>
      </c>
      <c r="DK261" s="43" t="e">
        <f t="shared" si="94"/>
        <v>#N/A</v>
      </c>
      <c r="DL261" s="43" t="e">
        <f t="shared" si="95"/>
        <v>#N/A</v>
      </c>
      <c r="DM261" s="43" t="e">
        <f t="shared" si="96"/>
        <v>#N/A</v>
      </c>
      <c r="DN261" s="43" t="e">
        <f t="shared" si="97"/>
        <v>#N/A</v>
      </c>
      <c r="DO261" s="43" t="e">
        <f t="shared" si="98"/>
        <v>#N/A</v>
      </c>
      <c r="DP261" s="43" t="e">
        <f t="shared" si="99"/>
        <v>#N/A</v>
      </c>
      <c r="DQ261" s="43" t="e">
        <f t="shared" si="100"/>
        <v>#N/A</v>
      </c>
      <c r="DR261" s="43" t="e">
        <f t="shared" si="101"/>
        <v>#N/A</v>
      </c>
      <c r="DS261" s="43">
        <f t="shared" si="102"/>
        <v>0</v>
      </c>
    </row>
    <row r="262" spans="1:123" ht="12" customHeight="1">
      <c r="A262" s="640">
        <v>250</v>
      </c>
      <c r="B262" s="994"/>
      <c r="C262" s="995"/>
      <c r="D262" s="329"/>
      <c r="E262" s="884"/>
      <c r="F262" s="1027" t="str">
        <f t="shared" si="113"/>
        <v/>
      </c>
      <c r="G262" s="1028" t="str">
        <f t="shared" si="114"/>
        <v/>
      </c>
      <c r="H262" s="886"/>
      <c r="I262" s="458" t="str">
        <f t="shared" si="115"/>
        <v/>
      </c>
      <c r="J262" s="886"/>
      <c r="BA262" s="983">
        <v>256</v>
      </c>
      <c r="BB262" s="994"/>
      <c r="BC262" s="995"/>
      <c r="BD262" s="1083"/>
      <c r="BF262" s="983">
        <v>256</v>
      </c>
      <c r="BG262" s="994"/>
      <c r="BH262" s="995"/>
      <c r="BI262" s="1083"/>
      <c r="BK262" s="983">
        <v>256</v>
      </c>
      <c r="BL262" s="994"/>
      <c r="BM262" s="995"/>
      <c r="BN262" s="1083"/>
      <c r="BP262" s="983">
        <v>256</v>
      </c>
      <c r="BQ262" s="994"/>
      <c r="BR262" s="995"/>
      <c r="BS262" s="1083"/>
      <c r="BU262" s="983">
        <v>256</v>
      </c>
      <c r="BV262" s="994"/>
      <c r="BW262" s="995"/>
      <c r="BX262" s="1083"/>
      <c r="BZ262" s="983">
        <v>256</v>
      </c>
      <c r="CA262" s="994"/>
      <c r="CB262" s="995"/>
      <c r="CC262" s="1083"/>
      <c r="DF262" s="43" t="b">
        <f t="shared" si="89"/>
        <v>0</v>
      </c>
      <c r="DG262" s="43" t="str">
        <f t="shared" si="90"/>
        <v/>
      </c>
      <c r="DH262" s="43" t="str">
        <f t="shared" si="91"/>
        <v/>
      </c>
      <c r="DI262" s="43" t="str">
        <f t="shared" si="92"/>
        <v/>
      </c>
      <c r="DJ262" s="43" t="str">
        <f t="shared" si="93"/>
        <v/>
      </c>
      <c r="DK262" s="43" t="e">
        <f t="shared" si="94"/>
        <v>#N/A</v>
      </c>
      <c r="DL262" s="43" t="e">
        <f t="shared" si="95"/>
        <v>#N/A</v>
      </c>
      <c r="DM262" s="43" t="e">
        <f t="shared" si="96"/>
        <v>#N/A</v>
      </c>
      <c r="DN262" s="43" t="e">
        <f t="shared" si="97"/>
        <v>#N/A</v>
      </c>
      <c r="DO262" s="43" t="e">
        <f t="shared" si="98"/>
        <v>#N/A</v>
      </c>
      <c r="DP262" s="43" t="e">
        <f t="shared" si="99"/>
        <v>#N/A</v>
      </c>
      <c r="DQ262" s="43" t="e">
        <f t="shared" si="100"/>
        <v>#N/A</v>
      </c>
      <c r="DR262" s="43" t="e">
        <f t="shared" si="101"/>
        <v>#N/A</v>
      </c>
      <c r="DS262" s="43">
        <f t="shared" si="102"/>
        <v>0</v>
      </c>
    </row>
    <row r="263" spans="1:123" ht="12" customHeight="1">
      <c r="A263" s="640">
        <v>251</v>
      </c>
      <c r="B263" s="994"/>
      <c r="C263" s="995"/>
      <c r="D263" s="329"/>
      <c r="E263" s="884"/>
      <c r="F263" s="1027" t="str">
        <f t="shared" si="113"/>
        <v/>
      </c>
      <c r="G263" s="1028" t="str">
        <f t="shared" si="114"/>
        <v/>
      </c>
      <c r="H263" s="886"/>
      <c r="I263" s="458" t="str">
        <f t="shared" si="115"/>
        <v/>
      </c>
      <c r="J263" s="886"/>
      <c r="BA263" s="983">
        <v>257</v>
      </c>
      <c r="BB263" s="994"/>
      <c r="BC263" s="995"/>
      <c r="BD263" s="1083"/>
      <c r="BF263" s="983">
        <v>257</v>
      </c>
      <c r="BG263" s="994"/>
      <c r="BH263" s="995"/>
      <c r="BI263" s="1083"/>
      <c r="BK263" s="983">
        <v>257</v>
      </c>
      <c r="BL263" s="994"/>
      <c r="BM263" s="995"/>
      <c r="BN263" s="1083"/>
      <c r="BP263" s="983">
        <v>257</v>
      </c>
      <c r="BQ263" s="994"/>
      <c r="BR263" s="995"/>
      <c r="BS263" s="1083"/>
      <c r="BU263" s="983">
        <v>257</v>
      </c>
      <c r="BV263" s="994"/>
      <c r="BW263" s="995"/>
      <c r="BX263" s="1083"/>
      <c r="BZ263" s="983">
        <v>257</v>
      </c>
      <c r="CA263" s="994"/>
      <c r="CB263" s="995"/>
      <c r="CC263" s="1083"/>
      <c r="DF263" s="43" t="b">
        <f t="shared" si="89"/>
        <v>0</v>
      </c>
      <c r="DG263" s="43" t="str">
        <f t="shared" si="90"/>
        <v/>
      </c>
      <c r="DH263" s="43" t="str">
        <f t="shared" si="91"/>
        <v/>
      </c>
      <c r="DI263" s="43" t="str">
        <f t="shared" si="92"/>
        <v/>
      </c>
      <c r="DJ263" s="43" t="str">
        <f t="shared" si="93"/>
        <v/>
      </c>
      <c r="DK263" s="43" t="e">
        <f t="shared" si="94"/>
        <v>#N/A</v>
      </c>
      <c r="DL263" s="43" t="e">
        <f t="shared" si="95"/>
        <v>#N/A</v>
      </c>
      <c r="DM263" s="43" t="e">
        <f t="shared" si="96"/>
        <v>#N/A</v>
      </c>
      <c r="DN263" s="43" t="e">
        <f t="shared" si="97"/>
        <v>#N/A</v>
      </c>
      <c r="DO263" s="43" t="e">
        <f t="shared" si="98"/>
        <v>#N/A</v>
      </c>
      <c r="DP263" s="43" t="e">
        <f t="shared" si="99"/>
        <v>#N/A</v>
      </c>
      <c r="DQ263" s="43" t="e">
        <f t="shared" si="100"/>
        <v>#N/A</v>
      </c>
      <c r="DR263" s="43" t="e">
        <f t="shared" si="101"/>
        <v>#N/A</v>
      </c>
      <c r="DS263" s="43">
        <f t="shared" si="102"/>
        <v>0</v>
      </c>
    </row>
    <row r="264" spans="1:123" ht="12" customHeight="1">
      <c r="A264" s="640">
        <v>252</v>
      </c>
      <c r="B264" s="994"/>
      <c r="C264" s="995"/>
      <c r="D264" s="329"/>
      <c r="E264" s="884"/>
      <c r="F264" s="1027" t="str">
        <f t="shared" si="113"/>
        <v/>
      </c>
      <c r="G264" s="1028" t="str">
        <f t="shared" si="114"/>
        <v/>
      </c>
      <c r="H264" s="886"/>
      <c r="I264" s="458" t="str">
        <f t="shared" si="115"/>
        <v/>
      </c>
      <c r="J264" s="886"/>
      <c r="BA264" s="983">
        <v>258</v>
      </c>
      <c r="BB264" s="994"/>
      <c r="BC264" s="995"/>
      <c r="BD264" s="1083"/>
      <c r="BF264" s="983">
        <v>258</v>
      </c>
      <c r="BG264" s="994"/>
      <c r="BH264" s="995"/>
      <c r="BI264" s="1083"/>
      <c r="BK264" s="983">
        <v>258</v>
      </c>
      <c r="BL264" s="994"/>
      <c r="BM264" s="995"/>
      <c r="BN264" s="1083"/>
      <c r="BP264" s="983">
        <v>258</v>
      </c>
      <c r="BQ264" s="994"/>
      <c r="BR264" s="995"/>
      <c r="BS264" s="1083"/>
      <c r="BU264" s="983">
        <v>258</v>
      </c>
      <c r="BV264" s="994"/>
      <c r="BW264" s="995"/>
      <c r="BX264" s="1083"/>
      <c r="BZ264" s="983">
        <v>258</v>
      </c>
      <c r="CA264" s="994"/>
      <c r="CB264" s="995"/>
      <c r="CC264" s="1083"/>
      <c r="DF264" s="43" t="b">
        <f t="shared" si="89"/>
        <v>0</v>
      </c>
      <c r="DG264" s="43" t="str">
        <f t="shared" si="90"/>
        <v/>
      </c>
      <c r="DH264" s="43" t="str">
        <f t="shared" si="91"/>
        <v/>
      </c>
      <c r="DI264" s="43" t="str">
        <f t="shared" si="92"/>
        <v/>
      </c>
      <c r="DJ264" s="43" t="str">
        <f t="shared" si="93"/>
        <v/>
      </c>
      <c r="DK264" s="43" t="e">
        <f t="shared" si="94"/>
        <v>#N/A</v>
      </c>
      <c r="DL264" s="43" t="e">
        <f t="shared" si="95"/>
        <v>#N/A</v>
      </c>
      <c r="DM264" s="43" t="e">
        <f t="shared" si="96"/>
        <v>#N/A</v>
      </c>
      <c r="DN264" s="43" t="e">
        <f t="shared" si="97"/>
        <v>#N/A</v>
      </c>
      <c r="DO264" s="43" t="e">
        <f t="shared" si="98"/>
        <v>#N/A</v>
      </c>
      <c r="DP264" s="43" t="e">
        <f t="shared" si="99"/>
        <v>#N/A</v>
      </c>
      <c r="DQ264" s="43" t="e">
        <f t="shared" si="100"/>
        <v>#N/A</v>
      </c>
      <c r="DR264" s="43" t="e">
        <f t="shared" si="101"/>
        <v>#N/A</v>
      </c>
      <c r="DS264" s="43">
        <f t="shared" si="102"/>
        <v>0</v>
      </c>
    </row>
    <row r="265" spans="1:123" ht="12" customHeight="1">
      <c r="A265" s="640">
        <v>253</v>
      </c>
      <c r="B265" s="994"/>
      <c r="C265" s="995"/>
      <c r="D265" s="329"/>
      <c r="E265" s="884"/>
      <c r="F265" s="1027" t="str">
        <f t="shared" si="113"/>
        <v/>
      </c>
      <c r="G265" s="1028" t="str">
        <f t="shared" si="114"/>
        <v/>
      </c>
      <c r="H265" s="886"/>
      <c r="I265" s="458" t="str">
        <f t="shared" si="115"/>
        <v/>
      </c>
      <c r="J265" s="886"/>
      <c r="BA265" s="983">
        <v>259</v>
      </c>
      <c r="BB265" s="994"/>
      <c r="BC265" s="995"/>
      <c r="BD265" s="1083"/>
      <c r="BF265" s="983">
        <v>259</v>
      </c>
      <c r="BG265" s="994"/>
      <c r="BH265" s="995"/>
      <c r="BI265" s="1083"/>
      <c r="BK265" s="983">
        <v>259</v>
      </c>
      <c r="BL265" s="994"/>
      <c r="BM265" s="995"/>
      <c r="BN265" s="1083"/>
      <c r="BP265" s="983">
        <v>259</v>
      </c>
      <c r="BQ265" s="994"/>
      <c r="BR265" s="995"/>
      <c r="BS265" s="1083"/>
      <c r="BU265" s="983">
        <v>259</v>
      </c>
      <c r="BV265" s="994"/>
      <c r="BW265" s="995"/>
      <c r="BX265" s="1083"/>
      <c r="BZ265" s="983">
        <v>259</v>
      </c>
      <c r="CA265" s="994"/>
      <c r="CB265" s="995"/>
      <c r="CC265" s="1083"/>
      <c r="DF265" s="43" t="b">
        <f t="shared" si="89"/>
        <v>0</v>
      </c>
      <c r="DG265" s="43" t="str">
        <f t="shared" si="90"/>
        <v/>
      </c>
      <c r="DH265" s="43" t="str">
        <f t="shared" si="91"/>
        <v/>
      </c>
      <c r="DI265" s="43" t="str">
        <f t="shared" si="92"/>
        <v/>
      </c>
      <c r="DJ265" s="43" t="str">
        <f t="shared" si="93"/>
        <v/>
      </c>
      <c r="DK265" s="43" t="e">
        <f t="shared" si="94"/>
        <v>#N/A</v>
      </c>
      <c r="DL265" s="43" t="e">
        <f t="shared" si="95"/>
        <v>#N/A</v>
      </c>
      <c r="DM265" s="43" t="e">
        <f t="shared" si="96"/>
        <v>#N/A</v>
      </c>
      <c r="DN265" s="43" t="e">
        <f t="shared" si="97"/>
        <v>#N/A</v>
      </c>
      <c r="DO265" s="43" t="e">
        <f t="shared" si="98"/>
        <v>#N/A</v>
      </c>
      <c r="DP265" s="43" t="e">
        <f t="shared" si="99"/>
        <v>#N/A</v>
      </c>
      <c r="DQ265" s="43" t="e">
        <f t="shared" si="100"/>
        <v>#N/A</v>
      </c>
      <c r="DR265" s="43" t="e">
        <f t="shared" si="101"/>
        <v>#N/A</v>
      </c>
      <c r="DS265" s="43">
        <f t="shared" si="102"/>
        <v>0</v>
      </c>
    </row>
    <row r="266" spans="1:123" ht="12" customHeight="1">
      <c r="A266" s="640">
        <v>254</v>
      </c>
      <c r="B266" s="994"/>
      <c r="C266" s="995"/>
      <c r="D266" s="329"/>
      <c r="E266" s="884"/>
      <c r="F266" s="1027" t="str">
        <f t="shared" si="113"/>
        <v/>
      </c>
      <c r="G266" s="1028" t="str">
        <f t="shared" si="114"/>
        <v/>
      </c>
      <c r="H266" s="886"/>
      <c r="I266" s="458" t="str">
        <f t="shared" si="115"/>
        <v/>
      </c>
      <c r="J266" s="886"/>
      <c r="BA266" s="983">
        <v>260</v>
      </c>
      <c r="BB266" s="994"/>
      <c r="BC266" s="995"/>
      <c r="BD266" s="1083"/>
      <c r="BF266" s="983">
        <v>260</v>
      </c>
      <c r="BG266" s="994"/>
      <c r="BH266" s="995"/>
      <c r="BI266" s="1083"/>
      <c r="BK266" s="983">
        <v>260</v>
      </c>
      <c r="BL266" s="994"/>
      <c r="BM266" s="995"/>
      <c r="BN266" s="1083"/>
      <c r="BP266" s="983">
        <v>260</v>
      </c>
      <c r="BQ266" s="994"/>
      <c r="BR266" s="995"/>
      <c r="BS266" s="1083"/>
      <c r="BU266" s="983">
        <v>260</v>
      </c>
      <c r="BV266" s="994"/>
      <c r="BW266" s="995"/>
      <c r="BX266" s="1083"/>
      <c r="BZ266" s="983">
        <v>260</v>
      </c>
      <c r="CA266" s="994"/>
      <c r="CB266" s="995"/>
      <c r="CC266" s="1083"/>
      <c r="DF266" s="43" t="b">
        <f t="shared" si="89"/>
        <v>0</v>
      </c>
      <c r="DG266" s="43" t="str">
        <f t="shared" si="90"/>
        <v/>
      </c>
      <c r="DH266" s="43" t="str">
        <f t="shared" si="91"/>
        <v/>
      </c>
      <c r="DI266" s="43" t="str">
        <f t="shared" si="92"/>
        <v/>
      </c>
      <c r="DJ266" s="43" t="str">
        <f t="shared" si="93"/>
        <v/>
      </c>
      <c r="DK266" s="43" t="e">
        <f t="shared" si="94"/>
        <v>#N/A</v>
      </c>
      <c r="DL266" s="43" t="e">
        <f t="shared" si="95"/>
        <v>#N/A</v>
      </c>
      <c r="DM266" s="43" t="e">
        <f t="shared" si="96"/>
        <v>#N/A</v>
      </c>
      <c r="DN266" s="43" t="e">
        <f t="shared" si="97"/>
        <v>#N/A</v>
      </c>
      <c r="DO266" s="43" t="e">
        <f t="shared" si="98"/>
        <v>#N/A</v>
      </c>
      <c r="DP266" s="43" t="e">
        <f t="shared" si="99"/>
        <v>#N/A</v>
      </c>
      <c r="DQ266" s="43" t="e">
        <f t="shared" si="100"/>
        <v>#N/A</v>
      </c>
      <c r="DR266" s="43" t="e">
        <f t="shared" si="101"/>
        <v>#N/A</v>
      </c>
      <c r="DS266" s="43">
        <f t="shared" si="102"/>
        <v>0</v>
      </c>
    </row>
    <row r="267" spans="1:123" ht="12" customHeight="1">
      <c r="A267" s="640">
        <v>255</v>
      </c>
      <c r="B267" s="994"/>
      <c r="C267" s="995"/>
      <c r="D267" s="329"/>
      <c r="E267" s="884"/>
      <c r="F267" s="1027" t="str">
        <f t="shared" si="113"/>
        <v/>
      </c>
      <c r="G267" s="1028" t="str">
        <f t="shared" si="114"/>
        <v/>
      </c>
      <c r="H267" s="886"/>
      <c r="I267" s="458" t="str">
        <f t="shared" si="115"/>
        <v/>
      </c>
      <c r="J267" s="886"/>
      <c r="BA267" s="983">
        <v>261</v>
      </c>
      <c r="BB267" s="994"/>
      <c r="BC267" s="995"/>
      <c r="BD267" s="1083"/>
      <c r="BF267" s="983">
        <v>261</v>
      </c>
      <c r="BG267" s="994"/>
      <c r="BH267" s="995"/>
      <c r="BI267" s="1083"/>
      <c r="BK267" s="983">
        <v>261</v>
      </c>
      <c r="BL267" s="994"/>
      <c r="BM267" s="995"/>
      <c r="BN267" s="1083"/>
      <c r="BP267" s="983">
        <v>261</v>
      </c>
      <c r="BQ267" s="994"/>
      <c r="BR267" s="995"/>
      <c r="BS267" s="1083"/>
      <c r="BU267" s="983">
        <v>261</v>
      </c>
      <c r="BV267" s="994"/>
      <c r="BW267" s="995"/>
      <c r="BX267" s="1083"/>
      <c r="BZ267" s="983">
        <v>261</v>
      </c>
      <c r="CA267" s="994"/>
      <c r="CB267" s="995"/>
      <c r="CC267" s="1083"/>
      <c r="DF267" s="43" t="b">
        <f t="shared" ref="DF267:DF310" si="116">IF(AND(ISNUMBER(B269),ISNUMBER(C269)),TRUE,FALSE)</f>
        <v>0</v>
      </c>
      <c r="DG267" s="43" t="str">
        <f t="shared" ref="DG267:DG310" si="117">IF(DF267,B269,"")</f>
        <v/>
      </c>
      <c r="DH267" s="43" t="str">
        <f t="shared" ref="DH267:DH310" si="118">IF(DF267,C269,"")</f>
        <v/>
      </c>
      <c r="DI267" s="43" t="str">
        <f t="shared" ref="DI267:DI310" si="119">IF(DF267,F269,"")</f>
        <v/>
      </c>
      <c r="DJ267" s="43" t="str">
        <f t="shared" ref="DJ267:DJ310" si="120">IF(DF267,G269,"")</f>
        <v/>
      </c>
      <c r="DK267" s="43" t="e">
        <f t="shared" ref="DK267:DK310" si="121">IF($DM$6,IF(AND(DF267,DI267&lt;&gt;""),DI267,NA()),NA())</f>
        <v>#N/A</v>
      </c>
      <c r="DL267" s="43" t="e">
        <f t="shared" ref="DL267:DL310" si="122">IF($DM$6,IF(AND(DF267,DJ267&lt;&gt;""),DJ267,NA()),NA())</f>
        <v>#N/A</v>
      </c>
      <c r="DM267" s="43" t="e">
        <f t="shared" ref="DM267:DM310" si="123">OR(DK267&lt;-forzoom,DK267&gt;forzoom,DL267&lt;-forzoom,DL267&gt;forzoom)</f>
        <v>#N/A</v>
      </c>
      <c r="DN267" s="43" t="e">
        <f t="shared" ref="DN267:DN310" si="124">IF(DM267,IF(ISNA(DK267),NA(),IF(DK267&lt;-forzoom,-forzoom,IF(DK267&gt;forzoom,forzoom,DK267))),NA())</f>
        <v>#N/A</v>
      </c>
      <c r="DO267" s="43" t="e">
        <f t="shared" ref="DO267:DO310" si="125">IF(ISNA(DL267),NA(),IF(DL267&lt;-forzoom,-forzoom,IF(DL267&gt;forzoom,forzoom,DL267)))</f>
        <v>#N/A</v>
      </c>
      <c r="DP267" s="43" t="e">
        <f t="shared" ref="DP267:DP310" si="126">IF(AND($DJ$7,DF267,$DO$1),B269,NA())</f>
        <v>#N/A</v>
      </c>
      <c r="DQ267" s="43" t="e">
        <f t="shared" ref="DQ267:DQ310" si="127">IF(AND($DJ$7,DF267,$DO$1),IF($DS$1,$C$9-($DD$20*$C$10/$B$10)*$B$9,$U$40)+IF($DS$1,$DD$20*$C$10/$B$10,$W$40)*DP267,NA())</f>
        <v>#N/A</v>
      </c>
      <c r="DR267" s="43" t="e">
        <f t="shared" ref="DR267:DR310" si="128">IF(AND(DF267,$DO$1),C269-DQ267,NA())</f>
        <v>#N/A</v>
      </c>
      <c r="DS267" s="43">
        <f t="shared" ref="DS267:DS310" si="129">IF(ISNA(DR267),0,DR267^2)</f>
        <v>0</v>
      </c>
    </row>
    <row r="268" spans="1:123" ht="12" customHeight="1">
      <c r="A268" s="640">
        <v>256</v>
      </c>
      <c r="B268" s="994"/>
      <c r="C268" s="995"/>
      <c r="D268" s="329"/>
      <c r="E268" s="884"/>
      <c r="F268" s="1027" t="str">
        <f t="shared" si="113"/>
        <v/>
      </c>
      <c r="G268" s="1028" t="str">
        <f t="shared" si="114"/>
        <v/>
      </c>
      <c r="H268" s="886"/>
      <c r="I268" s="458" t="str">
        <f t="shared" si="115"/>
        <v/>
      </c>
      <c r="J268" s="886"/>
      <c r="BA268" s="983">
        <v>262</v>
      </c>
      <c r="BB268" s="994"/>
      <c r="BC268" s="995"/>
      <c r="BD268" s="1083"/>
      <c r="BF268" s="983">
        <v>262</v>
      </c>
      <c r="BG268" s="994"/>
      <c r="BH268" s="995"/>
      <c r="BI268" s="1083"/>
      <c r="BK268" s="983">
        <v>262</v>
      </c>
      <c r="BL268" s="994"/>
      <c r="BM268" s="995"/>
      <c r="BN268" s="1083"/>
      <c r="BP268" s="983">
        <v>262</v>
      </c>
      <c r="BQ268" s="994"/>
      <c r="BR268" s="995"/>
      <c r="BS268" s="1083"/>
      <c r="BU268" s="983">
        <v>262</v>
      </c>
      <c r="BV268" s="994"/>
      <c r="BW268" s="995"/>
      <c r="BX268" s="1083"/>
      <c r="BZ268" s="983">
        <v>262</v>
      </c>
      <c r="CA268" s="994"/>
      <c r="CB268" s="995"/>
      <c r="CC268" s="1083"/>
      <c r="DF268" s="43" t="b">
        <f t="shared" si="116"/>
        <v>0</v>
      </c>
      <c r="DG268" s="43" t="str">
        <f t="shared" si="117"/>
        <v/>
      </c>
      <c r="DH268" s="43" t="str">
        <f t="shared" si="118"/>
        <v/>
      </c>
      <c r="DI268" s="43" t="str">
        <f t="shared" si="119"/>
        <v/>
      </c>
      <c r="DJ268" s="43" t="str">
        <f t="shared" si="120"/>
        <v/>
      </c>
      <c r="DK268" s="43" t="e">
        <f t="shared" si="121"/>
        <v>#N/A</v>
      </c>
      <c r="DL268" s="43" t="e">
        <f t="shared" si="122"/>
        <v>#N/A</v>
      </c>
      <c r="DM268" s="43" t="e">
        <f t="shared" si="123"/>
        <v>#N/A</v>
      </c>
      <c r="DN268" s="43" t="e">
        <f t="shared" si="124"/>
        <v>#N/A</v>
      </c>
      <c r="DO268" s="43" t="e">
        <f t="shared" si="125"/>
        <v>#N/A</v>
      </c>
      <c r="DP268" s="43" t="e">
        <f t="shared" si="126"/>
        <v>#N/A</v>
      </c>
      <c r="DQ268" s="43" t="e">
        <f t="shared" si="127"/>
        <v>#N/A</v>
      </c>
      <c r="DR268" s="43" t="e">
        <f t="shared" si="128"/>
        <v>#N/A</v>
      </c>
      <c r="DS268" s="43">
        <f t="shared" si="129"/>
        <v>0</v>
      </c>
    </row>
    <row r="269" spans="1:123" ht="12" customHeight="1">
      <c r="A269" s="640">
        <v>257</v>
      </c>
      <c r="B269" s="994"/>
      <c r="C269" s="995"/>
      <c r="D269" s="329"/>
      <c r="E269" s="884"/>
      <c r="F269" s="1027" t="str">
        <f t="shared" ref="F269:F312" si="130">IF(AND($DH$1,$B$10&lt;&gt;""),IF(OR(COUNT($DG$11:$DG$310)&lt;2,DG267=""),"",(DG267-$B$9)/$B$10),"")</f>
        <v/>
      </c>
      <c r="G269" s="1028" t="str">
        <f t="shared" ref="G269:G312" si="131">IF(AND($DH$1,$C$10&lt;&gt;""),IF(OR(COUNT($DH$11:$DH$310)&lt;2,DH267=""),"",(DH267-$C$9)/$C$10),"")</f>
        <v/>
      </c>
      <c r="H269" s="886"/>
      <c r="I269" s="458" t="str">
        <f t="shared" ref="I269:I312" si="132">IF(AND(F269&lt;&gt;"",G269&lt;&gt;""),F269*G269,"")</f>
        <v/>
      </c>
      <c r="J269" s="886"/>
      <c r="BA269" s="983">
        <v>263</v>
      </c>
      <c r="BB269" s="994"/>
      <c r="BC269" s="995"/>
      <c r="BD269" s="1083"/>
      <c r="BF269" s="983">
        <v>263</v>
      </c>
      <c r="BG269" s="994"/>
      <c r="BH269" s="995"/>
      <c r="BI269" s="1083"/>
      <c r="BK269" s="983">
        <v>263</v>
      </c>
      <c r="BL269" s="994"/>
      <c r="BM269" s="995"/>
      <c r="BN269" s="1083"/>
      <c r="BP269" s="983">
        <v>263</v>
      </c>
      <c r="BQ269" s="994"/>
      <c r="BR269" s="995"/>
      <c r="BS269" s="1083"/>
      <c r="BU269" s="983">
        <v>263</v>
      </c>
      <c r="BV269" s="994"/>
      <c r="BW269" s="995"/>
      <c r="BX269" s="1083"/>
      <c r="BZ269" s="983">
        <v>263</v>
      </c>
      <c r="CA269" s="994"/>
      <c r="CB269" s="995"/>
      <c r="CC269" s="1083"/>
      <c r="DF269" s="43" t="b">
        <f t="shared" si="116"/>
        <v>0</v>
      </c>
      <c r="DG269" s="43" t="str">
        <f t="shared" si="117"/>
        <v/>
      </c>
      <c r="DH269" s="43" t="str">
        <f t="shared" si="118"/>
        <v/>
      </c>
      <c r="DI269" s="43" t="str">
        <f t="shared" si="119"/>
        <v/>
      </c>
      <c r="DJ269" s="43" t="str">
        <f t="shared" si="120"/>
        <v/>
      </c>
      <c r="DK269" s="43" t="e">
        <f t="shared" si="121"/>
        <v>#N/A</v>
      </c>
      <c r="DL269" s="43" t="e">
        <f t="shared" si="122"/>
        <v>#N/A</v>
      </c>
      <c r="DM269" s="43" t="e">
        <f t="shared" si="123"/>
        <v>#N/A</v>
      </c>
      <c r="DN269" s="43" t="e">
        <f t="shared" si="124"/>
        <v>#N/A</v>
      </c>
      <c r="DO269" s="43" t="e">
        <f t="shared" si="125"/>
        <v>#N/A</v>
      </c>
      <c r="DP269" s="43" t="e">
        <f t="shared" si="126"/>
        <v>#N/A</v>
      </c>
      <c r="DQ269" s="43" t="e">
        <f t="shared" si="127"/>
        <v>#N/A</v>
      </c>
      <c r="DR269" s="43" t="e">
        <f t="shared" si="128"/>
        <v>#N/A</v>
      </c>
      <c r="DS269" s="43">
        <f t="shared" si="129"/>
        <v>0</v>
      </c>
    </row>
    <row r="270" spans="1:123" ht="12" customHeight="1">
      <c r="A270" s="640">
        <v>258</v>
      </c>
      <c r="B270" s="994"/>
      <c r="C270" s="995"/>
      <c r="D270" s="329"/>
      <c r="E270" s="884"/>
      <c r="F270" s="1027" t="str">
        <f t="shared" si="130"/>
        <v/>
      </c>
      <c r="G270" s="1028" t="str">
        <f t="shared" si="131"/>
        <v/>
      </c>
      <c r="H270" s="886"/>
      <c r="I270" s="458" t="str">
        <f t="shared" si="132"/>
        <v/>
      </c>
      <c r="J270" s="886"/>
      <c r="BA270" s="983">
        <v>264</v>
      </c>
      <c r="BB270" s="994"/>
      <c r="BC270" s="995"/>
      <c r="BD270" s="1083"/>
      <c r="BF270" s="983">
        <v>264</v>
      </c>
      <c r="BG270" s="994"/>
      <c r="BH270" s="995"/>
      <c r="BI270" s="1083"/>
      <c r="BK270" s="983">
        <v>264</v>
      </c>
      <c r="BL270" s="994"/>
      <c r="BM270" s="995"/>
      <c r="BN270" s="1083"/>
      <c r="BP270" s="983">
        <v>264</v>
      </c>
      <c r="BQ270" s="994"/>
      <c r="BR270" s="995"/>
      <c r="BS270" s="1083"/>
      <c r="BU270" s="983">
        <v>264</v>
      </c>
      <c r="BV270" s="994"/>
      <c r="BW270" s="995"/>
      <c r="BX270" s="1083"/>
      <c r="BZ270" s="983">
        <v>264</v>
      </c>
      <c r="CA270" s="994"/>
      <c r="CB270" s="995"/>
      <c r="CC270" s="1083"/>
      <c r="DF270" s="43" t="b">
        <f t="shared" si="116"/>
        <v>0</v>
      </c>
      <c r="DG270" s="43" t="str">
        <f t="shared" si="117"/>
        <v/>
      </c>
      <c r="DH270" s="43" t="str">
        <f t="shared" si="118"/>
        <v/>
      </c>
      <c r="DI270" s="43" t="str">
        <f t="shared" si="119"/>
        <v/>
      </c>
      <c r="DJ270" s="43" t="str">
        <f t="shared" si="120"/>
        <v/>
      </c>
      <c r="DK270" s="43" t="e">
        <f t="shared" si="121"/>
        <v>#N/A</v>
      </c>
      <c r="DL270" s="43" t="e">
        <f t="shared" si="122"/>
        <v>#N/A</v>
      </c>
      <c r="DM270" s="43" t="e">
        <f t="shared" si="123"/>
        <v>#N/A</v>
      </c>
      <c r="DN270" s="43" t="e">
        <f t="shared" si="124"/>
        <v>#N/A</v>
      </c>
      <c r="DO270" s="43" t="e">
        <f t="shared" si="125"/>
        <v>#N/A</v>
      </c>
      <c r="DP270" s="43" t="e">
        <f t="shared" si="126"/>
        <v>#N/A</v>
      </c>
      <c r="DQ270" s="43" t="e">
        <f t="shared" si="127"/>
        <v>#N/A</v>
      </c>
      <c r="DR270" s="43" t="e">
        <f t="shared" si="128"/>
        <v>#N/A</v>
      </c>
      <c r="DS270" s="43">
        <f t="shared" si="129"/>
        <v>0</v>
      </c>
    </row>
    <row r="271" spans="1:123" ht="12" customHeight="1">
      <c r="A271" s="640">
        <v>259</v>
      </c>
      <c r="B271" s="994"/>
      <c r="C271" s="995"/>
      <c r="D271" s="329"/>
      <c r="E271" s="884"/>
      <c r="F271" s="1027" t="str">
        <f t="shared" si="130"/>
        <v/>
      </c>
      <c r="G271" s="1028" t="str">
        <f t="shared" si="131"/>
        <v/>
      </c>
      <c r="H271" s="886"/>
      <c r="I271" s="458" t="str">
        <f t="shared" si="132"/>
        <v/>
      </c>
      <c r="J271" s="886"/>
      <c r="BA271" s="983">
        <v>265</v>
      </c>
      <c r="BB271" s="994"/>
      <c r="BC271" s="995"/>
      <c r="BD271" s="1083"/>
      <c r="BF271" s="983">
        <v>265</v>
      </c>
      <c r="BG271" s="994"/>
      <c r="BH271" s="995"/>
      <c r="BI271" s="1083"/>
      <c r="BK271" s="983">
        <v>265</v>
      </c>
      <c r="BL271" s="994"/>
      <c r="BM271" s="995"/>
      <c r="BN271" s="1083"/>
      <c r="BP271" s="983">
        <v>265</v>
      </c>
      <c r="BQ271" s="994"/>
      <c r="BR271" s="995"/>
      <c r="BS271" s="1083"/>
      <c r="BU271" s="983">
        <v>265</v>
      </c>
      <c r="BV271" s="994"/>
      <c r="BW271" s="995"/>
      <c r="BX271" s="1083"/>
      <c r="BZ271" s="983">
        <v>265</v>
      </c>
      <c r="CA271" s="994"/>
      <c r="CB271" s="995"/>
      <c r="CC271" s="1083"/>
      <c r="DF271" s="43" t="b">
        <f t="shared" si="116"/>
        <v>0</v>
      </c>
      <c r="DG271" s="43" t="str">
        <f t="shared" si="117"/>
        <v/>
      </c>
      <c r="DH271" s="43" t="str">
        <f t="shared" si="118"/>
        <v/>
      </c>
      <c r="DI271" s="43" t="str">
        <f t="shared" si="119"/>
        <v/>
      </c>
      <c r="DJ271" s="43" t="str">
        <f t="shared" si="120"/>
        <v/>
      </c>
      <c r="DK271" s="43" t="e">
        <f t="shared" si="121"/>
        <v>#N/A</v>
      </c>
      <c r="DL271" s="43" t="e">
        <f t="shared" si="122"/>
        <v>#N/A</v>
      </c>
      <c r="DM271" s="43" t="e">
        <f t="shared" si="123"/>
        <v>#N/A</v>
      </c>
      <c r="DN271" s="43" t="e">
        <f t="shared" si="124"/>
        <v>#N/A</v>
      </c>
      <c r="DO271" s="43" t="e">
        <f t="shared" si="125"/>
        <v>#N/A</v>
      </c>
      <c r="DP271" s="43" t="e">
        <f t="shared" si="126"/>
        <v>#N/A</v>
      </c>
      <c r="DQ271" s="43" t="e">
        <f t="shared" si="127"/>
        <v>#N/A</v>
      </c>
      <c r="DR271" s="43" t="e">
        <f t="shared" si="128"/>
        <v>#N/A</v>
      </c>
      <c r="DS271" s="43">
        <f t="shared" si="129"/>
        <v>0</v>
      </c>
    </row>
    <row r="272" spans="1:123" ht="12" customHeight="1">
      <c r="A272" s="640">
        <v>260</v>
      </c>
      <c r="B272" s="994"/>
      <c r="C272" s="995"/>
      <c r="D272" s="329"/>
      <c r="E272" s="884"/>
      <c r="F272" s="1027" t="str">
        <f t="shared" si="130"/>
        <v/>
      </c>
      <c r="G272" s="1028" t="str">
        <f t="shared" si="131"/>
        <v/>
      </c>
      <c r="H272" s="886"/>
      <c r="I272" s="458" t="str">
        <f t="shared" si="132"/>
        <v/>
      </c>
      <c r="J272" s="886"/>
      <c r="BA272" s="983">
        <v>266</v>
      </c>
      <c r="BB272" s="994"/>
      <c r="BC272" s="995"/>
      <c r="BD272" s="1083"/>
      <c r="BF272" s="983">
        <v>266</v>
      </c>
      <c r="BG272" s="994"/>
      <c r="BH272" s="995"/>
      <c r="BI272" s="1083"/>
      <c r="BK272" s="983">
        <v>266</v>
      </c>
      <c r="BL272" s="994"/>
      <c r="BM272" s="995"/>
      <c r="BN272" s="1083"/>
      <c r="BP272" s="983">
        <v>266</v>
      </c>
      <c r="BQ272" s="994"/>
      <c r="BR272" s="995"/>
      <c r="BS272" s="1083"/>
      <c r="BU272" s="983">
        <v>266</v>
      </c>
      <c r="BV272" s="994"/>
      <c r="BW272" s="995"/>
      <c r="BX272" s="1083"/>
      <c r="BZ272" s="983">
        <v>266</v>
      </c>
      <c r="CA272" s="994"/>
      <c r="CB272" s="995"/>
      <c r="CC272" s="1083"/>
      <c r="DF272" s="43" t="b">
        <f t="shared" si="116"/>
        <v>0</v>
      </c>
      <c r="DG272" s="43" t="str">
        <f t="shared" si="117"/>
        <v/>
      </c>
      <c r="DH272" s="43" t="str">
        <f t="shared" si="118"/>
        <v/>
      </c>
      <c r="DI272" s="43" t="str">
        <f t="shared" si="119"/>
        <v/>
      </c>
      <c r="DJ272" s="43" t="str">
        <f t="shared" si="120"/>
        <v/>
      </c>
      <c r="DK272" s="43" t="e">
        <f t="shared" si="121"/>
        <v>#N/A</v>
      </c>
      <c r="DL272" s="43" t="e">
        <f t="shared" si="122"/>
        <v>#N/A</v>
      </c>
      <c r="DM272" s="43" t="e">
        <f t="shared" si="123"/>
        <v>#N/A</v>
      </c>
      <c r="DN272" s="43" t="e">
        <f t="shared" si="124"/>
        <v>#N/A</v>
      </c>
      <c r="DO272" s="43" t="e">
        <f t="shared" si="125"/>
        <v>#N/A</v>
      </c>
      <c r="DP272" s="43" t="e">
        <f t="shared" si="126"/>
        <v>#N/A</v>
      </c>
      <c r="DQ272" s="43" t="e">
        <f t="shared" si="127"/>
        <v>#N/A</v>
      </c>
      <c r="DR272" s="43" t="e">
        <f t="shared" si="128"/>
        <v>#N/A</v>
      </c>
      <c r="DS272" s="43">
        <f t="shared" si="129"/>
        <v>0</v>
      </c>
    </row>
    <row r="273" spans="1:123" ht="12" customHeight="1">
      <c r="A273" s="640">
        <v>261</v>
      </c>
      <c r="B273" s="994"/>
      <c r="C273" s="995"/>
      <c r="D273" s="329"/>
      <c r="E273" s="884"/>
      <c r="F273" s="1027" t="str">
        <f t="shared" si="130"/>
        <v/>
      </c>
      <c r="G273" s="1028" t="str">
        <f t="shared" si="131"/>
        <v/>
      </c>
      <c r="H273" s="886"/>
      <c r="I273" s="458" t="str">
        <f t="shared" si="132"/>
        <v/>
      </c>
      <c r="J273" s="886"/>
      <c r="BA273" s="983">
        <v>267</v>
      </c>
      <c r="BB273" s="994"/>
      <c r="BC273" s="995"/>
      <c r="BD273" s="1083"/>
      <c r="BF273" s="983">
        <v>267</v>
      </c>
      <c r="BG273" s="994"/>
      <c r="BH273" s="995"/>
      <c r="BI273" s="1083"/>
      <c r="BK273" s="983">
        <v>267</v>
      </c>
      <c r="BL273" s="994"/>
      <c r="BM273" s="995"/>
      <c r="BN273" s="1083"/>
      <c r="BP273" s="983">
        <v>267</v>
      </c>
      <c r="BQ273" s="994"/>
      <c r="BR273" s="995"/>
      <c r="BS273" s="1083"/>
      <c r="BU273" s="983">
        <v>267</v>
      </c>
      <c r="BV273" s="994"/>
      <c r="BW273" s="995"/>
      <c r="BX273" s="1083"/>
      <c r="BZ273" s="983">
        <v>267</v>
      </c>
      <c r="CA273" s="994"/>
      <c r="CB273" s="995"/>
      <c r="CC273" s="1083"/>
      <c r="DF273" s="43" t="b">
        <f t="shared" si="116"/>
        <v>0</v>
      </c>
      <c r="DG273" s="43" t="str">
        <f t="shared" si="117"/>
        <v/>
      </c>
      <c r="DH273" s="43" t="str">
        <f t="shared" si="118"/>
        <v/>
      </c>
      <c r="DI273" s="43" t="str">
        <f t="shared" si="119"/>
        <v/>
      </c>
      <c r="DJ273" s="43" t="str">
        <f t="shared" si="120"/>
        <v/>
      </c>
      <c r="DK273" s="43" t="e">
        <f t="shared" si="121"/>
        <v>#N/A</v>
      </c>
      <c r="DL273" s="43" t="e">
        <f t="shared" si="122"/>
        <v>#N/A</v>
      </c>
      <c r="DM273" s="43" t="e">
        <f t="shared" si="123"/>
        <v>#N/A</v>
      </c>
      <c r="DN273" s="43" t="e">
        <f t="shared" si="124"/>
        <v>#N/A</v>
      </c>
      <c r="DO273" s="43" t="e">
        <f t="shared" si="125"/>
        <v>#N/A</v>
      </c>
      <c r="DP273" s="43" t="e">
        <f t="shared" si="126"/>
        <v>#N/A</v>
      </c>
      <c r="DQ273" s="43" t="e">
        <f t="shared" si="127"/>
        <v>#N/A</v>
      </c>
      <c r="DR273" s="43" t="e">
        <f t="shared" si="128"/>
        <v>#N/A</v>
      </c>
      <c r="DS273" s="43">
        <f t="shared" si="129"/>
        <v>0</v>
      </c>
    </row>
    <row r="274" spans="1:123" ht="12" customHeight="1">
      <c r="A274" s="640">
        <v>262</v>
      </c>
      <c r="B274" s="994"/>
      <c r="C274" s="995"/>
      <c r="D274" s="329"/>
      <c r="E274" s="884"/>
      <c r="F274" s="1027" t="str">
        <f t="shared" si="130"/>
        <v/>
      </c>
      <c r="G274" s="1028" t="str">
        <f t="shared" si="131"/>
        <v/>
      </c>
      <c r="H274" s="886"/>
      <c r="I274" s="458" t="str">
        <f t="shared" si="132"/>
        <v/>
      </c>
      <c r="J274" s="886"/>
      <c r="BA274" s="983">
        <v>268</v>
      </c>
      <c r="BB274" s="994"/>
      <c r="BC274" s="995"/>
      <c r="BD274" s="1083"/>
      <c r="BF274" s="983">
        <v>268</v>
      </c>
      <c r="BG274" s="994"/>
      <c r="BH274" s="995"/>
      <c r="BI274" s="1083"/>
      <c r="BK274" s="983">
        <v>268</v>
      </c>
      <c r="BL274" s="994"/>
      <c r="BM274" s="995"/>
      <c r="BN274" s="1083"/>
      <c r="BP274" s="983">
        <v>268</v>
      </c>
      <c r="BQ274" s="994"/>
      <c r="BR274" s="995"/>
      <c r="BS274" s="1083"/>
      <c r="BU274" s="983">
        <v>268</v>
      </c>
      <c r="BV274" s="994"/>
      <c r="BW274" s="995"/>
      <c r="BX274" s="1083"/>
      <c r="BZ274" s="983">
        <v>268</v>
      </c>
      <c r="CA274" s="994"/>
      <c r="CB274" s="995"/>
      <c r="CC274" s="1083"/>
      <c r="DF274" s="43" t="b">
        <f t="shared" si="116"/>
        <v>0</v>
      </c>
      <c r="DG274" s="43" t="str">
        <f t="shared" si="117"/>
        <v/>
      </c>
      <c r="DH274" s="43" t="str">
        <f t="shared" si="118"/>
        <v/>
      </c>
      <c r="DI274" s="43" t="str">
        <f t="shared" si="119"/>
        <v/>
      </c>
      <c r="DJ274" s="43" t="str">
        <f t="shared" si="120"/>
        <v/>
      </c>
      <c r="DK274" s="43" t="e">
        <f t="shared" si="121"/>
        <v>#N/A</v>
      </c>
      <c r="DL274" s="43" t="e">
        <f t="shared" si="122"/>
        <v>#N/A</v>
      </c>
      <c r="DM274" s="43" t="e">
        <f t="shared" si="123"/>
        <v>#N/A</v>
      </c>
      <c r="DN274" s="43" t="e">
        <f t="shared" si="124"/>
        <v>#N/A</v>
      </c>
      <c r="DO274" s="43" t="e">
        <f t="shared" si="125"/>
        <v>#N/A</v>
      </c>
      <c r="DP274" s="43" t="e">
        <f t="shared" si="126"/>
        <v>#N/A</v>
      </c>
      <c r="DQ274" s="43" t="e">
        <f t="shared" si="127"/>
        <v>#N/A</v>
      </c>
      <c r="DR274" s="43" t="e">
        <f t="shared" si="128"/>
        <v>#N/A</v>
      </c>
      <c r="DS274" s="43">
        <f t="shared" si="129"/>
        <v>0</v>
      </c>
    </row>
    <row r="275" spans="1:123" ht="12" customHeight="1">
      <c r="A275" s="640">
        <v>263</v>
      </c>
      <c r="B275" s="994"/>
      <c r="C275" s="995"/>
      <c r="D275" s="329"/>
      <c r="E275" s="884"/>
      <c r="F275" s="1027" t="str">
        <f t="shared" si="130"/>
        <v/>
      </c>
      <c r="G275" s="1028" t="str">
        <f t="shared" si="131"/>
        <v/>
      </c>
      <c r="H275" s="886"/>
      <c r="I275" s="458" t="str">
        <f t="shared" si="132"/>
        <v/>
      </c>
      <c r="J275" s="886"/>
      <c r="BA275" s="983">
        <v>269</v>
      </c>
      <c r="BB275" s="994"/>
      <c r="BC275" s="995"/>
      <c r="BD275" s="1083"/>
      <c r="BF275" s="983">
        <v>269</v>
      </c>
      <c r="BG275" s="994"/>
      <c r="BH275" s="995"/>
      <c r="BI275" s="1083"/>
      <c r="BK275" s="983">
        <v>269</v>
      </c>
      <c r="BL275" s="994"/>
      <c r="BM275" s="995"/>
      <c r="BN275" s="1083"/>
      <c r="BP275" s="983">
        <v>269</v>
      </c>
      <c r="BQ275" s="994"/>
      <c r="BR275" s="995"/>
      <c r="BS275" s="1083"/>
      <c r="BU275" s="983">
        <v>269</v>
      </c>
      <c r="BV275" s="994"/>
      <c r="BW275" s="995"/>
      <c r="BX275" s="1083"/>
      <c r="BZ275" s="983">
        <v>269</v>
      </c>
      <c r="CA275" s="994"/>
      <c r="CB275" s="995"/>
      <c r="CC275" s="1083"/>
      <c r="DF275" s="43" t="b">
        <f t="shared" si="116"/>
        <v>0</v>
      </c>
      <c r="DG275" s="43" t="str">
        <f t="shared" si="117"/>
        <v/>
      </c>
      <c r="DH275" s="43" t="str">
        <f t="shared" si="118"/>
        <v/>
      </c>
      <c r="DI275" s="43" t="str">
        <f t="shared" si="119"/>
        <v/>
      </c>
      <c r="DJ275" s="43" t="str">
        <f t="shared" si="120"/>
        <v/>
      </c>
      <c r="DK275" s="43" t="e">
        <f t="shared" si="121"/>
        <v>#N/A</v>
      </c>
      <c r="DL275" s="43" t="e">
        <f t="shared" si="122"/>
        <v>#N/A</v>
      </c>
      <c r="DM275" s="43" t="e">
        <f t="shared" si="123"/>
        <v>#N/A</v>
      </c>
      <c r="DN275" s="43" t="e">
        <f t="shared" si="124"/>
        <v>#N/A</v>
      </c>
      <c r="DO275" s="43" t="e">
        <f t="shared" si="125"/>
        <v>#N/A</v>
      </c>
      <c r="DP275" s="43" t="e">
        <f t="shared" si="126"/>
        <v>#N/A</v>
      </c>
      <c r="DQ275" s="43" t="e">
        <f t="shared" si="127"/>
        <v>#N/A</v>
      </c>
      <c r="DR275" s="43" t="e">
        <f t="shared" si="128"/>
        <v>#N/A</v>
      </c>
      <c r="DS275" s="43">
        <f t="shared" si="129"/>
        <v>0</v>
      </c>
    </row>
    <row r="276" spans="1:123" ht="12" customHeight="1">
      <c r="A276" s="640">
        <v>264</v>
      </c>
      <c r="B276" s="994"/>
      <c r="C276" s="995"/>
      <c r="D276" s="329"/>
      <c r="E276" s="884"/>
      <c r="F276" s="1027" t="str">
        <f t="shared" si="130"/>
        <v/>
      </c>
      <c r="G276" s="1028" t="str">
        <f t="shared" si="131"/>
        <v/>
      </c>
      <c r="H276" s="886"/>
      <c r="I276" s="458" t="str">
        <f t="shared" si="132"/>
        <v/>
      </c>
      <c r="J276" s="886"/>
      <c r="BA276" s="983">
        <v>270</v>
      </c>
      <c r="BB276" s="994"/>
      <c r="BC276" s="995"/>
      <c r="BD276" s="1083"/>
      <c r="BF276" s="983">
        <v>270</v>
      </c>
      <c r="BG276" s="994"/>
      <c r="BH276" s="995"/>
      <c r="BI276" s="1083"/>
      <c r="BK276" s="983">
        <v>270</v>
      </c>
      <c r="BL276" s="994"/>
      <c r="BM276" s="995"/>
      <c r="BN276" s="1083"/>
      <c r="BP276" s="983">
        <v>270</v>
      </c>
      <c r="BQ276" s="994"/>
      <c r="BR276" s="995"/>
      <c r="BS276" s="1083"/>
      <c r="BU276" s="983">
        <v>270</v>
      </c>
      <c r="BV276" s="994"/>
      <c r="BW276" s="995"/>
      <c r="BX276" s="1083"/>
      <c r="BZ276" s="983">
        <v>270</v>
      </c>
      <c r="CA276" s="994"/>
      <c r="CB276" s="995"/>
      <c r="CC276" s="1083"/>
      <c r="DF276" s="43" t="b">
        <f t="shared" si="116"/>
        <v>0</v>
      </c>
      <c r="DG276" s="43" t="str">
        <f t="shared" si="117"/>
        <v/>
      </c>
      <c r="DH276" s="43" t="str">
        <f t="shared" si="118"/>
        <v/>
      </c>
      <c r="DI276" s="43" t="str">
        <f t="shared" si="119"/>
        <v/>
      </c>
      <c r="DJ276" s="43" t="str">
        <f t="shared" si="120"/>
        <v/>
      </c>
      <c r="DK276" s="43" t="e">
        <f t="shared" si="121"/>
        <v>#N/A</v>
      </c>
      <c r="DL276" s="43" t="e">
        <f t="shared" si="122"/>
        <v>#N/A</v>
      </c>
      <c r="DM276" s="43" t="e">
        <f t="shared" si="123"/>
        <v>#N/A</v>
      </c>
      <c r="DN276" s="43" t="e">
        <f t="shared" si="124"/>
        <v>#N/A</v>
      </c>
      <c r="DO276" s="43" t="e">
        <f t="shared" si="125"/>
        <v>#N/A</v>
      </c>
      <c r="DP276" s="43" t="e">
        <f t="shared" si="126"/>
        <v>#N/A</v>
      </c>
      <c r="DQ276" s="43" t="e">
        <f t="shared" si="127"/>
        <v>#N/A</v>
      </c>
      <c r="DR276" s="43" t="e">
        <f t="shared" si="128"/>
        <v>#N/A</v>
      </c>
      <c r="DS276" s="43">
        <f t="shared" si="129"/>
        <v>0</v>
      </c>
    </row>
    <row r="277" spans="1:123" ht="12" customHeight="1">
      <c r="A277" s="640">
        <v>265</v>
      </c>
      <c r="B277" s="994"/>
      <c r="C277" s="995"/>
      <c r="D277" s="329"/>
      <c r="E277" s="884"/>
      <c r="F277" s="1027" t="str">
        <f t="shared" si="130"/>
        <v/>
      </c>
      <c r="G277" s="1028" t="str">
        <f t="shared" si="131"/>
        <v/>
      </c>
      <c r="H277" s="886"/>
      <c r="I277" s="458" t="str">
        <f t="shared" si="132"/>
        <v/>
      </c>
      <c r="J277" s="886"/>
      <c r="BA277" s="983">
        <v>271</v>
      </c>
      <c r="BB277" s="994"/>
      <c r="BC277" s="995"/>
      <c r="BD277" s="1083"/>
      <c r="BF277" s="983">
        <v>271</v>
      </c>
      <c r="BG277" s="994"/>
      <c r="BH277" s="995"/>
      <c r="BI277" s="1083"/>
      <c r="BK277" s="983">
        <v>271</v>
      </c>
      <c r="BL277" s="994"/>
      <c r="BM277" s="995"/>
      <c r="BN277" s="1083"/>
      <c r="BP277" s="983">
        <v>271</v>
      </c>
      <c r="BQ277" s="994"/>
      <c r="BR277" s="995"/>
      <c r="BS277" s="1083"/>
      <c r="BU277" s="983">
        <v>271</v>
      </c>
      <c r="BV277" s="994"/>
      <c r="BW277" s="995"/>
      <c r="BX277" s="1083"/>
      <c r="BZ277" s="983">
        <v>271</v>
      </c>
      <c r="CA277" s="994"/>
      <c r="CB277" s="995"/>
      <c r="CC277" s="1083"/>
      <c r="DF277" s="43" t="b">
        <f t="shared" si="116"/>
        <v>0</v>
      </c>
      <c r="DG277" s="43" t="str">
        <f t="shared" si="117"/>
        <v/>
      </c>
      <c r="DH277" s="43" t="str">
        <f t="shared" si="118"/>
        <v/>
      </c>
      <c r="DI277" s="43" t="str">
        <f t="shared" si="119"/>
        <v/>
      </c>
      <c r="DJ277" s="43" t="str">
        <f t="shared" si="120"/>
        <v/>
      </c>
      <c r="DK277" s="43" t="e">
        <f t="shared" si="121"/>
        <v>#N/A</v>
      </c>
      <c r="DL277" s="43" t="e">
        <f t="shared" si="122"/>
        <v>#N/A</v>
      </c>
      <c r="DM277" s="43" t="e">
        <f t="shared" si="123"/>
        <v>#N/A</v>
      </c>
      <c r="DN277" s="43" t="e">
        <f t="shared" si="124"/>
        <v>#N/A</v>
      </c>
      <c r="DO277" s="43" t="e">
        <f t="shared" si="125"/>
        <v>#N/A</v>
      </c>
      <c r="DP277" s="43" t="e">
        <f t="shared" si="126"/>
        <v>#N/A</v>
      </c>
      <c r="DQ277" s="43" t="e">
        <f t="shared" si="127"/>
        <v>#N/A</v>
      </c>
      <c r="DR277" s="43" t="e">
        <f t="shared" si="128"/>
        <v>#N/A</v>
      </c>
      <c r="DS277" s="43">
        <f t="shared" si="129"/>
        <v>0</v>
      </c>
    </row>
    <row r="278" spans="1:123" ht="12" customHeight="1">
      <c r="A278" s="640">
        <v>266</v>
      </c>
      <c r="B278" s="994"/>
      <c r="C278" s="995"/>
      <c r="D278" s="329"/>
      <c r="E278" s="884"/>
      <c r="F278" s="1027" t="str">
        <f t="shared" si="130"/>
        <v/>
      </c>
      <c r="G278" s="1028" t="str">
        <f t="shared" si="131"/>
        <v/>
      </c>
      <c r="H278" s="886"/>
      <c r="I278" s="458" t="str">
        <f t="shared" si="132"/>
        <v/>
      </c>
      <c r="J278" s="886"/>
      <c r="BA278" s="983">
        <v>272</v>
      </c>
      <c r="BB278" s="994"/>
      <c r="BC278" s="995"/>
      <c r="BD278" s="1083"/>
      <c r="BF278" s="983">
        <v>272</v>
      </c>
      <c r="BG278" s="994"/>
      <c r="BH278" s="995"/>
      <c r="BI278" s="1083"/>
      <c r="BK278" s="983">
        <v>272</v>
      </c>
      <c r="BL278" s="994"/>
      <c r="BM278" s="995"/>
      <c r="BN278" s="1083"/>
      <c r="BP278" s="983">
        <v>272</v>
      </c>
      <c r="BQ278" s="994"/>
      <c r="BR278" s="995"/>
      <c r="BS278" s="1083"/>
      <c r="BU278" s="983">
        <v>272</v>
      </c>
      <c r="BV278" s="994"/>
      <c r="BW278" s="995"/>
      <c r="BX278" s="1083"/>
      <c r="BZ278" s="983">
        <v>272</v>
      </c>
      <c r="CA278" s="994"/>
      <c r="CB278" s="995"/>
      <c r="CC278" s="1083"/>
      <c r="DF278" s="43" t="b">
        <f t="shared" si="116"/>
        <v>0</v>
      </c>
      <c r="DG278" s="43" t="str">
        <f t="shared" si="117"/>
        <v/>
      </c>
      <c r="DH278" s="43" t="str">
        <f t="shared" si="118"/>
        <v/>
      </c>
      <c r="DI278" s="43" t="str">
        <f t="shared" si="119"/>
        <v/>
      </c>
      <c r="DJ278" s="43" t="str">
        <f t="shared" si="120"/>
        <v/>
      </c>
      <c r="DK278" s="43" t="e">
        <f t="shared" si="121"/>
        <v>#N/A</v>
      </c>
      <c r="DL278" s="43" t="e">
        <f t="shared" si="122"/>
        <v>#N/A</v>
      </c>
      <c r="DM278" s="43" t="e">
        <f t="shared" si="123"/>
        <v>#N/A</v>
      </c>
      <c r="DN278" s="43" t="e">
        <f t="shared" si="124"/>
        <v>#N/A</v>
      </c>
      <c r="DO278" s="43" t="e">
        <f t="shared" si="125"/>
        <v>#N/A</v>
      </c>
      <c r="DP278" s="43" t="e">
        <f t="shared" si="126"/>
        <v>#N/A</v>
      </c>
      <c r="DQ278" s="43" t="e">
        <f t="shared" si="127"/>
        <v>#N/A</v>
      </c>
      <c r="DR278" s="43" t="e">
        <f t="shared" si="128"/>
        <v>#N/A</v>
      </c>
      <c r="DS278" s="43">
        <f t="shared" si="129"/>
        <v>0</v>
      </c>
    </row>
    <row r="279" spans="1:123" ht="12" customHeight="1">
      <c r="A279" s="640">
        <v>267</v>
      </c>
      <c r="B279" s="994"/>
      <c r="C279" s="995"/>
      <c r="D279" s="329"/>
      <c r="E279" s="884"/>
      <c r="F279" s="1027" t="str">
        <f t="shared" si="130"/>
        <v/>
      </c>
      <c r="G279" s="1028" t="str">
        <f t="shared" si="131"/>
        <v/>
      </c>
      <c r="H279" s="886"/>
      <c r="I279" s="458" t="str">
        <f t="shared" si="132"/>
        <v/>
      </c>
      <c r="J279" s="886"/>
      <c r="BA279" s="983">
        <v>273</v>
      </c>
      <c r="BB279" s="994"/>
      <c r="BC279" s="995"/>
      <c r="BD279" s="1083"/>
      <c r="BF279" s="983">
        <v>273</v>
      </c>
      <c r="BG279" s="994"/>
      <c r="BH279" s="995"/>
      <c r="BI279" s="1083"/>
      <c r="BK279" s="983">
        <v>273</v>
      </c>
      <c r="BL279" s="994"/>
      <c r="BM279" s="995"/>
      <c r="BN279" s="1083"/>
      <c r="BP279" s="983">
        <v>273</v>
      </c>
      <c r="BQ279" s="994"/>
      <c r="BR279" s="995"/>
      <c r="BS279" s="1083"/>
      <c r="BU279" s="983">
        <v>273</v>
      </c>
      <c r="BV279" s="994"/>
      <c r="BW279" s="995"/>
      <c r="BX279" s="1083"/>
      <c r="BZ279" s="983">
        <v>273</v>
      </c>
      <c r="CA279" s="994"/>
      <c r="CB279" s="995"/>
      <c r="CC279" s="1083"/>
      <c r="DF279" s="43" t="b">
        <f t="shared" si="116"/>
        <v>0</v>
      </c>
      <c r="DG279" s="43" t="str">
        <f t="shared" si="117"/>
        <v/>
      </c>
      <c r="DH279" s="43" t="str">
        <f t="shared" si="118"/>
        <v/>
      </c>
      <c r="DI279" s="43" t="str">
        <f t="shared" si="119"/>
        <v/>
      </c>
      <c r="DJ279" s="43" t="str">
        <f t="shared" si="120"/>
        <v/>
      </c>
      <c r="DK279" s="43" t="e">
        <f t="shared" si="121"/>
        <v>#N/A</v>
      </c>
      <c r="DL279" s="43" t="e">
        <f t="shared" si="122"/>
        <v>#N/A</v>
      </c>
      <c r="DM279" s="43" t="e">
        <f t="shared" si="123"/>
        <v>#N/A</v>
      </c>
      <c r="DN279" s="43" t="e">
        <f t="shared" si="124"/>
        <v>#N/A</v>
      </c>
      <c r="DO279" s="43" t="e">
        <f t="shared" si="125"/>
        <v>#N/A</v>
      </c>
      <c r="DP279" s="43" t="e">
        <f t="shared" si="126"/>
        <v>#N/A</v>
      </c>
      <c r="DQ279" s="43" t="e">
        <f t="shared" si="127"/>
        <v>#N/A</v>
      </c>
      <c r="DR279" s="43" t="e">
        <f t="shared" si="128"/>
        <v>#N/A</v>
      </c>
      <c r="DS279" s="43">
        <f t="shared" si="129"/>
        <v>0</v>
      </c>
    </row>
    <row r="280" spans="1:123" ht="12" customHeight="1">
      <c r="A280" s="640">
        <v>268</v>
      </c>
      <c r="B280" s="994"/>
      <c r="C280" s="995"/>
      <c r="D280" s="329"/>
      <c r="E280" s="884"/>
      <c r="F280" s="1027" t="str">
        <f t="shared" si="130"/>
        <v/>
      </c>
      <c r="G280" s="1028" t="str">
        <f t="shared" si="131"/>
        <v/>
      </c>
      <c r="H280" s="886"/>
      <c r="I280" s="458" t="str">
        <f t="shared" si="132"/>
        <v/>
      </c>
      <c r="J280" s="886"/>
      <c r="BA280" s="983">
        <v>274</v>
      </c>
      <c r="BB280" s="994"/>
      <c r="BC280" s="995"/>
      <c r="BD280" s="1083"/>
      <c r="BF280" s="983">
        <v>274</v>
      </c>
      <c r="BG280" s="994"/>
      <c r="BH280" s="995"/>
      <c r="BI280" s="1083"/>
      <c r="BK280" s="983">
        <v>274</v>
      </c>
      <c r="BL280" s="994"/>
      <c r="BM280" s="995"/>
      <c r="BN280" s="1083"/>
      <c r="BP280" s="983">
        <v>274</v>
      </c>
      <c r="BQ280" s="994"/>
      <c r="BR280" s="995"/>
      <c r="BS280" s="1083"/>
      <c r="BU280" s="983">
        <v>274</v>
      </c>
      <c r="BV280" s="994"/>
      <c r="BW280" s="995"/>
      <c r="BX280" s="1083"/>
      <c r="BZ280" s="983">
        <v>274</v>
      </c>
      <c r="CA280" s="994"/>
      <c r="CB280" s="995"/>
      <c r="CC280" s="1083"/>
      <c r="DF280" s="43" t="b">
        <f t="shared" si="116"/>
        <v>0</v>
      </c>
      <c r="DG280" s="43" t="str">
        <f t="shared" si="117"/>
        <v/>
      </c>
      <c r="DH280" s="43" t="str">
        <f t="shared" si="118"/>
        <v/>
      </c>
      <c r="DI280" s="43" t="str">
        <f t="shared" si="119"/>
        <v/>
      </c>
      <c r="DJ280" s="43" t="str">
        <f t="shared" si="120"/>
        <v/>
      </c>
      <c r="DK280" s="43" t="e">
        <f t="shared" si="121"/>
        <v>#N/A</v>
      </c>
      <c r="DL280" s="43" t="e">
        <f t="shared" si="122"/>
        <v>#N/A</v>
      </c>
      <c r="DM280" s="43" t="e">
        <f t="shared" si="123"/>
        <v>#N/A</v>
      </c>
      <c r="DN280" s="43" t="e">
        <f t="shared" si="124"/>
        <v>#N/A</v>
      </c>
      <c r="DO280" s="43" t="e">
        <f t="shared" si="125"/>
        <v>#N/A</v>
      </c>
      <c r="DP280" s="43" t="e">
        <f t="shared" si="126"/>
        <v>#N/A</v>
      </c>
      <c r="DQ280" s="43" t="e">
        <f t="shared" si="127"/>
        <v>#N/A</v>
      </c>
      <c r="DR280" s="43" t="e">
        <f t="shared" si="128"/>
        <v>#N/A</v>
      </c>
      <c r="DS280" s="43">
        <f t="shared" si="129"/>
        <v>0</v>
      </c>
    </row>
    <row r="281" spans="1:123" ht="12" customHeight="1">
      <c r="A281" s="640">
        <v>269</v>
      </c>
      <c r="B281" s="994"/>
      <c r="C281" s="995"/>
      <c r="D281" s="329"/>
      <c r="E281" s="884"/>
      <c r="F281" s="1027" t="str">
        <f t="shared" si="130"/>
        <v/>
      </c>
      <c r="G281" s="1028" t="str">
        <f t="shared" si="131"/>
        <v/>
      </c>
      <c r="H281" s="886"/>
      <c r="I281" s="458" t="str">
        <f t="shared" si="132"/>
        <v/>
      </c>
      <c r="J281" s="886"/>
      <c r="BA281" s="983">
        <v>275</v>
      </c>
      <c r="BB281" s="994"/>
      <c r="BC281" s="995"/>
      <c r="BD281" s="1083"/>
      <c r="BF281" s="983">
        <v>275</v>
      </c>
      <c r="BG281" s="994"/>
      <c r="BH281" s="995"/>
      <c r="BI281" s="1083"/>
      <c r="BK281" s="983">
        <v>275</v>
      </c>
      <c r="BL281" s="994"/>
      <c r="BM281" s="995"/>
      <c r="BN281" s="1083"/>
      <c r="BP281" s="983">
        <v>275</v>
      </c>
      <c r="BQ281" s="994"/>
      <c r="BR281" s="995"/>
      <c r="BS281" s="1083"/>
      <c r="BU281" s="983">
        <v>275</v>
      </c>
      <c r="BV281" s="994"/>
      <c r="BW281" s="995"/>
      <c r="BX281" s="1083"/>
      <c r="BZ281" s="983">
        <v>275</v>
      </c>
      <c r="CA281" s="994"/>
      <c r="CB281" s="995"/>
      <c r="CC281" s="1083"/>
      <c r="DF281" s="43" t="b">
        <f t="shared" si="116"/>
        <v>0</v>
      </c>
      <c r="DG281" s="43" t="str">
        <f t="shared" si="117"/>
        <v/>
      </c>
      <c r="DH281" s="43" t="str">
        <f t="shared" si="118"/>
        <v/>
      </c>
      <c r="DI281" s="43" t="str">
        <f t="shared" si="119"/>
        <v/>
      </c>
      <c r="DJ281" s="43" t="str">
        <f t="shared" si="120"/>
        <v/>
      </c>
      <c r="DK281" s="43" t="e">
        <f t="shared" si="121"/>
        <v>#N/A</v>
      </c>
      <c r="DL281" s="43" t="e">
        <f t="shared" si="122"/>
        <v>#N/A</v>
      </c>
      <c r="DM281" s="43" t="e">
        <f t="shared" si="123"/>
        <v>#N/A</v>
      </c>
      <c r="DN281" s="43" t="e">
        <f t="shared" si="124"/>
        <v>#N/A</v>
      </c>
      <c r="DO281" s="43" t="e">
        <f t="shared" si="125"/>
        <v>#N/A</v>
      </c>
      <c r="DP281" s="43" t="e">
        <f t="shared" si="126"/>
        <v>#N/A</v>
      </c>
      <c r="DQ281" s="43" t="e">
        <f t="shared" si="127"/>
        <v>#N/A</v>
      </c>
      <c r="DR281" s="43" t="e">
        <f t="shared" si="128"/>
        <v>#N/A</v>
      </c>
      <c r="DS281" s="43">
        <f t="shared" si="129"/>
        <v>0</v>
      </c>
    </row>
    <row r="282" spans="1:123" ht="12" customHeight="1">
      <c r="A282" s="640">
        <v>270</v>
      </c>
      <c r="B282" s="994"/>
      <c r="C282" s="995"/>
      <c r="D282" s="329"/>
      <c r="E282" s="884"/>
      <c r="F282" s="1027" t="str">
        <f t="shared" si="130"/>
        <v/>
      </c>
      <c r="G282" s="1028" t="str">
        <f t="shared" si="131"/>
        <v/>
      </c>
      <c r="H282" s="886"/>
      <c r="I282" s="458" t="str">
        <f t="shared" si="132"/>
        <v/>
      </c>
      <c r="J282" s="886"/>
      <c r="BA282" s="983">
        <v>276</v>
      </c>
      <c r="BB282" s="994"/>
      <c r="BC282" s="995"/>
      <c r="BD282" s="1083"/>
      <c r="BF282" s="983">
        <v>276</v>
      </c>
      <c r="BG282" s="994"/>
      <c r="BH282" s="995"/>
      <c r="BI282" s="1083"/>
      <c r="BK282" s="983">
        <v>276</v>
      </c>
      <c r="BL282" s="994"/>
      <c r="BM282" s="995"/>
      <c r="BN282" s="1083"/>
      <c r="BP282" s="983">
        <v>276</v>
      </c>
      <c r="BQ282" s="994"/>
      <c r="BR282" s="995"/>
      <c r="BS282" s="1083"/>
      <c r="BU282" s="983">
        <v>276</v>
      </c>
      <c r="BV282" s="994"/>
      <c r="BW282" s="995"/>
      <c r="BX282" s="1083"/>
      <c r="BZ282" s="983">
        <v>276</v>
      </c>
      <c r="CA282" s="994"/>
      <c r="CB282" s="995"/>
      <c r="CC282" s="1083"/>
      <c r="DF282" s="43" t="b">
        <f t="shared" si="116"/>
        <v>0</v>
      </c>
      <c r="DG282" s="43" t="str">
        <f t="shared" si="117"/>
        <v/>
      </c>
      <c r="DH282" s="43" t="str">
        <f t="shared" si="118"/>
        <v/>
      </c>
      <c r="DI282" s="43" t="str">
        <f t="shared" si="119"/>
        <v/>
      </c>
      <c r="DJ282" s="43" t="str">
        <f t="shared" si="120"/>
        <v/>
      </c>
      <c r="DK282" s="43" t="e">
        <f t="shared" si="121"/>
        <v>#N/A</v>
      </c>
      <c r="DL282" s="43" t="e">
        <f t="shared" si="122"/>
        <v>#N/A</v>
      </c>
      <c r="DM282" s="43" t="e">
        <f t="shared" si="123"/>
        <v>#N/A</v>
      </c>
      <c r="DN282" s="43" t="e">
        <f t="shared" si="124"/>
        <v>#N/A</v>
      </c>
      <c r="DO282" s="43" t="e">
        <f t="shared" si="125"/>
        <v>#N/A</v>
      </c>
      <c r="DP282" s="43" t="e">
        <f t="shared" si="126"/>
        <v>#N/A</v>
      </c>
      <c r="DQ282" s="43" t="e">
        <f t="shared" si="127"/>
        <v>#N/A</v>
      </c>
      <c r="DR282" s="43" t="e">
        <f t="shared" si="128"/>
        <v>#N/A</v>
      </c>
      <c r="DS282" s="43">
        <f t="shared" si="129"/>
        <v>0</v>
      </c>
    </row>
    <row r="283" spans="1:123" ht="12" customHeight="1">
      <c r="A283" s="640">
        <v>271</v>
      </c>
      <c r="B283" s="994"/>
      <c r="C283" s="995"/>
      <c r="D283" s="329"/>
      <c r="E283" s="884"/>
      <c r="F283" s="1027" t="str">
        <f t="shared" si="130"/>
        <v/>
      </c>
      <c r="G283" s="1028" t="str">
        <f t="shared" si="131"/>
        <v/>
      </c>
      <c r="H283" s="886"/>
      <c r="I283" s="458" t="str">
        <f t="shared" si="132"/>
        <v/>
      </c>
      <c r="J283" s="886"/>
      <c r="BA283" s="983">
        <v>277</v>
      </c>
      <c r="BB283" s="994"/>
      <c r="BC283" s="995"/>
      <c r="BD283" s="1083"/>
      <c r="BF283" s="983">
        <v>277</v>
      </c>
      <c r="BG283" s="994"/>
      <c r="BH283" s="995"/>
      <c r="BI283" s="1083"/>
      <c r="BK283" s="983">
        <v>277</v>
      </c>
      <c r="BL283" s="994"/>
      <c r="BM283" s="995"/>
      <c r="BN283" s="1083"/>
      <c r="BP283" s="983">
        <v>277</v>
      </c>
      <c r="BQ283" s="994"/>
      <c r="BR283" s="995"/>
      <c r="BS283" s="1083"/>
      <c r="BU283" s="983">
        <v>277</v>
      </c>
      <c r="BV283" s="994"/>
      <c r="BW283" s="995"/>
      <c r="BX283" s="1083"/>
      <c r="BZ283" s="983">
        <v>277</v>
      </c>
      <c r="CA283" s="994"/>
      <c r="CB283" s="995"/>
      <c r="CC283" s="1083"/>
      <c r="DF283" s="43" t="b">
        <f t="shared" si="116"/>
        <v>0</v>
      </c>
      <c r="DG283" s="43" t="str">
        <f t="shared" si="117"/>
        <v/>
      </c>
      <c r="DH283" s="43" t="str">
        <f t="shared" si="118"/>
        <v/>
      </c>
      <c r="DI283" s="43" t="str">
        <f t="shared" si="119"/>
        <v/>
      </c>
      <c r="DJ283" s="43" t="str">
        <f t="shared" si="120"/>
        <v/>
      </c>
      <c r="DK283" s="43" t="e">
        <f t="shared" si="121"/>
        <v>#N/A</v>
      </c>
      <c r="DL283" s="43" t="e">
        <f t="shared" si="122"/>
        <v>#N/A</v>
      </c>
      <c r="DM283" s="43" t="e">
        <f t="shared" si="123"/>
        <v>#N/A</v>
      </c>
      <c r="DN283" s="43" t="e">
        <f t="shared" si="124"/>
        <v>#N/A</v>
      </c>
      <c r="DO283" s="43" t="e">
        <f t="shared" si="125"/>
        <v>#N/A</v>
      </c>
      <c r="DP283" s="43" t="e">
        <f t="shared" si="126"/>
        <v>#N/A</v>
      </c>
      <c r="DQ283" s="43" t="e">
        <f t="shared" si="127"/>
        <v>#N/A</v>
      </c>
      <c r="DR283" s="43" t="e">
        <f t="shared" si="128"/>
        <v>#N/A</v>
      </c>
      <c r="DS283" s="43">
        <f t="shared" si="129"/>
        <v>0</v>
      </c>
    </row>
    <row r="284" spans="1:123" ht="12" customHeight="1">
      <c r="A284" s="640">
        <v>272</v>
      </c>
      <c r="B284" s="994"/>
      <c r="C284" s="995"/>
      <c r="D284" s="329"/>
      <c r="E284" s="884"/>
      <c r="F284" s="1027" t="str">
        <f t="shared" si="130"/>
        <v/>
      </c>
      <c r="G284" s="1028" t="str">
        <f t="shared" si="131"/>
        <v/>
      </c>
      <c r="H284" s="886"/>
      <c r="I284" s="458" t="str">
        <f t="shared" si="132"/>
        <v/>
      </c>
      <c r="J284" s="886"/>
      <c r="BA284" s="983">
        <v>278</v>
      </c>
      <c r="BB284" s="994"/>
      <c r="BC284" s="995"/>
      <c r="BD284" s="1083"/>
      <c r="BF284" s="983">
        <v>278</v>
      </c>
      <c r="BG284" s="994"/>
      <c r="BH284" s="995"/>
      <c r="BI284" s="1083"/>
      <c r="BK284" s="983">
        <v>278</v>
      </c>
      <c r="BL284" s="994"/>
      <c r="BM284" s="995"/>
      <c r="BN284" s="1083"/>
      <c r="BP284" s="983">
        <v>278</v>
      </c>
      <c r="BQ284" s="994"/>
      <c r="BR284" s="995"/>
      <c r="BS284" s="1083"/>
      <c r="BU284" s="983">
        <v>278</v>
      </c>
      <c r="BV284" s="994"/>
      <c r="BW284" s="995"/>
      <c r="BX284" s="1083"/>
      <c r="BZ284" s="983">
        <v>278</v>
      </c>
      <c r="CA284" s="994"/>
      <c r="CB284" s="995"/>
      <c r="CC284" s="1083"/>
      <c r="DF284" s="43" t="b">
        <f t="shared" si="116"/>
        <v>0</v>
      </c>
      <c r="DG284" s="43" t="str">
        <f t="shared" si="117"/>
        <v/>
      </c>
      <c r="DH284" s="43" t="str">
        <f t="shared" si="118"/>
        <v/>
      </c>
      <c r="DI284" s="43" t="str">
        <f t="shared" si="119"/>
        <v/>
      </c>
      <c r="DJ284" s="43" t="str">
        <f t="shared" si="120"/>
        <v/>
      </c>
      <c r="DK284" s="43" t="e">
        <f t="shared" si="121"/>
        <v>#N/A</v>
      </c>
      <c r="DL284" s="43" t="e">
        <f t="shared" si="122"/>
        <v>#N/A</v>
      </c>
      <c r="DM284" s="43" t="e">
        <f t="shared" si="123"/>
        <v>#N/A</v>
      </c>
      <c r="DN284" s="43" t="e">
        <f t="shared" si="124"/>
        <v>#N/A</v>
      </c>
      <c r="DO284" s="43" t="e">
        <f t="shared" si="125"/>
        <v>#N/A</v>
      </c>
      <c r="DP284" s="43" t="e">
        <f t="shared" si="126"/>
        <v>#N/A</v>
      </c>
      <c r="DQ284" s="43" t="e">
        <f t="shared" si="127"/>
        <v>#N/A</v>
      </c>
      <c r="DR284" s="43" t="e">
        <f t="shared" si="128"/>
        <v>#N/A</v>
      </c>
      <c r="DS284" s="43">
        <f t="shared" si="129"/>
        <v>0</v>
      </c>
    </row>
    <row r="285" spans="1:123" ht="12" customHeight="1">
      <c r="A285" s="640">
        <v>273</v>
      </c>
      <c r="B285" s="994"/>
      <c r="C285" s="995"/>
      <c r="D285" s="329"/>
      <c r="E285" s="884"/>
      <c r="F285" s="1027" t="str">
        <f t="shared" si="130"/>
        <v/>
      </c>
      <c r="G285" s="1028" t="str">
        <f t="shared" si="131"/>
        <v/>
      </c>
      <c r="H285" s="886"/>
      <c r="I285" s="458" t="str">
        <f t="shared" si="132"/>
        <v/>
      </c>
      <c r="J285" s="886"/>
      <c r="BA285" s="983">
        <v>279</v>
      </c>
      <c r="BB285" s="994"/>
      <c r="BC285" s="995"/>
      <c r="BD285" s="1083"/>
      <c r="BF285" s="983">
        <v>279</v>
      </c>
      <c r="BG285" s="994"/>
      <c r="BH285" s="995"/>
      <c r="BI285" s="1083"/>
      <c r="BK285" s="983">
        <v>279</v>
      </c>
      <c r="BL285" s="994"/>
      <c r="BM285" s="995"/>
      <c r="BN285" s="1083"/>
      <c r="BP285" s="983">
        <v>279</v>
      </c>
      <c r="BQ285" s="994"/>
      <c r="BR285" s="995"/>
      <c r="BS285" s="1083"/>
      <c r="BU285" s="983">
        <v>279</v>
      </c>
      <c r="BV285" s="994"/>
      <c r="BW285" s="995"/>
      <c r="BX285" s="1083"/>
      <c r="BZ285" s="983">
        <v>279</v>
      </c>
      <c r="CA285" s="994"/>
      <c r="CB285" s="995"/>
      <c r="CC285" s="1083"/>
      <c r="DF285" s="43" t="b">
        <f t="shared" si="116"/>
        <v>0</v>
      </c>
      <c r="DG285" s="43" t="str">
        <f t="shared" si="117"/>
        <v/>
      </c>
      <c r="DH285" s="43" t="str">
        <f t="shared" si="118"/>
        <v/>
      </c>
      <c r="DI285" s="43" t="str">
        <f t="shared" si="119"/>
        <v/>
      </c>
      <c r="DJ285" s="43" t="str">
        <f t="shared" si="120"/>
        <v/>
      </c>
      <c r="DK285" s="43" t="e">
        <f t="shared" si="121"/>
        <v>#N/A</v>
      </c>
      <c r="DL285" s="43" t="e">
        <f t="shared" si="122"/>
        <v>#N/A</v>
      </c>
      <c r="DM285" s="43" t="e">
        <f t="shared" si="123"/>
        <v>#N/A</v>
      </c>
      <c r="DN285" s="43" t="e">
        <f t="shared" si="124"/>
        <v>#N/A</v>
      </c>
      <c r="DO285" s="43" t="e">
        <f t="shared" si="125"/>
        <v>#N/A</v>
      </c>
      <c r="DP285" s="43" t="e">
        <f t="shared" si="126"/>
        <v>#N/A</v>
      </c>
      <c r="DQ285" s="43" t="e">
        <f t="shared" si="127"/>
        <v>#N/A</v>
      </c>
      <c r="DR285" s="43" t="e">
        <f t="shared" si="128"/>
        <v>#N/A</v>
      </c>
      <c r="DS285" s="43">
        <f t="shared" si="129"/>
        <v>0</v>
      </c>
    </row>
    <row r="286" spans="1:123" ht="12" customHeight="1">
      <c r="A286" s="640">
        <v>274</v>
      </c>
      <c r="B286" s="994"/>
      <c r="C286" s="995"/>
      <c r="D286" s="329"/>
      <c r="E286" s="884"/>
      <c r="F286" s="1027" t="str">
        <f t="shared" si="130"/>
        <v/>
      </c>
      <c r="G286" s="1028" t="str">
        <f t="shared" si="131"/>
        <v/>
      </c>
      <c r="H286" s="886"/>
      <c r="I286" s="458" t="str">
        <f t="shared" si="132"/>
        <v/>
      </c>
      <c r="J286" s="886"/>
      <c r="BA286" s="983">
        <v>280</v>
      </c>
      <c r="BB286" s="994"/>
      <c r="BC286" s="995"/>
      <c r="BD286" s="1083"/>
      <c r="BF286" s="983">
        <v>280</v>
      </c>
      <c r="BG286" s="994"/>
      <c r="BH286" s="995"/>
      <c r="BI286" s="1083"/>
      <c r="BK286" s="983">
        <v>280</v>
      </c>
      <c r="BL286" s="994"/>
      <c r="BM286" s="995"/>
      <c r="BN286" s="1083"/>
      <c r="BP286" s="983">
        <v>280</v>
      </c>
      <c r="BQ286" s="994"/>
      <c r="BR286" s="995"/>
      <c r="BS286" s="1083"/>
      <c r="BU286" s="983">
        <v>280</v>
      </c>
      <c r="BV286" s="994"/>
      <c r="BW286" s="995"/>
      <c r="BX286" s="1083"/>
      <c r="BZ286" s="983">
        <v>280</v>
      </c>
      <c r="CA286" s="994"/>
      <c r="CB286" s="995"/>
      <c r="CC286" s="1083"/>
      <c r="DF286" s="43" t="b">
        <f t="shared" si="116"/>
        <v>0</v>
      </c>
      <c r="DG286" s="43" t="str">
        <f t="shared" si="117"/>
        <v/>
      </c>
      <c r="DH286" s="43" t="str">
        <f t="shared" si="118"/>
        <v/>
      </c>
      <c r="DI286" s="43" t="str">
        <f t="shared" si="119"/>
        <v/>
      </c>
      <c r="DJ286" s="43" t="str">
        <f t="shared" si="120"/>
        <v/>
      </c>
      <c r="DK286" s="43" t="e">
        <f t="shared" si="121"/>
        <v>#N/A</v>
      </c>
      <c r="DL286" s="43" t="e">
        <f t="shared" si="122"/>
        <v>#N/A</v>
      </c>
      <c r="DM286" s="43" t="e">
        <f t="shared" si="123"/>
        <v>#N/A</v>
      </c>
      <c r="DN286" s="43" t="e">
        <f t="shared" si="124"/>
        <v>#N/A</v>
      </c>
      <c r="DO286" s="43" t="e">
        <f t="shared" si="125"/>
        <v>#N/A</v>
      </c>
      <c r="DP286" s="43" t="e">
        <f t="shared" si="126"/>
        <v>#N/A</v>
      </c>
      <c r="DQ286" s="43" t="e">
        <f t="shared" si="127"/>
        <v>#N/A</v>
      </c>
      <c r="DR286" s="43" t="e">
        <f t="shared" si="128"/>
        <v>#N/A</v>
      </c>
      <c r="DS286" s="43">
        <f t="shared" si="129"/>
        <v>0</v>
      </c>
    </row>
    <row r="287" spans="1:123" ht="12" customHeight="1">
      <c r="A287" s="640">
        <v>275</v>
      </c>
      <c r="B287" s="994"/>
      <c r="C287" s="995"/>
      <c r="D287" s="329"/>
      <c r="E287" s="884"/>
      <c r="F287" s="1027" t="str">
        <f t="shared" si="130"/>
        <v/>
      </c>
      <c r="G287" s="1028" t="str">
        <f t="shared" si="131"/>
        <v/>
      </c>
      <c r="H287" s="886"/>
      <c r="I287" s="458" t="str">
        <f t="shared" si="132"/>
        <v/>
      </c>
      <c r="J287" s="886"/>
      <c r="BA287" s="983">
        <v>281</v>
      </c>
      <c r="BB287" s="994"/>
      <c r="BC287" s="995"/>
      <c r="BD287" s="1083"/>
      <c r="BF287" s="983">
        <v>281</v>
      </c>
      <c r="BG287" s="994"/>
      <c r="BH287" s="995"/>
      <c r="BI287" s="1083"/>
      <c r="BK287" s="983">
        <v>281</v>
      </c>
      <c r="BL287" s="994"/>
      <c r="BM287" s="995"/>
      <c r="BN287" s="1083"/>
      <c r="BP287" s="983">
        <v>281</v>
      </c>
      <c r="BQ287" s="994"/>
      <c r="BR287" s="995"/>
      <c r="BS287" s="1083"/>
      <c r="BU287" s="983">
        <v>281</v>
      </c>
      <c r="BV287" s="994"/>
      <c r="BW287" s="995"/>
      <c r="BX287" s="1083"/>
      <c r="BZ287" s="983">
        <v>281</v>
      </c>
      <c r="CA287" s="994"/>
      <c r="CB287" s="995"/>
      <c r="CC287" s="1083"/>
      <c r="DF287" s="43" t="b">
        <f t="shared" si="116"/>
        <v>0</v>
      </c>
      <c r="DG287" s="43" t="str">
        <f t="shared" si="117"/>
        <v/>
      </c>
      <c r="DH287" s="43" t="str">
        <f t="shared" si="118"/>
        <v/>
      </c>
      <c r="DI287" s="43" t="str">
        <f t="shared" si="119"/>
        <v/>
      </c>
      <c r="DJ287" s="43" t="str">
        <f t="shared" si="120"/>
        <v/>
      </c>
      <c r="DK287" s="43" t="e">
        <f t="shared" si="121"/>
        <v>#N/A</v>
      </c>
      <c r="DL287" s="43" t="e">
        <f t="shared" si="122"/>
        <v>#N/A</v>
      </c>
      <c r="DM287" s="43" t="e">
        <f t="shared" si="123"/>
        <v>#N/A</v>
      </c>
      <c r="DN287" s="43" t="e">
        <f t="shared" si="124"/>
        <v>#N/A</v>
      </c>
      <c r="DO287" s="43" t="e">
        <f t="shared" si="125"/>
        <v>#N/A</v>
      </c>
      <c r="DP287" s="43" t="e">
        <f t="shared" si="126"/>
        <v>#N/A</v>
      </c>
      <c r="DQ287" s="43" t="e">
        <f t="shared" si="127"/>
        <v>#N/A</v>
      </c>
      <c r="DR287" s="43" t="e">
        <f t="shared" si="128"/>
        <v>#N/A</v>
      </c>
      <c r="DS287" s="43">
        <f t="shared" si="129"/>
        <v>0</v>
      </c>
    </row>
    <row r="288" spans="1:123" ht="12" customHeight="1">
      <c r="A288" s="640">
        <v>276</v>
      </c>
      <c r="B288" s="994"/>
      <c r="C288" s="995"/>
      <c r="D288" s="329"/>
      <c r="E288" s="884"/>
      <c r="F288" s="1027" t="str">
        <f t="shared" si="130"/>
        <v/>
      </c>
      <c r="G288" s="1028" t="str">
        <f t="shared" si="131"/>
        <v/>
      </c>
      <c r="H288" s="886"/>
      <c r="I288" s="458" t="str">
        <f t="shared" si="132"/>
        <v/>
      </c>
      <c r="J288" s="886"/>
      <c r="BA288" s="983">
        <v>282</v>
      </c>
      <c r="BB288" s="994"/>
      <c r="BC288" s="995"/>
      <c r="BD288" s="1083"/>
      <c r="BF288" s="983">
        <v>282</v>
      </c>
      <c r="BG288" s="994"/>
      <c r="BH288" s="995"/>
      <c r="BI288" s="1083"/>
      <c r="BK288" s="983">
        <v>282</v>
      </c>
      <c r="BL288" s="994"/>
      <c r="BM288" s="995"/>
      <c r="BN288" s="1083"/>
      <c r="BP288" s="983">
        <v>282</v>
      </c>
      <c r="BQ288" s="994"/>
      <c r="BR288" s="995"/>
      <c r="BS288" s="1083"/>
      <c r="BU288" s="983">
        <v>282</v>
      </c>
      <c r="BV288" s="994"/>
      <c r="BW288" s="995"/>
      <c r="BX288" s="1083"/>
      <c r="BZ288" s="983">
        <v>282</v>
      </c>
      <c r="CA288" s="994"/>
      <c r="CB288" s="995"/>
      <c r="CC288" s="1083"/>
      <c r="DF288" s="43" t="b">
        <f t="shared" si="116"/>
        <v>0</v>
      </c>
      <c r="DG288" s="43" t="str">
        <f t="shared" si="117"/>
        <v/>
      </c>
      <c r="DH288" s="43" t="str">
        <f t="shared" si="118"/>
        <v/>
      </c>
      <c r="DI288" s="43" t="str">
        <f t="shared" si="119"/>
        <v/>
      </c>
      <c r="DJ288" s="43" t="str">
        <f t="shared" si="120"/>
        <v/>
      </c>
      <c r="DK288" s="43" t="e">
        <f t="shared" si="121"/>
        <v>#N/A</v>
      </c>
      <c r="DL288" s="43" t="e">
        <f t="shared" si="122"/>
        <v>#N/A</v>
      </c>
      <c r="DM288" s="43" t="e">
        <f t="shared" si="123"/>
        <v>#N/A</v>
      </c>
      <c r="DN288" s="43" t="e">
        <f t="shared" si="124"/>
        <v>#N/A</v>
      </c>
      <c r="DO288" s="43" t="e">
        <f t="shared" si="125"/>
        <v>#N/A</v>
      </c>
      <c r="DP288" s="43" t="e">
        <f t="shared" si="126"/>
        <v>#N/A</v>
      </c>
      <c r="DQ288" s="43" t="e">
        <f t="shared" si="127"/>
        <v>#N/A</v>
      </c>
      <c r="DR288" s="43" t="e">
        <f t="shared" si="128"/>
        <v>#N/A</v>
      </c>
      <c r="DS288" s="43">
        <f t="shared" si="129"/>
        <v>0</v>
      </c>
    </row>
    <row r="289" spans="1:123" ht="12" customHeight="1">
      <c r="A289" s="640">
        <v>277</v>
      </c>
      <c r="B289" s="994"/>
      <c r="C289" s="995"/>
      <c r="D289" s="329"/>
      <c r="E289" s="884"/>
      <c r="F289" s="1027" t="str">
        <f t="shared" si="130"/>
        <v/>
      </c>
      <c r="G289" s="1028" t="str">
        <f t="shared" si="131"/>
        <v/>
      </c>
      <c r="H289" s="886"/>
      <c r="I289" s="458" t="str">
        <f t="shared" si="132"/>
        <v/>
      </c>
      <c r="J289" s="886"/>
      <c r="BA289" s="983">
        <v>283</v>
      </c>
      <c r="BB289" s="994"/>
      <c r="BC289" s="995"/>
      <c r="BD289" s="1083"/>
      <c r="BF289" s="983">
        <v>283</v>
      </c>
      <c r="BG289" s="994"/>
      <c r="BH289" s="995"/>
      <c r="BI289" s="1083"/>
      <c r="BK289" s="983">
        <v>283</v>
      </c>
      <c r="BL289" s="994"/>
      <c r="BM289" s="995"/>
      <c r="BN289" s="1083"/>
      <c r="BP289" s="983">
        <v>283</v>
      </c>
      <c r="BQ289" s="994"/>
      <c r="BR289" s="995"/>
      <c r="BS289" s="1083"/>
      <c r="BU289" s="983">
        <v>283</v>
      </c>
      <c r="BV289" s="994"/>
      <c r="BW289" s="995"/>
      <c r="BX289" s="1083"/>
      <c r="BZ289" s="983">
        <v>283</v>
      </c>
      <c r="CA289" s="994"/>
      <c r="CB289" s="995"/>
      <c r="CC289" s="1083"/>
      <c r="DF289" s="43" t="b">
        <f t="shared" si="116"/>
        <v>0</v>
      </c>
      <c r="DG289" s="43" t="str">
        <f t="shared" si="117"/>
        <v/>
      </c>
      <c r="DH289" s="43" t="str">
        <f t="shared" si="118"/>
        <v/>
      </c>
      <c r="DI289" s="43" t="str">
        <f t="shared" si="119"/>
        <v/>
      </c>
      <c r="DJ289" s="43" t="str">
        <f t="shared" si="120"/>
        <v/>
      </c>
      <c r="DK289" s="43" t="e">
        <f t="shared" si="121"/>
        <v>#N/A</v>
      </c>
      <c r="DL289" s="43" t="e">
        <f t="shared" si="122"/>
        <v>#N/A</v>
      </c>
      <c r="DM289" s="43" t="e">
        <f t="shared" si="123"/>
        <v>#N/A</v>
      </c>
      <c r="DN289" s="43" t="e">
        <f t="shared" si="124"/>
        <v>#N/A</v>
      </c>
      <c r="DO289" s="43" t="e">
        <f t="shared" si="125"/>
        <v>#N/A</v>
      </c>
      <c r="DP289" s="43" t="e">
        <f t="shared" si="126"/>
        <v>#N/A</v>
      </c>
      <c r="DQ289" s="43" t="e">
        <f t="shared" si="127"/>
        <v>#N/A</v>
      </c>
      <c r="DR289" s="43" t="e">
        <f t="shared" si="128"/>
        <v>#N/A</v>
      </c>
      <c r="DS289" s="43">
        <f t="shared" si="129"/>
        <v>0</v>
      </c>
    </row>
    <row r="290" spans="1:123" ht="12" customHeight="1">
      <c r="A290" s="640">
        <v>278</v>
      </c>
      <c r="B290" s="994"/>
      <c r="C290" s="995"/>
      <c r="D290" s="329"/>
      <c r="E290" s="884"/>
      <c r="F290" s="1027" t="str">
        <f t="shared" si="130"/>
        <v/>
      </c>
      <c r="G290" s="1028" t="str">
        <f t="shared" si="131"/>
        <v/>
      </c>
      <c r="H290" s="886"/>
      <c r="I290" s="458" t="str">
        <f t="shared" si="132"/>
        <v/>
      </c>
      <c r="J290" s="886"/>
      <c r="BA290" s="983">
        <v>284</v>
      </c>
      <c r="BB290" s="994"/>
      <c r="BC290" s="995"/>
      <c r="BD290" s="1083"/>
      <c r="BF290" s="983">
        <v>284</v>
      </c>
      <c r="BG290" s="994"/>
      <c r="BH290" s="995"/>
      <c r="BI290" s="1083"/>
      <c r="BK290" s="983">
        <v>284</v>
      </c>
      <c r="BL290" s="994"/>
      <c r="BM290" s="995"/>
      <c r="BN290" s="1083"/>
      <c r="BP290" s="983">
        <v>284</v>
      </c>
      <c r="BQ290" s="994"/>
      <c r="BR290" s="995"/>
      <c r="BS290" s="1083"/>
      <c r="BU290" s="983">
        <v>284</v>
      </c>
      <c r="BV290" s="994"/>
      <c r="BW290" s="995"/>
      <c r="BX290" s="1083"/>
      <c r="BZ290" s="983">
        <v>284</v>
      </c>
      <c r="CA290" s="994"/>
      <c r="CB290" s="995"/>
      <c r="CC290" s="1083"/>
      <c r="DF290" s="43" t="b">
        <f t="shared" si="116"/>
        <v>0</v>
      </c>
      <c r="DG290" s="43" t="str">
        <f t="shared" si="117"/>
        <v/>
      </c>
      <c r="DH290" s="43" t="str">
        <f t="shared" si="118"/>
        <v/>
      </c>
      <c r="DI290" s="43" t="str">
        <f t="shared" si="119"/>
        <v/>
      </c>
      <c r="DJ290" s="43" t="str">
        <f t="shared" si="120"/>
        <v/>
      </c>
      <c r="DK290" s="43" t="e">
        <f t="shared" si="121"/>
        <v>#N/A</v>
      </c>
      <c r="DL290" s="43" t="e">
        <f t="shared" si="122"/>
        <v>#N/A</v>
      </c>
      <c r="DM290" s="43" t="e">
        <f t="shared" si="123"/>
        <v>#N/A</v>
      </c>
      <c r="DN290" s="43" t="e">
        <f t="shared" si="124"/>
        <v>#N/A</v>
      </c>
      <c r="DO290" s="43" t="e">
        <f t="shared" si="125"/>
        <v>#N/A</v>
      </c>
      <c r="DP290" s="43" t="e">
        <f t="shared" si="126"/>
        <v>#N/A</v>
      </c>
      <c r="DQ290" s="43" t="e">
        <f t="shared" si="127"/>
        <v>#N/A</v>
      </c>
      <c r="DR290" s="43" t="e">
        <f t="shared" si="128"/>
        <v>#N/A</v>
      </c>
      <c r="DS290" s="43">
        <f t="shared" si="129"/>
        <v>0</v>
      </c>
    </row>
    <row r="291" spans="1:123" ht="12" customHeight="1">
      <c r="A291" s="640">
        <v>279</v>
      </c>
      <c r="B291" s="994"/>
      <c r="C291" s="995"/>
      <c r="D291" s="329"/>
      <c r="E291" s="884"/>
      <c r="F291" s="1027" t="str">
        <f t="shared" si="130"/>
        <v/>
      </c>
      <c r="G291" s="1028" t="str">
        <f t="shared" si="131"/>
        <v/>
      </c>
      <c r="H291" s="886"/>
      <c r="I291" s="458" t="str">
        <f t="shared" si="132"/>
        <v/>
      </c>
      <c r="J291" s="886"/>
      <c r="BA291" s="983">
        <v>285</v>
      </c>
      <c r="BB291" s="994"/>
      <c r="BC291" s="995"/>
      <c r="BD291" s="1083"/>
      <c r="BF291" s="983">
        <v>285</v>
      </c>
      <c r="BG291" s="994"/>
      <c r="BH291" s="995"/>
      <c r="BI291" s="1083"/>
      <c r="BK291" s="983">
        <v>285</v>
      </c>
      <c r="BL291" s="994"/>
      <c r="BM291" s="995"/>
      <c r="BN291" s="1083"/>
      <c r="BP291" s="983">
        <v>285</v>
      </c>
      <c r="BQ291" s="994"/>
      <c r="BR291" s="995"/>
      <c r="BS291" s="1083"/>
      <c r="BU291" s="983">
        <v>285</v>
      </c>
      <c r="BV291" s="994"/>
      <c r="BW291" s="995"/>
      <c r="BX291" s="1083"/>
      <c r="BZ291" s="983">
        <v>285</v>
      </c>
      <c r="CA291" s="994"/>
      <c r="CB291" s="995"/>
      <c r="CC291" s="1083"/>
      <c r="DF291" s="43" t="b">
        <f t="shared" si="116"/>
        <v>0</v>
      </c>
      <c r="DG291" s="43" t="str">
        <f t="shared" si="117"/>
        <v/>
      </c>
      <c r="DH291" s="43" t="str">
        <f t="shared" si="118"/>
        <v/>
      </c>
      <c r="DI291" s="43" t="str">
        <f t="shared" si="119"/>
        <v/>
      </c>
      <c r="DJ291" s="43" t="str">
        <f t="shared" si="120"/>
        <v/>
      </c>
      <c r="DK291" s="43" t="e">
        <f t="shared" si="121"/>
        <v>#N/A</v>
      </c>
      <c r="DL291" s="43" t="e">
        <f t="shared" si="122"/>
        <v>#N/A</v>
      </c>
      <c r="DM291" s="43" t="e">
        <f t="shared" si="123"/>
        <v>#N/A</v>
      </c>
      <c r="DN291" s="43" t="e">
        <f t="shared" si="124"/>
        <v>#N/A</v>
      </c>
      <c r="DO291" s="43" t="e">
        <f t="shared" si="125"/>
        <v>#N/A</v>
      </c>
      <c r="DP291" s="43" t="e">
        <f t="shared" si="126"/>
        <v>#N/A</v>
      </c>
      <c r="DQ291" s="43" t="e">
        <f t="shared" si="127"/>
        <v>#N/A</v>
      </c>
      <c r="DR291" s="43" t="e">
        <f t="shared" si="128"/>
        <v>#N/A</v>
      </c>
      <c r="DS291" s="43">
        <f t="shared" si="129"/>
        <v>0</v>
      </c>
    </row>
    <row r="292" spans="1:123" ht="12" customHeight="1">
      <c r="A292" s="640">
        <v>280</v>
      </c>
      <c r="B292" s="994"/>
      <c r="C292" s="995"/>
      <c r="D292" s="329"/>
      <c r="E292" s="884"/>
      <c r="F292" s="1027" t="str">
        <f t="shared" si="130"/>
        <v/>
      </c>
      <c r="G292" s="1028" t="str">
        <f t="shared" si="131"/>
        <v/>
      </c>
      <c r="H292" s="886"/>
      <c r="I292" s="458" t="str">
        <f t="shared" si="132"/>
        <v/>
      </c>
      <c r="J292" s="886"/>
      <c r="BA292" s="983">
        <v>286</v>
      </c>
      <c r="BB292" s="994"/>
      <c r="BC292" s="995"/>
      <c r="BD292" s="1083"/>
      <c r="BF292" s="983">
        <v>286</v>
      </c>
      <c r="BG292" s="994"/>
      <c r="BH292" s="995"/>
      <c r="BI292" s="1083"/>
      <c r="BK292" s="983">
        <v>286</v>
      </c>
      <c r="BL292" s="994"/>
      <c r="BM292" s="995"/>
      <c r="BN292" s="1083"/>
      <c r="BP292" s="983">
        <v>286</v>
      </c>
      <c r="BQ292" s="994"/>
      <c r="BR292" s="995"/>
      <c r="BS292" s="1083"/>
      <c r="BU292" s="983">
        <v>286</v>
      </c>
      <c r="BV292" s="994"/>
      <c r="BW292" s="995"/>
      <c r="BX292" s="1083"/>
      <c r="BZ292" s="983">
        <v>286</v>
      </c>
      <c r="CA292" s="994"/>
      <c r="CB292" s="995"/>
      <c r="CC292" s="1083"/>
      <c r="DF292" s="43" t="b">
        <f t="shared" si="116"/>
        <v>0</v>
      </c>
      <c r="DG292" s="43" t="str">
        <f t="shared" si="117"/>
        <v/>
      </c>
      <c r="DH292" s="43" t="str">
        <f t="shared" si="118"/>
        <v/>
      </c>
      <c r="DI292" s="43" t="str">
        <f t="shared" si="119"/>
        <v/>
      </c>
      <c r="DJ292" s="43" t="str">
        <f t="shared" si="120"/>
        <v/>
      </c>
      <c r="DK292" s="43" t="e">
        <f t="shared" si="121"/>
        <v>#N/A</v>
      </c>
      <c r="DL292" s="43" t="e">
        <f t="shared" si="122"/>
        <v>#N/A</v>
      </c>
      <c r="DM292" s="43" t="e">
        <f t="shared" si="123"/>
        <v>#N/A</v>
      </c>
      <c r="DN292" s="43" t="e">
        <f t="shared" si="124"/>
        <v>#N/A</v>
      </c>
      <c r="DO292" s="43" t="e">
        <f t="shared" si="125"/>
        <v>#N/A</v>
      </c>
      <c r="DP292" s="43" t="e">
        <f t="shared" si="126"/>
        <v>#N/A</v>
      </c>
      <c r="DQ292" s="43" t="e">
        <f t="shared" si="127"/>
        <v>#N/A</v>
      </c>
      <c r="DR292" s="43" t="e">
        <f t="shared" si="128"/>
        <v>#N/A</v>
      </c>
      <c r="DS292" s="43">
        <f t="shared" si="129"/>
        <v>0</v>
      </c>
    </row>
    <row r="293" spans="1:123" ht="12" customHeight="1">
      <c r="A293" s="640">
        <v>281</v>
      </c>
      <c r="B293" s="994"/>
      <c r="C293" s="995"/>
      <c r="D293" s="329"/>
      <c r="E293" s="884"/>
      <c r="F293" s="1027" t="str">
        <f t="shared" si="130"/>
        <v/>
      </c>
      <c r="G293" s="1028" t="str">
        <f t="shared" si="131"/>
        <v/>
      </c>
      <c r="H293" s="886"/>
      <c r="I293" s="458" t="str">
        <f t="shared" si="132"/>
        <v/>
      </c>
      <c r="J293" s="886"/>
      <c r="BA293" s="983">
        <v>287</v>
      </c>
      <c r="BB293" s="994"/>
      <c r="BC293" s="995"/>
      <c r="BD293" s="1083"/>
      <c r="BF293" s="983">
        <v>287</v>
      </c>
      <c r="BG293" s="994"/>
      <c r="BH293" s="995"/>
      <c r="BI293" s="1083"/>
      <c r="BK293" s="983">
        <v>287</v>
      </c>
      <c r="BL293" s="994"/>
      <c r="BM293" s="995"/>
      <c r="BN293" s="1083"/>
      <c r="BP293" s="983">
        <v>287</v>
      </c>
      <c r="BQ293" s="994"/>
      <c r="BR293" s="995"/>
      <c r="BS293" s="1083"/>
      <c r="BU293" s="983">
        <v>287</v>
      </c>
      <c r="BV293" s="994"/>
      <c r="BW293" s="995"/>
      <c r="BX293" s="1083"/>
      <c r="BZ293" s="983">
        <v>287</v>
      </c>
      <c r="CA293" s="994"/>
      <c r="CB293" s="995"/>
      <c r="CC293" s="1083"/>
      <c r="DF293" s="43" t="b">
        <f t="shared" si="116"/>
        <v>0</v>
      </c>
      <c r="DG293" s="43" t="str">
        <f t="shared" si="117"/>
        <v/>
      </c>
      <c r="DH293" s="43" t="str">
        <f t="shared" si="118"/>
        <v/>
      </c>
      <c r="DI293" s="43" t="str">
        <f t="shared" si="119"/>
        <v/>
      </c>
      <c r="DJ293" s="43" t="str">
        <f t="shared" si="120"/>
        <v/>
      </c>
      <c r="DK293" s="43" t="e">
        <f t="shared" si="121"/>
        <v>#N/A</v>
      </c>
      <c r="DL293" s="43" t="e">
        <f t="shared" si="122"/>
        <v>#N/A</v>
      </c>
      <c r="DM293" s="43" t="e">
        <f t="shared" si="123"/>
        <v>#N/A</v>
      </c>
      <c r="DN293" s="43" t="e">
        <f t="shared" si="124"/>
        <v>#N/A</v>
      </c>
      <c r="DO293" s="43" t="e">
        <f t="shared" si="125"/>
        <v>#N/A</v>
      </c>
      <c r="DP293" s="43" t="e">
        <f t="shared" si="126"/>
        <v>#N/A</v>
      </c>
      <c r="DQ293" s="43" t="e">
        <f t="shared" si="127"/>
        <v>#N/A</v>
      </c>
      <c r="DR293" s="43" t="e">
        <f t="shared" si="128"/>
        <v>#N/A</v>
      </c>
      <c r="DS293" s="43">
        <f t="shared" si="129"/>
        <v>0</v>
      </c>
    </row>
    <row r="294" spans="1:123" ht="12" customHeight="1">
      <c r="A294" s="640">
        <v>282</v>
      </c>
      <c r="B294" s="994"/>
      <c r="C294" s="995"/>
      <c r="D294" s="329"/>
      <c r="E294" s="884"/>
      <c r="F294" s="1027" t="str">
        <f t="shared" si="130"/>
        <v/>
      </c>
      <c r="G294" s="1028" t="str">
        <f t="shared" si="131"/>
        <v/>
      </c>
      <c r="H294" s="886"/>
      <c r="I294" s="458" t="str">
        <f t="shared" si="132"/>
        <v/>
      </c>
      <c r="J294" s="886"/>
      <c r="BA294" s="983">
        <v>288</v>
      </c>
      <c r="BB294" s="994"/>
      <c r="BC294" s="995"/>
      <c r="BD294" s="1083"/>
      <c r="BF294" s="983">
        <v>288</v>
      </c>
      <c r="BG294" s="994"/>
      <c r="BH294" s="995"/>
      <c r="BI294" s="1083"/>
      <c r="BK294" s="983">
        <v>288</v>
      </c>
      <c r="BL294" s="994"/>
      <c r="BM294" s="995"/>
      <c r="BN294" s="1083"/>
      <c r="BP294" s="983">
        <v>288</v>
      </c>
      <c r="BQ294" s="994"/>
      <c r="BR294" s="995"/>
      <c r="BS294" s="1083"/>
      <c r="BU294" s="983">
        <v>288</v>
      </c>
      <c r="BV294" s="994"/>
      <c r="BW294" s="995"/>
      <c r="BX294" s="1083"/>
      <c r="BZ294" s="983">
        <v>288</v>
      </c>
      <c r="CA294" s="994"/>
      <c r="CB294" s="995"/>
      <c r="CC294" s="1083"/>
      <c r="DF294" s="43" t="b">
        <f t="shared" si="116"/>
        <v>0</v>
      </c>
      <c r="DG294" s="43" t="str">
        <f t="shared" si="117"/>
        <v/>
      </c>
      <c r="DH294" s="43" t="str">
        <f t="shared" si="118"/>
        <v/>
      </c>
      <c r="DI294" s="43" t="str">
        <f t="shared" si="119"/>
        <v/>
      </c>
      <c r="DJ294" s="43" t="str">
        <f t="shared" si="120"/>
        <v/>
      </c>
      <c r="DK294" s="43" t="e">
        <f t="shared" si="121"/>
        <v>#N/A</v>
      </c>
      <c r="DL294" s="43" t="e">
        <f t="shared" si="122"/>
        <v>#N/A</v>
      </c>
      <c r="DM294" s="43" t="e">
        <f t="shared" si="123"/>
        <v>#N/A</v>
      </c>
      <c r="DN294" s="43" t="e">
        <f t="shared" si="124"/>
        <v>#N/A</v>
      </c>
      <c r="DO294" s="43" t="e">
        <f t="shared" si="125"/>
        <v>#N/A</v>
      </c>
      <c r="DP294" s="43" t="e">
        <f t="shared" si="126"/>
        <v>#N/A</v>
      </c>
      <c r="DQ294" s="43" t="e">
        <f t="shared" si="127"/>
        <v>#N/A</v>
      </c>
      <c r="DR294" s="43" t="e">
        <f t="shared" si="128"/>
        <v>#N/A</v>
      </c>
      <c r="DS294" s="43">
        <f t="shared" si="129"/>
        <v>0</v>
      </c>
    </row>
    <row r="295" spans="1:123" ht="12" customHeight="1">
      <c r="A295" s="640">
        <v>283</v>
      </c>
      <c r="B295" s="994"/>
      <c r="C295" s="995"/>
      <c r="D295" s="329"/>
      <c r="E295" s="884"/>
      <c r="F295" s="1027" t="str">
        <f t="shared" si="130"/>
        <v/>
      </c>
      <c r="G295" s="1028" t="str">
        <f t="shared" si="131"/>
        <v/>
      </c>
      <c r="H295" s="886"/>
      <c r="I295" s="458" t="str">
        <f t="shared" si="132"/>
        <v/>
      </c>
      <c r="J295" s="886"/>
      <c r="BA295" s="983">
        <v>289</v>
      </c>
      <c r="BB295" s="994"/>
      <c r="BC295" s="995"/>
      <c r="BD295" s="1083"/>
      <c r="BF295" s="983">
        <v>289</v>
      </c>
      <c r="BG295" s="994"/>
      <c r="BH295" s="995"/>
      <c r="BI295" s="1083"/>
      <c r="BK295" s="983">
        <v>289</v>
      </c>
      <c r="BL295" s="994"/>
      <c r="BM295" s="995"/>
      <c r="BN295" s="1083"/>
      <c r="BP295" s="983">
        <v>289</v>
      </c>
      <c r="BQ295" s="994"/>
      <c r="BR295" s="995"/>
      <c r="BS295" s="1083"/>
      <c r="BU295" s="983">
        <v>289</v>
      </c>
      <c r="BV295" s="994"/>
      <c r="BW295" s="995"/>
      <c r="BX295" s="1083"/>
      <c r="BZ295" s="983">
        <v>289</v>
      </c>
      <c r="CA295" s="994"/>
      <c r="CB295" s="995"/>
      <c r="CC295" s="1083"/>
      <c r="DF295" s="43" t="b">
        <f t="shared" si="116"/>
        <v>0</v>
      </c>
      <c r="DG295" s="43" t="str">
        <f t="shared" si="117"/>
        <v/>
      </c>
      <c r="DH295" s="43" t="str">
        <f t="shared" si="118"/>
        <v/>
      </c>
      <c r="DI295" s="43" t="str">
        <f t="shared" si="119"/>
        <v/>
      </c>
      <c r="DJ295" s="43" t="str">
        <f t="shared" si="120"/>
        <v/>
      </c>
      <c r="DK295" s="43" t="e">
        <f t="shared" si="121"/>
        <v>#N/A</v>
      </c>
      <c r="DL295" s="43" t="e">
        <f t="shared" si="122"/>
        <v>#N/A</v>
      </c>
      <c r="DM295" s="43" t="e">
        <f t="shared" si="123"/>
        <v>#N/A</v>
      </c>
      <c r="DN295" s="43" t="e">
        <f t="shared" si="124"/>
        <v>#N/A</v>
      </c>
      <c r="DO295" s="43" t="e">
        <f t="shared" si="125"/>
        <v>#N/A</v>
      </c>
      <c r="DP295" s="43" t="e">
        <f t="shared" si="126"/>
        <v>#N/A</v>
      </c>
      <c r="DQ295" s="43" t="e">
        <f t="shared" si="127"/>
        <v>#N/A</v>
      </c>
      <c r="DR295" s="43" t="e">
        <f t="shared" si="128"/>
        <v>#N/A</v>
      </c>
      <c r="DS295" s="43">
        <f t="shared" si="129"/>
        <v>0</v>
      </c>
    </row>
    <row r="296" spans="1:123" ht="12" customHeight="1">
      <c r="A296" s="640">
        <v>284</v>
      </c>
      <c r="B296" s="994"/>
      <c r="C296" s="995"/>
      <c r="D296" s="329"/>
      <c r="E296" s="884"/>
      <c r="F296" s="1027" t="str">
        <f t="shared" si="130"/>
        <v/>
      </c>
      <c r="G296" s="1028" t="str">
        <f t="shared" si="131"/>
        <v/>
      </c>
      <c r="H296" s="886"/>
      <c r="I296" s="458" t="str">
        <f t="shared" si="132"/>
        <v/>
      </c>
      <c r="J296" s="886"/>
      <c r="BA296" s="983">
        <v>290</v>
      </c>
      <c r="BB296" s="994"/>
      <c r="BC296" s="995"/>
      <c r="BD296" s="1083"/>
      <c r="BF296" s="983">
        <v>290</v>
      </c>
      <c r="BG296" s="994"/>
      <c r="BH296" s="995"/>
      <c r="BI296" s="1083"/>
      <c r="BK296" s="983">
        <v>290</v>
      </c>
      <c r="BL296" s="994"/>
      <c r="BM296" s="995"/>
      <c r="BN296" s="1083"/>
      <c r="BP296" s="983">
        <v>290</v>
      </c>
      <c r="BQ296" s="994"/>
      <c r="BR296" s="995"/>
      <c r="BS296" s="1083"/>
      <c r="BU296" s="983">
        <v>290</v>
      </c>
      <c r="BV296" s="994"/>
      <c r="BW296" s="995"/>
      <c r="BX296" s="1083"/>
      <c r="BZ296" s="983">
        <v>290</v>
      </c>
      <c r="CA296" s="994"/>
      <c r="CB296" s="995"/>
      <c r="CC296" s="1083"/>
      <c r="DF296" s="43" t="b">
        <f t="shared" si="116"/>
        <v>0</v>
      </c>
      <c r="DG296" s="43" t="str">
        <f t="shared" si="117"/>
        <v/>
      </c>
      <c r="DH296" s="43" t="str">
        <f t="shared" si="118"/>
        <v/>
      </c>
      <c r="DI296" s="43" t="str">
        <f t="shared" si="119"/>
        <v/>
      </c>
      <c r="DJ296" s="43" t="str">
        <f t="shared" si="120"/>
        <v/>
      </c>
      <c r="DK296" s="43" t="e">
        <f t="shared" si="121"/>
        <v>#N/A</v>
      </c>
      <c r="DL296" s="43" t="e">
        <f t="shared" si="122"/>
        <v>#N/A</v>
      </c>
      <c r="DM296" s="43" t="e">
        <f t="shared" si="123"/>
        <v>#N/A</v>
      </c>
      <c r="DN296" s="43" t="e">
        <f t="shared" si="124"/>
        <v>#N/A</v>
      </c>
      <c r="DO296" s="43" t="e">
        <f t="shared" si="125"/>
        <v>#N/A</v>
      </c>
      <c r="DP296" s="43" t="e">
        <f t="shared" si="126"/>
        <v>#N/A</v>
      </c>
      <c r="DQ296" s="43" t="e">
        <f t="shared" si="127"/>
        <v>#N/A</v>
      </c>
      <c r="DR296" s="43" t="e">
        <f t="shared" si="128"/>
        <v>#N/A</v>
      </c>
      <c r="DS296" s="43">
        <f t="shared" si="129"/>
        <v>0</v>
      </c>
    </row>
    <row r="297" spans="1:123" ht="12" customHeight="1">
      <c r="A297" s="640">
        <v>285</v>
      </c>
      <c r="B297" s="994"/>
      <c r="C297" s="995"/>
      <c r="D297" s="329"/>
      <c r="E297" s="884"/>
      <c r="F297" s="1027" t="str">
        <f t="shared" si="130"/>
        <v/>
      </c>
      <c r="G297" s="1028" t="str">
        <f t="shared" si="131"/>
        <v/>
      </c>
      <c r="H297" s="886"/>
      <c r="I297" s="458" t="str">
        <f t="shared" si="132"/>
        <v/>
      </c>
      <c r="J297" s="886"/>
      <c r="BA297" s="983">
        <v>291</v>
      </c>
      <c r="BB297" s="994"/>
      <c r="BC297" s="995"/>
      <c r="BD297" s="1083"/>
      <c r="BF297" s="983">
        <v>291</v>
      </c>
      <c r="BG297" s="994"/>
      <c r="BH297" s="995"/>
      <c r="BI297" s="1083"/>
      <c r="BK297" s="983">
        <v>291</v>
      </c>
      <c r="BL297" s="994"/>
      <c r="BM297" s="995"/>
      <c r="BN297" s="1083"/>
      <c r="BP297" s="983">
        <v>291</v>
      </c>
      <c r="BQ297" s="994"/>
      <c r="BR297" s="995"/>
      <c r="BS297" s="1083"/>
      <c r="BU297" s="983">
        <v>291</v>
      </c>
      <c r="BV297" s="994"/>
      <c r="BW297" s="995"/>
      <c r="BX297" s="1083"/>
      <c r="BZ297" s="983">
        <v>291</v>
      </c>
      <c r="CA297" s="994"/>
      <c r="CB297" s="995"/>
      <c r="CC297" s="1083"/>
      <c r="DF297" s="43" t="b">
        <f t="shared" si="116"/>
        <v>0</v>
      </c>
      <c r="DG297" s="43" t="str">
        <f t="shared" si="117"/>
        <v/>
      </c>
      <c r="DH297" s="43" t="str">
        <f t="shared" si="118"/>
        <v/>
      </c>
      <c r="DI297" s="43" t="str">
        <f t="shared" si="119"/>
        <v/>
      </c>
      <c r="DJ297" s="43" t="str">
        <f t="shared" si="120"/>
        <v/>
      </c>
      <c r="DK297" s="43" t="e">
        <f t="shared" si="121"/>
        <v>#N/A</v>
      </c>
      <c r="DL297" s="43" t="e">
        <f t="shared" si="122"/>
        <v>#N/A</v>
      </c>
      <c r="DM297" s="43" t="e">
        <f t="shared" si="123"/>
        <v>#N/A</v>
      </c>
      <c r="DN297" s="43" t="e">
        <f t="shared" si="124"/>
        <v>#N/A</v>
      </c>
      <c r="DO297" s="43" t="e">
        <f t="shared" si="125"/>
        <v>#N/A</v>
      </c>
      <c r="DP297" s="43" t="e">
        <f t="shared" si="126"/>
        <v>#N/A</v>
      </c>
      <c r="DQ297" s="43" t="e">
        <f t="shared" si="127"/>
        <v>#N/A</v>
      </c>
      <c r="DR297" s="43" t="e">
        <f t="shared" si="128"/>
        <v>#N/A</v>
      </c>
      <c r="DS297" s="43">
        <f t="shared" si="129"/>
        <v>0</v>
      </c>
    </row>
    <row r="298" spans="1:123" ht="12" customHeight="1">
      <c r="A298" s="640">
        <v>286</v>
      </c>
      <c r="B298" s="994"/>
      <c r="C298" s="995"/>
      <c r="D298" s="329"/>
      <c r="E298" s="884"/>
      <c r="F298" s="1027" t="str">
        <f t="shared" si="130"/>
        <v/>
      </c>
      <c r="G298" s="1028" t="str">
        <f t="shared" si="131"/>
        <v/>
      </c>
      <c r="H298" s="886"/>
      <c r="I298" s="458" t="str">
        <f t="shared" si="132"/>
        <v/>
      </c>
      <c r="J298" s="886"/>
      <c r="BA298" s="983">
        <v>292</v>
      </c>
      <c r="BB298" s="994"/>
      <c r="BC298" s="995"/>
      <c r="BD298" s="1083"/>
      <c r="BF298" s="983">
        <v>292</v>
      </c>
      <c r="BG298" s="994"/>
      <c r="BH298" s="995"/>
      <c r="BI298" s="1083"/>
      <c r="BK298" s="983">
        <v>292</v>
      </c>
      <c r="BL298" s="994"/>
      <c r="BM298" s="995"/>
      <c r="BN298" s="1083"/>
      <c r="BP298" s="983">
        <v>292</v>
      </c>
      <c r="BQ298" s="994"/>
      <c r="BR298" s="995"/>
      <c r="BS298" s="1083"/>
      <c r="BU298" s="983">
        <v>292</v>
      </c>
      <c r="BV298" s="994"/>
      <c r="BW298" s="995"/>
      <c r="BX298" s="1083"/>
      <c r="BZ298" s="983">
        <v>292</v>
      </c>
      <c r="CA298" s="994"/>
      <c r="CB298" s="995"/>
      <c r="CC298" s="1083"/>
      <c r="DF298" s="43" t="b">
        <f t="shared" si="116"/>
        <v>0</v>
      </c>
      <c r="DG298" s="43" t="str">
        <f t="shared" si="117"/>
        <v/>
      </c>
      <c r="DH298" s="43" t="str">
        <f t="shared" si="118"/>
        <v/>
      </c>
      <c r="DI298" s="43" t="str">
        <f t="shared" si="119"/>
        <v/>
      </c>
      <c r="DJ298" s="43" t="str">
        <f t="shared" si="120"/>
        <v/>
      </c>
      <c r="DK298" s="43" t="e">
        <f t="shared" si="121"/>
        <v>#N/A</v>
      </c>
      <c r="DL298" s="43" t="e">
        <f t="shared" si="122"/>
        <v>#N/A</v>
      </c>
      <c r="DM298" s="43" t="e">
        <f t="shared" si="123"/>
        <v>#N/A</v>
      </c>
      <c r="DN298" s="43" t="e">
        <f t="shared" si="124"/>
        <v>#N/A</v>
      </c>
      <c r="DO298" s="43" t="e">
        <f t="shared" si="125"/>
        <v>#N/A</v>
      </c>
      <c r="DP298" s="43" t="e">
        <f t="shared" si="126"/>
        <v>#N/A</v>
      </c>
      <c r="DQ298" s="43" t="e">
        <f t="shared" si="127"/>
        <v>#N/A</v>
      </c>
      <c r="DR298" s="43" t="e">
        <f t="shared" si="128"/>
        <v>#N/A</v>
      </c>
      <c r="DS298" s="43">
        <f t="shared" si="129"/>
        <v>0</v>
      </c>
    </row>
    <row r="299" spans="1:123" ht="12" customHeight="1">
      <c r="A299" s="640">
        <v>287</v>
      </c>
      <c r="B299" s="994"/>
      <c r="C299" s="995"/>
      <c r="D299" s="329"/>
      <c r="E299" s="884"/>
      <c r="F299" s="1027" t="str">
        <f t="shared" si="130"/>
        <v/>
      </c>
      <c r="G299" s="1028" t="str">
        <f t="shared" si="131"/>
        <v/>
      </c>
      <c r="H299" s="886"/>
      <c r="I299" s="458" t="str">
        <f t="shared" si="132"/>
        <v/>
      </c>
      <c r="J299" s="886"/>
      <c r="BA299" s="983">
        <v>293</v>
      </c>
      <c r="BB299" s="994"/>
      <c r="BC299" s="995"/>
      <c r="BD299" s="1083"/>
      <c r="BF299" s="983">
        <v>293</v>
      </c>
      <c r="BG299" s="994"/>
      <c r="BH299" s="995"/>
      <c r="BI299" s="1083"/>
      <c r="BK299" s="983">
        <v>293</v>
      </c>
      <c r="BL299" s="994"/>
      <c r="BM299" s="995"/>
      <c r="BN299" s="1083"/>
      <c r="BP299" s="983">
        <v>293</v>
      </c>
      <c r="BQ299" s="994"/>
      <c r="BR299" s="995"/>
      <c r="BS299" s="1083"/>
      <c r="BU299" s="983">
        <v>293</v>
      </c>
      <c r="BV299" s="994"/>
      <c r="BW299" s="995"/>
      <c r="BX299" s="1083"/>
      <c r="BZ299" s="983">
        <v>293</v>
      </c>
      <c r="CA299" s="994"/>
      <c r="CB299" s="995"/>
      <c r="CC299" s="1083"/>
      <c r="DF299" s="43" t="b">
        <f t="shared" si="116"/>
        <v>0</v>
      </c>
      <c r="DG299" s="43" t="str">
        <f t="shared" si="117"/>
        <v/>
      </c>
      <c r="DH299" s="43" t="str">
        <f t="shared" si="118"/>
        <v/>
      </c>
      <c r="DI299" s="43" t="str">
        <f t="shared" si="119"/>
        <v/>
      </c>
      <c r="DJ299" s="43" t="str">
        <f t="shared" si="120"/>
        <v/>
      </c>
      <c r="DK299" s="43" t="e">
        <f t="shared" si="121"/>
        <v>#N/A</v>
      </c>
      <c r="DL299" s="43" t="e">
        <f t="shared" si="122"/>
        <v>#N/A</v>
      </c>
      <c r="DM299" s="43" t="e">
        <f t="shared" si="123"/>
        <v>#N/A</v>
      </c>
      <c r="DN299" s="43" t="e">
        <f t="shared" si="124"/>
        <v>#N/A</v>
      </c>
      <c r="DO299" s="43" t="e">
        <f t="shared" si="125"/>
        <v>#N/A</v>
      </c>
      <c r="DP299" s="43" t="e">
        <f t="shared" si="126"/>
        <v>#N/A</v>
      </c>
      <c r="DQ299" s="43" t="e">
        <f t="shared" si="127"/>
        <v>#N/A</v>
      </c>
      <c r="DR299" s="43" t="e">
        <f t="shared" si="128"/>
        <v>#N/A</v>
      </c>
      <c r="DS299" s="43">
        <f t="shared" si="129"/>
        <v>0</v>
      </c>
    </row>
    <row r="300" spans="1:123" ht="12" customHeight="1">
      <c r="A300" s="640">
        <v>288</v>
      </c>
      <c r="B300" s="994"/>
      <c r="C300" s="995"/>
      <c r="D300" s="329"/>
      <c r="E300" s="884"/>
      <c r="F300" s="1027" t="str">
        <f t="shared" si="130"/>
        <v/>
      </c>
      <c r="G300" s="1028" t="str">
        <f t="shared" si="131"/>
        <v/>
      </c>
      <c r="H300" s="886"/>
      <c r="I300" s="458" t="str">
        <f t="shared" si="132"/>
        <v/>
      </c>
      <c r="J300" s="886"/>
      <c r="BA300" s="983">
        <v>294</v>
      </c>
      <c r="BB300" s="994"/>
      <c r="BC300" s="995"/>
      <c r="BD300" s="1083"/>
      <c r="BF300" s="983">
        <v>294</v>
      </c>
      <c r="BG300" s="994"/>
      <c r="BH300" s="995"/>
      <c r="BI300" s="1083"/>
      <c r="BK300" s="983">
        <v>294</v>
      </c>
      <c r="BL300" s="994"/>
      <c r="BM300" s="995"/>
      <c r="BN300" s="1083"/>
      <c r="BP300" s="983">
        <v>294</v>
      </c>
      <c r="BQ300" s="994"/>
      <c r="BR300" s="995"/>
      <c r="BS300" s="1083"/>
      <c r="BU300" s="983">
        <v>294</v>
      </c>
      <c r="BV300" s="994"/>
      <c r="BW300" s="995"/>
      <c r="BX300" s="1083"/>
      <c r="BZ300" s="983">
        <v>294</v>
      </c>
      <c r="CA300" s="994"/>
      <c r="CB300" s="995"/>
      <c r="CC300" s="1083"/>
      <c r="DF300" s="43" t="b">
        <f t="shared" si="116"/>
        <v>0</v>
      </c>
      <c r="DG300" s="43" t="str">
        <f t="shared" si="117"/>
        <v/>
      </c>
      <c r="DH300" s="43" t="str">
        <f t="shared" si="118"/>
        <v/>
      </c>
      <c r="DI300" s="43" t="str">
        <f t="shared" si="119"/>
        <v/>
      </c>
      <c r="DJ300" s="43" t="str">
        <f t="shared" si="120"/>
        <v/>
      </c>
      <c r="DK300" s="43" t="e">
        <f t="shared" si="121"/>
        <v>#N/A</v>
      </c>
      <c r="DL300" s="43" t="e">
        <f t="shared" si="122"/>
        <v>#N/A</v>
      </c>
      <c r="DM300" s="43" t="e">
        <f t="shared" si="123"/>
        <v>#N/A</v>
      </c>
      <c r="DN300" s="43" t="e">
        <f t="shared" si="124"/>
        <v>#N/A</v>
      </c>
      <c r="DO300" s="43" t="e">
        <f t="shared" si="125"/>
        <v>#N/A</v>
      </c>
      <c r="DP300" s="43" t="e">
        <f t="shared" si="126"/>
        <v>#N/A</v>
      </c>
      <c r="DQ300" s="43" t="e">
        <f t="shared" si="127"/>
        <v>#N/A</v>
      </c>
      <c r="DR300" s="43" t="e">
        <f t="shared" si="128"/>
        <v>#N/A</v>
      </c>
      <c r="DS300" s="43">
        <f t="shared" si="129"/>
        <v>0</v>
      </c>
    </row>
    <row r="301" spans="1:123" ht="12" customHeight="1">
      <c r="A301" s="640">
        <v>289</v>
      </c>
      <c r="B301" s="994"/>
      <c r="C301" s="995"/>
      <c r="D301" s="329"/>
      <c r="E301" s="884"/>
      <c r="F301" s="1027" t="str">
        <f t="shared" si="130"/>
        <v/>
      </c>
      <c r="G301" s="1028" t="str">
        <f t="shared" si="131"/>
        <v/>
      </c>
      <c r="H301" s="886"/>
      <c r="I301" s="458" t="str">
        <f t="shared" si="132"/>
        <v/>
      </c>
      <c r="J301" s="886"/>
      <c r="BA301" s="983">
        <v>295</v>
      </c>
      <c r="BB301" s="994"/>
      <c r="BC301" s="995"/>
      <c r="BD301" s="1083"/>
      <c r="BF301" s="983">
        <v>295</v>
      </c>
      <c r="BG301" s="994"/>
      <c r="BH301" s="995"/>
      <c r="BI301" s="1083"/>
      <c r="BK301" s="983">
        <v>295</v>
      </c>
      <c r="BL301" s="994"/>
      <c r="BM301" s="995"/>
      <c r="BN301" s="1083"/>
      <c r="BP301" s="983">
        <v>295</v>
      </c>
      <c r="BQ301" s="994"/>
      <c r="BR301" s="995"/>
      <c r="BS301" s="1083"/>
      <c r="BU301" s="983">
        <v>295</v>
      </c>
      <c r="BV301" s="994"/>
      <c r="BW301" s="995"/>
      <c r="BX301" s="1083"/>
      <c r="BZ301" s="983">
        <v>295</v>
      </c>
      <c r="CA301" s="994"/>
      <c r="CB301" s="995"/>
      <c r="CC301" s="1083"/>
      <c r="DF301" s="43" t="b">
        <f t="shared" si="116"/>
        <v>0</v>
      </c>
      <c r="DG301" s="43" t="str">
        <f t="shared" si="117"/>
        <v/>
      </c>
      <c r="DH301" s="43" t="str">
        <f t="shared" si="118"/>
        <v/>
      </c>
      <c r="DI301" s="43" t="str">
        <f t="shared" si="119"/>
        <v/>
      </c>
      <c r="DJ301" s="43" t="str">
        <f t="shared" si="120"/>
        <v/>
      </c>
      <c r="DK301" s="43" t="e">
        <f t="shared" si="121"/>
        <v>#N/A</v>
      </c>
      <c r="DL301" s="43" t="e">
        <f t="shared" si="122"/>
        <v>#N/A</v>
      </c>
      <c r="DM301" s="43" t="e">
        <f t="shared" si="123"/>
        <v>#N/A</v>
      </c>
      <c r="DN301" s="43" t="e">
        <f t="shared" si="124"/>
        <v>#N/A</v>
      </c>
      <c r="DO301" s="43" t="e">
        <f t="shared" si="125"/>
        <v>#N/A</v>
      </c>
      <c r="DP301" s="43" t="e">
        <f t="shared" si="126"/>
        <v>#N/A</v>
      </c>
      <c r="DQ301" s="43" t="e">
        <f t="shared" si="127"/>
        <v>#N/A</v>
      </c>
      <c r="DR301" s="43" t="e">
        <f t="shared" si="128"/>
        <v>#N/A</v>
      </c>
      <c r="DS301" s="43">
        <f t="shared" si="129"/>
        <v>0</v>
      </c>
    </row>
    <row r="302" spans="1:123" ht="12" customHeight="1">
      <c r="A302" s="640">
        <v>290</v>
      </c>
      <c r="B302" s="994"/>
      <c r="C302" s="995"/>
      <c r="D302" s="329"/>
      <c r="E302" s="884"/>
      <c r="F302" s="1027" t="str">
        <f t="shared" si="130"/>
        <v/>
      </c>
      <c r="G302" s="1028" t="str">
        <f t="shared" si="131"/>
        <v/>
      </c>
      <c r="H302" s="886"/>
      <c r="I302" s="458" t="str">
        <f t="shared" si="132"/>
        <v/>
      </c>
      <c r="J302" s="886"/>
      <c r="BA302" s="983">
        <v>296</v>
      </c>
      <c r="BB302" s="994"/>
      <c r="BC302" s="995"/>
      <c r="BD302" s="1083"/>
      <c r="BF302" s="983">
        <v>296</v>
      </c>
      <c r="BG302" s="994"/>
      <c r="BH302" s="995"/>
      <c r="BI302" s="1083"/>
      <c r="BK302" s="983">
        <v>296</v>
      </c>
      <c r="BL302" s="994"/>
      <c r="BM302" s="995"/>
      <c r="BN302" s="1083"/>
      <c r="BP302" s="983">
        <v>296</v>
      </c>
      <c r="BQ302" s="994"/>
      <c r="BR302" s="995"/>
      <c r="BS302" s="1083"/>
      <c r="BU302" s="983">
        <v>296</v>
      </c>
      <c r="BV302" s="994"/>
      <c r="BW302" s="995"/>
      <c r="BX302" s="1083"/>
      <c r="BZ302" s="983">
        <v>296</v>
      </c>
      <c r="CA302" s="994"/>
      <c r="CB302" s="995"/>
      <c r="CC302" s="1083"/>
      <c r="DF302" s="43" t="b">
        <f t="shared" si="116"/>
        <v>0</v>
      </c>
      <c r="DG302" s="43" t="str">
        <f t="shared" si="117"/>
        <v/>
      </c>
      <c r="DH302" s="43" t="str">
        <f t="shared" si="118"/>
        <v/>
      </c>
      <c r="DI302" s="43" t="str">
        <f t="shared" si="119"/>
        <v/>
      </c>
      <c r="DJ302" s="43" t="str">
        <f t="shared" si="120"/>
        <v/>
      </c>
      <c r="DK302" s="43" t="e">
        <f t="shared" si="121"/>
        <v>#N/A</v>
      </c>
      <c r="DL302" s="43" t="e">
        <f t="shared" si="122"/>
        <v>#N/A</v>
      </c>
      <c r="DM302" s="43" t="e">
        <f t="shared" si="123"/>
        <v>#N/A</v>
      </c>
      <c r="DN302" s="43" t="e">
        <f t="shared" si="124"/>
        <v>#N/A</v>
      </c>
      <c r="DO302" s="43" t="e">
        <f t="shared" si="125"/>
        <v>#N/A</v>
      </c>
      <c r="DP302" s="43" t="e">
        <f t="shared" si="126"/>
        <v>#N/A</v>
      </c>
      <c r="DQ302" s="43" t="e">
        <f t="shared" si="127"/>
        <v>#N/A</v>
      </c>
      <c r="DR302" s="43" t="e">
        <f t="shared" si="128"/>
        <v>#N/A</v>
      </c>
      <c r="DS302" s="43">
        <f t="shared" si="129"/>
        <v>0</v>
      </c>
    </row>
    <row r="303" spans="1:123" ht="12" customHeight="1">
      <c r="A303" s="640">
        <v>291</v>
      </c>
      <c r="B303" s="994"/>
      <c r="C303" s="995"/>
      <c r="D303" s="329"/>
      <c r="E303" s="884"/>
      <c r="F303" s="1027" t="str">
        <f t="shared" si="130"/>
        <v/>
      </c>
      <c r="G303" s="1028" t="str">
        <f t="shared" si="131"/>
        <v/>
      </c>
      <c r="H303" s="886"/>
      <c r="I303" s="458" t="str">
        <f t="shared" si="132"/>
        <v/>
      </c>
      <c r="J303" s="886"/>
      <c r="BA303" s="983">
        <v>297</v>
      </c>
      <c r="BB303" s="994"/>
      <c r="BC303" s="995"/>
      <c r="BD303" s="1083"/>
      <c r="BF303" s="983">
        <v>297</v>
      </c>
      <c r="BG303" s="994"/>
      <c r="BH303" s="995"/>
      <c r="BI303" s="1083"/>
      <c r="BK303" s="983">
        <v>297</v>
      </c>
      <c r="BL303" s="994"/>
      <c r="BM303" s="995"/>
      <c r="BN303" s="1083"/>
      <c r="BP303" s="983">
        <v>297</v>
      </c>
      <c r="BQ303" s="994"/>
      <c r="BR303" s="995"/>
      <c r="BS303" s="1083"/>
      <c r="BU303" s="983">
        <v>297</v>
      </c>
      <c r="BV303" s="994"/>
      <c r="BW303" s="995"/>
      <c r="BX303" s="1083"/>
      <c r="BZ303" s="983">
        <v>297</v>
      </c>
      <c r="CA303" s="994"/>
      <c r="CB303" s="995"/>
      <c r="CC303" s="1083"/>
      <c r="DF303" s="43" t="b">
        <f t="shared" si="116"/>
        <v>0</v>
      </c>
      <c r="DG303" s="43" t="str">
        <f t="shared" si="117"/>
        <v/>
      </c>
      <c r="DH303" s="43" t="str">
        <f t="shared" si="118"/>
        <v/>
      </c>
      <c r="DI303" s="43" t="str">
        <f t="shared" si="119"/>
        <v/>
      </c>
      <c r="DJ303" s="43" t="str">
        <f t="shared" si="120"/>
        <v/>
      </c>
      <c r="DK303" s="43" t="e">
        <f t="shared" si="121"/>
        <v>#N/A</v>
      </c>
      <c r="DL303" s="43" t="e">
        <f t="shared" si="122"/>
        <v>#N/A</v>
      </c>
      <c r="DM303" s="43" t="e">
        <f t="shared" si="123"/>
        <v>#N/A</v>
      </c>
      <c r="DN303" s="43" t="e">
        <f t="shared" si="124"/>
        <v>#N/A</v>
      </c>
      <c r="DO303" s="43" t="e">
        <f t="shared" si="125"/>
        <v>#N/A</v>
      </c>
      <c r="DP303" s="43" t="e">
        <f t="shared" si="126"/>
        <v>#N/A</v>
      </c>
      <c r="DQ303" s="43" t="e">
        <f t="shared" si="127"/>
        <v>#N/A</v>
      </c>
      <c r="DR303" s="43" t="e">
        <f t="shared" si="128"/>
        <v>#N/A</v>
      </c>
      <c r="DS303" s="43">
        <f t="shared" si="129"/>
        <v>0</v>
      </c>
    </row>
    <row r="304" spans="1:123" ht="12" customHeight="1">
      <c r="A304" s="640">
        <v>292</v>
      </c>
      <c r="B304" s="994"/>
      <c r="C304" s="995"/>
      <c r="D304" s="329"/>
      <c r="E304" s="884"/>
      <c r="F304" s="1027" t="str">
        <f t="shared" si="130"/>
        <v/>
      </c>
      <c r="G304" s="1028" t="str">
        <f t="shared" si="131"/>
        <v/>
      </c>
      <c r="H304" s="886"/>
      <c r="I304" s="458" t="str">
        <f t="shared" si="132"/>
        <v/>
      </c>
      <c r="J304" s="886"/>
      <c r="BA304" s="983">
        <v>298</v>
      </c>
      <c r="BB304" s="994"/>
      <c r="BC304" s="995"/>
      <c r="BD304" s="1083"/>
      <c r="BF304" s="983">
        <v>298</v>
      </c>
      <c r="BG304" s="994"/>
      <c r="BH304" s="995"/>
      <c r="BI304" s="1083"/>
      <c r="BK304" s="983">
        <v>298</v>
      </c>
      <c r="BL304" s="994"/>
      <c r="BM304" s="995"/>
      <c r="BN304" s="1083"/>
      <c r="BP304" s="983">
        <v>298</v>
      </c>
      <c r="BQ304" s="994"/>
      <c r="BR304" s="995"/>
      <c r="BS304" s="1083"/>
      <c r="BU304" s="983">
        <v>298</v>
      </c>
      <c r="BV304" s="994"/>
      <c r="BW304" s="995"/>
      <c r="BX304" s="1083"/>
      <c r="BZ304" s="983">
        <v>298</v>
      </c>
      <c r="CA304" s="994"/>
      <c r="CB304" s="995"/>
      <c r="CC304" s="1083"/>
      <c r="DF304" s="43" t="b">
        <f t="shared" si="116"/>
        <v>0</v>
      </c>
      <c r="DG304" s="43" t="str">
        <f t="shared" si="117"/>
        <v/>
      </c>
      <c r="DH304" s="43" t="str">
        <f t="shared" si="118"/>
        <v/>
      </c>
      <c r="DI304" s="43" t="str">
        <f t="shared" si="119"/>
        <v/>
      </c>
      <c r="DJ304" s="43" t="str">
        <f t="shared" si="120"/>
        <v/>
      </c>
      <c r="DK304" s="43" t="e">
        <f t="shared" si="121"/>
        <v>#N/A</v>
      </c>
      <c r="DL304" s="43" t="e">
        <f t="shared" si="122"/>
        <v>#N/A</v>
      </c>
      <c r="DM304" s="43" t="e">
        <f t="shared" si="123"/>
        <v>#N/A</v>
      </c>
      <c r="DN304" s="43" t="e">
        <f t="shared" si="124"/>
        <v>#N/A</v>
      </c>
      <c r="DO304" s="43" t="e">
        <f t="shared" si="125"/>
        <v>#N/A</v>
      </c>
      <c r="DP304" s="43" t="e">
        <f t="shared" si="126"/>
        <v>#N/A</v>
      </c>
      <c r="DQ304" s="43" t="e">
        <f t="shared" si="127"/>
        <v>#N/A</v>
      </c>
      <c r="DR304" s="43" t="e">
        <f t="shared" si="128"/>
        <v>#N/A</v>
      </c>
      <c r="DS304" s="43">
        <f t="shared" si="129"/>
        <v>0</v>
      </c>
    </row>
    <row r="305" spans="1:123" ht="12" customHeight="1">
      <c r="A305" s="640">
        <v>293</v>
      </c>
      <c r="B305" s="994"/>
      <c r="C305" s="995"/>
      <c r="D305" s="329"/>
      <c r="E305" s="884"/>
      <c r="F305" s="1027" t="str">
        <f t="shared" si="130"/>
        <v/>
      </c>
      <c r="G305" s="1028" t="str">
        <f t="shared" si="131"/>
        <v/>
      </c>
      <c r="H305" s="886"/>
      <c r="I305" s="458" t="str">
        <f t="shared" si="132"/>
        <v/>
      </c>
      <c r="J305" s="886"/>
      <c r="BA305" s="983">
        <v>299</v>
      </c>
      <c r="BB305" s="994"/>
      <c r="BC305" s="995"/>
      <c r="BD305" s="1083"/>
      <c r="BF305" s="983">
        <v>299</v>
      </c>
      <c r="BG305" s="994"/>
      <c r="BH305" s="995"/>
      <c r="BI305" s="1083"/>
      <c r="BK305" s="983">
        <v>299</v>
      </c>
      <c r="BL305" s="994"/>
      <c r="BM305" s="995"/>
      <c r="BN305" s="1083"/>
      <c r="BP305" s="983">
        <v>299</v>
      </c>
      <c r="BQ305" s="994"/>
      <c r="BR305" s="995"/>
      <c r="BS305" s="1083"/>
      <c r="BU305" s="983">
        <v>299</v>
      </c>
      <c r="BV305" s="994"/>
      <c r="BW305" s="995"/>
      <c r="BX305" s="1083"/>
      <c r="BZ305" s="983">
        <v>299</v>
      </c>
      <c r="CA305" s="994"/>
      <c r="CB305" s="995"/>
      <c r="CC305" s="1083"/>
      <c r="DF305" s="43" t="b">
        <f t="shared" si="116"/>
        <v>0</v>
      </c>
      <c r="DG305" s="43" t="str">
        <f t="shared" si="117"/>
        <v/>
      </c>
      <c r="DH305" s="43" t="str">
        <f t="shared" si="118"/>
        <v/>
      </c>
      <c r="DI305" s="43" t="str">
        <f t="shared" si="119"/>
        <v/>
      </c>
      <c r="DJ305" s="43" t="str">
        <f t="shared" si="120"/>
        <v/>
      </c>
      <c r="DK305" s="43" t="e">
        <f t="shared" si="121"/>
        <v>#N/A</v>
      </c>
      <c r="DL305" s="43" t="e">
        <f t="shared" si="122"/>
        <v>#N/A</v>
      </c>
      <c r="DM305" s="43" t="e">
        <f t="shared" si="123"/>
        <v>#N/A</v>
      </c>
      <c r="DN305" s="43" t="e">
        <f t="shared" si="124"/>
        <v>#N/A</v>
      </c>
      <c r="DO305" s="43" t="e">
        <f t="shared" si="125"/>
        <v>#N/A</v>
      </c>
      <c r="DP305" s="43" t="e">
        <f t="shared" si="126"/>
        <v>#N/A</v>
      </c>
      <c r="DQ305" s="43" t="e">
        <f t="shared" si="127"/>
        <v>#N/A</v>
      </c>
      <c r="DR305" s="43" t="e">
        <f t="shared" si="128"/>
        <v>#N/A</v>
      </c>
      <c r="DS305" s="43">
        <f t="shared" si="129"/>
        <v>0</v>
      </c>
    </row>
    <row r="306" spans="1:123" ht="12" customHeight="1">
      <c r="A306" s="640">
        <v>294</v>
      </c>
      <c r="B306" s="994"/>
      <c r="C306" s="995"/>
      <c r="D306" s="329"/>
      <c r="E306" s="884"/>
      <c r="F306" s="1027" t="str">
        <f t="shared" si="130"/>
        <v/>
      </c>
      <c r="G306" s="1028" t="str">
        <f t="shared" si="131"/>
        <v/>
      </c>
      <c r="H306" s="886"/>
      <c r="I306" s="458" t="str">
        <f t="shared" si="132"/>
        <v/>
      </c>
      <c r="J306" s="886"/>
      <c r="BA306" s="983">
        <v>300</v>
      </c>
      <c r="BB306" s="994"/>
      <c r="BC306" s="995"/>
      <c r="BD306" s="1083"/>
      <c r="BF306" s="983">
        <v>300</v>
      </c>
      <c r="BG306" s="994"/>
      <c r="BH306" s="995"/>
      <c r="BI306" s="1083"/>
      <c r="BK306" s="983">
        <v>300</v>
      </c>
      <c r="BL306" s="994"/>
      <c r="BM306" s="995"/>
      <c r="BN306" s="1083"/>
      <c r="BP306" s="983">
        <v>300</v>
      </c>
      <c r="BQ306" s="994"/>
      <c r="BR306" s="995"/>
      <c r="BS306" s="1083"/>
      <c r="BU306" s="983">
        <v>300</v>
      </c>
      <c r="BV306" s="994"/>
      <c r="BW306" s="995"/>
      <c r="BX306" s="1083"/>
      <c r="BZ306" s="983">
        <v>300</v>
      </c>
      <c r="CA306" s="994"/>
      <c r="CB306" s="995"/>
      <c r="CC306" s="1083"/>
      <c r="DF306" s="43" t="b">
        <f t="shared" si="116"/>
        <v>0</v>
      </c>
      <c r="DG306" s="43" t="str">
        <f t="shared" si="117"/>
        <v/>
      </c>
      <c r="DH306" s="43" t="str">
        <f t="shared" si="118"/>
        <v/>
      </c>
      <c r="DI306" s="43" t="str">
        <f t="shared" si="119"/>
        <v/>
      </c>
      <c r="DJ306" s="43" t="str">
        <f t="shared" si="120"/>
        <v/>
      </c>
      <c r="DK306" s="43" t="e">
        <f t="shared" si="121"/>
        <v>#N/A</v>
      </c>
      <c r="DL306" s="43" t="e">
        <f t="shared" si="122"/>
        <v>#N/A</v>
      </c>
      <c r="DM306" s="43" t="e">
        <f t="shared" si="123"/>
        <v>#N/A</v>
      </c>
      <c r="DN306" s="43" t="e">
        <f t="shared" si="124"/>
        <v>#N/A</v>
      </c>
      <c r="DO306" s="43" t="e">
        <f t="shared" si="125"/>
        <v>#N/A</v>
      </c>
      <c r="DP306" s="43" t="e">
        <f t="shared" si="126"/>
        <v>#N/A</v>
      </c>
      <c r="DQ306" s="43" t="e">
        <f t="shared" si="127"/>
        <v>#N/A</v>
      </c>
      <c r="DR306" s="43" t="e">
        <f t="shared" si="128"/>
        <v>#N/A</v>
      </c>
      <c r="DS306" s="43">
        <f t="shared" si="129"/>
        <v>0</v>
      </c>
    </row>
    <row r="307" spans="1:123" ht="12" customHeight="1">
      <c r="A307" s="640">
        <v>295</v>
      </c>
      <c r="B307" s="994"/>
      <c r="C307" s="995"/>
      <c r="D307" s="329"/>
      <c r="E307" s="884"/>
      <c r="F307" s="1027" t="str">
        <f t="shared" si="130"/>
        <v/>
      </c>
      <c r="G307" s="1028" t="str">
        <f t="shared" si="131"/>
        <v/>
      </c>
      <c r="H307" s="886"/>
      <c r="I307" s="458" t="str">
        <f t="shared" si="132"/>
        <v/>
      </c>
      <c r="J307" s="886"/>
      <c r="BA307" s="1084"/>
      <c r="BB307" s="1085"/>
      <c r="BC307" s="1085"/>
      <c r="BD307" s="1086"/>
      <c r="BF307" s="1084"/>
      <c r="BG307" s="1085"/>
      <c r="BH307" s="1085"/>
      <c r="BI307" s="1086"/>
      <c r="BK307" s="1084"/>
      <c r="BL307" s="1085"/>
      <c r="BM307" s="1085"/>
      <c r="BN307" s="1086"/>
      <c r="BP307" s="1084"/>
      <c r="BQ307" s="1085"/>
      <c r="BR307" s="1085"/>
      <c r="BS307" s="1086"/>
      <c r="BU307" s="1084"/>
      <c r="BV307" s="1085"/>
      <c r="BW307" s="1085"/>
      <c r="BX307" s="1086"/>
      <c r="BZ307" s="1084"/>
      <c r="CA307" s="1085"/>
      <c r="CB307" s="1085"/>
      <c r="CC307" s="1086"/>
      <c r="DF307" s="43" t="b">
        <f t="shared" si="116"/>
        <v>0</v>
      </c>
      <c r="DG307" s="43" t="str">
        <f t="shared" si="117"/>
        <v/>
      </c>
      <c r="DH307" s="43" t="str">
        <f t="shared" si="118"/>
        <v/>
      </c>
      <c r="DI307" s="43" t="str">
        <f t="shared" si="119"/>
        <v/>
      </c>
      <c r="DJ307" s="43" t="str">
        <f t="shared" si="120"/>
        <v/>
      </c>
      <c r="DK307" s="43" t="e">
        <f t="shared" si="121"/>
        <v>#N/A</v>
      </c>
      <c r="DL307" s="43" t="e">
        <f t="shared" si="122"/>
        <v>#N/A</v>
      </c>
      <c r="DM307" s="43" t="e">
        <f t="shared" si="123"/>
        <v>#N/A</v>
      </c>
      <c r="DN307" s="43" t="e">
        <f t="shared" si="124"/>
        <v>#N/A</v>
      </c>
      <c r="DO307" s="43" t="e">
        <f t="shared" si="125"/>
        <v>#N/A</v>
      </c>
      <c r="DP307" s="43" t="e">
        <f t="shared" si="126"/>
        <v>#N/A</v>
      </c>
      <c r="DQ307" s="43" t="e">
        <f t="shared" si="127"/>
        <v>#N/A</v>
      </c>
      <c r="DR307" s="43" t="e">
        <f t="shared" si="128"/>
        <v>#N/A</v>
      </c>
      <c r="DS307" s="43">
        <f t="shared" si="129"/>
        <v>0</v>
      </c>
    </row>
    <row r="308" spans="1:123" ht="12" customHeight="1">
      <c r="A308" s="640">
        <v>296</v>
      </c>
      <c r="B308" s="994"/>
      <c r="C308" s="995"/>
      <c r="D308" s="329"/>
      <c r="E308" s="884"/>
      <c r="F308" s="1027" t="str">
        <f t="shared" si="130"/>
        <v/>
      </c>
      <c r="G308" s="1028" t="str">
        <f t="shared" si="131"/>
        <v/>
      </c>
      <c r="H308" s="886"/>
      <c r="I308" s="458" t="str">
        <f t="shared" si="132"/>
        <v/>
      </c>
      <c r="J308" s="886"/>
      <c r="DF308" s="43" t="b">
        <f t="shared" si="116"/>
        <v>0</v>
      </c>
      <c r="DG308" s="43" t="str">
        <f t="shared" si="117"/>
        <v/>
      </c>
      <c r="DH308" s="43" t="str">
        <f t="shared" si="118"/>
        <v/>
      </c>
      <c r="DI308" s="43" t="str">
        <f t="shared" si="119"/>
        <v/>
      </c>
      <c r="DJ308" s="43" t="str">
        <f t="shared" si="120"/>
        <v/>
      </c>
      <c r="DK308" s="43" t="e">
        <f t="shared" si="121"/>
        <v>#N/A</v>
      </c>
      <c r="DL308" s="43" t="e">
        <f t="shared" si="122"/>
        <v>#N/A</v>
      </c>
      <c r="DM308" s="43" t="e">
        <f t="shared" si="123"/>
        <v>#N/A</v>
      </c>
      <c r="DN308" s="43" t="e">
        <f t="shared" si="124"/>
        <v>#N/A</v>
      </c>
      <c r="DO308" s="43" t="e">
        <f t="shared" si="125"/>
        <v>#N/A</v>
      </c>
      <c r="DP308" s="43" t="e">
        <f t="shared" si="126"/>
        <v>#N/A</v>
      </c>
      <c r="DQ308" s="43" t="e">
        <f t="shared" si="127"/>
        <v>#N/A</v>
      </c>
      <c r="DR308" s="43" t="e">
        <f t="shared" si="128"/>
        <v>#N/A</v>
      </c>
      <c r="DS308" s="43">
        <f t="shared" si="129"/>
        <v>0</v>
      </c>
    </row>
    <row r="309" spans="1:123" ht="12" customHeight="1">
      <c r="A309" s="640">
        <v>297</v>
      </c>
      <c r="B309" s="994"/>
      <c r="C309" s="995"/>
      <c r="D309" s="329"/>
      <c r="E309" s="884"/>
      <c r="F309" s="1027" t="str">
        <f t="shared" si="130"/>
        <v/>
      </c>
      <c r="G309" s="1028" t="str">
        <f t="shared" si="131"/>
        <v/>
      </c>
      <c r="H309" s="886"/>
      <c r="I309" s="458" t="str">
        <f t="shared" si="132"/>
        <v/>
      </c>
      <c r="J309" s="886"/>
      <c r="DF309" s="43" t="b">
        <f t="shared" si="116"/>
        <v>0</v>
      </c>
      <c r="DG309" s="43" t="str">
        <f t="shared" si="117"/>
        <v/>
      </c>
      <c r="DH309" s="43" t="str">
        <f t="shared" si="118"/>
        <v/>
      </c>
      <c r="DI309" s="43" t="str">
        <f t="shared" si="119"/>
        <v/>
      </c>
      <c r="DJ309" s="43" t="str">
        <f t="shared" si="120"/>
        <v/>
      </c>
      <c r="DK309" s="43" t="e">
        <f t="shared" si="121"/>
        <v>#N/A</v>
      </c>
      <c r="DL309" s="43" t="e">
        <f t="shared" si="122"/>
        <v>#N/A</v>
      </c>
      <c r="DM309" s="43" t="e">
        <f t="shared" si="123"/>
        <v>#N/A</v>
      </c>
      <c r="DN309" s="43" t="e">
        <f t="shared" si="124"/>
        <v>#N/A</v>
      </c>
      <c r="DO309" s="43" t="e">
        <f t="shared" si="125"/>
        <v>#N/A</v>
      </c>
      <c r="DP309" s="43" t="e">
        <f t="shared" si="126"/>
        <v>#N/A</v>
      </c>
      <c r="DQ309" s="43" t="e">
        <f t="shared" si="127"/>
        <v>#N/A</v>
      </c>
      <c r="DR309" s="43" t="e">
        <f t="shared" si="128"/>
        <v>#N/A</v>
      </c>
      <c r="DS309" s="43">
        <f t="shared" si="129"/>
        <v>0</v>
      </c>
    </row>
    <row r="310" spans="1:123" ht="12" customHeight="1">
      <c r="A310" s="640">
        <v>298</v>
      </c>
      <c r="B310" s="994"/>
      <c r="C310" s="995"/>
      <c r="D310" s="329"/>
      <c r="E310" s="884"/>
      <c r="F310" s="1027" t="str">
        <f t="shared" si="130"/>
        <v/>
      </c>
      <c r="G310" s="1028" t="str">
        <f t="shared" si="131"/>
        <v/>
      </c>
      <c r="H310" s="886"/>
      <c r="I310" s="458" t="str">
        <f t="shared" si="132"/>
        <v/>
      </c>
      <c r="J310" s="886"/>
      <c r="DF310" s="43" t="b">
        <f t="shared" si="116"/>
        <v>0</v>
      </c>
      <c r="DG310" s="43" t="str">
        <f t="shared" si="117"/>
        <v/>
      </c>
      <c r="DH310" s="43" t="str">
        <f t="shared" si="118"/>
        <v/>
      </c>
      <c r="DI310" s="43" t="str">
        <f t="shared" si="119"/>
        <v/>
      </c>
      <c r="DJ310" s="43" t="str">
        <f t="shared" si="120"/>
        <v/>
      </c>
      <c r="DK310" s="43" t="e">
        <f t="shared" si="121"/>
        <v>#N/A</v>
      </c>
      <c r="DL310" s="43" t="e">
        <f t="shared" si="122"/>
        <v>#N/A</v>
      </c>
      <c r="DM310" s="43" t="e">
        <f t="shared" si="123"/>
        <v>#N/A</v>
      </c>
      <c r="DN310" s="43" t="e">
        <f t="shared" si="124"/>
        <v>#N/A</v>
      </c>
      <c r="DO310" s="43" t="e">
        <f t="shared" si="125"/>
        <v>#N/A</v>
      </c>
      <c r="DP310" s="43" t="e">
        <f t="shared" si="126"/>
        <v>#N/A</v>
      </c>
      <c r="DQ310" s="43" t="e">
        <f t="shared" si="127"/>
        <v>#N/A</v>
      </c>
      <c r="DR310" s="43" t="e">
        <f t="shared" si="128"/>
        <v>#N/A</v>
      </c>
      <c r="DS310" s="43">
        <f t="shared" si="129"/>
        <v>0</v>
      </c>
    </row>
    <row r="311" spans="1:123" ht="12" customHeight="1">
      <c r="A311" s="640">
        <v>299</v>
      </c>
      <c r="B311" s="994"/>
      <c r="C311" s="995"/>
      <c r="D311" s="329"/>
      <c r="E311" s="884"/>
      <c r="F311" s="1027" t="str">
        <f t="shared" si="130"/>
        <v/>
      </c>
      <c r="G311" s="1028" t="str">
        <f t="shared" si="131"/>
        <v/>
      </c>
      <c r="H311" s="886"/>
      <c r="I311" s="458" t="str">
        <f t="shared" si="132"/>
        <v/>
      </c>
      <c r="J311" s="886"/>
    </row>
    <row r="312" spans="1:123" ht="12" customHeight="1">
      <c r="A312" s="640">
        <v>300</v>
      </c>
      <c r="B312" s="994"/>
      <c r="C312" s="995"/>
      <c r="D312" s="329"/>
      <c r="E312" s="884"/>
      <c r="F312" s="1027" t="str">
        <f t="shared" si="130"/>
        <v/>
      </c>
      <c r="G312" s="1028" t="str">
        <f t="shared" si="131"/>
        <v/>
      </c>
      <c r="H312" s="886"/>
      <c r="I312" s="458" t="str">
        <f t="shared" si="132"/>
        <v/>
      </c>
      <c r="J312" s="886"/>
    </row>
    <row r="313" spans="1:123" ht="12" customHeight="1">
      <c r="A313" s="964"/>
      <c r="B313" s="1087"/>
      <c r="C313" s="1087"/>
      <c r="D313" s="1087"/>
      <c r="E313" s="891"/>
      <c r="F313" s="892"/>
      <c r="G313" s="892"/>
      <c r="H313" s="892"/>
      <c r="I313" s="892"/>
      <c r="J313" s="893"/>
    </row>
  </sheetData>
  <sheetProtection sheet="1" objects="1" scenarios="1" selectLockedCells="1"/>
  <phoneticPr fontId="2" type="noConversion"/>
  <conditionalFormatting sqref="Y48 DD31">
    <cfRule type="cellIs" dxfId="13" priority="1" stopIfTrue="1" operator="lessThan">
      <formula>$DD$26</formula>
    </cfRule>
    <cfRule type="cellIs" dxfId="12" priority="2" stopIfTrue="1" operator="greaterThan">
      <formula>$DD$26</formula>
    </cfRule>
  </conditionalFormatting>
  <conditionalFormatting sqref="Y45">
    <cfRule type="cellIs" dxfId="11" priority="3" stopIfTrue="1" operator="lessThan">
      <formula>$DD$26</formula>
    </cfRule>
    <cfRule type="cellIs" dxfId="10" priority="4" stopIfTrue="1" operator="greaterThan">
      <formula>$DD$26</formula>
    </cfRule>
  </conditionalFormatting>
  <dataValidations count="2">
    <dataValidation type="decimal" operator="notEqual" allowBlank="1" showInputMessage="1" showErrorMessage="1" errorTitle="Data value" error="Must be a number" sqref="BB7:BC306 BV7:BW306 CA7:CB306 BQ7:BR306 BG7:BH306 BL7:BM306 B13:C312">
      <formula1>-9999999999999990</formula1>
    </dataValidation>
    <dataValidation type="decimal" allowBlank="1" showInputMessage="1" showErrorMessage="1" errorTitle="Confidence level" error="Min=0, max=99.9" sqref="Q2">
      <formula1>0</formula1>
      <formula2>99.9</formula2>
    </dataValidation>
  </dataValidations>
  <pageMargins left="0.75" right="0.75" top="1" bottom="1" header="0.5" footer="0.5"/>
  <pageSetup paperSize="9"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sheetPr codeName="Sheet7"/>
  <dimension ref="A1:BG2000"/>
  <sheetViews>
    <sheetView showGridLines="0" showRowColHeaders="0" zoomScale="120" workbookViewId="0">
      <selection activeCell="O2" sqref="O2"/>
    </sheetView>
  </sheetViews>
  <sheetFormatPr defaultRowHeight="12" customHeight="1"/>
  <cols>
    <col min="1" max="1" width="2.28515625" style="5" customWidth="1"/>
    <col min="2" max="2" width="6.42578125" style="5" customWidth="1"/>
    <col min="3" max="3" width="6.28515625" style="5" customWidth="1"/>
    <col min="4" max="4" width="3.28515625" style="5" customWidth="1"/>
    <col min="5" max="5" width="6.28515625" style="5" customWidth="1"/>
    <col min="6" max="6" width="2.28515625" style="5" customWidth="1"/>
    <col min="7" max="7" width="6.28515625" style="5" customWidth="1"/>
    <col min="8" max="8" width="1.42578125" style="5" customWidth="1"/>
    <col min="9" max="9" width="6.28515625" style="5" customWidth="1"/>
    <col min="10" max="10" width="2.85546875" style="5" customWidth="1"/>
    <col min="11" max="11" width="1.7109375" style="5" customWidth="1"/>
    <col min="12" max="12" width="8.5703125" style="5" customWidth="1"/>
    <col min="13" max="13" width="1.7109375" style="5" customWidth="1"/>
    <col min="14" max="14" width="6.28515625" style="5" customWidth="1"/>
    <col min="15" max="20" width="8.85546875" style="5" customWidth="1"/>
    <col min="21" max="37" width="6.28515625" style="5" customWidth="1"/>
    <col min="38" max="38" width="7.85546875" style="79" customWidth="1"/>
    <col min="39" max="57" width="6.28515625" style="5" customWidth="1"/>
    <col min="58" max="58" width="6.85546875" style="5" customWidth="1"/>
    <col min="59" max="66" width="6.28515625" style="5" customWidth="1"/>
    <col min="67" max="16384" width="9.140625" style="5"/>
  </cols>
  <sheetData>
    <row r="1" spans="1:59" ht="12" customHeight="1">
      <c r="C1" s="542" t="s">
        <v>744</v>
      </c>
      <c r="K1" s="1088"/>
      <c r="L1" s="1089"/>
      <c r="M1" s="1090"/>
      <c r="N1" s="82">
        <f>($G$7+$C$7+$C$12+$G$22+$BF$4)/1000000</f>
        <v>2.5040000000000001E-4</v>
      </c>
      <c r="O1" s="82">
        <f t="shared" ref="O1:T1" si="0">$N$1</f>
        <v>2.5040000000000001E-4</v>
      </c>
      <c r="P1" s="82">
        <f t="shared" si="0"/>
        <v>2.5040000000000001E-4</v>
      </c>
      <c r="Q1" s="82">
        <f t="shared" si="0"/>
        <v>2.5040000000000001E-4</v>
      </c>
      <c r="R1" s="82">
        <f t="shared" si="0"/>
        <v>2.5040000000000001E-4</v>
      </c>
      <c r="S1" s="82">
        <f t="shared" si="0"/>
        <v>2.5040000000000001E-4</v>
      </c>
      <c r="T1" s="84">
        <f t="shared" si="0"/>
        <v>2.5040000000000001E-4</v>
      </c>
      <c r="U1" s="82"/>
      <c r="V1" s="82"/>
      <c r="W1" s="82"/>
      <c r="X1" s="82"/>
      <c r="Y1" s="82"/>
      <c r="Z1" s="82"/>
      <c r="AA1" s="82"/>
      <c r="AB1" s="82"/>
      <c r="AC1" s="82"/>
      <c r="AD1" s="82"/>
      <c r="AE1" s="82"/>
      <c r="AF1" s="82"/>
      <c r="AG1" s="82"/>
      <c r="AH1" s="82"/>
      <c r="AI1" s="82"/>
      <c r="AJ1" s="82"/>
      <c r="AK1" s="82"/>
      <c r="AL1" s="84"/>
      <c r="AM1" s="84"/>
      <c r="AN1" s="84"/>
      <c r="AO1" s="84"/>
      <c r="AP1" s="84"/>
      <c r="AQ1" s="84"/>
      <c r="AV1" s="262"/>
      <c r="AW1" s="263" t="s">
        <v>1217</v>
      </c>
      <c r="AX1" s="144">
        <v>1</v>
      </c>
      <c r="AY1" s="264">
        <f>G7</f>
        <v>0.4</v>
      </c>
      <c r="AZ1" s="5" t="s">
        <v>932</v>
      </c>
      <c r="BB1" s="62"/>
      <c r="BE1" s="62" t="s">
        <v>937</v>
      </c>
      <c r="BF1" s="95">
        <v>25</v>
      </c>
      <c r="BG1" s="58"/>
    </row>
    <row r="2" spans="1:59" ht="12" customHeight="1">
      <c r="C2" s="5" t="s">
        <v>91</v>
      </c>
      <c r="K2" s="1091"/>
      <c r="L2" s="1092"/>
      <c r="M2" s="1093"/>
      <c r="N2" s="82">
        <f t="shared" ref="N2:N38" si="1">$N$1</f>
        <v>2.5040000000000001E-4</v>
      </c>
      <c r="O2" s="107"/>
      <c r="P2" s="68"/>
      <c r="Q2" s="109"/>
      <c r="R2" s="68"/>
      <c r="S2" s="68"/>
      <c r="T2" s="84">
        <f t="shared" ref="T2:T35" si="2">$N$1</f>
        <v>2.5040000000000001E-4</v>
      </c>
      <c r="U2" s="82"/>
      <c r="AL2" s="84"/>
      <c r="AV2" s="114" t="s">
        <v>65</v>
      </c>
      <c r="AW2" s="66">
        <f>NORMSINV(0.5+C12/200)</f>
        <v>1.959963984540054</v>
      </c>
      <c r="AX2" s="114" t="s">
        <v>921</v>
      </c>
      <c r="AY2" s="93">
        <f>AW3+$AW$2*AW4</f>
        <v>0.80084417488565907</v>
      </c>
      <c r="AZ2" s="5" t="s">
        <v>933</v>
      </c>
      <c r="BA2" s="5">
        <v>1000</v>
      </c>
      <c r="BB2" s="62" t="s">
        <v>939</v>
      </c>
      <c r="BC2" s="5">
        <v>2E-3</v>
      </c>
      <c r="BE2" s="62" t="s">
        <v>944</v>
      </c>
      <c r="BF2" s="95" t="b">
        <v>0</v>
      </c>
    </row>
    <row r="3" spans="1:59" ht="12" customHeight="1">
      <c r="C3" s="5" t="s">
        <v>92</v>
      </c>
      <c r="K3" s="1091"/>
      <c r="L3" s="1092"/>
      <c r="M3" s="1093"/>
      <c r="N3" s="82">
        <f t="shared" si="1"/>
        <v>2.5040000000000001E-4</v>
      </c>
      <c r="O3" s="107"/>
      <c r="P3" s="68"/>
      <c r="Q3" s="109"/>
      <c r="R3" s="68"/>
      <c r="S3" s="68"/>
      <c r="T3" s="84">
        <f t="shared" si="2"/>
        <v>2.5040000000000001E-4</v>
      </c>
      <c r="U3" s="82"/>
      <c r="AL3" s="84"/>
      <c r="AR3" s="68"/>
      <c r="AS3" s="68"/>
      <c r="AV3" s="260" t="s">
        <v>717</v>
      </c>
      <c r="AW3" s="68">
        <f>0.5*LN((1+G7)/(1-G7))</f>
        <v>0.42364893019360184</v>
      </c>
      <c r="AX3" s="260" t="s">
        <v>922</v>
      </c>
      <c r="AY3" s="91">
        <f>AW3-$AW$2*AW4</f>
        <v>4.6453685501544606E-2</v>
      </c>
      <c r="AZ3" s="62" t="s">
        <v>753</v>
      </c>
      <c r="BA3" s="5">
        <f>2*(1-NORMSDIST(ABS(BF8/AW4)))</f>
        <v>2.7711650827982215E-2</v>
      </c>
      <c r="BB3" s="65" t="s">
        <v>934</v>
      </c>
      <c r="BC3" s="93">
        <v>-3</v>
      </c>
      <c r="BE3" s="5" t="s">
        <v>55</v>
      </c>
      <c r="BF3" s="1094">
        <v>600</v>
      </c>
    </row>
    <row r="4" spans="1:59" ht="12" customHeight="1">
      <c r="K4" s="1091"/>
      <c r="L4" s="1092"/>
      <c r="M4" s="1093"/>
      <c r="N4" s="82">
        <f t="shared" si="1"/>
        <v>2.5040000000000001E-4</v>
      </c>
      <c r="S4" s="68"/>
      <c r="T4" s="84">
        <f t="shared" si="2"/>
        <v>2.5040000000000001E-4</v>
      </c>
      <c r="U4" s="82"/>
      <c r="AL4" s="84"/>
      <c r="AR4" s="68"/>
      <c r="AS4" s="68"/>
      <c r="AV4" s="115" t="s">
        <v>920</v>
      </c>
      <c r="AW4" s="70">
        <f>1/SQRT(C7-3)</f>
        <v>0.19245008972987526</v>
      </c>
      <c r="AX4" s="67" t="s">
        <v>927</v>
      </c>
      <c r="AY4" s="91">
        <f>$AW$2*AW4</f>
        <v>0.37719524469205723</v>
      </c>
      <c r="AZ4" s="5" t="s">
        <v>754</v>
      </c>
      <c r="BA4" s="5">
        <f>TDIST(ABS(G7*SQRT(C7-2)/SQRT(1-G7^2)),C7-2,2)</f>
        <v>2.8513059167689377E-2</v>
      </c>
      <c r="BB4" s="69" t="s">
        <v>935</v>
      </c>
      <c r="BC4" s="97">
        <f>-2*BC3/BA2</f>
        <v>6.0000000000000001E-3</v>
      </c>
      <c r="BE4" s="5" t="s">
        <v>751</v>
      </c>
      <c r="BF4" s="95">
        <v>100</v>
      </c>
    </row>
    <row r="5" spans="1:59" ht="12" customHeight="1">
      <c r="A5" s="1095">
        <v>1</v>
      </c>
      <c r="B5" s="1096" t="s">
        <v>93</v>
      </c>
      <c r="C5" s="1089"/>
      <c r="D5" s="1089"/>
      <c r="E5" s="1089"/>
      <c r="F5" s="1089"/>
      <c r="G5" s="1089"/>
      <c r="H5" s="1089"/>
      <c r="I5" s="1089"/>
      <c r="J5" s="1089"/>
      <c r="K5" s="1092"/>
      <c r="L5" s="1092"/>
      <c r="M5" s="1093"/>
      <c r="N5" s="82">
        <f t="shared" si="1"/>
        <v>2.5040000000000001E-4</v>
      </c>
      <c r="S5" s="68"/>
      <c r="T5" s="84">
        <f t="shared" si="2"/>
        <v>2.5040000000000001E-4</v>
      </c>
      <c r="U5" s="82"/>
      <c r="AL5" s="84"/>
      <c r="AR5" s="68"/>
      <c r="AS5" s="68"/>
      <c r="AV5" s="23" t="s">
        <v>938</v>
      </c>
      <c r="AW5" s="23"/>
      <c r="AX5" s="127" t="s">
        <v>943</v>
      </c>
      <c r="AY5" s="128"/>
      <c r="AZ5" s="94"/>
      <c r="BA5" s="94"/>
      <c r="BB5" s="94"/>
      <c r="BC5" s="94"/>
      <c r="BD5" s="94"/>
      <c r="BE5" s="62" t="s">
        <v>752</v>
      </c>
      <c r="BF5" s="1097" t="b">
        <v>0</v>
      </c>
    </row>
    <row r="6" spans="1:59" ht="12" customHeight="1">
      <c r="A6" s="1091"/>
      <c r="B6" s="1092"/>
      <c r="C6" s="1092"/>
      <c r="D6" s="1092"/>
      <c r="E6" s="1092"/>
      <c r="F6" s="1092"/>
      <c r="G6" s="1092"/>
      <c r="H6" s="1092"/>
      <c r="I6" s="1092"/>
      <c r="J6" s="1092"/>
      <c r="K6" s="1092"/>
      <c r="L6" s="1092"/>
      <c r="M6" s="1093"/>
      <c r="N6" s="82">
        <f t="shared" si="1"/>
        <v>2.5040000000000001E-4</v>
      </c>
      <c r="S6" s="68"/>
      <c r="T6" s="84">
        <f t="shared" si="2"/>
        <v>2.5040000000000001E-4</v>
      </c>
      <c r="U6" s="82"/>
      <c r="AL6" s="84"/>
      <c r="AR6" s="68"/>
      <c r="AS6" s="68"/>
      <c r="AV6" s="5" t="s">
        <v>717</v>
      </c>
      <c r="AW6" s="5" t="s">
        <v>936</v>
      </c>
      <c r="AX6" s="58" t="s">
        <v>1184</v>
      </c>
      <c r="AY6" s="58" t="s">
        <v>739</v>
      </c>
      <c r="AZ6" s="58" t="s">
        <v>738</v>
      </c>
      <c r="BA6" s="58" t="s">
        <v>940</v>
      </c>
      <c r="BB6" s="58" t="s">
        <v>941</v>
      </c>
      <c r="BC6" s="58" t="s">
        <v>1275</v>
      </c>
      <c r="BD6" s="1098" t="s">
        <v>94</v>
      </c>
      <c r="BE6" s="62" t="s">
        <v>755</v>
      </c>
      <c r="BF6" s="58">
        <f>(100-BF4)/100</f>
        <v>0</v>
      </c>
    </row>
    <row r="7" spans="1:59" ht="12" customHeight="1">
      <c r="A7" s="1099"/>
      <c r="B7" s="1100" t="s">
        <v>1186</v>
      </c>
      <c r="C7" s="639">
        <v>30</v>
      </c>
      <c r="D7" s="1092"/>
      <c r="E7" s="1101"/>
      <c r="F7" s="1102" t="s">
        <v>745</v>
      </c>
      <c r="G7" s="1103">
        <f>(1000-BF3)/1000</f>
        <v>0.4</v>
      </c>
      <c r="H7" s="1092"/>
      <c r="I7" s="1092"/>
      <c r="J7" s="1092"/>
      <c r="K7" s="1092"/>
      <c r="L7" s="1092"/>
      <c r="M7" s="1093"/>
      <c r="N7" s="82">
        <f t="shared" si="1"/>
        <v>2.5040000000000001E-4</v>
      </c>
      <c r="S7" s="68"/>
      <c r="T7" s="84">
        <f t="shared" si="2"/>
        <v>2.5040000000000001E-4</v>
      </c>
      <c r="U7" s="82"/>
      <c r="AL7" s="84"/>
      <c r="AR7" s="267"/>
      <c r="AS7" s="109"/>
      <c r="AV7" s="5">
        <f>BC3</f>
        <v>-3</v>
      </c>
      <c r="AW7" s="5">
        <f t="shared" ref="AW7:AW70" si="3">$G$22*NORMDIST(AV7,$AW$3,$AW$4,FALSE)</f>
        <v>9.8268662207249717E-68</v>
      </c>
      <c r="AX7" s="5">
        <v>1</v>
      </c>
      <c r="AY7" s="5" t="e">
        <f t="shared" ref="AY7:AY70" si="4">IF($BF$2,AX7+AW7*$BC$2*BD7,NA())</f>
        <v>#N/A</v>
      </c>
      <c r="AZ7" s="5" t="e">
        <f t="shared" ref="AZ7:AZ70" si="5">IF($BF$2,AX7-AW7*$BC$2*BD7,NA())</f>
        <v>#N/A</v>
      </c>
      <c r="BA7" s="5">
        <f t="shared" ref="BA7:BA70" si="6">(EXP(2*AV7)-1)/(EXP(2*AV7)+1)</f>
        <v>-0.99505475368673058</v>
      </c>
      <c r="BD7" s="5">
        <f t="shared" ref="BD7:BD70" si="7">(AV7-AV8)/(BA7-BA8)</f>
        <v>100.75389487982562</v>
      </c>
      <c r="BE7" s="62" t="s">
        <v>758</v>
      </c>
      <c r="BF7" s="5">
        <f>0.5*LN((1+BF6)/(1-BF6))</f>
        <v>0</v>
      </c>
    </row>
    <row r="8" spans="1:59" ht="12" customHeight="1">
      <c r="A8" s="1104"/>
      <c r="B8" s="1105"/>
      <c r="C8" s="1106"/>
      <c r="D8" s="1105"/>
      <c r="E8" s="1105"/>
      <c r="F8" s="1105"/>
      <c r="G8" s="1105"/>
      <c r="H8" s="1105"/>
      <c r="I8" s="1105"/>
      <c r="J8" s="1105"/>
      <c r="K8" s="1092"/>
      <c r="L8" s="1092"/>
      <c r="M8" s="1093"/>
      <c r="N8" s="82">
        <f t="shared" si="1"/>
        <v>2.5040000000000001E-4</v>
      </c>
      <c r="S8" s="68"/>
      <c r="T8" s="84">
        <f t="shared" si="2"/>
        <v>2.5040000000000001E-4</v>
      </c>
      <c r="U8" s="82"/>
      <c r="AL8" s="84"/>
      <c r="AR8" s="68"/>
      <c r="AS8" s="109"/>
      <c r="AV8" s="5">
        <f t="shared" ref="AV8:AV71" si="8">AV7+$BC$4</f>
        <v>-2.9940000000000002</v>
      </c>
      <c r="AW8" s="5">
        <f t="shared" si="3"/>
        <v>1.7103193706620263E-67</v>
      </c>
      <c r="AX8" s="5">
        <v>1</v>
      </c>
      <c r="AY8" s="5" t="e">
        <f t="shared" si="4"/>
        <v>#N/A</v>
      </c>
      <c r="AZ8" s="5" t="e">
        <f t="shared" si="5"/>
        <v>#N/A</v>
      </c>
      <c r="BA8" s="5">
        <f t="shared" si="6"/>
        <v>-0.99499520263903007</v>
      </c>
      <c r="BD8" s="5">
        <f t="shared" si="7"/>
        <v>99.558052669120329</v>
      </c>
      <c r="BE8" s="62" t="s">
        <v>759</v>
      </c>
      <c r="BF8" s="5">
        <f>ABS(AW3-BF7)</f>
        <v>0.42364893019360184</v>
      </c>
    </row>
    <row r="9" spans="1:59" ht="12" customHeight="1">
      <c r="A9" s="19"/>
      <c r="B9" s="19"/>
      <c r="C9" s="170"/>
      <c r="D9" s="19"/>
      <c r="E9" s="19"/>
      <c r="F9" s="19"/>
      <c r="G9" s="19"/>
      <c r="H9" s="19"/>
      <c r="I9" s="19"/>
      <c r="J9" s="19"/>
      <c r="K9" s="1091"/>
      <c r="L9" s="1092"/>
      <c r="M9" s="1093"/>
      <c r="N9" s="82">
        <f t="shared" si="1"/>
        <v>2.5040000000000001E-4</v>
      </c>
      <c r="S9" s="68"/>
      <c r="T9" s="84">
        <f t="shared" si="2"/>
        <v>2.5040000000000001E-4</v>
      </c>
      <c r="U9" s="82"/>
      <c r="AL9" s="84"/>
      <c r="AQ9" s="84"/>
      <c r="AV9" s="5">
        <f t="shared" si="8"/>
        <v>-2.9880000000000004</v>
      </c>
      <c r="AW9" s="5">
        <f t="shared" si="3"/>
        <v>2.9738376186749079E-67</v>
      </c>
      <c r="AX9" s="5">
        <v>1</v>
      </c>
      <c r="AY9" s="5" t="e">
        <f t="shared" si="4"/>
        <v>#N/A</v>
      </c>
      <c r="AZ9" s="5" t="e">
        <f t="shared" si="5"/>
        <v>#N/A</v>
      </c>
      <c r="BA9" s="5">
        <f t="shared" si="6"/>
        <v>-0.9949349362935247</v>
      </c>
      <c r="BD9" s="5">
        <f t="shared" si="7"/>
        <v>98.376474987704782</v>
      </c>
      <c r="BE9" s="5" t="s">
        <v>756</v>
      </c>
      <c r="BF9" s="58"/>
    </row>
    <row r="10" spans="1:59" ht="12" customHeight="1">
      <c r="A10" s="1107">
        <v>2</v>
      </c>
      <c r="B10" s="496" t="s">
        <v>56</v>
      </c>
      <c r="C10" s="125"/>
      <c r="D10" s="1108"/>
      <c r="E10" s="125"/>
      <c r="F10" s="125"/>
      <c r="G10" s="125"/>
      <c r="H10" s="1109" t="s">
        <v>95</v>
      </c>
      <c r="I10" s="125"/>
      <c r="J10" s="126"/>
      <c r="K10" s="1091"/>
      <c r="L10" s="1092"/>
      <c r="M10" s="1093"/>
      <c r="N10" s="82">
        <f t="shared" si="1"/>
        <v>2.5040000000000001E-4</v>
      </c>
      <c r="S10" s="68"/>
      <c r="T10" s="84">
        <f t="shared" si="2"/>
        <v>2.5040000000000001E-4</v>
      </c>
      <c r="U10" s="82"/>
      <c r="AL10" s="84"/>
      <c r="AQ10" s="84"/>
      <c r="AV10" s="5">
        <f t="shared" si="8"/>
        <v>-2.9820000000000007</v>
      </c>
      <c r="AW10" s="5">
        <f t="shared" si="3"/>
        <v>5.1657710389338322E-67</v>
      </c>
      <c r="AX10" s="5">
        <v>1</v>
      </c>
      <c r="AY10" s="5" t="e">
        <f t="shared" si="4"/>
        <v>#N/A</v>
      </c>
      <c r="AZ10" s="5" t="e">
        <f t="shared" si="5"/>
        <v>#N/A</v>
      </c>
      <c r="BA10" s="5">
        <f t="shared" si="6"/>
        <v>-0.99487394610251867</v>
      </c>
      <c r="BD10" s="5">
        <f t="shared" si="7"/>
        <v>97.208991687769625</v>
      </c>
      <c r="BE10" s="5" t="e">
        <f>IF(BF5,1.8,NA())</f>
        <v>#N/A</v>
      </c>
      <c r="BF10" s="58" t="e">
        <f>IF(BF5,BF6,NA())</f>
        <v>#N/A</v>
      </c>
    </row>
    <row r="11" spans="1:59" ht="12" customHeight="1">
      <c r="A11" s="216"/>
      <c r="B11" s="100"/>
      <c r="C11" s="100"/>
      <c r="D11" s="100"/>
      <c r="E11" s="100"/>
      <c r="F11" s="250" t="s">
        <v>52</v>
      </c>
      <c r="G11" s="1110">
        <f>(EXP(2*AY3)-1)/(EXP(2*AY3)+1)</f>
        <v>4.6420299488132824E-2</v>
      </c>
      <c r="H11" s="397" t="s">
        <v>1535</v>
      </c>
      <c r="I11" s="1111">
        <f>(EXP(2*AY2)-1)/(EXP(2*AY2)+1)</f>
        <v>0.6645084460840146</v>
      </c>
      <c r="J11" s="674" t="s">
        <v>1536</v>
      </c>
      <c r="K11" s="1091"/>
      <c r="L11" s="1092"/>
      <c r="M11" s="1093"/>
      <c r="N11" s="82">
        <f t="shared" si="1"/>
        <v>2.5040000000000001E-4</v>
      </c>
      <c r="Q11" s="68"/>
      <c r="R11" s="109"/>
      <c r="S11" s="68"/>
      <c r="T11" s="84">
        <f t="shared" si="2"/>
        <v>2.5040000000000001E-4</v>
      </c>
      <c r="U11" s="82"/>
      <c r="AL11" s="84"/>
      <c r="AQ11" s="84"/>
      <c r="AV11" s="5">
        <f t="shared" si="8"/>
        <v>-2.9760000000000009</v>
      </c>
      <c r="AW11" s="5">
        <f t="shared" si="3"/>
        <v>8.9646001032360127E-67</v>
      </c>
      <c r="AX11" s="5">
        <v>1</v>
      </c>
      <c r="AY11" s="5" t="e">
        <f t="shared" si="4"/>
        <v>#N/A</v>
      </c>
      <c r="AZ11" s="5" t="e">
        <f t="shared" si="5"/>
        <v>#N/A</v>
      </c>
      <c r="BA11" s="5">
        <f t="shared" si="6"/>
        <v>-0.99481222341724207</v>
      </c>
      <c r="BD11" s="5">
        <f t="shared" si="7"/>
        <v>96.055434648068498</v>
      </c>
      <c r="BE11" s="5" t="s">
        <v>757</v>
      </c>
      <c r="BF11" s="58"/>
    </row>
    <row r="12" spans="1:59" ht="12" customHeight="1">
      <c r="A12" s="216"/>
      <c r="B12" s="713" t="s">
        <v>746</v>
      </c>
      <c r="C12" s="639">
        <v>95</v>
      </c>
      <c r="D12" s="100"/>
      <c r="E12" s="100"/>
      <c r="F12" s="100"/>
      <c r="G12" s="94"/>
      <c r="H12" s="94"/>
      <c r="I12" s="94"/>
      <c r="J12" s="217"/>
      <c r="K12" s="1112"/>
      <c r="L12" s="1092"/>
      <c r="M12" s="1093"/>
      <c r="N12" s="82">
        <f t="shared" si="1"/>
        <v>2.5040000000000001E-4</v>
      </c>
      <c r="Q12" s="68"/>
      <c r="R12" s="68"/>
      <c r="S12" s="68"/>
      <c r="T12" s="84">
        <f t="shared" si="2"/>
        <v>2.5040000000000001E-4</v>
      </c>
      <c r="U12" s="82"/>
      <c r="AL12" s="84"/>
      <c r="AQ12" s="84"/>
      <c r="AV12" s="5">
        <f t="shared" si="8"/>
        <v>-2.9700000000000011</v>
      </c>
      <c r="AW12" s="5">
        <f t="shared" si="3"/>
        <v>1.5541915910597803E-66</v>
      </c>
      <c r="AX12" s="5">
        <v>1</v>
      </c>
      <c r="AY12" s="5" t="e">
        <f t="shared" si="4"/>
        <v>#N/A</v>
      </c>
      <c r="AZ12" s="5" t="e">
        <f t="shared" si="5"/>
        <v>#N/A</v>
      </c>
      <c r="BA12" s="5">
        <f t="shared" si="6"/>
        <v>-0.99474975948667965</v>
      </c>
      <c r="BD12" s="5">
        <f t="shared" si="7"/>
        <v>94.915637755586516</v>
      </c>
      <c r="BE12" s="5">
        <v>0</v>
      </c>
      <c r="BF12" s="40">
        <v>0</v>
      </c>
    </row>
    <row r="13" spans="1:59" ht="12" customHeight="1">
      <c r="A13" s="216"/>
      <c r="B13" s="100"/>
      <c r="C13" s="885"/>
      <c r="D13" s="100"/>
      <c r="E13" s="100"/>
      <c r="F13" s="100"/>
      <c r="G13" s="396" t="s">
        <v>747</v>
      </c>
      <c r="H13" s="100"/>
      <c r="I13" s="396" t="s">
        <v>748</v>
      </c>
      <c r="J13" s="217"/>
      <c r="K13" s="1091"/>
      <c r="L13" s="1092"/>
      <c r="M13" s="1093"/>
      <c r="N13" s="82">
        <f t="shared" si="1"/>
        <v>2.5040000000000001E-4</v>
      </c>
      <c r="Q13" s="68"/>
      <c r="R13" s="68"/>
      <c r="S13" s="68"/>
      <c r="T13" s="84">
        <f t="shared" si="2"/>
        <v>2.5040000000000001E-4</v>
      </c>
      <c r="U13" s="82"/>
      <c r="AL13" s="84"/>
      <c r="AQ13" s="84"/>
      <c r="AV13" s="5">
        <f t="shared" si="8"/>
        <v>-2.9640000000000013</v>
      </c>
      <c r="AW13" s="5">
        <f t="shared" si="3"/>
        <v>2.6918822227984745E-66</v>
      </c>
      <c r="AX13" s="5">
        <v>1</v>
      </c>
      <c r="AY13" s="5" t="e">
        <f t="shared" si="4"/>
        <v>#N/A</v>
      </c>
      <c r="AZ13" s="5" t="e">
        <f t="shared" si="5"/>
        <v>#N/A</v>
      </c>
      <c r="BA13" s="5">
        <f t="shared" si="6"/>
        <v>-0.99468654545639046</v>
      </c>
      <c r="BD13" s="5">
        <f t="shared" si="7"/>
        <v>93.789436877110106</v>
      </c>
    </row>
    <row r="14" spans="1:59" ht="12" customHeight="1">
      <c r="A14" s="216"/>
      <c r="B14" s="100"/>
      <c r="C14" s="885"/>
      <c r="D14" s="100"/>
      <c r="E14" s="100"/>
      <c r="F14" s="100"/>
      <c r="G14" s="396" t="s">
        <v>1280</v>
      </c>
      <c r="H14" s="396"/>
      <c r="I14" s="396" t="s">
        <v>1280</v>
      </c>
      <c r="J14" s="217"/>
      <c r="K14" s="1091"/>
      <c r="L14" s="1092"/>
      <c r="M14" s="1093"/>
      <c r="N14" s="82">
        <f t="shared" si="1"/>
        <v>2.5040000000000001E-4</v>
      </c>
      <c r="Q14" s="68"/>
      <c r="R14" s="68"/>
      <c r="S14" s="68"/>
      <c r="T14" s="84">
        <f t="shared" si="2"/>
        <v>2.5040000000000001E-4</v>
      </c>
      <c r="U14" s="82"/>
      <c r="AL14" s="84"/>
      <c r="AQ14" s="84"/>
      <c r="AV14" s="5">
        <f t="shared" si="8"/>
        <v>-2.9580000000000015</v>
      </c>
      <c r="AW14" s="5">
        <f t="shared" si="3"/>
        <v>4.6578491542154623E-66</v>
      </c>
      <c r="AX14" s="5">
        <v>1</v>
      </c>
      <c r="AY14" s="5" t="e">
        <f t="shared" si="4"/>
        <v>#N/A</v>
      </c>
      <c r="AZ14" s="5" t="e">
        <f t="shared" si="5"/>
        <v>#N/A</v>
      </c>
      <c r="BA14" s="5">
        <f t="shared" si="6"/>
        <v>-0.99462257236731155</v>
      </c>
      <c r="BD14" s="5">
        <f t="shared" si="7"/>
        <v>92.676669838236961</v>
      </c>
      <c r="BF14" s="58"/>
    </row>
    <row r="15" spans="1:59" ht="12" customHeight="1">
      <c r="A15" s="216"/>
      <c r="B15" s="100"/>
      <c r="C15" s="885"/>
      <c r="D15" s="395" t="s">
        <v>96</v>
      </c>
      <c r="E15" s="945">
        <f>(I15+G15)/2</f>
        <v>0.30904407329794092</v>
      </c>
      <c r="F15" s="100"/>
      <c r="G15" s="1113">
        <f>G7-G11</f>
        <v>0.35357970051186721</v>
      </c>
      <c r="H15" s="717"/>
      <c r="I15" s="1113">
        <f>I11-G7</f>
        <v>0.26450844608401458</v>
      </c>
      <c r="J15" s="217"/>
      <c r="K15" s="1091"/>
      <c r="L15" s="1092"/>
      <c r="M15" s="1093"/>
      <c r="N15" s="82">
        <f t="shared" si="1"/>
        <v>2.5040000000000001E-4</v>
      </c>
      <c r="O15" s="68"/>
      <c r="P15" s="68"/>
      <c r="Q15" s="68"/>
      <c r="R15" s="68"/>
      <c r="S15" s="68"/>
      <c r="T15" s="84">
        <f t="shared" si="2"/>
        <v>2.5040000000000001E-4</v>
      </c>
      <c r="U15" s="82"/>
      <c r="AL15" s="84"/>
      <c r="AQ15" s="84"/>
      <c r="AV15" s="5">
        <f t="shared" si="8"/>
        <v>-2.9520000000000017</v>
      </c>
      <c r="AW15" s="5">
        <f t="shared" si="3"/>
        <v>8.0517939166309941E-66</v>
      </c>
      <c r="AX15" s="5">
        <v>1</v>
      </c>
      <c r="AY15" s="5" t="e">
        <f t="shared" si="4"/>
        <v>#N/A</v>
      </c>
      <c r="AZ15" s="5" t="e">
        <f t="shared" si="5"/>
        <v>#N/A</v>
      </c>
      <c r="BA15" s="5">
        <f t="shared" si="6"/>
        <v>-0.99455783115455032</v>
      </c>
      <c r="BD15" s="5">
        <f t="shared" si="7"/>
        <v>91.577176397520773</v>
      </c>
      <c r="BF15" s="58"/>
    </row>
    <row r="16" spans="1:59" ht="12" customHeight="1">
      <c r="A16" s="127"/>
      <c r="B16" s="101"/>
      <c r="C16" s="101"/>
      <c r="D16" s="101"/>
      <c r="E16" s="101"/>
      <c r="F16" s="101"/>
      <c r="G16" s="101"/>
      <c r="H16" s="101"/>
      <c r="I16" s="101"/>
      <c r="J16" s="128"/>
      <c r="K16" s="1091"/>
      <c r="L16" s="1092"/>
      <c r="M16" s="1093"/>
      <c r="N16" s="82">
        <f t="shared" si="1"/>
        <v>2.5040000000000001E-4</v>
      </c>
      <c r="O16" s="68"/>
      <c r="P16" s="68"/>
      <c r="Q16" s="68"/>
      <c r="R16" s="109"/>
      <c r="S16" s="48"/>
      <c r="T16" s="84">
        <f t="shared" si="2"/>
        <v>2.5040000000000001E-4</v>
      </c>
      <c r="U16" s="82"/>
      <c r="AL16" s="84"/>
      <c r="AQ16" s="84"/>
      <c r="AV16" s="5">
        <f t="shared" si="8"/>
        <v>-2.946000000000002</v>
      </c>
      <c r="AW16" s="5">
        <f t="shared" si="3"/>
        <v>1.3905216257743554E-65</v>
      </c>
      <c r="AX16" s="5">
        <v>1</v>
      </c>
      <c r="AY16" s="5" t="e">
        <f t="shared" si="4"/>
        <v>#N/A</v>
      </c>
      <c r="AZ16" s="5" t="e">
        <f t="shared" si="5"/>
        <v>#N/A</v>
      </c>
      <c r="BA16" s="5">
        <f t="shared" si="6"/>
        <v>-0.99449231264616178</v>
      </c>
      <c r="BD16" s="5">
        <f t="shared" si="7"/>
        <v>90.490798227780814</v>
      </c>
      <c r="BF16" s="58"/>
    </row>
    <row r="17" spans="1:58" ht="12" customHeight="1">
      <c r="H17" s="19"/>
      <c r="I17" s="19"/>
      <c r="J17" s="19"/>
      <c r="K17" s="1091"/>
      <c r="L17" s="1092"/>
      <c r="M17" s="1093"/>
      <c r="N17" s="82">
        <f t="shared" si="1"/>
        <v>2.5040000000000001E-4</v>
      </c>
      <c r="O17" s="68"/>
      <c r="P17" s="68"/>
      <c r="Q17" s="68"/>
      <c r="R17" s="109"/>
      <c r="S17" s="107"/>
      <c r="T17" s="84">
        <f t="shared" si="2"/>
        <v>2.5040000000000001E-4</v>
      </c>
      <c r="U17" s="82"/>
      <c r="AL17" s="84"/>
      <c r="AQ17" s="84"/>
      <c r="AV17" s="5">
        <f t="shared" si="8"/>
        <v>-2.9400000000000022</v>
      </c>
      <c r="AW17" s="5">
        <f t="shared" si="3"/>
        <v>2.3990577924174079E-65</v>
      </c>
      <c r="AX17" s="5">
        <v>1</v>
      </c>
      <c r="AY17" s="5" t="e">
        <f t="shared" si="4"/>
        <v>#N/A</v>
      </c>
      <c r="AZ17" s="5" t="e">
        <f t="shared" si="5"/>
        <v>#N/A</v>
      </c>
      <c r="BA17" s="5">
        <f t="shared" si="6"/>
        <v>-0.99442600756191557</v>
      </c>
      <c r="BD17" s="5">
        <f t="shared" si="7"/>
        <v>89.417378886452028</v>
      </c>
      <c r="BF17" s="58"/>
    </row>
    <row r="18" spans="1:58" ht="12" customHeight="1">
      <c r="A18" s="833">
        <v>3</v>
      </c>
      <c r="B18" s="483" t="s">
        <v>749</v>
      </c>
      <c r="C18" s="9"/>
      <c r="D18" s="9"/>
      <c r="E18" s="9"/>
      <c r="F18" s="9"/>
      <c r="G18" s="9"/>
      <c r="H18" s="9"/>
      <c r="I18" s="9"/>
      <c r="J18" s="10"/>
      <c r="K18" s="1091"/>
      <c r="L18" s="1092"/>
      <c r="M18" s="1093"/>
      <c r="N18" s="82">
        <f t="shared" si="1"/>
        <v>2.5040000000000001E-4</v>
      </c>
      <c r="O18" s="68"/>
      <c r="P18" s="68"/>
      <c r="Q18" s="68"/>
      <c r="R18" s="68"/>
      <c r="S18" s="68"/>
      <c r="T18" s="84">
        <f t="shared" si="2"/>
        <v>2.5040000000000001E-4</v>
      </c>
      <c r="U18" s="82"/>
      <c r="AL18" s="84"/>
      <c r="AQ18" s="84"/>
      <c r="AV18" s="5">
        <f t="shared" si="8"/>
        <v>-2.9340000000000024</v>
      </c>
      <c r="AW18" s="5">
        <f t="shared" si="3"/>
        <v>4.1350573610955182E-65</v>
      </c>
      <c r="AX18" s="5">
        <v>1</v>
      </c>
      <c r="AY18" s="5" t="e">
        <f t="shared" si="4"/>
        <v>#N/A</v>
      </c>
      <c r="AZ18" s="5" t="e">
        <f t="shared" si="5"/>
        <v>#N/A</v>
      </c>
      <c r="BA18" s="5">
        <f t="shared" si="6"/>
        <v>-0.9943589065120445</v>
      </c>
      <c r="BD18" s="5">
        <f t="shared" si="7"/>
        <v>88.356763801335575</v>
      </c>
      <c r="BF18" s="58"/>
    </row>
    <row r="19" spans="1:58" ht="12" customHeight="1">
      <c r="A19" s="87"/>
      <c r="B19" s="12"/>
      <c r="C19" s="12"/>
      <c r="D19" s="845"/>
      <c r="E19" s="12"/>
      <c r="F19" s="12"/>
      <c r="G19" s="12"/>
      <c r="H19" s="12"/>
      <c r="I19" s="12"/>
      <c r="J19" s="13"/>
      <c r="K19" s="1091"/>
      <c r="L19" s="1092"/>
      <c r="M19" s="1093"/>
      <c r="N19" s="82">
        <f t="shared" si="1"/>
        <v>2.5040000000000001E-4</v>
      </c>
      <c r="O19" s="68"/>
      <c r="P19" s="68"/>
      <c r="Q19" s="68"/>
      <c r="R19" s="68"/>
      <c r="S19" s="68"/>
      <c r="T19" s="84">
        <f t="shared" si="2"/>
        <v>2.5040000000000001E-4</v>
      </c>
      <c r="U19" s="82"/>
      <c r="AL19" s="84"/>
      <c r="AQ19" s="84"/>
      <c r="AV19" s="5">
        <f t="shared" si="8"/>
        <v>-2.9280000000000026</v>
      </c>
      <c r="AW19" s="5">
        <f t="shared" si="3"/>
        <v>7.1203318121040797E-65</v>
      </c>
      <c r="AX19" s="5">
        <v>1</v>
      </c>
      <c r="AY19" s="5" t="e">
        <f t="shared" si="4"/>
        <v>#N/A</v>
      </c>
      <c r="AZ19" s="5" t="e">
        <f t="shared" si="5"/>
        <v>#N/A</v>
      </c>
      <c r="BA19" s="5">
        <f t="shared" si="6"/>
        <v>-0.99429099999598547</v>
      </c>
      <c r="BD19" s="5">
        <f t="shared" si="7"/>
        <v>87.308800240836547</v>
      </c>
      <c r="BF19" s="58"/>
    </row>
    <row r="20" spans="1:58" ht="12" customHeight="1">
      <c r="A20" s="87"/>
      <c r="B20" s="12" t="s">
        <v>750</v>
      </c>
      <c r="C20" s="12"/>
      <c r="D20" s="12"/>
      <c r="E20" s="23"/>
      <c r="F20" s="12"/>
      <c r="G20" s="12"/>
      <c r="H20" s="12"/>
      <c r="I20" s="12"/>
      <c r="J20" s="13"/>
      <c r="K20" s="1091"/>
      <c r="L20" s="1092"/>
      <c r="M20" s="1093"/>
      <c r="N20" s="82">
        <f t="shared" si="1"/>
        <v>2.5040000000000001E-4</v>
      </c>
      <c r="O20" s="68"/>
      <c r="P20" s="68"/>
      <c r="Q20" s="68"/>
      <c r="R20" s="68"/>
      <c r="S20" s="68"/>
      <c r="T20" s="84">
        <f t="shared" si="2"/>
        <v>2.5040000000000001E-4</v>
      </c>
      <c r="U20" s="82"/>
      <c r="AL20" s="84"/>
      <c r="AQ20" s="84"/>
      <c r="AV20" s="5">
        <f t="shared" si="8"/>
        <v>-2.9220000000000028</v>
      </c>
      <c r="AW20" s="5">
        <f t="shared" si="3"/>
        <v>1.2248891631707267E-64</v>
      </c>
      <c r="AX20" s="5">
        <v>1</v>
      </c>
      <c r="AY20" s="5" t="e">
        <f t="shared" si="4"/>
        <v>#N/A</v>
      </c>
      <c r="AZ20" s="5" t="e">
        <f t="shared" si="5"/>
        <v>#N/A</v>
      </c>
      <c r="BA20" s="5">
        <f t="shared" si="6"/>
        <v>-0.994222278401101</v>
      </c>
      <c r="BD20" s="5">
        <f t="shared" si="7"/>
        <v>86.273337296538202</v>
      </c>
      <c r="BF20" s="58"/>
    </row>
    <row r="21" spans="1:58" ht="12" customHeight="1">
      <c r="A21" s="87"/>
      <c r="B21" s="326"/>
      <c r="C21" s="12"/>
      <c r="D21" s="12"/>
      <c r="E21" s="12"/>
      <c r="F21" s="12"/>
      <c r="G21" s="12"/>
      <c r="H21" s="12"/>
      <c r="I21" s="12"/>
      <c r="J21" s="13"/>
      <c r="K21" s="1091"/>
      <c r="L21" s="1092"/>
      <c r="M21" s="1093"/>
      <c r="N21" s="82">
        <f t="shared" si="1"/>
        <v>2.5040000000000001E-4</v>
      </c>
      <c r="O21" s="68"/>
      <c r="P21" s="68"/>
      <c r="Q21" s="68"/>
      <c r="R21" s="68"/>
      <c r="S21" s="68"/>
      <c r="T21" s="84">
        <f t="shared" si="2"/>
        <v>2.5040000000000001E-4</v>
      </c>
      <c r="U21" s="82"/>
      <c r="AL21" s="84"/>
      <c r="AQ21" s="84"/>
      <c r="AV21" s="5">
        <f t="shared" si="8"/>
        <v>-2.916000000000003</v>
      </c>
      <c r="AW21" s="5">
        <f t="shared" si="3"/>
        <v>2.1050926650150074E-64</v>
      </c>
      <c r="AX21" s="5">
        <v>1</v>
      </c>
      <c r="AY21" s="5" t="e">
        <f t="shared" si="4"/>
        <v>#N/A</v>
      </c>
      <c r="AZ21" s="5" t="e">
        <f t="shared" si="5"/>
        <v>#N/A</v>
      </c>
      <c r="BA21" s="5">
        <f t="shared" si="6"/>
        <v>-0.99415273200139032</v>
      </c>
      <c r="BD21" s="5">
        <f t="shared" si="7"/>
        <v>85.250225860604431</v>
      </c>
      <c r="BF21" s="58"/>
    </row>
    <row r="22" spans="1:58" ht="12" customHeight="1">
      <c r="A22" s="87"/>
      <c r="B22" s="12"/>
      <c r="C22" s="12"/>
      <c r="D22" s="12"/>
      <c r="E22" s="12"/>
      <c r="F22" s="129" t="s">
        <v>942</v>
      </c>
      <c r="G22" s="1114">
        <f>BF1</f>
        <v>25</v>
      </c>
      <c r="H22" s="12"/>
      <c r="I22" s="12"/>
      <c r="J22" s="13"/>
      <c r="K22" s="1091"/>
      <c r="L22" s="1092"/>
      <c r="M22" s="1093"/>
      <c r="N22" s="82">
        <f t="shared" si="1"/>
        <v>2.5040000000000001E-4</v>
      </c>
      <c r="O22" s="68"/>
      <c r="P22" s="68"/>
      <c r="Q22" s="68"/>
      <c r="R22" s="68"/>
      <c r="S22" s="68"/>
      <c r="T22" s="84">
        <f t="shared" si="2"/>
        <v>2.5040000000000001E-4</v>
      </c>
      <c r="U22" s="82"/>
      <c r="AL22" s="84"/>
      <c r="AQ22" s="84"/>
      <c r="AV22" s="5">
        <f t="shared" si="8"/>
        <v>-2.9100000000000033</v>
      </c>
      <c r="AW22" s="5">
        <f t="shared" si="3"/>
        <v>3.6142942713465422E-64</v>
      </c>
      <c r="AX22" s="5">
        <v>1</v>
      </c>
      <c r="AY22" s="5" t="e">
        <f t="shared" si="4"/>
        <v>#N/A</v>
      </c>
      <c r="AZ22" s="5" t="e">
        <f t="shared" si="5"/>
        <v>#N/A</v>
      </c>
      <c r="BA22" s="5">
        <f t="shared" si="6"/>
        <v>-0.99408235095618569</v>
      </c>
      <c r="BD22" s="5">
        <f t="shared" si="7"/>
        <v>84.239318602267261</v>
      </c>
      <c r="BF22" s="58"/>
    </row>
    <row r="23" spans="1:58" ht="12" customHeight="1">
      <c r="A23" s="85"/>
      <c r="B23" s="16"/>
      <c r="C23" s="16"/>
      <c r="D23" s="16"/>
      <c r="E23" s="16"/>
      <c r="F23" s="16"/>
      <c r="G23" s="16"/>
      <c r="H23" s="16"/>
      <c r="I23" s="16"/>
      <c r="J23" s="17"/>
      <c r="K23" s="1091"/>
      <c r="L23" s="1092"/>
      <c r="M23" s="1093"/>
      <c r="N23" s="82">
        <f t="shared" si="1"/>
        <v>2.5040000000000001E-4</v>
      </c>
      <c r="O23" s="68"/>
      <c r="P23" s="68"/>
      <c r="Q23" s="68"/>
      <c r="R23" s="68"/>
      <c r="S23" s="68"/>
      <c r="T23" s="84">
        <f t="shared" si="2"/>
        <v>2.5040000000000001E-4</v>
      </c>
      <c r="U23" s="82"/>
      <c r="AL23" s="84"/>
      <c r="AQ23" s="84"/>
      <c r="AV23" s="5">
        <f t="shared" si="8"/>
        <v>-2.9040000000000035</v>
      </c>
      <c r="AW23" s="5">
        <f t="shared" si="3"/>
        <v>6.1994572068291564E-64</v>
      </c>
      <c r="AX23" s="5">
        <v>1</v>
      </c>
      <c r="AY23" s="5" t="e">
        <f t="shared" si="4"/>
        <v>#N/A</v>
      </c>
      <c r="AZ23" s="5" t="e">
        <f t="shared" si="5"/>
        <v>#N/A</v>
      </c>
      <c r="BA23" s="5">
        <f t="shared" si="6"/>
        <v>-0.99401112530883295</v>
      </c>
      <c r="BD23" s="5">
        <f t="shared" si="7"/>
        <v>83.240469950139172</v>
      </c>
      <c r="BF23" s="58"/>
    </row>
    <row r="24" spans="1:58" ht="12" customHeight="1">
      <c r="A24" s="19"/>
      <c r="B24" s="19"/>
      <c r="C24" s="19"/>
      <c r="D24" s="19"/>
      <c r="E24" s="19"/>
      <c r="F24" s="19"/>
      <c r="G24" s="19"/>
      <c r="H24" s="19"/>
      <c r="I24" s="19"/>
      <c r="J24" s="19"/>
      <c r="K24" s="1091"/>
      <c r="L24" s="1092"/>
      <c r="M24" s="1093"/>
      <c r="N24" s="82">
        <f t="shared" si="1"/>
        <v>2.5040000000000001E-4</v>
      </c>
      <c r="O24" s="68"/>
      <c r="P24" s="68"/>
      <c r="Q24" s="68"/>
      <c r="R24" s="68"/>
      <c r="S24" s="68"/>
      <c r="T24" s="84">
        <f t="shared" si="2"/>
        <v>2.5040000000000001E-4</v>
      </c>
      <c r="U24" s="82"/>
      <c r="AL24" s="84"/>
      <c r="AQ24" s="84"/>
      <c r="AV24" s="5">
        <f t="shared" si="8"/>
        <v>-2.8980000000000037</v>
      </c>
      <c r="AW24" s="5">
        <f t="shared" si="3"/>
        <v>1.062335487602114E-63</v>
      </c>
      <c r="AX24" s="5">
        <v>1</v>
      </c>
      <c r="AY24" s="5" t="e">
        <f t="shared" si="4"/>
        <v>#N/A</v>
      </c>
      <c r="AZ24" s="5" t="e">
        <f t="shared" si="5"/>
        <v>#N/A</v>
      </c>
      <c r="BA24" s="5">
        <f t="shared" si="6"/>
        <v>-0.99393904498536056</v>
      </c>
      <c r="BD24" s="5">
        <f t="shared" si="7"/>
        <v>82.253536067309483</v>
      </c>
      <c r="BF24" s="58"/>
    </row>
    <row r="25" spans="1:58" ht="12" customHeight="1">
      <c r="A25" s="808">
        <v>4</v>
      </c>
      <c r="B25" s="1115" t="s">
        <v>97</v>
      </c>
      <c r="C25" s="664"/>
      <c r="D25" s="664"/>
      <c r="E25" s="664"/>
      <c r="F25" s="664"/>
      <c r="G25" s="664"/>
      <c r="H25" s="664"/>
      <c r="I25" s="664"/>
      <c r="J25" s="358"/>
      <c r="K25" s="1091"/>
      <c r="L25" s="1092"/>
      <c r="M25" s="1093"/>
      <c r="N25" s="82">
        <f t="shared" si="1"/>
        <v>2.5040000000000001E-4</v>
      </c>
      <c r="O25" s="109"/>
      <c r="P25" s="68"/>
      <c r="Q25" s="68"/>
      <c r="R25" s="68"/>
      <c r="S25" s="68"/>
      <c r="T25" s="84">
        <f t="shared" si="2"/>
        <v>2.5040000000000001E-4</v>
      </c>
      <c r="U25" s="82"/>
      <c r="AL25" s="84"/>
      <c r="AQ25" s="84"/>
      <c r="AV25" s="5">
        <f t="shared" si="8"/>
        <v>-2.8920000000000039</v>
      </c>
      <c r="AW25" s="5">
        <f t="shared" si="3"/>
        <v>1.8186435141844308E-63</v>
      </c>
      <c r="AX25" s="5">
        <v>1</v>
      </c>
      <c r="AY25" s="5" t="e">
        <f t="shared" si="4"/>
        <v>#N/A</v>
      </c>
      <c r="AZ25" s="5" t="e">
        <f t="shared" si="5"/>
        <v>#N/A</v>
      </c>
      <c r="BA25" s="5">
        <f t="shared" si="6"/>
        <v>-0.9938660997931309</v>
      </c>
      <c r="BD25" s="5">
        <f t="shared" si="7"/>
        <v>81.27837483459416</v>
      </c>
      <c r="BF25" s="58"/>
    </row>
    <row r="26" spans="1:58" ht="12" customHeight="1">
      <c r="A26" s="428"/>
      <c r="B26" s="665"/>
      <c r="C26" s="665" t="s">
        <v>98</v>
      </c>
      <c r="D26" s="665"/>
      <c r="E26" s="665"/>
      <c r="F26" s="665"/>
      <c r="G26" s="665"/>
      <c r="H26" s="665"/>
      <c r="I26" s="665"/>
      <c r="J26" s="359"/>
      <c r="K26" s="1091"/>
      <c r="L26" s="1092"/>
      <c r="M26" s="1093"/>
      <c r="N26" s="82">
        <f t="shared" si="1"/>
        <v>2.5040000000000001E-4</v>
      </c>
      <c r="O26" s="109"/>
      <c r="P26" s="68"/>
      <c r="Q26" s="68"/>
      <c r="R26" s="68"/>
      <c r="S26" s="68"/>
      <c r="T26" s="84">
        <f t="shared" si="2"/>
        <v>2.5040000000000001E-4</v>
      </c>
      <c r="U26" s="82"/>
      <c r="AL26" s="84"/>
      <c r="AQ26" s="84"/>
      <c r="AV26" s="5">
        <f t="shared" si="8"/>
        <v>-2.8860000000000041</v>
      </c>
      <c r="AW26" s="5">
        <f t="shared" si="3"/>
        <v>3.1103648300629393E-63</v>
      </c>
      <c r="AX26" s="5">
        <v>1</v>
      </c>
      <c r="AY26" s="5" t="e">
        <f t="shared" si="4"/>
        <v>#N/A</v>
      </c>
      <c r="AZ26" s="5" t="e">
        <f t="shared" si="5"/>
        <v>#N/A</v>
      </c>
      <c r="BA26" s="5">
        <f t="shared" si="6"/>
        <v>-0.99379227941948034</v>
      </c>
      <c r="BD26" s="5">
        <f t="shared" si="7"/>
        <v>80.314845826235796</v>
      </c>
      <c r="BF26" s="58"/>
    </row>
    <row r="27" spans="1:58" ht="12" customHeight="1">
      <c r="A27" s="1061"/>
      <c r="B27" s="665"/>
      <c r="C27" s="665"/>
      <c r="D27" s="665"/>
      <c r="E27" s="665"/>
      <c r="F27" s="665"/>
      <c r="G27" s="665"/>
      <c r="H27" s="667"/>
      <c r="I27" s="667"/>
      <c r="J27" s="359"/>
      <c r="K27" s="1091"/>
      <c r="L27" s="1092"/>
      <c r="M27" s="1093"/>
      <c r="N27" s="82">
        <f t="shared" si="1"/>
        <v>2.5040000000000001E-4</v>
      </c>
      <c r="O27" s="1116"/>
      <c r="P27" s="68"/>
      <c r="Q27" s="68"/>
      <c r="R27" s="68"/>
      <c r="S27" s="68"/>
      <c r="T27" s="84">
        <f t="shared" si="2"/>
        <v>2.5040000000000001E-4</v>
      </c>
      <c r="U27" s="82"/>
      <c r="AL27" s="84"/>
      <c r="AQ27" s="84"/>
      <c r="AV27" s="5">
        <f t="shared" si="8"/>
        <v>-2.8800000000000043</v>
      </c>
      <c r="AW27" s="5">
        <f t="shared" si="3"/>
        <v>5.3143842552383397E-63</v>
      </c>
      <c r="AX27" s="5">
        <v>1</v>
      </c>
      <c r="AY27" s="5" t="e">
        <f t="shared" si="4"/>
        <v>#N/A</v>
      </c>
      <c r="AZ27" s="5" t="e">
        <f t="shared" si="5"/>
        <v>#N/A</v>
      </c>
      <c r="BA27" s="5">
        <f t="shared" si="6"/>
        <v>-0.99371757343034128</v>
      </c>
      <c r="BD27" s="5">
        <f t="shared" si="7"/>
        <v>79.36281029281156</v>
      </c>
      <c r="BF27" s="58"/>
    </row>
    <row r="28" spans="1:58" ht="12.75" customHeight="1">
      <c r="A28" s="428"/>
      <c r="B28" s="1117" t="s">
        <v>99</v>
      </c>
      <c r="C28" s="1118" t="str">
        <f>IF(BF5,BA3,"")</f>
        <v/>
      </c>
      <c r="D28" s="665"/>
      <c r="E28" s="665"/>
      <c r="F28" s="665"/>
      <c r="G28" s="665"/>
      <c r="H28" s="665"/>
      <c r="I28" s="1119" t="s">
        <v>100</v>
      </c>
      <c r="J28" s="359"/>
      <c r="K28" s="1091"/>
      <c r="L28" s="1092"/>
      <c r="M28" s="1093"/>
      <c r="N28" s="82">
        <f t="shared" si="1"/>
        <v>2.5040000000000001E-4</v>
      </c>
      <c r="O28" s="68"/>
      <c r="P28" s="68"/>
      <c r="Q28" s="68"/>
      <c r="R28" s="68"/>
      <c r="S28" s="68"/>
      <c r="T28" s="84">
        <f t="shared" si="2"/>
        <v>2.5040000000000001E-4</v>
      </c>
      <c r="U28" s="82"/>
      <c r="AL28" s="84"/>
      <c r="AQ28" s="84"/>
      <c r="AV28" s="5">
        <f t="shared" si="8"/>
        <v>-2.8740000000000046</v>
      </c>
      <c r="AW28" s="5">
        <f t="shared" si="3"/>
        <v>9.0713607586920202E-63</v>
      </c>
      <c r="AX28" s="5">
        <v>1</v>
      </c>
      <c r="AY28" s="5" t="e">
        <f t="shared" si="4"/>
        <v>#N/A</v>
      </c>
      <c r="AZ28" s="5" t="e">
        <f t="shared" si="5"/>
        <v>#N/A</v>
      </c>
      <c r="BA28" s="5">
        <f t="shared" si="6"/>
        <v>-0.99364197126885201</v>
      </c>
      <c r="BD28" s="5">
        <f t="shared" si="7"/>
        <v>78.422131139317614</v>
      </c>
      <c r="BF28" s="58"/>
    </row>
    <row r="29" spans="1:58" ht="12" customHeight="1">
      <c r="A29" s="428"/>
      <c r="B29" s="665"/>
      <c r="C29" s="665"/>
      <c r="D29" s="665"/>
      <c r="E29" s="665"/>
      <c r="F29" s="665"/>
      <c r="G29" s="665"/>
      <c r="H29" s="1120" t="s">
        <v>101</v>
      </c>
      <c r="I29" s="1121" t="str">
        <f>IF(BF5,(100-BF4)/100,"")</f>
        <v/>
      </c>
      <c r="J29" s="359"/>
      <c r="K29" s="1091"/>
      <c r="L29" s="1092"/>
      <c r="M29" s="1093"/>
      <c r="N29" s="1122">
        <f t="shared" si="1"/>
        <v>2.5040000000000001E-4</v>
      </c>
      <c r="T29" s="84">
        <f t="shared" si="2"/>
        <v>2.5040000000000001E-4</v>
      </c>
      <c r="U29" s="82"/>
      <c r="AL29" s="84"/>
      <c r="AQ29" s="84"/>
      <c r="AV29" s="5">
        <f t="shared" si="8"/>
        <v>-2.8680000000000048</v>
      </c>
      <c r="AW29" s="5">
        <f t="shared" si="3"/>
        <v>1.5469268959249053E-62</v>
      </c>
      <c r="AX29" s="5">
        <v>1</v>
      </c>
      <c r="AY29" s="5" t="e">
        <f t="shared" si="4"/>
        <v>#N/A</v>
      </c>
      <c r="AZ29" s="5" t="e">
        <f t="shared" si="5"/>
        <v>#N/A</v>
      </c>
      <c r="BA29" s="5">
        <f t="shared" si="6"/>
        <v>-0.99356546225394982</v>
      </c>
      <c r="BD29" s="5">
        <f t="shared" si="7"/>
        <v>77.492672906894541</v>
      </c>
      <c r="BF29" s="58"/>
    </row>
    <row r="30" spans="1:58" ht="12" customHeight="1">
      <c r="A30" s="557"/>
      <c r="B30" s="558"/>
      <c r="C30" s="558"/>
      <c r="D30" s="558"/>
      <c r="E30" s="558"/>
      <c r="F30" s="558"/>
      <c r="G30" s="558"/>
      <c r="H30" s="558"/>
      <c r="I30" s="558"/>
      <c r="J30" s="559"/>
      <c r="K30" s="1099"/>
      <c r="L30" s="1123"/>
      <c r="M30" s="1124"/>
      <c r="N30" s="1122">
        <f t="shared" si="1"/>
        <v>2.5040000000000001E-4</v>
      </c>
      <c r="T30" s="84">
        <f t="shared" si="2"/>
        <v>2.5040000000000001E-4</v>
      </c>
      <c r="U30" s="82"/>
      <c r="AL30" s="84"/>
      <c r="AQ30" s="84"/>
      <c r="AV30" s="5">
        <f t="shared" si="8"/>
        <v>-2.862000000000005</v>
      </c>
      <c r="AW30" s="5">
        <f t="shared" si="3"/>
        <v>2.6353906935104138E-62</v>
      </c>
      <c r="AX30" s="5">
        <v>1</v>
      </c>
      <c r="AY30" s="5" t="e">
        <f t="shared" si="4"/>
        <v>#N/A</v>
      </c>
      <c r="AZ30" s="5" t="e">
        <f t="shared" si="5"/>
        <v>#N/A</v>
      </c>
      <c r="BA30" s="5">
        <f t="shared" si="6"/>
        <v>-0.99348803557895038</v>
      </c>
      <c r="BD30" s="5">
        <f t="shared" si="7"/>
        <v>76.574301751142301</v>
      </c>
      <c r="BF30" s="58"/>
    </row>
    <row r="31" spans="1:58" ht="12" customHeight="1">
      <c r="A31" s="495"/>
      <c r="B31" s="495"/>
      <c r="C31" s="495"/>
      <c r="D31" s="495"/>
      <c r="E31" s="495"/>
      <c r="F31" s="495"/>
      <c r="G31" s="495"/>
      <c r="H31" s="495"/>
      <c r="I31" s="495"/>
      <c r="J31" s="529"/>
      <c r="K31" s="1123"/>
      <c r="L31" s="1123"/>
      <c r="M31" s="1124"/>
      <c r="N31" s="1122">
        <f t="shared" si="1"/>
        <v>2.5040000000000001E-4</v>
      </c>
      <c r="T31" s="84">
        <f t="shared" si="2"/>
        <v>2.5040000000000001E-4</v>
      </c>
      <c r="U31" s="82"/>
      <c r="AL31" s="84"/>
      <c r="AQ31" s="84"/>
      <c r="AV31" s="5">
        <f t="shared" si="8"/>
        <v>-2.8560000000000052</v>
      </c>
      <c r="AW31" s="5">
        <f t="shared" si="3"/>
        <v>4.4853681123531626E-62</v>
      </c>
      <c r="AX31" s="5">
        <v>1</v>
      </c>
      <c r="AY31" s="5" t="e">
        <f t="shared" si="4"/>
        <v>#N/A</v>
      </c>
      <c r="AZ31" s="5" t="e">
        <f t="shared" si="5"/>
        <v>#N/A</v>
      </c>
      <c r="BA31" s="5">
        <f t="shared" si="6"/>
        <v>-0.99340968031010968</v>
      </c>
      <c r="BD31" s="5">
        <f t="shared" si="7"/>
        <v>75.666885425765031</v>
      </c>
      <c r="BF31" s="58"/>
    </row>
    <row r="32" spans="1:58" ht="12" customHeight="1">
      <c r="A32" s="96"/>
      <c r="B32" s="96"/>
      <c r="C32" s="96"/>
      <c r="D32" s="96"/>
      <c r="E32" s="96"/>
      <c r="F32" s="96"/>
      <c r="G32" s="96"/>
      <c r="H32" s="96"/>
      <c r="I32" s="96"/>
      <c r="J32" s="96"/>
      <c r="K32" s="1099"/>
      <c r="L32" s="1123"/>
      <c r="M32" s="1124"/>
      <c r="N32" s="82">
        <f t="shared" si="1"/>
        <v>2.5040000000000001E-4</v>
      </c>
      <c r="T32" s="84">
        <f t="shared" si="2"/>
        <v>2.5040000000000001E-4</v>
      </c>
      <c r="U32" s="82"/>
      <c r="AL32" s="84"/>
      <c r="AQ32" s="84"/>
      <c r="AV32" s="5">
        <f t="shared" si="8"/>
        <v>-2.8500000000000054</v>
      </c>
      <c r="AW32" s="5">
        <f t="shared" si="3"/>
        <v>7.6265661274496416E-62</v>
      </c>
      <c r="AX32" s="5">
        <v>1</v>
      </c>
      <c r="AY32" s="5" t="e">
        <f t="shared" si="4"/>
        <v>#N/A</v>
      </c>
      <c r="AZ32" s="5" t="e">
        <f t="shared" si="5"/>
        <v>#N/A</v>
      </c>
      <c r="BA32" s="5">
        <f t="shared" si="6"/>
        <v>-0.99333038538517338</v>
      </c>
      <c r="BD32" s="5">
        <f t="shared" si="7"/>
        <v>74.770293260693208</v>
      </c>
      <c r="BF32" s="58"/>
    </row>
    <row r="33" spans="11:58" ht="12" customHeight="1">
      <c r="K33" s="1091"/>
      <c r="L33" s="1092"/>
      <c r="M33" s="1093"/>
      <c r="N33" s="82">
        <f t="shared" si="1"/>
        <v>2.5040000000000001E-4</v>
      </c>
      <c r="T33" s="84">
        <f t="shared" si="2"/>
        <v>2.5040000000000001E-4</v>
      </c>
      <c r="U33" s="82"/>
      <c r="AL33" s="84"/>
      <c r="AQ33" s="84"/>
      <c r="AV33" s="5">
        <f t="shared" si="8"/>
        <v>-2.8440000000000056</v>
      </c>
      <c r="AW33" s="5">
        <f t="shared" si="3"/>
        <v>1.2955013056628266E-61</v>
      </c>
      <c r="AX33" s="5">
        <v>1</v>
      </c>
      <c r="AY33" s="5" t="e">
        <f t="shared" si="4"/>
        <v>#N/A</v>
      </c>
      <c r="AZ33" s="5" t="e">
        <f t="shared" si="5"/>
        <v>#N/A</v>
      </c>
      <c r="BA33" s="5">
        <f t="shared" si="6"/>
        <v>-0.99325013961190778</v>
      </c>
      <c r="BD33" s="5">
        <f t="shared" si="7"/>
        <v>73.884396145394447</v>
      </c>
      <c r="BF33" s="58"/>
    </row>
    <row r="34" spans="11:58" ht="12" customHeight="1">
      <c r="K34" s="1091"/>
      <c r="L34" s="1092"/>
      <c r="M34" s="1093"/>
      <c r="N34" s="82">
        <f t="shared" si="1"/>
        <v>2.5040000000000001E-4</v>
      </c>
      <c r="T34" s="84">
        <f t="shared" si="2"/>
        <v>2.5040000000000001E-4</v>
      </c>
      <c r="U34" s="82"/>
      <c r="AL34" s="84"/>
      <c r="AQ34" s="84"/>
      <c r="AV34" s="5">
        <f t="shared" si="8"/>
        <v>-2.8380000000000059</v>
      </c>
      <c r="AW34" s="5">
        <f t="shared" si="3"/>
        <v>2.1984902077200492E-61</v>
      </c>
      <c r="AX34" s="5">
        <v>1</v>
      </c>
      <c r="AY34" s="5" t="e">
        <f t="shared" si="4"/>
        <v>#N/A</v>
      </c>
      <c r="AZ34" s="5" t="e">
        <f t="shared" si="5"/>
        <v>#N/A</v>
      </c>
      <c r="BA34" s="5">
        <f t="shared" si="6"/>
        <v>-0.99316893166661724</v>
      </c>
      <c r="BD34" s="5">
        <f t="shared" si="7"/>
        <v>73.009066509089038</v>
      </c>
      <c r="BF34" s="58"/>
    </row>
    <row r="35" spans="11:58" ht="12" customHeight="1">
      <c r="K35" s="1091"/>
      <c r="L35" s="1092"/>
      <c r="M35" s="1093"/>
      <c r="N35" s="82">
        <f t="shared" si="1"/>
        <v>2.5040000000000001E-4</v>
      </c>
      <c r="T35" s="84">
        <f t="shared" si="2"/>
        <v>2.5040000000000001E-4</v>
      </c>
      <c r="U35" s="82"/>
      <c r="AL35" s="84"/>
      <c r="AQ35" s="84"/>
      <c r="AV35" s="5">
        <f t="shared" si="8"/>
        <v>-2.8320000000000061</v>
      </c>
      <c r="AW35" s="5">
        <f t="shared" si="3"/>
        <v>3.7272547929505436E-61</v>
      </c>
      <c r="AX35" s="5">
        <v>1</v>
      </c>
      <c r="AY35" s="5" t="e">
        <f t="shared" si="4"/>
        <v>#N/A</v>
      </c>
      <c r="AZ35" s="5" t="e">
        <f t="shared" si="5"/>
        <v>#N/A</v>
      </c>
      <c r="BA35" s="5">
        <f t="shared" si="6"/>
        <v>-0.99308675009264447</v>
      </c>
      <c r="BD35" s="5">
        <f t="shared" si="7"/>
        <v>72.144178302821416</v>
      </c>
      <c r="BF35" s="58"/>
    </row>
    <row r="36" spans="11:58" ht="12" customHeight="1">
      <c r="K36" s="1091"/>
      <c r="L36" s="1092"/>
      <c r="M36" s="1093"/>
      <c r="N36" s="82">
        <f t="shared" si="1"/>
        <v>2.5040000000000001E-4</v>
      </c>
      <c r="T36" s="84"/>
      <c r="U36" s="82"/>
      <c r="AL36" s="84"/>
      <c r="AV36" s="5">
        <f t="shared" si="8"/>
        <v>-2.8260000000000063</v>
      </c>
      <c r="AW36" s="5">
        <f t="shared" si="3"/>
        <v>6.3129375619155101E-61</v>
      </c>
      <c r="AX36" s="5">
        <v>1</v>
      </c>
      <c r="AY36" s="5" t="e">
        <f t="shared" si="4"/>
        <v>#N/A</v>
      </c>
      <c r="AZ36" s="5" t="e">
        <f t="shared" si="5"/>
        <v>#N/A</v>
      </c>
      <c r="BA36" s="5">
        <f t="shared" si="6"/>
        <v>-0.9930035832988553</v>
      </c>
      <c r="BD36" s="5">
        <f t="shared" si="7"/>
        <v>71.289606981060487</v>
      </c>
      <c r="BF36" s="58"/>
    </row>
    <row r="37" spans="11:58" ht="12" customHeight="1">
      <c r="K37" s="1091"/>
      <c r="L37" s="1092"/>
      <c r="M37" s="1093"/>
      <c r="N37" s="82">
        <f t="shared" si="1"/>
        <v>2.5040000000000001E-4</v>
      </c>
      <c r="T37" s="84"/>
      <c r="U37" s="82"/>
      <c r="AL37" s="84"/>
      <c r="AV37" s="5">
        <f t="shared" si="8"/>
        <v>-2.8200000000000065</v>
      </c>
      <c r="AW37" s="5">
        <f t="shared" si="3"/>
        <v>1.068198027797046E-60</v>
      </c>
      <c r="AX37" s="5">
        <v>1</v>
      </c>
      <c r="AY37" s="5" t="e">
        <f t="shared" si="4"/>
        <v>#N/A</v>
      </c>
      <c r="AZ37" s="5" t="e">
        <f t="shared" si="5"/>
        <v>#N/A</v>
      </c>
      <c r="BA37" s="5">
        <f t="shared" si="6"/>
        <v>-0.99291941955810703</v>
      </c>
      <c r="BD37" s="5">
        <f t="shared" si="7"/>
        <v>70.445229484313018</v>
      </c>
      <c r="BF37" s="58"/>
    </row>
    <row r="38" spans="11:58" ht="12" customHeight="1">
      <c r="K38" s="1091"/>
      <c r="L38" s="1092"/>
      <c r="M38" s="1093"/>
      <c r="N38" s="82">
        <f t="shared" si="1"/>
        <v>2.5040000000000001E-4</v>
      </c>
      <c r="AV38" s="5">
        <f t="shared" si="8"/>
        <v>-2.8140000000000067</v>
      </c>
      <c r="AW38" s="5">
        <f t="shared" si="3"/>
        <v>1.805717950710465E-60</v>
      </c>
      <c r="AX38" s="5">
        <v>1</v>
      </c>
      <c r="AY38" s="5" t="e">
        <f t="shared" si="4"/>
        <v>#N/A</v>
      </c>
      <c r="AZ38" s="5" t="e">
        <f t="shared" si="5"/>
        <v>#N/A</v>
      </c>
      <c r="BA38" s="5">
        <f t="shared" si="6"/>
        <v>-0.99283424700570111</v>
      </c>
      <c r="BD38" s="5">
        <f t="shared" si="7"/>
        <v>69.610924220646936</v>
      </c>
      <c r="BF38" s="58"/>
    </row>
    <row r="39" spans="11:58" ht="12" customHeight="1">
      <c r="K39" s="1125"/>
      <c r="L39" s="1105"/>
      <c r="M39" s="1126"/>
      <c r="N39" s="82"/>
      <c r="AV39" s="5">
        <f t="shared" si="8"/>
        <v>-2.8080000000000069</v>
      </c>
      <c r="AW39" s="5">
        <f t="shared" si="3"/>
        <v>3.0494809506377592E-60</v>
      </c>
      <c r="AX39" s="5">
        <v>1</v>
      </c>
      <c r="AY39" s="5" t="e">
        <f t="shared" si="4"/>
        <v>#N/A</v>
      </c>
      <c r="AZ39" s="5" t="e">
        <f t="shared" si="5"/>
        <v>#N/A</v>
      </c>
      <c r="BA39" s="5">
        <f t="shared" si="6"/>
        <v>-0.99274805363781848</v>
      </c>
      <c r="BD39" s="5">
        <f t="shared" si="7"/>
        <v>68.786571048257102</v>
      </c>
      <c r="BF39" s="58"/>
    </row>
    <row r="40" spans="11:58" ht="12" customHeight="1">
      <c r="N40" s="82"/>
      <c r="AV40" s="5">
        <f t="shared" si="8"/>
        <v>-2.8020000000000072</v>
      </c>
      <c r="AW40" s="5">
        <f t="shared" si="3"/>
        <v>5.1449339047889692E-60</v>
      </c>
      <c r="AX40" s="5">
        <v>1</v>
      </c>
      <c r="AY40" s="5" t="e">
        <f t="shared" si="4"/>
        <v>#N/A</v>
      </c>
      <c r="AZ40" s="5" t="e">
        <f t="shared" si="5"/>
        <v>#N/A</v>
      </c>
      <c r="BA40" s="5">
        <f t="shared" si="6"/>
        <v>-0.99266082730993843</v>
      </c>
      <c r="BD40" s="5">
        <f t="shared" si="7"/>
        <v>67.97205125971243</v>
      </c>
      <c r="BF40" s="58"/>
    </row>
    <row r="41" spans="11:58" ht="12" customHeight="1">
      <c r="AV41" s="5">
        <f t="shared" si="8"/>
        <v>-2.7960000000000074</v>
      </c>
      <c r="AW41" s="5">
        <f t="shared" si="3"/>
        <v>8.6718456805633208E-60</v>
      </c>
      <c r="AX41" s="5">
        <v>1</v>
      </c>
      <c r="AY41" s="5" t="e">
        <f t="shared" si="4"/>
        <v>#N/A</v>
      </c>
      <c r="AZ41" s="5" t="e">
        <f t="shared" si="5"/>
        <v>#N/A</v>
      </c>
      <c r="BA41" s="5">
        <f t="shared" si="6"/>
        <v>-0.99257255573524261</v>
      </c>
      <c r="BD41" s="5">
        <f t="shared" si="7"/>
        <v>67.167247561962554</v>
      </c>
      <c r="BF41" s="58"/>
    </row>
    <row r="42" spans="11:58" ht="12" customHeight="1">
      <c r="AV42" s="5">
        <f t="shared" si="8"/>
        <v>-2.7900000000000076</v>
      </c>
      <c r="AW42" s="5">
        <f t="shared" si="3"/>
        <v>1.4602295992233467E-59</v>
      </c>
      <c r="AX42" s="5">
        <v>1</v>
      </c>
      <c r="AY42" s="5" t="e">
        <f t="shared" si="4"/>
        <v>#N/A</v>
      </c>
      <c r="AZ42" s="5" t="e">
        <f t="shared" si="5"/>
        <v>#N/A</v>
      </c>
      <c r="BA42" s="5">
        <f t="shared" si="6"/>
        <v>-0.99248322648299858</v>
      </c>
      <c r="BD42" s="5">
        <f t="shared" si="7"/>
        <v>66.372044062190724</v>
      </c>
      <c r="BF42" s="58"/>
    </row>
    <row r="43" spans="11:58" ht="12" customHeight="1">
      <c r="AV43" s="5">
        <f t="shared" si="8"/>
        <v>-2.7840000000000078</v>
      </c>
      <c r="AW43" s="5">
        <f t="shared" si="3"/>
        <v>2.4564539095234261E-59</v>
      </c>
      <c r="AX43" s="5">
        <v>1</v>
      </c>
      <c r="AY43" s="5" t="e">
        <f t="shared" si="4"/>
        <v>#N/A</v>
      </c>
      <c r="AZ43" s="5" t="e">
        <f t="shared" si="5"/>
        <v>#N/A</v>
      </c>
      <c r="BA43" s="5">
        <f t="shared" si="6"/>
        <v>-0.99239282697692976</v>
      </c>
      <c r="BD43" s="5">
        <f t="shared" si="7"/>
        <v>65.586326250018047</v>
      </c>
      <c r="BF43" s="58"/>
    </row>
    <row r="44" spans="11:58" ht="12" customHeight="1">
      <c r="AV44" s="5">
        <f t="shared" si="8"/>
        <v>-2.778000000000008</v>
      </c>
      <c r="AW44" s="5">
        <f t="shared" si="3"/>
        <v>4.128325746321308E-59</v>
      </c>
      <c r="AX44" s="5">
        <v>1</v>
      </c>
      <c r="AY44" s="5" t="e">
        <f t="shared" si="4"/>
        <v>#N/A</v>
      </c>
      <c r="AZ44" s="5" t="e">
        <f t="shared" si="5"/>
        <v>#N/A</v>
      </c>
      <c r="BA44" s="5">
        <f t="shared" si="6"/>
        <v>-0.99230134449356688</v>
      </c>
      <c r="BD44" s="5">
        <f t="shared" si="7"/>
        <v>64.80998098015759</v>
      </c>
      <c r="BF44" s="58"/>
    </row>
    <row r="45" spans="11:58" ht="12" customHeight="1">
      <c r="AV45" s="5">
        <f t="shared" si="8"/>
        <v>-2.7720000000000082</v>
      </c>
      <c r="AW45" s="5">
        <f t="shared" si="3"/>
        <v>6.9313393517061305E-59</v>
      </c>
      <c r="AX45" s="5">
        <v>1</v>
      </c>
      <c r="AY45" s="5" t="e">
        <f t="shared" si="4"/>
        <v>#N/A</v>
      </c>
      <c r="AZ45" s="5" t="e">
        <f t="shared" si="5"/>
        <v>#N/A</v>
      </c>
      <c r="BA45" s="5">
        <f t="shared" si="6"/>
        <v>-0.99220876616058085</v>
      </c>
      <c r="BD45" s="5">
        <f t="shared" si="7"/>
        <v>64.042896457991915</v>
      </c>
      <c r="BF45" s="58"/>
    </row>
    <row r="46" spans="11:58" ht="12" customHeight="1">
      <c r="AV46" s="5">
        <f t="shared" si="8"/>
        <v>-2.7660000000000085</v>
      </c>
      <c r="AW46" s="5">
        <f t="shared" si="3"/>
        <v>1.1626211834445021E-58</v>
      </c>
      <c r="AX46" s="5">
        <v>1</v>
      </c>
      <c r="AY46" s="5" t="e">
        <f t="shared" si="4"/>
        <v>#N/A</v>
      </c>
      <c r="AZ46" s="5" t="e">
        <f t="shared" si="5"/>
        <v>#N/A</v>
      </c>
      <c r="BA46" s="5">
        <f t="shared" si="6"/>
        <v>-0.99211507895510076</v>
      </c>
      <c r="BD46" s="5">
        <f t="shared" si="7"/>
        <v>63.28496222177813</v>
      </c>
      <c r="BF46" s="58"/>
    </row>
    <row r="47" spans="11:58" ht="12" customHeight="1">
      <c r="AV47" s="5">
        <f t="shared" si="8"/>
        <v>-2.7600000000000087</v>
      </c>
      <c r="AW47" s="5">
        <f t="shared" si="3"/>
        <v>1.9482162757325527E-58</v>
      </c>
      <c r="AX47" s="5">
        <v>1</v>
      </c>
      <c r="AY47" s="5" t="e">
        <f t="shared" si="4"/>
        <v>#N/A</v>
      </c>
      <c r="AZ47" s="5" t="e">
        <f t="shared" si="5"/>
        <v>#N/A</v>
      </c>
      <c r="BA47" s="5">
        <f t="shared" si="6"/>
        <v>-0.99202026970201196</v>
      </c>
      <c r="BD47" s="5">
        <f t="shared" si="7"/>
        <v>62.536069127616507</v>
      </c>
      <c r="BF47" s="58"/>
    </row>
    <row r="48" spans="11:58" ht="12" customHeight="1">
      <c r="AV48" s="5">
        <f t="shared" si="8"/>
        <v>-2.7540000000000089</v>
      </c>
      <c r="AW48" s="5">
        <f t="shared" si="3"/>
        <v>3.2614743581821293E-58</v>
      </c>
      <c r="AX48" s="5">
        <v>1</v>
      </c>
      <c r="AY48" s="5" t="e">
        <f t="shared" si="4"/>
        <v>#N/A</v>
      </c>
      <c r="AZ48" s="5" t="e">
        <f t="shared" si="5"/>
        <v>#N/A</v>
      </c>
      <c r="BA48" s="5">
        <f t="shared" si="6"/>
        <v>-0.99192432507223749</v>
      </c>
      <c r="BD48" s="5">
        <f t="shared" si="7"/>
        <v>61.796109334020692</v>
      </c>
      <c r="BF48" s="58"/>
    </row>
    <row r="49" spans="48:58" ht="12" customHeight="1">
      <c r="AV49" s="5">
        <f t="shared" si="8"/>
        <v>-2.7480000000000091</v>
      </c>
      <c r="AW49" s="5">
        <f t="shared" si="3"/>
        <v>5.4546719333931737E-58</v>
      </c>
      <c r="AX49" s="5">
        <v>1</v>
      </c>
      <c r="AY49" s="5" t="e">
        <f t="shared" si="4"/>
        <v>#N/A</v>
      </c>
      <c r="AZ49" s="5" t="e">
        <f t="shared" si="5"/>
        <v>#N/A</v>
      </c>
      <c r="BA49" s="5">
        <f t="shared" si="6"/>
        <v>-0.99182723158100217</v>
      </c>
      <c r="BD49" s="5">
        <f t="shared" si="7"/>
        <v>61.064976285001208</v>
      </c>
      <c r="BF49" s="58"/>
    </row>
    <row r="50" spans="48:58" ht="12" customHeight="1">
      <c r="AV50" s="5">
        <f t="shared" si="8"/>
        <v>-2.7420000000000093</v>
      </c>
      <c r="AW50" s="5">
        <f t="shared" si="3"/>
        <v>9.1138351364613333E-58</v>
      </c>
      <c r="AX50" s="5">
        <v>1</v>
      </c>
      <c r="AY50" s="5" t="e">
        <f t="shared" si="4"/>
        <v>#N/A</v>
      </c>
      <c r="AZ50" s="5" t="e">
        <f t="shared" si="5"/>
        <v>#N/A</v>
      </c>
      <c r="BA50" s="5">
        <f t="shared" si="6"/>
        <v>-0.99172897558607642</v>
      </c>
      <c r="BD50" s="5">
        <f t="shared" si="7"/>
        <v>60.342564696514252</v>
      </c>
      <c r="BF50" s="58"/>
    </row>
    <row r="51" spans="48:58" ht="12" customHeight="1">
      <c r="AV51" s="5">
        <f t="shared" si="8"/>
        <v>-2.7360000000000095</v>
      </c>
      <c r="AW51" s="5">
        <f t="shared" si="3"/>
        <v>1.5212884455350511E-57</v>
      </c>
      <c r="AX51" s="5">
        <v>1</v>
      </c>
      <c r="AY51" s="5" t="e">
        <f t="shared" si="4"/>
        <v>#N/A</v>
      </c>
      <c r="AZ51" s="5" t="e">
        <f t="shared" si="5"/>
        <v>#N/A</v>
      </c>
      <c r="BA51" s="5">
        <f t="shared" si="6"/>
        <v>-0.99162954328600472</v>
      </c>
      <c r="BD51" s="5">
        <f t="shared" si="7"/>
        <v>59.628770539778756</v>
      </c>
      <c r="BF51" s="58"/>
    </row>
    <row r="52" spans="48:58" ht="12" customHeight="1">
      <c r="AV52" s="5">
        <f t="shared" si="8"/>
        <v>-2.7300000000000098</v>
      </c>
      <c r="AW52" s="5">
        <f t="shared" si="3"/>
        <v>2.5368794532662581E-57</v>
      </c>
      <c r="AX52" s="5">
        <v>1</v>
      </c>
      <c r="AY52" s="5" t="e">
        <f t="shared" si="4"/>
        <v>#N/A</v>
      </c>
      <c r="AZ52" s="5" t="e">
        <f t="shared" si="5"/>
        <v>#N/A</v>
      </c>
      <c r="BA52" s="5">
        <f t="shared" si="6"/>
        <v>-0.99152892071831322</v>
      </c>
      <c r="BD52" s="5">
        <f t="shared" si="7"/>
        <v>58.923491027445884</v>
      </c>
      <c r="BF52" s="58"/>
    </row>
    <row r="53" spans="48:58" ht="12" customHeight="1">
      <c r="AV53" s="5">
        <f t="shared" si="8"/>
        <v>-2.72400000000001</v>
      </c>
      <c r="AW53" s="5">
        <f t="shared" si="3"/>
        <v>4.2263548785478773E-57</v>
      </c>
      <c r="AX53" s="5">
        <v>1</v>
      </c>
      <c r="AY53" s="5" t="e">
        <f t="shared" si="4"/>
        <v>#N/A</v>
      </c>
      <c r="AZ53" s="5" t="e">
        <f t="shared" si="5"/>
        <v>#N/A</v>
      </c>
      <c r="BA53" s="5">
        <f t="shared" si="6"/>
        <v>-0.99142709375770077</v>
      </c>
      <c r="BD53" s="5">
        <f t="shared" si="7"/>
        <v>58.226624597742273</v>
      </c>
      <c r="BF53" s="58"/>
    </row>
    <row r="54" spans="48:58" ht="12" customHeight="1">
      <c r="AV54" s="5">
        <f t="shared" si="8"/>
        <v>-2.7180000000000102</v>
      </c>
      <c r="AW54" s="5">
        <f t="shared" si="3"/>
        <v>7.0341229789909722E-57</v>
      </c>
      <c r="AX54" s="5">
        <v>1</v>
      </c>
      <c r="AY54" s="5" t="e">
        <f t="shared" si="4"/>
        <v>#N/A</v>
      </c>
      <c r="AZ54" s="5" t="e">
        <f t="shared" si="5"/>
        <v>#N/A</v>
      </c>
      <c r="BA54" s="5">
        <f t="shared" si="6"/>
        <v>-0.99132404811420949</v>
      </c>
      <c r="BD54" s="5">
        <f t="shared" si="7"/>
        <v>57.538070900855288</v>
      </c>
      <c r="BF54" s="58"/>
    </row>
    <row r="55" spans="48:58" ht="12" customHeight="1">
      <c r="AV55" s="5">
        <f t="shared" si="8"/>
        <v>-2.7120000000000104</v>
      </c>
      <c r="AW55" s="5">
        <f t="shared" si="3"/>
        <v>1.169585077274341E-56</v>
      </c>
      <c r="AX55" s="5">
        <v>1</v>
      </c>
      <c r="AY55" s="5" t="e">
        <f t="shared" si="4"/>
        <v>#N/A</v>
      </c>
      <c r="AZ55" s="5" t="e">
        <f t="shared" si="5"/>
        <v>#N/A</v>
      </c>
      <c r="BA55" s="5">
        <f t="shared" si="6"/>
        <v>-0.99121976933137823</v>
      </c>
      <c r="BD55" s="5">
        <f t="shared" si="7"/>
        <v>56.857730784119866</v>
      </c>
      <c r="BF55" s="58"/>
    </row>
    <row r="56" spans="48:58" ht="12" customHeight="1">
      <c r="AV56" s="5">
        <f t="shared" si="8"/>
        <v>-2.7060000000000106</v>
      </c>
      <c r="AW56" s="5">
        <f t="shared" si="3"/>
        <v>1.9428154381436947E-56</v>
      </c>
      <c r="AX56" s="5">
        <v>1</v>
      </c>
      <c r="AY56" s="5" t="e">
        <f t="shared" si="4"/>
        <v>#N/A</v>
      </c>
      <c r="AZ56" s="5" t="e">
        <f t="shared" si="5"/>
        <v>#N/A</v>
      </c>
      <c r="BA56" s="5">
        <f t="shared" si="6"/>
        <v>-0.99111424278437654</v>
      </c>
      <c r="BD56" s="5">
        <f t="shared" si="7"/>
        <v>56.185506276861851</v>
      </c>
      <c r="BF56" s="58"/>
    </row>
    <row r="57" spans="48:58" ht="12" customHeight="1">
      <c r="AV57" s="5">
        <f t="shared" si="8"/>
        <v>-2.7000000000000108</v>
      </c>
      <c r="AW57" s="5">
        <f t="shared" si="3"/>
        <v>3.2241047167110306E-56</v>
      </c>
      <c r="AX57" s="5">
        <v>1</v>
      </c>
      <c r="AY57" s="5" t="e">
        <f t="shared" si="4"/>
        <v>#N/A</v>
      </c>
      <c r="AZ57" s="5" t="e">
        <f t="shared" si="5"/>
        <v>#N/A</v>
      </c>
      <c r="BA57" s="5">
        <f t="shared" si="6"/>
        <v>-0.99100745367811782</v>
      </c>
      <c r="BD57" s="5">
        <f t="shared" si="7"/>
        <v>55.521300578064725</v>
      </c>
      <c r="BF57" s="58"/>
    </row>
    <row r="58" spans="48:58" ht="12" customHeight="1">
      <c r="AV58" s="5">
        <f t="shared" si="8"/>
        <v>-2.6940000000000111</v>
      </c>
      <c r="AW58" s="5">
        <f t="shared" si="3"/>
        <v>5.3452078534562656E-56</v>
      </c>
      <c r="AX58" s="5">
        <v>1</v>
      </c>
      <c r="AY58" s="5" t="e">
        <f t="shared" si="4"/>
        <v>#N/A</v>
      </c>
      <c r="AZ58" s="5" t="e">
        <f t="shared" si="5"/>
        <v>#N/A</v>
      </c>
      <c r="BA58" s="5">
        <f t="shared" si="6"/>
        <v>-0.99089938704535652</v>
      </c>
      <c r="BD58" s="5">
        <f t="shared" si="7"/>
        <v>54.865018040638745</v>
      </c>
      <c r="BF58" s="58"/>
    </row>
    <row r="59" spans="48:58" ht="12" customHeight="1">
      <c r="AV59" s="5">
        <f t="shared" si="8"/>
        <v>-2.6880000000000113</v>
      </c>
      <c r="AW59" s="5">
        <f t="shared" si="3"/>
        <v>8.8531520360000066E-56</v>
      </c>
      <c r="AX59" s="5">
        <v>1</v>
      </c>
      <c r="AY59" s="5" t="e">
        <f t="shared" si="4"/>
        <v>#N/A</v>
      </c>
      <c r="AZ59" s="5" t="e">
        <f t="shared" si="5"/>
        <v>#N/A</v>
      </c>
      <c r="BA59" s="5">
        <f t="shared" si="6"/>
        <v>-0.99079002774476255</v>
      </c>
      <c r="BD59" s="5">
        <f t="shared" si="7"/>
        <v>54.216564159002829</v>
      </c>
      <c r="BF59" s="58"/>
    </row>
    <row r="60" spans="48:58" ht="12" customHeight="1">
      <c r="AV60" s="5">
        <f t="shared" si="8"/>
        <v>-2.6820000000000115</v>
      </c>
      <c r="AW60" s="5">
        <f t="shared" si="3"/>
        <v>1.4649038245845693E-55</v>
      </c>
      <c r="AX60" s="5">
        <v>1</v>
      </c>
      <c r="AY60" s="5" t="e">
        <f t="shared" si="4"/>
        <v>#N/A</v>
      </c>
      <c r="AZ60" s="5" t="e">
        <f t="shared" si="5"/>
        <v>#N/A</v>
      </c>
      <c r="BA60" s="5">
        <f t="shared" si="6"/>
        <v>-0.99067936045897875</v>
      </c>
      <c r="BD60" s="5">
        <f t="shared" si="7"/>
        <v>53.575845554434288</v>
      </c>
      <c r="BF60" s="58"/>
    </row>
    <row r="61" spans="48:58" ht="12" customHeight="1">
      <c r="AV61" s="5">
        <f t="shared" si="8"/>
        <v>-2.6760000000000117</v>
      </c>
      <c r="AW61" s="5">
        <f t="shared" si="3"/>
        <v>2.4215763641666909E-55</v>
      </c>
      <c r="AX61" s="5">
        <v>1</v>
      </c>
      <c r="AY61" s="5" t="e">
        <f t="shared" si="4"/>
        <v>#N/A</v>
      </c>
      <c r="AZ61" s="5" t="e">
        <f t="shared" si="5"/>
        <v>#N/A</v>
      </c>
      <c r="BA61" s="5">
        <f t="shared" si="6"/>
        <v>-0.99056736969265657</v>
      </c>
      <c r="BD61" s="5">
        <f t="shared" si="7"/>
        <v>52.942769962556731</v>
      </c>
      <c r="BF61" s="58"/>
    </row>
    <row r="62" spans="48:58" ht="12" customHeight="1">
      <c r="AV62" s="5">
        <f t="shared" si="8"/>
        <v>-2.6700000000000119</v>
      </c>
      <c r="AW62" s="5">
        <f t="shared" si="3"/>
        <v>3.9991260308081019E-55</v>
      </c>
      <c r="AX62" s="5">
        <v>1</v>
      </c>
      <c r="AY62" s="5" t="e">
        <f t="shared" si="4"/>
        <v>#N/A</v>
      </c>
      <c r="AZ62" s="5" t="e">
        <f t="shared" si="5"/>
        <v>#N/A</v>
      </c>
      <c r="BA62" s="5">
        <f t="shared" si="6"/>
        <v>-0.99045403977047375</v>
      </c>
      <c r="BD62" s="5">
        <f t="shared" si="7"/>
        <v>52.317246219308402</v>
      </c>
      <c r="BF62" s="58"/>
    </row>
    <row r="63" spans="48:58" ht="12" customHeight="1">
      <c r="AV63" s="5">
        <f t="shared" si="8"/>
        <v>-2.6640000000000121</v>
      </c>
      <c r="AW63" s="5">
        <f t="shared" si="3"/>
        <v>6.5979630436100497E-55</v>
      </c>
      <c r="AX63" s="5">
        <v>1</v>
      </c>
      <c r="AY63" s="5" t="e">
        <f t="shared" si="4"/>
        <v>#N/A</v>
      </c>
      <c r="AZ63" s="5" t="e">
        <f t="shared" si="5"/>
        <v>#N/A</v>
      </c>
      <c r="BA63" s="5">
        <f t="shared" si="6"/>
        <v>-0.99033935483513047</v>
      </c>
      <c r="BD63" s="5">
        <f t="shared" si="7"/>
        <v>51.699184248226167</v>
      </c>
      <c r="BF63" s="58"/>
    </row>
    <row r="64" spans="48:58" ht="12" customHeight="1">
      <c r="AV64" s="5">
        <f t="shared" si="8"/>
        <v>-2.6580000000000124</v>
      </c>
      <c r="AW64" s="5">
        <f t="shared" si="3"/>
        <v>1.0875081795064252E-54</v>
      </c>
      <c r="AX64" s="5">
        <v>1</v>
      </c>
      <c r="AY64" s="5" t="e">
        <f t="shared" si="4"/>
        <v>#N/A</v>
      </c>
      <c r="AZ64" s="5" t="e">
        <f t="shared" si="5"/>
        <v>#N/A</v>
      </c>
      <c r="BA64" s="5">
        <f t="shared" si="6"/>
        <v>-0.99022329884532623</v>
      </c>
      <c r="BD64" s="5">
        <f t="shared" si="7"/>
        <v>51.088495047219432</v>
      </c>
      <c r="BF64" s="58"/>
    </row>
    <row r="65" spans="48:58" ht="12" customHeight="1">
      <c r="AV65" s="5">
        <f t="shared" si="8"/>
        <v>-2.6520000000000126</v>
      </c>
      <c r="AW65" s="5">
        <f t="shared" si="3"/>
        <v>1.7907421305960858E-54</v>
      </c>
      <c r="AX65" s="5">
        <v>1</v>
      </c>
      <c r="AY65" s="5" t="e">
        <f t="shared" si="4"/>
        <v>#N/A</v>
      </c>
      <c r="AZ65" s="5" t="e">
        <f t="shared" si="5"/>
        <v>#N/A</v>
      </c>
      <c r="BA65" s="5">
        <f t="shared" si="6"/>
        <v>-0.99010585557371578</v>
      </c>
      <c r="BD65" s="5">
        <f t="shared" si="7"/>
        <v>50.485090676115888</v>
      </c>
      <c r="BF65" s="58"/>
    </row>
    <row r="66" spans="48:58" ht="12" customHeight="1">
      <c r="AV66" s="5">
        <f t="shared" si="8"/>
        <v>-2.6460000000000128</v>
      </c>
      <c r="AW66" s="5">
        <f t="shared" si="3"/>
        <v>2.9458554747881859E-54</v>
      </c>
      <c r="AX66" s="5">
        <v>1</v>
      </c>
      <c r="AY66" s="5" t="e">
        <f t="shared" si="4"/>
        <v>#N/A</v>
      </c>
      <c r="AZ66" s="5" t="e">
        <f t="shared" si="5"/>
        <v>#N/A</v>
      </c>
      <c r="BA66" s="5">
        <f t="shared" si="6"/>
        <v>-0.98998700860484545</v>
      </c>
      <c r="BD66" s="5">
        <f t="shared" si="7"/>
        <v>49.888884243450804</v>
      </c>
      <c r="BF66" s="58"/>
    </row>
    <row r="67" spans="48:58" ht="12" customHeight="1">
      <c r="AV67" s="5">
        <f t="shared" si="8"/>
        <v>-2.640000000000013</v>
      </c>
      <c r="AW67" s="5">
        <f t="shared" si="3"/>
        <v>4.8413634490750984E-54</v>
      </c>
      <c r="AX67" s="5">
        <v>1</v>
      </c>
      <c r="AY67" s="5" t="e">
        <f t="shared" si="4"/>
        <v>#N/A</v>
      </c>
      <c r="AZ67" s="5" t="e">
        <f t="shared" si="5"/>
        <v>#N/A</v>
      </c>
      <c r="BA67" s="5">
        <f t="shared" si="6"/>
        <v>-0.98986674133306762</v>
      </c>
      <c r="BD67" s="5">
        <f t="shared" si="7"/>
        <v>49.299789894802018</v>
      </c>
      <c r="BF67" s="58"/>
    </row>
    <row r="68" spans="48:58" ht="12" customHeight="1">
      <c r="AV68" s="5">
        <f t="shared" si="8"/>
        <v>-2.6340000000000132</v>
      </c>
      <c r="AW68" s="5">
        <f t="shared" si="3"/>
        <v>7.9488042782530697E-54</v>
      </c>
      <c r="AX68" s="5">
        <v>1</v>
      </c>
      <c r="AY68" s="5" t="e">
        <f t="shared" si="4"/>
        <v>#N/A</v>
      </c>
      <c r="AZ68" s="5" t="e">
        <f t="shared" si="5"/>
        <v>#N/A</v>
      </c>
      <c r="BA68" s="5">
        <f t="shared" si="6"/>
        <v>-0.98974503696043636</v>
      </c>
      <c r="BD68" s="5">
        <f t="shared" si="7"/>
        <v>48.717722799195698</v>
      </c>
      <c r="BF68" s="58"/>
    </row>
    <row r="69" spans="48:58" ht="12" customHeight="1">
      <c r="AV69" s="5">
        <f t="shared" si="8"/>
        <v>-2.6280000000000134</v>
      </c>
      <c r="AW69" s="5">
        <f t="shared" si="3"/>
        <v>1.3038084333864388E-53</v>
      </c>
      <c r="AX69" s="5">
        <v>1</v>
      </c>
      <c r="AY69" s="5" t="e">
        <f t="shared" si="4"/>
        <v>#N/A</v>
      </c>
      <c r="AZ69" s="5" t="e">
        <f t="shared" si="5"/>
        <v>#N/A</v>
      </c>
      <c r="BA69" s="5">
        <f t="shared" si="6"/>
        <v>-0.98962187849457928</v>
      </c>
      <c r="BD69" s="5">
        <f t="shared" si="7"/>
        <v>48.142599138115607</v>
      </c>
      <c r="BF69" s="58"/>
    </row>
    <row r="70" spans="48:58" ht="12" customHeight="1">
      <c r="AV70" s="5">
        <f t="shared" si="8"/>
        <v>-2.6220000000000137</v>
      </c>
      <c r="AW70" s="5">
        <f t="shared" si="3"/>
        <v>2.1365036243398054E-53</v>
      </c>
      <c r="AX70" s="5">
        <v>1</v>
      </c>
      <c r="AY70" s="5" t="e">
        <f t="shared" si="4"/>
        <v>#N/A</v>
      </c>
      <c r="AZ70" s="5" t="e">
        <f t="shared" si="5"/>
        <v>#N/A</v>
      </c>
      <c r="BA70" s="5">
        <f t="shared" si="6"/>
        <v>-0.98949724874655121</v>
      </c>
      <c r="BD70" s="5">
        <f t="shared" si="7"/>
        <v>47.574336092913356</v>
      </c>
      <c r="BF70" s="58"/>
    </row>
    <row r="71" spans="48:58" ht="12" customHeight="1">
      <c r="AV71" s="5">
        <f t="shared" si="8"/>
        <v>-2.6160000000000139</v>
      </c>
      <c r="AW71" s="5">
        <f t="shared" ref="AW71:AW134" si="9">$G$22*NORMDIST(AV71,$AW$3,$AW$4,FALSE)</f>
        <v>3.4976097239814695E-53</v>
      </c>
      <c r="AX71" s="5">
        <v>1</v>
      </c>
      <c r="AY71" s="5" t="e">
        <f t="shared" ref="AY71:AY134" si="10">IF($BF$2,AX71+AW71*$BC$2*BD71,NA())</f>
        <v>#N/A</v>
      </c>
      <c r="AZ71" s="5" t="e">
        <f t="shared" ref="AZ71:AZ134" si="11">IF($BF$2,AX71-AW71*$BC$2*BD71,NA())</f>
        <v>#N/A</v>
      </c>
      <c r="BA71" s="5">
        <f t="shared" ref="BA71:BA134" si="12">(EXP(2*AV71)-1)/(EXP(2*AV71)+1)</f>
        <v>-0.98937113032866553</v>
      </c>
      <c r="BD71" s="5">
        <f t="shared" ref="BD71:BD134" si="13">(AV71-AV72)/(BA71-BA72)</f>
        <v>47.012851832526238</v>
      </c>
      <c r="BF71" s="58"/>
    </row>
    <row r="72" spans="48:58" ht="12" customHeight="1">
      <c r="AV72" s="5">
        <f t="shared" ref="AV72:AV135" si="14">AV71+$BC$4</f>
        <v>-2.6100000000000141</v>
      </c>
      <c r="AW72" s="5">
        <f t="shared" si="9"/>
        <v>5.7202752557835447E-53</v>
      </c>
      <c r="AX72" s="5">
        <v>1</v>
      </c>
      <c r="AY72" s="5" t="e">
        <f t="shared" si="10"/>
        <v>#N/A</v>
      </c>
      <c r="AZ72" s="5" t="e">
        <f t="shared" si="11"/>
        <v>#N/A</v>
      </c>
      <c r="BA72" s="5">
        <f t="shared" si="12"/>
        <v>-0.98924350565230312</v>
      </c>
      <c r="BD72" s="5">
        <f t="shared" si="13"/>
        <v>46.458065502278366</v>
      </c>
      <c r="BF72" s="58"/>
    </row>
    <row r="73" spans="48:58" ht="12" customHeight="1">
      <c r="AV73" s="5">
        <f t="shared" si="14"/>
        <v>-2.6040000000000143</v>
      </c>
      <c r="AW73" s="5">
        <f t="shared" si="9"/>
        <v>9.3463141083333332E-53</v>
      </c>
      <c r="AX73" s="5">
        <v>1</v>
      </c>
      <c r="AY73" s="5" t="e">
        <f t="shared" si="10"/>
        <v>#N/A</v>
      </c>
      <c r="AZ73" s="5" t="e">
        <f t="shared" si="11"/>
        <v>#N/A</v>
      </c>
      <c r="BA73" s="5">
        <f t="shared" si="12"/>
        <v>-0.98911435692570138</v>
      </c>
      <c r="BD73" s="5">
        <f t="shared" si="13"/>
        <v>45.909897211974659</v>
      </c>
      <c r="BF73" s="58"/>
    </row>
    <row r="74" spans="48:58" ht="12" customHeight="1">
      <c r="AV74" s="5">
        <f t="shared" si="14"/>
        <v>-2.5980000000000145</v>
      </c>
      <c r="AW74" s="5">
        <f t="shared" si="9"/>
        <v>1.5256035256030771E-52</v>
      </c>
      <c r="AX74" s="5">
        <v>1</v>
      </c>
      <c r="AY74" s="5" t="e">
        <f t="shared" si="10"/>
        <v>#N/A</v>
      </c>
      <c r="AZ74" s="5" t="e">
        <f t="shared" si="11"/>
        <v>#N/A</v>
      </c>
      <c r="BA74" s="5">
        <f t="shared" si="12"/>
        <v>-0.98898366615172084</v>
      </c>
      <c r="BD74" s="5">
        <f t="shared" si="13"/>
        <v>45.368268024598947</v>
      </c>
      <c r="BF74" s="58"/>
    </row>
    <row r="75" spans="48:58" ht="12" customHeight="1">
      <c r="AV75" s="5">
        <f t="shared" si="14"/>
        <v>-2.5920000000000147</v>
      </c>
      <c r="AW75" s="5">
        <f t="shared" si="9"/>
        <v>2.4878309164824151E-52</v>
      </c>
      <c r="AX75" s="5">
        <v>1</v>
      </c>
      <c r="AY75" s="5" t="e">
        <f t="shared" si="10"/>
        <v>#N/A</v>
      </c>
      <c r="AZ75" s="5" t="e">
        <f t="shared" si="11"/>
        <v>#N/A</v>
      </c>
      <c r="BA75" s="5">
        <f t="shared" si="12"/>
        <v>-0.98885141512559072</v>
      </c>
      <c r="BD75" s="5">
        <f t="shared" si="13"/>
        <v>44.83309994442498</v>
      </c>
      <c r="BF75" s="58"/>
    </row>
    <row r="76" spans="48:58" ht="12" customHeight="1">
      <c r="AV76" s="5">
        <f t="shared" si="14"/>
        <v>-2.586000000000015</v>
      </c>
      <c r="AW76" s="5">
        <f t="shared" si="9"/>
        <v>4.0530121265923666E-52</v>
      </c>
      <c r="AX76" s="5">
        <v>1</v>
      </c>
      <c r="AY76" s="5" t="e">
        <f t="shared" si="10"/>
        <v>#N/A</v>
      </c>
      <c r="AZ76" s="5" t="e">
        <f t="shared" si="11"/>
        <v>#N/A</v>
      </c>
      <c r="BA76" s="5">
        <f t="shared" si="12"/>
        <v>-0.98871758543263089</v>
      </c>
      <c r="BD76" s="5">
        <f t="shared" si="13"/>
        <v>44.304315906362099</v>
      </c>
      <c r="BF76" s="58"/>
    </row>
    <row r="77" spans="48:58" ht="12" customHeight="1">
      <c r="AV77" s="5">
        <f t="shared" si="14"/>
        <v>-2.5800000000000152</v>
      </c>
      <c r="AW77" s="5">
        <f t="shared" si="9"/>
        <v>6.5964885286660358E-52</v>
      </c>
      <c r="AX77" s="5">
        <v>1</v>
      </c>
      <c r="AY77" s="5" t="e">
        <f t="shared" si="10"/>
        <v>#N/A</v>
      </c>
      <c r="AZ77" s="5" t="e">
        <f t="shared" si="11"/>
        <v>#N/A</v>
      </c>
      <c r="BA77" s="5">
        <f t="shared" si="12"/>
        <v>-0.98858215844595354</v>
      </c>
      <c r="BD77" s="5">
        <f t="shared" si="13"/>
        <v>43.781839764727494</v>
      </c>
      <c r="BF77" s="58"/>
    </row>
    <row r="78" spans="48:58" ht="12" customHeight="1">
      <c r="AV78" s="5">
        <f t="shared" si="14"/>
        <v>-2.5740000000000154</v>
      </c>
      <c r="AW78" s="5">
        <f t="shared" si="9"/>
        <v>1.072569852284549E-51</v>
      </c>
      <c r="AX78" s="5">
        <v>1</v>
      </c>
      <c r="AY78" s="5" t="e">
        <f t="shared" si="10"/>
        <v>#N/A</v>
      </c>
      <c r="AZ78" s="5" t="e">
        <f t="shared" si="11"/>
        <v>#N/A</v>
      </c>
      <c r="BA78" s="5">
        <f t="shared" si="12"/>
        <v>-0.98844511532414225</v>
      </c>
      <c r="BD78" s="5">
        <f t="shared" si="13"/>
        <v>43.265596281760551</v>
      </c>
      <c r="BF78" s="58"/>
    </row>
    <row r="79" spans="48:58" ht="12" customHeight="1">
      <c r="AV79" s="5">
        <f t="shared" si="14"/>
        <v>-2.5680000000000156</v>
      </c>
      <c r="AW79" s="5">
        <f t="shared" si="9"/>
        <v>1.7422730769322295E-51</v>
      </c>
      <c r="AX79" s="5">
        <v>1</v>
      </c>
      <c r="AY79" s="5" t="e">
        <f t="shared" si="10"/>
        <v>#N/A</v>
      </c>
      <c r="AZ79" s="5" t="e">
        <f t="shared" si="11"/>
        <v>#N/A</v>
      </c>
      <c r="BA79" s="5">
        <f t="shared" si="12"/>
        <v>-0.98830643700890708</v>
      </c>
      <c r="BD79" s="5">
        <f t="shared" si="13"/>
        <v>42.755511117870824</v>
      </c>
      <c r="BF79" s="58"/>
    </row>
    <row r="80" spans="48:58" ht="12" customHeight="1">
      <c r="AV80" s="5">
        <f t="shared" si="14"/>
        <v>-2.5620000000000158</v>
      </c>
      <c r="AW80" s="5">
        <f t="shared" si="9"/>
        <v>2.827383578413151E-51</v>
      </c>
      <c r="AX80" s="5">
        <v>1</v>
      </c>
      <c r="AY80" s="5" t="e">
        <f t="shared" si="10"/>
        <v>#N/A</v>
      </c>
      <c r="AZ80" s="5" t="e">
        <f t="shared" si="11"/>
        <v>#N/A</v>
      </c>
      <c r="BA80" s="5">
        <f t="shared" si="12"/>
        <v>-0.98816610422272055</v>
      </c>
      <c r="BD80" s="5">
        <f t="shared" si="13"/>
        <v>42.251510819594934</v>
      </c>
      <c r="BF80" s="58"/>
    </row>
    <row r="81" spans="48:58" ht="12" customHeight="1">
      <c r="AV81" s="5">
        <f t="shared" si="14"/>
        <v>-2.556000000000016</v>
      </c>
      <c r="AW81" s="5">
        <f t="shared" si="9"/>
        <v>4.583857443007162E-51</v>
      </c>
      <c r="AX81" s="5">
        <v>1</v>
      </c>
      <c r="AY81" s="5" t="e">
        <f t="shared" si="10"/>
        <v>#N/A</v>
      </c>
      <c r="AZ81" s="5" t="e">
        <f t="shared" si="11"/>
        <v>#N/A</v>
      </c>
      <c r="BA81" s="5">
        <f t="shared" si="12"/>
        <v>-0.98802409746642683</v>
      </c>
      <c r="BD81" s="5">
        <f t="shared" si="13"/>
        <v>41.753522810290455</v>
      </c>
      <c r="BF81" s="58"/>
    </row>
    <row r="82" spans="48:58" ht="12" customHeight="1">
      <c r="AV82" s="5">
        <f t="shared" si="14"/>
        <v>-2.5500000000000163</v>
      </c>
      <c r="AW82" s="5">
        <f t="shared" si="9"/>
        <v>7.424297049951782E-51</v>
      </c>
      <c r="AX82" s="5">
        <v>1</v>
      </c>
      <c r="AY82" s="5" t="e">
        <f t="shared" si="10"/>
        <v>#N/A</v>
      </c>
      <c r="AZ82" s="5" t="e">
        <f t="shared" si="11"/>
        <v>#N/A</v>
      </c>
      <c r="BA82" s="5">
        <f t="shared" si="12"/>
        <v>-0.98788039701683217</v>
      </c>
      <c r="BD82" s="5">
        <f t="shared" si="13"/>
        <v>41.261475378615607</v>
      </c>
      <c r="BF82" s="58"/>
    </row>
    <row r="83" spans="48:58" ht="12" customHeight="1">
      <c r="AV83" s="5">
        <f t="shared" si="14"/>
        <v>-2.5440000000000165</v>
      </c>
      <c r="AW83" s="5">
        <f t="shared" si="9"/>
        <v>1.2013165020733952E-50</v>
      </c>
      <c r="AX83" s="5">
        <v>1</v>
      </c>
      <c r="AY83" s="5" t="e">
        <f t="shared" si="10"/>
        <v>#N/A</v>
      </c>
      <c r="AZ83" s="5" t="e">
        <f t="shared" si="11"/>
        <v>#N/A</v>
      </c>
      <c r="BA83" s="5">
        <f t="shared" si="12"/>
        <v>-0.98773498292426898</v>
      </c>
      <c r="BD83" s="5">
        <f t="shared" si="13"/>
        <v>40.775297668977068</v>
      </c>
      <c r="BF83" s="58"/>
    </row>
    <row r="84" spans="48:58" ht="12" customHeight="1">
      <c r="AV84" s="5">
        <f t="shared" si="14"/>
        <v>-2.5380000000000167</v>
      </c>
      <c r="AW84" s="5">
        <f t="shared" si="9"/>
        <v>1.941947173112572E-50</v>
      </c>
      <c r="AX84" s="5">
        <v>1</v>
      </c>
      <c r="AY84" s="5" t="e">
        <f t="shared" si="10"/>
        <v>#N/A</v>
      </c>
      <c r="AZ84" s="5" t="e">
        <f t="shared" si="11"/>
        <v>#N/A</v>
      </c>
      <c r="BA84" s="5">
        <f t="shared" si="12"/>
        <v>-0.98758783501013947</v>
      </c>
      <c r="BD84" s="5">
        <f t="shared" si="13"/>
        <v>40.294919670919775</v>
      </c>
      <c r="BF84" s="58"/>
    </row>
    <row r="85" spans="48:58" ht="12" customHeight="1">
      <c r="AV85" s="5">
        <f t="shared" si="14"/>
        <v>-2.5320000000000169</v>
      </c>
      <c r="AW85" s="5">
        <f t="shared" si="9"/>
        <v>3.136138587266296E-50</v>
      </c>
      <c r="AX85" s="5">
        <v>1</v>
      </c>
      <c r="AY85" s="5" t="e">
        <f t="shared" si="10"/>
        <v>#N/A</v>
      </c>
      <c r="AZ85" s="5" t="e">
        <f t="shared" si="11"/>
        <v>#N/A</v>
      </c>
      <c r="BA85" s="5">
        <f t="shared" si="12"/>
        <v>-0.98743893286443474</v>
      </c>
      <c r="BD85" s="5">
        <f t="shared" si="13"/>
        <v>39.820272209226168</v>
      </c>
      <c r="BF85" s="58"/>
    </row>
    <row r="86" spans="48:58" ht="12" customHeight="1">
      <c r="AV86" s="5">
        <f t="shared" si="14"/>
        <v>-2.5260000000000171</v>
      </c>
      <c r="AW86" s="5">
        <f t="shared" si="9"/>
        <v>5.0597719877325808E-50</v>
      </c>
      <c r="AX86" s="5">
        <v>1</v>
      </c>
      <c r="AY86" s="5" t="e">
        <f t="shared" si="10"/>
        <v>#N/A</v>
      </c>
      <c r="AZ86" s="5" t="e">
        <f t="shared" si="11"/>
        <v>#N/A</v>
      </c>
      <c r="BA86" s="5">
        <f t="shared" si="12"/>
        <v>-0.98728825584323121</v>
      </c>
      <c r="BD86" s="5">
        <f t="shared" si="13"/>
        <v>39.351286933800054</v>
      </c>
      <c r="BF86" s="58"/>
    </row>
    <row r="87" spans="48:58" ht="12" customHeight="1">
      <c r="AV87" s="5">
        <f t="shared" si="14"/>
        <v>-2.5200000000000173</v>
      </c>
      <c r="AW87" s="5">
        <f t="shared" si="9"/>
        <v>8.1553858318774139E-50</v>
      </c>
      <c r="AX87" s="5">
        <v>1</v>
      </c>
      <c r="AY87" s="5" t="e">
        <f t="shared" si="10"/>
        <v>#N/A</v>
      </c>
      <c r="AZ87" s="5" t="e">
        <f t="shared" si="11"/>
        <v>#N/A</v>
      </c>
      <c r="BA87" s="5">
        <f t="shared" si="12"/>
        <v>-0.98713578306616312</v>
      </c>
      <c r="BD87" s="5">
        <f t="shared" si="13"/>
        <v>38.88789630997401</v>
      </c>
      <c r="BF87" s="58"/>
    </row>
    <row r="88" spans="48:58" ht="12" customHeight="1">
      <c r="AV88" s="5">
        <f t="shared" si="14"/>
        <v>-2.5140000000000176</v>
      </c>
      <c r="AW88" s="5">
        <f t="shared" si="9"/>
        <v>1.313215330799257E-49</v>
      </c>
      <c r="AX88" s="5">
        <v>1</v>
      </c>
      <c r="AY88" s="5" t="e">
        <f t="shared" si="10"/>
        <v>#N/A</v>
      </c>
      <c r="AZ88" s="5" t="e">
        <f t="shared" si="11"/>
        <v>#N/A</v>
      </c>
      <c r="BA88" s="5">
        <f t="shared" si="12"/>
        <v>-0.98698149341387198</v>
      </c>
      <c r="BD88" s="5">
        <f t="shared" si="13"/>
        <v>38.430033608698146</v>
      </c>
      <c r="BF88" s="58"/>
    </row>
    <row r="89" spans="48:58" ht="12" customHeight="1">
      <c r="AV89" s="5">
        <f t="shared" si="14"/>
        <v>-2.5080000000000178</v>
      </c>
      <c r="AW89" s="5">
        <f t="shared" si="9"/>
        <v>2.1125414632934933E-49</v>
      </c>
      <c r="AX89" s="5">
        <v>1</v>
      </c>
      <c r="AY89" s="5" t="e">
        <f t="shared" si="10"/>
        <v>#N/A</v>
      </c>
      <c r="AZ89" s="5" t="e">
        <f t="shared" si="11"/>
        <v>#N/A</v>
      </c>
      <c r="BA89" s="5">
        <f t="shared" si="12"/>
        <v>-0.9868253655254321</v>
      </c>
      <c r="BD89" s="5">
        <f t="shared" si="13"/>
        <v>37.977632896912269</v>
      </c>
      <c r="BF89" s="58"/>
    </row>
    <row r="90" spans="48:58" ht="12" customHeight="1">
      <c r="AV90" s="5">
        <f t="shared" si="14"/>
        <v>-2.502000000000018</v>
      </c>
      <c r="AW90" s="5">
        <f t="shared" si="9"/>
        <v>3.3950987053963933E-49</v>
      </c>
      <c r="AX90" s="5">
        <v>1</v>
      </c>
      <c r="AY90" s="5" t="e">
        <f t="shared" si="10"/>
        <v>#N/A</v>
      </c>
      <c r="AZ90" s="5" t="e">
        <f t="shared" si="11"/>
        <v>#N/A</v>
      </c>
      <c r="BA90" s="5">
        <f t="shared" si="12"/>
        <v>-0.9866673777957522</v>
      </c>
      <c r="BD90" s="5">
        <f t="shared" si="13"/>
        <v>37.530629028193708</v>
      </c>
      <c r="BF90" s="58"/>
    </row>
    <row r="91" spans="48:58" ht="12" customHeight="1">
      <c r="AV91" s="5">
        <f t="shared" si="14"/>
        <v>-2.4960000000000182</v>
      </c>
      <c r="AW91" s="5">
        <f t="shared" si="9"/>
        <v>5.4510157149922046E-49</v>
      </c>
      <c r="AX91" s="5">
        <v>1</v>
      </c>
      <c r="AY91" s="5" t="e">
        <f t="shared" si="10"/>
        <v>#N/A</v>
      </c>
      <c r="AZ91" s="5" t="e">
        <f t="shared" si="11"/>
        <v>#N/A</v>
      </c>
      <c r="BA91" s="5">
        <f t="shared" si="12"/>
        <v>-0.98650750837295376</v>
      </c>
      <c r="BD91" s="5">
        <f t="shared" si="13"/>
        <v>37.088957633118227</v>
      </c>
      <c r="BF91" s="58"/>
    </row>
    <row r="92" spans="48:58" ht="12" customHeight="1">
      <c r="AV92" s="5">
        <f t="shared" si="14"/>
        <v>-2.4900000000000184</v>
      </c>
      <c r="AW92" s="5">
        <f t="shared" si="9"/>
        <v>8.7433996300366427E-49</v>
      </c>
      <c r="AX92" s="5">
        <v>1</v>
      </c>
      <c r="AY92" s="5" t="e">
        <f t="shared" si="10"/>
        <v>#N/A</v>
      </c>
      <c r="AZ92" s="5" t="e">
        <f t="shared" si="11"/>
        <v>#N/A</v>
      </c>
      <c r="BA92" s="5">
        <f t="shared" si="12"/>
        <v>-0.98634573515572421</v>
      </c>
      <c r="BD92" s="5">
        <f t="shared" si="13"/>
        <v>36.652555110340622</v>
      </c>
      <c r="BF92" s="58"/>
    </row>
    <row r="93" spans="48:58" ht="12" customHeight="1">
      <c r="AV93" s="5">
        <f t="shared" si="14"/>
        <v>-2.4840000000000186</v>
      </c>
      <c r="AW93" s="5">
        <f t="shared" si="9"/>
        <v>1.4010740505056405E-48</v>
      </c>
      <c r="AX93" s="5">
        <v>1</v>
      </c>
      <c r="AY93" s="5" t="e">
        <f t="shared" si="10"/>
        <v>#N/A</v>
      </c>
      <c r="AZ93" s="5" t="e">
        <f t="shared" si="11"/>
        <v>#N/A</v>
      </c>
      <c r="BA93" s="5">
        <f t="shared" si="12"/>
        <v>-0.98618203579064756</v>
      </c>
      <c r="BD93" s="5">
        <f t="shared" si="13"/>
        <v>36.22135861715558</v>
      </c>
      <c r="BF93" s="58"/>
    </row>
    <row r="94" spans="48:58" ht="12" customHeight="1">
      <c r="AV94" s="5">
        <f t="shared" si="14"/>
        <v>-2.4780000000000189</v>
      </c>
      <c r="AW94" s="5">
        <f t="shared" si="9"/>
        <v>2.2429506378906119E-48</v>
      </c>
      <c r="AX94" s="5">
        <v>1</v>
      </c>
      <c r="AY94" s="5" t="e">
        <f t="shared" si="10"/>
        <v>#N/A</v>
      </c>
      <c r="AZ94" s="5" t="e">
        <f t="shared" si="11"/>
        <v>#N/A</v>
      </c>
      <c r="BA94" s="5">
        <f t="shared" si="12"/>
        <v>-0.9860163876695095</v>
      </c>
      <c r="BD94" s="5">
        <f t="shared" si="13"/>
        <v>35.795306060394743</v>
      </c>
      <c r="BF94" s="58"/>
    </row>
    <row r="95" spans="48:58" ht="12" customHeight="1">
      <c r="AV95" s="5">
        <f t="shared" si="14"/>
        <v>-2.4720000000000191</v>
      </c>
      <c r="AW95" s="5">
        <f t="shared" si="9"/>
        <v>3.5872050970901286E-48</v>
      </c>
      <c r="AX95" s="5">
        <v>1</v>
      </c>
      <c r="AY95" s="5" t="e">
        <f t="shared" si="10"/>
        <v>#N/A</v>
      </c>
      <c r="AZ95" s="5" t="e">
        <f t="shared" si="11"/>
        <v>#N/A</v>
      </c>
      <c r="BA95" s="5">
        <f t="shared" si="12"/>
        <v>-0.98584876792657794</v>
      </c>
      <c r="BD95" s="5">
        <f t="shared" si="13"/>
        <v>35.374336087878852</v>
      </c>
      <c r="BF95" s="58"/>
    </row>
    <row r="96" spans="48:58" ht="12" customHeight="1">
      <c r="AV96" s="5">
        <f t="shared" si="14"/>
        <v>-2.4660000000000193</v>
      </c>
      <c r="AW96" s="5">
        <f t="shared" si="9"/>
        <v>5.7315299467279068E-48</v>
      </c>
      <c r="AX96" s="5">
        <v>1</v>
      </c>
      <c r="AY96" s="5" t="e">
        <f t="shared" si="10"/>
        <v>#N/A</v>
      </c>
      <c r="AZ96" s="5" t="e">
        <f t="shared" si="11"/>
        <v>#N/A</v>
      </c>
      <c r="BA96" s="5">
        <f t="shared" si="12"/>
        <v>-0.98567915343586088</v>
      </c>
      <c r="BD96" s="5">
        <f t="shared" si="13"/>
        <v>34.958388079152058</v>
      </c>
      <c r="BF96" s="58"/>
    </row>
    <row r="97" spans="48:58" ht="12" customHeight="1">
      <c r="AV97" s="5">
        <f t="shared" si="14"/>
        <v>-2.4600000000000195</v>
      </c>
      <c r="AW97" s="5">
        <f t="shared" si="9"/>
        <v>9.1487716848922997E-48</v>
      </c>
      <c r="AX97" s="5">
        <v>1</v>
      </c>
      <c r="AY97" s="5" t="e">
        <f t="shared" si="10"/>
        <v>#N/A</v>
      </c>
      <c r="AZ97" s="5" t="e">
        <f t="shared" si="11"/>
        <v>#N/A</v>
      </c>
      <c r="BA97" s="5">
        <f t="shared" si="12"/>
        <v>-0.9855075208083377</v>
      </c>
      <c r="BD97" s="5">
        <f t="shared" si="13"/>
        <v>34.547402136974107</v>
      </c>
      <c r="BF97" s="58"/>
    </row>
    <row r="98" spans="48:58" ht="12" customHeight="1">
      <c r="AV98" s="5">
        <f t="shared" si="14"/>
        <v>-2.4540000000000197</v>
      </c>
      <c r="AW98" s="5">
        <f t="shared" si="9"/>
        <v>1.4589247063735436E-47</v>
      </c>
      <c r="AX98" s="5">
        <v>1</v>
      </c>
      <c r="AY98" s="5" t="e">
        <f t="shared" si="10"/>
        <v>#N/A</v>
      </c>
      <c r="AZ98" s="5" t="e">
        <f t="shared" si="11"/>
        <v>#N/A</v>
      </c>
      <c r="BA98" s="5">
        <f t="shared" si="12"/>
        <v>-0.98533384638916688</v>
      </c>
      <c r="BD98" s="5">
        <f t="shared" si="13"/>
        <v>34.141319078711781</v>
      </c>
      <c r="BF98" s="58"/>
    </row>
    <row r="99" spans="48:58" ht="12" customHeight="1">
      <c r="AV99" s="5">
        <f t="shared" si="14"/>
        <v>-2.4480000000000199</v>
      </c>
      <c r="AW99" s="5">
        <f t="shared" si="9"/>
        <v>2.3242392671559083E-47</v>
      </c>
      <c r="AX99" s="5">
        <v>1</v>
      </c>
      <c r="AY99" s="5" t="e">
        <f t="shared" si="10"/>
        <v>#N/A</v>
      </c>
      <c r="AZ99" s="5" t="e">
        <f t="shared" si="11"/>
        <v>#N/A</v>
      </c>
      <c r="BA99" s="5">
        <f t="shared" si="12"/>
        <v>-0.98515810625486899</v>
      </c>
      <c r="BD99" s="5">
        <f t="shared" si="13"/>
        <v>33.740080427616562</v>
      </c>
      <c r="BF99" s="58"/>
    </row>
    <row r="100" spans="48:58" ht="12" customHeight="1">
      <c r="AV100" s="5">
        <f t="shared" si="14"/>
        <v>-2.4420000000000202</v>
      </c>
      <c r="AW100" s="5">
        <f t="shared" si="9"/>
        <v>3.699190142429421E-47</v>
      </c>
      <c r="AX100" s="5">
        <v>1</v>
      </c>
      <c r="AY100" s="5" t="e">
        <f t="shared" si="10"/>
        <v>#N/A</v>
      </c>
      <c r="AZ100" s="5" t="e">
        <f t="shared" si="11"/>
        <v>#N/A</v>
      </c>
      <c r="BA100" s="5">
        <f t="shared" si="12"/>
        <v>-0.9849802762104839</v>
      </c>
      <c r="BD100" s="5">
        <f t="shared" si="13"/>
        <v>33.343628404700887</v>
      </c>
      <c r="BF100" s="58"/>
    </row>
    <row r="101" spans="48:58" ht="12" customHeight="1">
      <c r="AV101" s="5">
        <f t="shared" si="14"/>
        <v>-2.4360000000000204</v>
      </c>
      <c r="AW101" s="5">
        <f t="shared" si="9"/>
        <v>5.8818012025085592E-47</v>
      </c>
      <c r="AX101" s="5">
        <v>1</v>
      </c>
      <c r="AY101" s="5" t="e">
        <f t="shared" si="10"/>
        <v>#N/A</v>
      </c>
      <c r="AZ101" s="5" t="e">
        <f t="shared" si="11"/>
        <v>#N/A</v>
      </c>
      <c r="BA101" s="5">
        <f t="shared" si="12"/>
        <v>-0.98480033178670445</v>
      </c>
      <c r="BD101" s="5">
        <f t="shared" si="13"/>
        <v>32.951905920147553</v>
      </c>
      <c r="BF101" s="58"/>
    </row>
    <row r="102" spans="48:58" ht="12" customHeight="1">
      <c r="AV102" s="5">
        <f t="shared" si="14"/>
        <v>-2.4300000000000206</v>
      </c>
      <c r="AW102" s="5">
        <f t="shared" si="9"/>
        <v>9.3431193000314741E-47</v>
      </c>
      <c r="AX102" s="5">
        <v>1</v>
      </c>
      <c r="AY102" s="5" t="e">
        <f t="shared" si="10"/>
        <v>#N/A</v>
      </c>
      <c r="AZ102" s="5" t="e">
        <f t="shared" si="11"/>
        <v>#N/A</v>
      </c>
      <c r="BA102" s="5">
        <f t="shared" si="12"/>
        <v>-0.98461824823698385</v>
      </c>
      <c r="BD102" s="5">
        <f t="shared" si="13"/>
        <v>32.56485656532098</v>
      </c>
      <c r="BF102" s="58"/>
    </row>
    <row r="103" spans="48:58" ht="12" customHeight="1">
      <c r="AV103" s="5">
        <f t="shared" si="14"/>
        <v>-2.4240000000000208</v>
      </c>
      <c r="AW103" s="5">
        <f t="shared" si="9"/>
        <v>1.4826932571495228E-46</v>
      </c>
      <c r="AX103" s="5">
        <v>1</v>
      </c>
      <c r="AY103" s="5" t="e">
        <f t="shared" si="10"/>
        <v>#N/A</v>
      </c>
      <c r="AZ103" s="5" t="e">
        <f t="shared" si="11"/>
        <v>#N/A</v>
      </c>
      <c r="BA103" s="5">
        <f t="shared" si="12"/>
        <v>-0.98443400053461905</v>
      </c>
      <c r="BD103" s="5">
        <f t="shared" si="13"/>
        <v>32.18242460432203</v>
      </c>
      <c r="BF103" s="58"/>
    </row>
    <row r="104" spans="48:58" ht="12" customHeight="1">
      <c r="AV104" s="5">
        <f t="shared" si="14"/>
        <v>-2.418000000000021</v>
      </c>
      <c r="AW104" s="5">
        <f t="shared" si="9"/>
        <v>2.3506533928931503E-46</v>
      </c>
      <c r="AX104" s="5">
        <v>1</v>
      </c>
      <c r="AY104" s="5" t="e">
        <f t="shared" si="10"/>
        <v>#N/A</v>
      </c>
      <c r="AZ104" s="5" t="e">
        <f t="shared" si="11"/>
        <v>#N/A</v>
      </c>
      <c r="BA104" s="5">
        <f t="shared" si="12"/>
        <v>-0.98424756336980723</v>
      </c>
      <c r="BD104" s="5">
        <f t="shared" si="13"/>
        <v>31.804554966332926</v>
      </c>
      <c r="BF104" s="58"/>
    </row>
    <row r="105" spans="48:58" ht="12" customHeight="1">
      <c r="AV105" s="5">
        <f t="shared" si="14"/>
        <v>-2.4120000000000212</v>
      </c>
      <c r="AW105" s="5">
        <f t="shared" si="9"/>
        <v>3.7230918134394587E-46</v>
      </c>
      <c r="AX105" s="5">
        <v>1</v>
      </c>
      <c r="AY105" s="5" t="e">
        <f t="shared" si="10"/>
        <v>#N/A</v>
      </c>
      <c r="AZ105" s="5" t="e">
        <f t="shared" si="11"/>
        <v>#N/A</v>
      </c>
      <c r="BA105" s="5">
        <f t="shared" si="12"/>
        <v>-0.98405891114667909</v>
      </c>
      <c r="BD105" s="5">
        <f t="shared" si="13"/>
        <v>31.431193237580626</v>
      </c>
      <c r="BF105" s="58"/>
    </row>
    <row r="106" spans="48:58" ht="12" customHeight="1">
      <c r="AV106" s="5">
        <f t="shared" si="14"/>
        <v>-2.4060000000000215</v>
      </c>
      <c r="AW106" s="5">
        <f t="shared" si="9"/>
        <v>5.8911049778624912E-46</v>
      </c>
      <c r="AX106" s="5">
        <v>1</v>
      </c>
      <c r="AY106" s="5" t="e">
        <f t="shared" si="10"/>
        <v>#N/A</v>
      </c>
      <c r="AZ106" s="5" t="e">
        <f t="shared" si="11"/>
        <v>#N/A</v>
      </c>
      <c r="BA106" s="5">
        <f t="shared" si="12"/>
        <v>-0.98386801798030621</v>
      </c>
      <c r="BD106" s="5">
        <f t="shared" si="13"/>
        <v>31.062285653169109</v>
      </c>
      <c r="BF106" s="58"/>
    </row>
    <row r="107" spans="48:58" ht="12" customHeight="1">
      <c r="AV107" s="5">
        <f t="shared" si="14"/>
        <v>-2.4000000000000217</v>
      </c>
      <c r="AW107" s="5">
        <f t="shared" si="9"/>
        <v>9.3125291054039125E-46</v>
      </c>
      <c r="AX107" s="5">
        <v>1</v>
      </c>
      <c r="AY107" s="5" t="e">
        <f t="shared" si="10"/>
        <v>#N/A</v>
      </c>
      <c r="AZ107" s="5" t="e">
        <f t="shared" si="11"/>
        <v>#N/A</v>
      </c>
      <c r="BA107" s="5">
        <f t="shared" si="12"/>
        <v>-0.98367485769368102</v>
      </c>
      <c r="BD107" s="5">
        <f t="shared" si="13"/>
        <v>30.697779089810755</v>
      </c>
      <c r="BF107" s="58"/>
    </row>
    <row r="108" spans="48:58" ht="12" customHeight="1">
      <c r="AV108" s="5">
        <f t="shared" si="14"/>
        <v>-2.3940000000000219</v>
      </c>
      <c r="AW108" s="5">
        <f t="shared" si="9"/>
        <v>1.4706739171998011E-45</v>
      </c>
      <c r="AX108" s="5">
        <v>1</v>
      </c>
      <c r="AY108" s="5" t="e">
        <f t="shared" si="10"/>
        <v>#N/A</v>
      </c>
      <c r="AZ108" s="5" t="e">
        <f t="shared" si="11"/>
        <v>#N/A</v>
      </c>
      <c r="BA108" s="5">
        <f t="shared" si="12"/>
        <v>-0.98347940381467414</v>
      </c>
      <c r="BD108" s="5">
        <f t="shared" si="13"/>
        <v>30.337621058049834</v>
      </c>
      <c r="BF108" s="58"/>
    </row>
    <row r="109" spans="48:58" ht="12" customHeight="1">
      <c r="AV109" s="5">
        <f t="shared" si="14"/>
        <v>-2.3880000000000221</v>
      </c>
      <c r="AW109" s="5">
        <f t="shared" si="9"/>
        <v>2.3202939250884364E-45</v>
      </c>
      <c r="AX109" s="5">
        <v>1</v>
      </c>
      <c r="AY109" s="5" t="e">
        <f t="shared" si="10"/>
        <v>#N/A</v>
      </c>
      <c r="AZ109" s="5" t="e">
        <f t="shared" si="11"/>
        <v>#N/A</v>
      </c>
      <c r="BA109" s="5">
        <f t="shared" si="12"/>
        <v>-0.9832816295729655</v>
      </c>
      <c r="BD109" s="5">
        <f t="shared" si="13"/>
        <v>29.981759694351819</v>
      </c>
      <c r="BF109" s="58"/>
    </row>
    <row r="110" spans="48:58" ht="12" customHeight="1">
      <c r="AV110" s="5">
        <f t="shared" si="14"/>
        <v>-2.3820000000000223</v>
      </c>
      <c r="AW110" s="5">
        <f t="shared" si="9"/>
        <v>3.657189646061451E-45</v>
      </c>
      <c r="AX110" s="5">
        <v>1</v>
      </c>
      <c r="AY110" s="5" t="e">
        <f t="shared" si="10"/>
        <v>#N/A</v>
      </c>
      <c r="AZ110" s="5" t="e">
        <f t="shared" si="11"/>
        <v>#N/A</v>
      </c>
      <c r="BA110" s="5">
        <f t="shared" si="12"/>
        <v>-0.98308150789694759</v>
      </c>
      <c r="BD110" s="5">
        <f t="shared" si="13"/>
        <v>29.630143754134593</v>
      </c>
      <c r="BF110" s="58"/>
    </row>
    <row r="111" spans="48:58" ht="12" customHeight="1">
      <c r="AV111" s="5">
        <f t="shared" si="14"/>
        <v>-2.3760000000000225</v>
      </c>
      <c r="AW111" s="5">
        <f t="shared" si="9"/>
        <v>5.758771224584019E-45</v>
      </c>
      <c r="AX111" s="5">
        <v>1</v>
      </c>
      <c r="AY111" s="5" t="e">
        <f t="shared" si="10"/>
        <v>#N/A</v>
      </c>
      <c r="AZ111" s="5" t="e">
        <f t="shared" si="11"/>
        <v>#N/A</v>
      </c>
      <c r="BA111" s="5">
        <f t="shared" si="12"/>
        <v>-0.9828790114106063</v>
      </c>
      <c r="BD111" s="5">
        <f t="shared" si="13"/>
        <v>29.282722604144919</v>
      </c>
      <c r="BF111" s="58"/>
    </row>
    <row r="112" spans="48:58" ht="12" customHeight="1">
      <c r="AV112" s="5">
        <f t="shared" si="14"/>
        <v>-2.3700000000000228</v>
      </c>
      <c r="AW112" s="5">
        <f t="shared" si="9"/>
        <v>9.0592039284373096E-45</v>
      </c>
      <c r="AX112" s="5">
        <v>1</v>
      </c>
      <c r="AY112" s="5" t="e">
        <f t="shared" si="10"/>
        <v>#N/A</v>
      </c>
      <c r="AZ112" s="5" t="e">
        <f t="shared" si="11"/>
        <v>#N/A</v>
      </c>
      <c r="BA112" s="5">
        <f t="shared" si="12"/>
        <v>-0.9826741124303745</v>
      </c>
      <c r="BD112" s="5">
        <f t="shared" si="13"/>
        <v>28.939446215007074</v>
      </c>
      <c r="BF112" s="58"/>
    </row>
    <row r="113" spans="48:58" ht="12" customHeight="1">
      <c r="AV113" s="5">
        <f t="shared" si="14"/>
        <v>-2.364000000000023</v>
      </c>
      <c r="AW113" s="5">
        <f t="shared" si="9"/>
        <v>1.4237315589890821E-44</v>
      </c>
      <c r="AX113" s="5">
        <v>1</v>
      </c>
      <c r="AY113" s="5" t="e">
        <f t="shared" si="10"/>
        <v>#N/A</v>
      </c>
      <c r="AZ113" s="5" t="e">
        <f t="shared" si="11"/>
        <v>#N/A</v>
      </c>
      <c r="BA113" s="5">
        <f t="shared" si="12"/>
        <v>-0.98246678296195888</v>
      </c>
      <c r="BD113" s="5">
        <f t="shared" si="13"/>
        <v>28.600265154445445</v>
      </c>
      <c r="BF113" s="58"/>
    </row>
    <row r="114" spans="48:58" ht="12" customHeight="1">
      <c r="AV114" s="5">
        <f t="shared" si="14"/>
        <v>-2.3580000000000232</v>
      </c>
      <c r="AW114" s="5">
        <f t="shared" si="9"/>
        <v>2.2353423877676818E-44</v>
      </c>
      <c r="AX114" s="5">
        <v>1</v>
      </c>
      <c r="AY114" s="5" t="e">
        <f t="shared" si="10"/>
        <v>#N/A</v>
      </c>
      <c r="AZ114" s="5" t="e">
        <f t="shared" si="11"/>
        <v>#N/A</v>
      </c>
      <c r="BA114" s="5">
        <f t="shared" si="12"/>
        <v>-0.98225699469714389</v>
      </c>
      <c r="BD114" s="5">
        <f t="shared" si="13"/>
        <v>28.265130579784412</v>
      </c>
      <c r="BF114" s="58"/>
    </row>
    <row r="115" spans="48:58" ht="12" customHeight="1">
      <c r="AV115" s="5">
        <f t="shared" si="14"/>
        <v>-2.3520000000000234</v>
      </c>
      <c r="AW115" s="5">
        <f t="shared" si="9"/>
        <v>3.5062094903087957E-44</v>
      </c>
      <c r="AX115" s="5">
        <v>1</v>
      </c>
      <c r="AY115" s="5" t="e">
        <f t="shared" si="10"/>
        <v>#N/A</v>
      </c>
      <c r="AZ115" s="5" t="e">
        <f t="shared" si="11"/>
        <v>#N/A</v>
      </c>
      <c r="BA115" s="5">
        <f t="shared" si="12"/>
        <v>-0.98204471901056734</v>
      </c>
      <c r="BD115" s="5">
        <f t="shared" si="13"/>
        <v>27.933994230991541</v>
      </c>
      <c r="BF115" s="58"/>
    </row>
    <row r="116" spans="48:58" ht="12" customHeight="1">
      <c r="AV116" s="5">
        <f t="shared" si="14"/>
        <v>-2.3460000000000236</v>
      </c>
      <c r="AW116" s="5">
        <f t="shared" si="9"/>
        <v>5.494264134103602E-44</v>
      </c>
      <c r="AX116" s="5">
        <v>1</v>
      </c>
      <c r="AY116" s="5" t="e">
        <f t="shared" si="10"/>
        <v>#N/A</v>
      </c>
      <c r="AZ116" s="5" t="e">
        <f t="shared" si="11"/>
        <v>#N/A</v>
      </c>
      <c r="BA116" s="5">
        <f t="shared" si="12"/>
        <v>-0.98182992695647064</v>
      </c>
      <c r="BD116" s="5">
        <f t="shared" si="13"/>
        <v>27.606808423909733</v>
      </c>
      <c r="BF116" s="58"/>
    </row>
    <row r="117" spans="48:58" ht="12" customHeight="1">
      <c r="AV117" s="5">
        <f t="shared" si="14"/>
        <v>-2.3400000000000238</v>
      </c>
      <c r="AW117" s="5">
        <f t="shared" si="9"/>
        <v>8.6012005300886236E-44</v>
      </c>
      <c r="AX117" s="5">
        <v>1</v>
      </c>
      <c r="AY117" s="5" t="e">
        <f t="shared" si="10"/>
        <v>#N/A</v>
      </c>
      <c r="AZ117" s="5" t="e">
        <f t="shared" si="11"/>
        <v>#N/A</v>
      </c>
      <c r="BA117" s="5">
        <f t="shared" si="12"/>
        <v>-0.98161258926542472</v>
      </c>
      <c r="BD117" s="5">
        <f t="shared" si="13"/>
        <v>27.283526043245381</v>
      </c>
      <c r="BF117" s="58"/>
    </row>
    <row r="118" spans="48:58" ht="12" customHeight="1">
      <c r="AV118" s="5">
        <f t="shared" si="14"/>
        <v>-2.3340000000000241</v>
      </c>
      <c r="AW118" s="5">
        <f t="shared" si="9"/>
        <v>1.3451988200610737E-43</v>
      </c>
      <c r="AX118" s="5">
        <v>1</v>
      </c>
      <c r="AY118" s="5" t="e">
        <f t="shared" si="10"/>
        <v>#N/A</v>
      </c>
      <c r="AZ118" s="5" t="e">
        <f t="shared" si="11"/>
        <v>#N/A</v>
      </c>
      <c r="BA118" s="5">
        <f t="shared" si="12"/>
        <v>-0.98139267634102889</v>
      </c>
      <c r="BD118" s="5">
        <f t="shared" si="13"/>
        <v>26.964100535738751</v>
      </c>
      <c r="BF118" s="58"/>
    </row>
    <row r="119" spans="48:58" ht="12" customHeight="1">
      <c r="AV119" s="5">
        <f t="shared" si="14"/>
        <v>-2.3280000000000243</v>
      </c>
      <c r="AW119" s="5">
        <f t="shared" si="9"/>
        <v>2.1018017444484813E-43</v>
      </c>
      <c r="AX119" s="5">
        <v>1</v>
      </c>
      <c r="AY119" s="5" t="e">
        <f t="shared" si="10"/>
        <v>#N/A</v>
      </c>
      <c r="AZ119" s="5" t="e">
        <f t="shared" si="11"/>
        <v>#N/A</v>
      </c>
      <c r="BA119" s="5">
        <f t="shared" si="12"/>
        <v>-0.98117015825658371</v>
      </c>
      <c r="BD119" s="5">
        <f t="shared" si="13"/>
        <v>26.64848590360512</v>
      </c>
      <c r="BF119" s="58"/>
    </row>
    <row r="120" spans="48:58" ht="12" customHeight="1">
      <c r="AV120" s="5">
        <f t="shared" si="14"/>
        <v>-2.3220000000000245</v>
      </c>
      <c r="AW120" s="5">
        <f t="shared" si="9"/>
        <v>3.2807631962674936E-43</v>
      </c>
      <c r="AX120" s="5">
        <v>1</v>
      </c>
      <c r="AY120" s="5" t="e">
        <f t="shared" si="10"/>
        <v>#N/A</v>
      </c>
      <c r="AZ120" s="5" t="e">
        <f t="shared" si="11"/>
        <v>#N/A</v>
      </c>
      <c r="BA120" s="5">
        <f t="shared" si="12"/>
        <v>-0.98094500475173907</v>
      </c>
      <c r="BD120" s="5">
        <f t="shared" si="13"/>
        <v>26.336636697714045</v>
      </c>
      <c r="BF120" s="58"/>
    </row>
    <row r="121" spans="48:58" ht="12" customHeight="1">
      <c r="AV121" s="5">
        <f t="shared" si="14"/>
        <v>-2.3160000000000247</v>
      </c>
      <c r="AW121" s="5">
        <f t="shared" si="9"/>
        <v>5.1160630299864515E-43</v>
      </c>
      <c r="AX121" s="5">
        <v>1</v>
      </c>
      <c r="AY121" s="5" t="e">
        <f t="shared" si="10"/>
        <v>#N/A</v>
      </c>
      <c r="AZ121" s="5" t="e">
        <f t="shared" si="11"/>
        <v>#N/A</v>
      </c>
      <c r="BA121" s="5">
        <f t="shared" si="12"/>
        <v>-0.98071718522911489</v>
      </c>
      <c r="BD121" s="5">
        <f t="shared" si="13"/>
        <v>26.02850801131116</v>
      </c>
      <c r="BF121" s="58"/>
    </row>
    <row r="122" spans="48:58" ht="12" customHeight="1">
      <c r="AV122" s="5">
        <f t="shared" si="14"/>
        <v>-2.3100000000000249</v>
      </c>
      <c r="AW122" s="5">
        <f t="shared" si="9"/>
        <v>7.9703015721687993E-43</v>
      </c>
      <c r="AX122" s="5">
        <v>1</v>
      </c>
      <c r="AY122" s="5" t="e">
        <f t="shared" si="10"/>
        <v>#N/A</v>
      </c>
      <c r="AZ122" s="5" t="e">
        <f t="shared" si="11"/>
        <v>#N/A</v>
      </c>
      <c r="BA122" s="5">
        <f t="shared" si="12"/>
        <v>-0.98048666875089829</v>
      </c>
      <c r="BD122" s="5">
        <f t="shared" si="13"/>
        <v>25.72405547330143</v>
      </c>
      <c r="BF122" s="58"/>
    </row>
    <row r="123" spans="48:58" ht="12" customHeight="1">
      <c r="AV123" s="5">
        <f t="shared" si="14"/>
        <v>-2.3040000000000251</v>
      </c>
      <c r="AW123" s="5">
        <f t="shared" si="9"/>
        <v>1.2404849156725017E-42</v>
      </c>
      <c r="AX123" s="5">
        <v>1</v>
      </c>
      <c r="AY123" s="5" t="e">
        <f t="shared" si="10"/>
        <v>#N/A</v>
      </c>
      <c r="AZ123" s="5" t="e">
        <f t="shared" si="11"/>
        <v>#N/A</v>
      </c>
      <c r="BA123" s="5">
        <f t="shared" si="12"/>
        <v>-0.98025342403541293</v>
      </c>
      <c r="BD123" s="5">
        <f t="shared" si="13"/>
        <v>25.42323524202239</v>
      </c>
      <c r="BF123" s="58"/>
    </row>
    <row r="124" spans="48:58" ht="12" customHeight="1">
      <c r="AV124" s="5">
        <f t="shared" si="14"/>
        <v>-2.2980000000000254</v>
      </c>
      <c r="AW124" s="5">
        <f t="shared" si="9"/>
        <v>1.9287950680748322E-42</v>
      </c>
      <c r="AX124" s="5">
        <v>1</v>
      </c>
      <c r="AY124" s="5" t="e">
        <f t="shared" si="10"/>
        <v>#N/A</v>
      </c>
      <c r="AZ124" s="5" t="e">
        <f t="shared" si="11"/>
        <v>#N/A</v>
      </c>
      <c r="BA124" s="5">
        <f t="shared" si="12"/>
        <v>-0.98001741945366394</v>
      </c>
      <c r="BD124" s="5">
        <f t="shared" si="13"/>
        <v>25.126003998810379</v>
      </c>
      <c r="BF124" s="58"/>
    </row>
    <row r="125" spans="48:58" ht="12" customHeight="1">
      <c r="AV125" s="5">
        <f t="shared" si="14"/>
        <v>-2.2920000000000256</v>
      </c>
      <c r="AW125" s="5">
        <f t="shared" si="9"/>
        <v>2.996115503798075E-42</v>
      </c>
      <c r="AX125" s="5">
        <v>1</v>
      </c>
      <c r="AY125" s="5" t="e">
        <f t="shared" si="10"/>
        <v>#N/A</v>
      </c>
      <c r="AZ125" s="5" t="e">
        <f t="shared" si="11"/>
        <v>#N/A</v>
      </c>
      <c r="BA125" s="5">
        <f t="shared" si="12"/>
        <v>-0.97977862302585617</v>
      </c>
      <c r="BD125" s="5">
        <f t="shared" si="13"/>
        <v>24.832318941870177</v>
      </c>
      <c r="BF125" s="58"/>
    </row>
    <row r="126" spans="48:58" ht="12" customHeight="1">
      <c r="AV126" s="5">
        <f t="shared" si="14"/>
        <v>-2.2860000000000258</v>
      </c>
      <c r="AW126" s="5">
        <f t="shared" si="9"/>
        <v>4.6495281636721233E-42</v>
      </c>
      <c r="AX126" s="5">
        <v>1</v>
      </c>
      <c r="AY126" s="5" t="e">
        <f t="shared" si="10"/>
        <v>#N/A</v>
      </c>
      <c r="AZ126" s="5" t="e">
        <f t="shared" si="11"/>
        <v>#N/A</v>
      </c>
      <c r="BA126" s="5">
        <f t="shared" si="12"/>
        <v>-0.97953700241788777</v>
      </c>
      <c r="BD126" s="5">
        <f t="shared" si="13"/>
        <v>24.542137780031567</v>
      </c>
      <c r="BF126" s="58"/>
    </row>
    <row r="127" spans="48:58" ht="12" customHeight="1">
      <c r="AV127" s="5">
        <f t="shared" si="14"/>
        <v>-2.280000000000026</v>
      </c>
      <c r="AW127" s="5">
        <f t="shared" si="9"/>
        <v>7.208370145047074E-42</v>
      </c>
      <c r="AX127" s="5">
        <v>1</v>
      </c>
      <c r="AY127" s="5" t="e">
        <f t="shared" si="10"/>
        <v>#N/A</v>
      </c>
      <c r="AZ127" s="5" t="e">
        <f t="shared" si="11"/>
        <v>#N/A</v>
      </c>
      <c r="BA127" s="5">
        <f t="shared" si="12"/>
        <v>-0.97929252493781749</v>
      </c>
      <c r="BD127" s="5">
        <f t="shared" si="13"/>
        <v>24.25541872673617</v>
      </c>
      <c r="BF127" s="58"/>
    </row>
    <row r="128" spans="48:58" ht="12" customHeight="1">
      <c r="AV128" s="5">
        <f t="shared" si="14"/>
        <v>-2.2740000000000262</v>
      </c>
      <c r="AW128" s="5">
        <f t="shared" si="9"/>
        <v>1.1164599321726661E-41</v>
      </c>
      <c r="AX128" s="5">
        <v>1</v>
      </c>
      <c r="AY128" s="5" t="e">
        <f t="shared" si="10"/>
        <v>#N/A</v>
      </c>
      <c r="AZ128" s="5" t="e">
        <f t="shared" si="11"/>
        <v>#N/A</v>
      </c>
      <c r="BA128" s="5">
        <f t="shared" si="12"/>
        <v>-0.97904515753230714</v>
      </c>
      <c r="BD128" s="5">
        <f t="shared" si="13"/>
        <v>23.972120493877277</v>
      </c>
      <c r="BF128" s="58"/>
    </row>
    <row r="129" spans="48:58" ht="12" customHeight="1">
      <c r="AV129" s="5">
        <f t="shared" si="14"/>
        <v>-2.2680000000000264</v>
      </c>
      <c r="AW129" s="5">
        <f t="shared" si="9"/>
        <v>1.7275358541044113E-41</v>
      </c>
      <c r="AX129" s="5">
        <v>1</v>
      </c>
      <c r="AY129" s="5" t="e">
        <f t="shared" si="10"/>
        <v>#N/A</v>
      </c>
      <c r="AZ129" s="5" t="e">
        <f t="shared" si="11"/>
        <v>#N/A</v>
      </c>
      <c r="BA129" s="5">
        <f t="shared" si="12"/>
        <v>-0.97879486678303729</v>
      </c>
      <c r="BD129" s="5">
        <f t="shared" si="13"/>
        <v>23.692202286117872</v>
      </c>
      <c r="BF129" s="58"/>
    </row>
    <row r="130" spans="48:58" ht="12" customHeight="1">
      <c r="AV130" s="5">
        <f t="shared" si="14"/>
        <v>-2.2620000000000267</v>
      </c>
      <c r="AW130" s="5">
        <f t="shared" si="9"/>
        <v>2.6704771332645752E-41</v>
      </c>
      <c r="AX130" s="5">
        <v>1</v>
      </c>
      <c r="AY130" s="5" t="e">
        <f t="shared" si="10"/>
        <v>#N/A</v>
      </c>
      <c r="AZ130" s="5" t="e">
        <f t="shared" si="11"/>
        <v>#N/A</v>
      </c>
      <c r="BA130" s="5">
        <f t="shared" si="12"/>
        <v>-0.97854161890310021</v>
      </c>
      <c r="BD130" s="5">
        <f t="shared" si="13"/>
        <v>23.415623794656913</v>
      </c>
      <c r="BF130" s="58"/>
    </row>
    <row r="131" spans="48:58" ht="12" customHeight="1">
      <c r="AV131" s="5">
        <f t="shared" si="14"/>
        <v>-2.2560000000000269</v>
      </c>
      <c r="AW131" s="5">
        <f t="shared" si="9"/>
        <v>4.1240936924914351E-41</v>
      </c>
      <c r="AX131" s="5">
        <v>1</v>
      </c>
      <c r="AY131" s="5" t="e">
        <f t="shared" si="10"/>
        <v>#N/A</v>
      </c>
      <c r="AZ131" s="5" t="e">
        <f t="shared" si="11"/>
        <v>#N/A</v>
      </c>
      <c r="BA131" s="5">
        <f t="shared" si="12"/>
        <v>-0.97828537973336394</v>
      </c>
      <c r="BD131" s="5">
        <f t="shared" si="13"/>
        <v>23.14234519178898</v>
      </c>
      <c r="BF131" s="58"/>
    </row>
    <row r="132" spans="48:58" ht="12" customHeight="1">
      <c r="AV132" s="5">
        <f t="shared" si="14"/>
        <v>-2.2500000000000271</v>
      </c>
      <c r="AW132" s="5">
        <f t="shared" si="9"/>
        <v>6.3627674186328692E-41</v>
      </c>
      <c r="AX132" s="5">
        <v>1</v>
      </c>
      <c r="AY132" s="5" t="e">
        <f t="shared" si="10"/>
        <v>#N/A</v>
      </c>
      <c r="AZ132" s="5" t="e">
        <f t="shared" si="11"/>
        <v>#N/A</v>
      </c>
      <c r="BA132" s="5">
        <f t="shared" si="12"/>
        <v>-0.97802611473881496</v>
      </c>
      <c r="BD132" s="5">
        <f t="shared" si="13"/>
        <v>22.872327124864412</v>
      </c>
      <c r="BF132" s="58"/>
    </row>
    <row r="133" spans="48:58" ht="12" customHeight="1">
      <c r="AV133" s="5">
        <f t="shared" si="14"/>
        <v>-2.2440000000000273</v>
      </c>
      <c r="AW133" s="5">
        <f t="shared" si="9"/>
        <v>9.8071188783110137E-41</v>
      </c>
      <c r="AX133" s="5">
        <v>1</v>
      </c>
      <c r="AY133" s="5" t="e">
        <f t="shared" si="10"/>
        <v>#N/A</v>
      </c>
      <c r="AZ133" s="5" t="e">
        <f t="shared" si="11"/>
        <v>#N/A</v>
      </c>
      <c r="BA133" s="5">
        <f t="shared" si="12"/>
        <v>-0.9777637890048726</v>
      </c>
      <c r="BD133" s="5">
        <f t="shared" si="13"/>
        <v>22.605530710849632</v>
      </c>
      <c r="BF133" s="58"/>
    </row>
    <row r="134" spans="48:58" ht="12" customHeight="1">
      <c r="AV134" s="5">
        <f t="shared" si="14"/>
        <v>-2.2380000000000275</v>
      </c>
      <c r="AW134" s="5">
        <f t="shared" si="9"/>
        <v>1.5101312563972789E-40</v>
      </c>
      <c r="AX134" s="5">
        <v>1</v>
      </c>
      <c r="AY134" s="5" t="e">
        <f t="shared" si="10"/>
        <v>#N/A</v>
      </c>
      <c r="AZ134" s="5" t="e">
        <f t="shared" si="11"/>
        <v>#N/A</v>
      </c>
      <c r="BA134" s="5">
        <f t="shared" si="12"/>
        <v>-0.977498367233681</v>
      </c>
      <c r="BD134" s="5">
        <f t="shared" si="13"/>
        <v>22.341917530608665</v>
      </c>
      <c r="BF134" s="58"/>
    </row>
    <row r="135" spans="48:58" ht="12" customHeight="1">
      <c r="AV135" s="5">
        <f t="shared" si="14"/>
        <v>-2.2320000000000277</v>
      </c>
      <c r="AW135" s="5">
        <f t="shared" ref="AW135:AW198" si="15">$G$22*NORMDIST(AV135,$AW$3,$AW$4,FALSE)</f>
        <v>2.3230888441801906E-40</v>
      </c>
      <c r="AX135" s="5">
        <v>1</v>
      </c>
      <c r="AY135" s="5" t="e">
        <f t="shared" ref="AY135:AY198" si="16">IF($BF$2,AX135+AW135*$BC$2*BD135,NA())</f>
        <v>#N/A</v>
      </c>
      <c r="AZ135" s="5" t="e">
        <f t="shared" ref="AZ135:AZ198" si="17">IF($BF$2,AX135-AW135*$BC$2*BD135,NA())</f>
        <v>#N/A</v>
      </c>
      <c r="BA135" s="5">
        <f t="shared" ref="BA135:BA198" si="18">(EXP(2*AV135)-1)/(EXP(2*AV135)+1)</f>
        <v>-0.97722981374037499</v>
      </c>
      <c r="BD135" s="5">
        <f t="shared" ref="BD135:BD198" si="19">(AV135-AV136)/(BA135-BA136)</f>
        <v>22.081449623363955</v>
      </c>
      <c r="BF135" s="58"/>
    </row>
    <row r="136" spans="48:58" ht="12" customHeight="1">
      <c r="AV136" s="5">
        <f t="shared" ref="AV136:AV199" si="20">AV135+$BC$4</f>
        <v>-2.226000000000028</v>
      </c>
      <c r="AW136" s="5">
        <f t="shared" si="15"/>
        <v>3.5702185956739461E-40</v>
      </c>
      <c r="AX136" s="5">
        <v>1</v>
      </c>
      <c r="AY136" s="5" t="e">
        <f t="shared" si="16"/>
        <v>#N/A</v>
      </c>
      <c r="AZ136" s="5" t="e">
        <f t="shared" si="17"/>
        <v>#N/A</v>
      </c>
      <c r="BA136" s="5">
        <f t="shared" si="18"/>
        <v>-0.97695809244932119</v>
      </c>
      <c r="BD136" s="5">
        <f t="shared" si="19"/>
        <v>21.824089481273724</v>
      </c>
      <c r="BF136" s="58"/>
    </row>
    <row r="137" spans="48:58" ht="12" customHeight="1">
      <c r="AV137" s="5">
        <f t="shared" si="20"/>
        <v>-2.2200000000000282</v>
      </c>
      <c r="AW137" s="5">
        <f t="shared" si="15"/>
        <v>5.4815283161706849E-40</v>
      </c>
      <c r="AX137" s="5">
        <v>1</v>
      </c>
      <c r="AY137" s="5" t="e">
        <f t="shared" si="16"/>
        <v>#N/A</v>
      </c>
      <c r="AZ137" s="5" t="e">
        <f t="shared" si="17"/>
        <v>#N/A</v>
      </c>
      <c r="BA137" s="5">
        <f t="shared" si="18"/>
        <v>-0.97668316689033519</v>
      </c>
      <c r="BD137" s="5">
        <f t="shared" si="19"/>
        <v>21.569800044055903</v>
      </c>
      <c r="BF137" s="58"/>
    </row>
    <row r="138" spans="48:58" ht="12" customHeight="1">
      <c r="AV138" s="5">
        <f t="shared" si="20"/>
        <v>-2.2140000000000284</v>
      </c>
      <c r="AW138" s="5">
        <f t="shared" si="15"/>
        <v>8.4078776225033206E-40</v>
      </c>
      <c r="AX138" s="5">
        <v>1</v>
      </c>
      <c r="AY138" s="5" t="e">
        <f t="shared" si="16"/>
        <v>#N/A</v>
      </c>
      <c r="AZ138" s="5" t="e">
        <f t="shared" si="17"/>
        <v>#N/A</v>
      </c>
      <c r="BA138" s="5">
        <f t="shared" si="18"/>
        <v>-0.97640500019487464</v>
      </c>
      <c r="BD138" s="5">
        <f t="shared" si="19"/>
        <v>21.318544693625835</v>
      </c>
      <c r="BF138" s="58"/>
    </row>
    <row r="139" spans="48:58" ht="12" customHeight="1">
      <c r="AV139" s="5">
        <f t="shared" si="20"/>
        <v>-2.2080000000000286</v>
      </c>
      <c r="AW139" s="5">
        <f t="shared" si="15"/>
        <v>1.2883948126586276E-39</v>
      </c>
      <c r="AX139" s="5">
        <v>1</v>
      </c>
      <c r="AY139" s="5" t="e">
        <f t="shared" si="16"/>
        <v>#N/A</v>
      </c>
      <c r="AZ139" s="5" t="e">
        <f t="shared" si="17"/>
        <v>#N/A</v>
      </c>
      <c r="BA139" s="5">
        <f t="shared" si="18"/>
        <v>-0.97612355509220805</v>
      </c>
      <c r="BD139" s="5">
        <f t="shared" si="19"/>
        <v>21.070287248721218</v>
      </c>
      <c r="BF139" s="58"/>
    </row>
    <row r="140" spans="48:58" ht="12" customHeight="1">
      <c r="AV140" s="5">
        <f t="shared" si="20"/>
        <v>-2.2020000000000288</v>
      </c>
      <c r="AW140" s="5">
        <f t="shared" si="15"/>
        <v>1.9723746816505618E-39</v>
      </c>
      <c r="AX140" s="5">
        <v>1</v>
      </c>
      <c r="AY140" s="5" t="e">
        <f t="shared" si="16"/>
        <v>#N/A</v>
      </c>
      <c r="AZ140" s="5" t="e">
        <f t="shared" si="17"/>
        <v>#N/A</v>
      </c>
      <c r="BA140" s="5">
        <f t="shared" si="18"/>
        <v>-0.97583879390555817</v>
      </c>
      <c r="BD140" s="5">
        <f t="shared" si="19"/>
        <v>20.824991959830193</v>
      </c>
      <c r="BF140" s="58"/>
    </row>
    <row r="141" spans="48:58" ht="12" customHeight="1">
      <c r="AV141" s="5">
        <f t="shared" si="20"/>
        <v>-2.196000000000029</v>
      </c>
      <c r="AW141" s="5">
        <f t="shared" si="15"/>
        <v>3.0165306078636201E-39</v>
      </c>
      <c r="AX141" s="5">
        <v>1</v>
      </c>
      <c r="AY141" s="5" t="e">
        <f t="shared" si="16"/>
        <v>#N/A</v>
      </c>
      <c r="AZ141" s="5" t="e">
        <f t="shared" si="17"/>
        <v>#N/A</v>
      </c>
      <c r="BA141" s="5">
        <f t="shared" si="18"/>
        <v>-0.97555067854822342</v>
      </c>
      <c r="BD141" s="5">
        <f t="shared" si="19"/>
        <v>20.582623504093135</v>
      </c>
      <c r="BF141" s="58"/>
    </row>
    <row r="142" spans="48:58" ht="12" customHeight="1">
      <c r="AV142" s="5">
        <f t="shared" si="20"/>
        <v>-2.1900000000000293</v>
      </c>
      <c r="AW142" s="5">
        <f t="shared" si="15"/>
        <v>4.6089704039265112E-39</v>
      </c>
      <c r="AX142" s="5">
        <v>1</v>
      </c>
      <c r="AY142" s="5" t="e">
        <f t="shared" si="16"/>
        <v>#N/A</v>
      </c>
      <c r="AZ142" s="5" t="e">
        <f t="shared" si="17"/>
        <v>#N/A</v>
      </c>
      <c r="BA142" s="5">
        <f t="shared" si="18"/>
        <v>-0.97525917051967659</v>
      </c>
      <c r="BD142" s="5">
        <f t="shared" si="19"/>
        <v>20.343146979944304</v>
      </c>
      <c r="BF142" s="58"/>
    </row>
    <row r="143" spans="48:58" ht="12" customHeight="1">
      <c r="AV143" s="5">
        <f t="shared" si="20"/>
        <v>-2.1840000000000295</v>
      </c>
      <c r="AW143" s="5">
        <f t="shared" si="15"/>
        <v>7.03522462042352E-39</v>
      </c>
      <c r="AX143" s="5">
        <v>1</v>
      </c>
      <c r="AY143" s="5" t="e">
        <f t="shared" si="16"/>
        <v>#N/A</v>
      </c>
      <c r="AZ143" s="5" t="e">
        <f t="shared" si="17"/>
        <v>#N/A</v>
      </c>
      <c r="BA143" s="5">
        <f t="shared" si="18"/>
        <v>-0.97496423090163642</v>
      </c>
      <c r="BD143" s="5">
        <f t="shared" si="19"/>
        <v>20.106527902403439</v>
      </c>
      <c r="BF143" s="58"/>
    </row>
    <row r="144" spans="48:58" ht="12" customHeight="1">
      <c r="AV144" s="5">
        <f t="shared" si="20"/>
        <v>-2.1780000000000297</v>
      </c>
      <c r="AW144" s="5">
        <f t="shared" si="15"/>
        <v>1.0728274637693406E-38</v>
      </c>
      <c r="AX144" s="5">
        <v>1</v>
      </c>
      <c r="AY144" s="5" t="e">
        <f t="shared" si="16"/>
        <v>#N/A</v>
      </c>
      <c r="AZ144" s="5" t="e">
        <f t="shared" si="17"/>
        <v>#N/A</v>
      </c>
      <c r="BA144" s="5">
        <f t="shared" si="18"/>
        <v>-0.97466582035412053</v>
      </c>
      <c r="BD144" s="5">
        <f t="shared" si="19"/>
        <v>19.872732197878364</v>
      </c>
      <c r="BF144" s="58"/>
    </row>
    <row r="145" spans="48:58" ht="12" customHeight="1">
      <c r="AV145" s="5">
        <f t="shared" si="20"/>
        <v>-2.1720000000000299</v>
      </c>
      <c r="AW145" s="5">
        <f t="shared" si="15"/>
        <v>1.6344049275779941E-38</v>
      </c>
      <c r="AX145" s="5">
        <v>1</v>
      </c>
      <c r="AY145" s="5" t="e">
        <f t="shared" si="16"/>
        <v>#N/A</v>
      </c>
      <c r="AZ145" s="5" t="e">
        <f t="shared" si="17"/>
        <v>#N/A</v>
      </c>
      <c r="BA145" s="5">
        <f t="shared" si="18"/>
        <v>-0.97436389911147225</v>
      </c>
      <c r="BD145" s="5">
        <f t="shared" si="19"/>
        <v>19.641726199418937</v>
      </c>
      <c r="BF145" s="58"/>
    </row>
    <row r="146" spans="48:58" ht="12" customHeight="1">
      <c r="AV146" s="5">
        <f t="shared" si="20"/>
        <v>-2.1660000000000301</v>
      </c>
      <c r="AW146" s="5">
        <f t="shared" si="15"/>
        <v>2.487524168849054E-38</v>
      </c>
      <c r="AX146" s="5">
        <v>1</v>
      </c>
      <c r="AY146" s="5" t="e">
        <f t="shared" si="16"/>
        <v>#N/A</v>
      </c>
      <c r="AZ146" s="5" t="e">
        <f t="shared" si="17"/>
        <v>#N/A</v>
      </c>
      <c r="BA146" s="5">
        <f t="shared" si="18"/>
        <v>-0.97405842697836731</v>
      </c>
      <c r="BD146" s="5">
        <f t="shared" si="19"/>
        <v>19.413476641725275</v>
      </c>
      <c r="BF146" s="58"/>
    </row>
    <row r="147" spans="48:58" ht="12" customHeight="1">
      <c r="AV147" s="5">
        <f t="shared" si="20"/>
        <v>-2.1600000000000303</v>
      </c>
      <c r="AW147" s="5">
        <f t="shared" si="15"/>
        <v>3.7822725504929887E-38</v>
      </c>
      <c r="AX147" s="5">
        <v>1</v>
      </c>
      <c r="AY147" s="5" t="e">
        <f t="shared" si="16"/>
        <v>#N/A</v>
      </c>
      <c r="AZ147" s="5" t="e">
        <f t="shared" si="17"/>
        <v>#N/A</v>
      </c>
      <c r="BA147" s="5">
        <f t="shared" si="18"/>
        <v>-0.97374936332579598</v>
      </c>
      <c r="BD147" s="5">
        <f t="shared" si="19"/>
        <v>19.187950656507866</v>
      </c>
      <c r="BF147" s="58"/>
    </row>
    <row r="148" spans="48:58" ht="12" customHeight="1">
      <c r="AV148" s="5">
        <f t="shared" si="20"/>
        <v>-2.1540000000000306</v>
      </c>
      <c r="AW148" s="5">
        <f t="shared" si="15"/>
        <v>5.7453461363682512E-38</v>
      </c>
      <c r="AX148" s="5">
        <v>1</v>
      </c>
      <c r="AY148" s="5" t="e">
        <f t="shared" si="16"/>
        <v>#N/A</v>
      </c>
      <c r="AZ148" s="5" t="e">
        <f t="shared" si="17"/>
        <v>#N/A</v>
      </c>
      <c r="BA148" s="5">
        <f t="shared" si="18"/>
        <v>-0.9734366670870257</v>
      </c>
      <c r="BD148" s="5">
        <f t="shared" si="19"/>
        <v>18.965115767599706</v>
      </c>
      <c r="BF148" s="58"/>
    </row>
    <row r="149" spans="48:58" ht="12" customHeight="1">
      <c r="AV149" s="5">
        <f t="shared" si="20"/>
        <v>-2.1480000000000308</v>
      </c>
      <c r="AW149" s="5">
        <f t="shared" si="15"/>
        <v>8.7188145815555741E-38</v>
      </c>
      <c r="AX149" s="5">
        <v>1</v>
      </c>
      <c r="AY149" s="5" t="e">
        <f t="shared" si="16"/>
        <v>#N/A</v>
      </c>
      <c r="AZ149" s="5" t="e">
        <f t="shared" si="17"/>
        <v>#N/A</v>
      </c>
      <c r="BA149" s="5">
        <f t="shared" si="18"/>
        <v>-0.9731202967535395</v>
      </c>
      <c r="BD149" s="5">
        <f t="shared" si="19"/>
        <v>18.744939886425584</v>
      </c>
      <c r="BF149" s="58"/>
    </row>
    <row r="150" spans="48:58" ht="12" customHeight="1">
      <c r="AV150" s="5">
        <f t="shared" si="20"/>
        <v>-2.142000000000031</v>
      </c>
      <c r="AW150" s="5">
        <f t="shared" si="15"/>
        <v>1.321832881295327E-37</v>
      </c>
      <c r="AX150" s="5">
        <v>1</v>
      </c>
      <c r="AY150" s="5" t="e">
        <f t="shared" si="16"/>
        <v>#N/A</v>
      </c>
      <c r="AZ150" s="5" t="e">
        <f t="shared" si="17"/>
        <v>#N/A</v>
      </c>
      <c r="BA150" s="5">
        <f t="shared" si="18"/>
        <v>-0.97280021037095554</v>
      </c>
      <c r="BD150" s="5">
        <f t="shared" si="19"/>
        <v>18.527391307233895</v>
      </c>
      <c r="BF150" s="58"/>
    </row>
    <row r="151" spans="48:58" ht="12" customHeight="1">
      <c r="AV151" s="5">
        <f t="shared" si="20"/>
        <v>-2.1360000000000312</v>
      </c>
      <c r="AW151" s="5">
        <f t="shared" si="15"/>
        <v>2.0020435753922808E-37</v>
      </c>
      <c r="AX151" s="5">
        <v>1</v>
      </c>
      <c r="AY151" s="5" t="e">
        <f t="shared" si="16"/>
        <v>#N/A</v>
      </c>
      <c r="AZ151" s="5" t="e">
        <f t="shared" si="17"/>
        <v>#N/A</v>
      </c>
      <c r="BA151" s="5">
        <f t="shared" si="18"/>
        <v>-0.97247636553492312</v>
      </c>
      <c r="BD151" s="5">
        <f t="shared" si="19"/>
        <v>18.312438702693587</v>
      </c>
      <c r="BF151" s="58"/>
    </row>
    <row r="152" spans="48:58" ht="12" customHeight="1">
      <c r="AV152" s="5">
        <f t="shared" si="20"/>
        <v>-2.1300000000000314</v>
      </c>
      <c r="AW152" s="5">
        <f t="shared" si="15"/>
        <v>3.0293424212471039E-37</v>
      </c>
      <c r="AX152" s="5">
        <v>1</v>
      </c>
      <c r="AY152" s="5" t="e">
        <f t="shared" si="16"/>
        <v>#N/A</v>
      </c>
      <c r="AZ152" s="5" t="e">
        <f t="shared" si="17"/>
        <v>#N/A</v>
      </c>
      <c r="BA152" s="5">
        <f t="shared" si="18"/>
        <v>-0.97214871938700087</v>
      </c>
      <c r="BD152" s="5">
        <f t="shared" si="19"/>
        <v>18.100051119242501</v>
      </c>
      <c r="BF152" s="58"/>
    </row>
    <row r="153" spans="48:58" ht="12" customHeight="1">
      <c r="AV153" s="5">
        <f t="shared" si="20"/>
        <v>-2.1240000000000316</v>
      </c>
      <c r="AW153" s="5">
        <f t="shared" si="15"/>
        <v>4.5793208448008231E-37</v>
      </c>
      <c r="AX153" s="5">
        <v>1</v>
      </c>
      <c r="AY153" s="5" t="e">
        <f t="shared" si="16"/>
        <v>#N/A</v>
      </c>
      <c r="AZ153" s="5" t="e">
        <f t="shared" si="17"/>
        <v>#N/A</v>
      </c>
      <c r="BA153" s="5">
        <f t="shared" si="18"/>
        <v>-0.97181722861051234</v>
      </c>
      <c r="BD153" s="5">
        <f t="shared" si="19"/>
        <v>17.890197972688672</v>
      </c>
      <c r="BF153" s="58"/>
    </row>
    <row r="154" spans="48:58" ht="12" customHeight="1">
      <c r="AV154" s="5">
        <f t="shared" si="20"/>
        <v>-2.1180000000000319</v>
      </c>
      <c r="AW154" s="5">
        <f t="shared" si="15"/>
        <v>6.9156283361201416E-37</v>
      </c>
      <c r="AX154" s="5">
        <v>1</v>
      </c>
      <c r="AY154" s="5" t="e">
        <f t="shared" si="16"/>
        <v>#N/A</v>
      </c>
      <c r="AZ154" s="5" t="e">
        <f t="shared" si="17"/>
        <v>#N/A</v>
      </c>
      <c r="BA154" s="5">
        <f t="shared" si="18"/>
        <v>-0.9714818494263826</v>
      </c>
      <c r="BD154" s="5">
        <f t="shared" si="19"/>
        <v>17.682849043841504</v>
      </c>
      <c r="BF154" s="58"/>
    </row>
    <row r="155" spans="48:58" ht="12" customHeight="1">
      <c r="AV155" s="5">
        <f t="shared" si="20"/>
        <v>-2.1120000000000321</v>
      </c>
      <c r="AW155" s="5">
        <f t="shared" si="15"/>
        <v>1.0433741748669994E-36</v>
      </c>
      <c r="AX155" s="5">
        <v>1</v>
      </c>
      <c r="AY155" s="5" t="e">
        <f t="shared" si="16"/>
        <v>#N/A</v>
      </c>
      <c r="AZ155" s="5" t="e">
        <f t="shared" si="17"/>
        <v>#N/A</v>
      </c>
      <c r="BA155" s="5">
        <f t="shared" si="18"/>
        <v>-0.97114253758895619</v>
      </c>
      <c r="BD155" s="5">
        <f t="shared" si="19"/>
        <v>17.477974474089674</v>
      </c>
      <c r="BF155" s="58"/>
    </row>
    <row r="156" spans="48:58" ht="12" customHeight="1">
      <c r="AV156" s="5">
        <f t="shared" si="20"/>
        <v>-2.1060000000000323</v>
      </c>
      <c r="AW156" s="5">
        <f t="shared" si="15"/>
        <v>1.5726293866232746E-36</v>
      </c>
      <c r="AX156" s="5">
        <v>1</v>
      </c>
      <c r="AY156" s="5" t="e">
        <f t="shared" si="16"/>
        <v>#N/A</v>
      </c>
      <c r="AZ156" s="5" t="e">
        <f t="shared" si="17"/>
        <v>#N/A</v>
      </c>
      <c r="BA156" s="5">
        <f t="shared" si="18"/>
        <v>-0.97079924838179465</v>
      </c>
      <c r="BD156" s="5">
        <f t="shared" si="19"/>
        <v>17.275544761111984</v>
      </c>
      <c r="BF156" s="58"/>
    </row>
    <row r="157" spans="48:58" ht="12" customHeight="1">
      <c r="AV157" s="5">
        <f t="shared" si="20"/>
        <v>-2.1000000000000325</v>
      </c>
      <c r="AW157" s="5">
        <f t="shared" si="15"/>
        <v>2.3680482999224012E-36</v>
      </c>
      <c r="AX157" s="5">
        <v>1</v>
      </c>
      <c r="AY157" s="5" t="e">
        <f t="shared" si="16"/>
        <v>#N/A</v>
      </c>
      <c r="AZ157" s="5" t="e">
        <f t="shared" si="17"/>
        <v>#N/A</v>
      </c>
      <c r="BA157" s="5">
        <f t="shared" si="18"/>
        <v>-0.97045193661345575</v>
      </c>
      <c r="BD157" s="5">
        <f t="shared" si="19"/>
        <v>17.075530754723605</v>
      </c>
      <c r="BF157" s="58"/>
    </row>
    <row r="158" spans="48:58" ht="12" customHeight="1">
      <c r="AV158" s="5">
        <f t="shared" si="20"/>
        <v>-2.0940000000000327</v>
      </c>
      <c r="AW158" s="5">
        <f t="shared" si="15"/>
        <v>3.5623172300455107E-36</v>
      </c>
      <c r="AX158" s="5">
        <v>1</v>
      </c>
      <c r="AY158" s="5" t="e">
        <f t="shared" si="16"/>
        <v>#N/A</v>
      </c>
      <c r="AZ158" s="5" t="e">
        <f t="shared" si="17"/>
        <v>#N/A</v>
      </c>
      <c r="BA158" s="5">
        <f t="shared" si="18"/>
        <v>-0.97010055661325634</v>
      </c>
      <c r="BD158" s="5">
        <f t="shared" si="19"/>
        <v>16.877903652542074</v>
      </c>
      <c r="BF158" s="58"/>
    </row>
    <row r="159" spans="48:58" ht="12" customHeight="1">
      <c r="AV159" s="5">
        <f t="shared" si="20"/>
        <v>-2.0880000000000329</v>
      </c>
      <c r="AW159" s="5">
        <f t="shared" si="15"/>
        <v>5.3536810290236937E-36</v>
      </c>
      <c r="AX159" s="5">
        <v>1</v>
      </c>
      <c r="AY159" s="5" t="e">
        <f t="shared" si="16"/>
        <v>#N/A</v>
      </c>
      <c r="AZ159" s="5" t="e">
        <f t="shared" si="17"/>
        <v>#N/A</v>
      </c>
      <c r="BA159" s="5">
        <f t="shared" si="18"/>
        <v>-0.96974506222701506</v>
      </c>
      <c r="BD159" s="5">
        <f t="shared" si="19"/>
        <v>16.682634995929902</v>
      </c>
      <c r="BF159" s="58"/>
    </row>
    <row r="160" spans="48:58" ht="12" customHeight="1">
      <c r="AV160" s="5">
        <f t="shared" si="20"/>
        <v>-2.0820000000000332</v>
      </c>
      <c r="AW160" s="5">
        <f t="shared" si="15"/>
        <v>8.0380417799244047E-36</v>
      </c>
      <c r="AX160" s="5">
        <v>1</v>
      </c>
      <c r="AY160" s="5" t="e">
        <f t="shared" si="16"/>
        <v>#N/A</v>
      </c>
      <c r="AZ160" s="5" t="e">
        <f t="shared" si="17"/>
        <v>#N/A</v>
      </c>
      <c r="BA160" s="5">
        <f t="shared" si="18"/>
        <v>-0.96938540681277963</v>
      </c>
      <c r="BD160" s="5">
        <f t="shared" si="19"/>
        <v>16.489696665830216</v>
      </c>
      <c r="BF160" s="58"/>
    </row>
    <row r="161" spans="48:58" ht="12" customHeight="1">
      <c r="AV161" s="5">
        <f t="shared" si="20"/>
        <v>-2.0760000000000334</v>
      </c>
      <c r="AW161" s="5">
        <f t="shared" si="15"/>
        <v>1.2056628847494058E-35</v>
      </c>
      <c r="AX161" s="5">
        <v>1</v>
      </c>
      <c r="AY161" s="5" t="e">
        <f t="shared" si="16"/>
        <v>#N/A</v>
      </c>
      <c r="AZ161" s="5" t="e">
        <f t="shared" si="17"/>
        <v>#N/A</v>
      </c>
      <c r="BA161" s="5">
        <f t="shared" si="18"/>
        <v>-0.96902154323653611</v>
      </c>
      <c r="BD161" s="5">
        <f t="shared" si="19"/>
        <v>16.299060878837587</v>
      </c>
      <c r="BF161" s="58"/>
    </row>
    <row r="162" spans="48:58" ht="12" customHeight="1">
      <c r="AV162" s="5">
        <f t="shared" si="20"/>
        <v>-2.0700000000000336</v>
      </c>
      <c r="AW162" s="5">
        <f t="shared" si="15"/>
        <v>1.8066723168804632E-35</v>
      </c>
      <c r="AX162" s="5">
        <v>1</v>
      </c>
      <c r="AY162" s="5" t="e">
        <f t="shared" si="16"/>
        <v>#N/A</v>
      </c>
      <c r="AZ162" s="5" t="e">
        <f t="shared" si="17"/>
        <v>#N/A</v>
      </c>
      <c r="BA162" s="5">
        <f t="shared" si="18"/>
        <v>-0.96865342386790487</v>
      </c>
      <c r="BD162" s="5">
        <f t="shared" si="19"/>
        <v>16.110700183050703</v>
      </c>
      <c r="BF162" s="58"/>
    </row>
    <row r="163" spans="48:58" ht="12" customHeight="1">
      <c r="AV163" s="5">
        <f t="shared" si="20"/>
        <v>-2.0640000000000338</v>
      </c>
      <c r="AW163" s="5">
        <f t="shared" si="15"/>
        <v>2.7046480174548607E-35</v>
      </c>
      <c r="AX163" s="5">
        <v>1</v>
      </c>
      <c r="AY163" s="5" t="e">
        <f t="shared" si="16"/>
        <v>#N/A</v>
      </c>
      <c r="AZ163" s="5" t="e">
        <f t="shared" si="17"/>
        <v>#N/A</v>
      </c>
      <c r="BA163" s="5">
        <f t="shared" si="18"/>
        <v>-0.96828100057581779</v>
      </c>
      <c r="BD163" s="5">
        <f t="shared" si="19"/>
        <v>15.924587454192681</v>
      </c>
      <c r="BF163" s="58"/>
    </row>
    <row r="164" spans="48:58" ht="12" customHeight="1">
      <c r="AV164" s="5">
        <f t="shared" si="20"/>
        <v>-2.058000000000034</v>
      </c>
      <c r="AW164" s="5">
        <f t="shared" si="15"/>
        <v>4.0450135793928742E-35</v>
      </c>
      <c r="AX164" s="5">
        <v>1</v>
      </c>
      <c r="AY164" s="5" t="e">
        <f t="shared" si="16"/>
        <v>#N/A</v>
      </c>
      <c r="AZ164" s="5" t="e">
        <f t="shared" si="17"/>
        <v>#N/A</v>
      </c>
      <c r="BA164" s="5">
        <f t="shared" si="18"/>
        <v>-0.96790422472418214</v>
      </c>
      <c r="BD164" s="5">
        <f t="shared" si="19"/>
        <v>15.740695891720836</v>
      </c>
      <c r="BF164" s="58"/>
    </row>
    <row r="165" spans="48:58" ht="12" customHeight="1">
      <c r="AV165" s="5">
        <f t="shared" si="20"/>
        <v>-2.0520000000000342</v>
      </c>
      <c r="AW165" s="5">
        <f t="shared" si="15"/>
        <v>6.0437581835921592E-35</v>
      </c>
      <c r="AX165" s="5">
        <v>1</v>
      </c>
      <c r="AY165" s="5" t="e">
        <f t="shared" si="16"/>
        <v>#N/A</v>
      </c>
      <c r="AZ165" s="5" t="e">
        <f t="shared" si="17"/>
        <v>#N/A</v>
      </c>
      <c r="BA165" s="5">
        <f t="shared" si="18"/>
        <v>-0.96752304716753068</v>
      </c>
      <c r="BD165" s="5">
        <f t="shared" si="19"/>
        <v>15.558999014923902</v>
      </c>
      <c r="BF165" s="58"/>
    </row>
    <row r="166" spans="48:58" ht="12" customHeight="1">
      <c r="AV166" s="5">
        <f t="shared" si="20"/>
        <v>-2.0460000000000345</v>
      </c>
      <c r="AW166" s="5">
        <f t="shared" si="15"/>
        <v>9.0213605611863772E-35</v>
      </c>
      <c r="AX166" s="5">
        <v>1</v>
      </c>
      <c r="AY166" s="5" t="e">
        <f t="shared" si="16"/>
        <v>#N/A</v>
      </c>
      <c r="AZ166" s="5" t="e">
        <f t="shared" si="17"/>
        <v>#N/A</v>
      </c>
      <c r="BA166" s="5">
        <f t="shared" si="18"/>
        <v>-0.967137418246657</v>
      </c>
      <c r="BD166" s="5">
        <f t="shared" si="19"/>
        <v>15.379470659154659</v>
      </c>
      <c r="BF166" s="58"/>
    </row>
    <row r="167" spans="48:58" ht="12" customHeight="1">
      <c r="AV167" s="5">
        <f t="shared" si="20"/>
        <v>-2.0400000000000347</v>
      </c>
      <c r="AW167" s="5">
        <f t="shared" si="15"/>
        <v>1.3452867598331469E-34</v>
      </c>
      <c r="AX167" s="5">
        <v>1</v>
      </c>
      <c r="AY167" s="5" t="e">
        <f t="shared" si="16"/>
        <v>#N/A</v>
      </c>
      <c r="AZ167" s="5" t="e">
        <f t="shared" si="17"/>
        <v>#N/A</v>
      </c>
      <c r="BA167" s="5">
        <f t="shared" si="18"/>
        <v>-0.96674728778423902</v>
      </c>
      <c r="BD167" s="5">
        <f t="shared" si="19"/>
        <v>15.202084971994461</v>
      </c>
      <c r="BF167" s="58"/>
    </row>
    <row r="168" spans="48:58" ht="12" customHeight="1">
      <c r="AV168" s="5">
        <f t="shared" si="20"/>
        <v>-2.0340000000000349</v>
      </c>
      <c r="AW168" s="5">
        <f t="shared" si="15"/>
        <v>2.0041746324302768E-34</v>
      </c>
      <c r="AX168" s="5">
        <v>1</v>
      </c>
      <c r="AY168" s="5" t="e">
        <f t="shared" si="16"/>
        <v>#N/A</v>
      </c>
      <c r="AZ168" s="5" t="e">
        <f t="shared" si="17"/>
        <v>#N/A</v>
      </c>
      <c r="BA168" s="5">
        <f t="shared" si="18"/>
        <v>-0.96635260508044851</v>
      </c>
      <c r="BD168" s="5">
        <f t="shared" si="19"/>
        <v>15.02681640962917</v>
      </c>
      <c r="BF168" s="58"/>
    </row>
    <row r="169" spans="48:58" ht="12" customHeight="1">
      <c r="AV169" s="5">
        <f t="shared" si="20"/>
        <v>-2.0280000000000351</v>
      </c>
      <c r="AW169" s="5">
        <f t="shared" si="15"/>
        <v>2.9828685794202728E-34</v>
      </c>
      <c r="AX169" s="5">
        <v>1</v>
      </c>
      <c r="AY169" s="5" t="e">
        <f t="shared" si="16"/>
        <v>#N/A</v>
      </c>
      <c r="AZ169" s="5" t="e">
        <f t="shared" si="17"/>
        <v>#N/A</v>
      </c>
      <c r="BA169" s="5">
        <f t="shared" si="18"/>
        <v>-0.96595331890855152</v>
      </c>
      <c r="BD169" s="5">
        <f t="shared" si="19"/>
        <v>14.853639733049837</v>
      </c>
      <c r="BF169" s="58"/>
    </row>
    <row r="170" spans="48:58" ht="12" customHeight="1">
      <c r="AV170" s="5">
        <f t="shared" si="20"/>
        <v>-2.0220000000000353</v>
      </c>
      <c r="AW170" s="5">
        <f t="shared" si="15"/>
        <v>4.435172786435039E-34</v>
      </c>
      <c r="AX170" s="5">
        <v>1</v>
      </c>
      <c r="AY170" s="5" t="e">
        <f t="shared" si="16"/>
        <v>#N/A</v>
      </c>
      <c r="AZ170" s="5" t="e">
        <f t="shared" si="17"/>
        <v>#N/A</v>
      </c>
      <c r="BA170" s="5">
        <f t="shared" si="18"/>
        <v>-0.96554937751049474</v>
      </c>
      <c r="BD170" s="5">
        <f t="shared" si="19"/>
        <v>14.682530004537648</v>
      </c>
      <c r="BF170" s="58"/>
    </row>
    <row r="171" spans="48:58" ht="12" customHeight="1">
      <c r="AV171" s="5">
        <f t="shared" si="20"/>
        <v>-2.0160000000000355</v>
      </c>
      <c r="AW171" s="5">
        <f t="shared" si="15"/>
        <v>6.5881705597035025E-34</v>
      </c>
      <c r="AX171" s="5">
        <v>1</v>
      </c>
      <c r="AY171" s="5" t="e">
        <f t="shared" si="16"/>
        <v>#N/A</v>
      </c>
      <c r="AZ171" s="5" t="e">
        <f t="shared" si="17"/>
        <v>#N/A</v>
      </c>
      <c r="BA171" s="5">
        <f t="shared" si="18"/>
        <v>-0.96514072859248501</v>
      </c>
      <c r="BD171" s="5">
        <f t="shared" si="19"/>
        <v>14.513462583989163</v>
      </c>
      <c r="BF171" s="58"/>
    </row>
    <row r="172" spans="48:58" ht="12" customHeight="1">
      <c r="AV172" s="5">
        <f t="shared" si="20"/>
        <v>-2.0100000000000358</v>
      </c>
      <c r="AW172" s="5">
        <f t="shared" si="15"/>
        <v>9.7768058267889261E-34</v>
      </c>
      <c r="AX172" s="5">
        <v>1</v>
      </c>
      <c r="AY172" s="5" t="e">
        <f t="shared" si="16"/>
        <v>#N/A</v>
      </c>
      <c r="AZ172" s="5" t="e">
        <f t="shared" si="17"/>
        <v>#N/A</v>
      </c>
      <c r="BA172" s="5">
        <f t="shared" si="18"/>
        <v>-0.96472731932055711</v>
      </c>
      <c r="BD172" s="5">
        <f t="shared" si="19"/>
        <v>14.346413125404892</v>
      </c>
      <c r="BF172" s="58"/>
    </row>
    <row r="173" spans="48:58" ht="12" customHeight="1">
      <c r="AV173" s="5">
        <f t="shared" si="20"/>
        <v>-2.004000000000036</v>
      </c>
      <c r="AW173" s="5">
        <f t="shared" si="15"/>
        <v>1.4494625924250806E-33</v>
      </c>
      <c r="AX173" s="5">
        <v>1</v>
      </c>
      <c r="AY173" s="5" t="e">
        <f t="shared" si="16"/>
        <v>#N/A</v>
      </c>
      <c r="AZ173" s="5" t="e">
        <f t="shared" si="17"/>
        <v>#N/A</v>
      </c>
      <c r="BA173" s="5">
        <f t="shared" si="18"/>
        <v>-0.96430909631613415</v>
      </c>
      <c r="BD173" s="5">
        <f t="shared" si="19"/>
        <v>14.181357573365647</v>
      </c>
      <c r="BF173" s="58"/>
    </row>
    <row r="174" spans="48:58" ht="12" customHeight="1">
      <c r="AV174" s="5">
        <f t="shared" si="20"/>
        <v>-1.998000000000036</v>
      </c>
      <c r="AW174" s="5">
        <f t="shared" si="15"/>
        <v>2.1468163741156416E-33</v>
      </c>
      <c r="AX174" s="5">
        <v>1</v>
      </c>
      <c r="AY174" s="5" t="e">
        <f t="shared" si="16"/>
        <v>#N/A</v>
      </c>
      <c r="AZ174" s="5" t="e">
        <f t="shared" si="17"/>
        <v>#N/A</v>
      </c>
      <c r="BA174" s="5">
        <f t="shared" si="18"/>
        <v>-0.96388600565157967</v>
      </c>
      <c r="BD174" s="5">
        <f t="shared" si="19"/>
        <v>14.018272159609618</v>
      </c>
      <c r="BF174" s="58"/>
    </row>
    <row r="175" spans="48:58" ht="12" customHeight="1">
      <c r="AV175" s="5">
        <f t="shared" si="20"/>
        <v>-1.992000000000036</v>
      </c>
      <c r="AW175" s="5">
        <f t="shared" si="15"/>
        <v>3.1765862541947487E-33</v>
      </c>
      <c r="AX175" s="5">
        <v>1</v>
      </c>
      <c r="AY175" s="5" t="e">
        <f t="shared" si="16"/>
        <v>#N/A</v>
      </c>
      <c r="AZ175" s="5" t="e">
        <f t="shared" si="17"/>
        <v>#N/A</v>
      </c>
      <c r="BA175" s="5">
        <f t="shared" si="18"/>
        <v>-0.96345799284574418</v>
      </c>
      <c r="BD175" s="5">
        <f t="shared" si="19"/>
        <v>13.85713339952582</v>
      </c>
      <c r="BF175" s="58"/>
    </row>
    <row r="176" spans="48:58" ht="12" customHeight="1">
      <c r="AV176" s="5">
        <f t="shared" si="20"/>
        <v>-1.986000000000036</v>
      </c>
      <c r="AW176" s="5">
        <f t="shared" si="15"/>
        <v>4.6957424754549263E-33</v>
      </c>
      <c r="AX176" s="5">
        <v>1</v>
      </c>
      <c r="AY176" s="5" t="e">
        <f t="shared" si="16"/>
        <v>#N/A</v>
      </c>
      <c r="AZ176" s="5" t="e">
        <f t="shared" si="17"/>
        <v>#N/A</v>
      </c>
      <c r="BA176" s="5">
        <f t="shared" si="18"/>
        <v>-0.96302500285950321</v>
      </c>
      <c r="BD176" s="5">
        <f t="shared" si="19"/>
        <v>13.69791808887785</v>
      </c>
      <c r="BF176" s="58"/>
    </row>
    <row r="177" spans="48:58" ht="12" customHeight="1">
      <c r="AV177" s="5">
        <f t="shared" si="20"/>
        <v>-1.980000000000036</v>
      </c>
      <c r="AW177" s="5">
        <f t="shared" si="15"/>
        <v>6.9346693111519311E-33</v>
      </c>
      <c r="AX177" s="5">
        <v>1</v>
      </c>
      <c r="AY177" s="5" t="e">
        <f t="shared" si="16"/>
        <v>#N/A</v>
      </c>
      <c r="AZ177" s="5" t="e">
        <f t="shared" si="17"/>
        <v>#N/A</v>
      </c>
      <c r="BA177" s="5">
        <f t="shared" si="18"/>
        <v>-0.96258698009129351</v>
      </c>
      <c r="BD177" s="5">
        <f t="shared" si="19"/>
        <v>13.540603300367918</v>
      </c>
      <c r="BF177" s="58"/>
    </row>
    <row r="178" spans="48:58" ht="12" customHeight="1">
      <c r="AV178" s="5">
        <f t="shared" si="20"/>
        <v>-1.9740000000000359</v>
      </c>
      <c r="AW178" s="5">
        <f t="shared" si="15"/>
        <v>1.0231165420033117E-32</v>
      </c>
      <c r="AX178" s="5">
        <v>1</v>
      </c>
      <c r="AY178" s="5" t="e">
        <f t="shared" si="16"/>
        <v>#N/A</v>
      </c>
      <c r="AZ178" s="5" t="e">
        <f t="shared" si="17"/>
        <v>#N/A</v>
      </c>
      <c r="BA178" s="5">
        <f t="shared" si="18"/>
        <v>-0.96214386837264232</v>
      </c>
      <c r="BD178" s="5">
        <f t="shared" si="19"/>
        <v>13.385166380412603</v>
      </c>
      <c r="BF178" s="58"/>
    </row>
    <row r="179" spans="48:58" ht="12" customHeight="1">
      <c r="AV179" s="5">
        <f t="shared" si="20"/>
        <v>-1.9680000000000359</v>
      </c>
      <c r="AW179" s="5">
        <f t="shared" si="15"/>
        <v>1.5080034071615437E-32</v>
      </c>
      <c r="AX179" s="5">
        <v>1</v>
      </c>
      <c r="AY179" s="5" t="e">
        <f t="shared" si="16"/>
        <v>#N/A</v>
      </c>
      <c r="AZ179" s="5" t="e">
        <f t="shared" si="17"/>
        <v>#N/A</v>
      </c>
      <c r="BA179" s="5">
        <f t="shared" si="18"/>
        <v>-0.96169561096369593</v>
      </c>
      <c r="BD179" s="5">
        <f t="shared" si="19"/>
        <v>13.23158494581468</v>
      </c>
      <c r="BF179" s="58"/>
    </row>
    <row r="180" spans="48:58" ht="12" customHeight="1">
      <c r="AV180" s="5">
        <f t="shared" si="20"/>
        <v>-1.9620000000000359</v>
      </c>
      <c r="AW180" s="5">
        <f t="shared" si="15"/>
        <v>2.220533884900869E-32</v>
      </c>
      <c r="AX180" s="5">
        <v>1</v>
      </c>
      <c r="AY180" s="5" t="e">
        <f t="shared" si="16"/>
        <v>#N/A</v>
      </c>
      <c r="AZ180" s="5" t="e">
        <f t="shared" si="17"/>
        <v>#N/A</v>
      </c>
      <c r="BA180" s="5">
        <f t="shared" si="18"/>
        <v>-0.96124215054874407</v>
      </c>
      <c r="BD180" s="5">
        <f t="shared" si="19"/>
        <v>13.079836880585965</v>
      </c>
      <c r="BF180" s="58"/>
    </row>
    <row r="181" spans="48:58" ht="12" customHeight="1">
      <c r="AV181" s="5">
        <f t="shared" si="20"/>
        <v>-1.9560000000000359</v>
      </c>
      <c r="AW181" s="5">
        <f t="shared" si="15"/>
        <v>3.2665578406177663E-32</v>
      </c>
      <c r="AX181" s="5">
        <v>1</v>
      </c>
      <c r="AY181" s="5" t="e">
        <f t="shared" si="16"/>
        <v>#N/A</v>
      </c>
      <c r="AZ181" s="5" t="e">
        <f t="shared" si="17"/>
        <v>#N/A</v>
      </c>
      <c r="BA181" s="5">
        <f t="shared" si="18"/>
        <v>-0.96078342923174465</v>
      </c>
      <c r="BD181" s="5">
        <f t="shared" si="19"/>
        <v>12.929900332735592</v>
      </c>
      <c r="BF181" s="58"/>
    </row>
    <row r="182" spans="48:58" ht="12" customHeight="1">
      <c r="AV182" s="5">
        <f t="shared" si="20"/>
        <v>-1.9500000000000359</v>
      </c>
      <c r="AW182" s="5">
        <f t="shared" si="15"/>
        <v>4.800662403146922E-32</v>
      </c>
      <c r="AX182" s="5">
        <v>1</v>
      </c>
      <c r="AY182" s="5" t="e">
        <f t="shared" si="16"/>
        <v>#N/A</v>
      </c>
      <c r="AZ182" s="5" t="e">
        <f t="shared" si="17"/>
        <v>#N/A</v>
      </c>
      <c r="BA182" s="5">
        <f t="shared" si="18"/>
        <v>-0.96031938853184773</v>
      </c>
      <c r="BD182" s="5">
        <f t="shared" si="19"/>
        <v>12.781753711157499</v>
      </c>
      <c r="BF182" s="58"/>
    </row>
    <row r="183" spans="48:58" ht="12" customHeight="1">
      <c r="AV183" s="5">
        <f t="shared" si="20"/>
        <v>-1.9440000000000359</v>
      </c>
      <c r="AW183" s="5">
        <f t="shared" si="15"/>
        <v>7.0483886875187337E-32</v>
      </c>
      <c r="AX183" s="5">
        <v>1</v>
      </c>
      <c r="AY183" s="5" t="e">
        <f t="shared" si="16"/>
        <v>#N/A</v>
      </c>
      <c r="AZ183" s="5" t="e">
        <f t="shared" si="17"/>
        <v>#N/A</v>
      </c>
      <c r="BA183" s="5">
        <f t="shared" si="18"/>
        <v>-0.95984996937892175</v>
      </c>
      <c r="BD183" s="5">
        <f t="shared" si="19"/>
        <v>12.635375682470425</v>
      </c>
      <c r="BF183" s="58"/>
    </row>
    <row r="184" spans="48:58" ht="12" customHeight="1">
      <c r="AV184" s="5">
        <f t="shared" si="20"/>
        <v>-1.9380000000000359</v>
      </c>
      <c r="AW184" s="5">
        <f t="shared" si="15"/>
        <v>1.0338472826035933E-31</v>
      </c>
      <c r="AX184" s="5">
        <v>1</v>
      </c>
      <c r="AY184" s="5" t="e">
        <f t="shared" si="16"/>
        <v>#N/A</v>
      </c>
      <c r="AZ184" s="5" t="e">
        <f t="shared" si="17"/>
        <v>#N/A</v>
      </c>
      <c r="BA184" s="5">
        <f t="shared" si="18"/>
        <v>-0.95937511210908022</v>
      </c>
      <c r="BD184" s="5">
        <f t="shared" si="19"/>
        <v>12.49074516797816</v>
      </c>
      <c r="BF184" s="58"/>
    </row>
    <row r="185" spans="48:58" ht="12" customHeight="1">
      <c r="AV185" s="5">
        <f t="shared" si="20"/>
        <v>-1.9320000000000359</v>
      </c>
      <c r="AW185" s="5">
        <f t="shared" si="15"/>
        <v>1.5149587276701806E-31</v>
      </c>
      <c r="AX185" s="5">
        <v>1</v>
      </c>
      <c r="AY185" s="5" t="e">
        <f t="shared" si="16"/>
        <v>#N/A</v>
      </c>
      <c r="AZ185" s="5" t="e">
        <f t="shared" si="17"/>
        <v>#N/A</v>
      </c>
      <c r="BA185" s="5">
        <f t="shared" si="18"/>
        <v>-0.95889475646021294</v>
      </c>
      <c r="BD185" s="5">
        <f t="shared" si="19"/>
        <v>12.347841340659881</v>
      </c>
      <c r="BF185" s="58"/>
    </row>
    <row r="186" spans="48:58" ht="12" customHeight="1">
      <c r="AV186" s="5">
        <f t="shared" si="20"/>
        <v>-1.9260000000000359</v>
      </c>
      <c r="AW186" s="5">
        <f t="shared" si="15"/>
        <v>2.2178035690700286E-31</v>
      </c>
      <c r="AX186" s="5">
        <v>1</v>
      </c>
      <c r="AY186" s="5" t="e">
        <f t="shared" si="16"/>
        <v>#N/A</v>
      </c>
      <c r="AZ186" s="5" t="e">
        <f t="shared" si="17"/>
        <v>#N/A</v>
      </c>
      <c r="BA186" s="5">
        <f t="shared" si="18"/>
        <v>-0.95840884156752293</v>
      </c>
      <c r="BD186" s="5">
        <f t="shared" si="19"/>
        <v>12.206643622098962</v>
      </c>
      <c r="BF186" s="58"/>
    </row>
    <row r="187" spans="48:58" ht="12" customHeight="1">
      <c r="AV187" s="5">
        <f t="shared" si="20"/>
        <v>-1.9200000000000359</v>
      </c>
      <c r="AW187" s="5">
        <f t="shared" si="15"/>
        <v>3.2435695927638987E-31</v>
      </c>
      <c r="AX187" s="5">
        <v>1</v>
      </c>
      <c r="AY187" s="5" t="e">
        <f t="shared" si="16"/>
        <v>#N/A</v>
      </c>
      <c r="AZ187" s="5" t="e">
        <f t="shared" si="17"/>
        <v>#N/A</v>
      </c>
      <c r="BA187" s="5">
        <f t="shared" si="18"/>
        <v>-0.95791730595906643</v>
      </c>
      <c r="BD187" s="5">
        <f t="shared" si="19"/>
        <v>12.067131679582525</v>
      </c>
      <c r="BF187" s="58"/>
    </row>
    <row r="188" spans="48:58" ht="12" customHeight="1">
      <c r="AV188" s="5">
        <f t="shared" si="20"/>
        <v>-1.9140000000000359</v>
      </c>
      <c r="AW188" s="5">
        <f t="shared" si="15"/>
        <v>4.739158442663787E-31</v>
      </c>
      <c r="AX188" s="5">
        <v>1</v>
      </c>
      <c r="AY188" s="5" t="e">
        <f t="shared" si="16"/>
        <v>#N/A</v>
      </c>
      <c r="AZ188" s="5" t="e">
        <f t="shared" si="17"/>
        <v>#N/A</v>
      </c>
      <c r="BA188" s="5">
        <f t="shared" si="18"/>
        <v>-0.95742008755130248</v>
      </c>
      <c r="BD188" s="5">
        <f t="shared" si="19"/>
        <v>11.929285423146931</v>
      </c>
      <c r="BF188" s="58"/>
    </row>
    <row r="189" spans="48:58" ht="12" customHeight="1">
      <c r="AV189" s="5">
        <f t="shared" si="20"/>
        <v>-1.9080000000000359</v>
      </c>
      <c r="AW189" s="5">
        <f t="shared" si="15"/>
        <v>6.9176263853658378E-31</v>
      </c>
      <c r="AX189" s="5">
        <v>1</v>
      </c>
      <c r="AY189" s="5" t="e">
        <f t="shared" si="16"/>
        <v>#N/A</v>
      </c>
      <c r="AZ189" s="5" t="e">
        <f t="shared" si="17"/>
        <v>#N/A</v>
      </c>
      <c r="BA189" s="5">
        <f t="shared" si="18"/>
        <v>-0.95691712364464987</v>
      </c>
      <c r="BD189" s="5">
        <f t="shared" si="19"/>
        <v>11.793085002712795</v>
      </c>
      <c r="BF189" s="58"/>
    </row>
    <row r="190" spans="48:58" ht="12" customHeight="1">
      <c r="AV190" s="5">
        <f t="shared" si="20"/>
        <v>-1.9020000000000359</v>
      </c>
      <c r="AW190" s="5">
        <f t="shared" si="15"/>
        <v>1.0087669430962746E-30</v>
      </c>
      <c r="AX190" s="5">
        <v>1</v>
      </c>
      <c r="AY190" s="5" t="e">
        <f t="shared" si="16"/>
        <v>#N/A</v>
      </c>
      <c r="AZ190" s="5" t="e">
        <f t="shared" si="17"/>
        <v>#N/A</v>
      </c>
      <c r="BA190" s="5">
        <f t="shared" si="18"/>
        <v>-0.95640835091905518</v>
      </c>
      <c r="BD190" s="5">
        <f t="shared" si="19"/>
        <v>11.658510805156451</v>
      </c>
      <c r="BF190" s="58"/>
    </row>
    <row r="191" spans="48:58" ht="12" customHeight="1">
      <c r="AV191" s="5">
        <f t="shared" si="20"/>
        <v>-1.8960000000000359</v>
      </c>
      <c r="AW191" s="5">
        <f t="shared" si="15"/>
        <v>1.4696111812938414E-30</v>
      </c>
      <c r="AX191" s="5">
        <v>1</v>
      </c>
      <c r="AY191" s="5" t="e">
        <f t="shared" si="16"/>
        <v>#N/A</v>
      </c>
      <c r="AZ191" s="5" t="e">
        <f t="shared" si="17"/>
        <v>#N/A</v>
      </c>
      <c r="BA191" s="5">
        <f t="shared" si="18"/>
        <v>-0.95589370542956897</v>
      </c>
      <c r="BD191" s="5">
        <f t="shared" si="19"/>
        <v>11.525543451582621</v>
      </c>
      <c r="BF191" s="58"/>
    </row>
    <row r="192" spans="48:58" ht="12" customHeight="1">
      <c r="AV192" s="5">
        <f t="shared" si="20"/>
        <v>-1.8900000000000359</v>
      </c>
      <c r="AW192" s="5">
        <f t="shared" si="15"/>
        <v>2.1389070835877599E-30</v>
      </c>
      <c r="AX192" s="5">
        <v>1</v>
      </c>
      <c r="AY192" s="5" t="e">
        <f t="shared" si="16"/>
        <v>#N/A</v>
      </c>
      <c r="AZ192" s="5" t="e">
        <f t="shared" si="17"/>
        <v>#N/A</v>
      </c>
      <c r="BA192" s="5">
        <f t="shared" si="18"/>
        <v>-0.95537312260193874</v>
      </c>
      <c r="BD192" s="5">
        <f t="shared" si="19"/>
        <v>11.394163794446944</v>
      </c>
      <c r="BF192" s="58"/>
    </row>
    <row r="193" spans="48:58" ht="12" customHeight="1">
      <c r="AV193" s="5">
        <f t="shared" si="20"/>
        <v>-1.8840000000000359</v>
      </c>
      <c r="AW193" s="5">
        <f t="shared" si="15"/>
        <v>3.1099918843849891E-30</v>
      </c>
      <c r="AX193" s="5">
        <v>1</v>
      </c>
      <c r="AY193" s="5" t="e">
        <f t="shared" si="16"/>
        <v>#N/A</v>
      </c>
      <c r="AZ193" s="5" t="e">
        <f t="shared" si="17"/>
        <v>#N/A</v>
      </c>
      <c r="BA193" s="5">
        <f t="shared" si="18"/>
        <v>-0.95484653722821222</v>
      </c>
      <c r="BD193" s="5">
        <f t="shared" si="19"/>
        <v>11.264352914862842</v>
      </c>
      <c r="BF193" s="58"/>
    </row>
    <row r="194" spans="48:58" ht="12" customHeight="1">
      <c r="AV194" s="5">
        <f t="shared" si="20"/>
        <v>-1.8780000000000359</v>
      </c>
      <c r="AW194" s="5">
        <f t="shared" si="15"/>
        <v>4.5175655036481726E-30</v>
      </c>
      <c r="AX194" s="5">
        <v>1</v>
      </c>
      <c r="AY194" s="5" t="e">
        <f t="shared" si="16"/>
        <v>#N/A</v>
      </c>
      <c r="AZ194" s="5" t="e">
        <f t="shared" si="17"/>
        <v>#N/A</v>
      </c>
      <c r="BA194" s="5">
        <f t="shared" si="18"/>
        <v>-0.95431388346235912</v>
      </c>
      <c r="BD194" s="5">
        <f t="shared" si="19"/>
        <v>11.136092119834371</v>
      </c>
      <c r="BF194" s="58"/>
    </row>
    <row r="195" spans="48:58" ht="12" customHeight="1">
      <c r="AV195" s="5">
        <f t="shared" si="20"/>
        <v>-1.8720000000000359</v>
      </c>
      <c r="AW195" s="5">
        <f t="shared" si="15"/>
        <v>6.555827639560634E-30</v>
      </c>
      <c r="AX195" s="5">
        <v>1</v>
      </c>
      <c r="AY195" s="5" t="e">
        <f t="shared" si="16"/>
        <v>#N/A</v>
      </c>
      <c r="AZ195" s="5" t="e">
        <f t="shared" si="17"/>
        <v>#N/A</v>
      </c>
      <c r="BA195" s="5">
        <f t="shared" si="18"/>
        <v>-0.95377509481590805</v>
      </c>
      <c r="BD195" s="5">
        <f t="shared" si="19"/>
        <v>11.009362939584886</v>
      </c>
      <c r="BF195" s="58"/>
    </row>
    <row r="196" spans="48:58" ht="12" customHeight="1">
      <c r="AV196" s="5">
        <f t="shared" si="20"/>
        <v>-1.8660000000000359</v>
      </c>
      <c r="AW196" s="5">
        <f t="shared" si="15"/>
        <v>9.504482189298923E-30</v>
      </c>
      <c r="AX196" s="5">
        <v>1</v>
      </c>
      <c r="AY196" s="5" t="e">
        <f t="shared" si="16"/>
        <v>#N/A</v>
      </c>
      <c r="AZ196" s="5" t="e">
        <f t="shared" si="17"/>
        <v>#N/A</v>
      </c>
      <c r="BA196" s="5">
        <f t="shared" si="18"/>
        <v>-0.9532301041536031</v>
      </c>
      <c r="BD196" s="5">
        <f t="shared" si="19"/>
        <v>10.884147124900558</v>
      </c>
      <c r="BF196" s="58"/>
    </row>
    <row r="197" spans="48:58" ht="12" customHeight="1">
      <c r="AV197" s="5">
        <f t="shared" si="20"/>
        <v>-1.8600000000000358</v>
      </c>
      <c r="AW197" s="5">
        <f t="shared" si="15"/>
        <v>1.3765984023940419E-29</v>
      </c>
      <c r="AX197" s="5">
        <v>1</v>
      </c>
      <c r="AY197" s="5" t="e">
        <f t="shared" si="16"/>
        <v>#N/A</v>
      </c>
      <c r="AZ197" s="5" t="e">
        <f t="shared" si="17"/>
        <v>#N/A</v>
      </c>
      <c r="BA197" s="5">
        <f t="shared" si="18"/>
        <v>-0.95267884368908096</v>
      </c>
      <c r="BD197" s="5">
        <f t="shared" si="19"/>
        <v>10.760426644472918</v>
      </c>
      <c r="BF197" s="58"/>
    </row>
    <row r="198" spans="48:58" ht="12" customHeight="1">
      <c r="AV198" s="5">
        <f t="shared" si="20"/>
        <v>-1.8540000000000358</v>
      </c>
      <c r="AW198" s="5">
        <f t="shared" si="15"/>
        <v>1.9918834673562247E-29</v>
      </c>
      <c r="AX198" s="5">
        <v>1</v>
      </c>
      <c r="AY198" s="5" t="e">
        <f t="shared" si="16"/>
        <v>#N/A</v>
      </c>
      <c r="AZ198" s="5" t="e">
        <f t="shared" si="17"/>
        <v>#N/A</v>
      </c>
      <c r="BA198" s="5">
        <f t="shared" si="18"/>
        <v>-0.9521212449805686</v>
      </c>
      <c r="BD198" s="5">
        <f t="shared" si="19"/>
        <v>10.638183682359566</v>
      </c>
      <c r="BF198" s="58"/>
    </row>
    <row r="199" spans="48:58" ht="12" customHeight="1">
      <c r="AV199" s="5">
        <f t="shared" si="20"/>
        <v>-1.8480000000000358</v>
      </c>
      <c r="AW199" s="5">
        <f t="shared" ref="AW199:AW262" si="21">$G$22*NORMDIST(AV199,$AW$3,$AW$4,FALSE)</f>
        <v>2.8793765177516367E-29</v>
      </c>
      <c r="AX199" s="5">
        <v>1</v>
      </c>
      <c r="AY199" s="5" t="e">
        <f t="shared" ref="AY199:AY262" si="22">IF($BF$2,AX199+AW199*$BC$2*BD199,NA())</f>
        <v>#N/A</v>
      </c>
      <c r="AZ199" s="5" t="e">
        <f t="shared" ref="AZ199:AZ262" si="23">IF($BF$2,AX199-AW199*$BC$2*BD199,NA())</f>
        <v>#N/A</v>
      </c>
      <c r="BA199" s="5">
        <f t="shared" ref="BA199:BA262" si="24">(EXP(2*AV199)-1)/(EXP(2*AV199)+1)</f>
        <v>-0.9515572389266076</v>
      </c>
      <c r="BD199" s="5">
        <f t="shared" ref="BD199:BD262" si="25">(AV199-AV200)/(BA199-BA200)</f>
        <v>10.517400635343726</v>
      </c>
      <c r="BF199" s="58"/>
    </row>
    <row r="200" spans="48:58" ht="12" customHeight="1">
      <c r="AV200" s="5">
        <f t="shared" ref="AV200:AV263" si="26">AV199+$BC$4</f>
        <v>-1.8420000000000358</v>
      </c>
      <c r="AW200" s="5">
        <f t="shared" si="21"/>
        <v>4.158252485895143E-29</v>
      </c>
      <c r="AX200" s="5">
        <v>1</v>
      </c>
      <c r="AY200" s="5" t="e">
        <f t="shared" si="22"/>
        <v>#N/A</v>
      </c>
      <c r="AZ200" s="5" t="e">
        <f t="shared" si="23"/>
        <v>#N/A</v>
      </c>
      <c r="BA200" s="5">
        <f t="shared" si="24"/>
        <v>-0.95098675576180003</v>
      </c>
      <c r="BD200" s="5">
        <f t="shared" si="25"/>
        <v>10.398060110465885</v>
      </c>
      <c r="BF200" s="58"/>
    </row>
    <row r="201" spans="48:58" ht="12" customHeight="1">
      <c r="AV201" s="5">
        <f t="shared" si="26"/>
        <v>-1.8360000000000358</v>
      </c>
      <c r="AW201" s="5">
        <f t="shared" si="21"/>
        <v>5.9993074478166662E-29</v>
      </c>
      <c r="AX201" s="5">
        <v>1</v>
      </c>
      <c r="AY201" s="5" t="e">
        <f t="shared" si="22"/>
        <v>#N/A</v>
      </c>
      <c r="AZ201" s="5" t="e">
        <f t="shared" si="23"/>
        <v>#N/A</v>
      </c>
      <c r="BA201" s="5">
        <f t="shared" si="24"/>
        <v>-0.95040972505258525</v>
      </c>
      <c r="BD201" s="5">
        <f t="shared" si="25"/>
        <v>10.280144922481787</v>
      </c>
      <c r="BF201" s="58"/>
    </row>
    <row r="202" spans="48:58" ht="12" customHeight="1">
      <c r="AV202" s="5">
        <f t="shared" si="26"/>
        <v>-1.8300000000000358</v>
      </c>
      <c r="AW202" s="5">
        <f t="shared" si="21"/>
        <v>8.6470754360237977E-29</v>
      </c>
      <c r="AX202" s="5">
        <v>1</v>
      </c>
      <c r="AY202" s="5" t="e">
        <f t="shared" si="22"/>
        <v>#N/A</v>
      </c>
      <c r="AZ202" s="5" t="e">
        <f t="shared" si="23"/>
        <v>#N/A</v>
      </c>
      <c r="BA202" s="5">
        <f t="shared" si="24"/>
        <v>-0.94982607569304378</v>
      </c>
      <c r="BD202" s="5">
        <f t="shared" si="25"/>
        <v>10.163638091410499</v>
      </c>
      <c r="BF202" s="58"/>
    </row>
    <row r="203" spans="48:58" ht="12" customHeight="1">
      <c r="AV203" s="5">
        <f t="shared" si="26"/>
        <v>-1.8240000000000358</v>
      </c>
      <c r="AW203" s="5">
        <f t="shared" si="21"/>
        <v>1.2451315632052026E-28</v>
      </c>
      <c r="AX203" s="5">
        <v>1</v>
      </c>
      <c r="AY203" s="5" t="e">
        <f t="shared" si="22"/>
        <v>#N/A</v>
      </c>
      <c r="AZ203" s="5" t="e">
        <f t="shared" si="23"/>
        <v>#N/A</v>
      </c>
      <c r="BA203" s="5">
        <f t="shared" si="24"/>
        <v>-0.94923573590073351</v>
      </c>
      <c r="BD203" s="5">
        <f t="shared" si="25"/>
        <v>10.048522840055744</v>
      </c>
      <c r="BF203" s="58"/>
    </row>
    <row r="204" spans="48:58" ht="12" customHeight="1">
      <c r="AV204" s="5">
        <f t="shared" si="26"/>
        <v>-1.8180000000000358</v>
      </c>
      <c r="AW204" s="5">
        <f t="shared" si="21"/>
        <v>1.7911794693470484E-28</v>
      </c>
      <c r="AX204" s="5">
        <v>1</v>
      </c>
      <c r="AY204" s="5" t="e">
        <f t="shared" si="22"/>
        <v>#N/A</v>
      </c>
      <c r="AZ204" s="5" t="e">
        <f t="shared" si="23"/>
        <v>#N/A</v>
      </c>
      <c r="BA204" s="5">
        <f t="shared" si="24"/>
        <v>-0.94863863321255704</v>
      </c>
      <c r="BD204" s="5">
        <f t="shared" si="25"/>
        <v>9.9347825916212411</v>
      </c>
      <c r="BF204" s="58"/>
    </row>
    <row r="205" spans="48:58" ht="12" customHeight="1">
      <c r="AV205" s="5">
        <f t="shared" si="26"/>
        <v>-1.8120000000000358</v>
      </c>
      <c r="AW205" s="5">
        <f t="shared" si="21"/>
        <v>2.5741913629053023E-28</v>
      </c>
      <c r="AX205" s="5">
        <v>1</v>
      </c>
      <c r="AY205" s="5" t="e">
        <f t="shared" si="22"/>
        <v>#N/A</v>
      </c>
      <c r="AZ205" s="5" t="e">
        <f t="shared" si="23"/>
        <v>#N/A</v>
      </c>
      <c r="BA205" s="5">
        <f t="shared" si="24"/>
        <v>-0.94803469448066569</v>
      </c>
      <c r="BD205" s="5">
        <f t="shared" si="25"/>
        <v>9.8224009673233663</v>
      </c>
      <c r="BF205" s="58"/>
    </row>
    <row r="206" spans="48:58" ht="12" customHeight="1">
      <c r="AV206" s="5">
        <f t="shared" si="26"/>
        <v>-1.8060000000000358</v>
      </c>
      <c r="AW206" s="5">
        <f t="shared" si="21"/>
        <v>3.6959017759859882E-28</v>
      </c>
      <c r="AX206" s="5">
        <v>1</v>
      </c>
      <c r="AY206" s="5" t="e">
        <f t="shared" si="22"/>
        <v>#N/A</v>
      </c>
      <c r="AZ206" s="5" t="e">
        <f t="shared" si="23"/>
        <v>#N/A</v>
      </c>
      <c r="BA206" s="5">
        <f t="shared" si="24"/>
        <v>-0.94742384586840067</v>
      </c>
      <c r="BD206" s="5">
        <f t="shared" si="25"/>
        <v>9.7113617840099113</v>
      </c>
      <c r="BF206" s="58"/>
    </row>
    <row r="207" spans="48:58" ht="12" customHeight="1">
      <c r="AV207" s="5">
        <f t="shared" si="26"/>
        <v>-1.8000000000000358</v>
      </c>
      <c r="AW207" s="5">
        <f t="shared" si="21"/>
        <v>5.301245030343659E-28</v>
      </c>
      <c r="AX207" s="5">
        <v>1</v>
      </c>
      <c r="AY207" s="5" t="e">
        <f t="shared" si="22"/>
        <v>#N/A</v>
      </c>
      <c r="AZ207" s="5" t="e">
        <f t="shared" si="23"/>
        <v>#N/A</v>
      </c>
      <c r="BA207" s="5">
        <f t="shared" si="24"/>
        <v>-0.94680601284627197</v>
      </c>
      <c r="BD207" s="5">
        <f t="shared" si="25"/>
        <v>9.6016490518470263</v>
      </c>
      <c r="BF207" s="58"/>
    </row>
    <row r="208" spans="48:58" ht="12" customHeight="1">
      <c r="AV208" s="5">
        <f t="shared" si="26"/>
        <v>-1.7940000000000358</v>
      </c>
      <c r="AW208" s="5">
        <f t="shared" si="21"/>
        <v>7.5964940454552681E-28</v>
      </c>
      <c r="AX208" s="5">
        <v>1</v>
      </c>
      <c r="AY208" s="5" t="e">
        <f t="shared" si="22"/>
        <v>#N/A</v>
      </c>
      <c r="AZ208" s="5" t="e">
        <f t="shared" si="23"/>
        <v>#N/A</v>
      </c>
      <c r="BA208" s="5">
        <f t="shared" si="24"/>
        <v>-0.94618112018797951</v>
      </c>
      <c r="BD208" s="5">
        <f t="shared" si="25"/>
        <v>9.4932469720105033</v>
      </c>
      <c r="BF208" s="58"/>
    </row>
    <row r="209" spans="48:58" ht="12" customHeight="1">
      <c r="AV209" s="5">
        <f t="shared" si="26"/>
        <v>-1.7880000000000358</v>
      </c>
      <c r="AW209" s="5">
        <f t="shared" si="21"/>
        <v>1.0874928016050058E-27</v>
      </c>
      <c r="AX209" s="5">
        <v>1</v>
      </c>
      <c r="AY209" s="5" t="e">
        <f t="shared" si="22"/>
        <v>#N/A</v>
      </c>
      <c r="AZ209" s="5" t="e">
        <f t="shared" si="23"/>
        <v>#N/A</v>
      </c>
      <c r="BA209" s="5">
        <f t="shared" si="24"/>
        <v>-0.94554909196647741</v>
      </c>
      <c r="BD209" s="5">
        <f t="shared" si="25"/>
        <v>9.3861399344131762</v>
      </c>
      <c r="BF209" s="58"/>
    </row>
    <row r="210" spans="48:58" ht="12" customHeight="1">
      <c r="AV210" s="5">
        <f t="shared" si="26"/>
        <v>-1.7820000000000358</v>
      </c>
      <c r="AW210" s="5">
        <f t="shared" si="21"/>
        <v>1.5553117244679206E-27</v>
      </c>
      <c r="AX210" s="5">
        <v>1</v>
      </c>
      <c r="AY210" s="5" t="e">
        <f t="shared" si="22"/>
        <v>#N/A</v>
      </c>
      <c r="AZ210" s="5" t="e">
        <f t="shared" si="23"/>
        <v>#N/A</v>
      </c>
      <c r="BA210" s="5">
        <f t="shared" si="24"/>
        <v>-0.94490985155008411</v>
      </c>
      <c r="BD210" s="5">
        <f t="shared" si="25"/>
        <v>9.2803125154612651</v>
      </c>
      <c r="BF210" s="58"/>
    </row>
    <row r="211" spans="48:58" ht="12" customHeight="1">
      <c r="AV211" s="5">
        <f t="shared" si="26"/>
        <v>-1.7760000000000358</v>
      </c>
      <c r="AW211" s="5">
        <f t="shared" si="21"/>
        <v>2.2222164931406573E-27</v>
      </c>
      <c r="AX211" s="5">
        <v>1</v>
      </c>
      <c r="AY211" s="5" t="e">
        <f t="shared" si="22"/>
        <v>#N/A</v>
      </c>
      <c r="AZ211" s="5" t="e">
        <f t="shared" si="23"/>
        <v>#N/A</v>
      </c>
      <c r="BA211" s="5">
        <f t="shared" si="24"/>
        <v>-0.94426332159864079</v>
      </c>
      <c r="BD211" s="5">
        <f t="shared" si="25"/>
        <v>9.175749475813376</v>
      </c>
      <c r="BF211" s="58"/>
    </row>
    <row r="212" spans="48:58" ht="12" customHeight="1">
      <c r="AV212" s="5">
        <f t="shared" si="26"/>
        <v>-1.7700000000000358</v>
      </c>
      <c r="AW212" s="5">
        <f t="shared" si="21"/>
        <v>3.1719998129995164E-27</v>
      </c>
      <c r="AX212" s="5">
        <v>1</v>
      </c>
      <c r="AY212" s="5" t="e">
        <f t="shared" si="22"/>
        <v>#N/A</v>
      </c>
      <c r="AZ212" s="5" t="e">
        <f t="shared" si="23"/>
        <v>#N/A</v>
      </c>
      <c r="BA212" s="5">
        <f t="shared" si="24"/>
        <v>-0.9436094240597187</v>
      </c>
      <c r="BD212" s="5">
        <f t="shared" si="25"/>
        <v>9.0724357582270798</v>
      </c>
      <c r="BF212" s="58"/>
    </row>
    <row r="213" spans="48:58" ht="12" customHeight="1">
      <c r="AV213" s="5">
        <f t="shared" si="26"/>
        <v>-1.7640000000000358</v>
      </c>
      <c r="AW213" s="5">
        <f t="shared" si="21"/>
        <v>4.5233251295150538E-27</v>
      </c>
      <c r="AX213" s="5">
        <v>1</v>
      </c>
      <c r="AY213" s="5" t="e">
        <f t="shared" si="22"/>
        <v>#N/A</v>
      </c>
      <c r="AZ213" s="5" t="e">
        <f t="shared" si="23"/>
        <v>#N/A</v>
      </c>
      <c r="BA213" s="5">
        <f t="shared" si="24"/>
        <v>-0.94294808016488219</v>
      </c>
      <c r="BD213" s="5">
        <f t="shared" si="25"/>
        <v>8.9703564853293134</v>
      </c>
      <c r="BF213" s="58"/>
    </row>
    <row r="214" spans="48:58" ht="12" customHeight="1">
      <c r="AV214" s="5">
        <f t="shared" si="26"/>
        <v>-1.7580000000000358</v>
      </c>
      <c r="AW214" s="5">
        <f t="shared" si="21"/>
        <v>6.4440710963167757E-27</v>
      </c>
      <c r="AX214" s="5">
        <v>1</v>
      </c>
      <c r="AY214" s="5" t="e">
        <f t="shared" si="22"/>
        <v>#N/A</v>
      </c>
      <c r="AZ214" s="5" t="e">
        <f t="shared" si="23"/>
        <v>#N/A</v>
      </c>
      <c r="BA214" s="5">
        <f t="shared" si="24"/>
        <v>-0.94227921042600249</v>
      </c>
      <c r="BD214" s="5">
        <f t="shared" si="25"/>
        <v>8.8694969575464047</v>
      </c>
      <c r="BF214" s="58"/>
    </row>
    <row r="215" spans="48:58" ht="12" customHeight="1">
      <c r="AV215" s="5">
        <f t="shared" si="26"/>
        <v>-1.7520000000000358</v>
      </c>
      <c r="AW215" s="5">
        <f t="shared" si="21"/>
        <v>9.1715071090245727E-27</v>
      </c>
      <c r="AX215" s="5">
        <v>1</v>
      </c>
      <c r="AY215" s="5" t="e">
        <f t="shared" si="22"/>
        <v>#N/A</v>
      </c>
      <c r="AZ215" s="5" t="e">
        <f t="shared" si="23"/>
        <v>#N/A</v>
      </c>
      <c r="BA215" s="5">
        <f t="shared" si="24"/>
        <v>-0.94160273463163457</v>
      </c>
      <c r="BD215" s="5">
        <f t="shared" si="25"/>
        <v>8.7698426509191094</v>
      </c>
      <c r="BF215" s="58"/>
    </row>
    <row r="216" spans="48:58" ht="12" customHeight="1">
      <c r="AV216" s="5">
        <f t="shared" si="26"/>
        <v>-1.7460000000000357</v>
      </c>
      <c r="AW216" s="5">
        <f t="shared" si="21"/>
        <v>1.3040641519702068E-26</v>
      </c>
      <c r="AX216" s="5">
        <v>1</v>
      </c>
      <c r="AY216" s="5" t="e">
        <f t="shared" si="22"/>
        <v>#N/A</v>
      </c>
      <c r="AZ216" s="5" t="e">
        <f t="shared" si="23"/>
        <v>#N/A</v>
      </c>
      <c r="BA216" s="5">
        <f t="shared" si="24"/>
        <v>-0.94091857184344918</v>
      </c>
      <c r="BD216" s="5">
        <f t="shared" si="25"/>
        <v>8.6713792150621689</v>
      </c>
      <c r="BF216" s="58"/>
    </row>
    <row r="217" spans="48:58" ht="12" customHeight="1">
      <c r="AV217" s="5">
        <f t="shared" si="26"/>
        <v>-1.7400000000000357</v>
      </c>
      <c r="AW217" s="5">
        <f t="shared" si="21"/>
        <v>1.8524012775219256E-26</v>
      </c>
      <c r="AX217" s="5">
        <v>1</v>
      </c>
      <c r="AY217" s="5" t="e">
        <f t="shared" si="22"/>
        <v>#N/A</v>
      </c>
      <c r="AZ217" s="5" t="e">
        <f t="shared" si="23"/>
        <v>#N/A</v>
      </c>
      <c r="BA217" s="5">
        <f t="shared" si="24"/>
        <v>-0.94022664039273163</v>
      </c>
      <c r="BD217" s="5">
        <f t="shared" si="25"/>
        <v>8.5740924710685356</v>
      </c>
      <c r="BF217" s="58"/>
    </row>
    <row r="218" spans="48:58" ht="12" customHeight="1">
      <c r="AV218" s="5">
        <f t="shared" si="26"/>
        <v>-1.7340000000000357</v>
      </c>
      <c r="AW218" s="5">
        <f t="shared" si="21"/>
        <v>2.6287485908287099E-26</v>
      </c>
      <c r="AX218" s="5">
        <v>1</v>
      </c>
      <c r="AY218" s="5" t="e">
        <f t="shared" si="22"/>
        <v>#N/A</v>
      </c>
      <c r="AZ218" s="5" t="e">
        <f t="shared" si="23"/>
        <v>#N/A</v>
      </c>
      <c r="BA218" s="5">
        <f t="shared" si="24"/>
        <v>-0.93952685787694401</v>
      </c>
      <c r="BD218" s="5">
        <f t="shared" si="25"/>
        <v>8.4779684094756984</v>
      </c>
      <c r="BF218" s="58"/>
    </row>
    <row r="219" spans="48:58" ht="12" customHeight="1">
      <c r="AV219" s="5">
        <f t="shared" si="26"/>
        <v>-1.7280000000000357</v>
      </c>
      <c r="AW219" s="5">
        <f t="shared" si="21"/>
        <v>3.7268413008892641E-26</v>
      </c>
      <c r="AX219" s="5">
        <v>1</v>
      </c>
      <c r="AY219" s="5" t="e">
        <f t="shared" si="22"/>
        <v>#N/A</v>
      </c>
      <c r="AZ219" s="5" t="e">
        <f t="shared" si="23"/>
        <v>#N/A</v>
      </c>
      <c r="BA219" s="5">
        <f t="shared" si="24"/>
        <v>-0.93881914115635634</v>
      </c>
      <c r="BD219" s="5">
        <f t="shared" si="25"/>
        <v>8.3829931882602402</v>
      </c>
      <c r="BF219" s="58"/>
    </row>
    <row r="220" spans="48:58" ht="12" customHeight="1">
      <c r="AV220" s="5">
        <f t="shared" si="26"/>
        <v>-1.7220000000000357</v>
      </c>
      <c r="AW220" s="5">
        <f t="shared" si="21"/>
        <v>5.2785010499380697E-26</v>
      </c>
      <c r="AX220" s="5">
        <v>1</v>
      </c>
      <c r="AY220" s="5" t="e">
        <f t="shared" si="22"/>
        <v>#N/A</v>
      </c>
      <c r="AZ220" s="5" t="e">
        <f t="shared" si="23"/>
        <v>#N/A</v>
      </c>
      <c r="BA220" s="5">
        <f t="shared" si="24"/>
        <v>-0.93810340635074985</v>
      </c>
      <c r="BD220" s="5">
        <f t="shared" si="25"/>
        <v>8.2891531308183311</v>
      </c>
      <c r="BF220" s="58"/>
    </row>
    <row r="221" spans="48:58" ht="12" customHeight="1">
      <c r="AV221" s="5">
        <f t="shared" si="26"/>
        <v>-1.7160000000000357</v>
      </c>
      <c r="AW221" s="5">
        <f t="shared" si="21"/>
        <v>7.4689265851134444E-26</v>
      </c>
      <c r="AX221" s="5">
        <v>1</v>
      </c>
      <c r="AY221" s="5" t="e">
        <f t="shared" si="22"/>
        <v>#N/A</v>
      </c>
      <c r="AZ221" s="5" t="e">
        <f t="shared" si="23"/>
        <v>#N/A</v>
      </c>
      <c r="BA221" s="5">
        <f t="shared" si="24"/>
        <v>-0.93737956883619211</v>
      </c>
      <c r="BD221" s="5">
        <f t="shared" si="25"/>
        <v>8.1964347240252238</v>
      </c>
      <c r="BF221" s="58"/>
    </row>
    <row r="222" spans="48:58" ht="12" customHeight="1">
      <c r="AV222" s="5">
        <f t="shared" si="26"/>
        <v>-1.7100000000000357</v>
      </c>
      <c r="AW222" s="5">
        <f t="shared" si="21"/>
        <v>1.0558048063686927E-25</v>
      </c>
      <c r="AX222" s="5">
        <v>1</v>
      </c>
      <c r="AY222" s="5" t="e">
        <f t="shared" si="22"/>
        <v>#N/A</v>
      </c>
      <c r="AZ222" s="5" t="e">
        <f t="shared" si="23"/>
        <v>#N/A</v>
      </c>
      <c r="BA222" s="5">
        <f t="shared" si="24"/>
        <v>-0.93664754324189159</v>
      </c>
      <c r="BD222" s="5">
        <f t="shared" si="25"/>
        <v>8.1048246162648603</v>
      </c>
      <c r="BF222" s="58"/>
    </row>
    <row r="223" spans="48:58" ht="12" customHeight="1">
      <c r="AV223" s="5">
        <f t="shared" si="26"/>
        <v>-1.7040000000000357</v>
      </c>
      <c r="AW223" s="5">
        <f t="shared" si="21"/>
        <v>1.4910319325722883E-25</v>
      </c>
      <c r="AX223" s="5">
        <v>1</v>
      </c>
      <c r="AY223" s="5" t="e">
        <f t="shared" si="22"/>
        <v>#N/A</v>
      </c>
      <c r="AZ223" s="5" t="e">
        <f t="shared" si="23"/>
        <v>#N/A</v>
      </c>
      <c r="BA223" s="5">
        <f t="shared" si="24"/>
        <v>-0.93590724344712994</v>
      </c>
      <c r="BD223" s="5">
        <f t="shared" si="25"/>
        <v>8.0143096155304931</v>
      </c>
      <c r="BF223" s="58"/>
    </row>
    <row r="224" spans="48:58" ht="12" customHeight="1">
      <c r="AV224" s="5">
        <f t="shared" si="26"/>
        <v>-1.6980000000000357</v>
      </c>
      <c r="AW224" s="5">
        <f t="shared" si="21"/>
        <v>2.1036240156643436E-25</v>
      </c>
      <c r="AX224" s="5">
        <v>1</v>
      </c>
      <c r="AY224" s="5" t="e">
        <f t="shared" si="22"/>
        <v>#N/A</v>
      </c>
      <c r="AZ224" s="5" t="e">
        <f t="shared" si="23"/>
        <v>#N/A</v>
      </c>
      <c r="BA224" s="5">
        <f t="shared" si="24"/>
        <v>-0.93515858257827944</v>
      </c>
      <c r="BD224" s="5">
        <f t="shared" si="25"/>
        <v>7.9248766874999479</v>
      </c>
      <c r="BF224" s="58"/>
    </row>
    <row r="225" spans="48:58" ht="12" customHeight="1">
      <c r="AV225" s="5">
        <f t="shared" si="26"/>
        <v>-1.6920000000000357</v>
      </c>
      <c r="AW225" s="5">
        <f t="shared" si="21"/>
        <v>2.9650168215872321E-25</v>
      </c>
      <c r="AX225" s="5">
        <v>1</v>
      </c>
      <c r="AY225" s="5" t="e">
        <f t="shared" si="22"/>
        <v>#N/A</v>
      </c>
      <c r="AZ225" s="5" t="e">
        <f t="shared" si="23"/>
        <v>#N/A</v>
      </c>
      <c r="BA225" s="5">
        <f t="shared" si="24"/>
        <v>-0.93440147300590415</v>
      </c>
      <c r="BD225" s="5">
        <f t="shared" si="25"/>
        <v>7.8365129536781861</v>
      </c>
      <c r="BF225" s="58"/>
    </row>
    <row r="226" spans="48:58" ht="12" customHeight="1">
      <c r="AV226" s="5">
        <f t="shared" si="26"/>
        <v>-1.6860000000000357</v>
      </c>
      <c r="AW226" s="5">
        <f t="shared" si="21"/>
        <v>4.1750729554531643E-25</v>
      </c>
      <c r="AX226" s="5">
        <v>1</v>
      </c>
      <c r="AY226" s="5" t="e">
        <f t="shared" si="22"/>
        <v>#N/A</v>
      </c>
      <c r="AZ226" s="5" t="e">
        <f t="shared" si="23"/>
        <v>#N/A</v>
      </c>
      <c r="BA226" s="5">
        <f t="shared" si="24"/>
        <v>-0.93363582634195219</v>
      </c>
      <c r="BD226" s="5">
        <f t="shared" si="25"/>
        <v>7.7492056895329586</v>
      </c>
      <c r="BF226" s="58"/>
    </row>
    <row r="227" spans="48:58" ht="12" customHeight="1">
      <c r="AV227" s="5">
        <f t="shared" si="26"/>
        <v>-1.6800000000000357</v>
      </c>
      <c r="AW227" s="5">
        <f t="shared" si="21"/>
        <v>5.873254791895897E-25</v>
      </c>
      <c r="AX227" s="5">
        <v>1</v>
      </c>
      <c r="AY227" s="5" t="e">
        <f t="shared" si="22"/>
        <v>#N/A</v>
      </c>
      <c r="AZ227" s="5" t="e">
        <f t="shared" si="23"/>
        <v>#N/A</v>
      </c>
      <c r="BA227" s="5">
        <f t="shared" si="24"/>
        <v>-0.93286155343703958</v>
      </c>
      <c r="BD227" s="5">
        <f t="shared" si="25"/>
        <v>7.6629423226737066</v>
      </c>
      <c r="BF227" s="58"/>
    </row>
    <row r="228" spans="48:58" ht="12" customHeight="1">
      <c r="AV228" s="5">
        <f t="shared" si="26"/>
        <v>-1.6740000000000357</v>
      </c>
      <c r="AW228" s="5">
        <f t="shared" si="21"/>
        <v>8.2541333408361436E-25</v>
      </c>
      <c r="AX228" s="5">
        <v>1</v>
      </c>
      <c r="AY228" s="5" t="e">
        <f t="shared" si="22"/>
        <v>#N/A</v>
      </c>
      <c r="AZ228" s="5" t="e">
        <f t="shared" si="23"/>
        <v>#N/A</v>
      </c>
      <c r="BA228" s="5">
        <f t="shared" si="24"/>
        <v>-0.93207856437783099</v>
      </c>
      <c r="BD228" s="5">
        <f t="shared" si="25"/>
        <v>7.577710431019721</v>
      </c>
      <c r="BF228" s="58"/>
    </row>
    <row r="229" spans="48:58" ht="12" customHeight="1">
      <c r="AV229" s="5">
        <f t="shared" si="26"/>
        <v>-1.6680000000000357</v>
      </c>
      <c r="AW229" s="5">
        <f t="shared" si="21"/>
        <v>1.1588893847935491E-24</v>
      </c>
      <c r="AX229" s="5">
        <v>1</v>
      </c>
      <c r="AY229" s="5" t="e">
        <f t="shared" si="22"/>
        <v>#N/A</v>
      </c>
      <c r="AZ229" s="5" t="e">
        <f t="shared" si="23"/>
        <v>#N/A</v>
      </c>
      <c r="BA229" s="5">
        <f t="shared" si="24"/>
        <v>-0.93128676848451752</v>
      </c>
      <c r="BD229" s="5">
        <f t="shared" si="25"/>
        <v>7.4934977410364256</v>
      </c>
      <c r="BF229" s="58"/>
    </row>
    <row r="230" spans="48:58" ht="12" customHeight="1">
      <c r="AV230" s="5">
        <f t="shared" si="26"/>
        <v>-1.6620000000000357</v>
      </c>
      <c r="AW230" s="5">
        <f t="shared" si="21"/>
        <v>1.6255126554116832E-24</v>
      </c>
      <c r="AX230" s="5">
        <v>1</v>
      </c>
      <c r="AY230" s="5" t="e">
        <f t="shared" si="22"/>
        <v>#N/A</v>
      </c>
      <c r="AZ230" s="5" t="e">
        <f t="shared" si="23"/>
        <v>#N/A</v>
      </c>
      <c r="BA230" s="5">
        <f t="shared" si="24"/>
        <v>-0.93048607430839969</v>
      </c>
      <c r="BD230" s="5">
        <f t="shared" si="25"/>
        <v>7.410292125948633</v>
      </c>
      <c r="BF230" s="58"/>
    </row>
    <row r="231" spans="48:58" ht="12" customHeight="1">
      <c r="AV231" s="5">
        <f t="shared" si="26"/>
        <v>-1.6560000000000357</v>
      </c>
      <c r="AW231" s="5">
        <f t="shared" si="21"/>
        <v>2.2778052574301493E-24</v>
      </c>
      <c r="AX231" s="5">
        <v>1</v>
      </c>
      <c r="AY231" s="5" t="e">
        <f t="shared" si="22"/>
        <v>#N/A</v>
      </c>
      <c r="AZ231" s="5" t="e">
        <f t="shared" si="23"/>
        <v>#N/A</v>
      </c>
      <c r="BA231" s="5">
        <f t="shared" si="24"/>
        <v>-0.92967638962957444</v>
      </c>
      <c r="BD231" s="5">
        <f t="shared" si="25"/>
        <v>7.328081604000122</v>
      </c>
      <c r="BF231" s="58"/>
    </row>
    <row r="232" spans="48:58" ht="12" customHeight="1">
      <c r="AV232" s="5">
        <f t="shared" si="26"/>
        <v>-1.6500000000000357</v>
      </c>
      <c r="AW232" s="5">
        <f t="shared" si="21"/>
        <v>3.1887516236815078E-24</v>
      </c>
      <c r="AX232" s="5">
        <v>1</v>
      </c>
      <c r="AY232" s="5" t="e">
        <f t="shared" si="22"/>
        <v>#N/A</v>
      </c>
      <c r="AZ232" s="5" t="e">
        <f t="shared" si="23"/>
        <v>#N/A</v>
      </c>
      <c r="BA232" s="5">
        <f t="shared" si="24"/>
        <v>-0.9288576214547325</v>
      </c>
      <c r="BD232" s="5">
        <f t="shared" si="25"/>
        <v>7.2468543367433318</v>
      </c>
      <c r="BF232" s="58"/>
    </row>
    <row r="233" spans="48:58" ht="12" customHeight="1">
      <c r="AV233" s="5">
        <f t="shared" si="26"/>
        <v>-1.6440000000000357</v>
      </c>
      <c r="AW233" s="5">
        <f t="shared" si="21"/>
        <v>4.4596693493013151E-24</v>
      </c>
      <c r="AX233" s="5">
        <v>1</v>
      </c>
      <c r="AY233" s="5" t="e">
        <f t="shared" si="22"/>
        <v>#N/A</v>
      </c>
      <c r="AZ233" s="5" t="e">
        <f t="shared" si="23"/>
        <v>#N/A</v>
      </c>
      <c r="BA233" s="5">
        <f t="shared" si="24"/>
        <v>-0.92802967601507069</v>
      </c>
      <c r="BD233" s="5">
        <f t="shared" si="25"/>
        <v>7.1665986273007887</v>
      </c>
      <c r="BF233" s="58"/>
    </row>
    <row r="234" spans="48:58" ht="12" customHeight="1">
      <c r="AV234" s="5">
        <f t="shared" si="26"/>
        <v>-1.6380000000000356</v>
      </c>
      <c r="AW234" s="5">
        <f t="shared" si="21"/>
        <v>6.2310680396825809E-24</v>
      </c>
      <c r="AX234" s="5">
        <v>1</v>
      </c>
      <c r="AY234" s="5" t="e">
        <f t="shared" si="22"/>
        <v>#N/A</v>
      </c>
      <c r="AZ234" s="5" t="e">
        <f t="shared" si="23"/>
        <v>#N/A</v>
      </c>
      <c r="BA234" s="5">
        <f t="shared" si="24"/>
        <v>-0.92719245876431755</v>
      </c>
      <c r="BD234" s="5">
        <f t="shared" si="25"/>
        <v>7.0873029187182315</v>
      </c>
      <c r="BF234" s="58"/>
    </row>
    <row r="235" spans="48:58" ht="12" customHeight="1">
      <c r="AV235" s="5">
        <f t="shared" si="26"/>
        <v>-1.6320000000000356</v>
      </c>
      <c r="AW235" s="5">
        <f t="shared" si="21"/>
        <v>8.6976152573767357E-24</v>
      </c>
      <c r="AX235" s="5">
        <v>1</v>
      </c>
      <c r="AY235" s="5" t="e">
        <f t="shared" si="22"/>
        <v>#N/A</v>
      </c>
      <c r="AZ235" s="5" t="e">
        <f t="shared" si="23"/>
        <v>#N/A</v>
      </c>
      <c r="BA235" s="5">
        <f t="shared" si="24"/>
        <v>-0.92634587437688387</v>
      </c>
      <c r="BD235" s="5">
        <f t="shared" si="25"/>
        <v>7.008955792274338</v>
      </c>
      <c r="BF235" s="58"/>
    </row>
    <row r="236" spans="48:58" ht="12" customHeight="1">
      <c r="AV236" s="5">
        <f t="shared" si="26"/>
        <v>-1.6260000000000356</v>
      </c>
      <c r="AW236" s="5">
        <f t="shared" si="21"/>
        <v>1.2128741983777831E-23</v>
      </c>
      <c r="AX236" s="5">
        <v>1</v>
      </c>
      <c r="AY236" s="5" t="e">
        <f t="shared" si="22"/>
        <v>#N/A</v>
      </c>
      <c r="AZ236" s="5" t="e">
        <f t="shared" si="23"/>
        <v>#N/A</v>
      </c>
      <c r="BA236" s="5">
        <f t="shared" si="24"/>
        <v>-0.925489826746135</v>
      </c>
      <c r="BD236" s="5">
        <f t="shared" si="25"/>
        <v>6.9315459658499119</v>
      </c>
      <c r="BF236" s="58"/>
    </row>
    <row r="237" spans="48:58" ht="12" customHeight="1">
      <c r="AV237" s="5">
        <f t="shared" si="26"/>
        <v>-1.6200000000000356</v>
      </c>
      <c r="AW237" s="5">
        <f t="shared" si="21"/>
        <v>1.6896983808334252E-23</v>
      </c>
      <c r="AX237" s="5">
        <v>1</v>
      </c>
      <c r="AY237" s="5" t="e">
        <f t="shared" si="22"/>
        <v>#N/A</v>
      </c>
      <c r="AZ237" s="5" t="e">
        <f t="shared" si="23"/>
        <v>#N/A</v>
      </c>
      <c r="BA237" s="5">
        <f t="shared" si="24"/>
        <v>-0.92462421898279323</v>
      </c>
      <c r="BD237" s="5">
        <f t="shared" si="25"/>
        <v>6.8550622922942726</v>
      </c>
      <c r="BF237" s="58"/>
    </row>
    <row r="238" spans="48:58" ht="12" customHeight="1">
      <c r="AV238" s="5">
        <f t="shared" si="26"/>
        <v>-1.6140000000000356</v>
      </c>
      <c r="AW238" s="5">
        <f t="shared" si="21"/>
        <v>2.3516922298499587E-23</v>
      </c>
      <c r="AX238" s="5">
        <v>1</v>
      </c>
      <c r="AY238" s="5" t="e">
        <f t="shared" si="22"/>
        <v>#N/A</v>
      </c>
      <c r="AZ238" s="5" t="e">
        <f t="shared" si="23"/>
        <v>#N/A</v>
      </c>
      <c r="BA238" s="5">
        <f t="shared" si="24"/>
        <v>-0.92374895341347163</v>
      </c>
      <c r="BD238" s="5">
        <f t="shared" si="25"/>
        <v>6.7794937578236976</v>
      </c>
      <c r="BF238" s="58"/>
    </row>
    <row r="239" spans="48:58" ht="12" customHeight="1">
      <c r="AV239" s="5">
        <f t="shared" si="26"/>
        <v>-1.6080000000000356</v>
      </c>
      <c r="AW239" s="5">
        <f t="shared" si="21"/>
        <v>3.2698636719662986E-23</v>
      </c>
      <c r="AX239" s="5">
        <v>1</v>
      </c>
      <c r="AY239" s="5" t="e">
        <f t="shared" si="22"/>
        <v>#N/A</v>
      </c>
      <c r="AZ239" s="5" t="e">
        <f t="shared" si="23"/>
        <v>#N/A</v>
      </c>
      <c r="BA239" s="5">
        <f t="shared" si="24"/>
        <v>-0.92286393157934488</v>
      </c>
      <c r="BD239" s="5">
        <f t="shared" si="25"/>
        <v>6.7048294804426591</v>
      </c>
      <c r="BF239" s="58"/>
    </row>
    <row r="240" spans="48:58" ht="12" customHeight="1">
      <c r="AV240" s="5">
        <f t="shared" si="26"/>
        <v>-1.6020000000000356</v>
      </c>
      <c r="AW240" s="5">
        <f t="shared" si="21"/>
        <v>4.5420998184411095E-23</v>
      </c>
      <c r="AX240" s="5">
        <v>1</v>
      </c>
      <c r="AY240" s="5" t="e">
        <f t="shared" si="22"/>
        <v>#N/A</v>
      </c>
      <c r="AZ240" s="5" t="e">
        <f t="shared" si="23"/>
        <v>#N/A</v>
      </c>
      <c r="BA240" s="5">
        <f t="shared" si="24"/>
        <v>-0.92196905423496178</v>
      </c>
      <c r="BD240" s="5">
        <f t="shared" si="25"/>
        <v>6.6310587083645558</v>
      </c>
      <c r="BF240" s="58"/>
    </row>
    <row r="241" spans="48:58" ht="12" customHeight="1">
      <c r="AV241" s="5">
        <f t="shared" si="26"/>
        <v>-1.5960000000000356</v>
      </c>
      <c r="AW241" s="5">
        <f t="shared" si="21"/>
        <v>6.3032069709857344E-23</v>
      </c>
      <c r="AX241" s="5">
        <v>1</v>
      </c>
      <c r="AY241" s="5" t="e">
        <f t="shared" si="22"/>
        <v>#N/A</v>
      </c>
      <c r="AZ241" s="5" t="e">
        <f t="shared" si="23"/>
        <v>#N/A</v>
      </c>
      <c r="BA241" s="5">
        <f t="shared" si="24"/>
        <v>-0.92106422134720112</v>
      </c>
      <c r="BD241" s="5">
        <f t="shared" si="25"/>
        <v>6.558170818473096</v>
      </c>
      <c r="BF241" s="58"/>
    </row>
    <row r="242" spans="48:58" ht="12" customHeight="1">
      <c r="AV242" s="5">
        <f t="shared" si="26"/>
        <v>-1.5900000000000356</v>
      </c>
      <c r="AW242" s="5">
        <f t="shared" si="21"/>
        <v>8.738649633760061E-23</v>
      </c>
      <c r="AX242" s="5">
        <v>1</v>
      </c>
      <c r="AY242" s="5" t="e">
        <f t="shared" si="22"/>
        <v>#N/A</v>
      </c>
      <c r="AZ242" s="5" t="e">
        <f t="shared" si="23"/>
        <v>#N/A</v>
      </c>
      <c r="BA242" s="5">
        <f t="shared" si="24"/>
        <v>-0.92014933209437788</v>
      </c>
      <c r="BD242" s="5">
        <f t="shared" si="25"/>
        <v>6.4861553147814677</v>
      </c>
      <c r="BF242" s="58"/>
    </row>
    <row r="243" spans="48:58" ht="12" customHeight="1">
      <c r="AV243" s="5">
        <f t="shared" si="26"/>
        <v>-1.5840000000000356</v>
      </c>
      <c r="AW243" s="5">
        <f t="shared" si="21"/>
        <v>1.2103332165570582E-22</v>
      </c>
      <c r="AX243" s="5">
        <v>1</v>
      </c>
      <c r="AY243" s="5" t="e">
        <f t="shared" si="22"/>
        <v>#N/A</v>
      </c>
      <c r="AZ243" s="5" t="e">
        <f t="shared" si="23"/>
        <v>#N/A</v>
      </c>
      <c r="BA243" s="5">
        <f t="shared" si="24"/>
        <v>-0.91922428486550156</v>
      </c>
      <c r="BD243" s="5">
        <f t="shared" si="25"/>
        <v>6.4150018269358062</v>
      </c>
      <c r="BF243" s="58"/>
    </row>
    <row r="244" spans="48:58" ht="12" customHeight="1">
      <c r="AV244" s="5">
        <f t="shared" si="26"/>
        <v>-1.5780000000000356</v>
      </c>
      <c r="AW244" s="5">
        <f t="shared" si="21"/>
        <v>1.6747247676805116E-22</v>
      </c>
      <c r="AX244" s="5">
        <v>1</v>
      </c>
      <c r="AY244" s="5" t="e">
        <f t="shared" si="22"/>
        <v>#N/A</v>
      </c>
      <c r="AZ244" s="5" t="e">
        <f t="shared" si="23"/>
        <v>#N/A</v>
      </c>
      <c r="BA244" s="5">
        <f t="shared" si="24"/>
        <v>-0.91828897725969438</v>
      </c>
      <c r="BD244" s="5">
        <f t="shared" si="25"/>
        <v>6.3447001087107351</v>
      </c>
      <c r="BF244" s="58"/>
    </row>
    <row r="245" spans="48:58" ht="12" customHeight="1">
      <c r="AV245" s="5">
        <f t="shared" si="26"/>
        <v>-1.5720000000000356</v>
      </c>
      <c r="AW245" s="5">
        <f t="shared" si="21"/>
        <v>2.3150469327621546E-22</v>
      </c>
      <c r="AX245" s="5">
        <v>1</v>
      </c>
      <c r="AY245" s="5" t="e">
        <f t="shared" si="22"/>
        <v>#N/A</v>
      </c>
      <c r="AZ245" s="5" t="e">
        <f t="shared" si="23"/>
        <v>#N/A</v>
      </c>
      <c r="BA245" s="5">
        <f t="shared" si="24"/>
        <v>-0.91734330608577042</v>
      </c>
      <c r="BD245" s="5">
        <f t="shared" si="25"/>
        <v>6.2752400365358127</v>
      </c>
      <c r="BF245" s="58"/>
    </row>
    <row r="246" spans="48:58" ht="12" customHeight="1">
      <c r="AV246" s="5">
        <f t="shared" si="26"/>
        <v>-1.5660000000000356</v>
      </c>
      <c r="AW246" s="5">
        <f t="shared" si="21"/>
        <v>3.1970838177356559E-22</v>
      </c>
      <c r="AX246" s="5">
        <v>1</v>
      </c>
      <c r="AY246" s="5" t="e">
        <f t="shared" si="22"/>
        <v>#N/A</v>
      </c>
      <c r="AZ246" s="5" t="e">
        <f t="shared" si="23"/>
        <v>#N/A</v>
      </c>
      <c r="BA246" s="5">
        <f t="shared" si="24"/>
        <v>-0.91638716736198189</v>
      </c>
      <c r="BD246" s="5">
        <f t="shared" si="25"/>
        <v>6.206611608044633</v>
      </c>
      <c r="BF246" s="58"/>
    </row>
    <row r="247" spans="48:58" ht="12" customHeight="1">
      <c r="AV247" s="5">
        <f t="shared" si="26"/>
        <v>-1.5600000000000356</v>
      </c>
      <c r="AW247" s="5">
        <f t="shared" si="21"/>
        <v>4.4108888129892228E-22</v>
      </c>
      <c r="AX247" s="5">
        <v>1</v>
      </c>
      <c r="AY247" s="5" t="e">
        <f t="shared" si="22"/>
        <v>#N/A</v>
      </c>
      <c r="AZ247" s="5" t="e">
        <f t="shared" si="23"/>
        <v>#N/A</v>
      </c>
      <c r="BA247" s="5">
        <f t="shared" si="24"/>
        <v>-0.91542045631593816</v>
      </c>
      <c r="BD247" s="5">
        <f t="shared" si="25"/>
        <v>6.1388049406200151</v>
      </c>
      <c r="BF247" s="58"/>
    </row>
    <row r="248" spans="48:58" ht="12" customHeight="1">
      <c r="AV248" s="5">
        <f t="shared" si="26"/>
        <v>-1.5540000000000356</v>
      </c>
      <c r="AW248" s="5">
        <f t="shared" si="21"/>
        <v>6.0796148123433803E-22</v>
      </c>
      <c r="AX248" s="5">
        <v>1</v>
      </c>
      <c r="AY248" s="5" t="e">
        <f t="shared" si="22"/>
        <v>#N/A</v>
      </c>
      <c r="AZ248" s="5" t="e">
        <f t="shared" si="23"/>
        <v>#N/A</v>
      </c>
      <c r="BA248" s="5">
        <f t="shared" si="24"/>
        <v>-0.91444306738469872</v>
      </c>
      <c r="BD248" s="5">
        <f t="shared" si="25"/>
        <v>6.0718102699869485</v>
      </c>
      <c r="BF248" s="58"/>
    </row>
    <row r="249" spans="48:58" ht="12" customHeight="1">
      <c r="AV249" s="5">
        <f t="shared" si="26"/>
        <v>-1.5480000000000356</v>
      </c>
      <c r="AW249" s="5">
        <f t="shared" si="21"/>
        <v>8.371511615590662E-22</v>
      </c>
      <c r="AX249" s="5">
        <v>1</v>
      </c>
      <c r="AY249" s="5" t="e">
        <f t="shared" si="22"/>
        <v>#N/A</v>
      </c>
      <c r="AZ249" s="5" t="e">
        <f t="shared" si="23"/>
        <v>#N/A</v>
      </c>
      <c r="BA249" s="5">
        <f t="shared" si="24"/>
        <v>-0.91345489421504977</v>
      </c>
      <c r="BD249" s="5">
        <f t="shared" si="25"/>
        <v>6.0056179487967496</v>
      </c>
      <c r="BF249" s="58"/>
    </row>
    <row r="250" spans="48:58" ht="12" customHeight="1">
      <c r="AV250" s="5">
        <f t="shared" si="26"/>
        <v>-1.5420000000000356</v>
      </c>
      <c r="AW250" s="5">
        <f t="shared" si="21"/>
        <v>1.1516209839220084E-21</v>
      </c>
      <c r="AX250" s="5">
        <v>1</v>
      </c>
      <c r="AY250" s="5" t="e">
        <f t="shared" si="22"/>
        <v>#N/A</v>
      </c>
      <c r="AZ250" s="5" t="e">
        <f t="shared" si="23"/>
        <v>#N/A</v>
      </c>
      <c r="BA250" s="5">
        <f t="shared" si="24"/>
        <v>-0.91245582966396521</v>
      </c>
      <c r="BD250" s="5">
        <f t="shared" si="25"/>
        <v>5.9402184452408324</v>
      </c>
      <c r="BF250" s="58"/>
    </row>
    <row r="251" spans="48:58" ht="12" customHeight="1">
      <c r="AV251" s="5">
        <f t="shared" si="26"/>
        <v>-1.5360000000000356</v>
      </c>
      <c r="AW251" s="5">
        <f t="shared" si="21"/>
        <v>1.5826800240165325E-21</v>
      </c>
      <c r="AX251" s="5">
        <v>1</v>
      </c>
      <c r="AY251" s="5" t="e">
        <f t="shared" si="22"/>
        <v>#N/A</v>
      </c>
      <c r="AZ251" s="5" t="e">
        <f t="shared" si="23"/>
        <v>#N/A</v>
      </c>
      <c r="BA251" s="5">
        <f t="shared" si="24"/>
        <v>-0.91144576579925884</v>
      </c>
      <c r="BD251" s="5">
        <f t="shared" si="25"/>
        <v>5.8756023416782224</v>
      </c>
      <c r="BF251" s="58"/>
    </row>
    <row r="252" spans="48:58" ht="12" customHeight="1">
      <c r="AV252" s="5">
        <f t="shared" si="26"/>
        <v>-1.5300000000000356</v>
      </c>
      <c r="AW252" s="5">
        <f t="shared" si="21"/>
        <v>2.1729740398354153E-21</v>
      </c>
      <c r="AX252" s="5">
        <v>1</v>
      </c>
      <c r="AY252" s="5" t="e">
        <f t="shared" si="22"/>
        <v>#N/A</v>
      </c>
      <c r="AZ252" s="5" t="e">
        <f t="shared" si="23"/>
        <v>#N/A</v>
      </c>
      <c r="BA252" s="5">
        <f t="shared" si="24"/>
        <v>-0.91042459390043251</v>
      </c>
      <c r="BD252" s="5">
        <f t="shared" si="25"/>
        <v>5.8117603332791026</v>
      </c>
      <c r="BF252" s="58"/>
    </row>
    <row r="253" spans="48:58" ht="12" customHeight="1">
      <c r="AV253" s="5">
        <f t="shared" si="26"/>
        <v>-1.5240000000000355</v>
      </c>
      <c r="AW253" s="5">
        <f t="shared" si="21"/>
        <v>2.9805322179578658E-21</v>
      </c>
      <c r="AX253" s="5">
        <v>1</v>
      </c>
      <c r="AY253" s="5" t="e">
        <f t="shared" si="22"/>
        <v>#N/A</v>
      </c>
      <c r="AZ253" s="5" t="e">
        <f t="shared" si="23"/>
        <v>#N/A</v>
      </c>
      <c r="BA253" s="5">
        <f t="shared" si="24"/>
        <v>-0.90939220445972502</v>
      </c>
      <c r="BD253" s="5">
        <f t="shared" si="25"/>
        <v>5.7486832266795966</v>
      </c>
      <c r="BF253" s="58"/>
    </row>
    <row r="254" spans="48:58" ht="12" customHeight="1">
      <c r="AV254" s="5">
        <f t="shared" si="26"/>
        <v>-1.5180000000000355</v>
      </c>
      <c r="AW254" s="5">
        <f t="shared" si="21"/>
        <v>4.0842373182922116E-21</v>
      </c>
      <c r="AX254" s="5">
        <v>1</v>
      </c>
      <c r="AY254" s="5" t="e">
        <f t="shared" si="22"/>
        <v>#N/A</v>
      </c>
      <c r="AZ254" s="5" t="e">
        <f t="shared" si="23"/>
        <v>#N/A</v>
      </c>
      <c r="BA254" s="5">
        <f t="shared" si="24"/>
        <v>-0.90834848718336614</v>
      </c>
      <c r="BD254" s="5">
        <f t="shared" si="25"/>
        <v>5.6863619386730875</v>
      </c>
      <c r="BF254" s="58"/>
    </row>
    <row r="255" spans="48:58" ht="12" customHeight="1">
      <c r="AV255" s="5">
        <f t="shared" si="26"/>
        <v>-1.5120000000000355</v>
      </c>
      <c r="AW255" s="5">
        <f t="shared" si="21"/>
        <v>5.5912123084977432E-21</v>
      </c>
      <c r="AX255" s="5">
        <v>1</v>
      </c>
      <c r="AY255" s="5" t="e">
        <f t="shared" si="22"/>
        <v>#N/A</v>
      </c>
      <c r="AZ255" s="5" t="e">
        <f t="shared" si="23"/>
        <v>#N/A</v>
      </c>
      <c r="BA255" s="5">
        <f t="shared" si="24"/>
        <v>-0.90729333099304454</v>
      </c>
      <c r="BD255" s="5">
        <f t="shared" si="25"/>
        <v>5.6247874948841199</v>
      </c>
      <c r="BF255" s="58"/>
    </row>
    <row r="256" spans="48:58" ht="12" customHeight="1">
      <c r="AV256" s="5">
        <f t="shared" si="26"/>
        <v>-1.5060000000000355</v>
      </c>
      <c r="AW256" s="5">
        <f t="shared" si="21"/>
        <v>7.6467847186682111E-21</v>
      </c>
      <c r="AX256" s="5">
        <v>1</v>
      </c>
      <c r="AY256" s="5" t="e">
        <f t="shared" si="22"/>
        <v>#N/A</v>
      </c>
      <c r="AZ256" s="5" t="e">
        <f t="shared" si="23"/>
        <v>#N/A</v>
      </c>
      <c r="BA256" s="5">
        <f t="shared" si="24"/>
        <v>-0.90622662402758902</v>
      </c>
      <c r="BD256" s="5">
        <f t="shared" si="25"/>
        <v>5.5639510284830473</v>
      </c>
      <c r="BF256" s="58"/>
    </row>
    <row r="257" spans="48:58" ht="12" customHeight="1">
      <c r="AV257" s="5">
        <f t="shared" si="26"/>
        <v>-1.5000000000000355</v>
      </c>
      <c r="AW257" s="5">
        <f t="shared" si="21"/>
        <v>1.0447914487987617E-20</v>
      </c>
      <c r="AX257" s="5">
        <v>1</v>
      </c>
      <c r="AY257" s="5" t="e">
        <f t="shared" si="22"/>
        <v>#N/A</v>
      </c>
      <c r="AZ257" s="5" t="e">
        <f t="shared" si="23"/>
        <v>#N/A</v>
      </c>
      <c r="BA257" s="5">
        <f t="shared" si="24"/>
        <v>-0.90514825364487272</v>
      </c>
      <c r="BD257" s="5">
        <f t="shared" si="25"/>
        <v>5.5038437789199071</v>
      </c>
      <c r="BF257" s="58"/>
    </row>
    <row r="258" spans="48:58" ht="12" customHeight="1">
      <c r="AV258" s="5">
        <f t="shared" si="26"/>
        <v>-1.4940000000000355</v>
      </c>
      <c r="AW258" s="5">
        <f t="shared" si="21"/>
        <v>1.4261270617923125E-20</v>
      </c>
      <c r="AX258" s="5">
        <v>1</v>
      </c>
      <c r="AY258" s="5" t="e">
        <f t="shared" si="22"/>
        <v>#N/A</v>
      </c>
      <c r="AZ258" s="5" t="e">
        <f t="shared" si="23"/>
        <v>#N/A</v>
      </c>
      <c r="BA258" s="5">
        <f t="shared" si="24"/>
        <v>-0.90405810642394679</v>
      </c>
      <c r="BD258" s="5">
        <f t="shared" si="25"/>
        <v>5.4444570906418015</v>
      </c>
      <c r="BF258" s="58"/>
    </row>
    <row r="259" spans="48:58" ht="12" customHeight="1">
      <c r="AV259" s="5">
        <f t="shared" si="26"/>
        <v>-1.4880000000000355</v>
      </c>
      <c r="AW259" s="5">
        <f t="shared" si="21"/>
        <v>1.9447541116928483E-20</v>
      </c>
      <c r="AX259" s="5">
        <v>1</v>
      </c>
      <c r="AY259" s="5" t="e">
        <f t="shared" si="22"/>
        <v>#N/A</v>
      </c>
      <c r="AZ259" s="5" t="e">
        <f t="shared" si="23"/>
        <v>#N/A</v>
      </c>
      <c r="BA259" s="5">
        <f t="shared" si="24"/>
        <v>-0.9029560681674027</v>
      </c>
      <c r="BD259" s="5">
        <f t="shared" si="25"/>
        <v>5.3857824118661153</v>
      </c>
      <c r="BF259" s="58"/>
    </row>
    <row r="260" spans="48:58" ht="12" customHeight="1">
      <c r="AV260" s="5">
        <f t="shared" si="26"/>
        <v>-1.4820000000000355</v>
      </c>
      <c r="AW260" s="5">
        <f t="shared" si="21"/>
        <v>2.6494092087435536E-20</v>
      </c>
      <c r="AX260" s="5">
        <v>1</v>
      </c>
      <c r="AY260" s="5" t="e">
        <f t="shared" si="22"/>
        <v>#N/A</v>
      </c>
      <c r="AZ260" s="5" t="e">
        <f t="shared" si="23"/>
        <v>#N/A</v>
      </c>
      <c r="BA260" s="5">
        <f t="shared" si="24"/>
        <v>-0.90184202390397672</v>
      </c>
      <c r="BD260" s="5">
        <f t="shared" si="25"/>
        <v>5.3278112933348698</v>
      </c>
      <c r="BF260" s="58"/>
    </row>
    <row r="261" spans="48:58" ht="12" customHeight="1">
      <c r="AV261" s="5">
        <f t="shared" si="26"/>
        <v>-1.4760000000000355</v>
      </c>
      <c r="AW261" s="5">
        <f t="shared" si="21"/>
        <v>3.6058798391082063E-20</v>
      </c>
      <c r="AX261" s="5">
        <v>1</v>
      </c>
      <c r="AY261" s="5" t="e">
        <f t="shared" si="22"/>
        <v>#N/A</v>
      </c>
      <c r="AZ261" s="5" t="e">
        <f t="shared" si="23"/>
        <v>#N/A</v>
      </c>
      <c r="BA261" s="5">
        <f t="shared" si="24"/>
        <v>-0.90071585789139552</v>
      </c>
      <c r="BD261" s="5">
        <f t="shared" si="25"/>
        <v>5.2705353871085752</v>
      </c>
      <c r="BF261" s="58"/>
    </row>
    <row r="262" spans="48:58" ht="12" customHeight="1">
      <c r="AV262" s="5">
        <f t="shared" si="26"/>
        <v>-1.4700000000000355</v>
      </c>
      <c r="AW262" s="5">
        <f t="shared" si="21"/>
        <v>4.9028806906737506E-20</v>
      </c>
      <c r="AX262" s="5">
        <v>1</v>
      </c>
      <c r="AY262" s="5" t="e">
        <f t="shared" si="22"/>
        <v>#N/A</v>
      </c>
      <c r="AZ262" s="5" t="e">
        <f t="shared" si="23"/>
        <v>#N/A</v>
      </c>
      <c r="BA262" s="5">
        <f t="shared" si="24"/>
        <v>-0.89957745361947361</v>
      </c>
      <c r="BD262" s="5">
        <f t="shared" si="25"/>
        <v>5.2139464453588014</v>
      </c>
      <c r="BF262" s="58"/>
    </row>
    <row r="263" spans="48:58" ht="12" customHeight="1">
      <c r="AV263" s="5">
        <f t="shared" si="26"/>
        <v>-1.4640000000000355</v>
      </c>
      <c r="AW263" s="5">
        <f t="shared" ref="AW263:AW326" si="27">$G$22*NORMDIST(AV263,$AW$3,$AW$4,FALSE)</f>
        <v>6.6599238804201647E-20</v>
      </c>
      <c r="AX263" s="5">
        <v>1</v>
      </c>
      <c r="AY263" s="5" t="e">
        <f t="shared" ref="AY263:AY326" si="28">IF($BF$2,AX263+AW263*$BC$2*BD263,NA())</f>
        <v>#N/A</v>
      </c>
      <c r="AZ263" s="5" t="e">
        <f t="shared" ref="AZ263:AZ326" si="29">IF($BF$2,AX263-AW263*$BC$2*BD263,NA())</f>
        <v>#N/A</v>
      </c>
      <c r="BA263" s="5">
        <f t="shared" ref="BA263:BA326" si="30">(EXP(2*AV263)-1)/(EXP(2*AV263)+1)</f>
        <v>-0.89842669381346507</v>
      </c>
      <c r="BD263" s="5">
        <f t="shared" ref="BD263:BD326" si="31">(AV263-AV264)/(BA263-BA264)</f>
        <v>5.158036319178037</v>
      </c>
      <c r="BF263" s="58"/>
    </row>
    <row r="264" spans="48:58" ht="12" customHeight="1">
      <c r="AV264" s="5">
        <f t="shared" ref="AV264:AV327" si="32">AV263+$BC$4</f>
        <v>-1.4580000000000355</v>
      </c>
      <c r="AW264" s="5">
        <f t="shared" si="27"/>
        <v>9.0378488029621839E-20</v>
      </c>
      <c r="AX264" s="5">
        <v>1</v>
      </c>
      <c r="AY264" s="5" t="e">
        <f t="shared" si="28"/>
        <v>#N/A</v>
      </c>
      <c r="AZ264" s="5" t="e">
        <f t="shared" si="29"/>
        <v>#N/A</v>
      </c>
      <c r="BA264" s="5">
        <f t="shared" si="30"/>
        <v>-0.89726346043767602</v>
      </c>
      <c r="BD264" s="5">
        <f t="shared" si="31"/>
        <v>5.1027969574127141</v>
      </c>
      <c r="BF264" s="58"/>
    </row>
    <row r="265" spans="48:58" ht="12" customHeight="1">
      <c r="AV265" s="5">
        <f t="shared" si="32"/>
        <v>-1.4520000000000355</v>
      </c>
      <c r="AW265" s="5">
        <f t="shared" si="27"/>
        <v>1.2252895893269699E-19</v>
      </c>
      <c r="AX265" s="5">
        <v>1</v>
      </c>
      <c r="AY265" s="5" t="e">
        <f t="shared" si="28"/>
        <v>#N/A</v>
      </c>
      <c r="AZ265" s="5" t="e">
        <f t="shared" si="29"/>
        <v>#N/A</v>
      </c>
      <c r="BA265" s="5">
        <f t="shared" si="30"/>
        <v>-0.8960876346993456</v>
      </c>
      <c r="BD265" s="5">
        <f t="shared" si="31"/>
        <v>5.048220405497875</v>
      </c>
      <c r="BF265" s="58"/>
    </row>
    <row r="266" spans="48:58" ht="12" customHeight="1">
      <c r="AV266" s="5">
        <f t="shared" si="32"/>
        <v>-1.4460000000000355</v>
      </c>
      <c r="AW266" s="5">
        <f t="shared" si="27"/>
        <v>1.6595497691891167E-19</v>
      </c>
      <c r="AX266" s="5">
        <v>1</v>
      </c>
      <c r="AY266" s="5" t="e">
        <f t="shared" si="28"/>
        <v>#N/A</v>
      </c>
      <c r="AZ266" s="5" t="e">
        <f t="shared" si="29"/>
        <v>#N/A</v>
      </c>
      <c r="BA266" s="5">
        <f t="shared" si="30"/>
        <v>-0.8948990970527988</v>
      </c>
      <c r="BD266" s="5">
        <f t="shared" si="31"/>
        <v>4.9942988043174372</v>
      </c>
      <c r="BF266" s="58"/>
    </row>
    <row r="267" spans="48:58" ht="12" customHeight="1">
      <c r="AV267" s="5">
        <f t="shared" si="32"/>
        <v>-1.4400000000000355</v>
      </c>
      <c r="AW267" s="5">
        <f t="shared" si="27"/>
        <v>2.2455342561416846E-19</v>
      </c>
      <c r="AX267" s="5">
        <v>1</v>
      </c>
      <c r="AY267" s="5" t="e">
        <f t="shared" si="28"/>
        <v>#N/A</v>
      </c>
      <c r="AZ267" s="5" t="e">
        <f t="shared" si="29"/>
        <v>#N/A</v>
      </c>
      <c r="BA267" s="5">
        <f t="shared" si="30"/>
        <v>-0.89369772720387963</v>
      </c>
      <c r="BD267" s="5">
        <f t="shared" si="31"/>
        <v>4.941024389068092</v>
      </c>
      <c r="BF267" s="58"/>
    </row>
    <row r="268" spans="48:58" ht="12" customHeight="1">
      <c r="AV268" s="5">
        <f t="shared" si="32"/>
        <v>-1.4340000000000355</v>
      </c>
      <c r="AW268" s="5">
        <f t="shared" si="27"/>
        <v>3.0354770516918161E-19</v>
      </c>
      <c r="AX268" s="5">
        <v>1</v>
      </c>
      <c r="AY268" s="5" t="e">
        <f t="shared" si="28"/>
        <v>#N/A</v>
      </c>
      <c r="AZ268" s="5" t="e">
        <f t="shared" si="29"/>
        <v>#N/A</v>
      </c>
      <c r="BA268" s="5">
        <f t="shared" si="30"/>
        <v>-0.89248340411466864</v>
      </c>
      <c r="BD268" s="5">
        <f t="shared" si="31"/>
        <v>4.8883894881389329</v>
      </c>
      <c r="BF268" s="58"/>
    </row>
    <row r="269" spans="48:58" ht="12" customHeight="1">
      <c r="AV269" s="5">
        <f t="shared" si="32"/>
        <v>-1.4280000000000355</v>
      </c>
      <c r="AW269" s="5">
        <f t="shared" si="27"/>
        <v>4.0993225250930552E-19</v>
      </c>
      <c r="AX269" s="5">
        <v>1</v>
      </c>
      <c r="AY269" s="5" t="e">
        <f t="shared" si="28"/>
        <v>#N/A</v>
      </c>
      <c r="AZ269" s="5" t="e">
        <f t="shared" si="29"/>
        <v>#N/A</v>
      </c>
      <c r="BA269" s="5">
        <f t="shared" si="30"/>
        <v>-0.89125600600849109</v>
      </c>
      <c r="BD269" s="5">
        <f t="shared" si="31"/>
        <v>4.8363865220165296</v>
      </c>
      <c r="BF269" s="58"/>
    </row>
    <row r="270" spans="48:58" ht="12" customHeight="1">
      <c r="AV270" s="5">
        <f t="shared" si="32"/>
        <v>-1.4220000000000355</v>
      </c>
      <c r="AW270" s="5">
        <f t="shared" si="27"/>
        <v>5.530636171468377E-19</v>
      </c>
      <c r="AX270" s="5">
        <v>1</v>
      </c>
      <c r="AY270" s="5" t="e">
        <f t="shared" si="28"/>
        <v>#N/A</v>
      </c>
      <c r="AZ270" s="5" t="e">
        <f t="shared" si="29"/>
        <v>#N/A</v>
      </c>
      <c r="BA270" s="5">
        <f t="shared" si="30"/>
        <v>-0.89001541037522514</v>
      </c>
      <c r="BD270" s="5">
        <f t="shared" si="31"/>
        <v>4.785008002181959</v>
      </c>
      <c r="BF270" s="58"/>
    </row>
    <row r="271" spans="48:58" ht="12" customHeight="1">
      <c r="AV271" s="5">
        <f t="shared" si="32"/>
        <v>-1.4160000000000355</v>
      </c>
      <c r="AW271" s="5">
        <f t="shared" si="27"/>
        <v>7.4544560094199859E-19</v>
      </c>
      <c r="AX271" s="5">
        <v>1</v>
      </c>
      <c r="AY271" s="5" t="e">
        <f t="shared" si="28"/>
        <v>#N/A</v>
      </c>
      <c r="AZ271" s="5" t="e">
        <f t="shared" si="29"/>
        <v>#N/A</v>
      </c>
      <c r="BA271" s="5">
        <f t="shared" si="30"/>
        <v>-0.88876149397691107</v>
      </c>
      <c r="BD271" s="5">
        <f t="shared" si="31"/>
        <v>4.7342465300414727</v>
      </c>
      <c r="BF271" s="58"/>
    </row>
    <row r="272" spans="48:58" ht="12" customHeight="1">
      <c r="AV272" s="5">
        <f t="shared" si="32"/>
        <v>-1.4100000000000354</v>
      </c>
      <c r="AW272" s="5">
        <f t="shared" si="27"/>
        <v>1.0037711021343767E-18</v>
      </c>
      <c r="AX272" s="5">
        <v>1</v>
      </c>
      <c r="AY272" s="5" t="e">
        <f t="shared" si="28"/>
        <v>#N/A</v>
      </c>
      <c r="AZ272" s="5" t="e">
        <f t="shared" si="29"/>
        <v>#N/A</v>
      </c>
      <c r="BA272" s="5">
        <f t="shared" si="30"/>
        <v>-0.88749413285367285</v>
      </c>
      <c r="BD272" s="5">
        <f t="shared" si="31"/>
        <v>4.6840947958526078</v>
      </c>
      <c r="BF272" s="58"/>
    </row>
    <row r="273" spans="48:58" ht="12" customHeight="1">
      <c r="AV273" s="5">
        <f t="shared" si="32"/>
        <v>-1.4040000000000354</v>
      </c>
      <c r="AW273" s="5">
        <f t="shared" si="27"/>
        <v>1.3503031678904043E-18</v>
      </c>
      <c r="AX273" s="5">
        <v>1</v>
      </c>
      <c r="AY273" s="5" t="e">
        <f t="shared" si="28"/>
        <v>#N/A</v>
      </c>
      <c r="AZ273" s="5" t="e">
        <f t="shared" si="29"/>
        <v>#N/A</v>
      </c>
      <c r="BA273" s="5">
        <f t="shared" si="30"/>
        <v>-0.88621320232995404</v>
      </c>
      <c r="BD273" s="5">
        <f t="shared" si="31"/>
        <v>4.6345455776808837</v>
      </c>
      <c r="BF273" s="58"/>
    </row>
    <row r="274" spans="48:58" ht="12" customHeight="1">
      <c r="AV274" s="5">
        <f t="shared" si="32"/>
        <v>-1.3980000000000354</v>
      </c>
      <c r="AW274" s="5">
        <f t="shared" si="27"/>
        <v>1.8147038071334638E-18</v>
      </c>
      <c r="AX274" s="5">
        <v>1</v>
      </c>
      <c r="AY274" s="5" t="e">
        <f t="shared" si="28"/>
        <v>#N/A</v>
      </c>
      <c r="AZ274" s="5" t="e">
        <f t="shared" si="29"/>
        <v>#N/A</v>
      </c>
      <c r="BA274" s="5">
        <f t="shared" si="30"/>
        <v>-0.88491857702107912</v>
      </c>
      <c r="BD274" s="5">
        <f t="shared" si="31"/>
        <v>4.5855917403530881</v>
      </c>
      <c r="BF274" s="58"/>
    </row>
    <row r="275" spans="48:58" ht="12" customHeight="1">
      <c r="AV275" s="5">
        <f t="shared" si="32"/>
        <v>-1.3920000000000354</v>
      </c>
      <c r="AW275" s="5">
        <f t="shared" si="27"/>
        <v>2.4364532345786084E-18</v>
      </c>
      <c r="AX275" s="5">
        <v>1</v>
      </c>
      <c r="AY275" s="5" t="e">
        <f t="shared" si="28"/>
        <v>#N/A</v>
      </c>
      <c r="AZ275" s="5" t="e">
        <f t="shared" si="29"/>
        <v>#N/A</v>
      </c>
      <c r="BA275" s="5">
        <f t="shared" si="30"/>
        <v>-0.88361013084014239</v>
      </c>
      <c r="BD275" s="5">
        <f t="shared" si="31"/>
        <v>4.5372262344315937</v>
      </c>
      <c r="BF275" s="58"/>
    </row>
    <row r="276" spans="48:58" ht="12" customHeight="1">
      <c r="AV276" s="5">
        <f t="shared" si="32"/>
        <v>-1.3860000000000354</v>
      </c>
      <c r="AW276" s="5">
        <f t="shared" si="27"/>
        <v>3.2680468605885754E-18</v>
      </c>
      <c r="AX276" s="5">
        <v>1</v>
      </c>
      <c r="AY276" s="5" t="e">
        <f t="shared" si="28"/>
        <v>#N/A</v>
      </c>
      <c r="AZ276" s="5" t="e">
        <f t="shared" si="29"/>
        <v>#N/A</v>
      </c>
      <c r="BA276" s="5">
        <f t="shared" si="30"/>
        <v>-0.88228773700523333</v>
      </c>
      <c r="BD276" s="5">
        <f t="shared" si="31"/>
        <v>4.4894420952007437</v>
      </c>
      <c r="BF276" s="58"/>
    </row>
    <row r="277" spans="48:58" ht="12" customHeight="1">
      <c r="AV277" s="5">
        <f t="shared" si="32"/>
        <v>-1.3800000000000354</v>
      </c>
      <c r="AW277" s="5">
        <f t="shared" si="27"/>
        <v>4.3792156929239153E-18</v>
      </c>
      <c r="AX277" s="5">
        <v>1</v>
      </c>
      <c r="AY277" s="5" t="e">
        <f t="shared" si="28"/>
        <v>#N/A</v>
      </c>
      <c r="AZ277" s="5" t="e">
        <f t="shared" si="29"/>
        <v>#N/A</v>
      </c>
      <c r="BA277" s="5">
        <f t="shared" si="30"/>
        <v>-0.88095126804700485</v>
      </c>
      <c r="BD277" s="5">
        <f t="shared" si="31"/>
        <v>4.4422324416610293</v>
      </c>
      <c r="BF277" s="58"/>
    </row>
    <row r="278" spans="48:58" ht="12" customHeight="1">
      <c r="AV278" s="5">
        <f t="shared" si="32"/>
        <v>-1.3740000000000354</v>
      </c>
      <c r="AW278" s="5">
        <f t="shared" si="27"/>
        <v>5.8624920019765991E-18</v>
      </c>
      <c r="AX278" s="5">
        <v>1</v>
      </c>
      <c r="AY278" s="5" t="e">
        <f t="shared" si="28"/>
        <v>#N/A</v>
      </c>
      <c r="AZ278" s="5" t="e">
        <f t="shared" si="29"/>
        <v>#N/A</v>
      </c>
      <c r="BA278" s="5">
        <f t="shared" si="30"/>
        <v>-0.87960059581658989</v>
      </c>
      <c r="BD278" s="5">
        <f t="shared" si="31"/>
        <v>4.3955904755410637</v>
      </c>
      <c r="BF278" s="58"/>
    </row>
    <row r="279" spans="48:58" ht="12" customHeight="1">
      <c r="AV279" s="5">
        <f t="shared" si="32"/>
        <v>-1.3680000000000354</v>
      </c>
      <c r="AW279" s="5">
        <f t="shared" si="27"/>
        <v>7.8405414634610335E-18</v>
      </c>
      <c r="AX279" s="5">
        <v>1</v>
      </c>
      <c r="AY279" s="5" t="e">
        <f t="shared" si="28"/>
        <v>#N/A</v>
      </c>
      <c r="AZ279" s="5" t="e">
        <f t="shared" si="29"/>
        <v>#N/A</v>
      </c>
      <c r="BA279" s="5">
        <f t="shared" si="30"/>
        <v>-0.87823559149387453</v>
      </c>
      <c r="BD279" s="5">
        <f t="shared" si="31"/>
        <v>4.3495094803175274</v>
      </c>
      <c r="BF279" s="58"/>
    </row>
    <row r="280" spans="48:58" ht="12" customHeight="1">
      <c r="AV280" s="5">
        <f t="shared" si="32"/>
        <v>-1.3620000000000354</v>
      </c>
      <c r="AW280" s="5">
        <f t="shared" si="27"/>
        <v>1.0475812441892903E-17</v>
      </c>
      <c r="AX280" s="5">
        <v>1</v>
      </c>
      <c r="AY280" s="5" t="e">
        <f t="shared" si="28"/>
        <v>#N/A</v>
      </c>
      <c r="AZ280" s="5" t="e">
        <f t="shared" si="29"/>
        <v>#N/A</v>
      </c>
      <c r="BA280" s="5">
        <f t="shared" si="30"/>
        <v>-0.87685612559613335</v>
      </c>
      <c r="BD280" s="5">
        <f t="shared" si="31"/>
        <v>4.3039828202468051</v>
      </c>
      <c r="BF280" s="58"/>
    </row>
    <row r="281" spans="48:58" ht="12" customHeight="1">
      <c r="AV281" s="5">
        <f t="shared" si="32"/>
        <v>-1.3560000000000354</v>
      </c>
      <c r="AW281" s="5">
        <f t="shared" si="27"/>
        <v>1.3983221541673974E-17</v>
      </c>
      <c r="AX281" s="5">
        <v>1</v>
      </c>
      <c r="AY281" s="5" t="e">
        <f t="shared" si="28"/>
        <v>#N/A</v>
      </c>
      <c r="AZ281" s="5" t="e">
        <f t="shared" si="29"/>
        <v>#N/A</v>
      </c>
      <c r="BA281" s="5">
        <f t="shared" si="30"/>
        <v>-0.87546206798703352</v>
      </c>
      <c r="BD281" s="5">
        <f t="shared" si="31"/>
        <v>4.2590039394104506</v>
      </c>
      <c r="BF281" s="58"/>
    </row>
    <row r="282" spans="48:58" ht="12" customHeight="1">
      <c r="AV282" s="5">
        <f t="shared" si="32"/>
        <v>-1.3500000000000354</v>
      </c>
      <c r="AW282" s="5">
        <f t="shared" si="27"/>
        <v>1.864681355007518E-17</v>
      </c>
      <c r="AX282" s="5">
        <v>1</v>
      </c>
      <c r="AY282" s="5" t="e">
        <f t="shared" si="28"/>
        <v>#N/A</v>
      </c>
      <c r="AZ282" s="5" t="e">
        <f t="shared" si="29"/>
        <v>#N/A</v>
      </c>
      <c r="BA282" s="5">
        <f t="shared" si="30"/>
        <v>-0.87405328788601522</v>
      </c>
      <c r="BD282" s="5">
        <f t="shared" si="31"/>
        <v>4.214566360775251</v>
      </c>
      <c r="BF282" s="58"/>
    </row>
    <row r="283" spans="48:58" ht="12" customHeight="1">
      <c r="AV283" s="5">
        <f t="shared" si="32"/>
        <v>-1.3440000000000354</v>
      </c>
      <c r="AW283" s="5">
        <f t="shared" si="27"/>
        <v>2.4841618276734855E-17</v>
      </c>
      <c r="AX283" s="5">
        <v>1</v>
      </c>
      <c r="AY283" s="5" t="e">
        <f t="shared" si="28"/>
        <v>#N/A</v>
      </c>
      <c r="AZ283" s="5" t="e">
        <f t="shared" si="29"/>
        <v>#N/A</v>
      </c>
      <c r="BA283" s="5">
        <f t="shared" si="30"/>
        <v>-0.87262965387805613</v>
      </c>
      <c r="BD283" s="5">
        <f t="shared" si="31"/>
        <v>4.1706636852495276</v>
      </c>
      <c r="BF283" s="58"/>
    </row>
    <row r="284" spans="48:58" ht="12" customHeight="1">
      <c r="AV284" s="5">
        <f t="shared" si="32"/>
        <v>-1.3380000000000354</v>
      </c>
      <c r="AW284" s="5">
        <f t="shared" si="27"/>
        <v>3.3062295675465072E-17</v>
      </c>
      <c r="AX284" s="5">
        <v>1</v>
      </c>
      <c r="AY284" s="5" t="e">
        <f t="shared" si="28"/>
        <v>#N/A</v>
      </c>
      <c r="AZ284" s="5" t="e">
        <f t="shared" si="29"/>
        <v>#N/A</v>
      </c>
      <c r="BA284" s="5">
        <f t="shared" si="30"/>
        <v>-0.87119103392382191</v>
      </c>
      <c r="BD284" s="5">
        <f t="shared" si="31"/>
        <v>4.1272895907729099</v>
      </c>
      <c r="BF284" s="58"/>
    </row>
    <row r="285" spans="48:58" ht="12" customHeight="1">
      <c r="AV285" s="5">
        <f t="shared" si="32"/>
        <v>-1.3320000000000354</v>
      </c>
      <c r="AW285" s="5">
        <f t="shared" si="27"/>
        <v>4.3960638603085379E-17</v>
      </c>
      <c r="AX285" s="5">
        <v>1</v>
      </c>
      <c r="AY285" s="5" t="e">
        <f t="shared" si="28"/>
        <v>#N/A</v>
      </c>
      <c r="AZ285" s="5" t="e">
        <f t="shared" si="29"/>
        <v>#N/A</v>
      </c>
      <c r="BA285" s="5">
        <f t="shared" si="30"/>
        <v>-0.86973729537021671</v>
      </c>
      <c r="BD285" s="5">
        <f t="shared" si="31"/>
        <v>4.0844378314020222</v>
      </c>
      <c r="BF285" s="58"/>
    </row>
    <row r="286" spans="48:58" ht="12" customHeight="1">
      <c r="AV286" s="5">
        <f t="shared" si="32"/>
        <v>-1.3260000000000354</v>
      </c>
      <c r="AW286" s="5">
        <f t="shared" si="27"/>
        <v>5.8394621210586985E-17</v>
      </c>
      <c r="AX286" s="5">
        <v>1</v>
      </c>
      <c r="AY286" s="5" t="e">
        <f t="shared" si="28"/>
        <v>#N/A</v>
      </c>
      <c r="AZ286" s="5" t="e">
        <f t="shared" si="29"/>
        <v>#N/A</v>
      </c>
      <c r="BA286" s="5">
        <f t="shared" si="30"/>
        <v>-0.86826830496133578</v>
      </c>
      <c r="BD286" s="5">
        <f t="shared" si="31"/>
        <v>4.042102236409109</v>
      </c>
      <c r="BF286" s="58"/>
    </row>
    <row r="287" spans="48:58" ht="12" customHeight="1">
      <c r="AV287" s="5">
        <f t="shared" si="32"/>
        <v>-1.3200000000000354</v>
      </c>
      <c r="AW287" s="5">
        <f t="shared" si="27"/>
        <v>7.7492480800660637E-17</v>
      </c>
      <c r="AX287" s="5">
        <v>1</v>
      </c>
      <c r="AY287" s="5" t="e">
        <f t="shared" si="28"/>
        <v>#N/A</v>
      </c>
      <c r="AZ287" s="5" t="e">
        <f t="shared" si="29"/>
        <v>#N/A</v>
      </c>
      <c r="BA287" s="5">
        <f t="shared" si="30"/>
        <v>-0.86678392884982747</v>
      </c>
      <c r="BD287" s="5">
        <f t="shared" si="31"/>
        <v>4.0002767093940736</v>
      </c>
      <c r="BF287" s="58"/>
    </row>
    <row r="288" spans="48:58" ht="12" customHeight="1">
      <c r="AV288" s="5">
        <f t="shared" si="32"/>
        <v>-1.3140000000000354</v>
      </c>
      <c r="AW288" s="5">
        <f t="shared" si="27"/>
        <v>1.0273635396363639E-16</v>
      </c>
      <c r="AX288" s="5">
        <v>1</v>
      </c>
      <c r="AY288" s="5" t="e">
        <f t="shared" si="28"/>
        <v>#N/A</v>
      </c>
      <c r="AZ288" s="5" t="e">
        <f t="shared" si="29"/>
        <v>#N/A</v>
      </c>
      <c r="BA288" s="5">
        <f t="shared" si="30"/>
        <v>-0.86528403260867248</v>
      </c>
      <c r="BD288" s="5">
        <f t="shared" si="31"/>
        <v>3.9589552274105775</v>
      </c>
      <c r="BF288" s="58"/>
    </row>
    <row r="289" spans="48:58" ht="12" customHeight="1">
      <c r="AV289" s="5">
        <f t="shared" si="32"/>
        <v>-1.3080000000000354</v>
      </c>
      <c r="AW289" s="5">
        <f t="shared" si="27"/>
        <v>1.3607132041681267E-16</v>
      </c>
      <c r="AX289" s="5">
        <v>1</v>
      </c>
      <c r="AY289" s="5" t="e">
        <f t="shared" si="28"/>
        <v>#N/A</v>
      </c>
      <c r="AZ289" s="5" t="e">
        <f t="shared" si="29"/>
        <v>#N/A</v>
      </c>
      <c r="BA289" s="5">
        <f t="shared" si="30"/>
        <v>-0.86376848124338856</v>
      </c>
      <c r="BD289" s="5">
        <f t="shared" si="31"/>
        <v>3.9181318400922271</v>
      </c>
      <c r="BF289" s="58"/>
    </row>
    <row r="290" spans="48:58" ht="12" customHeight="1">
      <c r="AV290" s="5">
        <f t="shared" si="32"/>
        <v>-1.3020000000000354</v>
      </c>
      <c r="AW290" s="5">
        <f t="shared" si="27"/>
        <v>1.8004742525022829E-16</v>
      </c>
      <c r="AX290" s="5">
        <v>1</v>
      </c>
      <c r="AY290" s="5" t="e">
        <f t="shared" si="28"/>
        <v>#N/A</v>
      </c>
      <c r="AZ290" s="5" t="e">
        <f t="shared" si="29"/>
        <v>#N/A</v>
      </c>
      <c r="BA290" s="5">
        <f t="shared" si="30"/>
        <v>-0.86223713920466361</v>
      </c>
      <c r="BD290" s="5">
        <f t="shared" si="31"/>
        <v>3.8778006688021702</v>
      </c>
      <c r="BF290" s="58"/>
    </row>
    <row r="291" spans="48:58" ht="12" customHeight="1">
      <c r="AV291" s="5">
        <f t="shared" si="32"/>
        <v>-1.2960000000000353</v>
      </c>
      <c r="AW291" s="5">
        <f t="shared" si="27"/>
        <v>2.3800446083282635E-16</v>
      </c>
      <c r="AX291" s="5">
        <v>1</v>
      </c>
      <c r="AY291" s="5" t="e">
        <f t="shared" si="28"/>
        <v>#N/A</v>
      </c>
      <c r="AZ291" s="5" t="e">
        <f t="shared" si="29"/>
        <v>#N/A</v>
      </c>
      <c r="BA291" s="5">
        <f t="shared" si="30"/>
        <v>-0.86068987040142897</v>
      </c>
      <c r="BD291" s="5">
        <f t="shared" si="31"/>
        <v>3.8379559057807437</v>
      </c>
      <c r="BF291" s="58"/>
    </row>
    <row r="292" spans="48:58" ht="12" customHeight="1">
      <c r="AV292" s="5">
        <f t="shared" si="32"/>
        <v>-1.2900000000000353</v>
      </c>
      <c r="AW292" s="5">
        <f t="shared" si="27"/>
        <v>3.1431213201887766E-16</v>
      </c>
      <c r="AX292" s="5">
        <v>1</v>
      </c>
      <c r="AY292" s="5" t="e">
        <f t="shared" si="28"/>
        <v>#N/A</v>
      </c>
      <c r="AZ292" s="5" t="e">
        <f t="shared" si="29"/>
        <v>#N/A</v>
      </c>
      <c r="BA292" s="5">
        <f t="shared" si="30"/>
        <v>-0.85912653821437523</v>
      </c>
      <c r="BD292" s="5">
        <f t="shared" si="31"/>
        <v>3.7985918133130596</v>
      </c>
      <c r="BF292" s="58"/>
    </row>
    <row r="293" spans="48:58" ht="12" customHeight="1">
      <c r="AV293" s="5">
        <f t="shared" si="32"/>
        <v>-1.2840000000000353</v>
      </c>
      <c r="AW293" s="5">
        <f t="shared" si="27"/>
        <v>4.1468187909297298E-16</v>
      </c>
      <c r="AX293" s="5">
        <v>1</v>
      </c>
      <c r="AY293" s="5" t="e">
        <f t="shared" si="28"/>
        <v>#N/A</v>
      </c>
      <c r="AZ293" s="5" t="e">
        <f t="shared" si="29"/>
        <v>#N/A</v>
      </c>
      <c r="BA293" s="5">
        <f t="shared" si="30"/>
        <v>-0.85754700550992102</v>
      </c>
      <c r="BD293" s="5">
        <f t="shared" si="31"/>
        <v>3.7597027229038567</v>
      </c>
      <c r="BF293" s="58"/>
    </row>
    <row r="294" spans="48:58" ht="12" customHeight="1">
      <c r="AV294" s="5">
        <f t="shared" si="32"/>
        <v>-1.2780000000000353</v>
      </c>
      <c r="AW294" s="5">
        <f t="shared" si="27"/>
        <v>5.4657131686322791E-16</v>
      </c>
      <c r="AX294" s="5">
        <v>1</v>
      </c>
      <c r="AY294" s="5" t="e">
        <f t="shared" si="28"/>
        <v>#N/A</v>
      </c>
      <c r="AZ294" s="5" t="e">
        <f t="shared" si="29"/>
        <v>#N/A</v>
      </c>
      <c r="BA294" s="5">
        <f t="shared" si="30"/>
        <v>-0.85595113465464079</v>
      </c>
      <c r="BD294" s="5">
        <f t="shared" si="31"/>
        <v>3.7212830344547738</v>
      </c>
      <c r="BF294" s="58"/>
    </row>
    <row r="295" spans="48:58" ht="12" customHeight="1">
      <c r="AV295" s="5">
        <f t="shared" si="32"/>
        <v>-1.2720000000000353</v>
      </c>
      <c r="AW295" s="5">
        <f t="shared" si="27"/>
        <v>7.1970825122255448E-16</v>
      </c>
      <c r="AX295" s="5">
        <v>1</v>
      </c>
      <c r="AY295" s="5" t="e">
        <f t="shared" si="28"/>
        <v>#N/A</v>
      </c>
      <c r="AZ295" s="5" t="e">
        <f t="shared" si="29"/>
        <v>#N/A</v>
      </c>
      <c r="BA295" s="5">
        <f t="shared" si="30"/>
        <v>-0.85433878753015524</v>
      </c>
      <c r="BD295" s="5">
        <f t="shared" si="31"/>
        <v>3.6833272154656314</v>
      </c>
      <c r="BF295" s="58"/>
    </row>
    <row r="296" spans="48:58" ht="12" customHeight="1">
      <c r="AV296" s="5">
        <f t="shared" si="32"/>
        <v>-1.2660000000000353</v>
      </c>
      <c r="AW296" s="5">
        <f t="shared" si="27"/>
        <v>9.4676891925127614E-16</v>
      </c>
      <c r="AX296" s="5">
        <v>1</v>
      </c>
      <c r="AY296" s="5" t="e">
        <f t="shared" si="28"/>
        <v>#N/A</v>
      </c>
      <c r="AZ296" s="5" t="e">
        <f t="shared" si="29"/>
        <v>#N/A</v>
      </c>
      <c r="BA296" s="5">
        <f t="shared" si="30"/>
        <v>-0.85270982554849717</v>
      </c>
      <c r="BD296" s="5">
        <f t="shared" si="31"/>
        <v>3.6458298002316338</v>
      </c>
      <c r="BF296" s="58"/>
    </row>
    <row r="297" spans="48:58" ht="12" customHeight="1">
      <c r="AV297" s="5">
        <f t="shared" si="32"/>
        <v>-1.2600000000000353</v>
      </c>
      <c r="AW297" s="5">
        <f t="shared" si="27"/>
        <v>1.2442549258716337E-15</v>
      </c>
      <c r="AX297" s="5">
        <v>1</v>
      </c>
      <c r="AY297" s="5" t="e">
        <f t="shared" si="28"/>
        <v>#N/A</v>
      </c>
      <c r="AZ297" s="5" t="e">
        <f t="shared" si="29"/>
        <v>#N/A</v>
      </c>
      <c r="BA297" s="5">
        <f t="shared" si="30"/>
        <v>-0.85106410966795365</v>
      </c>
      <c r="BD297" s="5">
        <f t="shared" si="31"/>
        <v>3.6087853890609951</v>
      </c>
      <c r="BF297" s="58"/>
    </row>
    <row r="298" spans="48:58" ht="12" customHeight="1">
      <c r="AV298" s="5">
        <f t="shared" si="32"/>
        <v>-1.2540000000000353</v>
      </c>
      <c r="AW298" s="5">
        <f t="shared" si="27"/>
        <v>1.6336259024363792E-15</v>
      </c>
      <c r="AX298" s="5">
        <v>1</v>
      </c>
      <c r="AY298" s="5" t="e">
        <f t="shared" si="28"/>
        <v>#N/A</v>
      </c>
      <c r="AZ298" s="5" t="e">
        <f t="shared" si="29"/>
        <v>#N/A</v>
      </c>
      <c r="BA298" s="5">
        <f t="shared" si="30"/>
        <v>-0.8494015004093961</v>
      </c>
      <c r="BD298" s="5">
        <f t="shared" si="31"/>
        <v>3.5721886474947118</v>
      </c>
      <c r="BF298" s="58"/>
    </row>
    <row r="299" spans="48:58" ht="12" customHeight="1">
      <c r="AV299" s="5">
        <f t="shared" si="32"/>
        <v>-1.2480000000000353</v>
      </c>
      <c r="AW299" s="5">
        <f t="shared" si="27"/>
        <v>2.1427609285732606E-15</v>
      </c>
      <c r="AX299" s="5">
        <v>1</v>
      </c>
      <c r="AY299" s="5" t="e">
        <f t="shared" si="28"/>
        <v>#N/A</v>
      </c>
      <c r="AZ299" s="5" t="e">
        <f t="shared" si="29"/>
        <v>#N/A</v>
      </c>
      <c r="BA299" s="5">
        <f t="shared" si="30"/>
        <v>-0.84772185787310173</v>
      </c>
      <c r="BD299" s="5">
        <f t="shared" si="31"/>
        <v>3.536034305538025</v>
      </c>
      <c r="BF299" s="58"/>
    </row>
    <row r="300" spans="48:58" ht="12" customHeight="1">
      <c r="AV300" s="5">
        <f t="shared" si="32"/>
        <v>-1.2420000000000353</v>
      </c>
      <c r="AW300" s="5">
        <f t="shared" si="27"/>
        <v>2.8078421711572427E-15</v>
      </c>
      <c r="AX300" s="5">
        <v>1</v>
      </c>
      <c r="AY300" s="5" t="e">
        <f t="shared" si="28"/>
        <v>#N/A</v>
      </c>
      <c r="AZ300" s="5" t="e">
        <f t="shared" si="29"/>
        <v>#N/A</v>
      </c>
      <c r="BA300" s="5">
        <f t="shared" si="30"/>
        <v>-0.84602504175607396</v>
      </c>
      <c r="BD300" s="5">
        <f t="shared" si="31"/>
        <v>3.5003171569041576</v>
      </c>
      <c r="BF300" s="58"/>
    </row>
    <row r="301" spans="48:58" ht="12" customHeight="1">
      <c r="AV301" s="5">
        <f t="shared" si="32"/>
        <v>-1.2360000000000353</v>
      </c>
      <c r="AW301" s="5">
        <f t="shared" si="27"/>
        <v>3.6757801815116751E-15</v>
      </c>
      <c r="AX301" s="5">
        <v>1</v>
      </c>
      <c r="AY301" s="5" t="e">
        <f t="shared" si="28"/>
        <v>#N/A</v>
      </c>
      <c r="AZ301" s="5" t="e">
        <f t="shared" si="29"/>
        <v>#N/A</v>
      </c>
      <c r="BA301" s="5">
        <f t="shared" si="30"/>
        <v>-0.84431091136987013</v>
      </c>
      <c r="BD301" s="5">
        <f t="shared" si="31"/>
        <v>3.4650320582608138</v>
      </c>
      <c r="BF301" s="58"/>
    </row>
    <row r="302" spans="48:58" ht="12" customHeight="1">
      <c r="AV302" s="5">
        <f t="shared" si="32"/>
        <v>-1.2300000000000353</v>
      </c>
      <c r="AW302" s="5">
        <f t="shared" si="27"/>
        <v>4.8073333395220625E-15</v>
      </c>
      <c r="AX302" s="5">
        <v>1</v>
      </c>
      <c r="AY302" s="5" t="e">
        <f t="shared" si="28"/>
        <v>#N/A</v>
      </c>
      <c r="AZ302" s="5" t="e">
        <f t="shared" si="29"/>
        <v>#N/A</v>
      </c>
      <c r="BA302" s="5">
        <f t="shared" si="30"/>
        <v>-0.84257932565893978</v>
      </c>
      <c r="BD302" s="5">
        <f t="shared" si="31"/>
        <v>3.4301739284940376</v>
      </c>
      <c r="BF302" s="58"/>
    </row>
    <row r="303" spans="48:58" ht="12" customHeight="1">
      <c r="AV303" s="5">
        <f t="shared" si="32"/>
        <v>-1.2240000000000353</v>
      </c>
      <c r="AW303" s="5">
        <f t="shared" si="27"/>
        <v>6.2811159127347738E-15</v>
      </c>
      <c r="AX303" s="5">
        <v>1</v>
      </c>
      <c r="AY303" s="5" t="e">
        <f t="shared" si="28"/>
        <v>#N/A</v>
      </c>
      <c r="AZ303" s="5" t="e">
        <f t="shared" si="29"/>
        <v>#N/A</v>
      </c>
      <c r="BA303" s="5">
        <f t="shared" si="30"/>
        <v>-0.84083014321948424</v>
      </c>
      <c r="BD303" s="5">
        <f t="shared" si="31"/>
        <v>3.3957377479718991</v>
      </c>
      <c r="BF303" s="58"/>
    </row>
    <row r="304" spans="48:58" ht="12" customHeight="1">
      <c r="AV304" s="5">
        <f t="shared" si="32"/>
        <v>-1.2180000000000353</v>
      </c>
      <c r="AW304" s="5">
        <f t="shared" si="27"/>
        <v>8.1987424642924556E-15</v>
      </c>
      <c r="AX304" s="5">
        <v>1</v>
      </c>
      <c r="AY304" s="5" t="e">
        <f t="shared" si="28"/>
        <v>#N/A</v>
      </c>
      <c r="AZ304" s="5" t="e">
        <f t="shared" si="29"/>
        <v>#N/A</v>
      </c>
      <c r="BA304" s="5">
        <f t="shared" si="30"/>
        <v>-0.83906322231883945</v>
      </c>
      <c r="BD304" s="5">
        <f t="shared" si="31"/>
        <v>3.361718557825589</v>
      </c>
      <c r="BF304" s="58"/>
    </row>
    <row r="305" spans="48:58" ht="12" customHeight="1">
      <c r="AV305" s="5">
        <f t="shared" si="32"/>
        <v>-1.2120000000000353</v>
      </c>
      <c r="AW305" s="5">
        <f t="shared" si="27"/>
        <v>1.069142385477067E-14</v>
      </c>
      <c r="AX305" s="5">
        <v>1</v>
      </c>
      <c r="AY305" s="5" t="e">
        <f t="shared" si="28"/>
        <v>#N/A</v>
      </c>
      <c r="AZ305" s="5" t="e">
        <f t="shared" si="29"/>
        <v>#N/A</v>
      </c>
      <c r="BA305" s="5">
        <f t="shared" si="30"/>
        <v>-0.83727842091539273</v>
      </c>
      <c r="BD305" s="5">
        <f t="shared" si="31"/>
        <v>3.3281114592322698</v>
      </c>
      <c r="BF305" s="58"/>
    </row>
    <row r="306" spans="48:58" ht="12" customHeight="1">
      <c r="AV306" s="5">
        <f t="shared" si="32"/>
        <v>-1.2060000000000353</v>
      </c>
      <c r="AW306" s="5">
        <f t="shared" si="27"/>
        <v>1.392841555383689E-14</v>
      </c>
      <c r="AX306" s="5">
        <v>1</v>
      </c>
      <c r="AY306" s="5" t="e">
        <f t="shared" si="28"/>
        <v>#N/A</v>
      </c>
      <c r="AZ306" s="5" t="e">
        <f t="shared" si="29"/>
        <v>#N/A</v>
      </c>
      <c r="BA306" s="5">
        <f t="shared" si="30"/>
        <v>-0.83547559667903615</v>
      </c>
      <c r="BD306" s="5">
        <f t="shared" si="31"/>
        <v>3.2949116127127178</v>
      </c>
      <c r="BF306" s="58"/>
    </row>
    <row r="307" spans="48:58" ht="12" customHeight="1">
      <c r="AV307" s="5">
        <f t="shared" si="32"/>
        <v>-1.2000000000000353</v>
      </c>
      <c r="AW307" s="5">
        <f t="shared" si="27"/>
        <v>1.8127827064871696E-14</v>
      </c>
      <c r="AX307" s="5">
        <v>1</v>
      </c>
      <c r="AY307" s="5" t="e">
        <f t="shared" si="28"/>
        <v>#N/A</v>
      </c>
      <c r="AZ307" s="5" t="e">
        <f t="shared" si="29"/>
        <v>#N/A</v>
      </c>
      <c r="BA307" s="5">
        <f t="shared" si="30"/>
        <v>-0.83365460701216609</v>
      </c>
      <c r="BD307" s="5">
        <f t="shared" si="31"/>
        <v>3.2621142374304108</v>
      </c>
      <c r="BF307" s="58"/>
    </row>
    <row r="308" spans="48:58" ht="12" customHeight="1">
      <c r="AV308" s="5">
        <f t="shared" si="32"/>
        <v>-1.1940000000000353</v>
      </c>
      <c r="AW308" s="5">
        <f t="shared" si="27"/>
        <v>2.3570437800646576E-14</v>
      </c>
      <c r="AX308" s="5">
        <v>1</v>
      </c>
      <c r="AY308" s="5" t="e">
        <f t="shared" si="28"/>
        <v>#N/A</v>
      </c>
      <c r="AZ308" s="5" t="e">
        <f t="shared" si="29"/>
        <v>#N/A</v>
      </c>
      <c r="BA308" s="5">
        <f t="shared" si="30"/>
        <v>-0.83181530907123125</v>
      </c>
      <c r="BD308" s="5">
        <f t="shared" si="31"/>
        <v>3.2297146105075618</v>
      </c>
      <c r="BF308" s="58"/>
    </row>
    <row r="309" spans="48:58" ht="12" customHeight="1">
      <c r="AV309" s="5">
        <f t="shared" si="32"/>
        <v>-1.1880000000000353</v>
      </c>
      <c r="AW309" s="5">
        <f t="shared" si="27"/>
        <v>3.0617337024709092E-14</v>
      </c>
      <c r="AX309" s="5">
        <v>1</v>
      </c>
      <c r="AY309" s="5" t="e">
        <f t="shared" si="28"/>
        <v>#N/A</v>
      </c>
      <c r="AZ309" s="5" t="e">
        <f t="shared" si="29"/>
        <v>#N/A</v>
      </c>
      <c r="BA309" s="5">
        <f t="shared" si="30"/>
        <v>-0.82995755978883967</v>
      </c>
      <c r="BD309" s="5">
        <f t="shared" si="31"/>
        <v>3.1977080663415314</v>
      </c>
      <c r="BF309" s="58"/>
    </row>
    <row r="310" spans="48:58" ht="12" customHeight="1">
      <c r="AV310" s="5">
        <f t="shared" si="32"/>
        <v>-1.1820000000000352</v>
      </c>
      <c r="AW310" s="5">
        <f t="shared" si="27"/>
        <v>3.973242260338772E-14</v>
      </c>
      <c r="AX310" s="5">
        <v>1</v>
      </c>
      <c r="AY310" s="5" t="e">
        <f t="shared" si="28"/>
        <v>#N/A</v>
      </c>
      <c r="AZ310" s="5" t="e">
        <f t="shared" si="29"/>
        <v>#N/A</v>
      </c>
      <c r="BA310" s="5">
        <f t="shared" si="30"/>
        <v>-0.82808121589642658</v>
      </c>
      <c r="BD310" s="5">
        <f t="shared" si="31"/>
        <v>3.1660899959346573</v>
      </c>
      <c r="BF310" s="58"/>
    </row>
    <row r="311" spans="48:58" ht="12" customHeight="1">
      <c r="AV311" s="5">
        <f t="shared" si="32"/>
        <v>-1.1760000000000352</v>
      </c>
      <c r="AW311" s="5">
        <f t="shared" si="27"/>
        <v>5.1511066667692107E-14</v>
      </c>
      <c r="AX311" s="5">
        <v>1</v>
      </c>
      <c r="AY311" s="5" t="e">
        <f t="shared" si="28"/>
        <v>#N/A</v>
      </c>
      <c r="AZ311" s="5" t="e">
        <f t="shared" si="29"/>
        <v>#N/A</v>
      </c>
      <c r="BA311" s="5">
        <f t="shared" si="30"/>
        <v>-0.82618613394749141</v>
      </c>
      <c r="BD311" s="5">
        <f t="shared" si="31"/>
        <v>3.1348558462301916</v>
      </c>
      <c r="BF311" s="58"/>
    </row>
    <row r="312" spans="48:58" ht="12" customHeight="1">
      <c r="AV312" s="5">
        <f t="shared" si="32"/>
        <v>-1.1700000000000352</v>
      </c>
      <c r="AW312" s="5">
        <f t="shared" si="27"/>
        <v>6.6716600033898172E-14</v>
      </c>
      <c r="AX312" s="5">
        <v>1</v>
      </c>
      <c r="AY312" s="5" t="e">
        <f t="shared" si="28"/>
        <v>#N/A</v>
      </c>
      <c r="AZ312" s="5" t="e">
        <f t="shared" si="29"/>
        <v>#N/A</v>
      </c>
      <c r="BA312" s="5">
        <f t="shared" si="30"/>
        <v>-0.82427217034140876</v>
      </c>
      <c r="BD312" s="5">
        <f t="shared" si="31"/>
        <v>3.1040011194566941</v>
      </c>
      <c r="BF312" s="58"/>
    </row>
    <row r="313" spans="48:58" ht="12" customHeight="1">
      <c r="AV313" s="5">
        <f t="shared" si="32"/>
        <v>-1.1640000000000352</v>
      </c>
      <c r="AW313" s="5">
        <f t="shared" si="27"/>
        <v>8.6326699017271994E-14</v>
      </c>
      <c r="AX313" s="5">
        <v>1</v>
      </c>
      <c r="AY313" s="5" t="e">
        <f t="shared" si="28"/>
        <v>#N/A</v>
      </c>
      <c r="AZ313" s="5" t="e">
        <f t="shared" si="29"/>
        <v>#N/A</v>
      </c>
      <c r="BA313" s="5">
        <f t="shared" si="30"/>
        <v>-0.82233918134781903</v>
      </c>
      <c r="BD313" s="5">
        <f t="shared" si="31"/>
        <v>3.0735213724802639</v>
      </c>
      <c r="BF313" s="58"/>
    </row>
    <row r="314" spans="48:58" ht="12" customHeight="1">
      <c r="AV314" s="5">
        <f t="shared" si="32"/>
        <v>-1.1580000000000352</v>
      </c>
      <c r="AW314" s="5">
        <f t="shared" si="27"/>
        <v>1.1159230002892134E-13</v>
      </c>
      <c r="AX314" s="5">
        <v>1</v>
      </c>
      <c r="AY314" s="5" t="e">
        <f t="shared" si="28"/>
        <v>#N/A</v>
      </c>
      <c r="AZ314" s="5" t="e">
        <f t="shared" si="29"/>
        <v>#N/A</v>
      </c>
      <c r="BA314" s="5">
        <f t="shared" si="30"/>
        <v>-0.82038702313160394</v>
      </c>
      <c r="BD314" s="5">
        <f t="shared" si="31"/>
        <v>3.0434122161642447</v>
      </c>
      <c r="BF314" s="58"/>
    </row>
    <row r="315" spans="48:58" ht="12" customHeight="1">
      <c r="AV315" s="5">
        <f t="shared" si="32"/>
        <v>-1.1520000000000352</v>
      </c>
      <c r="AW315" s="5">
        <f t="shared" si="27"/>
        <v>1.4411234631023292E-13</v>
      </c>
      <c r="AX315" s="5">
        <v>1</v>
      </c>
      <c r="AY315" s="5" t="e">
        <f t="shared" si="28"/>
        <v>#N/A</v>
      </c>
      <c r="AZ315" s="5" t="e">
        <f t="shared" si="29"/>
        <v>#N/A</v>
      </c>
      <c r="BA315" s="5">
        <f t="shared" si="30"/>
        <v>-0.81841555177845215</v>
      </c>
      <c r="BD315" s="5">
        <f t="shared" si="31"/>
        <v>3.0136693147387965</v>
      </c>
      <c r="BF315" s="58"/>
    </row>
    <row r="316" spans="48:58" ht="12" customHeight="1">
      <c r="AV316" s="5">
        <f t="shared" si="32"/>
        <v>-1.1460000000000352</v>
      </c>
      <c r="AW316" s="5">
        <f t="shared" si="27"/>
        <v>1.8592852111884926E-13</v>
      </c>
      <c r="AX316" s="5">
        <v>1</v>
      </c>
      <c r="AY316" s="5" t="e">
        <f t="shared" si="28"/>
        <v>#N/A</v>
      </c>
      <c r="AZ316" s="5" t="e">
        <f t="shared" si="29"/>
        <v>#N/A</v>
      </c>
      <c r="BA316" s="5">
        <f t="shared" si="30"/>
        <v>-0.81642462332102117</v>
      </c>
      <c r="BD316" s="5">
        <f t="shared" si="31"/>
        <v>2.9842883851737794</v>
      </c>
      <c r="BF316" s="58"/>
    </row>
    <row r="317" spans="48:58" ht="12" customHeight="1">
      <c r="AV317" s="5">
        <f t="shared" si="32"/>
        <v>-1.1400000000000352</v>
      </c>
      <c r="AW317" s="5">
        <f t="shared" si="27"/>
        <v>2.396451844922176E-13</v>
      </c>
      <c r="AX317" s="5">
        <v>1</v>
      </c>
      <c r="AY317" s="5" t="e">
        <f t="shared" si="28"/>
        <v>#N/A</v>
      </c>
      <c r="AZ317" s="5" t="e">
        <f t="shared" si="29"/>
        <v>#N/A</v>
      </c>
      <c r="BA317" s="5">
        <f t="shared" si="30"/>
        <v>-0.81441409376569784</v>
      </c>
      <c r="BD317" s="5">
        <f t="shared" si="31"/>
        <v>2.9552651965653989</v>
      </c>
      <c r="BF317" s="58"/>
    </row>
    <row r="318" spans="48:58" ht="12" customHeight="1">
      <c r="AV318" s="5">
        <f t="shared" si="32"/>
        <v>-1.1340000000000352</v>
      </c>
      <c r="AW318" s="5">
        <f t="shared" si="27"/>
        <v>3.0858105817226585E-13</v>
      </c>
      <c r="AX318" s="5">
        <v>1</v>
      </c>
      <c r="AY318" s="5" t="e">
        <f t="shared" si="28"/>
        <v>#N/A</v>
      </c>
      <c r="AZ318" s="5" t="e">
        <f t="shared" si="29"/>
        <v>#N/A</v>
      </c>
      <c r="BA318" s="5">
        <f t="shared" si="30"/>
        <v>-0.81238381911996616</v>
      </c>
      <c r="BD318" s="5">
        <f t="shared" si="31"/>
        <v>2.926595569523927</v>
      </c>
      <c r="BF318" s="58"/>
    </row>
    <row r="319" spans="48:58" ht="12" customHeight="1">
      <c r="AV319" s="5">
        <f t="shared" si="32"/>
        <v>-1.1280000000000352</v>
      </c>
      <c r="AW319" s="5">
        <f t="shared" si="27"/>
        <v>3.9696085938900527E-13</v>
      </c>
      <c r="AX319" s="5">
        <v>1</v>
      </c>
      <c r="AY319" s="5" t="e">
        <f t="shared" si="28"/>
        <v>#N/A</v>
      </c>
      <c r="AZ319" s="5" t="e">
        <f t="shared" si="29"/>
        <v>#N/A</v>
      </c>
      <c r="BA319" s="5">
        <f t="shared" si="30"/>
        <v>-0.8103336554203826</v>
      </c>
      <c r="BD319" s="5">
        <f t="shared" si="31"/>
        <v>2.8982753755736343</v>
      </c>
      <c r="BF319" s="58"/>
    </row>
    <row r="320" spans="48:58" ht="12" customHeight="1">
      <c r="AV320" s="5">
        <f t="shared" si="32"/>
        <v>-1.1220000000000352</v>
      </c>
      <c r="AW320" s="5">
        <f t="shared" si="27"/>
        <v>5.1015714798473609E-13</v>
      </c>
      <c r="AX320" s="5">
        <v>1</v>
      </c>
      <c r="AY320" s="5" t="e">
        <f t="shared" si="28"/>
        <v>#N/A</v>
      </c>
      <c r="AZ320" s="5" t="e">
        <f t="shared" si="29"/>
        <v>#N/A</v>
      </c>
      <c r="BA320" s="5">
        <f t="shared" si="30"/>
        <v>-0.80826345876116679</v>
      </c>
      <c r="BD320" s="5">
        <f t="shared" si="31"/>
        <v>2.8703005365577923</v>
      </c>
      <c r="BF320" s="58"/>
    </row>
    <row r="321" spans="48:58" ht="12" customHeight="1">
      <c r="AV321" s="5">
        <f t="shared" si="32"/>
        <v>-1.1160000000000352</v>
      </c>
      <c r="AW321" s="5">
        <f t="shared" si="27"/>
        <v>6.5499522022999313E-13</v>
      </c>
      <c r="AX321" s="5">
        <v>1</v>
      </c>
      <c r="AY321" s="5" t="e">
        <f t="shared" si="28"/>
        <v>#N/A</v>
      </c>
      <c r="AZ321" s="5" t="e">
        <f t="shared" si="29"/>
        <v>#N/A</v>
      </c>
      <c r="BA321" s="5">
        <f t="shared" si="30"/>
        <v>-0.80617308532340981</v>
      </c>
      <c r="BD321" s="5">
        <f t="shared" si="31"/>
        <v>2.8426670240510425</v>
      </c>
      <c r="BF321" s="58"/>
    </row>
    <row r="322" spans="48:58" ht="12" customHeight="1">
      <c r="AV322" s="5">
        <f t="shared" si="32"/>
        <v>-1.1100000000000352</v>
      </c>
      <c r="AW322" s="5">
        <f t="shared" si="27"/>
        <v>8.4013707659052819E-13</v>
      </c>
      <c r="AX322" s="5">
        <v>1</v>
      </c>
      <c r="AY322" s="5" t="e">
        <f t="shared" si="28"/>
        <v>#N/A</v>
      </c>
      <c r="AZ322" s="5" t="e">
        <f t="shared" si="29"/>
        <v>#N/A</v>
      </c>
      <c r="BA322" s="5">
        <f t="shared" si="30"/>
        <v>-0.80406239140490454</v>
      </c>
      <c r="BD322" s="5">
        <f t="shared" si="31"/>
        <v>2.8153708587799073</v>
      </c>
      <c r="BF322" s="58"/>
    </row>
    <row r="323" spans="48:58" ht="12" customHeight="1">
      <c r="AV323" s="5">
        <f t="shared" si="32"/>
        <v>-1.1040000000000352</v>
      </c>
      <c r="AW323" s="5">
        <f t="shared" si="27"/>
        <v>1.0765644571821745E-12</v>
      </c>
      <c r="AX323" s="5">
        <v>1</v>
      </c>
      <c r="AY323" s="5" t="e">
        <f t="shared" si="28"/>
        <v>#N/A</v>
      </c>
      <c r="AZ323" s="5" t="e">
        <f t="shared" si="29"/>
        <v>#N/A</v>
      </c>
      <c r="BA323" s="5">
        <f t="shared" si="30"/>
        <v>-0.80193123345060213</v>
      </c>
      <c r="BD323" s="5">
        <f t="shared" si="31"/>
        <v>2.7884081100491023</v>
      </c>
      <c r="BF323" s="58"/>
    </row>
    <row r="324" spans="48:58" ht="12" customHeight="1">
      <c r="AV324" s="5">
        <f t="shared" si="32"/>
        <v>-1.0980000000000352</v>
      </c>
      <c r="AW324" s="5">
        <f t="shared" si="27"/>
        <v>1.3781858589147717E-12</v>
      </c>
      <c r="AX324" s="5">
        <v>1</v>
      </c>
      <c r="AY324" s="5" t="e">
        <f t="shared" si="28"/>
        <v>#N/A</v>
      </c>
      <c r="AZ324" s="5" t="e">
        <f t="shared" si="29"/>
        <v>#N/A</v>
      </c>
      <c r="BA324" s="5">
        <f t="shared" si="30"/>
        <v>-0.79977946808369738</v>
      </c>
      <c r="BD324" s="5">
        <f t="shared" si="31"/>
        <v>2.7617748951771364</v>
      </c>
      <c r="BF324" s="58"/>
    </row>
    <row r="325" spans="48:58" ht="12" customHeight="1">
      <c r="AV325" s="5">
        <f t="shared" si="32"/>
        <v>-1.0920000000000352</v>
      </c>
      <c r="AW325" s="5">
        <f t="shared" si="27"/>
        <v>1.7625985447094794E-12</v>
      </c>
      <c r="AX325" s="5">
        <v>1</v>
      </c>
      <c r="AY325" s="5" t="e">
        <f t="shared" si="28"/>
        <v>#N/A</v>
      </c>
      <c r="AZ325" s="5" t="e">
        <f t="shared" si="29"/>
        <v>#N/A</v>
      </c>
      <c r="BA325" s="5">
        <f t="shared" si="30"/>
        <v>-0.79760695213734789</v>
      </c>
      <c r="BD325" s="5">
        <f t="shared" si="31"/>
        <v>2.7354673789338086</v>
      </c>
      <c r="BF325" s="58"/>
    </row>
    <row r="326" spans="48:58" ht="12" customHeight="1">
      <c r="AV326" s="5">
        <f t="shared" si="32"/>
        <v>-1.0860000000000352</v>
      </c>
      <c r="AW326" s="5">
        <f t="shared" si="27"/>
        <v>2.2520441001026476E-12</v>
      </c>
      <c r="AX326" s="5">
        <v>1</v>
      </c>
      <c r="AY326" s="5" t="e">
        <f t="shared" si="28"/>
        <v>#N/A</v>
      </c>
      <c r="AZ326" s="5" t="e">
        <f t="shared" si="29"/>
        <v>#N/A</v>
      </c>
      <c r="BA326" s="5">
        <f t="shared" si="30"/>
        <v>-0.79541354268702624</v>
      </c>
      <c r="BD326" s="5">
        <f t="shared" si="31"/>
        <v>2.7094817729925853</v>
      </c>
      <c r="BF326" s="58"/>
    </row>
    <row r="327" spans="48:58" ht="12" customHeight="1">
      <c r="AV327" s="5">
        <f t="shared" si="32"/>
        <v>-1.0800000000000352</v>
      </c>
      <c r="AW327" s="5">
        <f t="shared" ref="AW327:AW390" si="33">$G$22*NORMDIST(AV327,$AW$3,$AW$4,FALSE)</f>
        <v>2.8746054194336409E-12</v>
      </c>
      <c r="AX327" s="5">
        <v>1</v>
      </c>
      <c r="AY327" s="5" t="e">
        <f t="shared" ref="AY327:AY390" si="34">IF($BF$2,AX327+AW327*$BC$2*BD327,NA())</f>
        <v>#N/A</v>
      </c>
      <c r="AZ327" s="5" t="e">
        <f t="shared" ref="AZ327:AZ390" si="35">IF($BF$2,AX327-AW327*$BC$2*BD327,NA())</f>
        <v>#N/A</v>
      </c>
      <c r="BA327" s="5">
        <f t="shared" ref="BA327:BA390" si="36">(EXP(2*AV327)-1)/(EXP(2*AV327)+1)</f>
        <v>-0.79319909708351399</v>
      </c>
      <c r="BD327" s="5">
        <f t="shared" ref="BD327:BD390" si="37">(AV327-AV328)/(BA327-BA328)</f>
        <v>2.6838143353798753</v>
      </c>
      <c r="BF327" s="58"/>
    </row>
    <row r="328" spans="48:58" ht="12" customHeight="1">
      <c r="AV328" s="5">
        <f t="shared" ref="AV328:AV391" si="38">AV327+$BC$4</f>
        <v>-1.0740000000000351</v>
      </c>
      <c r="AW328" s="5">
        <f t="shared" si="33"/>
        <v>3.6657045201731675E-12</v>
      </c>
      <c r="AX328" s="5">
        <v>1</v>
      </c>
      <c r="AY328" s="5" t="e">
        <f t="shared" si="34"/>
        <v>#N/A</v>
      </c>
      <c r="AZ328" s="5" t="e">
        <f t="shared" si="35"/>
        <v>#N/A</v>
      </c>
      <c r="BA328" s="5">
        <f t="shared" si="36"/>
        <v>-0.79096347298653236</v>
      </c>
      <c r="BD328" s="5">
        <f t="shared" si="37"/>
        <v>2.6584613699418287</v>
      </c>
      <c r="BF328" s="58"/>
    </row>
    <row r="329" spans="48:58" ht="12" customHeight="1">
      <c r="AV329" s="5">
        <f t="shared" si="38"/>
        <v>-1.0680000000000351</v>
      </c>
      <c r="AW329" s="5">
        <f t="shared" si="33"/>
        <v>4.6699747872884264E-12</v>
      </c>
      <c r="AX329" s="5">
        <v>1</v>
      </c>
      <c r="AY329" s="5" t="e">
        <f t="shared" si="34"/>
        <v>#N/A</v>
      </c>
      <c r="AZ329" s="5" t="e">
        <f t="shared" si="35"/>
        <v>#N/A</v>
      </c>
      <c r="BA329" s="5">
        <f t="shared" si="36"/>
        <v>-0.78870652839902033</v>
      </c>
      <c r="BD329" s="5">
        <f t="shared" si="37"/>
        <v>2.6334192258064824</v>
      </c>
      <c r="BF329" s="58"/>
    </row>
    <row r="330" spans="48:58" ht="12" customHeight="1">
      <c r="AV330" s="5">
        <f t="shared" si="38"/>
        <v>-1.0620000000000351</v>
      </c>
      <c r="AW330" s="5">
        <f t="shared" si="33"/>
        <v>5.9435987464352271E-12</v>
      </c>
      <c r="AX330" s="5">
        <v>1</v>
      </c>
      <c r="AY330" s="5" t="e">
        <f t="shared" si="34"/>
        <v>#N/A</v>
      </c>
      <c r="AZ330" s="5" t="e">
        <f t="shared" si="35"/>
        <v>#N/A</v>
      </c>
      <c r="BA330" s="5">
        <f t="shared" si="36"/>
        <v>-0.78642812170205301</v>
      </c>
      <c r="BD330" s="5">
        <f t="shared" si="37"/>
        <v>2.6086842968622412</v>
      </c>
      <c r="BF330" s="58"/>
    </row>
    <row r="331" spans="48:58" ht="12" customHeight="1">
      <c r="AV331" s="5">
        <f t="shared" si="38"/>
        <v>-1.0560000000000351</v>
      </c>
      <c r="AW331" s="5">
        <f t="shared" si="33"/>
        <v>7.557223993878808E-12</v>
      </c>
      <c r="AX331" s="5">
        <v>1</v>
      </c>
      <c r="AY331" s="5" t="e">
        <f t="shared" si="34"/>
        <v>#N/A</v>
      </c>
      <c r="AZ331" s="5" t="e">
        <f t="shared" si="35"/>
        <v>#N/A</v>
      </c>
      <c r="BA331" s="5">
        <f t="shared" si="36"/>
        <v>-0.78412811169040963</v>
      </c>
      <c r="BD331" s="5">
        <f t="shared" si="37"/>
        <v>2.5842530212367656</v>
      </c>
      <c r="BF331" s="58"/>
    </row>
    <row r="332" spans="48:58" ht="12" customHeight="1">
      <c r="AV332" s="5">
        <f t="shared" si="38"/>
        <v>-1.0500000000000351</v>
      </c>
      <c r="AW332" s="5">
        <f t="shared" si="33"/>
        <v>9.5995963707155663E-12</v>
      </c>
      <c r="AX332" s="5">
        <v>1</v>
      </c>
      <c r="AY332" s="5" t="e">
        <f t="shared" si="34"/>
        <v>#N/A</v>
      </c>
      <c r="AZ332" s="5" t="e">
        <f t="shared" si="35"/>
        <v>#N/A</v>
      </c>
      <c r="BA332" s="5">
        <f t="shared" si="36"/>
        <v>-0.78180635760878781</v>
      </c>
      <c r="BD332" s="5">
        <f t="shared" si="37"/>
        <v>2.5601218807836275</v>
      </c>
      <c r="BF332" s="58"/>
    </row>
    <row r="333" spans="48:58" ht="12" customHeight="1">
      <c r="AV333" s="5">
        <f t="shared" si="38"/>
        <v>-1.0440000000000351</v>
      </c>
      <c r="AW333" s="5">
        <f t="shared" si="33"/>
        <v>1.2182081950414999E-11</v>
      </c>
      <c r="AX333" s="5">
        <v>1</v>
      </c>
      <c r="AY333" s="5" t="e">
        <f t="shared" si="34"/>
        <v>#N/A</v>
      </c>
      <c r="AZ333" s="5" t="e">
        <f t="shared" si="35"/>
        <v>#N/A</v>
      </c>
      <c r="BA333" s="5">
        <f t="shared" si="36"/>
        <v>-0.77946271918866561</v>
      </c>
      <c r="BD333" s="5">
        <f t="shared" si="37"/>
        <v>2.536287400577689</v>
      </c>
      <c r="BF333" s="58"/>
    </row>
    <row r="334" spans="48:58" ht="12" customHeight="1">
      <c r="AV334" s="5">
        <f t="shared" si="38"/>
        <v>-1.0380000000000351</v>
      </c>
      <c r="AW334" s="5">
        <f t="shared" si="33"/>
        <v>1.5444289235677926E-11</v>
      </c>
      <c r="AX334" s="5">
        <v>1</v>
      </c>
      <c r="AY334" s="5" t="e">
        <f t="shared" si="34"/>
        <v>#N/A</v>
      </c>
      <c r="AZ334" s="5" t="e">
        <f t="shared" si="35"/>
        <v>#N/A</v>
      </c>
      <c r="BA334" s="5">
        <f t="shared" si="36"/>
        <v>-0.77709705668581464</v>
      </c>
      <c r="BD334" s="5">
        <f t="shared" si="37"/>
        <v>2.5127461484118339</v>
      </c>
      <c r="BF334" s="58"/>
    </row>
    <row r="335" spans="48:58" ht="12" customHeight="1">
      <c r="AV335" s="5">
        <f t="shared" si="38"/>
        <v>-1.0320000000000351</v>
      </c>
      <c r="AW335" s="5">
        <f t="shared" si="33"/>
        <v>1.956105173700917E-11</v>
      </c>
      <c r="AX335" s="5">
        <v>1</v>
      </c>
      <c r="AY335" s="5" t="e">
        <f t="shared" si="34"/>
        <v>#N/A</v>
      </c>
      <c r="AZ335" s="5" t="e">
        <f t="shared" si="35"/>
        <v>#N/A</v>
      </c>
      <c r="BA335" s="5">
        <f t="shared" si="36"/>
        <v>-0.77470923091845956</v>
      </c>
      <c r="BD335" s="5">
        <f t="shared" si="37"/>
        <v>2.4894947343051483</v>
      </c>
      <c r="BF335" s="58"/>
    </row>
    <row r="336" spans="48:58" ht="12" customHeight="1">
      <c r="AV336" s="5">
        <f t="shared" si="38"/>
        <v>-1.0260000000000351</v>
      </c>
      <c r="AW336" s="5">
        <f t="shared" si="33"/>
        <v>2.475109077196782E-11</v>
      </c>
      <c r="AX336" s="5">
        <v>1</v>
      </c>
      <c r="AY336" s="5" t="e">
        <f t="shared" si="34"/>
        <v>#N/A</v>
      </c>
      <c r="AZ336" s="5" t="e">
        <f t="shared" si="35"/>
        <v>#N/A</v>
      </c>
      <c r="BA336" s="5">
        <f t="shared" si="36"/>
        <v>-0.77229910330608897</v>
      </c>
      <c r="BD336" s="5">
        <f t="shared" si="37"/>
        <v>2.4665298100145412</v>
      </c>
      <c r="BF336" s="58"/>
    </row>
    <row r="337" spans="48:58" ht="12" customHeight="1">
      <c r="AV337" s="5">
        <f t="shared" si="38"/>
        <v>-1.0200000000000351</v>
      </c>
      <c r="AW337" s="5">
        <f t="shared" si="33"/>
        <v>3.1287751226233707E-11</v>
      </c>
      <c r="AX337" s="5">
        <v>1</v>
      </c>
      <c r="AY337" s="5" t="e">
        <f t="shared" si="34"/>
        <v>#N/A</v>
      </c>
      <c r="AZ337" s="5" t="e">
        <f t="shared" si="35"/>
        <v>#N/A</v>
      </c>
      <c r="BA337" s="5">
        <f t="shared" si="36"/>
        <v>-0.76986653590891463</v>
      </c>
      <c r="BD337" s="5">
        <f t="shared" si="37"/>
        <v>2.4438480685505644</v>
      </c>
      <c r="BF337" s="58"/>
    </row>
    <row r="338" spans="48:58" ht="12" customHeight="1">
      <c r="AV338" s="5">
        <f t="shared" si="38"/>
        <v>-1.0140000000000351</v>
      </c>
      <c r="AW338" s="5">
        <f t="shared" si="33"/>
        <v>3.9512291986170742E-11</v>
      </c>
      <c r="AX338" s="5">
        <v>1</v>
      </c>
      <c r="AY338" s="5" t="e">
        <f t="shared" si="34"/>
        <v>#N/A</v>
      </c>
      <c r="AZ338" s="5" t="e">
        <f t="shared" si="35"/>
        <v>#N/A</v>
      </c>
      <c r="BA338" s="5">
        <f t="shared" si="36"/>
        <v>-0.76741139146797621</v>
      </c>
      <c r="BD338" s="5">
        <f t="shared" si="37"/>
        <v>2.4214462437034046</v>
      </c>
      <c r="BF338" s="58"/>
    </row>
    <row r="339" spans="48:58" ht="12" customHeight="1">
      <c r="AV339" s="5">
        <f t="shared" si="38"/>
        <v>-1.0080000000000351</v>
      </c>
      <c r="AW339" s="5">
        <f t="shared" si="33"/>
        <v>4.9850321199764214E-11</v>
      </c>
      <c r="AX339" s="5">
        <v>1</v>
      </c>
      <c r="AY339" s="5" t="e">
        <f t="shared" si="34"/>
        <v>#N/A</v>
      </c>
      <c r="AZ339" s="5" t="e">
        <f t="shared" si="35"/>
        <v>#N/A</v>
      </c>
      <c r="BA339" s="5">
        <f t="shared" si="36"/>
        <v>-0.76493353344589454</v>
      </c>
      <c r="BD339" s="5">
        <f t="shared" si="37"/>
        <v>2.3993211095716109</v>
      </c>
      <c r="BF339" s="58"/>
    </row>
    <row r="340" spans="48:58" ht="12" customHeight="1">
      <c r="AV340" s="5">
        <f t="shared" si="38"/>
        <v>-1.0020000000000351</v>
      </c>
      <c r="AW340" s="5">
        <f t="shared" si="33"/>
        <v>6.283209855634546E-11</v>
      </c>
      <c r="AX340" s="5">
        <v>1</v>
      </c>
      <c r="AY340" s="5" t="e">
        <f t="shared" si="34"/>
        <v>#N/A</v>
      </c>
      <c r="AZ340" s="5" t="e">
        <f t="shared" si="35"/>
        <v>#N/A</v>
      </c>
      <c r="BA340" s="5">
        <f t="shared" si="36"/>
        <v>-0.76243282606826834</v>
      </c>
      <c r="BD340" s="5">
        <f t="shared" si="37"/>
        <v>2.3774694800974121</v>
      </c>
      <c r="BF340" s="58"/>
    </row>
    <row r="341" spans="48:58" ht="12" customHeight="1">
      <c r="AV341" s="5">
        <f t="shared" si="38"/>
        <v>-0.99600000000003508</v>
      </c>
      <c r="AW341" s="5">
        <f t="shared" si="33"/>
        <v>7.9117587334150042E-11</v>
      </c>
      <c r="AX341" s="5">
        <v>1</v>
      </c>
      <c r="AY341" s="5" t="e">
        <f t="shared" si="34"/>
        <v>#N/A</v>
      </c>
      <c r="AZ341" s="5" t="e">
        <f t="shared" si="35"/>
        <v>#N/A</v>
      </c>
      <c r="BA341" s="5">
        <f t="shared" si="36"/>
        <v>-0.75990913436571317</v>
      </c>
      <c r="BD341" s="5">
        <f t="shared" si="37"/>
        <v>2.3558882086089681</v>
      </c>
      <c r="BF341" s="58"/>
    </row>
    <row r="342" spans="48:58" ht="12" customHeight="1">
      <c r="AV342" s="5">
        <f t="shared" si="38"/>
        <v>-0.99000000000003507</v>
      </c>
      <c r="AW342" s="5">
        <f t="shared" si="33"/>
        <v>9.9527333978196169E-11</v>
      </c>
      <c r="AX342" s="5">
        <v>1</v>
      </c>
      <c r="AY342" s="5" t="e">
        <f t="shared" si="34"/>
        <v>#N/A</v>
      </c>
      <c r="AZ342" s="5" t="e">
        <f t="shared" si="35"/>
        <v>#N/A</v>
      </c>
      <c r="BA342" s="5">
        <f t="shared" si="36"/>
        <v>-0.75736232421654115</v>
      </c>
      <c r="BD342" s="5">
        <f t="shared" si="37"/>
        <v>2.3345741873655168</v>
      </c>
      <c r="BF342" s="58"/>
    </row>
    <row r="343" spans="48:58" ht="12" customHeight="1">
      <c r="AV343" s="5">
        <f t="shared" si="38"/>
        <v>-0.98400000000003507</v>
      </c>
      <c r="AW343" s="5">
        <f t="shared" si="33"/>
        <v>1.2508048955009228E-10</v>
      </c>
      <c r="AX343" s="5">
        <v>1</v>
      </c>
      <c r="AY343" s="5" t="e">
        <f t="shared" si="34"/>
        <v>#N/A</v>
      </c>
      <c r="AZ343" s="5" t="e">
        <f t="shared" si="35"/>
        <v>#N/A</v>
      </c>
      <c r="BA343" s="5">
        <f t="shared" si="36"/>
        <v>-0.75479226239007557</v>
      </c>
      <c r="BD343" s="5">
        <f t="shared" si="37"/>
        <v>2.3135243471111528</v>
      </c>
      <c r="BF343" s="58"/>
    </row>
    <row r="344" spans="48:58" ht="12" customHeight="1">
      <c r="AV344" s="5">
        <f t="shared" si="38"/>
        <v>-0.97800000000003506</v>
      </c>
      <c r="AW344" s="5">
        <f t="shared" si="33"/>
        <v>1.5704157405137076E-10</v>
      </c>
      <c r="AX344" s="5">
        <v>1</v>
      </c>
      <c r="AY344" s="5" t="e">
        <f t="shared" si="34"/>
        <v>#N/A</v>
      </c>
      <c r="AZ344" s="5" t="e">
        <f t="shared" si="35"/>
        <v>#N/A</v>
      </c>
      <c r="BA344" s="5">
        <f t="shared" si="36"/>
        <v>-0.75219881659059995</v>
      </c>
      <c r="BD344" s="5">
        <f t="shared" si="37"/>
        <v>2.2927356566322596</v>
      </c>
      <c r="BF344" s="58"/>
    </row>
    <row r="345" spans="48:58" ht="12" customHeight="1">
      <c r="AV345" s="5">
        <f t="shared" si="38"/>
        <v>-0.97200000000003506</v>
      </c>
      <c r="AW345" s="5">
        <f t="shared" si="33"/>
        <v>1.9697793154732298E-10</v>
      </c>
      <c r="AX345" s="5">
        <v>1</v>
      </c>
      <c r="AY345" s="5" t="e">
        <f t="shared" si="34"/>
        <v>#N/A</v>
      </c>
      <c r="AZ345" s="5" t="e">
        <f t="shared" si="35"/>
        <v>#N/A</v>
      </c>
      <c r="BA345" s="5">
        <f t="shared" si="36"/>
        <v>-0.74958185550193557</v>
      </c>
      <c r="BD345" s="5">
        <f t="shared" si="37"/>
        <v>2.2722051223221387</v>
      </c>
      <c r="BF345" s="58"/>
    </row>
    <row r="346" spans="48:58" ht="12" customHeight="1">
      <c r="AV346" s="5">
        <f t="shared" si="38"/>
        <v>-0.96600000000003505</v>
      </c>
      <c r="AW346" s="5">
        <f t="shared" si="33"/>
        <v>2.4683024337259801E-10</v>
      </c>
      <c r="AX346" s="5">
        <v>1</v>
      </c>
      <c r="AY346" s="5" t="e">
        <f t="shared" si="34"/>
        <v>#N/A</v>
      </c>
      <c r="AZ346" s="5" t="e">
        <f t="shared" si="35"/>
        <v>#N/A</v>
      </c>
      <c r="BA346" s="5">
        <f t="shared" si="36"/>
        <v>-0.74694124883264501</v>
      </c>
      <c r="BD346" s="5">
        <f t="shared" si="37"/>
        <v>2.2519297877478217</v>
      </c>
      <c r="BF346" s="58"/>
    </row>
    <row r="347" spans="48:58" ht="12" customHeight="1">
      <c r="AV347" s="5">
        <f t="shared" si="38"/>
        <v>-0.96000000000003505</v>
      </c>
      <c r="AW347" s="5">
        <f t="shared" si="33"/>
        <v>3.0899897299248415E-10</v>
      </c>
      <c r="AX347" s="5">
        <v>1</v>
      </c>
      <c r="AY347" s="5" t="e">
        <f t="shared" si="34"/>
        <v>#N/A</v>
      </c>
      <c r="AZ347" s="5" t="e">
        <f t="shared" si="35"/>
        <v>#N/A</v>
      </c>
      <c r="BA347" s="5">
        <f t="shared" si="36"/>
        <v>-0.74427686736185295</v>
      </c>
      <c r="BD347" s="5">
        <f t="shared" si="37"/>
        <v>2.2319067332263662</v>
      </c>
      <c r="BF347" s="58"/>
    </row>
    <row r="348" spans="48:58" ht="12" customHeight="1">
      <c r="AV348" s="5">
        <f t="shared" si="38"/>
        <v>-0.95400000000003504</v>
      </c>
      <c r="AW348" s="5">
        <f t="shared" si="33"/>
        <v>3.8645022660730743E-10</v>
      </c>
      <c r="AX348" s="5">
        <v>1</v>
      </c>
      <c r="AY348" s="5" t="e">
        <f t="shared" si="34"/>
        <v>#N/A</v>
      </c>
      <c r="AZ348" s="5" t="e">
        <f t="shared" si="35"/>
        <v>#N/A</v>
      </c>
      <c r="BA348" s="5">
        <f t="shared" si="36"/>
        <v>-0.74158858298568342</v>
      </c>
      <c r="BD348" s="5">
        <f t="shared" si="37"/>
        <v>2.2121330754032513</v>
      </c>
      <c r="BF348" s="58"/>
    </row>
    <row r="349" spans="48:58" ht="12" customHeight="1">
      <c r="AV349" s="5">
        <f t="shared" si="38"/>
        <v>-0.94800000000003504</v>
      </c>
      <c r="AW349" s="5">
        <f t="shared" si="33"/>
        <v>4.8284524888227869E-10</v>
      </c>
      <c r="AX349" s="5">
        <v>1</v>
      </c>
      <c r="AY349" s="5" t="e">
        <f t="shared" si="34"/>
        <v>#N/A</v>
      </c>
      <c r="AZ349" s="5" t="e">
        <f t="shared" si="35"/>
        <v>#N/A</v>
      </c>
      <c r="BA349" s="5">
        <f t="shared" si="36"/>
        <v>-0.73887626876430401</v>
      </c>
      <c r="BD349" s="5">
        <f t="shared" si="37"/>
        <v>2.1926059668375393</v>
      </c>
      <c r="BF349" s="58"/>
    </row>
    <row r="350" spans="48:58" ht="12" customHeight="1">
      <c r="AV350" s="5">
        <f t="shared" si="38"/>
        <v>-0.94200000000003503</v>
      </c>
      <c r="AW350" s="5">
        <f t="shared" si="33"/>
        <v>6.0269865768517499E-10</v>
      </c>
      <c r="AX350" s="5">
        <v>1</v>
      </c>
      <c r="AY350" s="5" t="e">
        <f t="shared" si="34"/>
        <v>#N/A</v>
      </c>
      <c r="AZ350" s="5" t="e">
        <f t="shared" si="35"/>
        <v>#N/A</v>
      </c>
      <c r="BA350" s="5">
        <f t="shared" si="36"/>
        <v>-0.73613979896957205</v>
      </c>
      <c r="BD350" s="5">
        <f t="shared" si="37"/>
        <v>2.1733225955918045</v>
      </c>
      <c r="BF350" s="58"/>
    </row>
    <row r="351" spans="48:58" ht="12" customHeight="1">
      <c r="AV351" s="5">
        <f t="shared" si="38"/>
        <v>-0.93600000000003503</v>
      </c>
      <c r="AW351" s="5">
        <f t="shared" si="33"/>
        <v>7.5157158439721968E-10</v>
      </c>
      <c r="AX351" s="5">
        <v>1</v>
      </c>
      <c r="AY351" s="5" t="e">
        <f t="shared" si="34"/>
        <v>#N/A</v>
      </c>
      <c r="AZ351" s="5" t="e">
        <f t="shared" si="35"/>
        <v>#N/A</v>
      </c>
      <c r="BA351" s="5">
        <f t="shared" si="36"/>
        <v>-0.73337904913327534</v>
      </c>
      <c r="BD351" s="5">
        <f t="shared" si="37"/>
        <v>2.1542801848275004</v>
      </c>
      <c r="BF351" s="58"/>
    </row>
    <row r="352" spans="48:58" ht="12" customHeight="1">
      <c r="AV352" s="5">
        <f t="shared" si="38"/>
        <v>-0.93000000000003502</v>
      </c>
      <c r="AW352" s="5">
        <f t="shared" si="33"/>
        <v>9.3630716155697561E-10</v>
      </c>
      <c r="AX352" s="5">
        <v>1</v>
      </c>
      <c r="AY352" s="5" t="e">
        <f t="shared" si="34"/>
        <v>#N/A</v>
      </c>
      <c r="AZ352" s="5" t="e">
        <f t="shared" si="35"/>
        <v>#N/A</v>
      </c>
      <c r="BA352" s="5">
        <f t="shared" si="36"/>
        <v>-0.73059389609596026</v>
      </c>
      <c r="BD352" s="5">
        <f t="shared" si="37"/>
        <v>2.1354759924041611</v>
      </c>
      <c r="BF352" s="58"/>
    </row>
    <row r="353" spans="48:58" ht="12" customHeight="1">
      <c r="AV353" s="5">
        <f t="shared" si="38"/>
        <v>-0.92400000000003502</v>
      </c>
      <c r="AW353" s="5">
        <f t="shared" si="33"/>
        <v>1.1653173279211096E-9</v>
      </c>
      <c r="AX353" s="5">
        <v>1</v>
      </c>
      <c r="AY353" s="5" t="e">
        <f t="shared" si="34"/>
        <v>#N/A</v>
      </c>
      <c r="AZ353" s="5" t="e">
        <f t="shared" si="35"/>
        <v>#N/A</v>
      </c>
      <c r="BA353" s="5">
        <f t="shared" si="36"/>
        <v>-0.72778421805633731</v>
      </c>
      <c r="BD353" s="5">
        <f t="shared" si="37"/>
        <v>2.1169073104859404</v>
      </c>
      <c r="BF353" s="58"/>
    </row>
    <row r="354" spans="48:58" ht="12" customHeight="1">
      <c r="AV354" s="5">
        <f t="shared" si="38"/>
        <v>-0.91800000000003501</v>
      </c>
      <c r="AW354" s="5">
        <f t="shared" si="33"/>
        <v>1.448931750464788E-9</v>
      </c>
      <c r="AX354" s="5">
        <v>1</v>
      </c>
      <c r="AY354" s="5" t="e">
        <f t="shared" si="34"/>
        <v>#N/A</v>
      </c>
      <c r="AZ354" s="5" t="e">
        <f t="shared" si="35"/>
        <v>#N/A</v>
      </c>
      <c r="BA354" s="5">
        <f t="shared" si="36"/>
        <v>-0.72494989462125847</v>
      </c>
      <c r="BD354" s="5">
        <f t="shared" si="37"/>
        <v>2.0985714651506941</v>
      </c>
      <c r="BF354" s="58"/>
    </row>
    <row r="355" spans="48:58" ht="12" customHeight="1">
      <c r="AV355" s="5">
        <f t="shared" si="38"/>
        <v>-0.912000000000035</v>
      </c>
      <c r="AW355" s="5">
        <f t="shared" si="33"/>
        <v>1.7998218500185368E-9</v>
      </c>
      <c r="AX355" s="5">
        <v>1</v>
      </c>
      <c r="AY355" s="5" t="e">
        <f t="shared" si="34"/>
        <v>#N/A</v>
      </c>
      <c r="AZ355" s="5" t="e">
        <f t="shared" si="35"/>
        <v>#N/A</v>
      </c>
      <c r="BA355" s="5">
        <f t="shared" si="36"/>
        <v>-0.72209080685625393</v>
      </c>
      <c r="BD355" s="5">
        <f t="shared" si="37"/>
        <v>2.0804658160045113</v>
      </c>
      <c r="BF355" s="58"/>
    </row>
    <row r="356" spans="48:58" ht="12" customHeight="1">
      <c r="AV356" s="5">
        <f t="shared" si="38"/>
        <v>-0.906000000000035</v>
      </c>
      <c r="AW356" s="5">
        <f t="shared" si="33"/>
        <v>2.2335155288501223E-9</v>
      </c>
      <c r="AX356" s="5">
        <v>1</v>
      </c>
      <c r="AY356" s="5" t="e">
        <f t="shared" si="34"/>
        <v>#N/A</v>
      </c>
      <c r="AZ356" s="5" t="e">
        <f t="shared" si="35"/>
        <v>#N/A</v>
      </c>
      <c r="BA356" s="5">
        <f t="shared" si="36"/>
        <v>-0.71920683733661872</v>
      </c>
      <c r="BD356" s="5">
        <f t="shared" si="37"/>
        <v>2.0625877558030212</v>
      </c>
      <c r="BF356" s="58"/>
    </row>
    <row r="357" spans="48:58" ht="12" customHeight="1">
      <c r="AV357" s="5">
        <f t="shared" si="38"/>
        <v>-0.90000000000003499</v>
      </c>
      <c r="AW357" s="5">
        <f t="shared" si="33"/>
        <v>2.7690213130363541E-9</v>
      </c>
      <c r="AX357" s="5">
        <v>1</v>
      </c>
      <c r="AY357" s="5" t="e">
        <f t="shared" si="34"/>
        <v>#N/A</v>
      </c>
      <c r="AZ357" s="5" t="e">
        <f t="shared" si="35"/>
        <v>#N/A</v>
      </c>
      <c r="BA357" s="5">
        <f t="shared" si="36"/>
        <v>-0.71629787019904156</v>
      </c>
      <c r="BD357" s="5">
        <f t="shared" si="37"/>
        <v>2.0449347100742932</v>
      </c>
      <c r="BF357" s="58"/>
    </row>
    <row r="358" spans="48:58" ht="12" customHeight="1">
      <c r="AV358" s="5">
        <f t="shared" si="38"/>
        <v>-0.89400000000003499</v>
      </c>
      <c r="AW358" s="5">
        <f t="shared" si="33"/>
        <v>3.4295843321297189E-9</v>
      </c>
      <c r="AX358" s="5">
        <v>1</v>
      </c>
      <c r="AY358" s="5" t="e">
        <f t="shared" si="34"/>
        <v>#N/A</v>
      </c>
      <c r="AZ358" s="5" t="e">
        <f t="shared" si="35"/>
        <v>#N/A</v>
      </c>
      <c r="BA358" s="5">
        <f t="shared" si="36"/>
        <v>-0.71336379119376025</v>
      </c>
      <c r="BD358" s="5">
        <f t="shared" si="37"/>
        <v>2.0275041367496249</v>
      </c>
      <c r="BF358" s="58"/>
    </row>
    <row r="359" spans="48:58" ht="12" customHeight="1">
      <c r="AV359" s="5">
        <f t="shared" si="38"/>
        <v>-0.88800000000003498</v>
      </c>
      <c r="AW359" s="5">
        <f t="shared" si="33"/>
        <v>4.2436009715919286E-9</v>
      </c>
      <c r="AX359" s="5">
        <v>1</v>
      </c>
      <c r="AY359" s="5" t="e">
        <f t="shared" si="34"/>
        <v>#N/A</v>
      </c>
      <c r="AZ359" s="5" t="e">
        <f t="shared" si="35"/>
        <v>#N/A</v>
      </c>
      <c r="BA359" s="5">
        <f t="shared" si="36"/>
        <v>-0.71040448773723619</v>
      </c>
      <c r="BD359" s="5">
        <f t="shared" si="37"/>
        <v>2.0102935257962438</v>
      </c>
      <c r="BF359" s="58"/>
    </row>
    <row r="360" spans="48:58" ht="12" customHeight="1">
      <c r="AV360" s="5">
        <f t="shared" si="38"/>
        <v>-0.88200000000003498</v>
      </c>
      <c r="AW360" s="5">
        <f t="shared" si="33"/>
        <v>5.2457242764593464E-9</v>
      </c>
      <c r="AX360" s="5">
        <v>1</v>
      </c>
      <c r="AY360" s="5" t="e">
        <f t="shared" si="34"/>
        <v>#N/A</v>
      </c>
      <c r="AZ360" s="5" t="e">
        <f t="shared" si="35"/>
        <v>#N/A</v>
      </c>
      <c r="BA360" s="5">
        <f t="shared" si="36"/>
        <v>-0.70741984896533172</v>
      </c>
      <c r="BD360" s="5">
        <f t="shared" si="37"/>
        <v>1.9933003988563733</v>
      </c>
      <c r="BF360" s="58"/>
    </row>
    <row r="361" spans="48:58" ht="12" customHeight="1">
      <c r="AV361" s="5">
        <f t="shared" si="38"/>
        <v>-0.87600000000003497</v>
      </c>
      <c r="AW361" s="5">
        <f t="shared" si="33"/>
        <v>6.4781984059828714E-9</v>
      </c>
      <c r="AX361" s="5">
        <v>1</v>
      </c>
      <c r="AY361" s="5" t="e">
        <f t="shared" si="34"/>
        <v>#N/A</v>
      </c>
      <c r="AZ361" s="5" t="e">
        <f t="shared" si="35"/>
        <v>#N/A</v>
      </c>
      <c r="BA361" s="5">
        <f t="shared" si="36"/>
        <v>-0.70440976578697967</v>
      </c>
      <c r="BD361" s="5">
        <f t="shared" si="37"/>
        <v>1.9765223088901558</v>
      </c>
      <c r="BF361" s="58"/>
    </row>
    <row r="362" spans="48:58" ht="12" customHeight="1">
      <c r="AV362" s="5">
        <f t="shared" si="38"/>
        <v>-0.87000000000003497</v>
      </c>
      <c r="AW362" s="5">
        <f t="shared" si="33"/>
        <v>7.9924678117084354E-9</v>
      </c>
      <c r="AX362" s="5">
        <v>1</v>
      </c>
      <c r="AY362" s="5" t="e">
        <f t="shared" si="34"/>
        <v>#N/A</v>
      </c>
      <c r="AZ362" s="5" t="e">
        <f t="shared" si="35"/>
        <v>#N/A</v>
      </c>
      <c r="BA362" s="5">
        <f t="shared" si="36"/>
        <v>-0.70137413093833023</v>
      </c>
      <c r="BD362" s="5">
        <f t="shared" si="37"/>
        <v>1.9599568398241005</v>
      </c>
      <c r="BF362" s="58"/>
    </row>
    <row r="363" spans="48:58" ht="12" customHeight="1">
      <c r="AV363" s="5">
        <f t="shared" si="38"/>
        <v>-0.86400000000003496</v>
      </c>
      <c r="AW363" s="5">
        <f t="shared" si="33"/>
        <v>9.8511155376339026E-9</v>
      </c>
      <c r="AX363" s="5">
        <v>1</v>
      </c>
      <c r="AY363" s="5" t="e">
        <f t="shared" si="34"/>
        <v>#N/A</v>
      </c>
      <c r="AZ363" s="5" t="e">
        <f t="shared" si="35"/>
        <v>#N/A</v>
      </c>
      <c r="BA363" s="5">
        <f t="shared" si="36"/>
        <v>-0.69831283903736241</v>
      </c>
      <c r="BD363" s="5">
        <f t="shared" si="37"/>
        <v>1.943601606201607</v>
      </c>
      <c r="BF363" s="58"/>
    </row>
    <row r="364" spans="48:58" ht="12" customHeight="1">
      <c r="AV364" s="5">
        <f t="shared" si="38"/>
        <v>-0.85800000000003496</v>
      </c>
      <c r="AW364" s="5">
        <f t="shared" si="33"/>
        <v>1.2130195355932469E-8</v>
      </c>
      <c r="AX364" s="5">
        <v>1</v>
      </c>
      <c r="AY364" s="5" t="e">
        <f t="shared" si="34"/>
        <v>#N/A</v>
      </c>
      <c r="AZ364" s="5" t="e">
        <f t="shared" si="35"/>
        <v>#N/A</v>
      </c>
      <c r="BA364" s="5">
        <f t="shared" si="36"/>
        <v>-0.69522578663894119</v>
      </c>
      <c r="BD364" s="5">
        <f t="shared" si="37"/>
        <v>1.9274542528410885</v>
      </c>
      <c r="BF364" s="58"/>
    </row>
    <row r="365" spans="48:58" ht="12" customHeight="1">
      <c r="AV365" s="5">
        <f t="shared" si="38"/>
        <v>-0.85200000000003495</v>
      </c>
      <c r="AW365" s="5">
        <f t="shared" si="33"/>
        <v>1.4922034628876353E-8</v>
      </c>
      <c r="AX365" s="5">
        <v>1</v>
      </c>
      <c r="AY365" s="5" t="e">
        <f t="shared" si="34"/>
        <v>#N/A</v>
      </c>
      <c r="AZ365" s="5" t="e">
        <f t="shared" si="35"/>
        <v>#N/A</v>
      </c>
      <c r="BA365" s="5">
        <f t="shared" si="36"/>
        <v>-0.6921128722903096</v>
      </c>
      <c r="BD365" s="5">
        <f t="shared" si="37"/>
        <v>1.9115124544954838</v>
      </c>
      <c r="BF365" s="58"/>
    </row>
    <row r="366" spans="48:58" ht="12" customHeight="1">
      <c r="AV366" s="5">
        <f t="shared" si="38"/>
        <v>-0.84600000000003495</v>
      </c>
      <c r="AW366" s="5">
        <f t="shared" si="33"/>
        <v>1.8338599144695976E-8</v>
      </c>
      <c r="AX366" s="5">
        <v>1</v>
      </c>
      <c r="AY366" s="5" t="e">
        <f t="shared" si="34"/>
        <v>#N/A</v>
      </c>
      <c r="AZ366" s="5" t="e">
        <f t="shared" si="35"/>
        <v>#N/A</v>
      </c>
      <c r="BA366" s="5">
        <f t="shared" si="36"/>
        <v>-0.68897399658699454</v>
      </c>
      <c r="BD366" s="5">
        <f t="shared" si="37"/>
        <v>1.8957739155184494</v>
      </c>
      <c r="BF366" s="58"/>
    </row>
    <row r="367" spans="48:58" ht="12" customHeight="1">
      <c r="AV367" s="5">
        <f t="shared" si="38"/>
        <v>-0.84000000000003494</v>
      </c>
      <c r="AW367" s="5">
        <f t="shared" si="33"/>
        <v>2.2515528080545785E-8</v>
      </c>
      <c r="AX367" s="5">
        <v>1</v>
      </c>
      <c r="AY367" s="5" t="e">
        <f t="shared" si="34"/>
        <v>#N/A</v>
      </c>
      <c r="AZ367" s="5" t="e">
        <f t="shared" si="35"/>
        <v>#N/A</v>
      </c>
      <c r="BA367" s="5">
        <f t="shared" si="36"/>
        <v>-0.68580906222911298</v>
      </c>
      <c r="BD367" s="5">
        <f t="shared" si="37"/>
        <v>1.8802363695333386</v>
      </c>
      <c r="BF367" s="58"/>
    </row>
    <row r="368" spans="48:58" ht="12" customHeight="1">
      <c r="AV368" s="5">
        <f t="shared" si="38"/>
        <v>-0.83400000000003494</v>
      </c>
      <c r="AW368" s="5">
        <f t="shared" si="33"/>
        <v>2.7616967125909851E-8</v>
      </c>
      <c r="AX368" s="5">
        <v>1</v>
      </c>
      <c r="AY368" s="5" t="e">
        <f t="shared" si="34"/>
        <v>#N/A</v>
      </c>
      <c r="AZ368" s="5" t="e">
        <f t="shared" si="35"/>
        <v>#N/A</v>
      </c>
      <c r="BA368" s="5">
        <f t="shared" si="36"/>
        <v>-0.68261797407805824</v>
      </c>
      <c r="BD368" s="5">
        <f t="shared" si="37"/>
        <v>1.8648975791062719</v>
      </c>
      <c r="BF368" s="58"/>
    </row>
    <row r="369" spans="48:58" ht="12" customHeight="1">
      <c r="AV369" s="5">
        <f t="shared" si="38"/>
        <v>-0.82800000000003493</v>
      </c>
      <c r="AW369" s="5">
        <f t="shared" si="33"/>
        <v>3.384135114762719E-8</v>
      </c>
      <c r="AX369" s="5">
        <v>1</v>
      </c>
      <c r="AY369" s="5" t="e">
        <f t="shared" si="34"/>
        <v>#N/A</v>
      </c>
      <c r="AZ369" s="5" t="e">
        <f t="shared" si="35"/>
        <v>#N/A</v>
      </c>
      <c r="BA369" s="5">
        <f t="shared" si="36"/>
        <v>-0.67940063921354765</v>
      </c>
      <c r="BD369" s="5">
        <f t="shared" si="37"/>
        <v>1.8497553354253125</v>
      </c>
      <c r="BF369" s="58"/>
    </row>
    <row r="370" spans="48:58" ht="12" customHeight="1">
      <c r="AV370" s="5">
        <f t="shared" si="38"/>
        <v>-0.82200000000003492</v>
      </c>
      <c r="AW370" s="5">
        <f t="shared" si="33"/>
        <v>4.1428315162058324E-8</v>
      </c>
      <c r="AX370" s="5">
        <v>1</v>
      </c>
      <c r="AY370" s="5" t="e">
        <f t="shared" si="34"/>
        <v>#N/A</v>
      </c>
      <c r="AZ370" s="5" t="e">
        <f t="shared" si="35"/>
        <v>#N/A</v>
      </c>
      <c r="BA370" s="5">
        <f t="shared" si="36"/>
        <v>-0.67615696699101535</v>
      </c>
      <c r="BD370" s="5">
        <f t="shared" si="37"/>
        <v>1.8348074579808487</v>
      </c>
      <c r="BF370" s="58"/>
    </row>
    <row r="371" spans="48:58" ht="12" customHeight="1">
      <c r="AV371" s="5">
        <f t="shared" si="38"/>
        <v>-0.81600000000003492</v>
      </c>
      <c r="AW371" s="5">
        <f t="shared" si="33"/>
        <v>5.0666944456338539E-8</v>
      </c>
      <c r="AX371" s="5">
        <v>1</v>
      </c>
      <c r="AY371" s="5" t="e">
        <f t="shared" si="34"/>
        <v>#N/A</v>
      </c>
      <c r="AZ371" s="5" t="e">
        <f t="shared" si="35"/>
        <v>#N/A</v>
      </c>
      <c r="BA371" s="5">
        <f t="shared" si="36"/>
        <v>-0.67288686909932549</v>
      </c>
      <c r="BD371" s="5">
        <f t="shared" si="37"/>
        <v>1.8200517942529411</v>
      </c>
      <c r="BF371" s="58"/>
    </row>
    <row r="372" spans="48:58" ht="12" customHeight="1">
      <c r="AV372" s="5">
        <f t="shared" si="38"/>
        <v>-0.81000000000003491</v>
      </c>
      <c r="AW372" s="5">
        <f t="shared" si="33"/>
        <v>6.1905612223218097E-8</v>
      </c>
      <c r="AX372" s="5">
        <v>1</v>
      </c>
      <c r="AY372" s="5" t="e">
        <f t="shared" si="34"/>
        <v>#N/A</v>
      </c>
      <c r="AZ372" s="5" t="e">
        <f t="shared" si="35"/>
        <v>#N/A</v>
      </c>
      <c r="BA372" s="5">
        <f t="shared" si="36"/>
        <v>-0.66959025961878993</v>
      </c>
      <c r="BD372" s="5">
        <f t="shared" si="37"/>
        <v>1.8054862194006014</v>
      </c>
      <c r="BF372" s="58"/>
    </row>
    <row r="373" spans="48:58" ht="12" customHeight="1">
      <c r="AV373" s="5">
        <f t="shared" si="38"/>
        <v>-0.80400000000003491</v>
      </c>
      <c r="AW373" s="5">
        <f t="shared" si="33"/>
        <v>7.5563696909033612E-8</v>
      </c>
      <c r="AX373" s="5">
        <v>1</v>
      </c>
      <c r="AY373" s="5" t="e">
        <f t="shared" si="34"/>
        <v>#N/A</v>
      </c>
      <c r="AZ373" s="5" t="e">
        <f t="shared" si="35"/>
        <v>#N/A</v>
      </c>
      <c r="BA373" s="5">
        <f t="shared" si="36"/>
        <v>-0.66626705507946538</v>
      </c>
      <c r="BD373" s="5">
        <f t="shared" si="37"/>
        <v>1.7911086359556527</v>
      </c>
      <c r="BF373" s="58"/>
    </row>
    <row r="374" spans="48:58" ht="12" customHeight="1">
      <c r="AV374" s="5">
        <f t="shared" si="38"/>
        <v>-0.7980000000000349</v>
      </c>
      <c r="AW374" s="5">
        <f t="shared" si="33"/>
        <v>9.2145522615130517E-8</v>
      </c>
      <c r="AX374" s="5">
        <v>1</v>
      </c>
      <c r="AY374" s="5" t="e">
        <f t="shared" si="34"/>
        <v>#N/A</v>
      </c>
      <c r="AZ374" s="5" t="e">
        <f t="shared" si="35"/>
        <v>#N/A</v>
      </c>
      <c r="BA374" s="5">
        <f t="shared" si="36"/>
        <v>-0.66291717451970877</v>
      </c>
      <c r="BD374" s="5">
        <f t="shared" si="37"/>
        <v>1.7769169735212755</v>
      </c>
      <c r="BF374" s="58"/>
    </row>
    <row r="375" spans="48:58" ht="12" customHeight="1">
      <c r="AV375" s="5">
        <f t="shared" si="38"/>
        <v>-0.7920000000000349</v>
      </c>
      <c r="AW375" s="5">
        <f t="shared" si="33"/>
        <v>1.1225692547706063E-7</v>
      </c>
      <c r="AX375" s="5">
        <v>1</v>
      </c>
      <c r="AY375" s="5" t="e">
        <f t="shared" si="34"/>
        <v>#N/A</v>
      </c>
      <c r="AZ375" s="5" t="e">
        <f t="shared" si="35"/>
        <v>#N/A</v>
      </c>
      <c r="BA375" s="5">
        <f t="shared" si="36"/>
        <v>-0.65954053954496938</v>
      </c>
      <c r="BD375" s="5">
        <f t="shared" si="37"/>
        <v>1.7629091884735941</v>
      </c>
      <c r="BF375" s="58"/>
    </row>
    <row r="376" spans="48:58" ht="12" customHeight="1">
      <c r="AV376" s="5">
        <f t="shared" si="38"/>
        <v>-0.78600000000003489</v>
      </c>
      <c r="AW376" s="5">
        <f t="shared" si="33"/>
        <v>1.3662491827288483E-7</v>
      </c>
      <c r="AX376" s="5">
        <v>1</v>
      </c>
      <c r="AY376" s="5" t="e">
        <f t="shared" si="34"/>
        <v>#N/A</v>
      </c>
      <c r="AZ376" s="5" t="e">
        <f t="shared" si="35"/>
        <v>#N/A</v>
      </c>
      <c r="BA376" s="5">
        <f t="shared" si="36"/>
        <v>-0.65613707438679236</v>
      </c>
      <c r="BD376" s="5">
        <f t="shared" si="37"/>
        <v>1.7490832636674056</v>
      </c>
      <c r="BF376" s="58"/>
    </row>
    <row r="377" spans="48:58" ht="12" customHeight="1">
      <c r="AV377" s="5">
        <f t="shared" si="38"/>
        <v>-0.78000000000003489</v>
      </c>
      <c r="AW377" s="5">
        <f t="shared" si="33"/>
        <v>1.6612100606558465E-7</v>
      </c>
      <c r="AX377" s="5">
        <v>1</v>
      </c>
      <c r="AY377" s="5" t="e">
        <f t="shared" si="34"/>
        <v>#N/A</v>
      </c>
      <c r="AZ377" s="5" t="e">
        <f t="shared" si="35"/>
        <v>#N/A</v>
      </c>
      <c r="BA377" s="5">
        <f t="shared" si="36"/>
        <v>-0.65270670596200997</v>
      </c>
      <c r="BD377" s="5">
        <f t="shared" si="37"/>
        <v>1.7354372081456253</v>
      </c>
      <c r="BF377" s="58"/>
    </row>
    <row r="378" spans="48:58" ht="12" customHeight="1">
      <c r="AV378" s="5">
        <f t="shared" si="38"/>
        <v>-0.77400000000003488</v>
      </c>
      <c r="AW378" s="5">
        <f t="shared" si="33"/>
        <v>2.0178879915447461E-7</v>
      </c>
      <c r="AX378" s="5">
        <v>1</v>
      </c>
      <c r="AY378" s="5" t="e">
        <f t="shared" si="34"/>
        <v>#N/A</v>
      </c>
      <c r="AZ378" s="5" t="e">
        <f t="shared" si="35"/>
        <v>#N/A</v>
      </c>
      <c r="BA378" s="5">
        <f t="shared" si="36"/>
        <v>-0.64924936393209509</v>
      </c>
      <c r="BD378" s="5">
        <f t="shared" si="37"/>
        <v>1.7219690568526089</v>
      </c>
      <c r="BF378" s="58"/>
    </row>
    <row r="379" spans="48:58" ht="12" customHeight="1">
      <c r="AV379" s="5">
        <f t="shared" si="38"/>
        <v>-0.76800000000003488</v>
      </c>
      <c r="AW379" s="5">
        <f t="shared" si="33"/>
        <v>2.4487667791870175E-7</v>
      </c>
      <c r="AX379" s="5">
        <v>1</v>
      </c>
      <c r="AY379" s="5" t="e">
        <f t="shared" si="34"/>
        <v>#N/A</v>
      </c>
      <c r="AZ379" s="5" t="e">
        <f t="shared" si="35"/>
        <v>#N/A</v>
      </c>
      <c r="BA379" s="5">
        <f t="shared" si="36"/>
        <v>-0.64576498076265143</v>
      </c>
      <c r="BD379" s="5">
        <f t="shared" si="37"/>
        <v>1.7086768703512829</v>
      </c>
      <c r="BF379" s="58"/>
    </row>
    <row r="380" spans="48:58" ht="12" customHeight="1">
      <c r="AV380" s="5">
        <f t="shared" si="38"/>
        <v>-0.76200000000003487</v>
      </c>
      <c r="AW380" s="5">
        <f t="shared" si="33"/>
        <v>2.9687638946358529E-7</v>
      </c>
      <c r="AX380" s="5">
        <v>1</v>
      </c>
      <c r="AY380" s="5" t="e">
        <f t="shared" si="34"/>
        <v>#N/A</v>
      </c>
      <c r="AZ380" s="5" t="e">
        <f t="shared" si="35"/>
        <v>#N/A</v>
      </c>
      <c r="BA380" s="5">
        <f t="shared" si="36"/>
        <v>-0.64225349178301394</v>
      </c>
      <c r="BD380" s="5">
        <f t="shared" si="37"/>
        <v>1.6955587345440597</v>
      </c>
      <c r="BF380" s="58"/>
    </row>
    <row r="381" spans="48:58" ht="12" customHeight="1">
      <c r="AV381" s="5">
        <f t="shared" si="38"/>
        <v>-0.75600000000003487</v>
      </c>
      <c r="AW381" s="5">
        <f t="shared" si="33"/>
        <v>3.5956860080054755E-7</v>
      </c>
      <c r="AX381" s="5">
        <v>1</v>
      </c>
      <c r="AY381" s="5" t="e">
        <f t="shared" si="34"/>
        <v>#N/A</v>
      </c>
      <c r="AZ381" s="5" t="e">
        <f t="shared" si="35"/>
        <v>#N/A</v>
      </c>
      <c r="BA381" s="5">
        <f t="shared" si="36"/>
        <v>-0.63871483524593242</v>
      </c>
      <c r="BD381" s="5">
        <f t="shared" si="37"/>
        <v>1.682612760396363</v>
      </c>
      <c r="BF381" s="58"/>
    </row>
    <row r="382" spans="48:58" ht="12" customHeight="1">
      <c r="AV382" s="5">
        <f t="shared" si="38"/>
        <v>-0.75000000000003486</v>
      </c>
      <c r="AW382" s="5">
        <f t="shared" si="33"/>
        <v>4.3507660039972555E-7</v>
      </c>
      <c r="AX382" s="5">
        <v>1</v>
      </c>
      <c r="AY382" s="5" t="e">
        <f t="shared" si="34"/>
        <v>#N/A</v>
      </c>
      <c r="AZ382" s="5" t="e">
        <f t="shared" si="35"/>
        <v>#N/A</v>
      </c>
      <c r="BA382" s="5">
        <f t="shared" si="36"/>
        <v>-0.63514895238730806</v>
      </c>
      <c r="BD382" s="5">
        <f t="shared" si="37"/>
        <v>1.6698370836658529</v>
      </c>
      <c r="BF382" s="58"/>
    </row>
    <row r="383" spans="48:58" ht="12" customHeight="1">
      <c r="AV383" s="5">
        <f t="shared" si="38"/>
        <v>-0.74400000000003486</v>
      </c>
      <c r="AW383" s="5">
        <f t="shared" si="33"/>
        <v>5.2592953250974633E-7</v>
      </c>
      <c r="AX383" s="5">
        <v>1</v>
      </c>
      <c r="AY383" s="5" t="e">
        <f t="shared" si="34"/>
        <v>#N/A</v>
      </c>
      <c r="AZ383" s="5" t="e">
        <f t="shared" si="35"/>
        <v>#N/A</v>
      </c>
      <c r="BA383" s="5">
        <f t="shared" si="36"/>
        <v>-0.63155578748595853</v>
      </c>
      <c r="BD383" s="5">
        <f t="shared" si="37"/>
        <v>1.6572298646327455</v>
      </c>
      <c r="BF383" s="58"/>
    </row>
    <row r="384" spans="48:58" ht="12" customHeight="1">
      <c r="AV384" s="5">
        <f t="shared" si="38"/>
        <v>-0.73800000000003485</v>
      </c>
      <c r="AW384" s="5">
        <f t="shared" si="33"/>
        <v>6.3513677019978896E-7</v>
      </c>
      <c r="AX384" s="5">
        <v>1</v>
      </c>
      <c r="AY384" s="5" t="e">
        <f t="shared" si="34"/>
        <v>#N/A</v>
      </c>
      <c r="AZ384" s="5" t="e">
        <f t="shared" si="35"/>
        <v>#N/A</v>
      </c>
      <c r="BA384" s="5">
        <f t="shared" si="36"/>
        <v>-0.62793528792337694</v>
      </c>
      <c r="BD384" s="5">
        <f t="shared" si="37"/>
        <v>1.6447892878359684</v>
      </c>
      <c r="BF384" s="58"/>
    </row>
    <row r="385" spans="48:58" ht="12" customHeight="1">
      <c r="AV385" s="5">
        <f t="shared" si="38"/>
        <v>-0.73200000000003485</v>
      </c>
      <c r="AW385" s="5">
        <f t="shared" si="33"/>
        <v>7.6627528765019192E-7</v>
      </c>
      <c r="AX385" s="5">
        <v>1</v>
      </c>
      <c r="AY385" s="5" t="e">
        <f t="shared" si="34"/>
        <v>#N/A</v>
      </c>
      <c r="AZ385" s="5" t="e">
        <f t="shared" si="35"/>
        <v>#N/A</v>
      </c>
      <c r="BA385" s="5">
        <f t="shared" si="36"/>
        <v>-0.62428740424345941</v>
      </c>
      <c r="BD385" s="5">
        <f t="shared" si="37"/>
        <v>1.6325135618108031</v>
      </c>
      <c r="BF385" s="58"/>
    </row>
    <row r="386" spans="48:58" ht="12" customHeight="1">
      <c r="AV386" s="5">
        <f t="shared" si="38"/>
        <v>-0.72600000000003484</v>
      </c>
      <c r="AW386" s="5">
        <f t="shared" si="33"/>
        <v>9.2359218429363441E-7</v>
      </c>
      <c r="AX386" s="5">
        <v>1</v>
      </c>
      <c r="AY386" s="5" t="e">
        <f t="shared" si="34"/>
        <v>#N/A</v>
      </c>
      <c r="AZ386" s="5" t="e">
        <f t="shared" si="35"/>
        <v>#N/A</v>
      </c>
      <c r="BA386" s="5">
        <f t="shared" si="36"/>
        <v>-0.62061209021216601</v>
      </c>
      <c r="BD386" s="5">
        <f t="shared" si="37"/>
        <v>1.6204009188313986</v>
      </c>
      <c r="BF386" s="58"/>
    </row>
    <row r="387" spans="48:58" ht="12" customHeight="1">
      <c r="AV387" s="5">
        <f t="shared" si="38"/>
        <v>-0.72000000000003483</v>
      </c>
      <c r="AW387" s="5">
        <f t="shared" si="33"/>
        <v>1.1121248480292494E-6</v>
      </c>
      <c r="AX387" s="5">
        <v>1</v>
      </c>
      <c r="AY387" s="5" t="e">
        <f t="shared" si="34"/>
        <v>#N/A</v>
      </c>
      <c r="AZ387" s="5" t="e">
        <f t="shared" si="35"/>
        <v>#N/A</v>
      </c>
      <c r="BA387" s="5">
        <f t="shared" si="36"/>
        <v>-0.61690930287708656</v>
      </c>
      <c r="BD387" s="5">
        <f t="shared" si="37"/>
        <v>1.6084496146565519</v>
      </c>
      <c r="BF387" s="58"/>
    </row>
    <row r="388" spans="48:58" ht="12" customHeight="1">
      <c r="AV388" s="5">
        <f t="shared" si="38"/>
        <v>-0.71400000000003483</v>
      </c>
      <c r="AW388" s="5">
        <f t="shared" si="33"/>
        <v>1.3378416275294174E-6</v>
      </c>
      <c r="AX388" s="5">
        <v>1</v>
      </c>
      <c r="AY388" s="5" t="e">
        <f t="shared" si="34"/>
        <v>#N/A</v>
      </c>
      <c r="AZ388" s="5" t="e">
        <f t="shared" si="35"/>
        <v>#N/A</v>
      </c>
      <c r="BA388" s="5">
        <f t="shared" si="36"/>
        <v>-0.61317900262687874</v>
      </c>
      <c r="BD388" s="5">
        <f t="shared" si="37"/>
        <v>1.5966579282774143</v>
      </c>
      <c r="BF388" s="58"/>
    </row>
    <row r="389" spans="48:58" ht="12" customHeight="1">
      <c r="AV389" s="5">
        <f t="shared" si="38"/>
        <v>-0.70800000000003482</v>
      </c>
      <c r="AW389" s="5">
        <f t="shared" si="33"/>
        <v>1.6078063209250904E-6</v>
      </c>
      <c r="AX389" s="5">
        <v>1</v>
      </c>
      <c r="AY389" s="5" t="e">
        <f t="shared" si="34"/>
        <v>#N/A</v>
      </c>
      <c r="AZ389" s="5" t="e">
        <f t="shared" si="35"/>
        <v>#N/A</v>
      </c>
      <c r="BA389" s="5">
        <f t="shared" si="36"/>
        <v>-0.60942115325054225</v>
      </c>
      <c r="BD389" s="5">
        <f t="shared" si="37"/>
        <v>1.5850241616711864</v>
      </c>
      <c r="BF389" s="58"/>
    </row>
    <row r="390" spans="48:58" ht="12" customHeight="1">
      <c r="AV390" s="5">
        <f t="shared" si="38"/>
        <v>-0.70200000000003482</v>
      </c>
      <c r="AW390" s="5">
        <f t="shared" si="33"/>
        <v>1.9303702868926454E-6</v>
      </c>
      <c r="AX390" s="5">
        <v>1</v>
      </c>
      <c r="AY390" s="5" t="e">
        <f t="shared" si="34"/>
        <v>#N/A</v>
      </c>
      <c r="AZ390" s="5" t="e">
        <f t="shared" si="35"/>
        <v>#N/A</v>
      </c>
      <c r="BA390" s="5">
        <f t="shared" si="36"/>
        <v>-0.6056357219965014</v>
      </c>
      <c r="BD390" s="5">
        <f t="shared" si="37"/>
        <v>1.5735466395549549</v>
      </c>
      <c r="BF390" s="58"/>
    </row>
    <row r="391" spans="48:58" ht="12" customHeight="1">
      <c r="AV391" s="5">
        <f t="shared" si="38"/>
        <v>-0.69600000000003481</v>
      </c>
      <c r="AW391" s="5">
        <f t="shared" ref="AW391:AW454" si="39">$G$22*NORMDIST(AV391,$AW$3,$AW$4,FALSE)</f>
        <v>2.3153965521630929E-6</v>
      </c>
      <c r="AX391" s="5">
        <v>1</v>
      </c>
      <c r="AY391" s="5" t="e">
        <f t="shared" ref="AY391:AY454" si="40">IF($BF$2,AX391+AW391*$BC$2*BD391,NA())</f>
        <v>#N/A</v>
      </c>
      <c r="AZ391" s="5" t="e">
        <f t="shared" ref="AZ391:AZ454" si="41">IF($BF$2,AX391-AW391*$BC$2*BD391,NA())</f>
        <v>#N/A</v>
      </c>
      <c r="BA391" s="5">
        <f t="shared" ref="BA391:BA454" si="42">(EXP(2*AV391)-1)/(EXP(2*AV391)+1)</f>
        <v>-0.60182267963145464</v>
      </c>
      <c r="BD391" s="5">
        <f t="shared" ref="BD391:BD454" si="43">(AV391-AV392)/(BA391-BA392)</f>
        <v>1.5622237091460809</v>
      </c>
      <c r="BF391" s="58"/>
    </row>
    <row r="392" spans="48:58" ht="12" customHeight="1">
      <c r="AV392" s="5">
        <f t="shared" ref="AV392:AV455" si="44">AV391+$BC$4</f>
        <v>-0.69000000000003481</v>
      </c>
      <c r="AW392" s="5">
        <f t="shared" si="39"/>
        <v>2.7745209353651192E-6</v>
      </c>
      <c r="AX392" s="5">
        <v>1</v>
      </c>
      <c r="AY392" s="5" t="e">
        <f t="shared" si="40"/>
        <v>#N/A</v>
      </c>
      <c r="AZ392" s="5" t="e">
        <f t="shared" si="41"/>
        <v>#N/A</v>
      </c>
      <c r="BA392" s="5">
        <f t="shared" si="42"/>
        <v>-0.59798200049896366</v>
      </c>
      <c r="BD392" s="5">
        <f t="shared" si="43"/>
        <v>1.5510537399227577</v>
      </c>
      <c r="BF392" s="58"/>
    </row>
    <row r="393" spans="48:58" ht="12" customHeight="1">
      <c r="AV393" s="5">
        <f t="shared" si="44"/>
        <v>-0.6840000000000348</v>
      </c>
      <c r="AW393" s="5">
        <f t="shared" si="39"/>
        <v>3.3214559404580705E-6</v>
      </c>
      <c r="AX393" s="5">
        <v>1</v>
      </c>
      <c r="AY393" s="5" t="e">
        <f t="shared" si="40"/>
        <v>#N/A</v>
      </c>
      <c r="AZ393" s="5" t="e">
        <f t="shared" si="41"/>
        <v>#N/A</v>
      </c>
      <c r="BA393" s="5">
        <f t="shared" si="42"/>
        <v>-0.59411366257773934</v>
      </c>
      <c r="BD393" s="5">
        <f t="shared" si="43"/>
        <v>1.540035123390203</v>
      </c>
      <c r="BF393" s="58"/>
    </row>
    <row r="394" spans="48:58" ht="12" customHeight="1">
      <c r="AV394" s="5">
        <f t="shared" si="44"/>
        <v>-0.6780000000000348</v>
      </c>
      <c r="AW394" s="5">
        <f t="shared" si="39"/>
        <v>3.9723440043570778E-6</v>
      </c>
      <c r="AX394" s="5">
        <v>1</v>
      </c>
      <c r="AY394" s="5" t="e">
        <f t="shared" si="40"/>
        <v>#N/A</v>
      </c>
      <c r="AZ394" s="5" t="e">
        <f t="shared" si="41"/>
        <v>#N/A</v>
      </c>
      <c r="BA394" s="5">
        <f t="shared" si="42"/>
        <v>-0.59021764753959416</v>
      </c>
      <c r="BD394" s="5">
        <f t="shared" si="43"/>
        <v>1.5291662728486455</v>
      </c>
      <c r="BF394" s="58"/>
    </row>
    <row r="395" spans="48:58" ht="12" customHeight="1">
      <c r="AV395" s="5">
        <f t="shared" si="44"/>
        <v>-0.67200000000003479</v>
      </c>
      <c r="AW395" s="5">
        <f t="shared" si="39"/>
        <v>4.7461676243294169E-6</v>
      </c>
      <c r="AX395" s="5">
        <v>1</v>
      </c>
      <c r="AY395" s="5" t="e">
        <f t="shared" si="40"/>
        <v>#N/A</v>
      </c>
      <c r="AZ395" s="5" t="e">
        <f t="shared" si="41"/>
        <v>#N/A</v>
      </c>
      <c r="BA395" s="5">
        <f t="shared" si="42"/>
        <v>-0.58629394080702102</v>
      </c>
      <c r="BD395" s="5">
        <f t="shared" si="43"/>
        <v>1.518445623164659</v>
      </c>
      <c r="BF395" s="58"/>
    </row>
    <row r="396" spans="48:58" ht="12" customHeight="1">
      <c r="AV396" s="5">
        <f t="shared" si="44"/>
        <v>-0.66600000000003479</v>
      </c>
      <c r="AW396" s="5">
        <f t="shared" si="39"/>
        <v>5.6652249541166704E-6</v>
      </c>
      <c r="AX396" s="5">
        <v>1</v>
      </c>
      <c r="AY396" s="5" t="e">
        <f t="shared" si="40"/>
        <v>#N/A</v>
      </c>
      <c r="AZ396" s="5" t="e">
        <f t="shared" si="41"/>
        <v>#N/A</v>
      </c>
      <c r="BA396" s="5">
        <f t="shared" si="42"/>
        <v>-0.58234253161036165</v>
      </c>
      <c r="BD396" s="5">
        <f t="shared" si="43"/>
        <v>1.5078716305464726</v>
      </c>
      <c r="BF396" s="58"/>
    </row>
    <row r="397" spans="48:58" ht="12" customHeight="1">
      <c r="AV397" s="5">
        <f t="shared" si="44"/>
        <v>-0.66000000000003478</v>
      </c>
      <c r="AW397" s="5">
        <f t="shared" si="39"/>
        <v>6.755680657521093E-6</v>
      </c>
      <c r="AX397" s="5">
        <v>1</v>
      </c>
      <c r="AY397" s="5" t="e">
        <f t="shared" si="40"/>
        <v>#N/A</v>
      </c>
      <c r="AZ397" s="5" t="e">
        <f t="shared" si="41"/>
        <v>#N/A</v>
      </c>
      <c r="BA397" s="5">
        <f t="shared" si="42"/>
        <v>-0.57836341304452887</v>
      </c>
      <c r="BD397" s="5">
        <f t="shared" si="43"/>
        <v>1.497442772320557</v>
      </c>
      <c r="BF397" s="58"/>
    </row>
    <row r="398" spans="48:58" ht="12" customHeight="1">
      <c r="AV398" s="5">
        <f t="shared" si="44"/>
        <v>-0.65400000000003478</v>
      </c>
      <c r="AW398" s="5">
        <f t="shared" si="39"/>
        <v>8.0482031596886856E-6</v>
      </c>
      <c r="AX398" s="5">
        <v>1</v>
      </c>
      <c r="AY398" s="5" t="e">
        <f t="shared" si="40"/>
        <v>#N/A</v>
      </c>
      <c r="AZ398" s="5" t="e">
        <f t="shared" si="41"/>
        <v>#N/A</v>
      </c>
      <c r="BA398" s="5">
        <f t="shared" si="42"/>
        <v>-0.57435658212523977</v>
      </c>
      <c r="BD398" s="5">
        <f t="shared" si="43"/>
        <v>1.4871575467134655</v>
      </c>
      <c r="BF398" s="58"/>
    </row>
    <row r="399" spans="48:58" ht="12" customHeight="1">
      <c r="AV399" s="5">
        <f t="shared" si="44"/>
        <v>-0.64800000000003477</v>
      </c>
      <c r="AW399" s="5">
        <f t="shared" si="39"/>
        <v>9.5787009562335481E-6</v>
      </c>
      <c r="AX399" s="5">
        <v>1</v>
      </c>
      <c r="AY399" s="5" t="e">
        <f t="shared" si="40"/>
        <v>#N/A</v>
      </c>
      <c r="AZ399" s="5" t="e">
        <f t="shared" si="41"/>
        <v>#N/A</v>
      </c>
      <c r="BA399" s="5">
        <f t="shared" si="42"/>
        <v>-0.5703220398447264</v>
      </c>
      <c r="BD399" s="5">
        <f t="shared" si="43"/>
        <v>1.477014472634949</v>
      </c>
      <c r="BF399" s="58"/>
    </row>
    <row r="400" spans="48:58" ht="12" customHeight="1">
      <c r="AV400" s="5">
        <f t="shared" si="44"/>
        <v>-0.64200000000003477</v>
      </c>
      <c r="AW400" s="5">
        <f t="shared" si="39"/>
        <v>1.1389172346820045E-5</v>
      </c>
      <c r="AX400" s="5">
        <v>1</v>
      </c>
      <c r="AY400" s="5" t="e">
        <f t="shared" si="40"/>
        <v>#N/A</v>
      </c>
      <c r="AZ400" s="5" t="e">
        <f t="shared" si="41"/>
        <v>#N/A</v>
      </c>
      <c r="BA400" s="5">
        <f t="shared" si="42"/>
        <v>-0.5662597912268803</v>
      </c>
      <c r="BD400" s="5">
        <f t="shared" si="43"/>
        <v>1.4670120894646836</v>
      </c>
      <c r="BF400" s="58"/>
    </row>
    <row r="401" spans="48:58" ht="12" customHeight="1">
      <c r="AV401" s="5">
        <f t="shared" si="44"/>
        <v>-0.63600000000003476</v>
      </c>
      <c r="AW401" s="5">
        <f t="shared" si="39"/>
        <v>1.3528684872561508E-5</v>
      </c>
      <c r="AX401" s="5">
        <v>1</v>
      </c>
      <c r="AY401" s="5" t="e">
        <f t="shared" si="40"/>
        <v>#N/A</v>
      </c>
      <c r="AZ401" s="5" t="e">
        <f t="shared" si="41"/>
        <v>#N/A</v>
      </c>
      <c r="BA401" s="5">
        <f t="shared" si="42"/>
        <v>-0.56216984538179227</v>
      </c>
      <c r="BD401" s="5">
        <f t="shared" si="43"/>
        <v>1.4571489568423206</v>
      </c>
      <c r="BF401" s="58"/>
    </row>
    <row r="402" spans="48:58" ht="12" customHeight="1">
      <c r="AV402" s="5">
        <f t="shared" si="44"/>
        <v>-0.63000000000003475</v>
      </c>
      <c r="AW402" s="5">
        <f t="shared" si="39"/>
        <v>1.6054502876869235E-5</v>
      </c>
      <c r="AX402" s="5">
        <v>1</v>
      </c>
      <c r="AY402" s="5" t="e">
        <f t="shared" si="40"/>
        <v>#N/A</v>
      </c>
      <c r="AZ402" s="5" t="e">
        <f t="shared" si="41"/>
        <v>#N/A</v>
      </c>
      <c r="BA402" s="5">
        <f t="shared" si="42"/>
        <v>-0.55805221555964823</v>
      </c>
      <c r="BD402" s="5">
        <f t="shared" si="43"/>
        <v>1.4474236544597843</v>
      </c>
      <c r="BF402" s="58"/>
    </row>
    <row r="403" spans="48:58" ht="12" customHeight="1">
      <c r="AV403" s="5">
        <f t="shared" si="44"/>
        <v>-0.62400000000003475</v>
      </c>
      <c r="AW403" s="5">
        <f t="shared" si="39"/>
        <v>1.903338400016944E-5</v>
      </c>
      <c r="AX403" s="5">
        <v>1</v>
      </c>
      <c r="AY403" s="5" t="e">
        <f t="shared" si="40"/>
        <v>#N/A</v>
      </c>
      <c r="AZ403" s="5" t="e">
        <f t="shared" si="41"/>
        <v>#N/A</v>
      </c>
      <c r="BA403" s="5">
        <f t="shared" si="42"/>
        <v>-0.55390691920393864</v>
      </c>
      <c r="BD403" s="5">
        <f t="shared" si="43"/>
        <v>1.4378347818565183</v>
      </c>
      <c r="BF403" s="58"/>
    </row>
    <row r="404" spans="48:58" ht="12" customHeight="1">
      <c r="AV404" s="5">
        <f t="shared" si="44"/>
        <v>-0.61800000000003474</v>
      </c>
      <c r="AW404" s="5">
        <f t="shared" si="39"/>
        <v>2.2543068084811298E-5</v>
      </c>
      <c r="AX404" s="5">
        <v>1</v>
      </c>
      <c r="AY404" s="5" t="e">
        <f t="shared" si="40"/>
        <v>#N/A</v>
      </c>
      <c r="AZ404" s="5" t="e">
        <f t="shared" si="41"/>
        <v>#N/A</v>
      </c>
      <c r="BA404" s="5">
        <f t="shared" si="42"/>
        <v>-0.54973397800394008</v>
      </c>
      <c r="BD404" s="5">
        <f t="shared" si="43"/>
        <v>1.4283809582185296</v>
      </c>
      <c r="BF404" s="58"/>
    </row>
    <row r="405" spans="48:58" ht="12" customHeight="1">
      <c r="AV405" s="5">
        <f t="shared" si="44"/>
        <v>-0.61200000000003474</v>
      </c>
      <c r="AW405" s="5">
        <f t="shared" si="39"/>
        <v>2.6673984933948762E-5</v>
      </c>
      <c r="AX405" s="5">
        <v>1</v>
      </c>
      <c r="AY405" s="5" t="e">
        <f t="shared" si="40"/>
        <v>#N/A</v>
      </c>
      <c r="AZ405" s="5" t="e">
        <f t="shared" si="41"/>
        <v>#N/A</v>
      </c>
      <c r="BA405" s="5">
        <f t="shared" si="42"/>
        <v>-0.54553341794643051</v>
      </c>
      <c r="BD405" s="5">
        <f t="shared" si="43"/>
        <v>1.419060822178694</v>
      </c>
      <c r="BF405" s="58"/>
    </row>
    <row r="406" spans="48:58" ht="12" customHeight="1">
      <c r="AV406" s="5">
        <f t="shared" si="44"/>
        <v>-0.60600000000003473</v>
      </c>
      <c r="AW406" s="5">
        <f t="shared" si="39"/>
        <v>3.1531210665292414E-5</v>
      </c>
      <c r="AX406" s="5">
        <v>1</v>
      </c>
      <c r="AY406" s="5" t="e">
        <f t="shared" si="40"/>
        <v>#N/A</v>
      </c>
      <c r="AZ406" s="5" t="e">
        <f t="shared" si="41"/>
        <v>#N/A</v>
      </c>
      <c r="BA406" s="5">
        <f t="shared" si="42"/>
        <v>-0.54130526936659151</v>
      </c>
      <c r="BD406" s="5">
        <f t="shared" si="43"/>
        <v>1.4098730316214445</v>
      </c>
      <c r="BF406" s="58"/>
    </row>
    <row r="407" spans="48:58" ht="12" customHeight="1">
      <c r="AV407" s="5">
        <f t="shared" si="44"/>
        <v>-0.60000000000003473</v>
      </c>
      <c r="AW407" s="5">
        <f t="shared" si="39"/>
        <v>3.7236706057366457E-5</v>
      </c>
      <c r="AX407" s="5">
        <v>1</v>
      </c>
      <c r="AY407" s="5" t="e">
        <f t="shared" si="40"/>
        <v>#N/A</v>
      </c>
      <c r="AZ407" s="5" t="e">
        <f t="shared" si="41"/>
        <v>#N/A</v>
      </c>
      <c r="BA407" s="5">
        <f t="shared" si="42"/>
        <v>-0.53704956699806006</v>
      </c>
      <c r="BD407" s="5">
        <f t="shared" si="43"/>
        <v>1.4008162634888977</v>
      </c>
      <c r="BF407" s="58"/>
    </row>
    <row r="408" spans="48:58" ht="12" customHeight="1">
      <c r="AV408" s="5">
        <f t="shared" si="44"/>
        <v>-0.59400000000003472</v>
      </c>
      <c r="AW408" s="5">
        <f t="shared" si="39"/>
        <v>4.3931874333855747E-5</v>
      </c>
      <c r="AX408" s="5">
        <v>1</v>
      </c>
      <c r="AY408" s="5" t="e">
        <f t="shared" si="40"/>
        <v>#N/A</v>
      </c>
      <c r="AZ408" s="5" t="e">
        <f t="shared" si="41"/>
        <v>#N/A</v>
      </c>
      <c r="BA408" s="5">
        <f t="shared" si="42"/>
        <v>-0.53276635002208328</v>
      </c>
      <c r="BD408" s="5">
        <f t="shared" si="43"/>
        <v>1.391889213591023</v>
      </c>
      <c r="BF408" s="58"/>
    </row>
    <row r="409" spans="48:58" ht="12" customHeight="1">
      <c r="AV409" s="5">
        <f t="shared" si="44"/>
        <v>-0.58800000000003472</v>
      </c>
      <c r="AW409" s="5">
        <f t="shared" si="39"/>
        <v>5.1780480304214812E-5</v>
      </c>
      <c r="AX409" s="5">
        <v>1</v>
      </c>
      <c r="AY409" s="5" t="e">
        <f t="shared" si="40"/>
        <v>#N/A</v>
      </c>
      <c r="AZ409" s="5" t="e">
        <f t="shared" si="41"/>
        <v>#N/A</v>
      </c>
      <c r="BA409" s="5">
        <f t="shared" si="42"/>
        <v>-0.52845566211573747</v>
      </c>
      <c r="BD409" s="5">
        <f t="shared" si="43"/>
        <v>1.3830905964170248</v>
      </c>
      <c r="BF409" s="58"/>
    </row>
    <row r="410" spans="48:58" ht="12" customHeight="1">
      <c r="AV410" s="5">
        <f t="shared" si="44"/>
        <v>-0.58200000000003471</v>
      </c>
      <c r="AW410" s="5">
        <f t="shared" si="39"/>
        <v>6.0971977710817258E-5</v>
      </c>
      <c r="AX410" s="5">
        <v>1</v>
      </c>
      <c r="AY410" s="5" t="e">
        <f t="shared" si="40"/>
        <v>#N/A</v>
      </c>
      <c r="AZ410" s="5" t="e">
        <f t="shared" si="41"/>
        <v>#N/A</v>
      </c>
      <c r="BA410" s="5">
        <f t="shared" si="42"/>
        <v>-0.52411755149916373</v>
      </c>
      <c r="BD410" s="5">
        <f t="shared" si="43"/>
        <v>1.374419144950922</v>
      </c>
      <c r="BF410" s="58"/>
    </row>
    <row r="411" spans="48:58" ht="12" customHeight="1">
      <c r="AV411" s="5">
        <f t="shared" si="44"/>
        <v>-0.57600000000003471</v>
      </c>
      <c r="AW411" s="5">
        <f t="shared" si="39"/>
        <v>7.1725297061123525E-5</v>
      </c>
      <c r="AX411" s="5">
        <v>1</v>
      </c>
      <c r="AY411" s="5" t="e">
        <f t="shared" si="40"/>
        <v>#N/A</v>
      </c>
      <c r="AZ411" s="5" t="e">
        <f t="shared" si="41"/>
        <v>#N/A</v>
      </c>
      <c r="BA411" s="5">
        <f t="shared" si="42"/>
        <v>-0.51975207098178178</v>
      </c>
      <c r="BD411" s="5">
        <f t="shared" si="43"/>
        <v>1.3658736104886644</v>
      </c>
      <c r="BF411" s="58"/>
    </row>
    <row r="412" spans="48:58" ht="12" customHeight="1">
      <c r="AV412" s="5">
        <f t="shared" si="44"/>
        <v>-0.5700000000000347</v>
      </c>
      <c r="AW412" s="5">
        <f t="shared" si="39"/>
        <v>8.4293152185365764E-5</v>
      </c>
      <c r="AX412" s="5">
        <v>1</v>
      </c>
      <c r="AY412" s="5" t="e">
        <f t="shared" si="40"/>
        <v>#N/A</v>
      </c>
      <c r="AZ412" s="5" t="e">
        <f t="shared" si="41"/>
        <v>#N/A</v>
      </c>
      <c r="BA412" s="5">
        <f t="shared" si="42"/>
        <v>-0.5153592780074352</v>
      </c>
      <c r="BD412" s="5">
        <f t="shared" si="43"/>
        <v>1.3574527624585562</v>
      </c>
      <c r="BF412" s="58"/>
    </row>
    <row r="413" spans="48:58" ht="12" customHeight="1">
      <c r="AV413" s="5">
        <f t="shared" si="44"/>
        <v>-0.5640000000000347</v>
      </c>
      <c r="AW413" s="5">
        <f t="shared" si="39"/>
        <v>9.8966930295196008E-5</v>
      </c>
      <c r="AX413" s="5">
        <v>1</v>
      </c>
      <c r="AY413" s="5" t="e">
        <f t="shared" si="40"/>
        <v>#N/A</v>
      </c>
      <c r="AZ413" s="5" t="e">
        <f t="shared" si="41"/>
        <v>#N/A</v>
      </c>
      <c r="BA413" s="5">
        <f t="shared" si="42"/>
        <v>-0.51093923469842673</v>
      </c>
      <c r="BD413" s="5">
        <f t="shared" si="43"/>
        <v>1.3491553882439127</v>
      </c>
      <c r="BF413" s="58"/>
    </row>
    <row r="414" spans="48:58" ht="12" customHeight="1">
      <c r="AV414" s="5">
        <f t="shared" si="44"/>
        <v>-0.55800000000003469</v>
      </c>
      <c r="AW414" s="5">
        <f t="shared" si="39"/>
        <v>1.160822374664466E-4</v>
      </c>
      <c r="AX414" s="5">
        <v>1</v>
      </c>
      <c r="AY414" s="5" t="e">
        <f t="shared" si="40"/>
        <v>#N/A</v>
      </c>
      <c r="AZ414" s="5" t="e">
        <f t="shared" si="41"/>
        <v>#N/A</v>
      </c>
      <c r="BA414" s="5">
        <f t="shared" si="42"/>
        <v>-0.5064920078983991</v>
      </c>
      <c r="BD414" s="5">
        <f t="shared" si="43"/>
        <v>1.3409802930085337</v>
      </c>
      <c r="BF414" s="58"/>
    </row>
    <row r="415" spans="48:58" ht="12" customHeight="1">
      <c r="AV415" s="5">
        <f t="shared" si="44"/>
        <v>-0.55200000000003469</v>
      </c>
      <c r="AW415" s="5">
        <f t="shared" si="39"/>
        <v>1.3602517927020633E-4</v>
      </c>
      <c r="AX415" s="5">
        <v>1</v>
      </c>
      <c r="AY415" s="5" t="e">
        <f t="shared" si="40"/>
        <v>#N/A</v>
      </c>
      <c r="AZ415" s="5" t="e">
        <f t="shared" si="41"/>
        <v>#N/A</v>
      </c>
      <c r="BA415" s="5">
        <f t="shared" si="42"/>
        <v>-0.50201766921401858</v>
      </c>
      <c r="BD415" s="5">
        <f t="shared" si="43"/>
        <v>1.3329262995245479</v>
      </c>
      <c r="BF415" s="58"/>
    </row>
    <row r="416" spans="48:58" ht="12" customHeight="1">
      <c r="AV416" s="5">
        <f t="shared" si="44"/>
        <v>-0.54600000000003468</v>
      </c>
      <c r="AW416" s="5">
        <f t="shared" si="39"/>
        <v>1.5923946477159481E-4</v>
      </c>
      <c r="AX416" s="5">
        <v>1</v>
      </c>
      <c r="AY416" s="5" t="e">
        <f t="shared" si="40"/>
        <v>#N/A</v>
      </c>
      <c r="AZ416" s="5" t="e">
        <f t="shared" si="41"/>
        <v>#N/A</v>
      </c>
      <c r="BA416" s="5">
        <f t="shared" si="42"/>
        <v>-0.49751629505541717</v>
      </c>
      <c r="BD416" s="5">
        <f t="shared" si="43"/>
        <v>1.3249922480029463</v>
      </c>
      <c r="BF416" s="58"/>
    </row>
    <row r="417" spans="48:58" ht="12" customHeight="1">
      <c r="AV417" s="5">
        <f t="shared" si="44"/>
        <v>-0.54000000000003467</v>
      </c>
      <c r="AW417" s="5">
        <f t="shared" si="39"/>
        <v>1.8623443134556129E-4</v>
      </c>
      <c r="AX417" s="5">
        <v>1</v>
      </c>
      <c r="AY417" s="5" t="e">
        <f t="shared" si="40"/>
        <v>#N/A</v>
      </c>
      <c r="AZ417" s="5" t="e">
        <f t="shared" si="41"/>
        <v>#N/A</v>
      </c>
      <c r="BA417" s="5">
        <f t="shared" si="42"/>
        <v>-0.49298796667535055</v>
      </c>
      <c r="BD417" s="5">
        <f t="shared" si="43"/>
        <v>1.3171769959267259</v>
      </c>
      <c r="BF417" s="58"/>
    </row>
    <row r="418" spans="48:58" ht="12" customHeight="1">
      <c r="AV418" s="5">
        <f t="shared" si="44"/>
        <v>-0.53400000000003467</v>
      </c>
      <c r="AW418" s="5">
        <f t="shared" si="39"/>
        <v>2.1759409776370638E-4</v>
      </c>
      <c r="AX418" s="5">
        <v>1</v>
      </c>
      <c r="AY418" s="5" t="e">
        <f t="shared" si="40"/>
        <v>#N/A</v>
      </c>
      <c r="AZ418" s="5" t="e">
        <f t="shared" si="41"/>
        <v>#N/A</v>
      </c>
      <c r="BA418" s="5">
        <f t="shared" si="42"/>
        <v>-0.48843277020702885</v>
      </c>
      <c r="BD418" s="5">
        <f t="shared" si="43"/>
        <v>1.309479417885931</v>
      </c>
      <c r="BF418" s="58"/>
    </row>
    <row r="419" spans="48:58" ht="12" customHeight="1">
      <c r="AV419" s="5">
        <f t="shared" si="44"/>
        <v>-0.52800000000003466</v>
      </c>
      <c r="AW419" s="5">
        <f t="shared" si="39"/>
        <v>2.5398736382425323E-4</v>
      </c>
      <c r="AX419" s="5">
        <v>1</v>
      </c>
      <c r="AY419" s="5" t="e">
        <f t="shared" si="40"/>
        <v>#N/A</v>
      </c>
      <c r="AZ419" s="5" t="e">
        <f t="shared" si="41"/>
        <v>#N/A</v>
      </c>
      <c r="BA419" s="5">
        <f t="shared" si="42"/>
        <v>-0.48385079670057496</v>
      </c>
      <c r="BD419" s="5">
        <f t="shared" si="43"/>
        <v>1.3018984054161269</v>
      </c>
      <c r="BF419" s="58"/>
    </row>
    <row r="420" spans="48:58" ht="12" customHeight="1">
      <c r="AV420" s="5">
        <f t="shared" si="44"/>
        <v>-0.52200000000003466</v>
      </c>
      <c r="AW420" s="5">
        <f t="shared" si="39"/>
        <v>2.9617948646568006E-4</v>
      </c>
      <c r="AX420" s="5">
        <v>1</v>
      </c>
      <c r="AY420" s="5" t="e">
        <f t="shared" si="40"/>
        <v>#N/A</v>
      </c>
      <c r="AZ420" s="5" t="e">
        <f t="shared" si="41"/>
        <v>#N/A</v>
      </c>
      <c r="BA420" s="5">
        <f t="shared" si="42"/>
        <v>-0.47924214215807076</v>
      </c>
      <c r="BD420" s="5">
        <f t="shared" si="43"/>
        <v>1.2944328668383809</v>
      </c>
      <c r="BF420" s="58"/>
    </row>
    <row r="421" spans="48:58" ht="12" customHeight="1">
      <c r="AV421" s="5">
        <f t="shared" si="44"/>
        <v>-0.51600000000003465</v>
      </c>
      <c r="AW421" s="5">
        <f t="shared" si="39"/>
        <v>3.4504497485735199E-4</v>
      </c>
      <c r="AX421" s="5">
        <v>1</v>
      </c>
      <c r="AY421" s="5" t="e">
        <f t="shared" si="40"/>
        <v>#N/A</v>
      </c>
      <c r="AZ421" s="5" t="e">
        <f t="shared" si="41"/>
        <v>#N/A</v>
      </c>
      <c r="BA421" s="5">
        <f t="shared" si="42"/>
        <v>-0.47460690756714535</v>
      </c>
      <c r="BD421" s="5">
        <f t="shared" si="43"/>
        <v>1.2870817271022488</v>
      </c>
      <c r="BF421" s="58"/>
    </row>
    <row r="422" spans="48:58" ht="12" customHeight="1">
      <c r="AV422" s="5">
        <f t="shared" si="44"/>
        <v>-0.51000000000003465</v>
      </c>
      <c r="AW422" s="5">
        <f t="shared" si="39"/>
        <v>4.0158206042838223E-4</v>
      </c>
      <c r="AX422" s="5">
        <v>1</v>
      </c>
      <c r="AY422" s="5" t="e">
        <f t="shared" si="40"/>
        <v>#N/A</v>
      </c>
      <c r="AZ422" s="5" t="e">
        <f t="shared" si="41"/>
        <v>#N/A</v>
      </c>
      <c r="BA422" s="5">
        <f t="shared" si="42"/>
        <v>-0.46994519893306469</v>
      </c>
      <c r="BD422" s="5">
        <f t="shared" si="43"/>
        <v>1.2798439276308522</v>
      </c>
      <c r="BF422" s="58"/>
    </row>
    <row r="423" spans="48:58" ht="12" customHeight="1">
      <c r="AV423" s="5">
        <f t="shared" si="44"/>
        <v>-0.50400000000003464</v>
      </c>
      <c r="AW423" s="5">
        <f t="shared" si="39"/>
        <v>4.6692891220513052E-4</v>
      </c>
      <c r="AX423" s="5">
        <v>1</v>
      </c>
      <c r="AY423" s="5" t="e">
        <f t="shared" si="40"/>
        <v>#N/A</v>
      </c>
      <c r="AZ423" s="5" t="e">
        <f t="shared" si="41"/>
        <v>#N/A</v>
      </c>
      <c r="BA423" s="5">
        <f t="shared" si="42"/>
        <v>-0.46525712730927948</v>
      </c>
      <c r="BD423" s="5">
        <f t="shared" si="43"/>
        <v>1.2727184261685793</v>
      </c>
      <c r="BF423" s="58"/>
    </row>
    <row r="424" spans="48:58" ht="12" customHeight="1">
      <c r="AV424" s="5">
        <f t="shared" si="44"/>
        <v>-0.49800000000003464</v>
      </c>
      <c r="AW424" s="5">
        <f t="shared" si="39"/>
        <v>5.4238178319891814E-4</v>
      </c>
      <c r="AX424" s="5">
        <v>1</v>
      </c>
      <c r="AY424" s="5" t="e">
        <f t="shared" si="40"/>
        <v>#N/A</v>
      </c>
      <c r="AZ424" s="5" t="e">
        <f t="shared" si="41"/>
        <v>#N/A</v>
      </c>
      <c r="BA424" s="5">
        <f t="shared" si="42"/>
        <v>-0.46054280882639043</v>
      </c>
      <c r="BD424" s="5">
        <f t="shared" si="43"/>
        <v>1.2657041966310478</v>
      </c>
      <c r="BF424" s="58"/>
    </row>
    <row r="425" spans="48:58" ht="12" customHeight="1">
      <c r="AV425" s="5">
        <f t="shared" si="44"/>
        <v>-0.49200000000003463</v>
      </c>
      <c r="AW425" s="5">
        <f t="shared" si="39"/>
        <v>6.2941528993275058E-4</v>
      </c>
      <c r="AX425" s="5">
        <v>1</v>
      </c>
      <c r="AY425" s="5" t="e">
        <f t="shared" si="40"/>
        <v>#N/A</v>
      </c>
      <c r="AZ425" s="5" t="e">
        <f t="shared" si="41"/>
        <v>#N/A</v>
      </c>
      <c r="BA425" s="5">
        <f t="shared" si="42"/>
        <v>-0.45580236471948904</v>
      </c>
      <c r="BD425" s="5">
        <f t="shared" si="43"/>
        <v>1.2588002289568456</v>
      </c>
      <c r="BF425" s="58"/>
    </row>
    <row r="426" spans="48:58" ht="12" customHeight="1">
      <c r="AV426" s="5">
        <f t="shared" si="44"/>
        <v>-0.48600000000003463</v>
      </c>
      <c r="AW426" s="5">
        <f t="shared" si="39"/>
        <v>7.2970504452520501E-4</v>
      </c>
      <c r="AX426" s="5">
        <v>1</v>
      </c>
      <c r="AY426" s="5" t="e">
        <f t="shared" si="40"/>
        <v>#N/A</v>
      </c>
      <c r="AZ426" s="5" t="e">
        <f t="shared" si="41"/>
        <v>#N/A</v>
      </c>
      <c r="BA426" s="5">
        <f t="shared" si="42"/>
        <v>-0.45103592135383114</v>
      </c>
      <c r="BD426" s="5">
        <f t="shared" si="43"/>
        <v>1.25200552896289</v>
      </c>
      <c r="BF426" s="58"/>
    </row>
    <row r="427" spans="48:58" ht="12" customHeight="1">
      <c r="AV427" s="5">
        <f t="shared" si="44"/>
        <v>-0.48000000000003462</v>
      </c>
      <c r="AW427" s="5">
        <f t="shared" si="39"/>
        <v>8.4515287705808767E-4</v>
      </c>
      <c r="AX427" s="5">
        <v>1</v>
      </c>
      <c r="AY427" s="5" t="e">
        <f t="shared" si="40"/>
        <v>#N/A</v>
      </c>
      <c r="AZ427" s="5" t="e">
        <f t="shared" si="41"/>
        <v>#N/A</v>
      </c>
      <c r="BA427" s="5">
        <f t="shared" si="42"/>
        <v>-0.44624361024880738</v>
      </c>
      <c r="BD427" s="5">
        <f t="shared" si="43"/>
        <v>1.245319118200547</v>
      </c>
      <c r="BF427" s="58"/>
    </row>
    <row r="428" spans="48:58" ht="12" customHeight="1">
      <c r="AV428" s="5">
        <f t="shared" si="44"/>
        <v>-0.47400000000003462</v>
      </c>
      <c r="AW428" s="5">
        <f t="shared" si="39"/>
        <v>9.7791490522794585E-4</v>
      </c>
      <c r="AX428" s="5">
        <v>1</v>
      </c>
      <c r="AY428" s="5" t="e">
        <f t="shared" si="40"/>
        <v>#N/A</v>
      </c>
      <c r="AZ428" s="5" t="e">
        <f t="shared" si="41"/>
        <v>#N/A</v>
      </c>
      <c r="BA428" s="5">
        <f t="shared" si="42"/>
        <v>-0.44142556810016531</v>
      </c>
      <c r="BD428" s="5">
        <f t="shared" si="43"/>
        <v>1.2387400338151322</v>
      </c>
      <c r="BF428" s="58"/>
    </row>
    <row r="429" spans="48:58" ht="12" customHeight="1">
      <c r="AV429" s="5">
        <f t="shared" si="44"/>
        <v>-0.46800000000003461</v>
      </c>
      <c r="AW429" s="5">
        <f t="shared" si="39"/>
        <v>1.1304327284939438E-3</v>
      </c>
      <c r="AX429" s="5">
        <v>1</v>
      </c>
      <c r="AY429" s="5" t="e">
        <f t="shared" si="40"/>
        <v>#N/A</v>
      </c>
      <c r="AZ429" s="5" t="e">
        <f t="shared" si="41"/>
        <v>#N/A</v>
      </c>
      <c r="BA429" s="5">
        <f t="shared" si="42"/>
        <v>-0.43658193680044788</v>
      </c>
      <c r="BD429" s="5">
        <f t="shared" si="43"/>
        <v>1.2322673284071026</v>
      </c>
      <c r="BF429" s="58"/>
    </row>
    <row r="430" spans="48:58" ht="12" customHeight="1">
      <c r="AV430" s="5">
        <f t="shared" si="44"/>
        <v>-0.46200000000003461</v>
      </c>
      <c r="AW430" s="5">
        <f t="shared" si="39"/>
        <v>1.3054680450455102E-3</v>
      </c>
      <c r="AX430" s="5">
        <v>1</v>
      </c>
      <c r="AY430" s="5" t="e">
        <f t="shared" si="40"/>
        <v>#N/A</v>
      </c>
      <c r="AZ430" s="5" t="e">
        <f t="shared" si="41"/>
        <v>#N/A</v>
      </c>
      <c r="BA430" s="5">
        <f t="shared" si="42"/>
        <v>-0.43171286345760762</v>
      </c>
      <c r="BD430" s="5">
        <f t="shared" si="43"/>
        <v>1.2259000698957705</v>
      </c>
      <c r="BF430" s="58"/>
    </row>
    <row r="431" spans="48:58" ht="12" customHeight="1">
      <c r="AV431" s="5">
        <f t="shared" si="44"/>
        <v>-0.4560000000000346</v>
      </c>
      <c r="AW431" s="5">
        <f t="shared" si="39"/>
        <v>1.5061410118665712E-3</v>
      </c>
      <c r="AX431" s="5">
        <v>1</v>
      </c>
      <c r="AY431" s="5" t="e">
        <f t="shared" si="40"/>
        <v>#N/A</v>
      </c>
      <c r="AZ431" s="5" t="e">
        <f t="shared" si="41"/>
        <v>#N/A</v>
      </c>
      <c r="BA431" s="5">
        <f t="shared" si="42"/>
        <v>-0.42681850041175989</v>
      </c>
      <c r="BD431" s="5">
        <f t="shared" si="43"/>
        <v>1.2196373413848158</v>
      </c>
      <c r="BF431" s="58"/>
    </row>
    <row r="432" spans="48:58" ht="12" customHeight="1">
      <c r="AV432" s="5">
        <f t="shared" si="44"/>
        <v>-0.45000000000003459</v>
      </c>
      <c r="AW432" s="5">
        <f t="shared" si="39"/>
        <v>1.7359726908952092E-3</v>
      </c>
      <c r="AX432" s="5">
        <v>1</v>
      </c>
      <c r="AY432" s="5" t="e">
        <f t="shared" si="40"/>
        <v>#N/A</v>
      </c>
      <c r="AZ432" s="5" t="e">
        <f t="shared" si="41"/>
        <v>#N/A</v>
      </c>
      <c r="BA432" s="5">
        <f t="shared" si="42"/>
        <v>-0.42189900525003632</v>
      </c>
      <c r="BD432" s="5">
        <f t="shared" si="43"/>
        <v>1.2134782410305918</v>
      </c>
      <c r="BF432" s="58"/>
    </row>
    <row r="433" spans="48:58" ht="12" customHeight="1">
      <c r="AV433" s="5">
        <f t="shared" si="44"/>
        <v>-0.44400000000003459</v>
      </c>
      <c r="AW433" s="5">
        <f t="shared" si="39"/>
        <v>1.9989319476749184E-3</v>
      </c>
      <c r="AX433" s="5">
        <v>1</v>
      </c>
      <c r="AY433" s="5" t="e">
        <f t="shared" si="40"/>
        <v>#N/A</v>
      </c>
      <c r="AZ433" s="5" t="e">
        <f t="shared" si="41"/>
        <v>#N/A</v>
      </c>
      <c r="BA433" s="5">
        <f t="shared" si="42"/>
        <v>-0.41695454081950456</v>
      </c>
      <c r="BD433" s="5">
        <f t="shared" si="43"/>
        <v>1.2074218819119025</v>
      </c>
      <c r="BF433" s="58"/>
    </row>
    <row r="434" spans="48:58" ht="12" customHeight="1">
      <c r="AV434" s="5">
        <f t="shared" si="44"/>
        <v>-0.43800000000003458</v>
      </c>
      <c r="AW434" s="5">
        <f t="shared" si="39"/>
        <v>2.2994871928512456E-3</v>
      </c>
      <c r="AX434" s="5">
        <v>1</v>
      </c>
      <c r="AY434" s="5" t="e">
        <f t="shared" si="40"/>
        <v>#N/A</v>
      </c>
      <c r="AZ434" s="5" t="e">
        <f t="shared" si="41"/>
        <v>#N/A</v>
      </c>
      <c r="BA434" s="5">
        <f t="shared" si="42"/>
        <v>-0.41198527523811618</v>
      </c>
      <c r="BD434" s="5">
        <f t="shared" si="43"/>
        <v>1.201467391902717</v>
      </c>
      <c r="BF434" s="58"/>
    </row>
    <row r="435" spans="48:58" ht="12" customHeight="1">
      <c r="AV435" s="5">
        <f t="shared" si="44"/>
        <v>-0.43200000000003458</v>
      </c>
      <c r="AW435" s="5">
        <f t="shared" si="39"/>
        <v>2.6426633812468652E-3</v>
      </c>
      <c r="AX435" s="5">
        <v>1</v>
      </c>
      <c r="AY435" s="5" t="e">
        <f t="shared" si="40"/>
        <v>#N/A</v>
      </c>
      <c r="AZ435" s="5" t="e">
        <f t="shared" si="41"/>
        <v>#N/A</v>
      </c>
      <c r="BA435" s="5">
        <f t="shared" si="42"/>
        <v>-0.40699138190365119</v>
      </c>
      <c r="BD435" s="5">
        <f t="shared" si="43"/>
        <v>1.1956139135459982</v>
      </c>
      <c r="BF435" s="58"/>
    </row>
    <row r="436" spans="48:58" ht="12" customHeight="1">
      <c r="AV436" s="5">
        <f t="shared" si="44"/>
        <v>-0.42600000000003457</v>
      </c>
      <c r="AW436" s="5">
        <f t="shared" si="39"/>
        <v>3.0341047078846933E-3</v>
      </c>
      <c r="AX436" s="5">
        <v>1</v>
      </c>
      <c r="AY436" s="5" t="e">
        <f t="shared" si="40"/>
        <v>#N/A</v>
      </c>
      <c r="AZ436" s="5" t="e">
        <f t="shared" si="41"/>
        <v>#N/A</v>
      </c>
      <c r="BA436" s="5">
        <f t="shared" si="42"/>
        <v>-0.40197303950062163</v>
      </c>
      <c r="BD436" s="5">
        <f t="shared" si="43"/>
        <v>1.189860603930897</v>
      </c>
      <c r="BF436" s="58"/>
    </row>
    <row r="437" spans="48:58" ht="12" customHeight="1">
      <c r="AV437" s="5">
        <f t="shared" si="44"/>
        <v>-0.42000000000003457</v>
      </c>
      <c r="AW437" s="5">
        <f t="shared" si="39"/>
        <v>3.4801434650305533E-3</v>
      </c>
      <c r="AX437" s="5">
        <v>1</v>
      </c>
      <c r="AY437" s="5" t="e">
        <f t="shared" si="40"/>
        <v>#N/A</v>
      </c>
      <c r="AZ437" s="5" t="e">
        <f t="shared" si="41"/>
        <v>#N/A</v>
      </c>
      <c r="BA437" s="5">
        <f t="shared" si="42"/>
        <v>-0.39693043200510658</v>
      </c>
      <c r="BD437" s="5">
        <f t="shared" si="43"/>
        <v>1.1842066345708935</v>
      </c>
      <c r="BF437" s="58"/>
    </row>
    <row r="438" spans="48:58" ht="12" customHeight="1">
      <c r="AV438" s="5">
        <f t="shared" si="44"/>
        <v>-0.41400000000003456</v>
      </c>
      <c r="AW438" s="5">
        <f t="shared" si="39"/>
        <v>3.9878755488721423E-3</v>
      </c>
      <c r="AX438" s="5">
        <v>1</v>
      </c>
      <c r="AY438" s="5" t="e">
        <f t="shared" si="40"/>
        <v>#N/A</v>
      </c>
      <c r="AZ438" s="5" t="e">
        <f t="shared" si="41"/>
        <v>#N/A</v>
      </c>
      <c r="BA438" s="5">
        <f t="shared" si="42"/>
        <v>-0.39186374868748258</v>
      </c>
      <c r="BD438" s="5">
        <f t="shared" si="43"/>
        <v>1.1786511912844793</v>
      </c>
      <c r="BF438" s="58"/>
    </row>
    <row r="439" spans="48:58" ht="12" customHeight="1">
      <c r="AV439" s="5">
        <f t="shared" si="44"/>
        <v>-0.40800000000003456</v>
      </c>
      <c r="AW439" s="5">
        <f t="shared" si="39"/>
        <v>4.5652431285865209E-3</v>
      </c>
      <c r="AX439" s="5">
        <v>1</v>
      </c>
      <c r="AY439" s="5" t="e">
        <f t="shared" si="40"/>
        <v>#N/A</v>
      </c>
      <c r="AZ439" s="5" t="e">
        <f t="shared" si="41"/>
        <v>#N/A</v>
      </c>
      <c r="BA439" s="5">
        <f t="shared" si="42"/>
        <v>-0.38677318411302075</v>
      </c>
      <c r="BD439" s="5">
        <f t="shared" si="43"/>
        <v>1.1731934740783785</v>
      </c>
      <c r="BF439" s="58"/>
    </row>
    <row r="440" spans="48:58" ht="12" customHeight="1">
      <c r="AV440" s="5">
        <f t="shared" si="44"/>
        <v>-0.40200000000003455</v>
      </c>
      <c r="AW440" s="5">
        <f t="shared" si="39"/>
        <v>5.2211250139863937E-3</v>
      </c>
      <c r="AX440" s="5">
        <v>1</v>
      </c>
      <c r="AY440" s="5" t="e">
        <f t="shared" si="40"/>
        <v>#N/A</v>
      </c>
      <c r="AZ440" s="5" t="e">
        <f t="shared" si="41"/>
        <v>#N/A</v>
      </c>
      <c r="BA440" s="5">
        <f t="shared" si="42"/>
        <v>-0.38165893814032353</v>
      </c>
      <c r="BD440" s="5">
        <f t="shared" si="43"/>
        <v>1.1678326970317665</v>
      </c>
      <c r="BF440" s="58"/>
    </row>
    <row r="441" spans="48:58" ht="12" customHeight="1">
      <c r="AV441" s="5">
        <f t="shared" si="44"/>
        <v>-0.39600000000003455</v>
      </c>
      <c r="AW441" s="5">
        <f t="shared" si="39"/>
        <v>5.9654352803545328E-3</v>
      </c>
      <c r="AX441" s="5">
        <v>1</v>
      </c>
      <c r="AY441" s="5" t="e">
        <f t="shared" si="40"/>
        <v>#N/A</v>
      </c>
      <c r="AZ441" s="5" t="e">
        <f t="shared" si="41"/>
        <v>#N/A</v>
      </c>
      <c r="BA441" s="5">
        <f t="shared" si="42"/>
        <v>-0.37652121591756854</v>
      </c>
      <c r="BD441" s="5">
        <f t="shared" si="43"/>
        <v>1.1625680881836109</v>
      </c>
      <c r="BF441" s="58"/>
    </row>
    <row r="442" spans="48:58" ht="12" customHeight="1">
      <c r="AV442" s="5">
        <f t="shared" si="44"/>
        <v>-0.39000000000003454</v>
      </c>
      <c r="AW442" s="5">
        <f t="shared" si="39"/>
        <v>6.809230730116223E-3</v>
      </c>
      <c r="AX442" s="5">
        <v>1</v>
      </c>
      <c r="AY442" s="5" t="e">
        <f t="shared" si="40"/>
        <v>#N/A</v>
      </c>
      <c r="AZ442" s="5" t="e">
        <f t="shared" si="41"/>
        <v>#N/A</v>
      </c>
      <c r="BA442" s="5">
        <f t="shared" si="42"/>
        <v>-0.37136022787653744</v>
      </c>
      <c r="BD442" s="5">
        <f t="shared" si="43"/>
        <v>1.157398889421013</v>
      </c>
      <c r="BF442" s="58"/>
    </row>
    <row r="443" spans="48:58" ht="12" customHeight="1">
      <c r="AV443" s="5">
        <f t="shared" si="44"/>
        <v>-0.38400000000003454</v>
      </c>
      <c r="AW443" s="5">
        <f t="shared" si="39"/>
        <v>7.7648277902652293E-3</v>
      </c>
      <c r="AX443" s="5">
        <v>1</v>
      </c>
      <c r="AY443" s="5" t="e">
        <f t="shared" si="40"/>
        <v>#N/A</v>
      </c>
      <c r="AZ443" s="5" t="e">
        <f t="shared" si="41"/>
        <v>#N/A</v>
      </c>
      <c r="BA443" s="5">
        <f t="shared" si="42"/>
        <v>-0.36617618972440003</v>
      </c>
      <c r="BD443" s="5">
        <f t="shared" si="43"/>
        <v>1.1523243563704959</v>
      </c>
      <c r="BF443" s="58"/>
    </row>
    <row r="444" spans="48:58" ht="12" customHeight="1">
      <c r="AV444" s="5">
        <f t="shared" si="44"/>
        <v>-0.37800000000003453</v>
      </c>
      <c r="AW444" s="5">
        <f t="shared" si="39"/>
        <v>8.8459294615127037E-3</v>
      </c>
      <c r="AX444" s="5">
        <v>1</v>
      </c>
      <c r="AY444" s="5" t="e">
        <f t="shared" si="40"/>
        <v>#N/A</v>
      </c>
      <c r="AZ444" s="5" t="e">
        <f t="shared" si="41"/>
        <v>#N/A</v>
      </c>
      <c r="BA444" s="5">
        <f t="shared" si="42"/>
        <v>-0.36096932243323354</v>
      </c>
      <c r="BD444" s="5">
        <f t="shared" si="43"/>
        <v>1.1473437582905393</v>
      </c>
      <c r="BF444" s="58"/>
    </row>
    <row r="445" spans="48:58" ht="12" customHeight="1">
      <c r="AV445" s="5">
        <f t="shared" si="44"/>
        <v>-0.37200000000003453</v>
      </c>
      <c r="AW445" s="5">
        <f t="shared" si="39"/>
        <v>1.0067762949495691E-2</v>
      </c>
      <c r="AX445" s="5">
        <v>1</v>
      </c>
      <c r="AY445" s="5" t="e">
        <f t="shared" si="40"/>
        <v>#N/A</v>
      </c>
      <c r="AZ445" s="5" t="e">
        <f t="shared" si="41"/>
        <v>#N/A</v>
      </c>
      <c r="BA445" s="5">
        <f t="shared" si="42"/>
        <v>-0.35573985222725135</v>
      </c>
      <c r="BD445" s="5">
        <f t="shared" si="43"/>
        <v>1.1424563779663104</v>
      </c>
      <c r="BF445" s="58"/>
    </row>
    <row r="446" spans="48:58" ht="12" customHeight="1">
      <c r="AV446" s="5">
        <f t="shared" si="44"/>
        <v>-0.36600000000003452</v>
      </c>
      <c r="AW446" s="5">
        <f t="shared" si="39"/>
        <v>1.1447228619547473E-2</v>
      </c>
      <c r="AX446" s="5">
        <v>1</v>
      </c>
      <c r="AY446" s="5" t="e">
        <f t="shared" si="40"/>
        <v>#N/A</v>
      </c>
      <c r="AZ446" s="5" t="e">
        <f t="shared" si="41"/>
        <v>#N/A</v>
      </c>
      <c r="BA446" s="5">
        <f t="shared" si="42"/>
        <v>-0.35048801056772066</v>
      </c>
      <c r="BD446" s="5">
        <f t="shared" si="43"/>
        <v>1.137661511606729</v>
      </c>
      <c r="BF446" s="58"/>
    </row>
    <row r="447" spans="48:58" ht="12" customHeight="1">
      <c r="AV447" s="5">
        <f t="shared" si="44"/>
        <v>-0.36000000000003451</v>
      </c>
      <c r="AW447" s="5">
        <f t="shared" si="39"/>
        <v>1.3003060923939044E-2</v>
      </c>
      <c r="AX447" s="5">
        <v>1</v>
      </c>
      <c r="AY447" s="5" t="e">
        <f t="shared" si="40"/>
        <v>#N/A</v>
      </c>
      <c r="AZ447" s="5" t="e">
        <f t="shared" si="41"/>
        <v>#N/A</v>
      </c>
      <c r="BA447" s="5">
        <f t="shared" si="42"/>
        <v>-0.34521403413555135</v>
      </c>
      <c r="BD447" s="5">
        <f t="shared" si="43"/>
        <v>1.1329584687426579</v>
      </c>
      <c r="BF447" s="58"/>
    </row>
    <row r="448" spans="48:58" ht="12" customHeight="1">
      <c r="AV448" s="5">
        <f t="shared" si="44"/>
        <v>-0.35400000000003451</v>
      </c>
      <c r="AW448" s="5">
        <f t="shared" si="39"/>
        <v>1.47560019535581E-2</v>
      </c>
      <c r="AX448" s="5">
        <v>1</v>
      </c>
      <c r="AY448" s="5" t="e">
        <f t="shared" si="40"/>
        <v>#N/A</v>
      </c>
      <c r="AZ448" s="5" t="e">
        <f t="shared" si="41"/>
        <v>#N/A</v>
      </c>
      <c r="BA448" s="5">
        <f t="shared" si="42"/>
        <v>-0.33991816481153392</v>
      </c>
      <c r="BD448" s="5">
        <f t="shared" si="43"/>
        <v>1.1283465721278598</v>
      </c>
      <c r="BF448" s="58"/>
    </row>
    <row r="449" spans="48:58" ht="12" customHeight="1">
      <c r="AV449" s="5">
        <f t="shared" si="44"/>
        <v>-0.3480000000000345</v>
      </c>
      <c r="AW449" s="5">
        <f t="shared" si="39"/>
        <v>1.6728988264065429E-2</v>
      </c>
      <c r="AX449" s="5">
        <v>1</v>
      </c>
      <c r="AY449" s="5" t="e">
        <f t="shared" si="40"/>
        <v>#N/A</v>
      </c>
      <c r="AZ449" s="5" t="e">
        <f t="shared" si="41"/>
        <v>#N/A</v>
      </c>
      <c r="BA449" s="5">
        <f t="shared" si="42"/>
        <v>-0.33460064965421388</v>
      </c>
      <c r="BD449" s="5">
        <f t="shared" si="43"/>
        <v>1.1238251576412202</v>
      </c>
      <c r="BF449" s="58"/>
    </row>
    <row r="450" spans="48:58" ht="12" customHeight="1">
      <c r="AV450" s="5">
        <f t="shared" si="44"/>
        <v>-0.3420000000000345</v>
      </c>
      <c r="AW450" s="5">
        <f t="shared" si="39"/>
        <v>1.8947351618992449E-2</v>
      </c>
      <c r="AX450" s="5">
        <v>1</v>
      </c>
      <c r="AY450" s="5" t="e">
        <f t="shared" si="40"/>
        <v>#N/A</v>
      </c>
      <c r="AZ450" s="5" t="e">
        <f t="shared" si="41"/>
        <v>#N/A</v>
      </c>
      <c r="BA450" s="5">
        <f t="shared" si="42"/>
        <v>-0.32926174087538451</v>
      </c>
      <c r="BD450" s="5">
        <f t="shared" si="43"/>
        <v>1.1193935741912537</v>
      </c>
      <c r="BF450" s="58"/>
    </row>
    <row r="451" spans="48:58" ht="12" customHeight="1">
      <c r="AV451" s="5">
        <f t="shared" si="44"/>
        <v>-0.33600000000003449</v>
      </c>
      <c r="AW451" s="5">
        <f t="shared" si="39"/>
        <v>2.1439034278319228E-2</v>
      </c>
      <c r="AX451" s="5">
        <v>1</v>
      </c>
      <c r="AY451" s="5" t="e">
        <f t="shared" si="40"/>
        <v>#N/A</v>
      </c>
      <c r="AZ451" s="5" t="e">
        <f t="shared" si="41"/>
        <v>#N/A</v>
      </c>
      <c r="BA451" s="5">
        <f t="shared" si="42"/>
        <v>-0.32390169581318651</v>
      </c>
      <c r="BD451" s="5">
        <f t="shared" si="43"/>
        <v>1.1150511836222932</v>
      </c>
      <c r="BF451" s="58"/>
    </row>
    <row r="452" spans="48:58" ht="12" customHeight="1">
      <c r="AV452" s="5">
        <f t="shared" si="44"/>
        <v>-0.33000000000003449</v>
      </c>
      <c r="AW452" s="5">
        <f t="shared" si="39"/>
        <v>2.4234819440066786E-2</v>
      </c>
      <c r="AX452" s="5">
        <v>1</v>
      </c>
      <c r="AY452" s="5" t="e">
        <f t="shared" si="40"/>
        <v>#N/A</v>
      </c>
      <c r="AZ452" s="5" t="e">
        <f t="shared" si="41"/>
        <v>#N/A</v>
      </c>
      <c r="BA452" s="5">
        <f t="shared" si="42"/>
        <v>-0.31852077690280184</v>
      </c>
      <c r="BD452" s="5">
        <f t="shared" si="43"/>
        <v>1.110797360622555</v>
      </c>
      <c r="BF452" s="58"/>
    </row>
    <row r="453" spans="48:58" ht="12" customHeight="1">
      <c r="AV453" s="5">
        <f t="shared" si="44"/>
        <v>-0.32400000000003448</v>
      </c>
      <c r="AW453" s="5">
        <f t="shared" si="39"/>
        <v>2.736857741360239E-2</v>
      </c>
      <c r="AX453" s="5">
        <v>1</v>
      </c>
      <c r="AY453" s="5" t="e">
        <f t="shared" si="40"/>
        <v>#N/A</v>
      </c>
      <c r="AZ453" s="5" t="e">
        <f t="shared" si="41"/>
        <v>#N/A</v>
      </c>
      <c r="BA453" s="5">
        <f t="shared" si="42"/>
        <v>-0.31311925164473203</v>
      </c>
      <c r="BD453" s="5">
        <f t="shared" si="43"/>
        <v>1.1066314926341989</v>
      </c>
      <c r="BF453" s="58"/>
    </row>
    <row r="454" spans="48:58" ht="12" customHeight="1">
      <c r="AV454" s="5">
        <f t="shared" si="44"/>
        <v>-0.31800000000003448</v>
      </c>
      <c r="AW454" s="5">
        <f t="shared" si="39"/>
        <v>3.0877528065911614E-2</v>
      </c>
      <c r="AX454" s="5">
        <v>1</v>
      </c>
      <c r="AY454" s="5" t="e">
        <f t="shared" si="40"/>
        <v>#N/A</v>
      </c>
      <c r="AZ454" s="5" t="e">
        <f t="shared" si="41"/>
        <v>#N/A</v>
      </c>
      <c r="BA454" s="5">
        <f t="shared" si="42"/>
        <v>-0.30769739257065332</v>
      </c>
      <c r="BD454" s="5">
        <f t="shared" si="43"/>
        <v>1.1025529797650389</v>
      </c>
      <c r="BF454" s="58"/>
    </row>
    <row r="455" spans="48:58" ht="12" customHeight="1">
      <c r="AV455" s="5">
        <f t="shared" si="44"/>
        <v>-0.31200000000003447</v>
      </c>
      <c r="AW455" s="5">
        <f t="shared" ref="AW455:AW518" si="45">$G$22*NORMDIST(AV455,$AW$3,$AW$4,FALSE)</f>
        <v>3.4802520035254574E-2</v>
      </c>
      <c r="AX455" s="5">
        <v>1</v>
      </c>
      <c r="AY455" s="5" t="e">
        <f t="shared" ref="AY455:AY518" si="46">IF($BF$2,AX455+AW455*$BC$2*BD455,NA())</f>
        <v>#N/A</v>
      </c>
      <c r="AZ455" s="5" t="e">
        <f t="shared" ref="AZ455:AZ518" si="47">IF($BF$2,AX455-AW455*$BC$2*BD455,NA())</f>
        <v>#N/A</v>
      </c>
      <c r="BA455" s="5">
        <f t="shared" ref="BA455:BA518" si="48">(EXP(2*AV455)-1)/(EXP(2*AV455)+1)</f>
        <v>-0.30225547720684137</v>
      </c>
      <c r="BD455" s="5">
        <f t="shared" ref="BD455:BD518" si="49">(AV455-AV456)/(BA455-BA456)</f>
        <v>1.0985612347021927</v>
      </c>
      <c r="BF455" s="58"/>
    </row>
    <row r="456" spans="48:58" ht="12" customHeight="1">
      <c r="AV456" s="5">
        <f t="shared" ref="AV456:AV519" si="50">AV455+$BC$4</f>
        <v>-0.30600000000003447</v>
      </c>
      <c r="AW456" s="5">
        <f t="shared" si="45"/>
        <v>3.9188327149598169E-2</v>
      </c>
      <c r="AX456" s="5">
        <v>1</v>
      </c>
      <c r="AY456" s="5" t="e">
        <f t="shared" si="46"/>
        <v>#N/A</v>
      </c>
      <c r="AZ456" s="5" t="e">
        <f t="shared" si="47"/>
        <v>#N/A</v>
      </c>
      <c r="BA456" s="5">
        <f t="shared" si="48"/>
        <v>-0.29679378803516171</v>
      </c>
      <c r="BD456" s="5">
        <f t="shared" si="49"/>
        <v>1.0946556826274219</v>
      </c>
      <c r="BF456" s="58"/>
    </row>
    <row r="457" spans="48:58" ht="12" customHeight="1">
      <c r="AV457" s="5">
        <f t="shared" si="50"/>
        <v>-0.30000000000003446</v>
      </c>
      <c r="AW457" s="5">
        <f t="shared" si="45"/>
        <v>4.4083962419208832E-2</v>
      </c>
      <c r="AX457" s="5">
        <v>1</v>
      </c>
      <c r="AY457" s="5" t="e">
        <f t="shared" si="46"/>
        <v>#N/A</v>
      </c>
      <c r="AZ457" s="5" t="e">
        <f t="shared" si="47"/>
        <v>#N/A</v>
      </c>
      <c r="BA457" s="5">
        <f t="shared" si="48"/>
        <v>-0.29131261245162238</v>
      </c>
      <c r="BD457" s="5">
        <f t="shared" si="49"/>
        <v>1.090835761134578</v>
      </c>
      <c r="BF457" s="58"/>
    </row>
    <row r="458" spans="48:58" ht="12" customHeight="1">
      <c r="AV458" s="5">
        <f t="shared" si="50"/>
        <v>-0.29400000000003446</v>
      </c>
      <c r="AW458" s="5">
        <f t="shared" si="45"/>
        <v>4.9543009893025507E-2</v>
      </c>
      <c r="AX458" s="5">
        <v>1</v>
      </c>
      <c r="AY458" s="5" t="e">
        <f t="shared" si="46"/>
        <v>#N/A</v>
      </c>
      <c r="AZ458" s="5" t="e">
        <f t="shared" si="47"/>
        <v>#N/A</v>
      </c>
      <c r="BA458" s="5">
        <f t="shared" si="48"/>
        <v>-0.28581224272248973</v>
      </c>
      <c r="BD458" s="5">
        <f t="shared" si="49"/>
        <v>1.0871009201482107</v>
      </c>
      <c r="BF458" s="58"/>
    </row>
    <row r="459" spans="48:58" ht="12" customHeight="1">
      <c r="AV459" s="5">
        <f t="shared" si="50"/>
        <v>-0.28800000000003445</v>
      </c>
      <c r="AW459" s="5">
        <f t="shared" si="45"/>
        <v>5.5623974576140406E-2</v>
      </c>
      <c r="AX459" s="5">
        <v>1</v>
      </c>
      <c r="AY459" s="5" t="e">
        <f t="shared" si="46"/>
        <v>#N/A</v>
      </c>
      <c r="AZ459" s="5" t="e">
        <f t="shared" si="47"/>
        <v>#N/A</v>
      </c>
      <c r="BA459" s="5">
        <f t="shared" si="48"/>
        <v>-0.28029297593796526</v>
      </c>
      <c r="BD459" s="5">
        <f t="shared" si="49"/>
        <v>1.0834506218448985</v>
      </c>
      <c r="BF459" s="58"/>
    </row>
    <row r="460" spans="48:58" ht="12" customHeight="1">
      <c r="AV460" s="5">
        <f t="shared" si="50"/>
        <v>-0.28200000000003445</v>
      </c>
      <c r="AW460" s="5">
        <f t="shared" si="45"/>
        <v>6.2390650500180736E-2</v>
      </c>
      <c r="AX460" s="5">
        <v>1</v>
      </c>
      <c r="AY460" s="5" t="e">
        <f t="shared" si="46"/>
        <v>#N/A</v>
      </c>
      <c r="AZ460" s="5" t="e">
        <f t="shared" si="47"/>
        <v>#N/A</v>
      </c>
      <c r="BA460" s="5">
        <f t="shared" si="48"/>
        <v>-0.27475511396343133</v>
      </c>
      <c r="BD460" s="5">
        <f t="shared" si="49"/>
        <v>1.079884340575348</v>
      </c>
      <c r="BF460" s="58"/>
    </row>
    <row r="461" spans="48:58" ht="12" customHeight="1">
      <c r="AV461" s="5">
        <f t="shared" si="50"/>
        <v>-0.27600000000003444</v>
      </c>
      <c r="AW461" s="5">
        <f t="shared" si="45"/>
        <v>6.9912506918910294E-2</v>
      </c>
      <c r="AX461" s="5">
        <v>1</v>
      </c>
      <c r="AY461" s="5" t="e">
        <f t="shared" si="46"/>
        <v>#N/A</v>
      </c>
      <c r="AZ461" s="5" t="e">
        <f t="shared" si="47"/>
        <v>#N/A</v>
      </c>
      <c r="BA461" s="5">
        <f t="shared" si="48"/>
        <v>-0.26919896338826577</v>
      </c>
      <c r="BD461" s="5">
        <f t="shared" si="49"/>
        <v>1.0764015627888257</v>
      </c>
      <c r="BF461" s="58"/>
    </row>
    <row r="462" spans="48:58" ht="12" customHeight="1">
      <c r="AV462" s="5">
        <f t="shared" si="50"/>
        <v>-0.27000000000003443</v>
      </c>
      <c r="AW462" s="5">
        <f t="shared" si="45"/>
        <v>7.8265092467347669E-2</v>
      </c>
      <c r="AX462" s="5">
        <v>1</v>
      </c>
      <c r="AY462" s="5" t="e">
        <f t="shared" si="46"/>
        <v>#N/A</v>
      </c>
      <c r="AZ462" s="5" t="e">
        <f t="shared" si="47"/>
        <v>#N/A</v>
      </c>
      <c r="BA462" s="5">
        <f t="shared" si="48"/>
        <v>-0.26362483547223531</v>
      </c>
      <c r="BD462" s="5">
        <f t="shared" si="49"/>
        <v>1.0730017869594115</v>
      </c>
      <c r="BF462" s="58"/>
    </row>
    <row r="463" spans="48:58" ht="12" customHeight="1">
      <c r="AV463" s="5">
        <f t="shared" si="50"/>
        <v>-0.26400000000003443</v>
      </c>
      <c r="AW463" s="5">
        <f t="shared" si="45"/>
        <v>8.7530456973560808E-2</v>
      </c>
      <c r="AX463" s="5">
        <v>1</v>
      </c>
      <c r="AY463" s="5" t="e">
        <f t="shared" si="46"/>
        <v>#N/A</v>
      </c>
      <c r="AZ463" s="5" t="e">
        <f t="shared" si="47"/>
        <v>#N/A</v>
      </c>
      <c r="BA463" s="5">
        <f t="shared" si="48"/>
        <v>-0.2580330460894773</v>
      </c>
      <c r="BD463" s="5">
        <f t="shared" si="49"/>
        <v>1.0696845235134493</v>
      </c>
      <c r="BF463" s="58"/>
    </row>
    <row r="464" spans="48:58" ht="12" customHeight="1">
      <c r="AV464" s="5">
        <f t="shared" si="50"/>
        <v>-0.25800000000003442</v>
      </c>
      <c r="AW464" s="5">
        <f t="shared" si="45"/>
        <v>9.7797590447593258E-2</v>
      </c>
      <c r="AX464" s="5">
        <v>1</v>
      </c>
      <c r="AY464" s="5" t="e">
        <f t="shared" si="46"/>
        <v>#N/A</v>
      </c>
      <c r="AZ464" s="5" t="e">
        <f t="shared" si="47"/>
        <v>#N/A</v>
      </c>
      <c r="BA464" s="5">
        <f t="shared" si="48"/>
        <v>-0.25242391567007794</v>
      </c>
      <c r="BD464" s="5">
        <f t="shared" si="49"/>
        <v>1.066449294759255</v>
      </c>
      <c r="BF464" s="58"/>
    </row>
    <row r="465" spans="48:58" ht="12" customHeight="1">
      <c r="AV465" s="5">
        <f t="shared" si="50"/>
        <v>-0.25200000000003442</v>
      </c>
      <c r="AW465" s="5">
        <f t="shared" si="45"/>
        <v>0.10916287859133746</v>
      </c>
      <c r="AX465" s="5">
        <v>1</v>
      </c>
      <c r="AY465" s="5" t="e">
        <f t="shared" si="46"/>
        <v>#N/A</v>
      </c>
      <c r="AZ465" s="5" t="e">
        <f t="shared" si="47"/>
        <v>#N/A</v>
      </c>
      <c r="BA465" s="5">
        <f t="shared" si="48"/>
        <v>-0.24679776913926282</v>
      </c>
      <c r="BD465" s="5">
        <f t="shared" si="49"/>
        <v>1.0632956348183675</v>
      </c>
      <c r="BF465" s="58"/>
    </row>
    <row r="466" spans="48:58" ht="12" customHeight="1">
      <c r="AV466" s="5">
        <f t="shared" si="50"/>
        <v>-0.24600000000003441</v>
      </c>
      <c r="AW466" s="5">
        <f t="shared" si="45"/>
        <v>0.12173057397635882</v>
      </c>
      <c r="AX466" s="5">
        <v>1</v>
      </c>
      <c r="AY466" s="5" t="e">
        <f t="shared" si="46"/>
        <v>#N/A</v>
      </c>
      <c r="AZ466" s="5" t="e">
        <f t="shared" si="47"/>
        <v>#N/A</v>
      </c>
      <c r="BA466" s="5">
        <f t="shared" si="48"/>
        <v>-0.24115493585421419</v>
      </c>
      <c r="BD466" s="5">
        <f t="shared" si="49"/>
        <v>1.0602230895582485</v>
      </c>
      <c r="BF466" s="58"/>
    </row>
    <row r="467" spans="48:58" ht="12" customHeight="1">
      <c r="AV467" s="5">
        <f t="shared" si="50"/>
        <v>-0.24000000000003441</v>
      </c>
      <c r="AW467" s="5">
        <f t="shared" si="45"/>
        <v>0.13561328182359014</v>
      </c>
      <c r="AX467" s="5">
        <v>1</v>
      </c>
      <c r="AY467" s="5" t="e">
        <f t="shared" si="46"/>
        <v>#N/A</v>
      </c>
      <c r="AZ467" s="5" t="e">
        <f t="shared" si="47"/>
        <v>#N/A</v>
      </c>
      <c r="BA467" s="5">
        <f t="shared" si="48"/>
        <v>-0.23549574953853042</v>
      </c>
      <c r="BD467" s="5">
        <f t="shared" si="49"/>
        <v>1.0572312165270947</v>
      </c>
      <c r="BF467" s="58"/>
    </row>
    <row r="468" spans="48:58" ht="12" customHeight="1">
      <c r="AV468" s="5">
        <f t="shared" si="50"/>
        <v>-0.2340000000000344</v>
      </c>
      <c r="AW468" s="5">
        <f t="shared" si="45"/>
        <v>0.15093245908950392</v>
      </c>
      <c r="AX468" s="5">
        <v>1</v>
      </c>
      <c r="AY468" s="5" t="e">
        <f t="shared" si="46"/>
        <v>#N/A</v>
      </c>
      <c r="AZ468" s="5" t="e">
        <f t="shared" si="47"/>
        <v>#N/A</v>
      </c>
      <c r="BA468" s="5">
        <f t="shared" si="48"/>
        <v>-0.22982054821434947</v>
      </c>
      <c r="BD468" s="5">
        <f t="shared" si="49"/>
        <v>1.0543195848899864</v>
      </c>
      <c r="BF468" s="58"/>
    </row>
    <row r="469" spans="48:58" ht="12" customHeight="1">
      <c r="AV469" s="5">
        <f t="shared" si="50"/>
        <v>-0.2280000000000344</v>
      </c>
      <c r="AW469" s="5">
        <f t="shared" si="45"/>
        <v>0.16781892531806297</v>
      </c>
      <c r="AX469" s="5">
        <v>1</v>
      </c>
      <c r="AY469" s="5" t="e">
        <f t="shared" si="46"/>
        <v>#N/A</v>
      </c>
      <c r="AZ469" s="5" t="e">
        <f t="shared" si="47"/>
        <v>#N/A</v>
      </c>
      <c r="BA469" s="5">
        <f t="shared" si="48"/>
        <v>-0.22412967413215543</v>
      </c>
      <c r="BD469" s="5">
        <f t="shared" si="49"/>
        <v>1.0514877753669969</v>
      </c>
      <c r="BF469" s="58"/>
    </row>
    <row r="470" spans="48:58" ht="12" customHeight="1">
      <c r="AV470" s="5">
        <f t="shared" si="50"/>
        <v>-0.22200000000003439</v>
      </c>
      <c r="AW470" s="5">
        <f t="shared" si="45"/>
        <v>0.18641338345686412</v>
      </c>
      <c r="AX470" s="5">
        <v>1</v>
      </c>
      <c r="AY470" s="5" t="e">
        <f t="shared" si="46"/>
        <v>#N/A</v>
      </c>
      <c r="AZ470" s="5" t="e">
        <f t="shared" si="47"/>
        <v>#N/A</v>
      </c>
      <c r="BA470" s="5">
        <f t="shared" si="48"/>
        <v>-0.21842347369829318</v>
      </c>
      <c r="BD470" s="5">
        <f t="shared" si="49"/>
        <v>1.0487353801726214</v>
      </c>
      <c r="BF470" s="58"/>
    </row>
    <row r="471" spans="48:58" ht="12" customHeight="1">
      <c r="AV471" s="5">
        <f t="shared" si="50"/>
        <v>-0.21600000000003439</v>
      </c>
      <c r="AW471" s="5">
        <f t="shared" si="45"/>
        <v>0.2068669485600326</v>
      </c>
      <c r="AX471" s="5">
        <v>1</v>
      </c>
      <c r="AY471" s="5" t="e">
        <f t="shared" si="46"/>
        <v>#N/A</v>
      </c>
      <c r="AZ471" s="5" t="e">
        <f t="shared" si="47"/>
        <v>#N/A</v>
      </c>
      <c r="BA471" s="5">
        <f t="shared" si="48"/>
        <v>-0.21270229740021462</v>
      </c>
      <c r="BD471" s="5">
        <f t="shared" si="49"/>
        <v>1.0460620029571746</v>
      </c>
      <c r="BF471" s="58"/>
    </row>
    <row r="472" spans="48:58" ht="12" customHeight="1">
      <c r="AV472" s="5">
        <f t="shared" si="50"/>
        <v>-0.21000000000003438</v>
      </c>
      <c r="AW472" s="5">
        <f t="shared" si="45"/>
        <v>0.22934168201047073</v>
      </c>
      <c r="AX472" s="5">
        <v>1</v>
      </c>
      <c r="AY472" s="5" t="e">
        <f t="shared" si="46"/>
        <v>#N/A</v>
      </c>
      <c r="AZ472" s="5" t="e">
        <f t="shared" si="47"/>
        <v>#N/A</v>
      </c>
      <c r="BA472" s="5">
        <f t="shared" si="48"/>
        <v>-0.2069664997294855</v>
      </c>
      <c r="BD472" s="5">
        <f t="shared" si="49"/>
        <v>1.043467258749764</v>
      </c>
      <c r="BF472" s="58"/>
    </row>
    <row r="473" spans="48:58" ht="12" customHeight="1">
      <c r="AV473" s="5">
        <f t="shared" si="50"/>
        <v>-0.20400000000003438</v>
      </c>
      <c r="AW473" s="5">
        <f t="shared" si="45"/>
        <v>0.25401112859106612</v>
      </c>
      <c r="AX473" s="5">
        <v>1</v>
      </c>
      <c r="AY473" s="5" t="e">
        <f t="shared" si="46"/>
        <v>#N/A</v>
      </c>
      <c r="AZ473" s="5" t="e">
        <f t="shared" si="47"/>
        <v>#N/A</v>
      </c>
      <c r="BA473" s="5">
        <f t="shared" si="48"/>
        <v>-0.20121643910258194</v>
      </c>
      <c r="BD473" s="5">
        <f t="shared" si="49"/>
        <v>1.0409507739027306</v>
      </c>
      <c r="BF473" s="58"/>
    </row>
    <row r="474" spans="48:58" ht="12" customHeight="1">
      <c r="AV474" s="5">
        <f t="shared" si="50"/>
        <v>-0.19800000000003437</v>
      </c>
      <c r="AW474" s="5">
        <f t="shared" si="45"/>
        <v>0.28106085341980097</v>
      </c>
      <c r="AX474" s="5">
        <v>1</v>
      </c>
      <c r="AY474" s="5" t="e">
        <f t="shared" si="46"/>
        <v>#N/A</v>
      </c>
      <c r="AZ474" s="5" t="e">
        <f t="shared" si="47"/>
        <v>#N/A</v>
      </c>
      <c r="BA474" s="5">
        <f t="shared" si="48"/>
        <v>-0.19545247777950725</v>
      </c>
      <c r="BD474" s="5">
        <f t="shared" si="49"/>
        <v>1.0385121860378896</v>
      </c>
      <c r="BF474" s="58"/>
    </row>
    <row r="475" spans="48:58" ht="12" customHeight="1">
      <c r="AV475" s="5">
        <f t="shared" si="50"/>
        <v>-0.19200000000003437</v>
      </c>
      <c r="AW475" s="5">
        <f t="shared" si="45"/>
        <v>0.31068897543894841</v>
      </c>
      <c r="AX475" s="5">
        <v>1</v>
      </c>
      <c r="AY475" s="5" t="e">
        <f t="shared" si="46"/>
        <v>#N/A</v>
      </c>
      <c r="AZ475" s="5" t="e">
        <f t="shared" si="47"/>
        <v>#N/A</v>
      </c>
      <c r="BA475" s="5">
        <f t="shared" si="48"/>
        <v>-0.18967498178026329</v>
      </c>
      <c r="BD475" s="5">
        <f t="shared" si="49"/>
        <v>1.0361511439943596</v>
      </c>
      <c r="BF475" s="58"/>
    </row>
    <row r="476" spans="48:58" ht="12" customHeight="1">
      <c r="AV476" s="5">
        <f t="shared" si="50"/>
        <v>-0.18600000000003436</v>
      </c>
      <c r="AW476" s="5">
        <f t="shared" si="45"/>
        <v>0.34310669381561576</v>
      </c>
      <c r="AX476" s="5">
        <v>1</v>
      </c>
      <c r="AY476" s="5" t="e">
        <f t="shared" si="46"/>
        <v>#N/A</v>
      </c>
      <c r="AZ476" s="5" t="e">
        <f t="shared" si="47"/>
        <v>#N/A</v>
      </c>
      <c r="BA476" s="5">
        <f t="shared" si="48"/>
        <v>-0.1838843207992118</v>
      </c>
      <c r="BD476" s="5">
        <f t="shared" si="49"/>
        <v>1.0338673077780867</v>
      </c>
      <c r="BF476" s="58"/>
    </row>
    <row r="477" spans="48:58" ht="12" customHeight="1">
      <c r="AV477" s="5">
        <f t="shared" si="50"/>
        <v>-0.18000000000003435</v>
      </c>
      <c r="AW477" s="5">
        <f t="shared" si="45"/>
        <v>0.37853880327195255</v>
      </c>
      <c r="AX477" s="5">
        <v>1</v>
      </c>
      <c r="AY477" s="5" t="e">
        <f t="shared" si="46"/>
        <v>#N/A</v>
      </c>
      <c r="AZ477" s="5" t="e">
        <f t="shared" si="47"/>
        <v>#N/A</v>
      </c>
      <c r="BA477" s="5">
        <f t="shared" si="48"/>
        <v>-0.17808086811736351</v>
      </c>
      <c r="BD477" s="5">
        <f t="shared" si="49"/>
        <v>1.0316603485125961</v>
      </c>
      <c r="BF477" s="58"/>
    </row>
    <row r="478" spans="48:58" ht="12" customHeight="1">
      <c r="AV478" s="5">
        <f t="shared" si="50"/>
        <v>-0.17400000000003435</v>
      </c>
      <c r="AW478" s="5">
        <f t="shared" si="45"/>
        <v>0.41722419402087463</v>
      </c>
      <c r="AX478" s="5">
        <v>1</v>
      </c>
      <c r="AY478" s="5" t="e">
        <f t="shared" si="46"/>
        <v>#N/A</v>
      </c>
      <c r="AZ478" s="5" t="e">
        <f t="shared" si="47"/>
        <v>#N/A</v>
      </c>
      <c r="BA478" s="5">
        <f t="shared" si="48"/>
        <v>-0.17226500051263241</v>
      </c>
      <c r="BD478" s="5">
        <f t="shared" si="49"/>
        <v>1.0295299483920257</v>
      </c>
      <c r="BF478" s="58"/>
    </row>
    <row r="479" spans="48:58" ht="12" customHeight="1">
      <c r="AV479" s="5">
        <f t="shared" si="50"/>
        <v>-0.16800000000003434</v>
      </c>
      <c r="AW479" s="5">
        <f t="shared" si="45"/>
        <v>0.45941633163991624</v>
      </c>
      <c r="AX479" s="5">
        <v>1</v>
      </c>
      <c r="AY479" s="5" t="e">
        <f t="shared" si="46"/>
        <v>#N/A</v>
      </c>
      <c r="AZ479" s="5" t="e">
        <f t="shared" si="47"/>
        <v>#N/A</v>
      </c>
      <c r="BA479" s="5">
        <f t="shared" si="48"/>
        <v>-0.16643709816810021</v>
      </c>
      <c r="BD479" s="5">
        <f t="shared" si="49"/>
        <v>1.027475800635028</v>
      </c>
      <c r="BF479" s="58"/>
    </row>
    <row r="480" spans="48:58" ht="12" customHeight="1">
      <c r="AV480" s="5">
        <f t="shared" si="50"/>
        <v>-0.16200000000003434</v>
      </c>
      <c r="AW480" s="5">
        <f t="shared" si="45"/>
        <v>0.50538371187491848</v>
      </c>
      <c r="AX480" s="5">
        <v>1</v>
      </c>
      <c r="AY480" s="5" t="e">
        <f t="shared" si="46"/>
        <v>#N/A</v>
      </c>
      <c r="AZ480" s="5" t="e">
        <f t="shared" si="47"/>
        <v>#N/A</v>
      </c>
      <c r="BA480" s="5">
        <f t="shared" si="48"/>
        <v>-0.16059754457833028</v>
      </c>
      <c r="BD480" s="5">
        <f t="shared" si="49"/>
        <v>1.0254976094408252</v>
      </c>
      <c r="BF480" s="58"/>
    </row>
    <row r="481" spans="48:58" ht="12" customHeight="1">
      <c r="AV481" s="5">
        <f t="shared" si="50"/>
        <v>-0.15600000000003433</v>
      </c>
      <c r="AW481" s="5">
        <f t="shared" si="45"/>
        <v>0.55541028503001177</v>
      </c>
      <c r="AX481" s="5">
        <v>1</v>
      </c>
      <c r="AY481" s="5" t="e">
        <f t="shared" si="46"/>
        <v>#N/A</v>
      </c>
      <c r="AZ481" s="5" t="e">
        <f t="shared" si="47"/>
        <v>#N/A</v>
      </c>
      <c r="BA481" s="5">
        <f t="shared" si="48"/>
        <v>-0.15474672645377938</v>
      </c>
      <c r="BD481" s="5">
        <f t="shared" si="49"/>
        <v>1.0235950899464041</v>
      </c>
      <c r="BF481" s="58"/>
    </row>
    <row r="482" spans="48:58" ht="12" customHeight="1">
      <c r="AV482" s="5">
        <f t="shared" si="50"/>
        <v>-0.15000000000003433</v>
      </c>
      <c r="AW482" s="5">
        <f t="shared" si="45"/>
        <v>0.60979584427446976</v>
      </c>
      <c r="AX482" s="5">
        <v>1</v>
      </c>
      <c r="AY482" s="5" t="e">
        <f t="shared" si="46"/>
        <v>#N/A</v>
      </c>
      <c r="AZ482" s="5" t="e">
        <f t="shared" si="47"/>
        <v>#N/A</v>
      </c>
      <c r="BA482" s="5">
        <f t="shared" si="48"/>
        <v>-0.14888503362335151</v>
      </c>
      <c r="BD482" s="5">
        <f t="shared" si="49"/>
        <v>1.0217679681857355</v>
      </c>
      <c r="BF482" s="58"/>
    </row>
    <row r="483" spans="48:58" ht="12" customHeight="1">
      <c r="AV483" s="5">
        <f t="shared" si="50"/>
        <v>-0.14400000000003432</v>
      </c>
      <c r="AW483" s="5">
        <f t="shared" si="45"/>
        <v>0.66885637188439384</v>
      </c>
      <c r="AX483" s="5">
        <v>1</v>
      </c>
      <c r="AY483" s="5" t="e">
        <f t="shared" si="46"/>
        <v>#N/A</v>
      </c>
      <c r="AZ483" s="5" t="e">
        <f t="shared" si="47"/>
        <v>#N/A</v>
      </c>
      <c r="BA483" s="5">
        <f t="shared" si="48"/>
        <v>-0.14301285893514545</v>
      </c>
      <c r="BD483" s="5">
        <f t="shared" si="49"/>
        <v>1.0200159810500857</v>
      </c>
      <c r="BF483" s="58"/>
    </row>
    <row r="484" spans="48:58" ht="12" customHeight="1">
      <c r="AV484" s="5">
        <f t="shared" si="50"/>
        <v>-0.13800000000003432</v>
      </c>
      <c r="AW484" s="5">
        <f t="shared" si="45"/>
        <v>0.73292433714205685</v>
      </c>
      <c r="AX484" s="5">
        <v>1</v>
      </c>
      <c r="AY484" s="5" t="e">
        <f t="shared" si="46"/>
        <v>#N/A</v>
      </c>
      <c r="AZ484" s="5" t="e">
        <f t="shared" si="47"/>
        <v>#N/A</v>
      </c>
      <c r="BA484" s="5">
        <f t="shared" si="48"/>
        <v>-0.13713059815544362</v>
      </c>
      <c r="BD484" s="5">
        <f t="shared" si="49"/>
        <v>1.0183388762502676</v>
      </c>
      <c r="BF484" s="58"/>
    </row>
    <row r="485" spans="48:58" ht="12" customHeight="1">
      <c r="AV485" s="5">
        <f t="shared" si="50"/>
        <v>-0.13200000000003431</v>
      </c>
      <c r="AW485" s="5">
        <f t="shared" si="45"/>
        <v>0.80234893934252283</v>
      </c>
      <c r="AX485" s="5">
        <v>1</v>
      </c>
      <c r="AY485" s="5" t="e">
        <f t="shared" si="46"/>
        <v>#N/A</v>
      </c>
      <c r="AZ485" s="5" t="e">
        <f t="shared" si="47"/>
        <v>#N/A</v>
      </c>
      <c r="BA485" s="5">
        <f t="shared" si="48"/>
        <v>-0.13123864986599676</v>
      </c>
      <c r="BD485" s="5">
        <f t="shared" si="49"/>
        <v>1.0167364122803495</v>
      </c>
      <c r="BF485" s="58"/>
    </row>
    <row r="486" spans="48:58" ht="12" customHeight="1">
      <c r="AV486" s="5">
        <f t="shared" si="50"/>
        <v>-0.12600000000003431</v>
      </c>
      <c r="AW486" s="5">
        <f t="shared" si="45"/>
        <v>0.87749628911053201</v>
      </c>
      <c r="AX486" s="5">
        <v>1</v>
      </c>
      <c r="AY486" s="5" t="e">
        <f t="shared" si="46"/>
        <v>#N/A</v>
      </c>
      <c r="AZ486" s="5" t="e">
        <f t="shared" si="47"/>
        <v>#N/A</v>
      </c>
      <c r="BA486" s="5">
        <f t="shared" si="48"/>
        <v>-0.12533741535965787</v>
      </c>
      <c r="BD486" s="5">
        <f t="shared" si="49"/>
        <v>1.0152083583827041</v>
      </c>
      <c r="BF486" s="58"/>
    </row>
    <row r="487" spans="48:58" ht="12" customHeight="1">
      <c r="AV487" s="5">
        <f t="shared" si="50"/>
        <v>-0.1200000000000343</v>
      </c>
      <c r="AW487" s="5">
        <f t="shared" si="45"/>
        <v>0.95874952101544175</v>
      </c>
      <c r="AX487" s="5">
        <v>1</v>
      </c>
      <c r="AY487" s="5" t="e">
        <f t="shared" si="46"/>
        <v>#N/A</v>
      </c>
      <c r="AZ487" s="5" t="e">
        <f t="shared" si="47"/>
        <v>#N/A</v>
      </c>
      <c r="BA487" s="5">
        <f t="shared" si="48"/>
        <v>-0.11942729853441973</v>
      </c>
      <c r="BD487" s="5">
        <f t="shared" si="49"/>
        <v>1.0137544945149233</v>
      </c>
      <c r="BF487" s="58"/>
    </row>
    <row r="488" spans="48:58" ht="12" customHeight="1">
      <c r="AV488" s="5">
        <f t="shared" si="50"/>
        <v>-0.1140000000000343</v>
      </c>
      <c r="AW488" s="5">
        <f t="shared" si="45"/>
        <v>1.0465088302932173</v>
      </c>
      <c r="AX488" s="5">
        <v>1</v>
      </c>
      <c r="AY488" s="5" t="e">
        <f t="shared" si="46"/>
        <v>#N/A</v>
      </c>
      <c r="AZ488" s="5" t="e">
        <f t="shared" si="47"/>
        <v>#N/A</v>
      </c>
      <c r="BA488" s="5">
        <f t="shared" si="48"/>
        <v>-0.1135087057859151</v>
      </c>
      <c r="BD488" s="5">
        <f t="shared" si="49"/>
        <v>1.0123746113181513</v>
      </c>
      <c r="BF488" s="58"/>
    </row>
    <row r="489" spans="48:58" ht="12" customHeight="1">
      <c r="AV489" s="5">
        <f t="shared" si="50"/>
        <v>-0.10800000000003429</v>
      </c>
      <c r="AW489" s="5">
        <f t="shared" si="45"/>
        <v>1.1411914263472163</v>
      </c>
      <c r="AX489" s="5">
        <v>1</v>
      </c>
      <c r="AY489" s="5" t="e">
        <f t="shared" si="46"/>
        <v>#N/A</v>
      </c>
      <c r="AZ489" s="5" t="e">
        <f t="shared" si="47"/>
        <v>#N/A</v>
      </c>
      <c r="BA489" s="5">
        <f t="shared" si="48"/>
        <v>-0.10758204589843751</v>
      </c>
      <c r="BD489" s="5">
        <f t="shared" si="49"/>
        <v>1.0110685100867567</v>
      </c>
      <c r="BF489" s="58"/>
    </row>
    <row r="490" spans="48:58" ht="12" customHeight="1">
      <c r="AV490" s="5">
        <f t="shared" si="50"/>
        <v>-0.10200000000003429</v>
      </c>
      <c r="AW490" s="5">
        <f t="shared" si="45"/>
        <v>1.2432313956089209</v>
      </c>
      <c r="AX490" s="5">
        <v>1</v>
      </c>
      <c r="AY490" s="5" t="e">
        <f t="shared" si="46"/>
        <v>#N/A</v>
      </c>
      <c r="AZ490" s="5" t="e">
        <f t="shared" si="47"/>
        <v>#N/A</v>
      </c>
      <c r="BA490" s="5">
        <f t="shared" si="48"/>
        <v>-0.10164772993454188</v>
      </c>
      <c r="BD490" s="5">
        <f t="shared" si="49"/>
        <v>1.0098360027399489</v>
      </c>
      <c r="BF490" s="58"/>
    </row>
    <row r="491" spans="48:58" ht="12" customHeight="1">
      <c r="AV491" s="5">
        <f t="shared" si="50"/>
        <v>-9.600000000003428E-2</v>
      </c>
      <c r="AW491" s="5">
        <f t="shared" si="45"/>
        <v>1.3530794663010361</v>
      </c>
      <c r="AX491" s="5">
        <v>1</v>
      </c>
      <c r="AY491" s="5" t="e">
        <f t="shared" si="46"/>
        <v>#N/A</v>
      </c>
      <c r="AZ491" s="5" t="e">
        <f t="shared" si="47"/>
        <v>#N/A</v>
      </c>
      <c r="BA491" s="5">
        <f t="shared" si="48"/>
        <v>-9.5706171123288927E-2</v>
      </c>
      <c r="BD491" s="5">
        <f t="shared" si="49"/>
        <v>1.0086769117945389</v>
      </c>
      <c r="BF491" s="58"/>
    </row>
    <row r="492" spans="48:58" ht="12" customHeight="1">
      <c r="AV492" s="5">
        <f t="shared" si="50"/>
        <v>-9.0000000000034275E-2</v>
      </c>
      <c r="AW492" s="5">
        <f t="shared" si="45"/>
        <v>1.4712026676636396</v>
      </c>
      <c r="AX492" s="5">
        <v>1</v>
      </c>
      <c r="AY492" s="5" t="e">
        <f t="shared" si="46"/>
        <v>#N/A</v>
      </c>
      <c r="AZ492" s="5" t="e">
        <f t="shared" si="47"/>
        <v>#N/A</v>
      </c>
      <c r="BA492" s="5">
        <f t="shared" si="48"/>
        <v>-8.9757784747194133E-2</v>
      </c>
      <c r="BD492" s="5">
        <f t="shared" si="49"/>
        <v>1.0075910703393955</v>
      </c>
      <c r="BF492" s="58"/>
    </row>
    <row r="493" spans="48:58" ht="12" customHeight="1">
      <c r="AV493" s="5">
        <f t="shared" si="50"/>
        <v>-8.4000000000034269E-2</v>
      </c>
      <c r="AW493" s="5">
        <f t="shared" si="45"/>
        <v>1.5980838762842859</v>
      </c>
      <c r="AX493" s="5">
        <v>1</v>
      </c>
      <c r="AY493" s="5" t="e">
        <f t="shared" si="46"/>
        <v>#N/A</v>
      </c>
      <c r="AZ493" s="5" t="e">
        <f t="shared" si="47"/>
        <v>#N/A</v>
      </c>
      <c r="BA493" s="5">
        <f t="shared" si="48"/>
        <v>-8.3802988027946737E-2</v>
      </c>
      <c r="BD493" s="5">
        <f t="shared" si="49"/>
        <v>1.0065783220115117</v>
      </c>
      <c r="BF493" s="58"/>
    </row>
    <row r="494" spans="48:58" ht="12" customHeight="1">
      <c r="AV494" s="5">
        <f t="shared" si="50"/>
        <v>-7.8000000000034264E-2</v>
      </c>
      <c r="AW494" s="5">
        <f t="shared" si="45"/>
        <v>1.7342212423200682</v>
      </c>
      <c r="AX494" s="5">
        <v>1</v>
      </c>
      <c r="AY494" s="5" t="e">
        <f t="shared" si="46"/>
        <v>#N/A</v>
      </c>
      <c r="AZ494" s="5" t="e">
        <f t="shared" si="47"/>
        <v>#N/A</v>
      </c>
      <c r="BA494" s="5">
        <f t="shared" si="48"/>
        <v>-7.7842200010964799E-2</v>
      </c>
      <c r="BD494" s="5">
        <f t="shared" si="49"/>
        <v>1.0056385209733532</v>
      </c>
      <c r="BF494" s="58"/>
    </row>
    <row r="495" spans="48:58" ht="12" customHeight="1">
      <c r="AV495" s="5">
        <f t="shared" si="50"/>
        <v>-7.2000000000034259E-2</v>
      </c>
      <c r="AW495" s="5">
        <f t="shared" si="45"/>
        <v>1.8801274886181176</v>
      </c>
      <c r="AX495" s="5">
        <v>1</v>
      </c>
      <c r="AY495" s="5" t="e">
        <f t="shared" si="46"/>
        <v>#N/A</v>
      </c>
      <c r="AZ495" s="5" t="e">
        <f t="shared" si="47"/>
        <v>#N/A</v>
      </c>
      <c r="BA495" s="5">
        <f t="shared" si="48"/>
        <v>-7.1875841448851813E-2</v>
      </c>
      <c r="BD495" s="5">
        <f t="shared" si="49"/>
        <v>1.0047715318919546</v>
      </c>
      <c r="BF495" s="58"/>
    </row>
    <row r="496" spans="48:58" ht="12" customHeight="1">
      <c r="AV496" s="5">
        <f t="shared" si="50"/>
        <v>-6.6000000000034253E-2</v>
      </c>
      <c r="AW496" s="5">
        <f t="shared" si="45"/>
        <v>2.0363290760352388</v>
      </c>
      <c r="AX496" s="5">
        <v>1</v>
      </c>
      <c r="AY496" s="5" t="e">
        <f t="shared" si="46"/>
        <v>#N/A</v>
      </c>
      <c r="AZ496" s="5" t="e">
        <f t="shared" si="47"/>
        <v>#N/A</v>
      </c>
      <c r="BA496" s="5">
        <f t="shared" si="48"/>
        <v>-6.5904334683824159E-2</v>
      </c>
      <c r="BD496" s="5">
        <f t="shared" si="49"/>
        <v>1.0039772299193941</v>
      </c>
      <c r="BF496" s="58"/>
    </row>
    <row r="497" spans="48:58" ht="12" customHeight="1">
      <c r="AV497" s="5">
        <f t="shared" si="50"/>
        <v>-6.0000000000034255E-2</v>
      </c>
      <c r="AW497" s="5">
        <f t="shared" si="45"/>
        <v>2.2033652286311671</v>
      </c>
      <c r="AX497" s="5">
        <v>1</v>
      </c>
      <c r="AY497" s="5" t="e">
        <f t="shared" si="46"/>
        <v>#N/A</v>
      </c>
      <c r="AZ497" s="5" t="e">
        <f t="shared" si="47"/>
        <v>#N/A</v>
      </c>
      <c r="BA497" s="5">
        <f t="shared" si="48"/>
        <v>-5.9928103529177636E-2</v>
      </c>
      <c r="BD497" s="5">
        <f t="shared" si="49"/>
        <v>1.0032555006748043</v>
      </c>
      <c r="BF497" s="58"/>
    </row>
    <row r="498" spans="48:58" ht="12" customHeight="1">
      <c r="AV498" s="5">
        <f t="shared" si="50"/>
        <v>-5.4000000000034257E-2</v>
      </c>
      <c r="AW498" s="5">
        <f t="shared" si="45"/>
        <v>2.3817868128667508</v>
      </c>
      <c r="AX498" s="5">
        <v>1</v>
      </c>
      <c r="AY498" s="5" t="e">
        <f t="shared" si="46"/>
        <v>#N/A</v>
      </c>
      <c r="AZ498" s="5" t="e">
        <f t="shared" si="47"/>
        <v>#N/A</v>
      </c>
      <c r="BA498" s="5">
        <f t="shared" si="48"/>
        <v>-5.3947573149863183E-2</v>
      </c>
      <c r="BD498" s="5">
        <f t="shared" si="49"/>
        <v>1.0026062402279363</v>
      </c>
      <c r="BF498" s="58"/>
    </row>
    <row r="499" spans="48:58" ht="12" customHeight="1">
      <c r="AV499" s="5">
        <f t="shared" si="50"/>
        <v>-4.8000000000034258E-2</v>
      </c>
      <c r="AW499" s="5">
        <f t="shared" si="45"/>
        <v>2.5721550654809815</v>
      </c>
      <c r="AX499" s="5">
        <v>1</v>
      </c>
      <c r="AY499" s="5" t="e">
        <f t="shared" si="46"/>
        <v>#N/A</v>
      </c>
      <c r="AZ499" s="5" t="e">
        <f t="shared" si="47"/>
        <v>#N/A</v>
      </c>
      <c r="BA499" s="5">
        <f t="shared" si="48"/>
        <v>-4.7963169942243075E-2</v>
      </c>
      <c r="BD499" s="5">
        <f t="shared" si="49"/>
        <v>1.0020293550841579</v>
      </c>
      <c r="BF499" s="58"/>
    </row>
    <row r="500" spans="48:58" ht="12" customHeight="1">
      <c r="AV500" s="5">
        <f t="shared" si="50"/>
        <v>-4.200000000003426E-2</v>
      </c>
      <c r="AW500" s="5">
        <f t="shared" si="45"/>
        <v>2.7750401653516445</v>
      </c>
      <c r="AX500" s="5">
        <v>1</v>
      </c>
      <c r="AY500" s="5" t="e">
        <f t="shared" si="46"/>
        <v>#N/A</v>
      </c>
      <c r="AZ500" s="5" t="e">
        <f t="shared" si="47"/>
        <v>#N/A</v>
      </c>
      <c r="BA500" s="5">
        <f t="shared" si="48"/>
        <v>-4.1975321413098864E-2</v>
      </c>
      <c r="BD500" s="5">
        <f t="shared" si="49"/>
        <v>1.0015247621710175</v>
      </c>
      <c r="BF500" s="58"/>
    </row>
    <row r="501" spans="48:58" ht="12" customHeight="1">
      <c r="AV501" s="5">
        <f t="shared" si="50"/>
        <v>-3.6000000000034262E-2</v>
      </c>
      <c r="AW501" s="5">
        <f t="shared" si="45"/>
        <v>2.9910196453646773</v>
      </c>
      <c r="AX501" s="5">
        <v>1</v>
      </c>
      <c r="AY501" s="5" t="e">
        <f t="shared" si="46"/>
        <v>#N/A</v>
      </c>
      <c r="AZ501" s="5" t="e">
        <f t="shared" si="47"/>
        <v>#N/A</v>
      </c>
      <c r="BA501" s="5">
        <f t="shared" si="48"/>
        <v>-3.5984456057964034E-2</v>
      </c>
      <c r="BD501" s="5">
        <f t="shared" si="49"/>
        <v>1.0010923888262613</v>
      </c>
      <c r="BF501" s="58"/>
    </row>
    <row r="502" spans="48:58" ht="12" customHeight="1">
      <c r="AV502" s="5">
        <f t="shared" si="50"/>
        <v>-3.0000000000034263E-2</v>
      </c>
      <c r="AW502" s="5">
        <f t="shared" si="45"/>
        <v>3.2206766411282457</v>
      </c>
      <c r="AX502" s="5">
        <v>1</v>
      </c>
      <c r="AY502" s="5" t="e">
        <f t="shared" si="46"/>
        <v>#N/A</v>
      </c>
      <c r="AZ502" s="5" t="e">
        <f t="shared" si="47"/>
        <v>#N/A</v>
      </c>
      <c r="BA502" s="5">
        <f t="shared" si="48"/>
        <v>-2.9991003238854355E-2</v>
      </c>
      <c r="BD502" s="5">
        <f t="shared" si="49"/>
        <v>1.0007321727873781</v>
      </c>
      <c r="BF502" s="58"/>
    </row>
    <row r="503" spans="48:58" ht="12" customHeight="1">
      <c r="AV503" s="5">
        <f t="shared" si="50"/>
        <v>-2.4000000000034265E-2</v>
      </c>
      <c r="AW503" s="5">
        <f t="shared" si="45"/>
        <v>3.4645979742685351</v>
      </c>
      <c r="AX503" s="5">
        <v>1</v>
      </c>
      <c r="AY503" s="5" t="e">
        <f t="shared" si="46"/>
        <v>#N/A</v>
      </c>
      <c r="AZ503" s="5" t="e">
        <f t="shared" si="47"/>
        <v>#N/A</v>
      </c>
      <c r="BA503" s="5">
        <f t="shared" si="48"/>
        <v>-2.3995393061469965E-2</v>
      </c>
      <c r="BD503" s="5">
        <f t="shared" si="49"/>
        <v>1.0004440621826387</v>
      </c>
      <c r="BF503" s="58"/>
    </row>
    <row r="504" spans="48:58" ht="12" customHeight="1">
      <c r="AV504" s="5">
        <f t="shared" si="50"/>
        <v>-1.8000000000034266E-2</v>
      </c>
      <c r="AW504" s="5">
        <f t="shared" si="45"/>
        <v>3.7233720690347765</v>
      </c>
      <c r="AX504" s="5">
        <v>1</v>
      </c>
      <c r="AY504" s="5" t="e">
        <f t="shared" si="46"/>
        <v>#N/A</v>
      </c>
      <c r="AZ504" s="5" t="e">
        <f t="shared" si="47"/>
        <v>#N/A</v>
      </c>
      <c r="BA504" s="5">
        <f t="shared" si="48"/>
        <v>-1.7998056251943624E-2</v>
      </c>
      <c r="BD504" s="5">
        <f t="shared" si="49"/>
        <v>1.0002280155236065</v>
      </c>
      <c r="BF504" s="58"/>
    </row>
    <row r="505" spans="48:58" ht="12" customHeight="1">
      <c r="AV505" s="5">
        <f t="shared" si="50"/>
        <v>-1.2000000000034266E-2</v>
      </c>
      <c r="AW505" s="5">
        <f t="shared" si="45"/>
        <v>3.9975867020186295</v>
      </c>
      <c r="AX505" s="5">
        <v>1</v>
      </c>
      <c r="AY505" s="5" t="e">
        <f t="shared" si="46"/>
        <v>#N/A</v>
      </c>
      <c r="AZ505" s="5" t="e">
        <f t="shared" si="47"/>
        <v>#N/A</v>
      </c>
      <c r="BA505" s="5">
        <f t="shared" si="48"/>
        <v>-1.1999424033209902E-2</v>
      </c>
      <c r="BD505" s="5">
        <f t="shared" si="49"/>
        <v>1.0000840016992201</v>
      </c>
      <c r="BF505" s="58"/>
    </row>
    <row r="506" spans="48:58" ht="12" customHeight="1">
      <c r="AV506" s="5">
        <f t="shared" si="50"/>
        <v>-6.0000000000342661E-3</v>
      </c>
      <c r="AW506" s="5">
        <f t="shared" si="45"/>
        <v>4.287826585955</v>
      </c>
      <c r="AX506" s="5">
        <v>1</v>
      </c>
      <c r="AY506" s="5" t="e">
        <f t="shared" si="46"/>
        <v>#N/A</v>
      </c>
      <c r="AZ506" s="5" t="e">
        <f t="shared" si="47"/>
        <v>#N/A</v>
      </c>
      <c r="BA506" s="5">
        <f t="shared" si="48"/>
        <v>-5.9999280010710658E-3</v>
      </c>
      <c r="BD506" s="5">
        <f t="shared" si="49"/>
        <v>1.0000119999711949</v>
      </c>
      <c r="BF506" s="58"/>
    </row>
    <row r="507" spans="48:58" ht="12" customHeight="1">
      <c r="AV507" s="5">
        <f t="shared" si="50"/>
        <v>-3.4265992820969871E-14</v>
      </c>
      <c r="AW507" s="5">
        <f t="shared" si="45"/>
        <v>4.5946707898135246</v>
      </c>
      <c r="AX507" s="5">
        <v>1</v>
      </c>
      <c r="AY507" s="5" t="e">
        <f t="shared" si="46"/>
        <v>#N/A</v>
      </c>
      <c r="AZ507" s="5" t="e">
        <f t="shared" si="47"/>
        <v>#N/A</v>
      </c>
      <c r="BA507" s="5">
        <f t="shared" si="48"/>
        <v>-3.4250380309687253E-14</v>
      </c>
      <c r="BD507" s="5">
        <f t="shared" si="49"/>
        <v>1.0000119999712098</v>
      </c>
      <c r="BF507" s="58"/>
    </row>
    <row r="508" spans="48:58" ht="12" customHeight="1">
      <c r="AV508" s="5">
        <f t="shared" si="50"/>
        <v>5.9999999999657341E-3</v>
      </c>
      <c r="AW508" s="5">
        <f t="shared" si="45"/>
        <v>4.9186899987069284</v>
      </c>
      <c r="AX508" s="5">
        <v>1</v>
      </c>
      <c r="AY508" s="5" t="e">
        <f t="shared" si="46"/>
        <v>#N/A</v>
      </c>
      <c r="AZ508" s="5" t="e">
        <f t="shared" si="47"/>
        <v>#N/A</v>
      </c>
      <c r="BA508" s="5">
        <f t="shared" si="48"/>
        <v>5.9999280010024766E-3</v>
      </c>
      <c r="BD508" s="5">
        <f t="shared" si="49"/>
        <v>1.0000840016992028</v>
      </c>
      <c r="BF508" s="58"/>
    </row>
    <row r="509" spans="48:58" ht="12" customHeight="1">
      <c r="AV509" s="5">
        <f t="shared" si="50"/>
        <v>1.1999999999965734E-2</v>
      </c>
      <c r="AW509" s="5">
        <f t="shared" si="45"/>
        <v>5.2604436185280594</v>
      </c>
      <c r="AX509" s="5">
        <v>1</v>
      </c>
      <c r="AY509" s="5" t="e">
        <f t="shared" si="46"/>
        <v>#N/A</v>
      </c>
      <c r="AZ509" s="5" t="e">
        <f t="shared" si="47"/>
        <v>#N/A</v>
      </c>
      <c r="BA509" s="5">
        <f t="shared" si="48"/>
        <v>1.1999424033141417E-2</v>
      </c>
      <c r="BD509" s="5">
        <f t="shared" si="49"/>
        <v>1.0002280155236161</v>
      </c>
      <c r="BF509" s="58"/>
    </row>
    <row r="510" spans="48:58" ht="12" customHeight="1">
      <c r="AV510" s="5">
        <f t="shared" si="50"/>
        <v>1.7999999999965734E-2</v>
      </c>
      <c r="AW510" s="5">
        <f t="shared" si="45"/>
        <v>5.6204767316739934</v>
      </c>
      <c r="AX510" s="5">
        <v>1</v>
      </c>
      <c r="AY510" s="5" t="e">
        <f t="shared" si="46"/>
        <v>#N/A</v>
      </c>
      <c r="AZ510" s="5" t="e">
        <f t="shared" si="47"/>
        <v>#N/A</v>
      </c>
      <c r="BA510" s="5">
        <f t="shared" si="48"/>
        <v>1.7998056251875082E-2</v>
      </c>
      <c r="BD510" s="5">
        <f t="shared" si="49"/>
        <v>1.0004440621826225</v>
      </c>
      <c r="BF510" s="58"/>
    </row>
    <row r="511" spans="48:58" ht="12" customHeight="1">
      <c r="AV511" s="5">
        <f t="shared" si="50"/>
        <v>2.3999999999965736E-2</v>
      </c>
      <c r="AW511" s="5">
        <f t="shared" si="45"/>
        <v>5.9993169117145646</v>
      </c>
      <c r="AX511" s="5">
        <v>1</v>
      </c>
      <c r="AY511" s="5" t="e">
        <f t="shared" si="46"/>
        <v>#N/A</v>
      </c>
      <c r="AZ511" s="5" t="e">
        <f t="shared" si="47"/>
        <v>#N/A</v>
      </c>
      <c r="BA511" s="5">
        <f t="shared" si="48"/>
        <v>2.3995393061401523E-2</v>
      </c>
      <c r="BD511" s="5">
        <f t="shared" si="49"/>
        <v>1.0007321727873821</v>
      </c>
      <c r="BF511" s="58"/>
    </row>
    <row r="512" spans="48:58" ht="12" customHeight="1">
      <c r="AV512" s="5">
        <f t="shared" si="50"/>
        <v>2.9999999999965735E-2</v>
      </c>
      <c r="AW512" s="5">
        <f t="shared" si="45"/>
        <v>6.3974709064040374</v>
      </c>
      <c r="AX512" s="5">
        <v>1</v>
      </c>
      <c r="AY512" s="5" t="e">
        <f t="shared" si="46"/>
        <v>#N/A</v>
      </c>
      <c r="AZ512" s="5" t="e">
        <f t="shared" si="47"/>
        <v>#N/A</v>
      </c>
      <c r="BA512" s="5">
        <f t="shared" si="48"/>
        <v>2.9991003238785889E-2</v>
      </c>
      <c r="BD512" s="5">
        <f t="shared" si="49"/>
        <v>1.0010923888262613</v>
      </c>
      <c r="BF512" s="58"/>
    </row>
    <row r="513" spans="48:58" ht="12" customHeight="1">
      <c r="AV513" s="5">
        <f t="shared" si="50"/>
        <v>3.5999999999965733E-2</v>
      </c>
      <c r="AW513" s="5">
        <f t="shared" si="45"/>
        <v>6.8154212000076706</v>
      </c>
      <c r="AX513" s="5">
        <v>1</v>
      </c>
      <c r="AY513" s="5" t="e">
        <f t="shared" si="46"/>
        <v>#N/A</v>
      </c>
      <c r="AZ513" s="5" t="e">
        <f t="shared" si="47"/>
        <v>#N/A</v>
      </c>
      <c r="BA513" s="5">
        <f t="shared" si="48"/>
        <v>3.5984456057895568E-2</v>
      </c>
      <c r="BD513" s="5">
        <f t="shared" si="49"/>
        <v>1.0015247621709977</v>
      </c>
      <c r="BF513" s="58"/>
    </row>
    <row r="514" spans="48:58" ht="12" customHeight="1">
      <c r="AV514" s="5">
        <f t="shared" si="50"/>
        <v>4.1999999999965731E-2</v>
      </c>
      <c r="AW514" s="5">
        <f t="shared" si="45"/>
        <v>7.2536224675073484</v>
      </c>
      <c r="AX514" s="5">
        <v>1</v>
      </c>
      <c r="AY514" s="5" t="e">
        <f t="shared" si="46"/>
        <v>#N/A</v>
      </c>
      <c r="AZ514" s="5" t="e">
        <f t="shared" si="47"/>
        <v>#N/A</v>
      </c>
      <c r="BA514" s="5">
        <f t="shared" si="48"/>
        <v>4.1975321413030516E-2</v>
      </c>
      <c r="BD514" s="5">
        <f t="shared" si="49"/>
        <v>1.0020293550841546</v>
      </c>
      <c r="BF514" s="58"/>
    </row>
    <row r="515" spans="48:58" ht="12" customHeight="1">
      <c r="AV515" s="5">
        <f t="shared" si="50"/>
        <v>4.799999999996573E-2</v>
      </c>
      <c r="AW515" s="5">
        <f t="shared" si="45"/>
        <v>7.7124979348493872</v>
      </c>
      <c r="AX515" s="5">
        <v>1</v>
      </c>
      <c r="AY515" s="5" t="e">
        <f t="shared" si="46"/>
        <v>#N/A</v>
      </c>
      <c r="AZ515" s="5" t="e">
        <f t="shared" si="47"/>
        <v>#N/A</v>
      </c>
      <c r="BA515" s="5">
        <f t="shared" si="48"/>
        <v>4.7963169942174748E-2</v>
      </c>
      <c r="BD515" s="5">
        <f t="shared" si="49"/>
        <v>1.0026062402279317</v>
      </c>
      <c r="BF515" s="58"/>
    </row>
    <row r="516" spans="48:58" ht="12" customHeight="1">
      <c r="AV516" s="5">
        <f t="shared" si="50"/>
        <v>5.3999999999965728E-2</v>
      </c>
      <c r="AW516" s="5">
        <f t="shared" si="45"/>
        <v>8.1924356609889823</v>
      </c>
      <c r="AX516" s="5">
        <v>1</v>
      </c>
      <c r="AY516" s="5" t="e">
        <f t="shared" si="46"/>
        <v>#N/A</v>
      </c>
      <c r="AZ516" s="5" t="e">
        <f t="shared" si="47"/>
        <v>#N/A</v>
      </c>
      <c r="BA516" s="5">
        <f t="shared" si="48"/>
        <v>5.3947573149794883E-2</v>
      </c>
      <c r="BD516" s="5">
        <f t="shared" si="49"/>
        <v>1.0032555006747961</v>
      </c>
      <c r="BF516" s="58"/>
    </row>
    <row r="517" spans="48:58" ht="12" customHeight="1">
      <c r="AV517" s="5">
        <f t="shared" si="50"/>
        <v>5.9999999999965727E-2</v>
      </c>
      <c r="AW517" s="5">
        <f t="shared" si="45"/>
        <v>8.6937847590547328</v>
      </c>
      <c r="AX517" s="5">
        <v>1</v>
      </c>
      <c r="AY517" s="5" t="e">
        <f t="shared" si="46"/>
        <v>#N/A</v>
      </c>
      <c r="AZ517" s="5" t="e">
        <f t="shared" si="47"/>
        <v>#N/A</v>
      </c>
      <c r="BA517" s="5">
        <f t="shared" si="48"/>
        <v>5.9928103529109385E-2</v>
      </c>
      <c r="BD517" s="5">
        <f t="shared" si="49"/>
        <v>1.0039772299193823</v>
      </c>
      <c r="BF517" s="58"/>
    </row>
    <row r="518" spans="48:58" ht="12" customHeight="1">
      <c r="AV518" s="5">
        <f t="shared" si="50"/>
        <v>6.5999999999965725E-2</v>
      </c>
      <c r="AW518" s="5">
        <f t="shared" si="45"/>
        <v>9.2168515754877411</v>
      </c>
      <c r="AX518" s="5">
        <v>1</v>
      </c>
      <c r="AY518" s="5" t="e">
        <f t="shared" si="46"/>
        <v>#N/A</v>
      </c>
      <c r="AZ518" s="5" t="e">
        <f t="shared" si="47"/>
        <v>#N/A</v>
      </c>
      <c r="BA518" s="5">
        <f t="shared" si="48"/>
        <v>6.5904334683755977E-2</v>
      </c>
      <c r="BD518" s="5">
        <f t="shared" si="49"/>
        <v>1.0047715318919546</v>
      </c>
      <c r="BF518" s="58"/>
    </row>
    <row r="519" spans="48:58" ht="12" customHeight="1">
      <c r="AV519" s="5">
        <f t="shared" si="50"/>
        <v>7.199999999996573E-2</v>
      </c>
      <c r="AW519" s="5">
        <f t="shared" ref="AW519:AW582" si="51">$G$22*NORMDIST(AV519,$AW$3,$AW$4,FALSE)</f>
        <v>9.7618958474864641</v>
      </c>
      <c r="AX519" s="5">
        <v>1</v>
      </c>
      <c r="AY519" s="5" t="e">
        <f t="shared" ref="AY519:AY582" si="52">IF($BF$2,AX519+AW519*$BC$2*BD519,NA())</f>
        <v>#N/A</v>
      </c>
      <c r="AZ519" s="5" t="e">
        <f t="shared" ref="AZ519:AZ582" si="53">IF($BF$2,AX519-AW519*$BC$2*BD519,NA())</f>
        <v>#N/A</v>
      </c>
      <c r="BA519" s="5">
        <f t="shared" ref="BA519:BA582" si="54">(EXP(2*AV519)-1)/(EXP(2*AV519)+1)</f>
        <v>7.1875841448783631E-2</v>
      </c>
      <c r="BD519" s="5">
        <f t="shared" ref="BD519:BD582" si="55">(AV519-AV520)/(BA519-BA520)</f>
        <v>1.0056385209733461</v>
      </c>
      <c r="BF519" s="58"/>
    </row>
    <row r="520" spans="48:58" ht="12" customHeight="1">
      <c r="AV520" s="5">
        <f t="shared" ref="AV520:AV583" si="56">AV519+$BC$4</f>
        <v>7.7999999999965736E-2</v>
      </c>
      <c r="AW520" s="5">
        <f t="shared" si="51"/>
        <v>10.329126860494469</v>
      </c>
      <c r="AX520" s="5">
        <v>1</v>
      </c>
      <c r="AY520" s="5" t="e">
        <f t="shared" si="52"/>
        <v>#N/A</v>
      </c>
      <c r="AZ520" s="5" t="e">
        <f t="shared" si="53"/>
        <v>#N/A</v>
      </c>
      <c r="BA520" s="5">
        <f t="shared" si="54"/>
        <v>7.7842200010896659E-2</v>
      </c>
      <c r="BD520" s="5">
        <f t="shared" si="55"/>
        <v>1.0065783220114999</v>
      </c>
      <c r="BF520" s="58"/>
    </row>
    <row r="521" spans="48:58" ht="12" customHeight="1">
      <c r="AV521" s="5">
        <f t="shared" si="56"/>
        <v>8.3999999999965741E-2</v>
      </c>
      <c r="AW521" s="5">
        <f t="shared" si="51"/>
        <v>10.918699628786172</v>
      </c>
      <c r="AX521" s="5">
        <v>1</v>
      </c>
      <c r="AY521" s="5" t="e">
        <f t="shared" si="52"/>
        <v>#N/A</v>
      </c>
      <c r="AZ521" s="5" t="e">
        <f t="shared" si="53"/>
        <v>#N/A</v>
      </c>
      <c r="BA521" s="5">
        <f t="shared" si="54"/>
        <v>8.3802988027878667E-2</v>
      </c>
      <c r="BD521" s="5">
        <f t="shared" si="55"/>
        <v>1.0075910703393816</v>
      </c>
      <c r="BF521" s="58"/>
    </row>
    <row r="522" spans="48:58" ht="12" customHeight="1">
      <c r="AV522" s="5">
        <f t="shared" si="56"/>
        <v>8.9999999999965746E-2</v>
      </c>
      <c r="AW522" s="5">
        <f t="shared" si="51"/>
        <v>11.530711123418431</v>
      </c>
      <c r="AX522" s="5">
        <v>1</v>
      </c>
      <c r="AY522" s="5" t="e">
        <f t="shared" si="52"/>
        <v>#N/A</v>
      </c>
      <c r="AZ522" s="5" t="e">
        <f t="shared" si="53"/>
        <v>#N/A</v>
      </c>
      <c r="BA522" s="5">
        <f t="shared" si="54"/>
        <v>8.9757784747126146E-2</v>
      </c>
      <c r="BD522" s="5">
        <f t="shared" si="55"/>
        <v>1.0086769117945154</v>
      </c>
      <c r="BF522" s="58"/>
    </row>
    <row r="523" spans="48:58" ht="12" customHeight="1">
      <c r="AV523" s="5">
        <f t="shared" si="56"/>
        <v>9.5999999999965752E-2</v>
      </c>
      <c r="AW523" s="5">
        <f t="shared" si="51"/>
        <v>12.165196572906565</v>
      </c>
      <c r="AX523" s="5">
        <v>1</v>
      </c>
      <c r="AY523" s="5" t="e">
        <f t="shared" si="52"/>
        <v>#N/A</v>
      </c>
      <c r="AZ523" s="5" t="e">
        <f t="shared" si="53"/>
        <v>#N/A</v>
      </c>
      <c r="BA523" s="5">
        <f t="shared" si="54"/>
        <v>9.5706171123221079E-2</v>
      </c>
      <c r="BD523" s="5">
        <f t="shared" si="55"/>
        <v>1.0098360027399513</v>
      </c>
      <c r="BF523" s="58"/>
    </row>
    <row r="524" spans="48:58" ht="12" customHeight="1">
      <c r="AV524" s="5">
        <f t="shared" si="56"/>
        <v>0.10199999999996576</v>
      </c>
      <c r="AW524" s="5">
        <f t="shared" si="51"/>
        <v>12.822125862934469</v>
      </c>
      <c r="AX524" s="5">
        <v>1</v>
      </c>
      <c r="AY524" s="5" t="e">
        <f t="shared" si="52"/>
        <v>#N/A</v>
      </c>
      <c r="AZ524" s="5" t="e">
        <f t="shared" si="53"/>
        <v>#N/A</v>
      </c>
      <c r="BA524" s="5">
        <f t="shared" si="54"/>
        <v>0.10164772993447402</v>
      </c>
      <c r="BD524" s="5">
        <f t="shared" si="55"/>
        <v>1.0110685100867354</v>
      </c>
      <c r="BF524" s="58"/>
    </row>
    <row r="525" spans="48:58" ht="12" customHeight="1">
      <c r="AV525" s="5">
        <f t="shared" si="56"/>
        <v>0.10799999999996576</v>
      </c>
      <c r="AW525" s="5">
        <f t="shared" si="51"/>
        <v>13.50140006220418</v>
      </c>
      <c r="AX525" s="5">
        <v>1</v>
      </c>
      <c r="AY525" s="5" t="e">
        <f t="shared" si="52"/>
        <v>#N/A</v>
      </c>
      <c r="AZ525" s="5" t="e">
        <f t="shared" si="53"/>
        <v>#N/A</v>
      </c>
      <c r="BA525" s="5">
        <f t="shared" si="54"/>
        <v>0.10758204589836977</v>
      </c>
      <c r="BD525" s="5">
        <f t="shared" si="55"/>
        <v>1.0123746113181322</v>
      </c>
      <c r="BF525" s="58"/>
    </row>
    <row r="526" spans="48:58" ht="12" customHeight="1">
      <c r="AV526" s="5">
        <f t="shared" si="56"/>
        <v>0.11399999999996577</v>
      </c>
      <c r="AW526" s="5">
        <f t="shared" si="51"/>
        <v>14.202848102153807</v>
      </c>
      <c r="AX526" s="5">
        <v>1</v>
      </c>
      <c r="AY526" s="5" t="e">
        <f t="shared" si="52"/>
        <v>#N/A</v>
      </c>
      <c r="AZ526" s="5" t="e">
        <f t="shared" si="53"/>
        <v>#N/A</v>
      </c>
      <c r="BA526" s="5">
        <f t="shared" si="54"/>
        <v>0.11350870578584747</v>
      </c>
      <c r="BD526" s="5">
        <f t="shared" si="55"/>
        <v>1.0137544945149137</v>
      </c>
      <c r="BF526" s="58"/>
    </row>
    <row r="527" spans="48:58" ht="12" customHeight="1">
      <c r="AV527" s="5">
        <f t="shared" si="56"/>
        <v>0.11999999999996577</v>
      </c>
      <c r="AW527" s="5">
        <f t="shared" si="51"/>
        <v>14.926223638709718</v>
      </c>
      <c r="AX527" s="5">
        <v>1</v>
      </c>
      <c r="AY527" s="5" t="e">
        <f t="shared" si="52"/>
        <v>#N/A</v>
      </c>
      <c r="AZ527" s="5" t="e">
        <f t="shared" si="53"/>
        <v>#N/A</v>
      </c>
      <c r="BA527" s="5">
        <f t="shared" si="54"/>
        <v>0.11942729853435216</v>
      </c>
      <c r="BD527" s="5">
        <f t="shared" si="55"/>
        <v>1.0152083583826874</v>
      </c>
      <c r="BF527" s="58"/>
    </row>
    <row r="528" spans="48:58" ht="12" customHeight="1">
      <c r="AV528" s="5">
        <f t="shared" si="56"/>
        <v>0.12599999999996578</v>
      </c>
      <c r="AW528" s="5">
        <f t="shared" si="51"/>
        <v>15.671202124474567</v>
      </c>
      <c r="AX528" s="5">
        <v>1</v>
      </c>
      <c r="AY528" s="5" t="e">
        <f t="shared" si="52"/>
        <v>#N/A</v>
      </c>
      <c r="AZ528" s="5" t="e">
        <f t="shared" si="53"/>
        <v>#N/A</v>
      </c>
      <c r="BA528" s="5">
        <f t="shared" si="54"/>
        <v>0.12533741535959039</v>
      </c>
      <c r="BD528" s="5">
        <f t="shared" si="55"/>
        <v>1.016736412280316</v>
      </c>
      <c r="BF528" s="58"/>
    </row>
    <row r="529" spans="48:58" ht="12" customHeight="1">
      <c r="AV529" s="5">
        <f t="shared" si="56"/>
        <v>0.13199999999996578</v>
      </c>
      <c r="AW529" s="5">
        <f t="shared" si="51"/>
        <v>16.437378119774866</v>
      </c>
      <c r="AX529" s="5">
        <v>1</v>
      </c>
      <c r="AY529" s="5" t="e">
        <f t="shared" si="52"/>
        <v>#N/A</v>
      </c>
      <c r="AZ529" s="5" t="e">
        <f t="shared" si="53"/>
        <v>#N/A</v>
      </c>
      <c r="BA529" s="5">
        <f t="shared" si="54"/>
        <v>0.13123864986592948</v>
      </c>
      <c r="BD529" s="5">
        <f t="shared" si="55"/>
        <v>1.0183388762502676</v>
      </c>
      <c r="BF529" s="58"/>
    </row>
    <row r="530" spans="48:58" ht="12" customHeight="1">
      <c r="AV530" s="5">
        <f t="shared" si="56"/>
        <v>0.13799999999996579</v>
      </c>
      <c r="AW530" s="5">
        <f t="shared" si="51"/>
        <v>17.224262870788433</v>
      </c>
      <c r="AX530" s="5">
        <v>1</v>
      </c>
      <c r="AY530" s="5" t="e">
        <f t="shared" si="52"/>
        <v>#N/A</v>
      </c>
      <c r="AZ530" s="5" t="e">
        <f t="shared" si="53"/>
        <v>#N/A</v>
      </c>
      <c r="BA530" s="5">
        <f t="shared" si="54"/>
        <v>0.13713059815537634</v>
      </c>
      <c r="BD530" s="5">
        <f t="shared" si="55"/>
        <v>1.020015981050052</v>
      </c>
      <c r="BF530" s="58"/>
    </row>
    <row r="531" spans="48:58" ht="12" customHeight="1">
      <c r="AV531" s="5">
        <f t="shared" si="56"/>
        <v>0.14399999999996579</v>
      </c>
      <c r="AW531" s="5">
        <f t="shared" si="51"/>
        <v>18.031282182533882</v>
      </c>
      <c r="AX531" s="5">
        <v>1</v>
      </c>
      <c r="AY531" s="5" t="e">
        <f t="shared" si="52"/>
        <v>#N/A</v>
      </c>
      <c r="AZ531" s="5" t="e">
        <f t="shared" si="53"/>
        <v>#N/A</v>
      </c>
      <c r="BA531" s="5">
        <f t="shared" si="54"/>
        <v>0.14301285893507837</v>
      </c>
      <c r="BD531" s="5">
        <f t="shared" si="55"/>
        <v>1.0217679681857161</v>
      </c>
      <c r="BF531" s="58"/>
    </row>
    <row r="532" spans="48:58" ht="12" customHeight="1">
      <c r="AV532" s="5">
        <f t="shared" si="56"/>
        <v>0.1499999999999658</v>
      </c>
      <c r="AW532" s="5">
        <f t="shared" si="51"/>
        <v>18.85777461382288</v>
      </c>
      <c r="AX532" s="5">
        <v>1</v>
      </c>
      <c r="AY532" s="5" t="e">
        <f t="shared" si="52"/>
        <v>#N/A</v>
      </c>
      <c r="AZ532" s="5" t="e">
        <f t="shared" si="53"/>
        <v>#N/A</v>
      </c>
      <c r="BA532" s="5">
        <f t="shared" si="54"/>
        <v>0.14888503362328454</v>
      </c>
      <c r="BD532" s="5">
        <f t="shared" si="55"/>
        <v>1.0235950899463995</v>
      </c>
      <c r="BF532" s="58"/>
    </row>
    <row r="533" spans="48:58" ht="12" customHeight="1">
      <c r="AV533" s="5">
        <f t="shared" si="56"/>
        <v>0.1559999999999658</v>
      </c>
      <c r="AW533" s="5">
        <f t="shared" si="51"/>
        <v>19.70299002034616</v>
      </c>
      <c r="AX533" s="5">
        <v>1</v>
      </c>
      <c r="AY533" s="5" t="e">
        <f t="shared" si="52"/>
        <v>#N/A</v>
      </c>
      <c r="AZ533" s="5" t="e">
        <f t="shared" si="53"/>
        <v>#N/A</v>
      </c>
      <c r="BA533" s="5">
        <f t="shared" si="54"/>
        <v>0.15474672645371243</v>
      </c>
      <c r="BD533" s="5">
        <f t="shared" si="55"/>
        <v>1.025497609440791</v>
      </c>
      <c r="BF533" s="58"/>
    </row>
    <row r="534" spans="48:58" ht="12" customHeight="1">
      <c r="AV534" s="5">
        <f t="shared" si="56"/>
        <v>0.16199999999996581</v>
      </c>
      <c r="AW534" s="5">
        <f t="shared" si="51"/>
        <v>20.566088470881418</v>
      </c>
      <c r="AX534" s="5">
        <v>1</v>
      </c>
      <c r="AY534" s="5" t="e">
        <f t="shared" si="52"/>
        <v>#N/A</v>
      </c>
      <c r="AZ534" s="5" t="e">
        <f t="shared" si="53"/>
        <v>#N/A</v>
      </c>
      <c r="BA534" s="5">
        <f t="shared" si="54"/>
        <v>0.16059754457826353</v>
      </c>
      <c r="BD534" s="5">
        <f t="shared" si="55"/>
        <v>1.0274758006350084</v>
      </c>
      <c r="BF534" s="58"/>
    </row>
    <row r="535" spans="48:58" ht="12" customHeight="1">
      <c r="AV535" s="5">
        <f t="shared" si="56"/>
        <v>0.16799999999996582</v>
      </c>
      <c r="AW535" s="5">
        <f t="shared" si="51"/>
        <v>21.446139560174835</v>
      </c>
      <c r="AX535" s="5">
        <v>1</v>
      </c>
      <c r="AY535" s="5" t="e">
        <f t="shared" si="52"/>
        <v>#N/A</v>
      </c>
      <c r="AZ535" s="5" t="e">
        <f t="shared" si="53"/>
        <v>#N/A</v>
      </c>
      <c r="BA535" s="5">
        <f t="shared" si="54"/>
        <v>0.16643709816803356</v>
      </c>
      <c r="BD535" s="5">
        <f t="shared" si="55"/>
        <v>1.0295299483920011</v>
      </c>
      <c r="BF535" s="58"/>
    </row>
    <row r="536" spans="48:58" ht="12" customHeight="1">
      <c r="AV536" s="5">
        <f t="shared" si="56"/>
        <v>0.17399999999996582</v>
      </c>
      <c r="AW536" s="5">
        <f t="shared" si="51"/>
        <v>22.342122140358573</v>
      </c>
      <c r="AX536" s="5">
        <v>1</v>
      </c>
      <c r="AY536" s="5" t="e">
        <f t="shared" si="52"/>
        <v>#N/A</v>
      </c>
      <c r="AZ536" s="5" t="e">
        <f t="shared" si="53"/>
        <v>#N/A</v>
      </c>
      <c r="BA536" s="5">
        <f t="shared" si="54"/>
        <v>0.17226500051256591</v>
      </c>
      <c r="BD536" s="5">
        <f t="shared" si="55"/>
        <v>1.0316603485125815</v>
      </c>
      <c r="BF536" s="58"/>
    </row>
    <row r="537" spans="48:58" ht="12" customHeight="1">
      <c r="AV537" s="5">
        <f t="shared" si="56"/>
        <v>0.17999999999996583</v>
      </c>
      <c r="AW537" s="5">
        <f t="shared" si="51"/>
        <v>23.252924490828093</v>
      </c>
      <c r="AX537" s="5">
        <v>1</v>
      </c>
      <c r="AY537" s="5" t="e">
        <f t="shared" si="52"/>
        <v>#N/A</v>
      </c>
      <c r="AZ537" s="5" t="e">
        <f t="shared" si="53"/>
        <v>#N/A</v>
      </c>
      <c r="BA537" s="5">
        <f t="shared" si="54"/>
        <v>0.17808086811729709</v>
      </c>
      <c r="BD537" s="5">
        <f t="shared" si="55"/>
        <v>1.0338673077780471</v>
      </c>
      <c r="BF537" s="58"/>
    </row>
    <row r="538" spans="48:58" ht="12" customHeight="1">
      <c r="AV538" s="5">
        <f t="shared" si="56"/>
        <v>0.18599999999996583</v>
      </c>
      <c r="AW538" s="5">
        <f t="shared" si="51"/>
        <v>24.177344944321476</v>
      </c>
      <c r="AX538" s="5">
        <v>1</v>
      </c>
      <c r="AY538" s="5" t="e">
        <f t="shared" si="52"/>
        <v>#N/A</v>
      </c>
      <c r="AZ538" s="5" t="e">
        <f t="shared" si="53"/>
        <v>#N/A</v>
      </c>
      <c r="BA538" s="5">
        <f t="shared" si="54"/>
        <v>0.1838843207991456</v>
      </c>
      <c r="BD538" s="5">
        <f t="shared" si="55"/>
        <v>1.0361511439943398</v>
      </c>
      <c r="BF538" s="58"/>
    </row>
    <row r="539" spans="48:58" ht="12" customHeight="1">
      <c r="AV539" s="5">
        <f t="shared" si="56"/>
        <v>0.19199999999996584</v>
      </c>
      <c r="AW539" s="5">
        <f t="shared" si="51"/>
        <v>25.114092984527691</v>
      </c>
      <c r="AX539" s="5">
        <v>1</v>
      </c>
      <c r="AY539" s="5" t="e">
        <f t="shared" si="52"/>
        <v>#N/A</v>
      </c>
      <c r="AZ539" s="5" t="e">
        <f t="shared" si="53"/>
        <v>#N/A</v>
      </c>
      <c r="BA539" s="5">
        <f t="shared" si="54"/>
        <v>0.1896749817801972</v>
      </c>
      <c r="BD539" s="5">
        <f t="shared" si="55"/>
        <v>1.0385121860378548</v>
      </c>
      <c r="BF539" s="58"/>
    </row>
    <row r="540" spans="48:58" ht="12" customHeight="1">
      <c r="AV540" s="5">
        <f t="shared" si="56"/>
        <v>0.19799999999996584</v>
      </c>
      <c r="AW540" s="5">
        <f t="shared" si="51"/>
        <v>26.061790827912596</v>
      </c>
      <c r="AX540" s="5">
        <v>1</v>
      </c>
      <c r="AY540" s="5" t="e">
        <f t="shared" si="52"/>
        <v>#N/A</v>
      </c>
      <c r="AZ540" s="5" t="e">
        <f t="shared" si="53"/>
        <v>#N/A</v>
      </c>
      <c r="BA540" s="5">
        <f t="shared" si="54"/>
        <v>0.19545247777944136</v>
      </c>
      <c r="BD540" s="5">
        <f t="shared" si="55"/>
        <v>1.0409507739026904</v>
      </c>
      <c r="BF540" s="58"/>
    </row>
    <row r="541" spans="48:58" ht="12" customHeight="1">
      <c r="AV541" s="5">
        <f t="shared" si="56"/>
        <v>0.20399999999996585</v>
      </c>
      <c r="AW541" s="5">
        <f t="shared" si="51"/>
        <v>27.018975499606</v>
      </c>
      <c r="AX541" s="5">
        <v>1</v>
      </c>
      <c r="AY541" s="5" t="e">
        <f t="shared" si="52"/>
        <v>#N/A</v>
      </c>
      <c r="AZ541" s="5" t="e">
        <f t="shared" si="53"/>
        <v>#N/A</v>
      </c>
      <c r="BA541" s="5">
        <f t="shared" si="54"/>
        <v>0.20121643910251627</v>
      </c>
      <c r="BD541" s="5">
        <f t="shared" si="55"/>
        <v>1.0434672587497589</v>
      </c>
      <c r="BF541" s="58"/>
    </row>
    <row r="542" spans="48:58" ht="12" customHeight="1">
      <c r="AV542" s="5">
        <f t="shared" si="56"/>
        <v>0.20999999999996585</v>
      </c>
      <c r="AW542" s="5">
        <f t="shared" si="51"/>
        <v>27.984101410155972</v>
      </c>
      <c r="AX542" s="5">
        <v>1</v>
      </c>
      <c r="AY542" s="5" t="e">
        <f t="shared" si="52"/>
        <v>#N/A</v>
      </c>
      <c r="AZ542" s="5" t="e">
        <f t="shared" si="53"/>
        <v>#N/A</v>
      </c>
      <c r="BA542" s="5">
        <f t="shared" si="54"/>
        <v>0.20696649972941986</v>
      </c>
      <c r="BD542" s="5">
        <f t="shared" si="55"/>
        <v>1.046062002957139</v>
      </c>
      <c r="BF542" s="58"/>
    </row>
    <row r="543" spans="48:58" ht="12" customHeight="1">
      <c r="AV543" s="5">
        <f t="shared" si="56"/>
        <v>0.21599999999996586</v>
      </c>
      <c r="AW543" s="5">
        <f t="shared" si="51"/>
        <v>28.955543436748503</v>
      </c>
      <c r="AX543" s="5">
        <v>1</v>
      </c>
      <c r="AY543" s="5" t="e">
        <f t="shared" si="52"/>
        <v>#N/A</v>
      </c>
      <c r="AZ543" s="5" t="e">
        <f t="shared" si="53"/>
        <v>#N/A</v>
      </c>
      <c r="BA543" s="5">
        <f t="shared" si="54"/>
        <v>0.21270229740014918</v>
      </c>
      <c r="BD543" s="5">
        <f t="shared" si="55"/>
        <v>1.0487353801725756</v>
      </c>
      <c r="BF543" s="58"/>
    </row>
    <row r="544" spans="48:58" ht="12" customHeight="1">
      <c r="AV544" s="5">
        <f t="shared" si="56"/>
        <v>0.22199999999996586</v>
      </c>
      <c r="AW544" s="5">
        <f t="shared" si="51"/>
        <v>29.931600509132867</v>
      </c>
      <c r="AX544" s="5">
        <v>1</v>
      </c>
      <c r="AY544" s="5" t="e">
        <f t="shared" si="52"/>
        <v>#N/A</v>
      </c>
      <c r="AZ544" s="5" t="e">
        <f t="shared" si="53"/>
        <v>#N/A</v>
      </c>
      <c r="BA544" s="5">
        <f t="shared" si="54"/>
        <v>0.21842347369822798</v>
      </c>
      <c r="BD544" s="5">
        <f t="shared" si="55"/>
        <v>1.0514877753669711</v>
      </c>
      <c r="BF544" s="58"/>
    </row>
    <row r="545" spans="48:58" ht="12" customHeight="1">
      <c r="AV545" s="5">
        <f t="shared" si="56"/>
        <v>0.22799999999996587</v>
      </c>
      <c r="AW545" s="5">
        <f t="shared" si="51"/>
        <v>30.910499697010081</v>
      </c>
      <c r="AX545" s="5">
        <v>1</v>
      </c>
      <c r="AY545" s="5" t="e">
        <f t="shared" si="52"/>
        <v>#N/A</v>
      </c>
      <c r="AZ545" s="5" t="e">
        <f t="shared" si="53"/>
        <v>#N/A</v>
      </c>
      <c r="BA545" s="5">
        <f t="shared" si="54"/>
        <v>0.22412967413209037</v>
      </c>
      <c r="BD545" s="5">
        <f t="shared" si="55"/>
        <v>1.054319584889966</v>
      </c>
      <c r="BF545" s="58"/>
    </row>
    <row r="546" spans="48:58" ht="12" customHeight="1">
      <c r="AV546" s="5">
        <f t="shared" si="56"/>
        <v>0.23399999999996587</v>
      </c>
      <c r="AW546" s="5">
        <f t="shared" si="51"/>
        <v>31.890400792060365</v>
      </c>
      <c r="AX546" s="5">
        <v>1</v>
      </c>
      <c r="AY546" s="5" t="e">
        <f t="shared" si="52"/>
        <v>#N/A</v>
      </c>
      <c r="AZ546" s="5" t="e">
        <f t="shared" si="53"/>
        <v>#N/A</v>
      </c>
      <c r="BA546" s="5">
        <f t="shared" si="54"/>
        <v>0.22982054821428452</v>
      </c>
      <c r="BD546" s="5">
        <f t="shared" si="55"/>
        <v>1.0572312165270534</v>
      </c>
      <c r="BF546" s="58"/>
    </row>
    <row r="547" spans="48:58" ht="12" customHeight="1">
      <c r="AV547" s="5">
        <f t="shared" si="56"/>
        <v>0.23999999999996588</v>
      </c>
      <c r="AW547" s="5">
        <f t="shared" si="51"/>
        <v>32.869401374133695</v>
      </c>
      <c r="AX547" s="5">
        <v>1</v>
      </c>
      <c r="AY547" s="5" t="e">
        <f t="shared" si="52"/>
        <v>#N/A</v>
      </c>
      <c r="AZ547" s="5" t="e">
        <f t="shared" si="53"/>
        <v>#N/A</v>
      </c>
      <c r="BA547" s="5">
        <f t="shared" si="54"/>
        <v>0.23549574953846569</v>
      </c>
      <c r="BD547" s="5">
        <f t="shared" si="55"/>
        <v>1.0602230895582017</v>
      </c>
      <c r="BF547" s="58"/>
    </row>
    <row r="548" spans="48:58" ht="12" customHeight="1">
      <c r="AV548" s="5">
        <f t="shared" si="56"/>
        <v>0.24599999999996588</v>
      </c>
      <c r="AW548" s="5">
        <f t="shared" si="51"/>
        <v>33.845542347435</v>
      </c>
      <c r="AX548" s="5">
        <v>1</v>
      </c>
      <c r="AY548" s="5" t="e">
        <f t="shared" si="52"/>
        <v>#N/A</v>
      </c>
      <c r="AZ548" s="5" t="e">
        <f t="shared" si="53"/>
        <v>#N/A</v>
      </c>
      <c r="BA548" s="5">
        <f t="shared" si="54"/>
        <v>0.24115493585414971</v>
      </c>
      <c r="BD548" s="5">
        <f t="shared" si="55"/>
        <v>1.0632956348183364</v>
      </c>
      <c r="BF548" s="58"/>
    </row>
    <row r="549" spans="48:58" ht="12" customHeight="1">
      <c r="AV549" s="5">
        <f t="shared" si="56"/>
        <v>0.25199999999996586</v>
      </c>
      <c r="AW549" s="5">
        <f t="shared" si="51"/>
        <v>34.816813928834819</v>
      </c>
      <c r="AX549" s="5">
        <v>1</v>
      </c>
      <c r="AY549" s="5" t="e">
        <f t="shared" si="52"/>
        <v>#N/A</v>
      </c>
      <c r="AZ549" s="5" t="e">
        <f t="shared" si="53"/>
        <v>#N/A</v>
      </c>
      <c r="BA549" s="5">
        <f t="shared" si="54"/>
        <v>0.24679776913919849</v>
      </c>
      <c r="BD549" s="5">
        <f t="shared" si="55"/>
        <v>1.0664492947592339</v>
      </c>
      <c r="BF549" s="58"/>
    </row>
    <row r="550" spans="48:58" ht="12" customHeight="1">
      <c r="AV550" s="5">
        <f t="shared" si="56"/>
        <v>0.25799999999996587</v>
      </c>
      <c r="AW550" s="5">
        <f t="shared" si="51"/>
        <v>35.781162066758796</v>
      </c>
      <c r="AX550" s="5">
        <v>1</v>
      </c>
      <c r="AY550" s="5" t="e">
        <f t="shared" si="52"/>
        <v>#N/A</v>
      </c>
      <c r="AZ550" s="5" t="e">
        <f t="shared" si="53"/>
        <v>#N/A</v>
      </c>
      <c r="BA550" s="5">
        <f t="shared" si="54"/>
        <v>0.25242391567001371</v>
      </c>
      <c r="BD550" s="5">
        <f t="shared" si="55"/>
        <v>1.0696845235133965</v>
      </c>
      <c r="BF550" s="58"/>
    </row>
    <row r="551" spans="48:58" ht="12" customHeight="1">
      <c r="AV551" s="5">
        <f t="shared" si="56"/>
        <v>0.26399999999996587</v>
      </c>
      <c r="AW551" s="5">
        <f t="shared" si="51"/>
        <v>36.736495265488692</v>
      </c>
      <c r="AX551" s="5">
        <v>1</v>
      </c>
      <c r="AY551" s="5" t="e">
        <f t="shared" si="52"/>
        <v>#N/A</v>
      </c>
      <c r="AZ551" s="5" t="e">
        <f t="shared" si="53"/>
        <v>#N/A</v>
      </c>
      <c r="BA551" s="5">
        <f t="shared" si="54"/>
        <v>0.25803304608941335</v>
      </c>
      <c r="BD551" s="5">
        <f t="shared" si="55"/>
        <v>1.0730017869593798</v>
      </c>
      <c r="BF551" s="58"/>
    </row>
    <row r="552" spans="48:58" ht="12" customHeight="1">
      <c r="AV552" s="5">
        <f t="shared" si="56"/>
        <v>0.26999999999996588</v>
      </c>
      <c r="AW552" s="5">
        <f t="shared" si="51"/>
        <v>37.68069178617872</v>
      </c>
      <c r="AX552" s="5">
        <v>1</v>
      </c>
      <c r="AY552" s="5" t="e">
        <f t="shared" si="52"/>
        <v>#N/A</v>
      </c>
      <c r="AZ552" s="5" t="e">
        <f t="shared" si="53"/>
        <v>#N/A</v>
      </c>
      <c r="BA552" s="5">
        <f t="shared" si="54"/>
        <v>0.26362483547217153</v>
      </c>
      <c r="BD552" s="5">
        <f t="shared" si="55"/>
        <v>1.0764015627887935</v>
      </c>
      <c r="BF552" s="58"/>
    </row>
    <row r="553" spans="48:58" ht="12" customHeight="1">
      <c r="AV553" s="5">
        <f t="shared" si="56"/>
        <v>0.27599999999996588</v>
      </c>
      <c r="AW553" s="5">
        <f t="shared" si="51"/>
        <v>38.61160719248582</v>
      </c>
      <c r="AX553" s="5">
        <v>1</v>
      </c>
      <c r="AY553" s="5" t="e">
        <f t="shared" si="52"/>
        <v>#N/A</v>
      </c>
      <c r="AZ553" s="5" t="e">
        <f t="shared" si="53"/>
        <v>#N/A</v>
      </c>
      <c r="BA553" s="5">
        <f t="shared" si="54"/>
        <v>0.26919896338820215</v>
      </c>
      <c r="BD553" s="5">
        <f t="shared" si="55"/>
        <v>1.079884340575294</v>
      </c>
      <c r="BF553" s="58"/>
    </row>
    <row r="554" spans="48:58" ht="12" customHeight="1">
      <c r="AV554" s="5">
        <f t="shared" si="56"/>
        <v>0.28199999999996589</v>
      </c>
      <c r="AW554" s="5">
        <f t="shared" si="51"/>
        <v>39.527082205466549</v>
      </c>
      <c r="AX554" s="5">
        <v>1</v>
      </c>
      <c r="AY554" s="5" t="e">
        <f t="shared" si="52"/>
        <v>#N/A</v>
      </c>
      <c r="AZ554" s="5" t="e">
        <f t="shared" si="53"/>
        <v>#N/A</v>
      </c>
      <c r="BA554" s="5">
        <f t="shared" si="54"/>
        <v>0.27475511396336799</v>
      </c>
      <c r="BD554" s="5">
        <f t="shared" si="55"/>
        <v>1.0834506218448661</v>
      </c>
      <c r="BF554" s="58"/>
    </row>
    <row r="555" spans="48:58" ht="12" customHeight="1">
      <c r="AV555" s="5">
        <f t="shared" si="56"/>
        <v>0.28799999999996589</v>
      </c>
      <c r="AW555" s="5">
        <f t="shared" si="51"/>
        <v>40.424950829338663</v>
      </c>
      <c r="AX555" s="5">
        <v>1</v>
      </c>
      <c r="AY555" s="5" t="e">
        <f t="shared" si="52"/>
        <v>#N/A</v>
      </c>
      <c r="AZ555" s="5" t="e">
        <f t="shared" si="53"/>
        <v>#N/A</v>
      </c>
      <c r="BA555" s="5">
        <f t="shared" si="54"/>
        <v>0.28029297593790209</v>
      </c>
      <c r="BD555" s="5">
        <f t="shared" si="55"/>
        <v>1.0871009201481889</v>
      </c>
      <c r="BF555" s="58"/>
    </row>
    <row r="556" spans="48:58" ht="12" customHeight="1">
      <c r="AV556" s="5">
        <f t="shared" si="56"/>
        <v>0.2939999999999659</v>
      </c>
      <c r="AW556" s="5">
        <f t="shared" si="51"/>
        <v>41.303048706874051</v>
      </c>
      <c r="AX556" s="5">
        <v>1</v>
      </c>
      <c r="AY556" s="5" t="e">
        <f t="shared" si="52"/>
        <v>#N/A</v>
      </c>
      <c r="AZ556" s="5" t="e">
        <f t="shared" si="53"/>
        <v>#N/A</v>
      </c>
      <c r="BA556" s="5">
        <f t="shared" si="54"/>
        <v>0.28581224272242667</v>
      </c>
      <c r="BD556" s="5">
        <f t="shared" si="55"/>
        <v>1.090835761134501</v>
      </c>
      <c r="BF556" s="58"/>
    </row>
    <row r="557" spans="48:58" ht="12" customHeight="1">
      <c r="AV557" s="5">
        <f t="shared" si="56"/>
        <v>0.29999999999996591</v>
      </c>
      <c r="AW557" s="5">
        <f t="shared" si="51"/>
        <v>42.159221660613056</v>
      </c>
      <c r="AX557" s="5">
        <v>1</v>
      </c>
      <c r="AY557" s="5" t="e">
        <f t="shared" si="52"/>
        <v>#N/A</v>
      </c>
      <c r="AZ557" s="5" t="e">
        <f t="shared" si="53"/>
        <v>#N/A</v>
      </c>
      <c r="BA557" s="5">
        <f t="shared" si="54"/>
        <v>0.2913126124515597</v>
      </c>
      <c r="BD557" s="5">
        <f t="shared" si="55"/>
        <v>1.0946556826273885</v>
      </c>
      <c r="BF557" s="58"/>
    </row>
    <row r="558" spans="48:58" ht="12" customHeight="1">
      <c r="AV558" s="5">
        <f t="shared" si="56"/>
        <v>0.30599999999996591</v>
      </c>
      <c r="AW558" s="5">
        <f t="shared" si="51"/>
        <v>42.991334373796313</v>
      </c>
      <c r="AX558" s="5">
        <v>1</v>
      </c>
      <c r="AY558" s="5" t="e">
        <f t="shared" si="52"/>
        <v>#N/A</v>
      </c>
      <c r="AZ558" s="5" t="e">
        <f t="shared" si="53"/>
        <v>#N/A</v>
      </c>
      <c r="BA558" s="5">
        <f t="shared" si="54"/>
        <v>0.2967937880350992</v>
      </c>
      <c r="BD558" s="5">
        <f t="shared" si="55"/>
        <v>1.0985612347021592</v>
      </c>
      <c r="BF558" s="58"/>
    </row>
    <row r="559" spans="48:58" ht="12" customHeight="1">
      <c r="AV559" s="5">
        <f t="shared" si="56"/>
        <v>0.31199999999996592</v>
      </c>
      <c r="AW559" s="5">
        <f t="shared" si="51"/>
        <v>43.797279162926706</v>
      </c>
      <c r="AX559" s="5">
        <v>1</v>
      </c>
      <c r="AY559" s="5" t="e">
        <f t="shared" si="52"/>
        <v>#N/A</v>
      </c>
      <c r="AZ559" s="5" t="e">
        <f t="shared" si="53"/>
        <v>#N/A</v>
      </c>
      <c r="BA559" s="5">
        <f t="shared" si="54"/>
        <v>0.30225547720677903</v>
      </c>
      <c r="BD559" s="5">
        <f t="shared" si="55"/>
        <v>1.102552979764994</v>
      </c>
      <c r="BF559" s="58"/>
    </row>
    <row r="560" spans="48:58" ht="12" customHeight="1">
      <c r="AV560" s="5">
        <f t="shared" si="56"/>
        <v>0.31799999999996592</v>
      </c>
      <c r="AW560" s="5">
        <f t="shared" si="51"/>
        <v>44.574984792224214</v>
      </c>
      <c r="AX560" s="5">
        <v>1</v>
      </c>
      <c r="AY560" s="5" t="e">
        <f t="shared" si="52"/>
        <v>#N/A</v>
      </c>
      <c r="AZ560" s="5" t="e">
        <f t="shared" si="53"/>
        <v>#N/A</v>
      </c>
      <c r="BA560" s="5">
        <f t="shared" si="54"/>
        <v>0.3076973925705912</v>
      </c>
      <c r="BD560" s="5">
        <f t="shared" si="55"/>
        <v>1.1066314926341423</v>
      </c>
      <c r="BF560" s="58"/>
    </row>
    <row r="561" spans="48:58" ht="12" customHeight="1">
      <c r="AV561" s="5">
        <f t="shared" si="56"/>
        <v>0.32399999999996593</v>
      </c>
      <c r="AW561" s="5">
        <f t="shared" si="51"/>
        <v>45.322425278943797</v>
      </c>
      <c r="AX561" s="5">
        <v>1</v>
      </c>
      <c r="AY561" s="5" t="e">
        <f t="shared" si="52"/>
        <v>#N/A</v>
      </c>
      <c r="AZ561" s="5" t="e">
        <f t="shared" si="53"/>
        <v>#N/A</v>
      </c>
      <c r="BA561" s="5">
        <f t="shared" si="54"/>
        <v>0.31311925164467019</v>
      </c>
      <c r="BD561" s="5">
        <f t="shared" si="55"/>
        <v>1.1107973606224979</v>
      </c>
      <c r="BF561" s="58"/>
    </row>
    <row r="562" spans="48:58" ht="12" customHeight="1">
      <c r="AV562" s="5">
        <f t="shared" si="56"/>
        <v>0.32999999999996593</v>
      </c>
      <c r="AW562" s="5">
        <f t="shared" si="51"/>
        <v>46.037628637607014</v>
      </c>
      <c r="AX562" s="5">
        <v>1</v>
      </c>
      <c r="AY562" s="5" t="e">
        <f t="shared" si="52"/>
        <v>#N/A</v>
      </c>
      <c r="AZ562" s="5" t="e">
        <f t="shared" si="53"/>
        <v>#N/A</v>
      </c>
      <c r="BA562" s="5">
        <f t="shared" si="54"/>
        <v>0.31852077690274028</v>
      </c>
      <c r="BD562" s="5">
        <f t="shared" si="55"/>
        <v>1.1150511836222472</v>
      </c>
      <c r="BF562" s="58"/>
    </row>
    <row r="563" spans="48:58" ht="12" customHeight="1">
      <c r="AV563" s="5">
        <f t="shared" si="56"/>
        <v>0.33599999999996594</v>
      </c>
      <c r="AW563" s="5">
        <f t="shared" si="51"/>
        <v>46.718685510670191</v>
      </c>
      <c r="AX563" s="5">
        <v>1</v>
      </c>
      <c r="AY563" s="5" t="e">
        <f t="shared" si="52"/>
        <v>#N/A</v>
      </c>
      <c r="AZ563" s="5" t="e">
        <f t="shared" si="53"/>
        <v>#N/A</v>
      </c>
      <c r="BA563" s="5">
        <f t="shared" si="54"/>
        <v>0.32390169581312517</v>
      </c>
      <c r="BD563" s="5">
        <f t="shared" si="55"/>
        <v>1.1193935741911958</v>
      </c>
      <c r="BF563" s="58"/>
    </row>
    <row r="564" spans="48:58" ht="12" customHeight="1">
      <c r="AV564" s="5">
        <f t="shared" si="56"/>
        <v>0.34199999999996594</v>
      </c>
      <c r="AW564" s="5">
        <f t="shared" si="51"/>
        <v>47.363757633024065</v>
      </c>
      <c r="AX564" s="5">
        <v>1</v>
      </c>
      <c r="AY564" s="5" t="e">
        <f t="shared" si="52"/>
        <v>#N/A</v>
      </c>
      <c r="AZ564" s="5" t="e">
        <f t="shared" si="53"/>
        <v>#N/A</v>
      </c>
      <c r="BA564" s="5">
        <f t="shared" si="54"/>
        <v>0.32926174087532345</v>
      </c>
      <c r="BD564" s="5">
        <f t="shared" si="55"/>
        <v>1.1238251576411851</v>
      </c>
      <c r="BF564" s="58"/>
    </row>
    <row r="565" spans="48:58" ht="12" customHeight="1">
      <c r="AV565" s="5">
        <f t="shared" si="56"/>
        <v>0.34799999999996595</v>
      </c>
      <c r="AW565" s="5">
        <f t="shared" si="51"/>
        <v>47.971086078003466</v>
      </c>
      <c r="AX565" s="5">
        <v>1</v>
      </c>
      <c r="AY565" s="5" t="e">
        <f t="shared" si="52"/>
        <v>#N/A</v>
      </c>
      <c r="AZ565" s="5" t="e">
        <f t="shared" si="53"/>
        <v>#N/A</v>
      </c>
      <c r="BA565" s="5">
        <f t="shared" si="54"/>
        <v>0.33460064965415298</v>
      </c>
      <c r="BD565" s="5">
        <f t="shared" si="55"/>
        <v>1.1283465721278128</v>
      </c>
      <c r="BF565" s="58"/>
    </row>
    <row r="566" spans="48:58" ht="12" customHeight="1">
      <c r="AV566" s="5">
        <f t="shared" si="56"/>
        <v>0.35399999999996595</v>
      </c>
      <c r="AW566" s="5">
        <f t="shared" si="51"/>
        <v>48.538999233281785</v>
      </c>
      <c r="AX566" s="5">
        <v>1</v>
      </c>
      <c r="AY566" s="5" t="e">
        <f t="shared" si="52"/>
        <v>#N/A</v>
      </c>
      <c r="AZ566" s="5" t="e">
        <f t="shared" si="53"/>
        <v>#N/A</v>
      </c>
      <c r="BA566" s="5">
        <f t="shared" si="54"/>
        <v>0.33991816481147324</v>
      </c>
      <c r="BD566" s="5">
        <f t="shared" si="55"/>
        <v>1.1329584687426104</v>
      </c>
      <c r="BF566" s="58"/>
    </row>
    <row r="567" spans="48:58" ht="12" customHeight="1">
      <c r="AV567" s="5">
        <f t="shared" si="56"/>
        <v>0.35999999999996596</v>
      </c>
      <c r="AW567" s="5">
        <f t="shared" si="51"/>
        <v>49.06592045613607</v>
      </c>
      <c r="AX567" s="5">
        <v>1</v>
      </c>
      <c r="AY567" s="5" t="e">
        <f t="shared" si="52"/>
        <v>#N/A</v>
      </c>
      <c r="AZ567" s="5" t="e">
        <f t="shared" si="53"/>
        <v>#N/A</v>
      </c>
      <c r="BA567" s="5">
        <f t="shared" si="54"/>
        <v>0.3452140341354909</v>
      </c>
      <c r="BD567" s="5">
        <f t="shared" si="55"/>
        <v>1.1376615116066691</v>
      </c>
      <c r="BF567" s="58"/>
    </row>
    <row r="568" spans="48:58" ht="12" customHeight="1">
      <c r="AV568" s="5">
        <f t="shared" si="56"/>
        <v>0.36599999999996596</v>
      </c>
      <c r="AW568" s="5">
        <f t="shared" si="51"/>
        <v>49.550375359089685</v>
      </c>
      <c r="AX568" s="5">
        <v>1</v>
      </c>
      <c r="AY568" s="5" t="e">
        <f t="shared" si="52"/>
        <v>#N/A</v>
      </c>
      <c r="AZ568" s="5" t="e">
        <f t="shared" si="53"/>
        <v>#N/A</v>
      </c>
      <c r="BA568" s="5">
        <f t="shared" si="54"/>
        <v>0.35048801056766049</v>
      </c>
      <c r="BD568" s="5">
        <f t="shared" si="55"/>
        <v>1.142456377966262</v>
      </c>
      <c r="BF568" s="58"/>
    </row>
    <row r="569" spans="48:58" ht="12" customHeight="1">
      <c r="AV569" s="5">
        <f t="shared" si="56"/>
        <v>0.37199999999996597</v>
      </c>
      <c r="AW569" s="5">
        <f t="shared" si="51"/>
        <v>49.990998678863122</v>
      </c>
      <c r="AX569" s="5">
        <v>1</v>
      </c>
      <c r="AY569" s="5" t="e">
        <f t="shared" si="52"/>
        <v>#N/A</v>
      </c>
      <c r="AZ569" s="5" t="e">
        <f t="shared" si="53"/>
        <v>#N/A</v>
      </c>
      <c r="BA569" s="5">
        <f t="shared" si="54"/>
        <v>0.3557398522271914</v>
      </c>
      <c r="BD569" s="5">
        <f t="shared" si="55"/>
        <v>1.147343758290454</v>
      </c>
      <c r="BF569" s="58"/>
    </row>
    <row r="570" spans="48:58" ht="12" customHeight="1">
      <c r="AV570" s="5">
        <f t="shared" si="56"/>
        <v>0.37799999999996597</v>
      </c>
      <c r="AW570" s="5">
        <f t="shared" si="51"/>
        <v>50.386540683877435</v>
      </c>
      <c r="AX570" s="5">
        <v>1</v>
      </c>
      <c r="AY570" s="5" t="e">
        <f t="shared" si="52"/>
        <v>#N/A</v>
      </c>
      <c r="AZ570" s="5" t="e">
        <f t="shared" si="53"/>
        <v>#N/A</v>
      </c>
      <c r="BA570" s="5">
        <f t="shared" si="54"/>
        <v>0.36096932243317398</v>
      </c>
      <c r="BD570" s="5">
        <f t="shared" si="55"/>
        <v>1.1523243563704466</v>
      </c>
      <c r="BF570" s="58"/>
    </row>
    <row r="571" spans="48:58" ht="12" customHeight="1">
      <c r="AV571" s="5">
        <f t="shared" si="56"/>
        <v>0.38399999999996598</v>
      </c>
      <c r="AW571" s="5">
        <f t="shared" si="51"/>
        <v>50.735873078243124</v>
      </c>
      <c r="AX571" s="5">
        <v>1</v>
      </c>
      <c r="AY571" s="5" t="e">
        <f t="shared" si="52"/>
        <v>#N/A</v>
      </c>
      <c r="AZ571" s="5" t="e">
        <f t="shared" si="53"/>
        <v>#N/A</v>
      </c>
      <c r="BA571" s="5">
        <f t="shared" si="54"/>
        <v>0.36617618972434068</v>
      </c>
      <c r="BD571" s="5">
        <f t="shared" si="55"/>
        <v>1.157398889420951</v>
      </c>
      <c r="BF571" s="58"/>
    </row>
    <row r="572" spans="48:58" ht="12" customHeight="1">
      <c r="AV572" s="5">
        <f t="shared" si="56"/>
        <v>0.38999999999996598</v>
      </c>
      <c r="AW572" s="5">
        <f t="shared" si="51"/>
        <v>51.037994363210885</v>
      </c>
      <c r="AX572" s="5">
        <v>1</v>
      </c>
      <c r="AY572" s="5" t="e">
        <f t="shared" si="52"/>
        <v>#N/A</v>
      </c>
      <c r="AZ572" s="5" t="e">
        <f t="shared" si="53"/>
        <v>#N/A</v>
      </c>
      <c r="BA572" s="5">
        <f t="shared" si="54"/>
        <v>0.37136022787647838</v>
      </c>
      <c r="BD572" s="5">
        <f t="shared" si="55"/>
        <v>1.1625680881835483</v>
      </c>
      <c r="BF572" s="58"/>
    </row>
    <row r="573" spans="48:58" ht="12" customHeight="1">
      <c r="AV573" s="5">
        <f t="shared" si="56"/>
        <v>0.39599999999996599</v>
      </c>
      <c r="AW573" s="5">
        <f t="shared" si="51"/>
        <v>51.292034620435132</v>
      </c>
      <c r="AX573" s="5">
        <v>1</v>
      </c>
      <c r="AY573" s="5" t="e">
        <f t="shared" si="52"/>
        <v>#N/A</v>
      </c>
      <c r="AZ573" s="5" t="e">
        <f t="shared" si="53"/>
        <v>#N/A</v>
      </c>
      <c r="BA573" s="5">
        <f t="shared" si="54"/>
        <v>0.37652121591750976</v>
      </c>
      <c r="BD573" s="5">
        <f t="shared" si="55"/>
        <v>1.1678326970317288</v>
      </c>
      <c r="BF573" s="58"/>
    </row>
    <row r="574" spans="48:58" ht="12" customHeight="1">
      <c r="AV574" s="5">
        <f t="shared" si="56"/>
        <v>0.401999999999966</v>
      </c>
      <c r="AW574" s="5">
        <f t="shared" si="51"/>
        <v>51.497259685080529</v>
      </c>
      <c r="AX574" s="5">
        <v>1</v>
      </c>
      <c r="AY574" s="5" t="e">
        <f t="shared" si="52"/>
        <v>#N/A</v>
      </c>
      <c r="AZ574" s="5" t="e">
        <f t="shared" si="53"/>
        <v>#N/A</v>
      </c>
      <c r="BA574" s="5">
        <f t="shared" si="54"/>
        <v>0.38165893814026491</v>
      </c>
      <c r="BD574" s="5">
        <f t="shared" si="55"/>
        <v>1.173193474078315</v>
      </c>
      <c r="BF574" s="58"/>
    </row>
    <row r="575" spans="48:58" ht="12" customHeight="1">
      <c r="AV575" s="5">
        <f t="shared" si="56"/>
        <v>0.407999999999966</v>
      </c>
      <c r="AW575" s="5">
        <f t="shared" si="51"/>
        <v>51.653074680755715</v>
      </c>
      <c r="AX575" s="5">
        <v>1</v>
      </c>
      <c r="AY575" s="5" t="e">
        <f t="shared" si="52"/>
        <v>#N/A</v>
      </c>
      <c r="AZ575" s="5" t="e">
        <f t="shared" si="53"/>
        <v>#N/A</v>
      </c>
      <c r="BA575" s="5">
        <f t="shared" si="54"/>
        <v>0.38677318411296241</v>
      </c>
      <c r="BD575" s="5">
        <f t="shared" si="55"/>
        <v>1.1786511912844149</v>
      </c>
      <c r="BF575" s="58"/>
    </row>
    <row r="576" spans="48:58" ht="12" customHeight="1">
      <c r="AV576" s="5">
        <f t="shared" si="56"/>
        <v>0.41399999999996601</v>
      </c>
      <c r="AW576" s="5">
        <f t="shared" si="51"/>
        <v>51.759026892454095</v>
      </c>
      <c r="AX576" s="5">
        <v>1</v>
      </c>
      <c r="AY576" s="5" t="e">
        <f t="shared" si="52"/>
        <v>#N/A</v>
      </c>
      <c r="AZ576" s="5" t="e">
        <f t="shared" si="53"/>
        <v>#N/A</v>
      </c>
      <c r="BA576" s="5">
        <f t="shared" si="54"/>
        <v>0.39186374868742452</v>
      </c>
      <c r="BD576" s="5">
        <f t="shared" si="55"/>
        <v>1.1842066345708027</v>
      </c>
      <c r="BF576" s="58"/>
    </row>
    <row r="577" spans="48:58" ht="12" customHeight="1">
      <c r="AV577" s="5">
        <f t="shared" si="56"/>
        <v>0.41999999999996601</v>
      </c>
      <c r="AW577" s="5">
        <f t="shared" si="51"/>
        <v>51.814807958083463</v>
      </c>
      <c r="AX577" s="5">
        <v>1</v>
      </c>
      <c r="AY577" s="5" t="e">
        <f t="shared" si="52"/>
        <v>#N/A</v>
      </c>
      <c r="AZ577" s="5" t="e">
        <f t="shared" si="53"/>
        <v>#N/A</v>
      </c>
      <c r="BA577" s="5">
        <f t="shared" si="54"/>
        <v>0.39693043200504891</v>
      </c>
      <c r="BD577" s="5">
        <f t="shared" si="55"/>
        <v>1.1898606039308577</v>
      </c>
      <c r="BF577" s="58"/>
    </row>
    <row r="578" spans="48:58" ht="12" customHeight="1">
      <c r="AV578" s="5">
        <f t="shared" si="56"/>
        <v>0.42599999999996602</v>
      </c>
      <c r="AW578" s="5">
        <f t="shared" si="51"/>
        <v>51.820255363736869</v>
      </c>
      <c r="AX578" s="5">
        <v>1</v>
      </c>
      <c r="AY578" s="5" t="e">
        <f t="shared" si="52"/>
        <v>#N/A</v>
      </c>
      <c r="AZ578" s="5" t="e">
        <f t="shared" si="53"/>
        <v>#N/A</v>
      </c>
      <c r="BA578" s="5">
        <f t="shared" si="54"/>
        <v>0.40197303950056412</v>
      </c>
      <c r="BD578" s="5">
        <f t="shared" si="55"/>
        <v>1.1956139135459454</v>
      </c>
      <c r="BF578" s="58"/>
    </row>
    <row r="579" spans="48:58" ht="12" customHeight="1">
      <c r="AV579" s="5">
        <f t="shared" si="56"/>
        <v>0.43199999999996602</v>
      </c>
      <c r="AW579" s="5">
        <f t="shared" si="51"/>
        <v>51.775353232556988</v>
      </c>
      <c r="AX579" s="5">
        <v>1</v>
      </c>
      <c r="AY579" s="5" t="e">
        <f t="shared" si="52"/>
        <v>#N/A</v>
      </c>
      <c r="AZ579" s="5" t="e">
        <f t="shared" si="53"/>
        <v>#N/A</v>
      </c>
      <c r="BA579" s="5">
        <f t="shared" si="54"/>
        <v>0.40699138190359391</v>
      </c>
      <c r="BD579" s="5">
        <f t="shared" si="55"/>
        <v>1.2014673919026235</v>
      </c>
      <c r="BF579" s="58"/>
    </row>
    <row r="580" spans="48:58" ht="12" customHeight="1">
      <c r="AV580" s="5">
        <f t="shared" si="56"/>
        <v>0.43799999999996603</v>
      </c>
      <c r="AW580" s="5">
        <f t="shared" si="51"/>
        <v>51.680232401834957</v>
      </c>
      <c r="AX580" s="5">
        <v>1</v>
      </c>
      <c r="AY580" s="5" t="e">
        <f t="shared" si="52"/>
        <v>#N/A</v>
      </c>
      <c r="AZ580" s="5" t="e">
        <f t="shared" si="53"/>
        <v>#N/A</v>
      </c>
      <c r="BA580" s="5">
        <f t="shared" si="54"/>
        <v>0.41198527523805928</v>
      </c>
      <c r="BD580" s="5">
        <f t="shared" si="55"/>
        <v>1.2074218819118485</v>
      </c>
      <c r="BF580" s="58"/>
    </row>
    <row r="581" spans="48:58" ht="12" customHeight="1">
      <c r="AV581" s="5">
        <f t="shared" si="56"/>
        <v>0.44399999999996603</v>
      </c>
      <c r="AW581" s="5">
        <f t="shared" si="51"/>
        <v>51.535169787819434</v>
      </c>
      <c r="AX581" s="5">
        <v>1</v>
      </c>
      <c r="AY581" s="5" t="e">
        <f t="shared" si="52"/>
        <v>#N/A</v>
      </c>
      <c r="AZ581" s="5" t="e">
        <f t="shared" si="53"/>
        <v>#N/A</v>
      </c>
      <c r="BA581" s="5">
        <f t="shared" si="54"/>
        <v>0.41695454081944788</v>
      </c>
      <c r="BD581" s="5">
        <f t="shared" si="55"/>
        <v>1.2134782410305101</v>
      </c>
      <c r="BF581" s="58"/>
    </row>
    <row r="582" spans="48:58" ht="12" customHeight="1">
      <c r="AV582" s="5">
        <f t="shared" si="56"/>
        <v>0.44999999999996604</v>
      </c>
      <c r="AW582" s="5">
        <f t="shared" si="51"/>
        <v>51.340587042552009</v>
      </c>
      <c r="AX582" s="5">
        <v>1</v>
      </c>
      <c r="AY582" s="5" t="e">
        <f t="shared" si="52"/>
        <v>#N/A</v>
      </c>
      <c r="AZ582" s="5" t="e">
        <f t="shared" si="53"/>
        <v>#N/A</v>
      </c>
      <c r="BA582" s="5">
        <f t="shared" si="54"/>
        <v>0.42189900524997997</v>
      </c>
      <c r="BD582" s="5">
        <f t="shared" si="55"/>
        <v>1.2196373413847332</v>
      </c>
      <c r="BF582" s="58"/>
    </row>
    <row r="583" spans="48:58" ht="12" customHeight="1">
      <c r="AV583" s="5">
        <f t="shared" si="56"/>
        <v>0.45599999999996604</v>
      </c>
      <c r="AW583" s="5">
        <f t="shared" ref="AW583:AW646" si="57">$G$22*NORMDIST(AV583,$AW$3,$AW$4,FALSE)</f>
        <v>51.09704851184663</v>
      </c>
      <c r="AX583" s="5">
        <v>1</v>
      </c>
      <c r="AY583" s="5" t="e">
        <f t="shared" ref="AY583:AY646" si="58">IF($BF$2,AX583+AW583*$BC$2*BD583,NA())</f>
        <v>#N/A</v>
      </c>
      <c r="AZ583" s="5" t="e">
        <f t="shared" ref="AZ583:AZ646" si="59">IF($BF$2,AX583-AW583*$BC$2*BD583,NA())</f>
        <v>#N/A</v>
      </c>
      <c r="BA583" s="5">
        <f t="shared" ref="BA583:BA646" si="60">(EXP(2*AV583)-1)/(EXP(2*AV583)+1)</f>
        <v>0.42681850041170388</v>
      </c>
      <c r="BD583" s="5">
        <f t="shared" ref="BD583:BD646" si="61">(AV583-AV584)/(BA583-BA584)</f>
        <v>1.225900069895701</v>
      </c>
      <c r="BF583" s="58"/>
    </row>
    <row r="584" spans="48:58" ht="12" customHeight="1">
      <c r="AV584" s="5">
        <f t="shared" ref="AV584:AV647" si="62">AV583+$BC$4</f>
        <v>0.46199999999996605</v>
      </c>
      <c r="AW584" s="5">
        <f t="shared" si="57"/>
        <v>50.805258508253814</v>
      </c>
      <c r="AX584" s="5">
        <v>1</v>
      </c>
      <c r="AY584" s="5" t="e">
        <f t="shared" si="58"/>
        <v>#N/A</v>
      </c>
      <c r="AZ584" s="5" t="e">
        <f t="shared" si="59"/>
        <v>#N/A</v>
      </c>
      <c r="BA584" s="5">
        <f t="shared" si="60"/>
        <v>0.43171286345755189</v>
      </c>
      <c r="BD584" s="5">
        <f t="shared" si="61"/>
        <v>1.2322673284070464</v>
      </c>
      <c r="BF584" s="58"/>
    </row>
    <row r="585" spans="48:58" ht="12" customHeight="1">
      <c r="AV585" s="5">
        <f t="shared" si="62"/>
        <v>0.46799999999996605</v>
      </c>
      <c r="AW585" s="5">
        <f t="shared" si="57"/>
        <v>50.466057917451977</v>
      </c>
      <c r="AX585" s="5">
        <v>1</v>
      </c>
      <c r="AY585" s="5" t="e">
        <f t="shared" si="58"/>
        <v>#N/A</v>
      </c>
      <c r="AZ585" s="5" t="e">
        <f t="shared" si="59"/>
        <v>#N/A</v>
      </c>
      <c r="BA585" s="5">
        <f t="shared" si="60"/>
        <v>0.43658193680039237</v>
      </c>
      <c r="BD585" s="5">
        <f t="shared" si="61"/>
        <v>1.2387400338150614</v>
      </c>
      <c r="BF585" s="58"/>
    </row>
    <row r="586" spans="48:58" ht="12" customHeight="1">
      <c r="AV586" s="5">
        <f t="shared" si="62"/>
        <v>0.47399999999996606</v>
      </c>
      <c r="AW586" s="5">
        <f t="shared" si="57"/>
        <v>50.080420160950176</v>
      </c>
      <c r="AX586" s="5">
        <v>1</v>
      </c>
      <c r="AY586" s="5" t="e">
        <f t="shared" si="58"/>
        <v>#N/A</v>
      </c>
      <c r="AZ586" s="5" t="e">
        <f t="shared" si="59"/>
        <v>#N/A</v>
      </c>
      <c r="BA586" s="5">
        <f t="shared" si="60"/>
        <v>0.44142556810011008</v>
      </c>
      <c r="BD586" s="5">
        <f t="shared" si="61"/>
        <v>1.2453191182004464</v>
      </c>
      <c r="BF586" s="58"/>
    </row>
    <row r="587" spans="48:58" ht="12" customHeight="1">
      <c r="AV587" s="5">
        <f t="shared" si="62"/>
        <v>0.47999999999996606</v>
      </c>
      <c r="AW587" s="5">
        <f t="shared" si="57"/>
        <v>49.649446542229889</v>
      </c>
      <c r="AX587" s="5">
        <v>1</v>
      </c>
      <c r="AY587" s="5" t="e">
        <f t="shared" si="58"/>
        <v>#N/A</v>
      </c>
      <c r="AZ587" s="5" t="e">
        <f t="shared" si="59"/>
        <v>#N/A</v>
      </c>
      <c r="BA587" s="5">
        <f t="shared" si="60"/>
        <v>0.44624361024875253</v>
      </c>
      <c r="BD587" s="5">
        <f t="shared" si="61"/>
        <v>1.2520055289628174</v>
      </c>
      <c r="BF587" s="58"/>
    </row>
    <row r="588" spans="48:58" ht="12" customHeight="1">
      <c r="AV588" s="5">
        <f t="shared" si="62"/>
        <v>0.48599999999996607</v>
      </c>
      <c r="AW588" s="5">
        <f t="shared" si="57"/>
        <v>49.174361007462252</v>
      </c>
      <c r="AX588" s="5">
        <v>1</v>
      </c>
      <c r="AY588" s="5" t="e">
        <f t="shared" si="58"/>
        <v>#N/A</v>
      </c>
      <c r="AZ588" s="5" t="e">
        <f t="shared" si="59"/>
        <v>#N/A</v>
      </c>
      <c r="BA588" s="5">
        <f t="shared" si="60"/>
        <v>0.45103592135377657</v>
      </c>
      <c r="BD588" s="5">
        <f t="shared" si="61"/>
        <v>1.258800228956787</v>
      </c>
      <c r="BF588" s="58"/>
    </row>
    <row r="589" spans="48:58" ht="12" customHeight="1">
      <c r="AV589" s="5">
        <f t="shared" si="62"/>
        <v>0.49199999999996608</v>
      </c>
      <c r="AW589" s="5">
        <f t="shared" si="57"/>
        <v>48.65650435567909</v>
      </c>
      <c r="AX589" s="5">
        <v>1</v>
      </c>
      <c r="AY589" s="5" t="e">
        <f t="shared" si="58"/>
        <v>#N/A</v>
      </c>
      <c r="AZ589" s="5" t="e">
        <f t="shared" si="59"/>
        <v>#N/A</v>
      </c>
      <c r="BA589" s="5">
        <f t="shared" si="60"/>
        <v>0.45580236471943469</v>
      </c>
      <c r="BD589" s="5">
        <f t="shared" si="61"/>
        <v>1.2657041966309293</v>
      </c>
      <c r="BF589" s="58"/>
    </row>
    <row r="590" spans="48:58" ht="12" customHeight="1">
      <c r="AV590" s="5">
        <f t="shared" si="62"/>
        <v>0.49799999999996608</v>
      </c>
      <c r="AW590" s="5">
        <f t="shared" si="57"/>
        <v>48.097327936718429</v>
      </c>
      <c r="AX590" s="5">
        <v>1</v>
      </c>
      <c r="AY590" s="5" t="e">
        <f t="shared" si="58"/>
        <v>#N/A</v>
      </c>
      <c r="AZ590" s="5" t="e">
        <f t="shared" si="59"/>
        <v>#N/A</v>
      </c>
      <c r="BA590" s="5">
        <f t="shared" si="60"/>
        <v>0.46054280882633652</v>
      </c>
      <c r="BD590" s="5">
        <f t="shared" si="61"/>
        <v>1.2727184261685525</v>
      </c>
      <c r="BF590" s="58"/>
    </row>
    <row r="591" spans="48:58" ht="12" customHeight="1">
      <c r="AV591" s="5">
        <f t="shared" si="62"/>
        <v>0.50399999999996603</v>
      </c>
      <c r="AW591" s="5">
        <f t="shared" si="57"/>
        <v>47.498386878382696</v>
      </c>
      <c r="AX591" s="5">
        <v>1</v>
      </c>
      <c r="AY591" s="5" t="e">
        <f t="shared" si="58"/>
        <v>#N/A</v>
      </c>
      <c r="AZ591" s="5" t="e">
        <f t="shared" si="59"/>
        <v>#N/A</v>
      </c>
      <c r="BA591" s="5">
        <f t="shared" si="60"/>
        <v>0.46525712730922564</v>
      </c>
      <c r="BD591" s="5">
        <f t="shared" si="61"/>
        <v>1.2798439276307765</v>
      </c>
      <c r="BF591" s="58"/>
    </row>
    <row r="592" spans="48:58" ht="12" customHeight="1">
      <c r="AV592" s="5">
        <f t="shared" si="62"/>
        <v>0.50999999999996604</v>
      </c>
      <c r="AW592" s="5">
        <f t="shared" si="57"/>
        <v>46.86133288701469</v>
      </c>
      <c r="AX592" s="5">
        <v>1</v>
      </c>
      <c r="AY592" s="5" t="e">
        <f t="shared" si="58"/>
        <v>#N/A</v>
      </c>
      <c r="AZ592" s="5" t="e">
        <f t="shared" si="59"/>
        <v>#N/A</v>
      </c>
      <c r="BA592" s="5">
        <f t="shared" si="60"/>
        <v>0.46994519893301112</v>
      </c>
      <c r="BD592" s="5">
        <f t="shared" si="61"/>
        <v>1.2870817271021262</v>
      </c>
      <c r="BF592" s="58"/>
    </row>
    <row r="593" spans="48:58" ht="12" customHeight="1">
      <c r="AV593" s="5">
        <f t="shared" si="62"/>
        <v>0.51599999999996604</v>
      </c>
      <c r="AW593" s="5">
        <f t="shared" si="57"/>
        <v>46.187906668092936</v>
      </c>
      <c r="AX593" s="5">
        <v>1</v>
      </c>
      <c r="AY593" s="5" t="e">
        <f t="shared" si="58"/>
        <v>#N/A</v>
      </c>
      <c r="AZ593" s="5" t="e">
        <f t="shared" si="59"/>
        <v>#N/A</v>
      </c>
      <c r="BA593" s="5">
        <f t="shared" si="60"/>
        <v>0.47460690756709223</v>
      </c>
      <c r="BD593" s="5">
        <f t="shared" si="61"/>
        <v>1.2944328668382878</v>
      </c>
      <c r="BF593" s="58"/>
    </row>
    <row r="594" spans="48:58" ht="12" customHeight="1">
      <c r="AV594" s="5">
        <f t="shared" si="62"/>
        <v>0.52199999999996605</v>
      </c>
      <c r="AW594" s="5">
        <f t="shared" si="57"/>
        <v>45.479930015456986</v>
      </c>
      <c r="AX594" s="5">
        <v>1</v>
      </c>
      <c r="AY594" s="5" t="e">
        <f t="shared" si="58"/>
        <v>#N/A</v>
      </c>
      <c r="AZ594" s="5" t="e">
        <f t="shared" si="59"/>
        <v>#N/A</v>
      </c>
      <c r="BA594" s="5">
        <f t="shared" si="60"/>
        <v>0.47924214215801797</v>
      </c>
      <c r="BD594" s="5">
        <f t="shared" si="61"/>
        <v>1.3018984054160485</v>
      </c>
      <c r="BF594" s="58"/>
    </row>
    <row r="595" spans="48:58" ht="12" customHeight="1">
      <c r="AV595" s="5">
        <f t="shared" si="62"/>
        <v>0.52799999999996605</v>
      </c>
      <c r="AW595" s="5">
        <f t="shared" si="57"/>
        <v>44.739297619382533</v>
      </c>
      <c r="AX595" s="5">
        <v>1</v>
      </c>
      <c r="AY595" s="5" t="e">
        <f t="shared" si="58"/>
        <v>#N/A</v>
      </c>
      <c r="AZ595" s="5" t="e">
        <f t="shared" si="59"/>
        <v>#N/A</v>
      </c>
      <c r="BA595" s="5">
        <f t="shared" si="60"/>
        <v>0.48385079670052245</v>
      </c>
      <c r="BD595" s="5">
        <f t="shared" si="61"/>
        <v>1.3094794178858515</v>
      </c>
      <c r="BF595" s="58"/>
    </row>
    <row r="596" spans="48:58" ht="12" customHeight="1">
      <c r="AV596" s="5">
        <f t="shared" si="62"/>
        <v>0.53399999999996606</v>
      </c>
      <c r="AW596" s="5">
        <f t="shared" si="57"/>
        <v>43.967968644926053</v>
      </c>
      <c r="AX596" s="5">
        <v>1</v>
      </c>
      <c r="AY596" s="5" t="e">
        <f t="shared" si="58"/>
        <v>#N/A</v>
      </c>
      <c r="AZ596" s="5" t="e">
        <f t="shared" si="59"/>
        <v>#N/A</v>
      </c>
      <c r="BA596" s="5">
        <f t="shared" si="60"/>
        <v>0.48843277020697662</v>
      </c>
      <c r="BD596" s="5">
        <f t="shared" si="61"/>
        <v>1.3171769959266295</v>
      </c>
      <c r="BF596" s="58"/>
    </row>
    <row r="597" spans="48:58" ht="12" customHeight="1">
      <c r="AV597" s="5">
        <f t="shared" si="62"/>
        <v>0.53999999999996606</v>
      </c>
      <c r="AW597" s="5">
        <f t="shared" si="57"/>
        <v>43.167958132745248</v>
      </c>
      <c r="AX597" s="5">
        <v>1</v>
      </c>
      <c r="AY597" s="5" t="e">
        <f t="shared" si="58"/>
        <v>#N/A</v>
      </c>
      <c r="AZ597" s="5" t="e">
        <f t="shared" si="59"/>
        <v>#N/A</v>
      </c>
      <c r="BA597" s="5">
        <f t="shared" si="60"/>
        <v>0.49298796667529865</v>
      </c>
      <c r="BD597" s="5">
        <f t="shared" si="61"/>
        <v>1.3249922480028815</v>
      </c>
      <c r="BF597" s="58"/>
    </row>
    <row r="598" spans="48:58" ht="12" customHeight="1">
      <c r="AV598" s="5">
        <f t="shared" si="62"/>
        <v>0.54599999999996607</v>
      </c>
      <c r="AW598" s="5">
        <f t="shared" si="57"/>
        <v>42.341328274973748</v>
      </c>
      <c r="AX598" s="5">
        <v>1</v>
      </c>
      <c r="AY598" s="5" t="e">
        <f t="shared" si="58"/>
        <v>#N/A</v>
      </c>
      <c r="AZ598" s="5" t="e">
        <f t="shared" si="59"/>
        <v>#N/A</v>
      </c>
      <c r="BA598" s="5">
        <f t="shared" si="60"/>
        <v>0.49751629505536549</v>
      </c>
      <c r="BD598" s="5">
        <f t="shared" si="61"/>
        <v>1.3329262995244655</v>
      </c>
      <c r="BF598" s="58"/>
    </row>
    <row r="599" spans="48:58" ht="12" customHeight="1">
      <c r="AV599" s="5">
        <f t="shared" si="62"/>
        <v>0.55199999999996607</v>
      </c>
      <c r="AW599" s="5">
        <f t="shared" si="57"/>
        <v>41.490179618689368</v>
      </c>
      <c r="AX599" s="5">
        <v>1</v>
      </c>
      <c r="AY599" s="5" t="e">
        <f t="shared" si="58"/>
        <v>#N/A</v>
      </c>
      <c r="AZ599" s="5" t="e">
        <f t="shared" si="59"/>
        <v>#N/A</v>
      </c>
      <c r="BA599" s="5">
        <f t="shared" si="60"/>
        <v>0.50201766921396718</v>
      </c>
      <c r="BD599" s="5">
        <f t="shared" si="61"/>
        <v>1.3409802930084338</v>
      </c>
      <c r="BF599" s="58"/>
    </row>
    <row r="600" spans="48:58" ht="12" customHeight="1">
      <c r="AV600" s="5">
        <f t="shared" si="62"/>
        <v>0.55799999999996608</v>
      </c>
      <c r="AW600" s="5">
        <f t="shared" si="57"/>
        <v>40.616642249072918</v>
      </c>
      <c r="AX600" s="5">
        <v>1</v>
      </c>
      <c r="AY600" s="5" t="e">
        <f t="shared" si="58"/>
        <v>#N/A</v>
      </c>
      <c r="AZ600" s="5" t="e">
        <f t="shared" si="59"/>
        <v>#N/A</v>
      </c>
      <c r="BA600" s="5">
        <f t="shared" si="60"/>
        <v>0.50649200789834803</v>
      </c>
      <c r="BD600" s="5">
        <f t="shared" si="61"/>
        <v>1.3491553882438116</v>
      </c>
      <c r="BF600" s="58"/>
    </row>
    <row r="601" spans="48:58" ht="12" customHeight="1">
      <c r="AV601" s="5">
        <f t="shared" si="62"/>
        <v>0.56399999999996608</v>
      </c>
      <c r="AW601" s="5">
        <f t="shared" si="57"/>
        <v>39.722867003518651</v>
      </c>
      <c r="AX601" s="5">
        <v>1</v>
      </c>
      <c r="AY601" s="5" t="e">
        <f t="shared" si="58"/>
        <v>#N/A</v>
      </c>
      <c r="AZ601" s="5" t="e">
        <f t="shared" si="59"/>
        <v>#N/A</v>
      </c>
      <c r="BA601" s="5">
        <f t="shared" si="60"/>
        <v>0.51093923469837599</v>
      </c>
      <c r="BD601" s="5">
        <f t="shared" si="61"/>
        <v>1.357452762458488</v>
      </c>
      <c r="BF601" s="58"/>
    </row>
    <row r="602" spans="48:58" ht="12" customHeight="1">
      <c r="AV602" s="5">
        <f t="shared" si="62"/>
        <v>0.56999999999996609</v>
      </c>
      <c r="AW602" s="5">
        <f t="shared" si="57"/>
        <v>38.811016766744096</v>
      </c>
      <c r="AX602" s="5">
        <v>1</v>
      </c>
      <c r="AY602" s="5" t="e">
        <f t="shared" si="58"/>
        <v>#N/A</v>
      </c>
      <c r="AZ602" s="5" t="e">
        <f t="shared" si="59"/>
        <v>#N/A</v>
      </c>
      <c r="BA602" s="5">
        <f t="shared" si="60"/>
        <v>0.51535927800738468</v>
      </c>
      <c r="BD602" s="5">
        <f t="shared" si="61"/>
        <v>1.3658736104885263</v>
      </c>
      <c r="BF602" s="58"/>
    </row>
    <row r="603" spans="48:58" ht="12" customHeight="1">
      <c r="AV603" s="5">
        <f t="shared" si="62"/>
        <v>0.57599999999996609</v>
      </c>
      <c r="AW603" s="5">
        <f t="shared" si="57"/>
        <v>37.883257895372516</v>
      </c>
      <c r="AX603" s="5">
        <v>1</v>
      </c>
      <c r="AY603" s="5" t="e">
        <f t="shared" si="58"/>
        <v>#N/A</v>
      </c>
      <c r="AZ603" s="5" t="e">
        <f t="shared" si="59"/>
        <v>#N/A</v>
      </c>
      <c r="BA603" s="5">
        <f t="shared" si="60"/>
        <v>0.51975207098173171</v>
      </c>
      <c r="BD603" s="5">
        <f t="shared" si="61"/>
        <v>1.3744191449508172</v>
      </c>
      <c r="BF603" s="58"/>
    </row>
    <row r="604" spans="48:58" ht="12" customHeight="1">
      <c r="AV604" s="5">
        <f t="shared" si="62"/>
        <v>0.5819999999999661</v>
      </c>
      <c r="AW604" s="5">
        <f t="shared" si="57"/>
        <v>36.941751818548234</v>
      </c>
      <c r="AX604" s="5">
        <v>1</v>
      </c>
      <c r="AY604" s="5" t="e">
        <f t="shared" si="58"/>
        <v>#N/A</v>
      </c>
      <c r="AZ604" s="5" t="e">
        <f t="shared" si="59"/>
        <v>#N/A</v>
      </c>
      <c r="BA604" s="5">
        <f t="shared" si="60"/>
        <v>0.52411755149911399</v>
      </c>
      <c r="BD604" s="5">
        <f t="shared" si="61"/>
        <v>1.3830905964169187</v>
      </c>
      <c r="BF604" s="58"/>
    </row>
    <row r="605" spans="48:58" ht="12" customHeight="1">
      <c r="AV605" s="5">
        <f t="shared" si="62"/>
        <v>0.58799999999996611</v>
      </c>
      <c r="AW605" s="5">
        <f t="shared" si="57"/>
        <v>35.988646858916013</v>
      </c>
      <c r="AX605" s="5">
        <v>1</v>
      </c>
      <c r="AY605" s="5" t="e">
        <f t="shared" si="58"/>
        <v>#N/A</v>
      </c>
      <c r="AZ605" s="5" t="e">
        <f t="shared" si="59"/>
        <v>#N/A</v>
      </c>
      <c r="BA605" s="5">
        <f t="shared" si="60"/>
        <v>0.52845566211568806</v>
      </c>
      <c r="BD605" s="5">
        <f t="shared" si="61"/>
        <v>1.3918892135909513</v>
      </c>
      <c r="BF605" s="58"/>
    </row>
    <row r="606" spans="48:58" ht="12" customHeight="1">
      <c r="AV606" s="5">
        <f t="shared" si="62"/>
        <v>0.59399999999996611</v>
      </c>
      <c r="AW606" s="5">
        <f t="shared" si="57"/>
        <v>35.026070315777382</v>
      </c>
      <c r="AX606" s="5">
        <v>1</v>
      </c>
      <c r="AY606" s="5" t="e">
        <f t="shared" si="58"/>
        <v>#N/A</v>
      </c>
      <c r="AZ606" s="5" t="e">
        <f t="shared" si="59"/>
        <v>#N/A</v>
      </c>
      <c r="BA606" s="5">
        <f t="shared" si="60"/>
        <v>0.5327663500220341</v>
      </c>
      <c r="BD606" s="5">
        <f t="shared" si="61"/>
        <v>1.4008162634887886</v>
      </c>
      <c r="BF606" s="58"/>
    </row>
    <row r="607" spans="48:58" ht="12" customHeight="1">
      <c r="AV607" s="5">
        <f t="shared" si="62"/>
        <v>0.59999999999996612</v>
      </c>
      <c r="AW607" s="5">
        <f t="shared" si="57"/>
        <v>34.056120849458772</v>
      </c>
      <c r="AX607" s="5">
        <v>1</v>
      </c>
      <c r="AY607" s="5" t="e">
        <f t="shared" si="58"/>
        <v>#N/A</v>
      </c>
      <c r="AZ607" s="5" t="e">
        <f t="shared" si="59"/>
        <v>#N/A</v>
      </c>
      <c r="BA607" s="5">
        <f t="shared" si="60"/>
        <v>0.53704956699801121</v>
      </c>
      <c r="BD607" s="5">
        <f t="shared" si="61"/>
        <v>1.4098730316213341</v>
      </c>
      <c r="BF607" s="58"/>
    </row>
    <row r="608" spans="48:58" ht="12" customHeight="1">
      <c r="AV608" s="5">
        <f t="shared" si="62"/>
        <v>0.60599999999996612</v>
      </c>
      <c r="AW608" s="5">
        <f t="shared" si="57"/>
        <v>33.080861202916623</v>
      </c>
      <c r="AX608" s="5">
        <v>1</v>
      </c>
      <c r="AY608" s="5" t="e">
        <f t="shared" si="58"/>
        <v>#N/A</v>
      </c>
      <c r="AZ608" s="5" t="e">
        <f t="shared" si="59"/>
        <v>#N/A</v>
      </c>
      <c r="BA608" s="5">
        <f t="shared" si="60"/>
        <v>0.541305269366543</v>
      </c>
      <c r="BD608" s="5">
        <f t="shared" si="61"/>
        <v>1.419060822178545</v>
      </c>
      <c r="BF608" s="58"/>
    </row>
    <row r="609" spans="48:58" ht="12" customHeight="1">
      <c r="AV609" s="5">
        <f t="shared" si="62"/>
        <v>0.61199999999996613</v>
      </c>
      <c r="AW609" s="5">
        <f t="shared" si="57"/>
        <v>32.10231129339757</v>
      </c>
      <c r="AX609" s="5">
        <v>1</v>
      </c>
      <c r="AY609" s="5" t="e">
        <f t="shared" si="58"/>
        <v>#N/A</v>
      </c>
      <c r="AZ609" s="5" t="e">
        <f t="shared" si="59"/>
        <v>#N/A</v>
      </c>
      <c r="BA609" s="5">
        <f t="shared" si="60"/>
        <v>0.54553341794638244</v>
      </c>
      <c r="BD609" s="5">
        <f t="shared" si="61"/>
        <v>1.4283809582184541</v>
      </c>
      <c r="BF609" s="58"/>
    </row>
    <row r="610" spans="48:58" ht="12" customHeight="1">
      <c r="AV610" s="5">
        <f t="shared" si="62"/>
        <v>0.61799999999996613</v>
      </c>
      <c r="AW610" s="5">
        <f t="shared" si="57"/>
        <v>31.122441703598287</v>
      </c>
      <c r="AX610" s="5">
        <v>1</v>
      </c>
      <c r="AY610" s="5" t="e">
        <f t="shared" si="58"/>
        <v>#N/A</v>
      </c>
      <c r="AZ610" s="5" t="e">
        <f t="shared" si="59"/>
        <v>#N/A</v>
      </c>
      <c r="BA610" s="5">
        <f t="shared" si="60"/>
        <v>0.54973397800389223</v>
      </c>
      <c r="BD610" s="5">
        <f t="shared" si="61"/>
        <v>1.4378347818564035</v>
      </c>
      <c r="BF610" s="58"/>
    </row>
    <row r="611" spans="48:58" ht="12" customHeight="1">
      <c r="AV611" s="5">
        <f t="shared" si="62"/>
        <v>0.62399999999996614</v>
      </c>
      <c r="AW611" s="5">
        <f t="shared" si="57"/>
        <v>30.143167598264498</v>
      </c>
      <c r="AX611" s="5">
        <v>1</v>
      </c>
      <c r="AY611" s="5" t="e">
        <f t="shared" si="58"/>
        <v>#N/A</v>
      </c>
      <c r="AZ611" s="5" t="e">
        <f t="shared" si="59"/>
        <v>#N/A</v>
      </c>
      <c r="BA611" s="5">
        <f t="shared" si="60"/>
        <v>0.55390691920389112</v>
      </c>
      <c r="BD611" s="5">
        <f t="shared" si="61"/>
        <v>1.4474236544596679</v>
      </c>
      <c r="BF611" s="58"/>
    </row>
    <row r="612" spans="48:58" ht="12" customHeight="1">
      <c r="AV612" s="5">
        <f t="shared" si="62"/>
        <v>0.62999999999996614</v>
      </c>
      <c r="AW612" s="5">
        <f t="shared" si="57"/>
        <v>29.166343088564922</v>
      </c>
      <c r="AX612" s="5">
        <v>1</v>
      </c>
      <c r="AY612" s="5" t="e">
        <f t="shared" si="58"/>
        <v>#N/A</v>
      </c>
      <c r="AZ612" s="5" t="e">
        <f t="shared" si="59"/>
        <v>#N/A</v>
      </c>
      <c r="BA612" s="5">
        <f t="shared" si="60"/>
        <v>0.55805221555960105</v>
      </c>
      <c r="BD612" s="5">
        <f t="shared" si="61"/>
        <v>1.4571489568422422</v>
      </c>
      <c r="BF612" s="58"/>
    </row>
    <row r="613" spans="48:58" ht="12" customHeight="1">
      <c r="AV613" s="5">
        <f t="shared" si="62"/>
        <v>0.63599999999996615</v>
      </c>
      <c r="AW613" s="5">
        <f t="shared" si="57"/>
        <v>28.193756062907958</v>
      </c>
      <c r="AX613" s="5">
        <v>1</v>
      </c>
      <c r="AY613" s="5" t="e">
        <f t="shared" si="58"/>
        <v>#N/A</v>
      </c>
      <c r="AZ613" s="5" t="e">
        <f t="shared" si="59"/>
        <v>#N/A</v>
      </c>
      <c r="BA613" s="5">
        <f t="shared" si="60"/>
        <v>0.5621698453817453</v>
      </c>
      <c r="BD613" s="5">
        <f t="shared" si="61"/>
        <v>1.4670120894645642</v>
      </c>
      <c r="BF613" s="58"/>
    </row>
    <row r="614" spans="48:58" ht="12" customHeight="1">
      <c r="AV614" s="5">
        <f t="shared" si="62"/>
        <v>0.64199999999996615</v>
      </c>
      <c r="AW614" s="5">
        <f t="shared" si="57"/>
        <v>27.227123499170482</v>
      </c>
      <c r="AX614" s="5">
        <v>1</v>
      </c>
      <c r="AY614" s="5" t="e">
        <f t="shared" si="58"/>
        <v>#N/A</v>
      </c>
      <c r="AZ614" s="5" t="e">
        <f t="shared" si="59"/>
        <v>#N/A</v>
      </c>
      <c r="BA614" s="5">
        <f t="shared" si="60"/>
        <v>0.56625979122683368</v>
      </c>
      <c r="BD614" s="5">
        <f t="shared" si="61"/>
        <v>1.477014472634828</v>
      </c>
      <c r="BF614" s="58"/>
    </row>
    <row r="615" spans="48:58" ht="12" customHeight="1">
      <c r="AV615" s="5">
        <f t="shared" si="62"/>
        <v>0.64799999999996616</v>
      </c>
      <c r="AW615" s="5">
        <f t="shared" si="57"/>
        <v>26.268087269610923</v>
      </c>
      <c r="AX615" s="5">
        <v>1</v>
      </c>
      <c r="AY615" s="5" t="e">
        <f t="shared" si="58"/>
        <v>#N/A</v>
      </c>
      <c r="AZ615" s="5" t="e">
        <f t="shared" si="59"/>
        <v>#N/A</v>
      </c>
      <c r="BA615" s="5">
        <f t="shared" si="60"/>
        <v>0.57032203984468011</v>
      </c>
      <c r="BD615" s="5">
        <f t="shared" si="61"/>
        <v>1.4871575467133427</v>
      </c>
      <c r="BF615" s="58"/>
    </row>
    <row r="616" spans="48:58" ht="12" customHeight="1">
      <c r="AV616" s="5">
        <f t="shared" si="62"/>
        <v>0.65399999999996616</v>
      </c>
      <c r="AW616" s="5">
        <f t="shared" si="57"/>
        <v>25.318210446075874</v>
      </c>
      <c r="AX616" s="5">
        <v>1</v>
      </c>
      <c r="AY616" s="5" t="e">
        <f t="shared" si="58"/>
        <v>#N/A</v>
      </c>
      <c r="AZ616" s="5" t="e">
        <f t="shared" si="59"/>
        <v>#N/A</v>
      </c>
      <c r="BA616" s="5">
        <f t="shared" si="60"/>
        <v>0.5743565821251938</v>
      </c>
      <c r="BD616" s="5">
        <f t="shared" si="61"/>
        <v>1.4974427723204327</v>
      </c>
      <c r="BF616" s="58"/>
    </row>
    <row r="617" spans="48:58" ht="12" customHeight="1">
      <c r="AV617" s="5">
        <f t="shared" si="62"/>
        <v>0.65999999999996617</v>
      </c>
      <c r="AW617" s="5">
        <f t="shared" si="57"/>
        <v>24.378974109509848</v>
      </c>
      <c r="AX617" s="5">
        <v>1</v>
      </c>
      <c r="AY617" s="5" t="e">
        <f t="shared" si="58"/>
        <v>#N/A</v>
      </c>
      <c r="AZ617" s="5" t="e">
        <f t="shared" si="59"/>
        <v>#N/A</v>
      </c>
      <c r="BA617" s="5">
        <f t="shared" si="60"/>
        <v>0.57836341304448324</v>
      </c>
      <c r="BD617" s="5">
        <f t="shared" si="61"/>
        <v>1.5078716305463464</v>
      </c>
      <c r="BF617" s="58"/>
    </row>
    <row r="618" spans="48:58" ht="12" customHeight="1">
      <c r="AV618" s="5">
        <f t="shared" si="62"/>
        <v>0.66599999999996617</v>
      </c>
      <c r="AW618" s="5">
        <f t="shared" si="57"/>
        <v>23.45177466427176</v>
      </c>
      <c r="AX618" s="5">
        <v>1</v>
      </c>
      <c r="AY618" s="5" t="e">
        <f t="shared" si="58"/>
        <v>#N/A</v>
      </c>
      <c r="AZ618" s="5" t="e">
        <f t="shared" si="59"/>
        <v>#N/A</v>
      </c>
      <c r="BA618" s="5">
        <f t="shared" si="60"/>
        <v>0.58234253161031635</v>
      </c>
      <c r="BD618" s="5">
        <f t="shared" si="61"/>
        <v>1.5184456231646164</v>
      </c>
      <c r="BF618" s="58"/>
    </row>
    <row r="619" spans="48:58" ht="12" customHeight="1">
      <c r="AV619" s="5">
        <f t="shared" si="62"/>
        <v>0.67199999999996618</v>
      </c>
      <c r="AW619" s="5">
        <f t="shared" si="57"/>
        <v>22.53792165437445</v>
      </c>
      <c r="AX619" s="5">
        <v>1</v>
      </c>
      <c r="AY619" s="5" t="e">
        <f t="shared" si="58"/>
        <v>#N/A</v>
      </c>
      <c r="AZ619" s="5" t="e">
        <f t="shared" si="59"/>
        <v>#N/A</v>
      </c>
      <c r="BA619" s="5">
        <f t="shared" si="60"/>
        <v>0.58629394080697583</v>
      </c>
      <c r="BD619" s="5">
        <f t="shared" si="61"/>
        <v>1.5291662728484723</v>
      </c>
      <c r="BF619" s="58"/>
    </row>
    <row r="620" spans="48:58" ht="12" customHeight="1">
      <c r="AV620" s="5">
        <f t="shared" si="62"/>
        <v>0.67799999999996619</v>
      </c>
      <c r="AW620" s="5">
        <f t="shared" si="57"/>
        <v>21.638636075520967</v>
      </c>
      <c r="AX620" s="5">
        <v>1</v>
      </c>
      <c r="AY620" s="5" t="e">
        <f t="shared" si="58"/>
        <v>#N/A</v>
      </c>
      <c r="AZ620" s="5" t="e">
        <f t="shared" si="59"/>
        <v>#N/A</v>
      </c>
      <c r="BA620" s="5">
        <f t="shared" si="60"/>
        <v>0.59021764753954942</v>
      </c>
      <c r="BD620" s="5">
        <f t="shared" si="61"/>
        <v>1.5400351233901153</v>
      </c>
      <c r="BF620" s="58"/>
    </row>
    <row r="621" spans="48:58" ht="12" customHeight="1">
      <c r="AV621" s="5">
        <f t="shared" si="62"/>
        <v>0.68399999999996619</v>
      </c>
      <c r="AW621" s="5">
        <f t="shared" si="57"/>
        <v>20.755049173735983</v>
      </c>
      <c r="AX621" s="5">
        <v>1</v>
      </c>
      <c r="AY621" s="5" t="e">
        <f t="shared" si="58"/>
        <v>#N/A</v>
      </c>
      <c r="AZ621" s="5" t="e">
        <f t="shared" si="59"/>
        <v>#N/A</v>
      </c>
      <c r="BA621" s="5">
        <f t="shared" si="60"/>
        <v>0.59411366257769482</v>
      </c>
      <c r="BD621" s="5">
        <f t="shared" si="61"/>
        <v>1.5510537399225797</v>
      </c>
      <c r="BF621" s="58"/>
    </row>
    <row r="622" spans="48:58" ht="12" customHeight="1">
      <c r="AV622" s="5">
        <f t="shared" si="62"/>
        <v>0.6899999999999662</v>
      </c>
      <c r="AW622" s="5">
        <f t="shared" si="57"/>
        <v>19.888201718501772</v>
      </c>
      <c r="AX622" s="5">
        <v>1</v>
      </c>
      <c r="AY622" s="5" t="e">
        <f t="shared" si="58"/>
        <v>#N/A</v>
      </c>
      <c r="AZ622" s="5" t="e">
        <f t="shared" si="59"/>
        <v>#N/A</v>
      </c>
      <c r="BA622" s="5">
        <f t="shared" si="60"/>
        <v>0.59798200049891959</v>
      </c>
      <c r="BD622" s="5">
        <f t="shared" si="61"/>
        <v>1.5622237091459454</v>
      </c>
      <c r="BF622" s="58"/>
    </row>
    <row r="623" spans="48:58" ht="12" customHeight="1">
      <c r="AV623" s="5">
        <f t="shared" si="62"/>
        <v>0.6959999999999662</v>
      </c>
      <c r="AW623" s="5">
        <f t="shared" si="57"/>
        <v>19.039043735624119</v>
      </c>
      <c r="AX623" s="5">
        <v>1</v>
      </c>
      <c r="AY623" s="5" t="e">
        <f t="shared" si="58"/>
        <v>#N/A</v>
      </c>
      <c r="AZ623" s="5" t="e">
        <f t="shared" si="59"/>
        <v>#N/A</v>
      </c>
      <c r="BA623" s="5">
        <f t="shared" si="60"/>
        <v>0.6018226796314109</v>
      </c>
      <c r="BD623" s="5">
        <f t="shared" si="61"/>
        <v>1.5735466395548632</v>
      </c>
      <c r="BF623" s="58"/>
    </row>
    <row r="624" spans="48:58" ht="12" customHeight="1">
      <c r="AV624" s="5">
        <f t="shared" si="62"/>
        <v>0.70199999999996621</v>
      </c>
      <c r="AW624" s="5">
        <f t="shared" si="57"/>
        <v>18.208434682589047</v>
      </c>
      <c r="AX624" s="5">
        <v>1</v>
      </c>
      <c r="AY624" s="5" t="e">
        <f t="shared" si="58"/>
        <v>#N/A</v>
      </c>
      <c r="AZ624" s="5" t="e">
        <f t="shared" si="59"/>
        <v>#N/A</v>
      </c>
      <c r="BA624" s="5">
        <f t="shared" si="60"/>
        <v>0.60563572199645788</v>
      </c>
      <c r="BD624" s="5">
        <f t="shared" si="61"/>
        <v>1.5850241616710004</v>
      </c>
      <c r="BF624" s="58"/>
    </row>
    <row r="625" spans="48:58" ht="12" customHeight="1">
      <c r="AV625" s="5">
        <f t="shared" si="62"/>
        <v>0.70799999999996621</v>
      </c>
      <c r="AW625" s="5">
        <f t="shared" si="57"/>
        <v>17.397144046937939</v>
      </c>
      <c r="AX625" s="5">
        <v>1</v>
      </c>
      <c r="AY625" s="5" t="e">
        <f t="shared" si="58"/>
        <v>#N/A</v>
      </c>
      <c r="AZ625" s="5" t="e">
        <f t="shared" si="59"/>
        <v>#N/A</v>
      </c>
      <c r="BA625" s="5">
        <f t="shared" si="60"/>
        <v>0.60942115325049917</v>
      </c>
      <c r="BD625" s="5">
        <f t="shared" si="61"/>
        <v>1.5966579282773199</v>
      </c>
      <c r="BF625" s="58"/>
    </row>
    <row r="626" spans="48:58" ht="12" customHeight="1">
      <c r="AV626" s="5">
        <f t="shared" si="62"/>
        <v>0.71399999999996622</v>
      </c>
      <c r="AW626" s="5">
        <f t="shared" si="57"/>
        <v>16.605852346197185</v>
      </c>
      <c r="AX626" s="5">
        <v>1</v>
      </c>
      <c r="AY626" s="5" t="e">
        <f t="shared" si="58"/>
        <v>#N/A</v>
      </c>
      <c r="AZ626" s="5" t="e">
        <f t="shared" si="59"/>
        <v>#N/A</v>
      </c>
      <c r="BA626" s="5">
        <f t="shared" si="60"/>
        <v>0.61317900262683589</v>
      </c>
      <c r="BD626" s="5">
        <f t="shared" si="61"/>
        <v>1.6084496146563605</v>
      </c>
      <c r="BF626" s="58"/>
    </row>
    <row r="627" spans="48:58" ht="12" customHeight="1">
      <c r="AV627" s="5">
        <f t="shared" si="62"/>
        <v>0.71999999999996622</v>
      </c>
      <c r="AW627" s="5">
        <f t="shared" si="57"/>
        <v>15.835152506154721</v>
      </c>
      <c r="AX627" s="5">
        <v>1</v>
      </c>
      <c r="AY627" s="5" t="e">
        <f t="shared" si="58"/>
        <v>#N/A</v>
      </c>
      <c r="AZ627" s="5" t="e">
        <f t="shared" si="59"/>
        <v>#N/A</v>
      </c>
      <c r="BA627" s="5">
        <f t="shared" si="60"/>
        <v>0.61690930287704415</v>
      </c>
      <c r="BD627" s="5">
        <f t="shared" si="61"/>
        <v>1.62040091883135</v>
      </c>
      <c r="BF627" s="58"/>
    </row>
    <row r="628" spans="48:58" ht="12" customHeight="1">
      <c r="AV628" s="5">
        <f t="shared" si="62"/>
        <v>0.72599999999996623</v>
      </c>
      <c r="AW628" s="5">
        <f t="shared" si="57"/>
        <v>15.085551592784382</v>
      </c>
      <c r="AX628" s="5">
        <v>1</v>
      </c>
      <c r="AY628" s="5" t="e">
        <f t="shared" si="58"/>
        <v>#N/A</v>
      </c>
      <c r="AZ628" s="5" t="e">
        <f t="shared" si="59"/>
        <v>#N/A</v>
      </c>
      <c r="BA628" s="5">
        <f t="shared" si="60"/>
        <v>0.62061209021212371</v>
      </c>
      <c r="BD628" s="5">
        <f t="shared" si="61"/>
        <v>1.6325135618106057</v>
      </c>
      <c r="BF628" s="58"/>
    </row>
    <row r="629" spans="48:58" ht="12" customHeight="1">
      <c r="AV629" s="5">
        <f t="shared" si="62"/>
        <v>0.73199999999996623</v>
      </c>
      <c r="AW629" s="5">
        <f t="shared" si="57"/>
        <v>14.357472871881583</v>
      </c>
      <c r="AX629" s="5">
        <v>1</v>
      </c>
      <c r="AY629" s="5" t="e">
        <f t="shared" si="58"/>
        <v>#N/A</v>
      </c>
      <c r="AZ629" s="5" t="e">
        <f t="shared" si="59"/>
        <v>#N/A</v>
      </c>
      <c r="BA629" s="5">
        <f t="shared" si="60"/>
        <v>0.62428740424341755</v>
      </c>
      <c r="BD629" s="5">
        <f t="shared" si="61"/>
        <v>1.6447892878357682</v>
      </c>
      <c r="BF629" s="58"/>
    </row>
    <row r="630" spans="48:58" ht="12" customHeight="1">
      <c r="AV630" s="5">
        <f t="shared" si="62"/>
        <v>0.73799999999996624</v>
      </c>
      <c r="AW630" s="5">
        <f t="shared" si="57"/>
        <v>13.651258169489441</v>
      </c>
      <c r="AX630" s="5">
        <v>1</v>
      </c>
      <c r="AY630" s="5" t="e">
        <f t="shared" si="58"/>
        <v>#N/A</v>
      </c>
      <c r="AZ630" s="5" t="e">
        <f t="shared" si="59"/>
        <v>#N/A</v>
      </c>
      <c r="BA630" s="5">
        <f t="shared" si="60"/>
        <v>0.62793528792333553</v>
      </c>
      <c r="BD630" s="5">
        <f t="shared" si="61"/>
        <v>1.6572298646326438</v>
      </c>
      <c r="BF630" s="58"/>
    </row>
    <row r="631" spans="48:58" ht="12" customHeight="1">
      <c r="AV631" s="5">
        <f t="shared" si="62"/>
        <v>0.74399999999996624</v>
      </c>
      <c r="AW631" s="5">
        <f t="shared" si="57"/>
        <v>12.967170505459668</v>
      </c>
      <c r="AX631" s="5">
        <v>1</v>
      </c>
      <c r="AY631" s="5" t="e">
        <f t="shared" si="58"/>
        <v>#N/A</v>
      </c>
      <c r="AZ631" s="5" t="e">
        <f t="shared" si="59"/>
        <v>#N/A</v>
      </c>
      <c r="BA631" s="5">
        <f t="shared" si="60"/>
        <v>0.63155578748591734</v>
      </c>
      <c r="BD631" s="5">
        <f t="shared" si="61"/>
        <v>1.6698370836656982</v>
      </c>
      <c r="BF631" s="58"/>
    </row>
    <row r="632" spans="48:58" ht="12" customHeight="1">
      <c r="AV632" s="5">
        <f t="shared" si="62"/>
        <v>0.74999999999996625</v>
      </c>
      <c r="AW632" s="5">
        <f t="shared" si="57"/>
        <v>12.305396972002566</v>
      </c>
      <c r="AX632" s="5">
        <v>1</v>
      </c>
      <c r="AY632" s="5" t="e">
        <f t="shared" si="58"/>
        <v>#N/A</v>
      </c>
      <c r="AZ632" s="5" t="e">
        <f t="shared" si="59"/>
        <v>#N/A</v>
      </c>
      <c r="BA632" s="5">
        <f t="shared" si="60"/>
        <v>0.63514895238726721</v>
      </c>
      <c r="BD632" s="5">
        <f t="shared" si="61"/>
        <v>1.6826127603962582</v>
      </c>
      <c r="BF632" s="58"/>
    </row>
    <row r="633" spans="48:58" ht="12" customHeight="1">
      <c r="AV633" s="5">
        <f t="shared" si="62"/>
        <v>0.75599999999996625</v>
      </c>
      <c r="AW633" s="5">
        <f t="shared" si="57"/>
        <v>11.666051828826866</v>
      </c>
      <c r="AX633" s="5">
        <v>1</v>
      </c>
      <c r="AY633" s="5" t="e">
        <f t="shared" si="58"/>
        <v>#N/A</v>
      </c>
      <c r="AZ633" s="5" t="e">
        <f t="shared" si="59"/>
        <v>#N/A</v>
      </c>
      <c r="BA633" s="5">
        <f t="shared" si="60"/>
        <v>0.63871483524589179</v>
      </c>
      <c r="BD633" s="5">
        <f t="shared" si="61"/>
        <v>1.695558734543847</v>
      </c>
      <c r="BF633" s="58"/>
    </row>
    <row r="634" spans="48:58" ht="12" customHeight="1">
      <c r="AV634" s="5">
        <f t="shared" si="62"/>
        <v>0.76199999999996626</v>
      </c>
      <c r="AW634" s="5">
        <f t="shared" si="57"/>
        <v>11.049179786444602</v>
      </c>
      <c r="AX634" s="5">
        <v>1</v>
      </c>
      <c r="AY634" s="5" t="e">
        <f t="shared" si="58"/>
        <v>#N/A</v>
      </c>
      <c r="AZ634" s="5" t="e">
        <f t="shared" si="59"/>
        <v>#N/A</v>
      </c>
      <c r="BA634" s="5">
        <f t="shared" si="60"/>
        <v>0.64225349178297375</v>
      </c>
      <c r="BD634" s="5">
        <f t="shared" si="61"/>
        <v>1.7086768703512289</v>
      </c>
      <c r="BF634" s="58"/>
    </row>
    <row r="635" spans="48:58" ht="12" customHeight="1">
      <c r="AV635" s="5">
        <f t="shared" si="62"/>
        <v>0.76799999999996627</v>
      </c>
      <c r="AW635" s="5">
        <f t="shared" si="57"/>
        <v>10.454759449406533</v>
      </c>
      <c r="AX635" s="5">
        <v>1</v>
      </c>
      <c r="AY635" s="5" t="e">
        <f t="shared" si="58"/>
        <v>#N/A</v>
      </c>
      <c r="AZ635" s="5" t="e">
        <f t="shared" si="59"/>
        <v>#N/A</v>
      </c>
      <c r="BA635" s="5">
        <f t="shared" si="60"/>
        <v>0.64576498076261135</v>
      </c>
      <c r="BD635" s="5">
        <f t="shared" si="61"/>
        <v>1.7219690568524444</v>
      </c>
      <c r="BF635" s="58"/>
    </row>
    <row r="636" spans="48:58" ht="12" customHeight="1">
      <c r="AV636" s="5">
        <f t="shared" si="62"/>
        <v>0.77399999999996627</v>
      </c>
      <c r="AW636" s="5">
        <f t="shared" si="57"/>
        <v>9.8827068916283913</v>
      </c>
      <c r="AX636" s="5">
        <v>1</v>
      </c>
      <c r="AY636" s="5" t="e">
        <f t="shared" si="58"/>
        <v>#N/A</v>
      </c>
      <c r="AZ636" s="5" t="e">
        <f t="shared" si="59"/>
        <v>#N/A</v>
      </c>
      <c r="BA636" s="5">
        <f t="shared" si="60"/>
        <v>0.64924936393205535</v>
      </c>
      <c r="BD636" s="5">
        <f t="shared" si="61"/>
        <v>1.7354372081454581</v>
      </c>
      <c r="BF636" s="58"/>
    </row>
    <row r="637" spans="48:58" ht="12" customHeight="1">
      <c r="AV637" s="5">
        <f t="shared" si="62"/>
        <v>0.77999999999996628</v>
      </c>
      <c r="AW637" s="5">
        <f t="shared" si="57"/>
        <v>9.3328793365526881</v>
      </c>
      <c r="AX637" s="5">
        <v>1</v>
      </c>
      <c r="AY637" s="5" t="e">
        <f t="shared" si="58"/>
        <v>#N/A</v>
      </c>
      <c r="AZ637" s="5" t="e">
        <f t="shared" si="59"/>
        <v>#N/A</v>
      </c>
      <c r="BA637" s="5">
        <f t="shared" si="60"/>
        <v>0.65270670596197056</v>
      </c>
      <c r="BD637" s="5">
        <f t="shared" si="61"/>
        <v>1.749083263667236</v>
      </c>
      <c r="BF637" s="58"/>
    </row>
    <row r="638" spans="48:58" ht="12" customHeight="1">
      <c r="AV638" s="5">
        <f t="shared" si="62"/>
        <v>0.78599999999996628</v>
      </c>
      <c r="AW638" s="5">
        <f t="shared" si="57"/>
        <v>8.8050789156503839</v>
      </c>
      <c r="AX638" s="5">
        <v>1</v>
      </c>
      <c r="AY638" s="5" t="e">
        <f t="shared" si="58"/>
        <v>#N/A</v>
      </c>
      <c r="AZ638" s="5" t="e">
        <f t="shared" si="59"/>
        <v>#N/A</v>
      </c>
      <c r="BA638" s="5">
        <f t="shared" si="60"/>
        <v>0.65613707438675328</v>
      </c>
      <c r="BD638" s="5">
        <f t="shared" si="61"/>
        <v>1.7629091884734791</v>
      </c>
      <c r="BF638" s="58"/>
    </row>
    <row r="639" spans="48:58" ht="12" customHeight="1">
      <c r="AV639" s="5">
        <f t="shared" si="62"/>
        <v>0.79199999999996629</v>
      </c>
      <c r="AW639" s="5">
        <f t="shared" si="57"/>
        <v>8.2990564796858681</v>
      </c>
      <c r="AX639" s="5">
        <v>1</v>
      </c>
      <c r="AY639" s="5" t="e">
        <f t="shared" si="58"/>
        <v>#N/A</v>
      </c>
      <c r="AZ639" s="5" t="e">
        <f t="shared" si="59"/>
        <v>#N/A</v>
      </c>
      <c r="BA639" s="5">
        <f t="shared" si="60"/>
        <v>0.65954053954493053</v>
      </c>
      <c r="BD639" s="5">
        <f t="shared" si="61"/>
        <v>1.7769169735211003</v>
      </c>
      <c r="BF639" s="58"/>
    </row>
    <row r="640" spans="48:58" ht="12" customHeight="1">
      <c r="AV640" s="5">
        <f t="shared" si="62"/>
        <v>0.79799999999996629</v>
      </c>
      <c r="AW640" s="5">
        <f t="shared" si="57"/>
        <v>7.8145154382304254</v>
      </c>
      <c r="AX640" s="5">
        <v>1</v>
      </c>
      <c r="AY640" s="5" t="e">
        <f t="shared" si="58"/>
        <v>#N/A</v>
      </c>
      <c r="AZ640" s="5" t="e">
        <f t="shared" si="59"/>
        <v>#N/A</v>
      </c>
      <c r="BA640" s="5">
        <f t="shared" si="60"/>
        <v>0.66291717451967025</v>
      </c>
      <c r="BD640" s="5">
        <f t="shared" si="61"/>
        <v>1.7911086359554154</v>
      </c>
      <c r="BF640" s="58"/>
    </row>
    <row r="641" spans="48:58" ht="12" customHeight="1">
      <c r="AV641" s="5">
        <f t="shared" si="62"/>
        <v>0.8039999999999663</v>
      </c>
      <c r="AW641" s="5">
        <f t="shared" si="57"/>
        <v>7.3511156040973056</v>
      </c>
      <c r="AX641" s="5">
        <v>1</v>
      </c>
      <c r="AY641" s="5" t="e">
        <f t="shared" si="58"/>
        <v>#N/A</v>
      </c>
      <c r="AZ641" s="5" t="e">
        <f t="shared" si="59"/>
        <v>#N/A</v>
      </c>
      <c r="BA641" s="5">
        <f t="shared" si="60"/>
        <v>0.6662670550794273</v>
      </c>
      <c r="BD641" s="5">
        <f t="shared" si="61"/>
        <v>1.8054862194004204</v>
      </c>
      <c r="BF641" s="58"/>
    </row>
    <row r="642" spans="48:58" ht="12" customHeight="1">
      <c r="AV642" s="5">
        <f t="shared" si="62"/>
        <v>0.8099999999999663</v>
      </c>
      <c r="AW642" s="5">
        <f t="shared" si="57"/>
        <v>6.9084770206681023</v>
      </c>
      <c r="AX642" s="5">
        <v>1</v>
      </c>
      <c r="AY642" s="5" t="e">
        <f t="shared" si="58"/>
        <v>#N/A</v>
      </c>
      <c r="AZ642" s="5" t="e">
        <f t="shared" si="59"/>
        <v>#N/A</v>
      </c>
      <c r="BA642" s="5">
        <f t="shared" si="60"/>
        <v>0.66959025961875218</v>
      </c>
      <c r="BD642" s="5">
        <f t="shared" si="61"/>
        <v>1.8200517942528185</v>
      </c>
      <c r="BF642" s="58"/>
    </row>
    <row r="643" spans="48:58" ht="12" customHeight="1">
      <c r="AV643" s="5">
        <f t="shared" si="62"/>
        <v>0.81599999999996631</v>
      </c>
      <c r="AW643" s="5">
        <f t="shared" si="57"/>
        <v>6.4861837514685341</v>
      </c>
      <c r="AX643" s="5">
        <v>1</v>
      </c>
      <c r="AY643" s="5" t="e">
        <f t="shared" si="58"/>
        <v>#N/A</v>
      </c>
      <c r="AZ643" s="5" t="e">
        <f t="shared" si="59"/>
        <v>#N/A</v>
      </c>
      <c r="BA643" s="5">
        <f t="shared" si="60"/>
        <v>0.67288686909928797</v>
      </c>
      <c r="BD643" s="5">
        <f t="shared" si="61"/>
        <v>1.8348074579807241</v>
      </c>
      <c r="BF643" s="58"/>
    </row>
    <row r="644" spans="48:58" ht="12" customHeight="1">
      <c r="AV644" s="5">
        <f t="shared" si="62"/>
        <v>0.82199999999996631</v>
      </c>
      <c r="AW644" s="5">
        <f t="shared" si="57"/>
        <v>6.0837876128145751</v>
      </c>
      <c r="AX644" s="5">
        <v>1</v>
      </c>
      <c r="AY644" s="5" t="e">
        <f t="shared" si="58"/>
        <v>#N/A</v>
      </c>
      <c r="AZ644" s="5" t="e">
        <f t="shared" si="59"/>
        <v>#N/A</v>
      </c>
      <c r="BA644" s="5">
        <f t="shared" si="60"/>
        <v>0.67615696699097805</v>
      </c>
      <c r="BD644" s="5">
        <f t="shared" si="61"/>
        <v>1.8497553354251224</v>
      </c>
      <c r="BF644" s="58"/>
    </row>
    <row r="645" spans="48:58" ht="12" customHeight="1">
      <c r="AV645" s="5">
        <f t="shared" si="62"/>
        <v>0.82799999999996632</v>
      </c>
      <c r="AW645" s="5">
        <f t="shared" si="57"/>
        <v>5.7008118318705465</v>
      </c>
      <c r="AX645" s="5">
        <v>1</v>
      </c>
      <c r="AY645" s="5" t="e">
        <f t="shared" si="58"/>
        <v>#N/A</v>
      </c>
      <c r="AZ645" s="5" t="e">
        <f t="shared" si="59"/>
        <v>#N/A</v>
      </c>
      <c r="BA645" s="5">
        <f t="shared" si="60"/>
        <v>0.67940063921351068</v>
      </c>
      <c r="BD645" s="5">
        <f t="shared" si="61"/>
        <v>1.8648975791060789</v>
      </c>
      <c r="BF645" s="58"/>
    </row>
    <row r="646" spans="48:58" ht="12" customHeight="1">
      <c r="AV646" s="5">
        <f t="shared" si="62"/>
        <v>0.83399999999996632</v>
      </c>
      <c r="AW646" s="5">
        <f t="shared" si="57"/>
        <v>5.3367546140228681</v>
      </c>
      <c r="AX646" s="5">
        <v>1</v>
      </c>
      <c r="AY646" s="5" t="e">
        <f t="shared" si="58"/>
        <v>#N/A</v>
      </c>
      <c r="AZ646" s="5" t="e">
        <f t="shared" si="59"/>
        <v>#N/A</v>
      </c>
      <c r="BA646" s="5">
        <f t="shared" si="60"/>
        <v>0.68261797407802161</v>
      </c>
      <c r="BD646" s="5">
        <f t="shared" si="61"/>
        <v>1.880236369533077</v>
      </c>
      <c r="BF646" s="58"/>
    </row>
    <row r="647" spans="48:58" ht="12" customHeight="1">
      <c r="AV647" s="5">
        <f t="shared" si="62"/>
        <v>0.83999999999996633</v>
      </c>
      <c r="AW647" s="5">
        <f t="shared" ref="AW647:AW710" si="63">$G$22*NORMDIST(AV647,$AW$3,$AW$4,FALSE)</f>
        <v>4.9910926050610334</v>
      </c>
      <c r="AX647" s="5">
        <v>1</v>
      </c>
      <c r="AY647" s="5" t="e">
        <f t="shared" ref="AY647:AY710" si="64">IF($BF$2,AX647+AW647*$BC$2*BD647,NA())</f>
        <v>#N/A</v>
      </c>
      <c r="AZ647" s="5" t="e">
        <f t="shared" ref="AZ647:AZ710" si="65">IF($BF$2,AX647-AW647*$BC$2*BD647,NA())</f>
        <v>#N/A</v>
      </c>
      <c r="BA647" s="5">
        <f t="shared" ref="BA647:BA710" si="66">(EXP(2*AV647)-1)/(EXP(2*AV647)+1)</f>
        <v>0.68580906222907678</v>
      </c>
      <c r="BD647" s="5">
        <f t="shared" ref="BD647:BD710" si="67">(AV647-AV648)/(BA647-BA648)</f>
        <v>1.8957739155183828</v>
      </c>
      <c r="BF647" s="58"/>
    </row>
    <row r="648" spans="48:58" ht="12" customHeight="1">
      <c r="AV648" s="5">
        <f t="shared" ref="AV648:AV711" si="68">AV647+$BC$4</f>
        <v>0.84599999999996633</v>
      </c>
      <c r="AW648" s="5">
        <f t="shared" si="63"/>
        <v>4.6632842352557899</v>
      </c>
      <c r="AX648" s="5">
        <v>1</v>
      </c>
      <c r="AY648" s="5" t="e">
        <f t="shared" si="64"/>
        <v>#N/A</v>
      </c>
      <c r="AZ648" s="5" t="e">
        <f t="shared" si="65"/>
        <v>#N/A</v>
      </c>
      <c r="BA648" s="5">
        <f t="shared" si="66"/>
        <v>0.68897399658695846</v>
      </c>
      <c r="BD648" s="5">
        <f t="shared" si="67"/>
        <v>1.9115124544953486</v>
      </c>
      <c r="BF648" s="58"/>
    </row>
    <row r="649" spans="48:58" ht="12" customHeight="1">
      <c r="AV649" s="5">
        <f t="shared" si="68"/>
        <v>0.85199999999996634</v>
      </c>
      <c r="AW649" s="5">
        <f t="shared" si="63"/>
        <v>4.3527729340196295</v>
      </c>
      <c r="AX649" s="5">
        <v>1</v>
      </c>
      <c r="AY649" s="5" t="e">
        <f t="shared" si="64"/>
        <v>#N/A</v>
      </c>
      <c r="AZ649" s="5" t="e">
        <f t="shared" si="65"/>
        <v>#N/A</v>
      </c>
      <c r="BA649" s="5">
        <f t="shared" si="66"/>
        <v>0.69211287229027374</v>
      </c>
      <c r="BD649" s="5">
        <f t="shared" si="67"/>
        <v>1.9274542528408134</v>
      </c>
      <c r="BF649" s="58"/>
    </row>
    <row r="650" spans="48:58" ht="12" customHeight="1">
      <c r="AV650" s="5">
        <f t="shared" si="68"/>
        <v>0.85799999999996635</v>
      </c>
      <c r="AW650" s="5">
        <f t="shared" si="63"/>
        <v>4.0589902054127718</v>
      </c>
      <c r="AX650" s="5">
        <v>1</v>
      </c>
      <c r="AY650" s="5" t="e">
        <f t="shared" si="64"/>
        <v>#N/A</v>
      </c>
      <c r="AZ650" s="5" t="e">
        <f t="shared" si="65"/>
        <v>#N/A</v>
      </c>
      <c r="BA650" s="5">
        <f t="shared" si="66"/>
        <v>0.69522578663890577</v>
      </c>
      <c r="BD650" s="5">
        <f t="shared" si="67"/>
        <v>1.9436016062014672</v>
      </c>
      <c r="BF650" s="58"/>
    </row>
    <row r="651" spans="48:58" ht="12" customHeight="1">
      <c r="AV651" s="5">
        <f t="shared" si="68"/>
        <v>0.86399999999996635</v>
      </c>
      <c r="AW651" s="5">
        <f t="shared" si="63"/>
        <v>3.7813585563072336</v>
      </c>
      <c r="AX651" s="5">
        <v>1</v>
      </c>
      <c r="AY651" s="5" t="e">
        <f t="shared" si="64"/>
        <v>#N/A</v>
      </c>
      <c r="AZ651" s="5" t="e">
        <f t="shared" si="65"/>
        <v>#N/A</v>
      </c>
      <c r="BA651" s="5">
        <f t="shared" si="66"/>
        <v>0.69831283903732722</v>
      </c>
      <c r="BD651" s="5">
        <f t="shared" si="67"/>
        <v>1.9599568398238871</v>
      </c>
      <c r="BF651" s="58"/>
    </row>
    <row r="652" spans="48:58" ht="12" customHeight="1">
      <c r="AV652" s="5">
        <f t="shared" si="68"/>
        <v>0.86999999999996636</v>
      </c>
      <c r="AW652" s="5">
        <f t="shared" si="63"/>
        <v>3.5192942705303589</v>
      </c>
      <c r="AX652" s="5">
        <v>1</v>
      </c>
      <c r="AY652" s="5" t="e">
        <f t="shared" si="64"/>
        <v>#N/A</v>
      </c>
      <c r="AZ652" s="5" t="e">
        <f t="shared" si="65"/>
        <v>#N/A</v>
      </c>
      <c r="BA652" s="5">
        <f t="shared" si="66"/>
        <v>0.70137413093829537</v>
      </c>
      <c r="BD652" s="5">
        <f t="shared" si="67"/>
        <v>1.9765223088900112</v>
      </c>
      <c r="BF652" s="58"/>
    </row>
    <row r="653" spans="48:58" ht="12" customHeight="1">
      <c r="AV653" s="5">
        <f t="shared" si="68"/>
        <v>0.87599999999996636</v>
      </c>
      <c r="AW653" s="5">
        <f t="shared" si="63"/>
        <v>3.2722100237680607</v>
      </c>
      <c r="AX653" s="5">
        <v>1</v>
      </c>
      <c r="AY653" s="5" t="e">
        <f t="shared" si="64"/>
        <v>#N/A</v>
      </c>
      <c r="AZ653" s="5" t="e">
        <f t="shared" si="65"/>
        <v>#N/A</v>
      </c>
      <c r="BA653" s="5">
        <f t="shared" si="66"/>
        <v>0.70440976578694503</v>
      </c>
      <c r="BD653" s="5">
        <f t="shared" si="67"/>
        <v>1.9933003988560793</v>
      </c>
      <c r="BF653" s="58"/>
    </row>
    <row r="654" spans="48:58" ht="12" customHeight="1">
      <c r="AV654" s="5">
        <f t="shared" si="68"/>
        <v>0.88199999999996637</v>
      </c>
      <c r="AW654" s="5">
        <f t="shared" si="63"/>
        <v>3.0395173354073766</v>
      </c>
      <c r="AX654" s="5">
        <v>1</v>
      </c>
      <c r="AY654" s="5" t="e">
        <f t="shared" si="64"/>
        <v>#N/A</v>
      </c>
      <c r="AZ654" s="5" t="e">
        <f t="shared" si="65"/>
        <v>#N/A</v>
      </c>
      <c r="BA654" s="5">
        <f t="shared" si="66"/>
        <v>0.70741984896529753</v>
      </c>
      <c r="BD654" s="5">
        <f t="shared" si="67"/>
        <v>2.0102935257960195</v>
      </c>
      <c r="BF654" s="58"/>
    </row>
    <row r="655" spans="48:58" ht="12" customHeight="1">
      <c r="AV655" s="5">
        <f t="shared" si="68"/>
        <v>0.88799999999996637</v>
      </c>
      <c r="AW655" s="5">
        <f t="shared" si="63"/>
        <v>2.8206288548304057</v>
      </c>
      <c r="AX655" s="5">
        <v>1</v>
      </c>
      <c r="AY655" s="5" t="e">
        <f t="shared" si="64"/>
        <v>#N/A</v>
      </c>
      <c r="AZ655" s="5" t="e">
        <f t="shared" si="65"/>
        <v>#N/A</v>
      </c>
      <c r="BA655" s="5">
        <f t="shared" si="66"/>
        <v>0.71040448773720233</v>
      </c>
      <c r="BD655" s="5">
        <f t="shared" si="67"/>
        <v>2.0275041367494726</v>
      </c>
      <c r="BF655" s="58"/>
    </row>
    <row r="656" spans="48:58" ht="12" customHeight="1">
      <c r="AV656" s="5">
        <f t="shared" si="68"/>
        <v>0.89399999999996638</v>
      </c>
      <c r="AW656" s="5">
        <f t="shared" si="63"/>
        <v>2.6149604809304727</v>
      </c>
      <c r="AX656" s="5">
        <v>1</v>
      </c>
      <c r="AY656" s="5" t="e">
        <f t="shared" si="64"/>
        <v>#N/A</v>
      </c>
      <c r="AZ656" s="5" t="e">
        <f t="shared" si="65"/>
        <v>#N/A</v>
      </c>
      <c r="BA656" s="5">
        <f t="shared" si="66"/>
        <v>0.71336379119372662</v>
      </c>
      <c r="BD656" s="5">
        <f t="shared" si="67"/>
        <v>2.0449347100742159</v>
      </c>
      <c r="BF656" s="58"/>
    </row>
    <row r="657" spans="48:58" ht="12" customHeight="1">
      <c r="AV657" s="5">
        <f t="shared" si="68"/>
        <v>0.89999999999996638</v>
      </c>
      <c r="AW657" s="5">
        <f t="shared" si="63"/>
        <v>2.4219333148010835</v>
      </c>
      <c r="AX657" s="5">
        <v>1</v>
      </c>
      <c r="AY657" s="5" t="e">
        <f t="shared" si="64"/>
        <v>#N/A</v>
      </c>
      <c r="AZ657" s="5" t="e">
        <f t="shared" si="65"/>
        <v>#N/A</v>
      </c>
      <c r="BA657" s="5">
        <f t="shared" si="66"/>
        <v>0.71629787019900804</v>
      </c>
      <c r="BD657" s="5">
        <f t="shared" si="67"/>
        <v>2.0625877558027064</v>
      </c>
      <c r="BF657" s="58"/>
    </row>
    <row r="658" spans="48:58" ht="12" customHeight="1">
      <c r="AV658" s="5">
        <f t="shared" si="68"/>
        <v>0.90599999999996639</v>
      </c>
      <c r="AW658" s="5">
        <f t="shared" si="63"/>
        <v>2.240975446644351</v>
      </c>
      <c r="AX658" s="5">
        <v>1</v>
      </c>
      <c r="AY658" s="5" t="e">
        <f t="shared" si="64"/>
        <v>#N/A</v>
      </c>
      <c r="AZ658" s="5" t="e">
        <f t="shared" si="65"/>
        <v>#N/A</v>
      </c>
      <c r="BA658" s="5">
        <f t="shared" si="66"/>
        <v>0.71920683733658564</v>
      </c>
      <c r="BD658" s="5">
        <f t="shared" si="67"/>
        <v>2.080465816004351</v>
      </c>
      <c r="BF658" s="58"/>
    </row>
    <row r="659" spans="48:58" ht="12" customHeight="1">
      <c r="AV659" s="5">
        <f t="shared" si="68"/>
        <v>0.91199999999996639</v>
      </c>
      <c r="AW659" s="5">
        <f t="shared" si="63"/>
        <v>2.0715235789551714</v>
      </c>
      <c r="AX659" s="5">
        <v>1</v>
      </c>
      <c r="AY659" s="5" t="e">
        <f t="shared" si="64"/>
        <v>#N/A</v>
      </c>
      <c r="AZ659" s="5" t="e">
        <f t="shared" si="65"/>
        <v>#N/A</v>
      </c>
      <c r="BA659" s="5">
        <f t="shared" si="66"/>
        <v>0.72209080685622107</v>
      </c>
      <c r="BD659" s="5">
        <f t="shared" si="67"/>
        <v>2.0985714651503682</v>
      </c>
      <c r="BF659" s="58"/>
    </row>
    <row r="660" spans="48:58" ht="12" customHeight="1">
      <c r="AV660" s="5">
        <f t="shared" si="68"/>
        <v>0.9179999999999664</v>
      </c>
      <c r="AW660" s="5">
        <f t="shared" si="63"/>
        <v>1.9130244889578774</v>
      </c>
      <c r="AX660" s="5">
        <v>1</v>
      </c>
      <c r="AY660" s="5" t="e">
        <f t="shared" si="64"/>
        <v>#N/A</v>
      </c>
      <c r="AZ660" s="5" t="e">
        <f t="shared" si="65"/>
        <v>#N/A</v>
      </c>
      <c r="BA660" s="5">
        <f t="shared" si="66"/>
        <v>0.72494989462122605</v>
      </c>
      <c r="BD660" s="5">
        <f t="shared" si="67"/>
        <v>2.1169073104858573</v>
      </c>
      <c r="BF660" s="58"/>
    </row>
    <row r="661" spans="48:58" ht="12" customHeight="1">
      <c r="AV661" s="5">
        <f t="shared" si="68"/>
        <v>0.9239999999999664</v>
      </c>
      <c r="AW661" s="5">
        <f t="shared" si="63"/>
        <v>1.7649363341025088</v>
      </c>
      <c r="AX661" s="5">
        <v>1</v>
      </c>
      <c r="AY661" s="5" t="e">
        <f t="shared" si="64"/>
        <v>#N/A</v>
      </c>
      <c r="AZ661" s="5" t="e">
        <f t="shared" si="65"/>
        <v>#N/A</v>
      </c>
      <c r="BA661" s="5">
        <f t="shared" si="66"/>
        <v>0.727784218056305</v>
      </c>
      <c r="BD661" s="5">
        <f t="shared" si="67"/>
        <v>2.1354759924039923</v>
      </c>
      <c r="BF661" s="58"/>
    </row>
    <row r="662" spans="48:58" ht="12" customHeight="1">
      <c r="AV662" s="5">
        <f t="shared" si="68"/>
        <v>0.92999999999996641</v>
      </c>
      <c r="AW662" s="5">
        <f t="shared" si="63"/>
        <v>1.6267298051678099</v>
      </c>
      <c r="AX662" s="5">
        <v>1</v>
      </c>
      <c r="AY662" s="5" t="e">
        <f t="shared" si="64"/>
        <v>#N/A</v>
      </c>
      <c r="AZ662" s="5" t="e">
        <f t="shared" si="65"/>
        <v>#N/A</v>
      </c>
      <c r="BA662" s="5">
        <f t="shared" si="66"/>
        <v>0.73059389609592817</v>
      </c>
      <c r="BD662" s="5">
        <f t="shared" si="67"/>
        <v>2.1542801848272428</v>
      </c>
      <c r="BF662" s="58"/>
    </row>
    <row r="663" spans="48:58" ht="12" customHeight="1">
      <c r="AV663" s="5">
        <f t="shared" si="68"/>
        <v>0.93599999999996641</v>
      </c>
      <c r="AW663" s="5">
        <f t="shared" si="63"/>
        <v>1.4978891321680541</v>
      </c>
      <c r="AX663" s="5">
        <v>1</v>
      </c>
      <c r="AY663" s="5" t="e">
        <f t="shared" si="64"/>
        <v>#N/A</v>
      </c>
      <c r="AZ663" s="5" t="e">
        <f t="shared" si="65"/>
        <v>#N/A</v>
      </c>
      <c r="BA663" s="5">
        <f t="shared" si="66"/>
        <v>0.73337904913324359</v>
      </c>
      <c r="BD663" s="5">
        <f t="shared" si="67"/>
        <v>2.17332259559163</v>
      </c>
      <c r="BF663" s="58"/>
    </row>
    <row r="664" spans="48:58" ht="12" customHeight="1">
      <c r="AV664" s="5">
        <f t="shared" si="68"/>
        <v>0.94199999999996642</v>
      </c>
      <c r="AW664" s="5">
        <f t="shared" si="63"/>
        <v>1.3779129488224056</v>
      </c>
      <c r="AX664" s="5">
        <v>1</v>
      </c>
      <c r="AY664" s="5" t="e">
        <f t="shared" si="64"/>
        <v>#N/A</v>
      </c>
      <c r="AZ664" s="5" t="e">
        <f t="shared" si="65"/>
        <v>#N/A</v>
      </c>
      <c r="BA664" s="5">
        <f t="shared" si="66"/>
        <v>0.73613979896954052</v>
      </c>
      <c r="BD664" s="5">
        <f t="shared" si="67"/>
        <v>2.1926059668372724</v>
      </c>
      <c r="BF664" s="58"/>
    </row>
    <row r="665" spans="48:58" ht="12" customHeight="1">
      <c r="AV665" s="5">
        <f t="shared" si="68"/>
        <v>0.94799999999996643</v>
      </c>
      <c r="AW665" s="5">
        <f t="shared" si="63"/>
        <v>1.2663150218206647</v>
      </c>
      <c r="AX665" s="5">
        <v>1</v>
      </c>
      <c r="AY665" s="5" t="e">
        <f t="shared" si="64"/>
        <v>#N/A</v>
      </c>
      <c r="AZ665" s="5" t="e">
        <f t="shared" si="65"/>
        <v>#N/A</v>
      </c>
      <c r="BA665" s="5">
        <f t="shared" si="66"/>
        <v>0.73887626876427281</v>
      </c>
      <c r="BD665" s="5">
        <f t="shared" si="67"/>
        <v>2.2121330754029795</v>
      </c>
      <c r="BF665" s="58"/>
    </row>
    <row r="666" spans="48:58" ht="12" customHeight="1">
      <c r="AV666" s="5">
        <f t="shared" si="68"/>
        <v>0.95399999999996643</v>
      </c>
      <c r="AW666" s="5">
        <f t="shared" si="63"/>
        <v>1.1626248515107085</v>
      </c>
      <c r="AX666" s="5">
        <v>1</v>
      </c>
      <c r="AY666" s="5" t="e">
        <f t="shared" si="64"/>
        <v>#N/A</v>
      </c>
      <c r="AZ666" s="5" t="e">
        <f t="shared" si="65"/>
        <v>#N/A</v>
      </c>
      <c r="BA666" s="5">
        <f t="shared" si="66"/>
        <v>0.74158858298565256</v>
      </c>
      <c r="BD666" s="5">
        <f t="shared" si="67"/>
        <v>2.23190673322609</v>
      </c>
      <c r="BF666" s="58"/>
    </row>
    <row r="667" spans="48:58" ht="12" customHeight="1">
      <c r="AV667" s="5">
        <f t="shared" si="68"/>
        <v>0.95999999999996644</v>
      </c>
      <c r="AW667" s="5">
        <f t="shared" si="63"/>
        <v>1.0663881509440529</v>
      </c>
      <c r="AX667" s="5">
        <v>1</v>
      </c>
      <c r="AY667" s="5" t="e">
        <f t="shared" si="64"/>
        <v>#N/A</v>
      </c>
      <c r="AZ667" s="5" t="e">
        <f t="shared" si="65"/>
        <v>#N/A</v>
      </c>
      <c r="BA667" s="5">
        <f t="shared" si="66"/>
        <v>0.74427686736182241</v>
      </c>
      <c r="BD667" s="5">
        <f t="shared" si="67"/>
        <v>2.2519297877476343</v>
      </c>
      <c r="BF667" s="58"/>
    </row>
    <row r="668" spans="48:58" ht="12" customHeight="1">
      <c r="AV668" s="5">
        <f t="shared" si="68"/>
        <v>0.96599999999996644</v>
      </c>
      <c r="AW668" s="5">
        <f t="shared" si="63"/>
        <v>0.97716721045050148</v>
      </c>
      <c r="AX668" s="5">
        <v>1</v>
      </c>
      <c r="AY668" s="5" t="e">
        <f t="shared" si="64"/>
        <v>#N/A</v>
      </c>
      <c r="AZ668" s="5" t="e">
        <f t="shared" si="65"/>
        <v>#N/A</v>
      </c>
      <c r="BA668" s="5">
        <f t="shared" si="66"/>
        <v>0.7469412488326147</v>
      </c>
      <c r="BD668" s="5">
        <f t="shared" si="67"/>
        <v>2.2722051223219473</v>
      </c>
      <c r="BF668" s="58"/>
    </row>
    <row r="669" spans="48:58" ht="12" customHeight="1">
      <c r="AV669" s="5">
        <f t="shared" si="68"/>
        <v>0.97199999999996645</v>
      </c>
      <c r="AW669" s="5">
        <f t="shared" si="63"/>
        <v>0.89454115507496179</v>
      </c>
      <c r="AX669" s="5">
        <v>1</v>
      </c>
      <c r="AY669" s="5" t="e">
        <f t="shared" si="64"/>
        <v>#N/A</v>
      </c>
      <c r="AZ669" s="5" t="e">
        <f t="shared" si="65"/>
        <v>#N/A</v>
      </c>
      <c r="BA669" s="5">
        <f t="shared" si="66"/>
        <v>0.74958185550190548</v>
      </c>
      <c r="BD669" s="5">
        <f t="shared" si="67"/>
        <v>2.2927356566320651</v>
      </c>
      <c r="BF669" s="58"/>
    </row>
    <row r="670" spans="48:58" ht="12" customHeight="1">
      <c r="AV670" s="5">
        <f t="shared" si="68"/>
        <v>0.97799999999996645</v>
      </c>
      <c r="AW670" s="5">
        <f t="shared" si="63"/>
        <v>0.81810610230384129</v>
      </c>
      <c r="AX670" s="5">
        <v>1</v>
      </c>
      <c r="AY670" s="5" t="e">
        <f t="shared" si="64"/>
        <v>#N/A</v>
      </c>
      <c r="AZ670" s="5" t="e">
        <f t="shared" si="65"/>
        <v>#N/A</v>
      </c>
      <c r="BA670" s="5">
        <f t="shared" si="66"/>
        <v>0.75219881659057009</v>
      </c>
      <c r="BD670" s="5">
        <f t="shared" si="67"/>
        <v>2.3135243471109548</v>
      </c>
      <c r="BF670" s="58"/>
    </row>
    <row r="671" spans="48:58" ht="12" customHeight="1">
      <c r="AV671" s="5">
        <f t="shared" si="68"/>
        <v>0.98399999999996646</v>
      </c>
      <c r="AW671" s="5">
        <f t="shared" si="63"/>
        <v>0.74747522753963092</v>
      </c>
      <c r="AX671" s="5">
        <v>1</v>
      </c>
      <c r="AY671" s="5" t="e">
        <f t="shared" si="64"/>
        <v>#N/A</v>
      </c>
      <c r="AZ671" s="5" t="e">
        <f t="shared" si="65"/>
        <v>#N/A</v>
      </c>
      <c r="BA671" s="5">
        <f t="shared" si="66"/>
        <v>0.75479226239004593</v>
      </c>
      <c r="BD671" s="5">
        <f t="shared" si="67"/>
        <v>2.3345741873650123</v>
      </c>
      <c r="BF671" s="58"/>
    </row>
    <row r="672" spans="48:58" ht="12" customHeight="1">
      <c r="AV672" s="5">
        <f t="shared" si="68"/>
        <v>0.98999999999996646</v>
      </c>
      <c r="AW672" s="5">
        <f t="shared" si="63"/>
        <v>0.68227874475549211</v>
      </c>
      <c r="AX672" s="5">
        <v>1</v>
      </c>
      <c r="AY672" s="5" t="e">
        <f t="shared" si="64"/>
        <v>#N/A</v>
      </c>
      <c r="AZ672" s="5" t="e">
        <f t="shared" si="65"/>
        <v>#N/A</v>
      </c>
      <c r="BA672" s="5">
        <f t="shared" si="66"/>
        <v>0.75736232421651206</v>
      </c>
      <c r="BD672" s="5">
        <f t="shared" si="67"/>
        <v>2.3558882086088655</v>
      </c>
      <c r="BF672" s="58"/>
    </row>
    <row r="673" spans="48:58" ht="12" customHeight="1">
      <c r="AV673" s="5">
        <f t="shared" si="68"/>
        <v>0.99599999999996647</v>
      </c>
      <c r="AW673" s="5">
        <f t="shared" si="63"/>
        <v>0.62216380968183072</v>
      </c>
      <c r="AX673" s="5">
        <v>1</v>
      </c>
      <c r="AY673" s="5" t="e">
        <f t="shared" si="64"/>
        <v>#N/A</v>
      </c>
      <c r="AZ673" s="5" t="e">
        <f t="shared" si="65"/>
        <v>#N/A</v>
      </c>
      <c r="BA673" s="5">
        <f t="shared" si="66"/>
        <v>0.75990913436568419</v>
      </c>
      <c r="BD673" s="5">
        <f t="shared" si="67"/>
        <v>2.3774694800973073</v>
      </c>
      <c r="BF673" s="58"/>
    </row>
    <row r="674" spans="48:58" ht="12" customHeight="1">
      <c r="AV674" s="5">
        <f t="shared" si="68"/>
        <v>1.0019999999999665</v>
      </c>
      <c r="AW674" s="5">
        <f t="shared" si="63"/>
        <v>0.56679435274923973</v>
      </c>
      <c r="AX674" s="5">
        <v>1</v>
      </c>
      <c r="AY674" s="5" t="e">
        <f t="shared" si="64"/>
        <v>#N/A</v>
      </c>
      <c r="AZ674" s="5" t="e">
        <f t="shared" si="65"/>
        <v>#N/A</v>
      </c>
      <c r="BA674" s="5">
        <f t="shared" si="66"/>
        <v>0.76243282606823948</v>
      </c>
      <c r="BD674" s="5">
        <f t="shared" si="67"/>
        <v>2.3993211095712912</v>
      </c>
      <c r="BF674" s="58"/>
    </row>
    <row r="675" spans="48:58" ht="12" customHeight="1">
      <c r="AV675" s="5">
        <f t="shared" si="68"/>
        <v>1.0079999999999665</v>
      </c>
      <c r="AW675" s="5">
        <f t="shared" si="63"/>
        <v>0.51585084884196708</v>
      </c>
      <c r="AX675" s="5">
        <v>1</v>
      </c>
      <c r="AY675" s="5" t="e">
        <f t="shared" si="64"/>
        <v>#N/A</v>
      </c>
      <c r="AZ675" s="5" t="e">
        <f t="shared" si="65"/>
        <v>#N/A</v>
      </c>
      <c r="BA675" s="5">
        <f t="shared" si="66"/>
        <v>0.76493353344586601</v>
      </c>
      <c r="BD675" s="5">
        <f t="shared" si="67"/>
        <v>2.421446243703079</v>
      </c>
      <c r="BF675" s="58"/>
    </row>
    <row r="676" spans="48:58" ht="12" customHeight="1">
      <c r="AV676" s="5">
        <f t="shared" si="68"/>
        <v>1.0139999999999665</v>
      </c>
      <c r="AW676" s="5">
        <f t="shared" si="63"/>
        <v>0.46903003070829108</v>
      </c>
      <c r="AX676" s="5">
        <v>1</v>
      </c>
      <c r="AY676" s="5" t="e">
        <f t="shared" si="64"/>
        <v>#N/A</v>
      </c>
      <c r="AZ676" s="5" t="e">
        <f t="shared" si="65"/>
        <v>#N/A</v>
      </c>
      <c r="BA676" s="5">
        <f t="shared" si="66"/>
        <v>0.76741139146794801</v>
      </c>
      <c r="BD676" s="5">
        <f t="shared" si="67"/>
        <v>2.4438480685503432</v>
      </c>
      <c r="BF676" s="58"/>
    </row>
    <row r="677" spans="48:58" ht="12" customHeight="1">
      <c r="AV677" s="5">
        <f t="shared" si="68"/>
        <v>1.0199999999999665</v>
      </c>
      <c r="AW677" s="5">
        <f t="shared" si="63"/>
        <v>0.42604455263396585</v>
      </c>
      <c r="AX677" s="5">
        <v>1</v>
      </c>
      <c r="AY677" s="5" t="e">
        <f t="shared" si="64"/>
        <v>#N/A</v>
      </c>
      <c r="AZ677" s="5" t="e">
        <f t="shared" si="65"/>
        <v>#N/A</v>
      </c>
      <c r="BA677" s="5">
        <f t="shared" si="66"/>
        <v>0.76986653590888665</v>
      </c>
      <c r="BD677" s="5">
        <f t="shared" si="67"/>
        <v>2.4665298100142032</v>
      </c>
      <c r="BF677" s="58"/>
    </row>
    <row r="678" spans="48:58" ht="12" customHeight="1">
      <c r="AV678" s="5">
        <f t="shared" si="68"/>
        <v>1.0259999999999665</v>
      </c>
      <c r="AW678" s="5">
        <f t="shared" si="63"/>
        <v>0.38662261071700926</v>
      </c>
      <c r="AX678" s="5">
        <v>1</v>
      </c>
      <c r="AY678" s="5" t="e">
        <f t="shared" si="64"/>
        <v>#N/A</v>
      </c>
      <c r="AZ678" s="5" t="e">
        <f t="shared" si="65"/>
        <v>#N/A</v>
      </c>
      <c r="BA678" s="5">
        <f t="shared" si="66"/>
        <v>0.77229910330606133</v>
      </c>
      <c r="BD678" s="5">
        <f t="shared" si="67"/>
        <v>2.4894947343050338</v>
      </c>
      <c r="BF678" s="58"/>
    </row>
    <row r="679" spans="48:58" ht="12" customHeight="1">
      <c r="AV679" s="5">
        <f t="shared" si="68"/>
        <v>1.0319999999999665</v>
      </c>
      <c r="AW679" s="5">
        <f t="shared" si="63"/>
        <v>0.35050752579134647</v>
      </c>
      <c r="AX679" s="5">
        <v>1</v>
      </c>
      <c r="AY679" s="5" t="e">
        <f t="shared" si="64"/>
        <v>#N/A</v>
      </c>
      <c r="AZ679" s="5" t="e">
        <f t="shared" si="65"/>
        <v>#N/A</v>
      </c>
      <c r="BA679" s="5">
        <f t="shared" si="66"/>
        <v>0.77470923091843202</v>
      </c>
      <c r="BD679" s="5">
        <f t="shared" si="67"/>
        <v>2.5127461484113667</v>
      </c>
      <c r="BF679" s="58"/>
    </row>
    <row r="680" spans="48:58" ht="12" customHeight="1">
      <c r="AV680" s="5">
        <f t="shared" si="68"/>
        <v>1.0379999999999665</v>
      </c>
      <c r="AW680" s="5">
        <f t="shared" si="63"/>
        <v>0.31745729473762901</v>
      </c>
      <c r="AX680" s="5">
        <v>1</v>
      </c>
      <c r="AY680" s="5" t="e">
        <f t="shared" si="64"/>
        <v>#N/A</v>
      </c>
      <c r="AZ680" s="5" t="e">
        <f t="shared" si="65"/>
        <v>#N/A</v>
      </c>
      <c r="BA680" s="5">
        <f t="shared" si="66"/>
        <v>0.77709705668578755</v>
      </c>
      <c r="BD680" s="5">
        <f t="shared" si="67"/>
        <v>2.5362874005774509</v>
      </c>
      <c r="BF680" s="58"/>
    </row>
    <row r="681" spans="48:58" ht="12" customHeight="1">
      <c r="AV681" s="5">
        <f t="shared" si="68"/>
        <v>1.0439999999999665</v>
      </c>
      <c r="AW681" s="5">
        <f t="shared" si="63"/>
        <v>0.28724411559617496</v>
      </c>
      <c r="AX681" s="5">
        <v>1</v>
      </c>
      <c r="AY681" s="5" t="e">
        <f t="shared" si="64"/>
        <v>#N/A</v>
      </c>
      <c r="AZ681" s="5" t="e">
        <f t="shared" si="65"/>
        <v>#N/A</v>
      </c>
      <c r="BA681" s="5">
        <f t="shared" si="66"/>
        <v>0.77946271918863874</v>
      </c>
      <c r="BD681" s="5">
        <f t="shared" si="67"/>
        <v>2.5601218807835062</v>
      </c>
      <c r="BF681" s="58"/>
    </row>
    <row r="682" spans="48:58" ht="12" customHeight="1">
      <c r="AV682" s="5">
        <f t="shared" si="68"/>
        <v>1.0499999999999665</v>
      </c>
      <c r="AW682" s="5">
        <f t="shared" si="63"/>
        <v>0.2596538915634507</v>
      </c>
      <c r="AX682" s="5">
        <v>1</v>
      </c>
      <c r="AY682" s="5" t="e">
        <f t="shared" si="64"/>
        <v>#N/A</v>
      </c>
      <c r="AZ682" s="5" t="e">
        <f t="shared" si="65"/>
        <v>#N/A</v>
      </c>
      <c r="BA682" s="5">
        <f t="shared" si="66"/>
        <v>0.78180635760876105</v>
      </c>
      <c r="BD682" s="5">
        <f t="shared" si="67"/>
        <v>2.5842530212363948</v>
      </c>
      <c r="BF682" s="58"/>
    </row>
    <row r="683" spans="48:58" ht="12" customHeight="1">
      <c r="AV683" s="5">
        <f t="shared" si="68"/>
        <v>1.0559999999999665</v>
      </c>
      <c r="AW683" s="5">
        <f t="shared" si="63"/>
        <v>0.23448571861352449</v>
      </c>
      <c r="AX683" s="5">
        <v>1</v>
      </c>
      <c r="AY683" s="5" t="e">
        <f t="shared" si="64"/>
        <v>#N/A</v>
      </c>
      <c r="AZ683" s="5" t="e">
        <f t="shared" si="65"/>
        <v>#N/A</v>
      </c>
      <c r="BA683" s="5">
        <f t="shared" si="66"/>
        <v>0.78412811169038321</v>
      </c>
      <c r="BD683" s="5">
        <f t="shared" si="67"/>
        <v>2.6086842968619894</v>
      </c>
      <c r="BF683" s="58"/>
    </row>
    <row r="684" spans="48:58" ht="12" customHeight="1">
      <c r="AV684" s="5">
        <f t="shared" si="68"/>
        <v>1.0619999999999665</v>
      </c>
      <c r="AW684" s="5">
        <f t="shared" si="63"/>
        <v>0.21155136114292933</v>
      </c>
      <c r="AX684" s="5">
        <v>1</v>
      </c>
      <c r="AY684" s="5" t="e">
        <f t="shared" si="64"/>
        <v>#N/A</v>
      </c>
      <c r="AZ684" s="5" t="e">
        <f t="shared" si="65"/>
        <v>#N/A</v>
      </c>
      <c r="BA684" s="5">
        <f t="shared" si="66"/>
        <v>0.78642812170202681</v>
      </c>
      <c r="BD684" s="5">
        <f t="shared" si="67"/>
        <v>2.6334192258062257</v>
      </c>
      <c r="BF684" s="58"/>
    </row>
    <row r="685" spans="48:58" ht="12" customHeight="1">
      <c r="AV685" s="5">
        <f t="shared" si="68"/>
        <v>1.0679999999999665</v>
      </c>
      <c r="AW685" s="5">
        <f t="shared" si="63"/>
        <v>0.19067471969448258</v>
      </c>
      <c r="AX685" s="5">
        <v>1</v>
      </c>
      <c r="AY685" s="5" t="e">
        <f t="shared" si="64"/>
        <v>#N/A</v>
      </c>
      <c r="AZ685" s="5" t="e">
        <f t="shared" si="65"/>
        <v>#N/A</v>
      </c>
      <c r="BA685" s="5">
        <f t="shared" si="66"/>
        <v>0.78870652839899436</v>
      </c>
      <c r="BD685" s="5">
        <f t="shared" si="67"/>
        <v>2.6584613699414361</v>
      </c>
      <c r="BF685" s="58"/>
    </row>
    <row r="686" spans="48:58" ht="12" customHeight="1">
      <c r="AV686" s="5">
        <f t="shared" si="68"/>
        <v>1.0739999999999665</v>
      </c>
      <c r="AW686" s="5">
        <f t="shared" si="63"/>
        <v>0.17169129447569442</v>
      </c>
      <c r="AX686" s="5">
        <v>1</v>
      </c>
      <c r="AY686" s="5" t="e">
        <f t="shared" si="64"/>
        <v>#N/A</v>
      </c>
      <c r="AZ686" s="5" t="e">
        <f t="shared" si="65"/>
        <v>#N/A</v>
      </c>
      <c r="BA686" s="5">
        <f t="shared" si="66"/>
        <v>0.79096347298650671</v>
      </c>
      <c r="BD686" s="5">
        <f t="shared" si="67"/>
        <v>2.6838143353797421</v>
      </c>
      <c r="BF686" s="58"/>
    </row>
    <row r="687" spans="48:58" ht="12" customHeight="1">
      <c r="AV687" s="5">
        <f t="shared" si="68"/>
        <v>1.0799999999999665</v>
      </c>
      <c r="AW687" s="5">
        <f t="shared" si="63"/>
        <v>0.15444764805296601</v>
      </c>
      <c r="AX687" s="5">
        <v>1</v>
      </c>
      <c r="AY687" s="5" t="e">
        <f t="shared" si="64"/>
        <v>#N/A</v>
      </c>
      <c r="AZ687" s="5" t="e">
        <f t="shared" si="65"/>
        <v>#N/A</v>
      </c>
      <c r="BA687" s="5">
        <f t="shared" si="66"/>
        <v>0.79319909708348846</v>
      </c>
      <c r="BD687" s="5">
        <f t="shared" si="67"/>
        <v>2.7094817729920417</v>
      </c>
      <c r="BF687" s="58"/>
    </row>
    <row r="688" spans="48:58" ht="12" customHeight="1">
      <c r="AV688" s="5">
        <f t="shared" si="68"/>
        <v>1.0859999999999665</v>
      </c>
      <c r="AW688" s="5">
        <f t="shared" si="63"/>
        <v>0.13880087027609694</v>
      </c>
      <c r="AX688" s="5">
        <v>1</v>
      </c>
      <c r="AY688" s="5" t="e">
        <f t="shared" si="64"/>
        <v>#N/A</v>
      </c>
      <c r="AZ688" s="5" t="e">
        <f t="shared" si="65"/>
        <v>#N/A</v>
      </c>
      <c r="BA688" s="5">
        <f t="shared" si="66"/>
        <v>0.79541354268700115</v>
      </c>
      <c r="BD688" s="5">
        <f t="shared" si="67"/>
        <v>2.7354673789336701</v>
      </c>
      <c r="BF688" s="58"/>
    </row>
    <row r="689" spans="48:58" ht="12" customHeight="1">
      <c r="AV689" s="5">
        <f t="shared" si="68"/>
        <v>1.0919999999999666</v>
      </c>
      <c r="AW689" s="5">
        <f t="shared" si="63"/>
        <v>0.1246180481706161</v>
      </c>
      <c r="AX689" s="5">
        <v>1</v>
      </c>
      <c r="AY689" s="5" t="e">
        <f t="shared" si="64"/>
        <v>#N/A</v>
      </c>
      <c r="AZ689" s="5" t="e">
        <f t="shared" si="65"/>
        <v>#N/A</v>
      </c>
      <c r="BA689" s="5">
        <f t="shared" si="66"/>
        <v>0.79760695213732291</v>
      </c>
      <c r="BD689" s="5">
        <f t="shared" si="67"/>
        <v>2.7617748951767127</v>
      </c>
      <c r="BF689" s="58"/>
    </row>
    <row r="690" spans="48:58" ht="12" customHeight="1">
      <c r="AV690" s="5">
        <f t="shared" si="68"/>
        <v>1.0979999999999666</v>
      </c>
      <c r="AW690" s="5">
        <f t="shared" si="63"/>
        <v>0.11177574322981604</v>
      </c>
      <c r="AX690" s="5">
        <v>1</v>
      </c>
      <c r="AY690" s="5" t="e">
        <f t="shared" si="64"/>
        <v>#N/A</v>
      </c>
      <c r="AZ690" s="5" t="e">
        <f t="shared" si="65"/>
        <v>#N/A</v>
      </c>
      <c r="BA690" s="5">
        <f t="shared" si="66"/>
        <v>0.79977946808367273</v>
      </c>
      <c r="BD690" s="5">
        <f t="shared" si="67"/>
        <v>2.7884081100489584</v>
      </c>
      <c r="BF690" s="58"/>
    </row>
    <row r="691" spans="48:58" ht="12" customHeight="1">
      <c r="AV691" s="5">
        <f t="shared" si="68"/>
        <v>1.1039999999999666</v>
      </c>
      <c r="AW691" s="5">
        <f t="shared" si="63"/>
        <v>0.10015947824548967</v>
      </c>
      <c r="AX691" s="5">
        <v>1</v>
      </c>
      <c r="AY691" s="5" t="e">
        <f t="shared" si="64"/>
        <v>#N/A</v>
      </c>
      <c r="AZ691" s="5" t="e">
        <f t="shared" si="65"/>
        <v>#N/A</v>
      </c>
      <c r="BA691" s="5">
        <f t="shared" si="66"/>
        <v>0.8019312334505776</v>
      </c>
      <c r="BD691" s="5">
        <f t="shared" si="67"/>
        <v>2.8153708587794672</v>
      </c>
      <c r="BF691" s="58"/>
    </row>
    <row r="692" spans="48:58" ht="12" customHeight="1">
      <c r="AV692" s="5">
        <f t="shared" si="68"/>
        <v>1.1099999999999666</v>
      </c>
      <c r="AW692" s="5">
        <f t="shared" si="63"/>
        <v>8.9663235537380898E-2</v>
      </c>
      <c r="AX692" s="5">
        <v>1</v>
      </c>
      <c r="AY692" s="5" t="e">
        <f t="shared" si="64"/>
        <v>#N/A</v>
      </c>
      <c r="AZ692" s="5" t="e">
        <f t="shared" si="65"/>
        <v>#N/A</v>
      </c>
      <c r="BA692" s="5">
        <f t="shared" si="66"/>
        <v>0.80406239140488034</v>
      </c>
      <c r="BD692" s="5">
        <f t="shared" si="67"/>
        <v>2.8426670240507432</v>
      </c>
      <c r="BF692" s="58"/>
    </row>
    <row r="693" spans="48:58" ht="12" customHeight="1">
      <c r="AV693" s="5">
        <f t="shared" si="68"/>
        <v>1.1159999999999666</v>
      </c>
      <c r="AW693" s="5">
        <f t="shared" si="63"/>
        <v>8.0188968177182074E-2</v>
      </c>
      <c r="AX693" s="5">
        <v>1</v>
      </c>
      <c r="AY693" s="5" t="e">
        <f t="shared" si="64"/>
        <v>#N/A</v>
      </c>
      <c r="AZ693" s="5" t="e">
        <f t="shared" si="65"/>
        <v>#N/A</v>
      </c>
      <c r="BA693" s="5">
        <f t="shared" si="66"/>
        <v>0.80617308532338583</v>
      </c>
      <c r="BD693" s="5">
        <f t="shared" si="67"/>
        <v>2.8703005365574876</v>
      </c>
      <c r="BF693" s="58"/>
    </row>
    <row r="694" spans="48:58" ht="12" customHeight="1">
      <c r="AV694" s="5">
        <f t="shared" si="68"/>
        <v>1.1219999999999666</v>
      </c>
      <c r="AW694" s="5">
        <f t="shared" si="63"/>
        <v>7.1646125554183648E-2</v>
      </c>
      <c r="AX694" s="5">
        <v>1</v>
      </c>
      <c r="AY694" s="5" t="e">
        <f t="shared" si="64"/>
        <v>#N/A</v>
      </c>
      <c r="AZ694" s="5" t="e">
        <f t="shared" si="65"/>
        <v>#N/A</v>
      </c>
      <c r="BA694" s="5">
        <f t="shared" si="66"/>
        <v>0.80826345876114303</v>
      </c>
      <c r="BD694" s="5">
        <f t="shared" si="67"/>
        <v>2.8982753755733235</v>
      </c>
      <c r="BF694" s="58"/>
    </row>
    <row r="695" spans="48:58" ht="12" customHeight="1">
      <c r="AV695" s="5">
        <f t="shared" si="68"/>
        <v>1.1279999999999666</v>
      </c>
      <c r="AW695" s="5">
        <f t="shared" si="63"/>
        <v>6.3951194396892855E-2</v>
      </c>
      <c r="AX695" s="5">
        <v>1</v>
      </c>
      <c r="AY695" s="5" t="e">
        <f t="shared" si="64"/>
        <v>#N/A</v>
      </c>
      <c r="AZ695" s="5" t="e">
        <f t="shared" si="65"/>
        <v>#N/A</v>
      </c>
      <c r="BA695" s="5">
        <f t="shared" si="66"/>
        <v>0.81033365542035907</v>
      </c>
      <c r="BD695" s="5">
        <f t="shared" si="67"/>
        <v>2.9265955695236103</v>
      </c>
      <c r="BF695" s="58"/>
    </row>
    <row r="696" spans="48:58" ht="12" customHeight="1">
      <c r="AV696" s="5">
        <f t="shared" si="68"/>
        <v>1.1339999999999666</v>
      </c>
      <c r="AW696" s="5">
        <f t="shared" si="63"/>
        <v>5.7027256148327515E-2</v>
      </c>
      <c r="AX696" s="5">
        <v>1</v>
      </c>
      <c r="AY696" s="5" t="e">
        <f t="shared" si="64"/>
        <v>#N/A</v>
      </c>
      <c r="AZ696" s="5" t="e">
        <f t="shared" si="65"/>
        <v>#N/A</v>
      </c>
      <c r="BA696" s="5">
        <f t="shared" si="66"/>
        <v>0.81238381911994284</v>
      </c>
      <c r="BD696" s="5">
        <f t="shared" si="67"/>
        <v>2.9552651965650756</v>
      </c>
      <c r="BF696" s="58"/>
    </row>
    <row r="697" spans="48:58" ht="12" customHeight="1">
      <c r="AV697" s="5">
        <f t="shared" si="68"/>
        <v>1.1399999999999666</v>
      </c>
      <c r="AW697" s="5">
        <f t="shared" si="63"/>
        <v>5.0803561392366699E-2</v>
      </c>
      <c r="AX697" s="5">
        <v>1</v>
      </c>
      <c r="AY697" s="5" t="e">
        <f t="shared" si="64"/>
        <v>#N/A</v>
      </c>
      <c r="AZ697" s="5" t="e">
        <f t="shared" si="65"/>
        <v>#N/A</v>
      </c>
      <c r="BA697" s="5">
        <f t="shared" si="66"/>
        <v>0.81441409376567475</v>
      </c>
      <c r="BD697" s="5">
        <f t="shared" si="67"/>
        <v>2.9842883851734499</v>
      </c>
      <c r="BF697" s="58"/>
    </row>
    <row r="698" spans="48:58" ht="12" customHeight="1">
      <c r="AV698" s="5">
        <f t="shared" si="68"/>
        <v>1.1459999999999666</v>
      </c>
      <c r="AW698" s="5">
        <f t="shared" si="63"/>
        <v>4.5215121844415437E-2</v>
      </c>
      <c r="AX698" s="5">
        <v>1</v>
      </c>
      <c r="AY698" s="5" t="e">
        <f t="shared" si="64"/>
        <v>#N/A</v>
      </c>
      <c r="AZ698" s="5" t="e">
        <f t="shared" si="65"/>
        <v>#N/A</v>
      </c>
      <c r="BA698" s="5">
        <f t="shared" si="66"/>
        <v>0.8164246233209983</v>
      </c>
      <c r="BD698" s="5">
        <f t="shared" si="67"/>
        <v>3.0136693147382925</v>
      </c>
      <c r="BF698" s="58"/>
    </row>
    <row r="699" spans="48:58" ht="12" customHeight="1">
      <c r="AV699" s="5">
        <f t="shared" si="68"/>
        <v>1.1519999999999666</v>
      </c>
      <c r="AW699" s="5">
        <f t="shared" si="63"/>
        <v>4.0202320251517092E-2</v>
      </c>
      <c r="AX699" s="5">
        <v>1</v>
      </c>
      <c r="AY699" s="5" t="e">
        <f t="shared" si="64"/>
        <v>#N/A</v>
      </c>
      <c r="AZ699" s="5" t="e">
        <f t="shared" si="65"/>
        <v>#N/A</v>
      </c>
      <c r="BA699" s="5">
        <f t="shared" si="66"/>
        <v>0.81841555177842962</v>
      </c>
      <c r="BD699" s="5">
        <f t="shared" si="67"/>
        <v>3.0434122161639019</v>
      </c>
      <c r="BF699" s="58"/>
    </row>
    <row r="700" spans="48:58" ht="12" customHeight="1">
      <c r="AV700" s="5">
        <f t="shared" si="68"/>
        <v>1.1579999999999666</v>
      </c>
      <c r="AW700" s="5">
        <f t="shared" si="63"/>
        <v>3.5710538394580271E-2</v>
      </c>
      <c r="AX700" s="5">
        <v>1</v>
      </c>
      <c r="AY700" s="5" t="e">
        <f t="shared" si="64"/>
        <v>#N/A</v>
      </c>
      <c r="AZ700" s="5" t="e">
        <f t="shared" si="65"/>
        <v>#N/A</v>
      </c>
      <c r="BA700" s="5">
        <f t="shared" si="66"/>
        <v>0.82038702313158163</v>
      </c>
      <c r="BD700" s="5">
        <f t="shared" si="67"/>
        <v>3.073521372479914</v>
      </c>
      <c r="BF700" s="58"/>
    </row>
    <row r="701" spans="48:58" ht="12" customHeight="1">
      <c r="AV701" s="5">
        <f t="shared" si="68"/>
        <v>1.1639999999999666</v>
      </c>
      <c r="AW701" s="5">
        <f t="shared" si="63"/>
        <v>3.1689803248134578E-2</v>
      </c>
      <c r="AX701" s="5">
        <v>1</v>
      </c>
      <c r="AY701" s="5" t="e">
        <f t="shared" si="64"/>
        <v>#N/A</v>
      </c>
      <c r="AZ701" s="5" t="e">
        <f t="shared" si="65"/>
        <v>#N/A</v>
      </c>
      <c r="BA701" s="5">
        <f t="shared" si="66"/>
        <v>0.82233918134779693</v>
      </c>
      <c r="BD701" s="5">
        <f t="shared" si="67"/>
        <v>3.1040011194565156</v>
      </c>
      <c r="BF701" s="58"/>
    </row>
    <row r="702" spans="48:58" ht="12" customHeight="1">
      <c r="AV702" s="5">
        <f t="shared" si="68"/>
        <v>1.1699999999999666</v>
      </c>
      <c r="AW702" s="5">
        <f t="shared" si="63"/>
        <v>2.8094451230465528E-2</v>
      </c>
      <c r="AX702" s="5">
        <v>1</v>
      </c>
      <c r="AY702" s="5" t="e">
        <f t="shared" si="64"/>
        <v>#N/A</v>
      </c>
      <c r="AZ702" s="5" t="e">
        <f t="shared" si="65"/>
        <v>#N/A</v>
      </c>
      <c r="BA702" s="5">
        <f t="shared" si="66"/>
        <v>0.82427217034138678</v>
      </c>
      <c r="BD702" s="5">
        <f t="shared" si="67"/>
        <v>3.1348558462298279</v>
      </c>
      <c r="BF702" s="58"/>
    </row>
    <row r="703" spans="48:58" ht="12" customHeight="1">
      <c r="AV703" s="5">
        <f t="shared" si="68"/>
        <v>1.1759999999999666</v>
      </c>
      <c r="AW703" s="5">
        <f t="shared" si="63"/>
        <v>2.4882810368479467E-2</v>
      </c>
      <c r="AX703" s="5">
        <v>1</v>
      </c>
      <c r="AY703" s="5" t="e">
        <f t="shared" si="64"/>
        <v>#N/A</v>
      </c>
      <c r="AZ703" s="5" t="e">
        <f t="shared" si="65"/>
        <v>#N/A</v>
      </c>
      <c r="BA703" s="5">
        <f t="shared" si="66"/>
        <v>0.82618613394746965</v>
      </c>
      <c r="BD703" s="5">
        <f t="shared" si="67"/>
        <v>3.1660899959342861</v>
      </c>
      <c r="BF703" s="58"/>
    </row>
    <row r="704" spans="48:58" ht="12" customHeight="1">
      <c r="AV704" s="5">
        <f t="shared" si="68"/>
        <v>1.1819999999999666</v>
      </c>
      <c r="AW704" s="5">
        <f t="shared" si="63"/>
        <v>2.2016900106557109E-2</v>
      </c>
      <c r="AX704" s="5">
        <v>1</v>
      </c>
      <c r="AY704" s="5" t="e">
        <f t="shared" si="64"/>
        <v>#N/A</v>
      </c>
      <c r="AZ704" s="5" t="e">
        <f t="shared" si="65"/>
        <v>#N/A</v>
      </c>
      <c r="BA704" s="5">
        <f t="shared" si="66"/>
        <v>0.82808121589640504</v>
      </c>
      <c r="BD704" s="5">
        <f t="shared" si="67"/>
        <v>3.1977080663411526</v>
      </c>
      <c r="BF704" s="58"/>
    </row>
    <row r="705" spans="48:58" ht="12" customHeight="1">
      <c r="AV705" s="5">
        <f t="shared" si="68"/>
        <v>1.1879999999999666</v>
      </c>
      <c r="AW705" s="5">
        <f t="shared" si="63"/>
        <v>1.9462148406241154E-2</v>
      </c>
      <c r="AX705" s="5">
        <v>1</v>
      </c>
      <c r="AY705" s="5" t="e">
        <f t="shared" si="64"/>
        <v>#N/A</v>
      </c>
      <c r="AZ705" s="5" t="e">
        <f t="shared" si="65"/>
        <v>#N/A</v>
      </c>
      <c r="BA705" s="5">
        <f t="shared" si="66"/>
        <v>0.82995755978881836</v>
      </c>
      <c r="BD705" s="5">
        <f t="shared" si="67"/>
        <v>3.2297146105073686</v>
      </c>
      <c r="BF705" s="58"/>
    </row>
    <row r="706" spans="48:58" ht="12" customHeight="1">
      <c r="AV706" s="5">
        <f t="shared" si="68"/>
        <v>1.1939999999999666</v>
      </c>
      <c r="AW706" s="5">
        <f t="shared" si="63"/>
        <v>1.7187125713118461E-2</v>
      </c>
      <c r="AX706" s="5">
        <v>1</v>
      </c>
      <c r="AY706" s="5" t="e">
        <f t="shared" si="64"/>
        <v>#N/A</v>
      </c>
      <c r="AZ706" s="5" t="e">
        <f t="shared" si="65"/>
        <v>#N/A</v>
      </c>
      <c r="BA706" s="5">
        <f t="shared" si="66"/>
        <v>0.83181530907121004</v>
      </c>
      <c r="BD706" s="5">
        <f t="shared" si="67"/>
        <v>3.2621142374300174</v>
      </c>
      <c r="BF706" s="58"/>
    </row>
    <row r="707" spans="48:58" ht="12" customHeight="1">
      <c r="AV707" s="5">
        <f t="shared" si="68"/>
        <v>1.1999999999999666</v>
      </c>
      <c r="AW707" s="5">
        <f t="shared" si="63"/>
        <v>1.5163295307925345E-2</v>
      </c>
      <c r="AX707" s="5">
        <v>1</v>
      </c>
      <c r="AY707" s="5" t="e">
        <f t="shared" si="64"/>
        <v>#N/A</v>
      </c>
      <c r="AZ707" s="5" t="e">
        <f t="shared" si="65"/>
        <v>#N/A</v>
      </c>
      <c r="BA707" s="5">
        <f t="shared" si="66"/>
        <v>0.83365460701214511</v>
      </c>
      <c r="BD707" s="5">
        <f t="shared" si="67"/>
        <v>3.2949116127123159</v>
      </c>
      <c r="BF707" s="58"/>
    </row>
    <row r="708" spans="48:58" ht="12" customHeight="1">
      <c r="AV708" s="5">
        <f t="shared" si="68"/>
        <v>1.2059999999999667</v>
      </c>
      <c r="AW708" s="5">
        <f t="shared" si="63"/>
        <v>1.3364779509927871E-2</v>
      </c>
      <c r="AX708" s="5">
        <v>1</v>
      </c>
      <c r="AY708" s="5" t="e">
        <f t="shared" si="64"/>
        <v>#N/A</v>
      </c>
      <c r="AZ708" s="5" t="e">
        <f t="shared" si="65"/>
        <v>#N/A</v>
      </c>
      <c r="BA708" s="5">
        <f t="shared" si="66"/>
        <v>0.83547559667901539</v>
      </c>
      <c r="BD708" s="5">
        <f t="shared" si="67"/>
        <v>3.3281114592320646</v>
      </c>
      <c r="BF708" s="58"/>
    </row>
    <row r="709" spans="48:58" ht="12" customHeight="1">
      <c r="AV709" s="5">
        <f t="shared" si="68"/>
        <v>1.2119999999999667</v>
      </c>
      <c r="AW709" s="5">
        <f t="shared" si="63"/>
        <v>1.1768141161223489E-2</v>
      </c>
      <c r="AX709" s="5">
        <v>1</v>
      </c>
      <c r="AY709" s="5" t="e">
        <f t="shared" si="64"/>
        <v>#N/A</v>
      </c>
      <c r="AZ709" s="5" t="e">
        <f t="shared" si="65"/>
        <v>#N/A</v>
      </c>
      <c r="BA709" s="5">
        <f t="shared" si="66"/>
        <v>0.83727842091537208</v>
      </c>
      <c r="BD709" s="5">
        <f t="shared" si="67"/>
        <v>3.361718557824962</v>
      </c>
      <c r="BF709" s="58"/>
    </row>
    <row r="710" spans="48:58" ht="12" customHeight="1">
      <c r="AV710" s="5">
        <f t="shared" si="68"/>
        <v>1.2179999999999667</v>
      </c>
      <c r="AW710" s="5">
        <f t="shared" si="63"/>
        <v>1.0352179789976277E-2</v>
      </c>
      <c r="AX710" s="5">
        <v>1</v>
      </c>
      <c r="AY710" s="5" t="e">
        <f t="shared" si="64"/>
        <v>#N/A</v>
      </c>
      <c r="AZ710" s="5" t="e">
        <f t="shared" si="65"/>
        <v>#N/A</v>
      </c>
      <c r="BA710" s="5">
        <f t="shared" si="66"/>
        <v>0.83906322231881914</v>
      </c>
      <c r="BD710" s="5">
        <f t="shared" si="67"/>
        <v>3.3957377479716855</v>
      </c>
      <c r="BF710" s="58"/>
    </row>
    <row r="711" spans="48:58" ht="12" customHeight="1">
      <c r="AV711" s="5">
        <f t="shared" si="68"/>
        <v>1.2239999999999667</v>
      </c>
      <c r="AW711" s="5">
        <f t="shared" ref="AW711:AW774" si="69">$G$22*NORMDIST(AV711,$AW$3,$AW$4,FALSE)</f>
        <v>9.0977418279649998E-3</v>
      </c>
      <c r="AX711" s="5">
        <v>1</v>
      </c>
      <c r="AY711" s="5" t="e">
        <f t="shared" ref="AY711:AY774" si="70">IF($BF$2,AX711+AW711*$BC$2*BD711,NA())</f>
        <v>#N/A</v>
      </c>
      <c r="AZ711" s="5" t="e">
        <f t="shared" ref="AZ711:AZ774" si="71">IF($BF$2,AX711-AW711*$BC$2*BD711,NA())</f>
        <v>#N/A</v>
      </c>
      <c r="BA711" s="5">
        <f t="shared" ref="BA711:BA774" si="72">(EXP(2*AV711)-1)/(EXP(2*AV711)+1)</f>
        <v>0.84083014321946403</v>
      </c>
      <c r="BD711" s="5">
        <f t="shared" ref="BD711:BD774" si="73">(AV711-AV712)/(BA711-BA712)</f>
        <v>3.4301739284933848</v>
      </c>
      <c r="BF711" s="58"/>
    </row>
    <row r="712" spans="48:58" ht="12" customHeight="1">
      <c r="AV712" s="5">
        <f t="shared" ref="AV712:AV775" si="74">AV711+$BC$4</f>
        <v>1.2299999999999667</v>
      </c>
      <c r="AW712" s="5">
        <f t="shared" si="69"/>
        <v>7.9875442424292998E-3</v>
      </c>
      <c r="AX712" s="5">
        <v>1</v>
      </c>
      <c r="AY712" s="5" t="e">
        <f t="shared" si="70"/>
        <v>#N/A</v>
      </c>
      <c r="AZ712" s="5" t="e">
        <f t="shared" si="71"/>
        <v>#N/A</v>
      </c>
      <c r="BA712" s="5">
        <f t="shared" si="72"/>
        <v>0.84257932565891991</v>
      </c>
      <c r="BD712" s="5">
        <f t="shared" si="73"/>
        <v>3.4650320582605914</v>
      </c>
      <c r="BF712" s="58"/>
    </row>
    <row r="713" spans="48:58" ht="12" customHeight="1">
      <c r="AV713" s="5">
        <f t="shared" si="74"/>
        <v>1.2359999999999667</v>
      </c>
      <c r="AW713" s="5">
        <f t="shared" si="69"/>
        <v>7.0060109333106102E-3</v>
      </c>
      <c r="AX713" s="5">
        <v>1</v>
      </c>
      <c r="AY713" s="5" t="e">
        <f t="shared" si="70"/>
        <v>#N/A</v>
      </c>
      <c r="AZ713" s="5" t="e">
        <f t="shared" si="71"/>
        <v>#N/A</v>
      </c>
      <c r="BA713" s="5">
        <f t="shared" si="72"/>
        <v>0.84431091136985037</v>
      </c>
      <c r="BD713" s="5">
        <f t="shared" si="73"/>
        <v>3.5003171569037042</v>
      </c>
      <c r="BF713" s="58"/>
    </row>
    <row r="714" spans="48:58" ht="12" customHeight="1">
      <c r="AV714" s="5">
        <f t="shared" si="74"/>
        <v>1.2419999999999667</v>
      </c>
      <c r="AW714" s="5">
        <f t="shared" si="69"/>
        <v>6.1391212438932832E-3</v>
      </c>
      <c r="AX714" s="5">
        <v>1</v>
      </c>
      <c r="AY714" s="5" t="e">
        <f t="shared" si="70"/>
        <v>#N/A</v>
      </c>
      <c r="AZ714" s="5" t="e">
        <f t="shared" si="71"/>
        <v>#N/A</v>
      </c>
      <c r="BA714" s="5">
        <f t="shared" si="72"/>
        <v>0.84602504175605442</v>
      </c>
      <c r="BD714" s="5">
        <f t="shared" si="73"/>
        <v>3.5360343055375623</v>
      </c>
      <c r="BF714" s="58"/>
    </row>
    <row r="715" spans="48:58" ht="12" customHeight="1">
      <c r="AV715" s="5">
        <f t="shared" si="74"/>
        <v>1.2479999999999667</v>
      </c>
      <c r="AW715" s="5">
        <f t="shared" si="69"/>
        <v>5.3742699348854331E-3</v>
      </c>
      <c r="AX715" s="5">
        <v>1</v>
      </c>
      <c r="AY715" s="5" t="e">
        <f t="shared" si="70"/>
        <v>#N/A</v>
      </c>
      <c r="AZ715" s="5" t="e">
        <f t="shared" si="71"/>
        <v>#N/A</v>
      </c>
      <c r="BA715" s="5">
        <f t="shared" si="72"/>
        <v>0.84772185787308241</v>
      </c>
      <c r="BD715" s="5">
        <f t="shared" si="73"/>
        <v>3.5721886474942397</v>
      </c>
      <c r="BF715" s="58"/>
    </row>
    <row r="716" spans="48:58" ht="12" customHeight="1">
      <c r="AV716" s="5">
        <f t="shared" si="74"/>
        <v>1.2539999999999667</v>
      </c>
      <c r="AW716" s="5">
        <f t="shared" si="69"/>
        <v>4.7001379784967672E-3</v>
      </c>
      <c r="AX716" s="5">
        <v>1</v>
      </c>
      <c r="AY716" s="5" t="e">
        <f t="shared" si="70"/>
        <v>#N/A</v>
      </c>
      <c r="AZ716" s="5" t="e">
        <f t="shared" si="71"/>
        <v>#N/A</v>
      </c>
      <c r="BA716" s="5">
        <f t="shared" si="72"/>
        <v>0.84940150040937701</v>
      </c>
      <c r="BD716" s="5">
        <f t="shared" si="73"/>
        <v>3.608785389060754</v>
      </c>
      <c r="BF716" s="58"/>
    </row>
    <row r="717" spans="48:58" ht="12" customHeight="1">
      <c r="AV717" s="5">
        <f t="shared" si="74"/>
        <v>1.2599999999999667</v>
      </c>
      <c r="AW717" s="5">
        <f t="shared" si="69"/>
        <v>4.1065735394717126E-3</v>
      </c>
      <c r="AX717" s="5">
        <v>1</v>
      </c>
      <c r="AY717" s="5" t="e">
        <f t="shared" si="70"/>
        <v>#N/A</v>
      </c>
      <c r="AZ717" s="5" t="e">
        <f t="shared" si="71"/>
        <v>#N/A</v>
      </c>
      <c r="BA717" s="5">
        <f t="shared" si="72"/>
        <v>0.85106410966793467</v>
      </c>
      <c r="BD717" s="5">
        <f t="shared" si="73"/>
        <v>3.6458298002311418</v>
      </c>
      <c r="BF717" s="58"/>
    </row>
    <row r="718" spans="48:58" ht="12" customHeight="1">
      <c r="AV718" s="5">
        <f t="shared" si="74"/>
        <v>1.2659999999999667</v>
      </c>
      <c r="AW718" s="5">
        <f t="shared" si="69"/>
        <v>3.5844825237555797E-3</v>
      </c>
      <c r="AX718" s="5">
        <v>1</v>
      </c>
      <c r="AY718" s="5" t="e">
        <f t="shared" si="70"/>
        <v>#N/A</v>
      </c>
      <c r="AZ718" s="5" t="e">
        <f t="shared" si="71"/>
        <v>#N/A</v>
      </c>
      <c r="BA718" s="5">
        <f t="shared" si="72"/>
        <v>0.85270982554847841</v>
      </c>
      <c r="BD718" s="5">
        <f t="shared" si="73"/>
        <v>3.6833272154648786</v>
      </c>
      <c r="BF718" s="58"/>
    </row>
    <row r="719" spans="48:58" ht="12" customHeight="1">
      <c r="AV719" s="5">
        <f t="shared" si="74"/>
        <v>1.2719999999999667</v>
      </c>
      <c r="AW719" s="5">
        <f t="shared" si="69"/>
        <v>3.125728091986369E-3</v>
      </c>
      <c r="AX719" s="5">
        <v>1</v>
      </c>
      <c r="AY719" s="5" t="e">
        <f t="shared" si="70"/>
        <v>#N/A</v>
      </c>
      <c r="AZ719" s="5" t="e">
        <f t="shared" si="71"/>
        <v>#N/A</v>
      </c>
      <c r="BA719" s="5">
        <f t="shared" si="72"/>
        <v>0.85433878753013681</v>
      </c>
      <c r="BD719" s="5">
        <f t="shared" si="73"/>
        <v>3.7212830344545176</v>
      </c>
      <c r="BF719" s="58"/>
    </row>
    <row r="720" spans="48:58" ht="12" customHeight="1">
      <c r="AV720" s="5">
        <f t="shared" si="74"/>
        <v>1.2779999999999667</v>
      </c>
      <c r="AW720" s="5">
        <f t="shared" si="69"/>
        <v>2.7230385538301104E-3</v>
      </c>
      <c r="AX720" s="5">
        <v>1</v>
      </c>
      <c r="AY720" s="5" t="e">
        <f t="shared" si="70"/>
        <v>#N/A</v>
      </c>
      <c r="AZ720" s="5" t="e">
        <f t="shared" si="71"/>
        <v>#N/A</v>
      </c>
      <c r="BA720" s="5">
        <f t="shared" si="72"/>
        <v>0.85595113465462247</v>
      </c>
      <c r="BD720" s="5">
        <f t="shared" si="73"/>
        <v>3.7597027229033335</v>
      </c>
      <c r="BF720" s="58"/>
    </row>
    <row r="721" spans="48:58" ht="12" customHeight="1">
      <c r="AV721" s="5">
        <f t="shared" si="74"/>
        <v>1.2839999999999667</v>
      </c>
      <c r="AW721" s="5">
        <f t="shared" si="69"/>
        <v>2.3699230798691264E-3</v>
      </c>
      <c r="AX721" s="5">
        <v>1</v>
      </c>
      <c r="AY721" s="5" t="e">
        <f t="shared" si="70"/>
        <v>#N/A</v>
      </c>
      <c r="AZ721" s="5" t="e">
        <f t="shared" si="71"/>
        <v>#N/A</v>
      </c>
      <c r="BA721" s="5">
        <f t="shared" si="72"/>
        <v>0.85754700550990293</v>
      </c>
      <c r="BD721" s="5">
        <f t="shared" si="73"/>
        <v>3.7985918133130596</v>
      </c>
      <c r="BF721" s="58"/>
    </row>
    <row r="722" spans="48:58" ht="12" customHeight="1">
      <c r="AV722" s="5">
        <f t="shared" si="74"/>
        <v>1.2899999999999667</v>
      </c>
      <c r="AW722" s="5">
        <f t="shared" si="69"/>
        <v>2.0605946899054615E-3</v>
      </c>
      <c r="AX722" s="5">
        <v>1</v>
      </c>
      <c r="AY722" s="5" t="e">
        <f t="shared" si="70"/>
        <v>#N/A</v>
      </c>
      <c r="AZ722" s="5" t="e">
        <f t="shared" si="71"/>
        <v>#N/A</v>
      </c>
      <c r="BA722" s="5">
        <f t="shared" si="72"/>
        <v>0.85912653821435714</v>
      </c>
      <c r="BD722" s="5">
        <f t="shared" si="73"/>
        <v>3.8379559057801984</v>
      </c>
      <c r="BF722" s="58"/>
    </row>
    <row r="723" spans="48:58" ht="12" customHeight="1">
      <c r="AV723" s="5">
        <f t="shared" si="74"/>
        <v>1.2959999999999667</v>
      </c>
      <c r="AW723" s="5">
        <f t="shared" si="69"/>
        <v>1.7898999997876062E-3</v>
      </c>
      <c r="AX723" s="5">
        <v>1</v>
      </c>
      <c r="AY723" s="5" t="e">
        <f t="shared" si="70"/>
        <v>#N/A</v>
      </c>
      <c r="AZ723" s="5" t="e">
        <f t="shared" si="71"/>
        <v>#N/A</v>
      </c>
      <c r="BA723" s="5">
        <f t="shared" si="72"/>
        <v>0.86068987040141109</v>
      </c>
      <c r="BD723" s="5">
        <f t="shared" si="73"/>
        <v>3.8778006688013358</v>
      </c>
      <c r="BF723" s="58"/>
    </row>
    <row r="724" spans="48:58" ht="12" customHeight="1">
      <c r="AV724" s="5">
        <f t="shared" si="74"/>
        <v>1.3019999999999667</v>
      </c>
      <c r="AW724" s="5">
        <f t="shared" si="69"/>
        <v>1.5532552328791078E-3</v>
      </c>
      <c r="AX724" s="5">
        <v>1</v>
      </c>
      <c r="AY724" s="5" t="e">
        <f t="shared" si="70"/>
        <v>#N/A</v>
      </c>
      <c r="AZ724" s="5" t="e">
        <f t="shared" si="71"/>
        <v>#N/A</v>
      </c>
      <c r="BA724" s="5">
        <f t="shared" si="72"/>
        <v>0.86223713920464606</v>
      </c>
      <c r="BD724" s="5">
        <f t="shared" si="73"/>
        <v>3.9181318400919429</v>
      </c>
      <c r="BF724" s="58"/>
    </row>
    <row r="725" spans="48:58" ht="12" customHeight="1">
      <c r="AV725" s="5">
        <f t="shared" si="74"/>
        <v>1.3079999999999667</v>
      </c>
      <c r="AW725" s="5">
        <f t="shared" si="69"/>
        <v>1.3465880267665336E-3</v>
      </c>
      <c r="AX725" s="5">
        <v>1</v>
      </c>
      <c r="AY725" s="5" t="e">
        <f t="shared" si="70"/>
        <v>#N/A</v>
      </c>
      <c r="AZ725" s="5" t="e">
        <f t="shared" si="71"/>
        <v>#N/A</v>
      </c>
      <c r="BA725" s="5">
        <f t="shared" si="72"/>
        <v>0.86376848124337113</v>
      </c>
      <c r="BD725" s="5">
        <f t="shared" si="73"/>
        <v>3.9589552274097075</v>
      </c>
      <c r="BF725" s="58"/>
    </row>
    <row r="726" spans="48:58" ht="12" customHeight="1">
      <c r="AV726" s="5">
        <f t="shared" si="74"/>
        <v>1.3139999999999668</v>
      </c>
      <c r="AW726" s="5">
        <f t="shared" si="69"/>
        <v>1.1662845904923844E-3</v>
      </c>
      <c r="AX726" s="5">
        <v>1</v>
      </c>
      <c r="AY726" s="5" t="e">
        <f t="shared" si="70"/>
        <v>#N/A</v>
      </c>
      <c r="AZ726" s="5" t="e">
        <f t="shared" si="71"/>
        <v>#N/A</v>
      </c>
      <c r="BA726" s="5">
        <f t="shared" si="72"/>
        <v>0.86528403260865538</v>
      </c>
      <c r="BD726" s="5">
        <f t="shared" si="73"/>
        <v>4.0002767093940736</v>
      </c>
      <c r="BF726" s="58"/>
    </row>
    <row r="727" spans="48:58" ht="12" customHeight="1">
      <c r="AV727" s="5">
        <f t="shared" si="74"/>
        <v>1.3199999999999668</v>
      </c>
      <c r="AW727" s="5">
        <f t="shared" si="69"/>
        <v>1.0091417922663923E-3</v>
      </c>
      <c r="AX727" s="5">
        <v>1</v>
      </c>
      <c r="AY727" s="5" t="e">
        <f t="shared" si="70"/>
        <v>#N/A</v>
      </c>
      <c r="AZ727" s="5" t="e">
        <f t="shared" si="71"/>
        <v>#N/A</v>
      </c>
      <c r="BA727" s="5">
        <f t="shared" si="72"/>
        <v>0.86678392884981037</v>
      </c>
      <c r="BD727" s="5">
        <f t="shared" si="73"/>
        <v>4.0421022364082022</v>
      </c>
      <c r="BF727" s="58"/>
    </row>
    <row r="728" spans="48:58" ht="12" customHeight="1">
      <c r="AV728" s="5">
        <f t="shared" si="74"/>
        <v>1.3259999999999668</v>
      </c>
      <c r="AW728" s="5">
        <f t="shared" si="69"/>
        <v>8.7232378205843834E-4</v>
      </c>
      <c r="AX728" s="5">
        <v>1</v>
      </c>
      <c r="AY728" s="5" t="e">
        <f t="shared" si="70"/>
        <v>#N/A</v>
      </c>
      <c r="AZ728" s="5" t="e">
        <f t="shared" si="71"/>
        <v>#N/A</v>
      </c>
      <c r="BA728" s="5">
        <f t="shared" si="72"/>
        <v>0.86826830496131902</v>
      </c>
      <c r="BD728" s="5">
        <f t="shared" si="73"/>
        <v>4.0844378314017131</v>
      </c>
      <c r="BF728" s="58"/>
    </row>
    <row r="729" spans="48:58" ht="12" customHeight="1">
      <c r="AV729" s="5">
        <f t="shared" si="74"/>
        <v>1.3319999999999668</v>
      </c>
      <c r="AW729" s="5">
        <f t="shared" si="69"/>
        <v>7.5332277753773782E-4</v>
      </c>
      <c r="AX729" s="5">
        <v>1</v>
      </c>
      <c r="AY729" s="5" t="e">
        <f t="shared" si="70"/>
        <v>#N/A</v>
      </c>
      <c r="AZ729" s="5" t="e">
        <f t="shared" si="71"/>
        <v>#N/A</v>
      </c>
      <c r="BA729" s="5">
        <f t="shared" si="72"/>
        <v>0.86973729537020006</v>
      </c>
      <c r="BD729" s="5">
        <f t="shared" si="73"/>
        <v>4.1272895907725946</v>
      </c>
      <c r="BF729" s="58"/>
    </row>
    <row r="730" spans="48:58" ht="12" customHeight="1">
      <c r="AV730" s="5">
        <f t="shared" si="74"/>
        <v>1.3379999999999668</v>
      </c>
      <c r="AW730" s="5">
        <f t="shared" si="69"/>
        <v>6.4992366535204067E-4</v>
      </c>
      <c r="AX730" s="5">
        <v>1</v>
      </c>
      <c r="AY730" s="5" t="e">
        <f t="shared" si="70"/>
        <v>#N/A</v>
      </c>
      <c r="AZ730" s="5" t="e">
        <f t="shared" si="71"/>
        <v>#N/A</v>
      </c>
      <c r="BA730" s="5">
        <f t="shared" si="72"/>
        <v>0.87119103392380537</v>
      </c>
      <c r="BD730" s="5">
        <f t="shared" si="73"/>
        <v>4.1706636852488845</v>
      </c>
      <c r="BF730" s="58"/>
    </row>
    <row r="731" spans="48:58" ht="12" customHeight="1">
      <c r="AV731" s="5">
        <f t="shared" si="74"/>
        <v>1.3439999999999668</v>
      </c>
      <c r="AW731" s="5">
        <f t="shared" si="69"/>
        <v>5.6017209261723057E-4</v>
      </c>
      <c r="AX731" s="5">
        <v>1</v>
      </c>
      <c r="AY731" s="5" t="e">
        <f t="shared" si="70"/>
        <v>#N/A</v>
      </c>
      <c r="AZ731" s="5" t="e">
        <f t="shared" si="71"/>
        <v>#N/A</v>
      </c>
      <c r="BA731" s="5">
        <f t="shared" si="72"/>
        <v>0.87262965387803981</v>
      </c>
      <c r="BD731" s="5">
        <f t="shared" si="73"/>
        <v>4.2145663607742652</v>
      </c>
      <c r="BF731" s="58"/>
    </row>
    <row r="732" spans="48:58" ht="12" customHeight="1">
      <c r="AV732" s="5">
        <f t="shared" si="74"/>
        <v>1.3499999999999668</v>
      </c>
      <c r="AW732" s="5">
        <f t="shared" si="69"/>
        <v>4.8234574561436844E-4</v>
      </c>
      <c r="AX732" s="5">
        <v>1</v>
      </c>
      <c r="AY732" s="5" t="e">
        <f t="shared" si="70"/>
        <v>#N/A</v>
      </c>
      <c r="AZ732" s="5" t="e">
        <f t="shared" si="71"/>
        <v>#N/A</v>
      </c>
      <c r="BA732" s="5">
        <f t="shared" si="72"/>
        <v>0.87405328788599923</v>
      </c>
      <c r="BD732" s="5">
        <f t="shared" si="73"/>
        <v>4.2590039394107855</v>
      </c>
      <c r="BF732" s="58"/>
    </row>
    <row r="733" spans="48:58" ht="12" customHeight="1">
      <c r="AV733" s="5">
        <f t="shared" si="74"/>
        <v>1.3559999999999668</v>
      </c>
      <c r="AW733" s="5">
        <f t="shared" si="69"/>
        <v>4.1492853398965318E-4</v>
      </c>
      <c r="AX733" s="5">
        <v>1</v>
      </c>
      <c r="AY733" s="5" t="e">
        <f t="shared" si="70"/>
        <v>#N/A</v>
      </c>
      <c r="AZ733" s="5" t="e">
        <f t="shared" si="71"/>
        <v>#N/A</v>
      </c>
      <c r="BA733" s="5">
        <f t="shared" si="72"/>
        <v>0.87546206798701742</v>
      </c>
      <c r="BD733" s="5">
        <f t="shared" si="73"/>
        <v>4.3039828202461194</v>
      </c>
      <c r="BF733" s="58"/>
    </row>
    <row r="734" spans="48:58" ht="12" customHeight="1">
      <c r="AV734" s="5">
        <f t="shared" si="74"/>
        <v>1.3619999999999668</v>
      </c>
      <c r="AW734" s="5">
        <f t="shared" si="69"/>
        <v>3.5658741916346837E-4</v>
      </c>
      <c r="AX734" s="5">
        <v>1</v>
      </c>
      <c r="AY734" s="5" t="e">
        <f t="shared" si="70"/>
        <v>#N/A</v>
      </c>
      <c r="AZ734" s="5" t="e">
        <f t="shared" si="71"/>
        <v>#N/A</v>
      </c>
      <c r="BA734" s="5">
        <f t="shared" si="72"/>
        <v>0.87685612559611747</v>
      </c>
      <c r="BD734" s="5">
        <f t="shared" si="73"/>
        <v>4.3495094803164767</v>
      </c>
      <c r="BF734" s="58"/>
    </row>
    <row r="735" spans="48:58" ht="12" customHeight="1">
      <c r="AV735" s="5">
        <f t="shared" si="74"/>
        <v>1.3679999999999668</v>
      </c>
      <c r="AW735" s="5">
        <f t="shared" si="69"/>
        <v>3.0615164513397478E-4</v>
      </c>
      <c r="AX735" s="5">
        <v>1</v>
      </c>
      <c r="AY735" s="5" t="e">
        <f t="shared" si="70"/>
        <v>#N/A</v>
      </c>
      <c r="AZ735" s="5" t="e">
        <f t="shared" si="71"/>
        <v>#N/A</v>
      </c>
      <c r="BA735" s="5">
        <f t="shared" si="72"/>
        <v>0.87823559149385899</v>
      </c>
      <c r="BD735" s="5">
        <f t="shared" si="73"/>
        <v>4.3955904755407058</v>
      </c>
      <c r="BF735" s="58"/>
    </row>
    <row r="736" spans="48:58" ht="12" customHeight="1">
      <c r="AV736" s="5">
        <f t="shared" si="74"/>
        <v>1.3739999999999668</v>
      </c>
      <c r="AW736" s="5">
        <f t="shared" si="69"/>
        <v>2.6259414837946697E-4</v>
      </c>
      <c r="AX736" s="5">
        <v>1</v>
      </c>
      <c r="AY736" s="5" t="e">
        <f t="shared" si="70"/>
        <v>#N/A</v>
      </c>
      <c r="AZ736" s="5" t="e">
        <f t="shared" si="71"/>
        <v>#N/A</v>
      </c>
      <c r="BA736" s="5">
        <f t="shared" si="72"/>
        <v>0.87960059581657446</v>
      </c>
      <c r="BD736" s="5">
        <f t="shared" si="73"/>
        <v>4.4422324416602992</v>
      </c>
      <c r="BF736" s="58"/>
    </row>
    <row r="737" spans="48:58" ht="12" customHeight="1">
      <c r="AV737" s="5">
        <f t="shared" si="74"/>
        <v>1.3799999999999668</v>
      </c>
      <c r="AW737" s="5">
        <f t="shared" si="69"/>
        <v>2.2501494110547959E-4</v>
      </c>
      <c r="AX737" s="5">
        <v>1</v>
      </c>
      <c r="AY737" s="5" t="e">
        <f t="shared" si="70"/>
        <v>#N/A</v>
      </c>
      <c r="AZ737" s="5" t="e">
        <f t="shared" si="71"/>
        <v>#N/A</v>
      </c>
      <c r="BA737" s="5">
        <f t="shared" si="72"/>
        <v>0.88095126804698964</v>
      </c>
      <c r="BD737" s="5">
        <f t="shared" si="73"/>
        <v>4.4894420952003706</v>
      </c>
      <c r="BF737" s="58"/>
    </row>
    <row r="738" spans="48:58" ht="12" customHeight="1">
      <c r="AV738" s="5">
        <f t="shared" si="74"/>
        <v>1.3859999999999668</v>
      </c>
      <c r="AW738" s="5">
        <f t="shared" si="69"/>
        <v>1.9262627864206794E-4</v>
      </c>
      <c r="AX738" s="5">
        <v>1</v>
      </c>
      <c r="AY738" s="5" t="e">
        <f t="shared" si="70"/>
        <v>#N/A</v>
      </c>
      <c r="AZ738" s="5" t="e">
        <f t="shared" si="71"/>
        <v>#N/A</v>
      </c>
      <c r="BA738" s="5">
        <f t="shared" si="72"/>
        <v>0.88228773700521823</v>
      </c>
      <c r="BD738" s="5">
        <f t="shared" si="73"/>
        <v>4.5372262344315937</v>
      </c>
      <c r="BF738" s="58"/>
    </row>
    <row r="739" spans="48:58" ht="12" customHeight="1">
      <c r="AV739" s="5">
        <f t="shared" si="74"/>
        <v>1.3919999999999668</v>
      </c>
      <c r="AW739" s="5">
        <f t="shared" si="69"/>
        <v>1.647394373780446E-4</v>
      </c>
      <c r="AX739" s="5">
        <v>1</v>
      </c>
      <c r="AY739" s="5" t="e">
        <f t="shared" si="70"/>
        <v>#N/A</v>
      </c>
      <c r="AZ739" s="5" t="e">
        <f t="shared" si="71"/>
        <v>#N/A</v>
      </c>
      <c r="BA739" s="5">
        <f t="shared" si="72"/>
        <v>0.88361013084012729</v>
      </c>
      <c r="BD739" s="5">
        <f t="shared" si="73"/>
        <v>4.5855917403523101</v>
      </c>
      <c r="BF739" s="58"/>
    </row>
    <row r="740" spans="48:58" ht="12" customHeight="1">
      <c r="AV740" s="5">
        <f t="shared" si="74"/>
        <v>1.3979999999999668</v>
      </c>
      <c r="AW740" s="5">
        <f t="shared" si="69"/>
        <v>1.4075294423468573E-4</v>
      </c>
      <c r="AX740" s="5">
        <v>1</v>
      </c>
      <c r="AY740" s="5" t="e">
        <f t="shared" si="70"/>
        <v>#N/A</v>
      </c>
      <c r="AZ740" s="5" t="e">
        <f t="shared" si="71"/>
        <v>#N/A</v>
      </c>
      <c r="BA740" s="5">
        <f t="shared" si="72"/>
        <v>0.88491857702106425</v>
      </c>
      <c r="BD740" s="5">
        <f t="shared" si="73"/>
        <v>4.6345455776804858</v>
      </c>
      <c r="BF740" s="58"/>
    </row>
    <row r="741" spans="48:58" ht="12" customHeight="1">
      <c r="AV741" s="5">
        <f t="shared" si="74"/>
        <v>1.4039999999999668</v>
      </c>
      <c r="AW741" s="5">
        <f t="shared" si="69"/>
        <v>1.2014211235085551E-4</v>
      </c>
      <c r="AX741" s="5">
        <v>1</v>
      </c>
      <c r="AY741" s="5" t="e">
        <f t="shared" si="70"/>
        <v>#N/A</v>
      </c>
      <c r="AZ741" s="5" t="e">
        <f t="shared" si="71"/>
        <v>#N/A</v>
      </c>
      <c r="BA741" s="5">
        <f t="shared" si="72"/>
        <v>0.88621320232993928</v>
      </c>
      <c r="BD741" s="5">
        <f t="shared" si="73"/>
        <v>4.6840947958522019</v>
      </c>
      <c r="BF741" s="58"/>
    </row>
    <row r="742" spans="48:58" ht="12" customHeight="1">
      <c r="AV742" s="5">
        <f t="shared" si="74"/>
        <v>1.4099999999999668</v>
      </c>
      <c r="AW742" s="5">
        <f t="shared" si="69"/>
        <v>1.0244975039982104E-4</v>
      </c>
      <c r="AX742" s="5">
        <v>1</v>
      </c>
      <c r="AY742" s="5" t="e">
        <f t="shared" si="70"/>
        <v>#N/A</v>
      </c>
      <c r="AZ742" s="5" t="e">
        <f t="shared" si="71"/>
        <v>#N/A</v>
      </c>
      <c r="BA742" s="5">
        <f t="shared" si="72"/>
        <v>0.88749413285365819</v>
      </c>
      <c r="BD742" s="5">
        <f t="shared" si="73"/>
        <v>4.7342465300402283</v>
      </c>
      <c r="BF742" s="58"/>
    </row>
    <row r="743" spans="48:58" ht="12" customHeight="1">
      <c r="AV743" s="5">
        <f t="shared" si="74"/>
        <v>1.4159999999999668</v>
      </c>
      <c r="AW743" s="5">
        <f t="shared" si="69"/>
        <v>8.727792481492314E-5</v>
      </c>
      <c r="AX743" s="5">
        <v>1</v>
      </c>
      <c r="AY743" s="5" t="e">
        <f t="shared" si="70"/>
        <v>#N/A</v>
      </c>
      <c r="AZ743" s="5" t="e">
        <f t="shared" si="71"/>
        <v>#N/A</v>
      </c>
      <c r="BA743" s="5">
        <f t="shared" si="72"/>
        <v>0.88876149397689674</v>
      </c>
      <c r="BD743" s="5">
        <f t="shared" si="73"/>
        <v>4.7850080021815353</v>
      </c>
      <c r="BF743" s="58"/>
    </row>
    <row r="744" spans="48:58" ht="12" customHeight="1">
      <c r="AV744" s="5">
        <f t="shared" si="74"/>
        <v>1.4219999999999668</v>
      </c>
      <c r="AW744" s="5">
        <f t="shared" si="69"/>
        <v>7.4280665200287852E-5</v>
      </c>
      <c r="AX744" s="5">
        <v>1</v>
      </c>
      <c r="AY744" s="5" t="e">
        <f t="shared" si="70"/>
        <v>#N/A</v>
      </c>
      <c r="AZ744" s="5" t="e">
        <f t="shared" si="71"/>
        <v>#N/A</v>
      </c>
      <c r="BA744" s="5">
        <f t="shared" si="72"/>
        <v>0.89001541037521092</v>
      </c>
      <c r="BD744" s="5">
        <f t="shared" si="73"/>
        <v>4.8363865220160971</v>
      </c>
      <c r="BF744" s="58"/>
    </row>
    <row r="745" spans="48:58" ht="12" customHeight="1">
      <c r="AV745" s="5">
        <f t="shared" si="74"/>
        <v>1.4279999999999669</v>
      </c>
      <c r="AW745" s="5">
        <f t="shared" si="69"/>
        <v>6.315751338015713E-5</v>
      </c>
      <c r="AX745" s="5">
        <v>1</v>
      </c>
      <c r="AY745" s="5" t="e">
        <f t="shared" si="70"/>
        <v>#N/A</v>
      </c>
      <c r="AZ745" s="5" t="e">
        <f t="shared" si="71"/>
        <v>#N/A</v>
      </c>
      <c r="BA745" s="5">
        <f t="shared" si="72"/>
        <v>0.89125600600847699</v>
      </c>
      <c r="BD745" s="5">
        <f t="shared" si="73"/>
        <v>4.8883894881389329</v>
      </c>
      <c r="BF745" s="58"/>
    </row>
    <row r="746" spans="48:58" ht="12" customHeight="1">
      <c r="AV746" s="5">
        <f t="shared" si="74"/>
        <v>1.4339999999999669</v>
      </c>
      <c r="AW746" s="5">
        <f t="shared" si="69"/>
        <v>5.3647825934593006E-5</v>
      </c>
      <c r="AX746" s="5">
        <v>1</v>
      </c>
      <c r="AY746" s="5" t="e">
        <f t="shared" si="70"/>
        <v>#N/A</v>
      </c>
      <c r="AZ746" s="5" t="e">
        <f t="shared" si="71"/>
        <v>#N/A</v>
      </c>
      <c r="BA746" s="5">
        <f t="shared" si="72"/>
        <v>0.89248340411465454</v>
      </c>
      <c r="BD746" s="5">
        <f t="shared" si="73"/>
        <v>4.9410243890667367</v>
      </c>
      <c r="BF746" s="58"/>
    </row>
    <row r="747" spans="48:58" ht="12" customHeight="1">
      <c r="AV747" s="5">
        <f t="shared" si="74"/>
        <v>1.4399999999999669</v>
      </c>
      <c r="AW747" s="5">
        <f t="shared" si="69"/>
        <v>4.5525748720002476E-5</v>
      </c>
      <c r="AX747" s="5">
        <v>1</v>
      </c>
      <c r="AY747" s="5" t="e">
        <f t="shared" si="70"/>
        <v>#N/A</v>
      </c>
      <c r="AZ747" s="5" t="e">
        <f t="shared" si="71"/>
        <v>#N/A</v>
      </c>
      <c r="BA747" s="5">
        <f t="shared" si="72"/>
        <v>0.89369772720386587</v>
      </c>
      <c r="BD747" s="5">
        <f t="shared" si="73"/>
        <v>4.9942988043169754</v>
      </c>
      <c r="BF747" s="58"/>
    </row>
    <row r="748" spans="48:58" ht="12" customHeight="1">
      <c r="AV748" s="5">
        <f t="shared" si="74"/>
        <v>1.4459999999999669</v>
      </c>
      <c r="AW748" s="5">
        <f t="shared" si="69"/>
        <v>3.8595789820645876E-5</v>
      </c>
      <c r="AX748" s="5">
        <v>1</v>
      </c>
      <c r="AY748" s="5" t="e">
        <f t="shared" si="70"/>
        <v>#N/A</v>
      </c>
      <c r="AZ748" s="5" t="e">
        <f t="shared" si="71"/>
        <v>#N/A</v>
      </c>
      <c r="BA748" s="5">
        <f t="shared" si="72"/>
        <v>0.89489909705278514</v>
      </c>
      <c r="BD748" s="5">
        <f t="shared" si="73"/>
        <v>5.048220405497875</v>
      </c>
      <c r="BF748" s="58"/>
    </row>
    <row r="749" spans="48:58" ht="12" customHeight="1">
      <c r="AV749" s="5">
        <f t="shared" si="74"/>
        <v>1.4519999999999669</v>
      </c>
      <c r="AW749" s="5">
        <f t="shared" si="69"/>
        <v>3.268892466291796E-5</v>
      </c>
      <c r="AX749" s="5">
        <v>1</v>
      </c>
      <c r="AY749" s="5" t="e">
        <f t="shared" si="70"/>
        <v>#N/A</v>
      </c>
      <c r="AZ749" s="5" t="e">
        <f t="shared" si="71"/>
        <v>#N/A</v>
      </c>
      <c r="BA749" s="5">
        <f t="shared" si="72"/>
        <v>0.89608763469933195</v>
      </c>
      <c r="BD749" s="5">
        <f t="shared" si="73"/>
        <v>5.102796957411269</v>
      </c>
      <c r="BF749" s="58"/>
    </row>
    <row r="750" spans="48:58" ht="12" customHeight="1">
      <c r="AV750" s="5">
        <f t="shared" si="74"/>
        <v>1.4579999999999669</v>
      </c>
      <c r="AW750" s="5">
        <f t="shared" si="69"/>
        <v>2.7659173688212766E-5</v>
      </c>
      <c r="AX750" s="5">
        <v>1</v>
      </c>
      <c r="AY750" s="5" t="e">
        <f t="shared" si="70"/>
        <v>#N/A</v>
      </c>
      <c r="AZ750" s="5" t="e">
        <f t="shared" si="71"/>
        <v>#N/A</v>
      </c>
      <c r="BA750" s="5">
        <f t="shared" si="72"/>
        <v>0.8972634604376627</v>
      </c>
      <c r="BD750" s="5">
        <f t="shared" si="73"/>
        <v>5.1580363191775449</v>
      </c>
      <c r="BF750" s="58"/>
    </row>
    <row r="751" spans="48:58" ht="12" customHeight="1">
      <c r="AV751" s="5">
        <f t="shared" si="74"/>
        <v>1.4639999999999669</v>
      </c>
      <c r="AW751" s="5">
        <f t="shared" si="69"/>
        <v>2.3380599062851625E-5</v>
      </c>
      <c r="AX751" s="5">
        <v>1</v>
      </c>
      <c r="AY751" s="5" t="e">
        <f t="shared" si="70"/>
        <v>#N/A</v>
      </c>
      <c r="AZ751" s="5" t="e">
        <f t="shared" si="71"/>
        <v>#N/A</v>
      </c>
      <c r="BA751" s="5">
        <f t="shared" si="72"/>
        <v>0.89842669381345186</v>
      </c>
      <c r="BD751" s="5">
        <f t="shared" si="73"/>
        <v>5.2139464453577951</v>
      </c>
      <c r="BF751" s="58"/>
    </row>
    <row r="752" spans="48:58" ht="12" customHeight="1">
      <c r="AV752" s="5">
        <f t="shared" si="74"/>
        <v>1.4699999999999669</v>
      </c>
      <c r="AW752" s="5">
        <f t="shared" si="69"/>
        <v>1.9744672443925445E-5</v>
      </c>
      <c r="AX752" s="5">
        <v>1</v>
      </c>
      <c r="AY752" s="5" t="e">
        <f t="shared" si="70"/>
        <v>#N/A</v>
      </c>
      <c r="AZ752" s="5" t="e">
        <f t="shared" si="71"/>
        <v>#N/A</v>
      </c>
      <c r="BA752" s="5">
        <f t="shared" si="72"/>
        <v>0.89957745361946062</v>
      </c>
      <c r="BD752" s="5">
        <f t="shared" si="73"/>
        <v>5.2705353871085752</v>
      </c>
      <c r="BF752" s="58"/>
    </row>
    <row r="753" spans="48:58" ht="12" customHeight="1">
      <c r="AV753" s="5">
        <f t="shared" si="74"/>
        <v>1.4759999999999669</v>
      </c>
      <c r="AW753" s="5">
        <f t="shared" si="69"/>
        <v>1.6657970856216665E-5</v>
      </c>
      <c r="AX753" s="5">
        <v>1</v>
      </c>
      <c r="AY753" s="5" t="e">
        <f t="shared" si="70"/>
        <v>#N/A</v>
      </c>
      <c r="AZ753" s="5" t="e">
        <f t="shared" si="71"/>
        <v>#N/A</v>
      </c>
      <c r="BA753" s="5">
        <f t="shared" si="72"/>
        <v>0.90071585789138253</v>
      </c>
      <c r="BD753" s="5">
        <f t="shared" si="73"/>
        <v>5.3278112933343449</v>
      </c>
      <c r="BF753" s="58"/>
    </row>
    <row r="754" spans="48:58" ht="12" customHeight="1">
      <c r="AV754" s="5">
        <f t="shared" si="74"/>
        <v>1.4819999999999669</v>
      </c>
      <c r="AW754" s="5">
        <f t="shared" si="69"/>
        <v>1.4040162304300653E-5</v>
      </c>
      <c r="AX754" s="5">
        <v>1</v>
      </c>
      <c r="AY754" s="5" t="e">
        <f t="shared" si="70"/>
        <v>#N/A</v>
      </c>
      <c r="AZ754" s="5" t="e">
        <f t="shared" si="71"/>
        <v>#N/A</v>
      </c>
      <c r="BA754" s="5">
        <f t="shared" si="72"/>
        <v>0.90184202390396384</v>
      </c>
      <c r="BD754" s="5">
        <f t="shared" si="73"/>
        <v>5.385782411864505</v>
      </c>
      <c r="BF754" s="58"/>
    </row>
    <row r="755" spans="48:58" ht="12" customHeight="1">
      <c r="AV755" s="5">
        <f t="shared" si="74"/>
        <v>1.4879999999999669</v>
      </c>
      <c r="AW755" s="5">
        <f t="shared" si="69"/>
        <v>1.1822246880876737E-5</v>
      </c>
      <c r="AX755" s="5">
        <v>1</v>
      </c>
      <c r="AY755" s="5" t="e">
        <f t="shared" si="70"/>
        <v>#N/A</v>
      </c>
      <c r="AZ755" s="5" t="e">
        <f t="shared" si="71"/>
        <v>#N/A</v>
      </c>
      <c r="BA755" s="5">
        <f t="shared" si="72"/>
        <v>0.90295606816739016</v>
      </c>
      <c r="BD755" s="5">
        <f t="shared" si="73"/>
        <v>5.4444570906412526</v>
      </c>
      <c r="BF755" s="58"/>
    </row>
    <row r="756" spans="48:58" ht="12" customHeight="1">
      <c r="AV756" s="5">
        <f t="shared" si="74"/>
        <v>1.4939999999999669</v>
      </c>
      <c r="AW756" s="5">
        <f t="shared" si="69"/>
        <v>9.9450228709706343E-6</v>
      </c>
      <c r="AX756" s="5">
        <v>1</v>
      </c>
      <c r="AY756" s="5" t="e">
        <f t="shared" si="70"/>
        <v>#N/A</v>
      </c>
      <c r="AZ756" s="5" t="e">
        <f t="shared" si="71"/>
        <v>#N/A</v>
      </c>
      <c r="BA756" s="5">
        <f t="shared" si="72"/>
        <v>0.90405810642393436</v>
      </c>
      <c r="BD756" s="5">
        <f t="shared" si="73"/>
        <v>5.5038437789187862</v>
      </c>
      <c r="BF756" s="58"/>
    </row>
    <row r="757" spans="48:58" ht="12" customHeight="1">
      <c r="AV757" s="5">
        <f t="shared" si="74"/>
        <v>1.4999999999999669</v>
      </c>
      <c r="AW757" s="5">
        <f t="shared" si="69"/>
        <v>8.3577507239820736E-6</v>
      </c>
      <c r="AX757" s="5">
        <v>1</v>
      </c>
      <c r="AY757" s="5" t="e">
        <f t="shared" si="70"/>
        <v>#N/A</v>
      </c>
      <c r="AZ757" s="5" t="e">
        <f t="shared" si="71"/>
        <v>#N/A</v>
      </c>
      <c r="BA757" s="5">
        <f t="shared" si="72"/>
        <v>0.90514825364486051</v>
      </c>
      <c r="BD757" s="5">
        <f t="shared" si="73"/>
        <v>5.5639510284836202</v>
      </c>
      <c r="BF757" s="58"/>
    </row>
    <row r="758" spans="48:58" ht="12" customHeight="1">
      <c r="AV758" s="5">
        <f t="shared" si="74"/>
        <v>1.5059999999999669</v>
      </c>
      <c r="AW758" s="5">
        <f t="shared" si="69"/>
        <v>7.0169908018525928E-6</v>
      </c>
      <c r="AX758" s="5">
        <v>1</v>
      </c>
      <c r="AY758" s="5" t="e">
        <f t="shared" si="70"/>
        <v>#N/A</v>
      </c>
      <c r="AZ758" s="5" t="e">
        <f t="shared" si="71"/>
        <v>#N/A</v>
      </c>
      <c r="BA758" s="5">
        <f t="shared" si="72"/>
        <v>0.9062266240275767</v>
      </c>
      <c r="BD758" s="5">
        <f t="shared" si="73"/>
        <v>5.624787494882364</v>
      </c>
      <c r="BF758" s="58"/>
    </row>
    <row r="759" spans="48:58" ht="12" customHeight="1">
      <c r="AV759" s="5">
        <f t="shared" si="74"/>
        <v>1.5119999999999669</v>
      </c>
      <c r="AW759" s="5">
        <f t="shared" si="69"/>
        <v>5.8855935404819252E-6</v>
      </c>
      <c r="AX759" s="5">
        <v>1</v>
      </c>
      <c r="AY759" s="5" t="e">
        <f t="shared" si="70"/>
        <v>#N/A</v>
      </c>
      <c r="AZ759" s="5" t="e">
        <f t="shared" si="71"/>
        <v>#N/A</v>
      </c>
      <c r="BA759" s="5">
        <f t="shared" si="72"/>
        <v>0.90729333099303255</v>
      </c>
      <c r="BD759" s="5">
        <f t="shared" si="73"/>
        <v>5.6863619386724897</v>
      </c>
      <c r="BF759" s="58"/>
    </row>
    <row r="760" spans="48:58" ht="12" customHeight="1">
      <c r="AV760" s="5">
        <f t="shared" si="74"/>
        <v>1.5179999999999669</v>
      </c>
      <c r="AW760" s="5">
        <f t="shared" si="69"/>
        <v>4.9318231096550671E-6</v>
      </c>
      <c r="AX760" s="5">
        <v>1</v>
      </c>
      <c r="AY760" s="5" t="e">
        <f t="shared" si="70"/>
        <v>#N/A</v>
      </c>
      <c r="AZ760" s="5" t="e">
        <f t="shared" si="71"/>
        <v>#N/A</v>
      </c>
      <c r="BA760" s="5">
        <f t="shared" si="72"/>
        <v>0.90834848718335426</v>
      </c>
      <c r="BD760" s="5">
        <f t="shared" si="73"/>
        <v>5.7486832266802077</v>
      </c>
      <c r="BF760" s="58"/>
    </row>
    <row r="761" spans="48:58" ht="12" customHeight="1">
      <c r="AV761" s="5">
        <f t="shared" si="74"/>
        <v>1.5239999999999669</v>
      </c>
      <c r="AW761" s="5">
        <f t="shared" si="69"/>
        <v>4.1285978492123985E-6</v>
      </c>
      <c r="AX761" s="5">
        <v>1</v>
      </c>
      <c r="AY761" s="5" t="e">
        <f t="shared" si="70"/>
        <v>#N/A</v>
      </c>
      <c r="AZ761" s="5" t="e">
        <f t="shared" si="71"/>
        <v>#N/A</v>
      </c>
      <c r="BA761" s="5">
        <f t="shared" si="72"/>
        <v>0.90939220445971303</v>
      </c>
      <c r="BD761" s="5">
        <f t="shared" si="73"/>
        <v>5.8117603332772276</v>
      </c>
      <c r="BF761" s="58"/>
    </row>
    <row r="762" spans="48:58" ht="12" customHeight="1">
      <c r="AV762" s="5">
        <f t="shared" si="74"/>
        <v>1.5299999999999669</v>
      </c>
      <c r="AW762" s="5">
        <f t="shared" si="69"/>
        <v>3.4528327192865999E-6</v>
      </c>
      <c r="AX762" s="5">
        <v>1</v>
      </c>
      <c r="AY762" s="5" t="e">
        <f t="shared" si="70"/>
        <v>#N/A</v>
      </c>
      <c r="AZ762" s="5" t="e">
        <f t="shared" si="71"/>
        <v>#N/A</v>
      </c>
      <c r="BA762" s="5">
        <f t="shared" si="72"/>
        <v>0.91042459390042085</v>
      </c>
      <c r="BD762" s="5">
        <f t="shared" si="73"/>
        <v>5.8756023416775838</v>
      </c>
      <c r="BF762" s="58"/>
    </row>
    <row r="763" spans="48:58" ht="12" customHeight="1">
      <c r="AV763" s="5">
        <f t="shared" si="74"/>
        <v>1.5359999999999669</v>
      </c>
      <c r="AW763" s="5">
        <f t="shared" si="69"/>
        <v>2.8848707518039232E-6</v>
      </c>
      <c r="AX763" s="5">
        <v>1</v>
      </c>
      <c r="AY763" s="5" t="e">
        <f t="shared" si="70"/>
        <v>#N/A</v>
      </c>
      <c r="AZ763" s="5" t="e">
        <f t="shared" si="71"/>
        <v>#N/A</v>
      </c>
      <c r="BA763" s="5">
        <f t="shared" si="72"/>
        <v>0.9114457657992473</v>
      </c>
      <c r="BD763" s="5">
        <f t="shared" si="73"/>
        <v>5.9402184452408324</v>
      </c>
      <c r="BF763" s="58"/>
    </row>
    <row r="764" spans="48:58" ht="12" customHeight="1">
      <c r="AV764" s="5">
        <f t="shared" si="74"/>
        <v>1.541999999999967</v>
      </c>
      <c r="AW764" s="5">
        <f t="shared" si="69"/>
        <v>2.4079920491181936E-6</v>
      </c>
      <c r="AX764" s="5">
        <v>1</v>
      </c>
      <c r="AY764" s="5" t="e">
        <f t="shared" si="70"/>
        <v>#N/A</v>
      </c>
      <c r="AZ764" s="5" t="e">
        <f t="shared" si="71"/>
        <v>#N/A</v>
      </c>
      <c r="BA764" s="5">
        <f t="shared" si="72"/>
        <v>0.91245582966395367</v>
      </c>
      <c r="BD764" s="5">
        <f t="shared" si="73"/>
        <v>6.0056179487960817</v>
      </c>
      <c r="BF764" s="58"/>
    </row>
    <row r="765" spans="48:58" ht="12" customHeight="1">
      <c r="AV765" s="5">
        <f t="shared" si="74"/>
        <v>1.547999999999967</v>
      </c>
      <c r="AW765" s="5">
        <f t="shared" si="69"/>
        <v>2.0079902621107484E-6</v>
      </c>
      <c r="AX765" s="5">
        <v>1</v>
      </c>
      <c r="AY765" s="5" t="e">
        <f t="shared" si="70"/>
        <v>#N/A</v>
      </c>
      <c r="AZ765" s="5" t="e">
        <f t="shared" si="71"/>
        <v>#N/A</v>
      </c>
      <c r="BA765" s="5">
        <f t="shared" si="72"/>
        <v>0.91345489421503834</v>
      </c>
      <c r="BD765" s="5">
        <f t="shared" si="73"/>
        <v>6.0718102699862664</v>
      </c>
      <c r="BF765" s="58"/>
    </row>
    <row r="766" spans="48:58" ht="12" customHeight="1">
      <c r="AV766" s="5">
        <f t="shared" si="74"/>
        <v>1.553999999999967</v>
      </c>
      <c r="AW766" s="5">
        <f t="shared" si="69"/>
        <v>1.672807711341997E-6</v>
      </c>
      <c r="AX766" s="5">
        <v>1</v>
      </c>
      <c r="AY766" s="5" t="e">
        <f t="shared" si="70"/>
        <v>#N/A</v>
      </c>
      <c r="AZ766" s="5" t="e">
        <f t="shared" si="71"/>
        <v>#N/A</v>
      </c>
      <c r="BA766" s="5">
        <f t="shared" si="72"/>
        <v>0.91444306738468739</v>
      </c>
      <c r="BD766" s="5">
        <f t="shared" si="73"/>
        <v>6.1388049406186207</v>
      </c>
      <c r="BF766" s="58"/>
    </row>
    <row r="767" spans="48:58" ht="12" customHeight="1">
      <c r="AV767" s="5">
        <f t="shared" si="74"/>
        <v>1.559999999999967</v>
      </c>
      <c r="AW767" s="5">
        <f t="shared" si="69"/>
        <v>1.3922214064947699E-6</v>
      </c>
      <c r="AX767" s="5">
        <v>1</v>
      </c>
      <c r="AY767" s="5" t="e">
        <f t="shared" si="70"/>
        <v>#N/A</v>
      </c>
      <c r="AZ767" s="5" t="e">
        <f t="shared" si="71"/>
        <v>#N/A</v>
      </c>
      <c r="BA767" s="5">
        <f t="shared" si="72"/>
        <v>0.91542045631592706</v>
      </c>
      <c r="BD767" s="5">
        <f t="shared" si="73"/>
        <v>6.2066116080432074</v>
      </c>
      <c r="BF767" s="58"/>
    </row>
    <row r="768" spans="48:58" ht="12" customHeight="1">
      <c r="AV768" s="5">
        <f t="shared" si="74"/>
        <v>1.565999999999967</v>
      </c>
      <c r="AW768" s="5">
        <f t="shared" si="69"/>
        <v>1.1575731856760231E-6</v>
      </c>
      <c r="AX768" s="5">
        <v>1</v>
      </c>
      <c r="AY768" s="5" t="e">
        <f t="shared" si="70"/>
        <v>#N/A</v>
      </c>
      <c r="AZ768" s="5" t="e">
        <f t="shared" si="71"/>
        <v>#N/A</v>
      </c>
      <c r="BA768" s="5">
        <f t="shared" si="72"/>
        <v>0.91638716736197101</v>
      </c>
      <c r="BD768" s="5">
        <f t="shared" si="73"/>
        <v>6.2752400365358127</v>
      </c>
      <c r="BF768" s="58"/>
    </row>
    <row r="769" spans="48:58" ht="12" customHeight="1">
      <c r="AV769" s="5">
        <f t="shared" si="74"/>
        <v>1.571999999999967</v>
      </c>
      <c r="AW769" s="5">
        <f t="shared" si="69"/>
        <v>9.6153805018281723E-7</v>
      </c>
      <c r="AX769" s="5">
        <v>1</v>
      </c>
      <c r="AY769" s="5" t="e">
        <f t="shared" si="70"/>
        <v>#N/A</v>
      </c>
      <c r="AZ769" s="5" t="e">
        <f t="shared" si="71"/>
        <v>#N/A</v>
      </c>
      <c r="BA769" s="5">
        <f t="shared" si="72"/>
        <v>0.91734330608575954</v>
      </c>
      <c r="BD769" s="5">
        <f t="shared" si="73"/>
        <v>6.3447001087099899</v>
      </c>
      <c r="BF769" s="58"/>
    </row>
    <row r="770" spans="48:58" ht="12" customHeight="1">
      <c r="AV770" s="5">
        <f t="shared" si="74"/>
        <v>1.577999999999967</v>
      </c>
      <c r="AW770" s="5">
        <f t="shared" si="69"/>
        <v>7.9792552394942002E-7</v>
      </c>
      <c r="AX770" s="5">
        <v>1</v>
      </c>
      <c r="AY770" s="5" t="e">
        <f t="shared" si="70"/>
        <v>#N/A</v>
      </c>
      <c r="AZ770" s="5" t="e">
        <f t="shared" si="71"/>
        <v>#N/A</v>
      </c>
      <c r="BA770" s="5">
        <f t="shared" si="72"/>
        <v>0.91828897725968361</v>
      </c>
      <c r="BD770" s="5">
        <f t="shared" si="73"/>
        <v>6.4150018269350451</v>
      </c>
      <c r="BF770" s="58"/>
    </row>
    <row r="771" spans="48:58" ht="12" customHeight="1">
      <c r="AV771" s="5">
        <f t="shared" si="74"/>
        <v>1.583999999999967</v>
      </c>
      <c r="AW771" s="5">
        <f t="shared" si="69"/>
        <v>6.6150953085919781E-7</v>
      </c>
      <c r="AX771" s="5">
        <v>1</v>
      </c>
      <c r="AY771" s="5" t="e">
        <f t="shared" si="70"/>
        <v>#N/A</v>
      </c>
      <c r="AZ771" s="5" t="e">
        <f t="shared" si="71"/>
        <v>#N/A</v>
      </c>
      <c r="BA771" s="5">
        <f t="shared" si="72"/>
        <v>0.9192242848654909</v>
      </c>
      <c r="BD771" s="5">
        <f t="shared" si="73"/>
        <v>6.4861553147806896</v>
      </c>
      <c r="BF771" s="58"/>
    </row>
    <row r="772" spans="48:58" ht="12" customHeight="1">
      <c r="AV772" s="5">
        <f t="shared" si="74"/>
        <v>1.589999999999967</v>
      </c>
      <c r="AW772" s="5">
        <f t="shared" si="69"/>
        <v>5.4788286718756865E-7</v>
      </c>
      <c r="AX772" s="5">
        <v>1</v>
      </c>
      <c r="AY772" s="5" t="e">
        <f t="shared" si="70"/>
        <v>#N/A</v>
      </c>
      <c r="AZ772" s="5" t="e">
        <f t="shared" si="71"/>
        <v>#N/A</v>
      </c>
      <c r="BA772" s="5">
        <f t="shared" si="72"/>
        <v>0.92014933209436733</v>
      </c>
      <c r="BD772" s="5">
        <f t="shared" si="73"/>
        <v>6.5581708184707086</v>
      </c>
      <c r="BF772" s="58"/>
    </row>
    <row r="773" spans="48:58" ht="12" customHeight="1">
      <c r="AV773" s="5">
        <f t="shared" si="74"/>
        <v>1.595999999999967</v>
      </c>
      <c r="AW773" s="5">
        <f t="shared" si="69"/>
        <v>4.5333285947439329E-7</v>
      </c>
      <c r="AX773" s="5">
        <v>1</v>
      </c>
      <c r="AY773" s="5" t="e">
        <f t="shared" si="70"/>
        <v>#N/A</v>
      </c>
      <c r="AZ773" s="5" t="e">
        <f t="shared" si="71"/>
        <v>#N/A</v>
      </c>
      <c r="BA773" s="5">
        <f t="shared" si="72"/>
        <v>0.9210642213471909</v>
      </c>
      <c r="BD773" s="5">
        <f t="shared" si="73"/>
        <v>6.6310587083645558</v>
      </c>
      <c r="BF773" s="58"/>
    </row>
    <row r="774" spans="48:58" ht="12" customHeight="1">
      <c r="AV774" s="5">
        <f t="shared" si="74"/>
        <v>1.601999999999967</v>
      </c>
      <c r="AW774" s="5">
        <f t="shared" si="69"/>
        <v>3.7473524806662062E-7</v>
      </c>
      <c r="AX774" s="5">
        <v>1</v>
      </c>
      <c r="AY774" s="5" t="e">
        <f t="shared" si="70"/>
        <v>#N/A</v>
      </c>
      <c r="AZ774" s="5" t="e">
        <f t="shared" si="71"/>
        <v>#N/A</v>
      </c>
      <c r="BA774" s="5">
        <f t="shared" si="72"/>
        <v>0.92196905423495157</v>
      </c>
      <c r="BD774" s="5">
        <f t="shared" si="73"/>
        <v>6.7048294804426591</v>
      </c>
      <c r="BF774" s="58"/>
    </row>
    <row r="775" spans="48:58" ht="12" customHeight="1">
      <c r="AV775" s="5">
        <f t="shared" si="74"/>
        <v>1.607999999999967</v>
      </c>
      <c r="AW775" s="5">
        <f t="shared" ref="AW775:AW838" si="75">$G$22*NORMDIST(AV775,$AW$3,$AW$4,FALSE)</f>
        <v>3.0946373059545924E-7</v>
      </c>
      <c r="AX775" s="5">
        <v>1</v>
      </c>
      <c r="AY775" s="5" t="e">
        <f t="shared" ref="AY775:AY838" si="76">IF($BF$2,AX775+AW775*$BC$2*BD775,NA())</f>
        <v>#N/A</v>
      </c>
      <c r="AZ775" s="5" t="e">
        <f t="shared" ref="AZ775:AZ838" si="77">IF($BF$2,AX775-AW775*$BC$2*BD775,NA())</f>
        <v>#N/A</v>
      </c>
      <c r="BA775" s="5">
        <f t="shared" ref="BA775:BA838" si="78">(EXP(2*AV775)-1)/(EXP(2*AV775)+1)</f>
        <v>0.92286393157933466</v>
      </c>
      <c r="BD775" s="5">
        <f t="shared" ref="BD775:BD838" si="79">(AV775-AV776)/(BA775-BA776)</f>
        <v>6.7794937578228476</v>
      </c>
      <c r="BF775" s="58"/>
    </row>
    <row r="776" spans="48:58" ht="12" customHeight="1">
      <c r="AV776" s="5">
        <f t="shared" ref="AV776:AV839" si="80">AV775+$BC$4</f>
        <v>1.613999999999967</v>
      </c>
      <c r="AW776" s="5">
        <f t="shared" si="75"/>
        <v>2.5531294419413282E-7</v>
      </c>
      <c r="AX776" s="5">
        <v>1</v>
      </c>
      <c r="AY776" s="5" t="e">
        <f t="shared" si="76"/>
        <v>#N/A</v>
      </c>
      <c r="AZ776" s="5" t="e">
        <f t="shared" si="77"/>
        <v>#N/A</v>
      </c>
      <c r="BA776" s="5">
        <f t="shared" si="78"/>
        <v>0.92374895341346153</v>
      </c>
      <c r="BD776" s="5">
        <f t="shared" si="79"/>
        <v>6.8550622922925335</v>
      </c>
      <c r="BF776" s="58"/>
    </row>
    <row r="777" spans="48:58" ht="12" customHeight="1">
      <c r="AV777" s="5">
        <f t="shared" si="80"/>
        <v>1.619999999999967</v>
      </c>
      <c r="AW777" s="5">
        <f t="shared" si="75"/>
        <v>2.1043296609473854E-7</v>
      </c>
      <c r="AX777" s="5">
        <v>1</v>
      </c>
      <c r="AY777" s="5" t="e">
        <f t="shared" si="76"/>
        <v>#N/A</v>
      </c>
      <c r="AZ777" s="5" t="e">
        <f t="shared" si="77"/>
        <v>#N/A</v>
      </c>
      <c r="BA777" s="5">
        <f t="shared" si="78"/>
        <v>0.92462421898278335</v>
      </c>
      <c r="BD777" s="5">
        <f t="shared" si="79"/>
        <v>6.9315459658490228</v>
      </c>
      <c r="BF777" s="58"/>
    </row>
    <row r="778" spans="48:58" ht="12" customHeight="1">
      <c r="AV778" s="5">
        <f t="shared" si="80"/>
        <v>1.625999999999967</v>
      </c>
      <c r="AW778" s="5">
        <f t="shared" si="75"/>
        <v>1.7327367452706766E-7</v>
      </c>
      <c r="AX778" s="5">
        <v>1</v>
      </c>
      <c r="AY778" s="5" t="e">
        <f t="shared" si="76"/>
        <v>#N/A</v>
      </c>
      <c r="AZ778" s="5" t="e">
        <f t="shared" si="77"/>
        <v>#N/A</v>
      </c>
      <c r="BA778" s="5">
        <f t="shared" si="78"/>
        <v>0.92548982674612523</v>
      </c>
      <c r="BD778" s="5">
        <f t="shared" si="79"/>
        <v>7.008955792274338</v>
      </c>
      <c r="BF778" s="58"/>
    </row>
    <row r="779" spans="48:58" ht="12" customHeight="1">
      <c r="AV779" s="5">
        <f t="shared" si="80"/>
        <v>1.631999999999967</v>
      </c>
      <c r="AW779" s="5">
        <f t="shared" si="75"/>
        <v>1.4253754018832616E-7</v>
      </c>
      <c r="AX779" s="5">
        <v>1</v>
      </c>
      <c r="AY779" s="5" t="e">
        <f t="shared" si="76"/>
        <v>#N/A</v>
      </c>
      <c r="AZ779" s="5" t="e">
        <f t="shared" si="77"/>
        <v>#N/A</v>
      </c>
      <c r="BA779" s="5">
        <f t="shared" si="78"/>
        <v>0.9263458743768741</v>
      </c>
      <c r="BD779" s="5">
        <f t="shared" si="79"/>
        <v>7.0873029187182315</v>
      </c>
      <c r="BF779" s="58"/>
    </row>
    <row r="780" spans="48:58" ht="12" customHeight="1">
      <c r="AV780" s="5">
        <f t="shared" si="80"/>
        <v>1.637999999999967</v>
      </c>
      <c r="AW780" s="5">
        <f t="shared" si="75"/>
        <v>1.1713961706555068E-7</v>
      </c>
      <c r="AX780" s="5">
        <v>1</v>
      </c>
      <c r="AY780" s="5" t="e">
        <f t="shared" si="76"/>
        <v>#N/A</v>
      </c>
      <c r="AZ780" s="5" t="e">
        <f t="shared" si="77"/>
        <v>#N/A</v>
      </c>
      <c r="BA780" s="5">
        <f t="shared" si="78"/>
        <v>0.92719245876430778</v>
      </c>
      <c r="BD780" s="5">
        <f t="shared" si="79"/>
        <v>7.1665986272998383</v>
      </c>
      <c r="BF780" s="58"/>
    </row>
    <row r="781" spans="48:58" ht="12" customHeight="1">
      <c r="AV781" s="5">
        <f t="shared" si="80"/>
        <v>1.643999999999967</v>
      </c>
      <c r="AW781" s="5">
        <f t="shared" si="75"/>
        <v>9.617367372482669E-8</v>
      </c>
      <c r="AX781" s="5">
        <v>1</v>
      </c>
      <c r="AY781" s="5" t="e">
        <f t="shared" si="76"/>
        <v>#N/A</v>
      </c>
      <c r="AZ781" s="5" t="e">
        <f t="shared" si="77"/>
        <v>#N/A</v>
      </c>
      <c r="BA781" s="5">
        <f t="shared" si="78"/>
        <v>0.92802967601506103</v>
      </c>
      <c r="BD781" s="5">
        <f t="shared" si="79"/>
        <v>7.2468543367404159</v>
      </c>
      <c r="BF781" s="58"/>
    </row>
    <row r="782" spans="48:58" ht="12" customHeight="1">
      <c r="AV782" s="5">
        <f t="shared" si="80"/>
        <v>1.649999999999967</v>
      </c>
      <c r="AW782" s="5">
        <f t="shared" si="75"/>
        <v>7.8883555573438692E-8</v>
      </c>
      <c r="AX782" s="5">
        <v>1</v>
      </c>
      <c r="AY782" s="5" t="e">
        <f t="shared" si="76"/>
        <v>#N/A</v>
      </c>
      <c r="AZ782" s="5" t="e">
        <f t="shared" si="77"/>
        <v>#N/A</v>
      </c>
      <c r="BA782" s="5">
        <f t="shared" si="78"/>
        <v>0.92885762145472317</v>
      </c>
      <c r="BD782" s="5">
        <f t="shared" si="79"/>
        <v>7.3280816040011159</v>
      </c>
      <c r="BF782" s="58"/>
    </row>
    <row r="783" spans="48:58" ht="12" customHeight="1">
      <c r="AV783" s="5">
        <f t="shared" si="80"/>
        <v>1.6559999999999671</v>
      </c>
      <c r="AW783" s="5">
        <f t="shared" si="75"/>
        <v>6.4638997925211735E-8</v>
      </c>
      <c r="AX783" s="5">
        <v>1</v>
      </c>
      <c r="AY783" s="5" t="e">
        <f t="shared" si="76"/>
        <v>#N/A</v>
      </c>
      <c r="AZ783" s="5" t="e">
        <f t="shared" si="77"/>
        <v>#N/A</v>
      </c>
      <c r="BA783" s="5">
        <f t="shared" si="78"/>
        <v>0.929676389629565</v>
      </c>
      <c r="BD783" s="5">
        <f t="shared" si="79"/>
        <v>7.4102921259466008</v>
      </c>
      <c r="BF783" s="58"/>
    </row>
    <row r="784" spans="48:58" ht="12" customHeight="1">
      <c r="AV784" s="5">
        <f t="shared" si="80"/>
        <v>1.6619999999999671</v>
      </c>
      <c r="AW784" s="5">
        <f t="shared" si="75"/>
        <v>5.2915221494384427E-8</v>
      </c>
      <c r="AX784" s="5">
        <v>1</v>
      </c>
      <c r="AY784" s="5" t="e">
        <f t="shared" si="76"/>
        <v>#N/A</v>
      </c>
      <c r="AZ784" s="5" t="e">
        <f t="shared" si="77"/>
        <v>#N/A</v>
      </c>
      <c r="BA784" s="5">
        <f t="shared" si="78"/>
        <v>0.93048607430839048</v>
      </c>
      <c r="BD784" s="5">
        <f t="shared" si="79"/>
        <v>7.4934977410343482</v>
      </c>
      <c r="BF784" s="58"/>
    </row>
    <row r="785" spans="48:58" ht="12" customHeight="1">
      <c r="AV785" s="5">
        <f t="shared" si="80"/>
        <v>1.6679999999999671</v>
      </c>
      <c r="AW785" s="5">
        <f t="shared" si="75"/>
        <v>4.3275738451702017E-8</v>
      </c>
      <c r="AX785" s="5">
        <v>1</v>
      </c>
      <c r="AY785" s="5" t="e">
        <f t="shared" si="76"/>
        <v>#N/A</v>
      </c>
      <c r="AZ785" s="5" t="e">
        <f t="shared" si="77"/>
        <v>#N/A</v>
      </c>
      <c r="BA785" s="5">
        <f t="shared" si="78"/>
        <v>0.93128676848450853</v>
      </c>
      <c r="BD785" s="5">
        <f t="shared" si="79"/>
        <v>7.577710431019721</v>
      </c>
      <c r="BF785" s="58"/>
    </row>
    <row r="786" spans="48:58" ht="12" customHeight="1">
      <c r="AV786" s="5">
        <f t="shared" si="80"/>
        <v>1.6739999999999671</v>
      </c>
      <c r="AW786" s="5">
        <f t="shared" si="75"/>
        <v>3.5357880373068183E-8</v>
      </c>
      <c r="AX786" s="5">
        <v>1</v>
      </c>
      <c r="AY786" s="5" t="e">
        <f t="shared" si="76"/>
        <v>#N/A</v>
      </c>
      <c r="AZ786" s="5" t="e">
        <f t="shared" si="77"/>
        <v>#N/A</v>
      </c>
      <c r="BA786" s="5">
        <f t="shared" si="78"/>
        <v>0.93207856437782199</v>
      </c>
      <c r="BD786" s="5">
        <f t="shared" si="79"/>
        <v>7.6629423226726203</v>
      </c>
      <c r="BF786" s="58"/>
    </row>
    <row r="787" spans="48:58" ht="12" customHeight="1">
      <c r="AV787" s="5">
        <f t="shared" si="80"/>
        <v>1.6799999999999671</v>
      </c>
      <c r="AW787" s="5">
        <f t="shared" si="75"/>
        <v>2.8860631034198698E-8</v>
      </c>
      <c r="AX787" s="5">
        <v>1</v>
      </c>
      <c r="AY787" s="5" t="e">
        <f t="shared" si="76"/>
        <v>#N/A</v>
      </c>
      <c r="AZ787" s="5" t="e">
        <f t="shared" si="77"/>
        <v>#N/A</v>
      </c>
      <c r="BA787" s="5">
        <f t="shared" si="78"/>
        <v>0.9328615534370307</v>
      </c>
      <c r="BD787" s="5">
        <f t="shared" si="79"/>
        <v>7.7492056895329586</v>
      </c>
      <c r="BF787" s="58"/>
    </row>
    <row r="788" spans="48:58" ht="12" customHeight="1">
      <c r="AV788" s="5">
        <f t="shared" si="80"/>
        <v>1.6859999999999671</v>
      </c>
      <c r="AW788" s="5">
        <f t="shared" si="75"/>
        <v>2.3534408579983654E-8</v>
      </c>
      <c r="AX788" s="5">
        <v>1</v>
      </c>
      <c r="AY788" s="5" t="e">
        <f t="shared" si="76"/>
        <v>#N/A</v>
      </c>
      <c r="AZ788" s="5" t="e">
        <f t="shared" si="77"/>
        <v>#N/A</v>
      </c>
      <c r="BA788" s="5">
        <f t="shared" si="78"/>
        <v>0.93363582634194331</v>
      </c>
      <c r="BD788" s="5">
        <f t="shared" si="79"/>
        <v>7.8365129536770493</v>
      </c>
      <c r="BF788" s="58"/>
    </row>
    <row r="789" spans="48:58" ht="12" customHeight="1">
      <c r="AV789" s="5">
        <f t="shared" si="80"/>
        <v>1.6919999999999671</v>
      </c>
      <c r="AW789" s="5">
        <f t="shared" si="75"/>
        <v>1.9172494462779385E-8</v>
      </c>
      <c r="AX789" s="5">
        <v>1</v>
      </c>
      <c r="AY789" s="5" t="e">
        <f t="shared" si="76"/>
        <v>#N/A</v>
      </c>
      <c r="AZ789" s="5" t="e">
        <f t="shared" si="77"/>
        <v>#N/A</v>
      </c>
      <c r="BA789" s="5">
        <f t="shared" si="78"/>
        <v>0.93440147300589538</v>
      </c>
      <c r="BD789" s="5">
        <f t="shared" si="79"/>
        <v>7.9248766874976244</v>
      </c>
      <c r="BF789" s="58"/>
    </row>
    <row r="790" spans="48:58" ht="12" customHeight="1">
      <c r="AV790" s="5">
        <f t="shared" si="80"/>
        <v>1.6979999999999671</v>
      </c>
      <c r="AW790" s="5">
        <f t="shared" si="75"/>
        <v>1.5603851870264891E-8</v>
      </c>
      <c r="AX790" s="5">
        <v>1</v>
      </c>
      <c r="AY790" s="5" t="e">
        <f t="shared" si="76"/>
        <v>#N/A</v>
      </c>
      <c r="AZ790" s="5" t="e">
        <f t="shared" si="77"/>
        <v>#N/A</v>
      </c>
      <c r="BA790" s="5">
        <f t="shared" si="78"/>
        <v>0.93515858257827089</v>
      </c>
      <c r="BD790" s="5">
        <f t="shared" si="79"/>
        <v>8.0143096155281164</v>
      </c>
      <c r="BF790" s="58"/>
    </row>
    <row r="791" spans="48:58" ht="12" customHeight="1">
      <c r="AV791" s="5">
        <f t="shared" si="80"/>
        <v>1.7039999999999671</v>
      </c>
      <c r="AW791" s="5">
        <f t="shared" si="75"/>
        <v>1.2687115174003796E-8</v>
      </c>
      <c r="AX791" s="5">
        <v>1</v>
      </c>
      <c r="AY791" s="5" t="e">
        <f t="shared" si="76"/>
        <v>#N/A</v>
      </c>
      <c r="AZ791" s="5" t="e">
        <f t="shared" si="77"/>
        <v>#N/A</v>
      </c>
      <c r="BA791" s="5">
        <f t="shared" si="78"/>
        <v>0.93590724344712162</v>
      </c>
      <c r="BD791" s="5">
        <f t="shared" si="79"/>
        <v>8.1048246162660753</v>
      </c>
      <c r="BF791" s="58"/>
    </row>
    <row r="792" spans="48:58" ht="12" customHeight="1">
      <c r="AV792" s="5">
        <f t="shared" si="80"/>
        <v>1.7099999999999671</v>
      </c>
      <c r="AW792" s="5">
        <f t="shared" si="75"/>
        <v>1.0305565116735394E-8</v>
      </c>
      <c r="AX792" s="5">
        <v>1</v>
      </c>
      <c r="AY792" s="5" t="e">
        <f t="shared" si="76"/>
        <v>#N/A</v>
      </c>
      <c r="AZ792" s="5" t="e">
        <f t="shared" si="77"/>
        <v>#N/A</v>
      </c>
      <c r="BA792" s="5">
        <f t="shared" si="78"/>
        <v>0.93664754324188315</v>
      </c>
      <c r="BD792" s="5">
        <f t="shared" si="79"/>
        <v>8.1964347240239803</v>
      </c>
      <c r="BF792" s="58"/>
    </row>
    <row r="793" spans="48:58" ht="12" customHeight="1">
      <c r="AV793" s="5">
        <f t="shared" si="80"/>
        <v>1.7159999999999671</v>
      </c>
      <c r="AW793" s="5">
        <f t="shared" si="75"/>
        <v>8.3629327969779389E-9</v>
      </c>
      <c r="AX793" s="5">
        <v>1</v>
      </c>
      <c r="AY793" s="5" t="e">
        <f t="shared" si="76"/>
        <v>#N/A</v>
      </c>
      <c r="AZ793" s="5" t="e">
        <f t="shared" si="77"/>
        <v>#N/A</v>
      </c>
      <c r="BA793" s="5">
        <f t="shared" si="78"/>
        <v>0.93737956883618379</v>
      </c>
      <c r="BD793" s="5">
        <f t="shared" si="79"/>
        <v>8.2891531308170592</v>
      </c>
      <c r="BF793" s="58"/>
    </row>
    <row r="794" spans="48:58" ht="12" customHeight="1">
      <c r="AV794" s="5">
        <f t="shared" si="80"/>
        <v>1.7219999999999671</v>
      </c>
      <c r="AW794" s="5">
        <f t="shared" si="75"/>
        <v>6.7798996794606343E-9</v>
      </c>
      <c r="AX794" s="5">
        <v>1</v>
      </c>
      <c r="AY794" s="5" t="e">
        <f t="shared" si="76"/>
        <v>#N/A</v>
      </c>
      <c r="AZ794" s="5" t="e">
        <f t="shared" si="77"/>
        <v>#N/A</v>
      </c>
      <c r="BA794" s="5">
        <f t="shared" si="78"/>
        <v>0.93810340635074163</v>
      </c>
      <c r="BD794" s="5">
        <f t="shared" si="79"/>
        <v>8.3829931882576396</v>
      </c>
      <c r="BF794" s="58"/>
    </row>
    <row r="795" spans="48:58" ht="12" customHeight="1">
      <c r="AV795" s="5">
        <f t="shared" si="80"/>
        <v>1.7279999999999671</v>
      </c>
      <c r="AW795" s="5">
        <f t="shared" si="75"/>
        <v>5.4911814459421391E-9</v>
      </c>
      <c r="AX795" s="5">
        <v>1</v>
      </c>
      <c r="AY795" s="5" t="e">
        <f t="shared" si="76"/>
        <v>#N/A</v>
      </c>
      <c r="AZ795" s="5" t="e">
        <f t="shared" si="77"/>
        <v>#N/A</v>
      </c>
      <c r="BA795" s="5">
        <f t="shared" si="78"/>
        <v>0.93881914115634835</v>
      </c>
      <c r="BD795" s="5">
        <f t="shared" si="79"/>
        <v>8.4779684094770271</v>
      </c>
      <c r="BF795" s="58"/>
    </row>
    <row r="796" spans="48:58" ht="12" customHeight="1">
      <c r="AV796" s="5">
        <f t="shared" si="80"/>
        <v>1.7339999999999671</v>
      </c>
      <c r="AW796" s="5">
        <f t="shared" si="75"/>
        <v>4.44310101156281E-9</v>
      </c>
      <c r="AX796" s="5">
        <v>1</v>
      </c>
      <c r="AY796" s="5" t="e">
        <f t="shared" si="76"/>
        <v>#N/A</v>
      </c>
      <c r="AZ796" s="5" t="e">
        <f t="shared" si="77"/>
        <v>#N/A</v>
      </c>
      <c r="BA796" s="5">
        <f t="shared" si="78"/>
        <v>0.93952685787693591</v>
      </c>
      <c r="BD796" s="5">
        <f t="shared" si="79"/>
        <v>8.574092471065816</v>
      </c>
      <c r="BF796" s="58"/>
    </row>
    <row r="797" spans="48:58" ht="12" customHeight="1">
      <c r="AV797" s="5">
        <f t="shared" si="80"/>
        <v>1.7399999999999671</v>
      </c>
      <c r="AW797" s="5">
        <f t="shared" si="75"/>
        <v>3.5915709071259758E-9</v>
      </c>
      <c r="AX797" s="5">
        <v>1</v>
      </c>
      <c r="AY797" s="5" t="e">
        <f t="shared" si="76"/>
        <v>#N/A</v>
      </c>
      <c r="AZ797" s="5" t="e">
        <f t="shared" si="77"/>
        <v>#N/A</v>
      </c>
      <c r="BA797" s="5">
        <f t="shared" si="78"/>
        <v>0.94022664039272374</v>
      </c>
      <c r="BD797" s="5">
        <f t="shared" si="79"/>
        <v>8.671379215060778</v>
      </c>
      <c r="BF797" s="58"/>
    </row>
    <row r="798" spans="48:58" ht="12" customHeight="1">
      <c r="AV798" s="5">
        <f t="shared" si="80"/>
        <v>1.7459999999999671</v>
      </c>
      <c r="AW798" s="5">
        <f t="shared" si="75"/>
        <v>2.9004178478208497E-9</v>
      </c>
      <c r="AX798" s="5">
        <v>1</v>
      </c>
      <c r="AY798" s="5" t="e">
        <f t="shared" si="76"/>
        <v>#N/A</v>
      </c>
      <c r="AZ798" s="5" t="e">
        <f t="shared" si="77"/>
        <v>#N/A</v>
      </c>
      <c r="BA798" s="5">
        <f t="shared" si="78"/>
        <v>0.94091857184344141</v>
      </c>
      <c r="BD798" s="5">
        <f t="shared" si="79"/>
        <v>8.7698426509191094</v>
      </c>
      <c r="BF798" s="58"/>
    </row>
    <row r="799" spans="48:58" ht="12" customHeight="1">
      <c r="AV799" s="5">
        <f t="shared" si="80"/>
        <v>1.7519999999999671</v>
      </c>
      <c r="AW799" s="5">
        <f t="shared" si="75"/>
        <v>2.3399930019838749E-9</v>
      </c>
      <c r="AX799" s="5">
        <v>1</v>
      </c>
      <c r="AY799" s="5" t="e">
        <f t="shared" si="76"/>
        <v>#N/A</v>
      </c>
      <c r="AZ799" s="5" t="e">
        <f t="shared" si="77"/>
        <v>#N/A</v>
      </c>
      <c r="BA799" s="5">
        <f t="shared" si="78"/>
        <v>0.9416027346316268</v>
      </c>
      <c r="BD799" s="5">
        <f t="shared" si="79"/>
        <v>8.8694969575449498</v>
      </c>
      <c r="BF799" s="58"/>
    </row>
    <row r="800" spans="48:58" ht="12" customHeight="1">
      <c r="AV800" s="5">
        <f t="shared" si="80"/>
        <v>1.7579999999999671</v>
      </c>
      <c r="AW800" s="5">
        <f t="shared" si="75"/>
        <v>1.8860205221303883E-9</v>
      </c>
      <c r="AX800" s="5">
        <v>1</v>
      </c>
      <c r="AY800" s="5" t="e">
        <f t="shared" si="76"/>
        <v>#N/A</v>
      </c>
      <c r="AZ800" s="5" t="e">
        <f t="shared" si="77"/>
        <v>#N/A</v>
      </c>
      <c r="BA800" s="5">
        <f t="shared" si="78"/>
        <v>0.94227921042599483</v>
      </c>
      <c r="BD800" s="5">
        <f t="shared" si="79"/>
        <v>8.9703564853293134</v>
      </c>
      <c r="BF800" s="58"/>
    </row>
    <row r="801" spans="48:58" ht="12" customHeight="1">
      <c r="AV801" s="5">
        <f t="shared" si="80"/>
        <v>1.7639999999999671</v>
      </c>
      <c r="AW801" s="5">
        <f t="shared" si="75"/>
        <v>1.5186445477907623E-9</v>
      </c>
      <c r="AX801" s="5">
        <v>1</v>
      </c>
      <c r="AY801" s="5" t="e">
        <f t="shared" si="76"/>
        <v>#N/A</v>
      </c>
      <c r="AZ801" s="5" t="e">
        <f t="shared" si="77"/>
        <v>#N/A</v>
      </c>
      <c r="BA801" s="5">
        <f t="shared" si="78"/>
        <v>0.94294808016487452</v>
      </c>
      <c r="BD801" s="5">
        <f t="shared" si="79"/>
        <v>9.0724357582240334</v>
      </c>
      <c r="BF801" s="58"/>
    </row>
    <row r="802" spans="48:58" ht="12" customHeight="1">
      <c r="AV802" s="5">
        <f t="shared" si="80"/>
        <v>1.7699999999999672</v>
      </c>
      <c r="AW802" s="5">
        <f t="shared" si="75"/>
        <v>1.2216413444222419E-9</v>
      </c>
      <c r="AX802" s="5">
        <v>1</v>
      </c>
      <c r="AY802" s="5" t="e">
        <f t="shared" si="76"/>
        <v>#N/A</v>
      </c>
      <c r="AZ802" s="5" t="e">
        <f t="shared" si="77"/>
        <v>#N/A</v>
      </c>
      <c r="BA802" s="5">
        <f t="shared" si="78"/>
        <v>0.94360942405971127</v>
      </c>
      <c r="BD802" s="5">
        <f t="shared" si="79"/>
        <v>9.1757494758149338</v>
      </c>
      <c r="BF802" s="58"/>
    </row>
    <row r="803" spans="48:58" ht="12" customHeight="1">
      <c r="AV803" s="5">
        <f t="shared" si="80"/>
        <v>1.7759999999999672</v>
      </c>
      <c r="AW803" s="5">
        <f t="shared" si="75"/>
        <v>9.8176868391058209E-10</v>
      </c>
      <c r="AX803" s="5">
        <v>1</v>
      </c>
      <c r="AY803" s="5" t="e">
        <f t="shared" si="76"/>
        <v>#N/A</v>
      </c>
      <c r="AZ803" s="5" t="e">
        <f t="shared" si="77"/>
        <v>#N/A</v>
      </c>
      <c r="BA803" s="5">
        <f t="shared" si="78"/>
        <v>0.94426332159863324</v>
      </c>
      <c r="BD803" s="5">
        <f t="shared" si="79"/>
        <v>9.2803125154580783</v>
      </c>
      <c r="BF803" s="58"/>
    </row>
    <row r="804" spans="48:58" ht="12" customHeight="1">
      <c r="AV804" s="5">
        <f t="shared" si="80"/>
        <v>1.7819999999999672</v>
      </c>
      <c r="AW804" s="5">
        <f t="shared" si="75"/>
        <v>7.8822915324958443E-10</v>
      </c>
      <c r="AX804" s="5">
        <v>1</v>
      </c>
      <c r="AY804" s="5" t="e">
        <f t="shared" si="76"/>
        <v>#N/A</v>
      </c>
      <c r="AZ804" s="5" t="e">
        <f t="shared" si="77"/>
        <v>#N/A</v>
      </c>
      <c r="BA804" s="5">
        <f t="shared" si="78"/>
        <v>0.94490985155007678</v>
      </c>
      <c r="BD804" s="5">
        <f t="shared" si="79"/>
        <v>9.3861399344131762</v>
      </c>
      <c r="BF804" s="58"/>
    </row>
    <row r="805" spans="48:58" ht="12" customHeight="1">
      <c r="AV805" s="5">
        <f t="shared" si="80"/>
        <v>1.7879999999999672</v>
      </c>
      <c r="AW805" s="5">
        <f t="shared" si="75"/>
        <v>6.3222793001732031E-10</v>
      </c>
      <c r="AX805" s="5">
        <v>1</v>
      </c>
      <c r="AY805" s="5" t="e">
        <f t="shared" si="76"/>
        <v>#N/A</v>
      </c>
      <c r="AZ805" s="5" t="e">
        <f t="shared" si="77"/>
        <v>#N/A</v>
      </c>
      <c r="BA805" s="5">
        <f t="shared" si="78"/>
        <v>0.94554909196647008</v>
      </c>
      <c r="BD805" s="5">
        <f t="shared" si="79"/>
        <v>9.4932469720088353</v>
      </c>
      <c r="BF805" s="58"/>
    </row>
    <row r="806" spans="48:58" ht="12" customHeight="1">
      <c r="AV806" s="5">
        <f t="shared" si="80"/>
        <v>1.7939999999999672</v>
      </c>
      <c r="AW806" s="5">
        <f t="shared" si="75"/>
        <v>5.0660879820573751E-10</v>
      </c>
      <c r="AX806" s="5">
        <v>1</v>
      </c>
      <c r="AY806" s="5" t="e">
        <f t="shared" si="76"/>
        <v>#N/A</v>
      </c>
      <c r="AZ806" s="5" t="e">
        <f t="shared" si="77"/>
        <v>#N/A</v>
      </c>
      <c r="BA806" s="5">
        <f t="shared" si="78"/>
        <v>0.94618112018797229</v>
      </c>
      <c r="BD806" s="5">
        <f t="shared" si="79"/>
        <v>9.6016490518453192</v>
      </c>
      <c r="BF806" s="58"/>
    </row>
    <row r="807" spans="48:58" ht="12" customHeight="1">
      <c r="AV807" s="5">
        <f t="shared" si="80"/>
        <v>1.7999999999999672</v>
      </c>
      <c r="AW807" s="5">
        <f t="shared" si="75"/>
        <v>4.0555489126937206E-10</v>
      </c>
      <c r="AX807" s="5">
        <v>1</v>
      </c>
      <c r="AY807" s="5" t="e">
        <f t="shared" si="76"/>
        <v>#N/A</v>
      </c>
      <c r="AZ807" s="5" t="e">
        <f t="shared" si="77"/>
        <v>#N/A</v>
      </c>
      <c r="BA807" s="5">
        <f t="shared" si="78"/>
        <v>0.94680601284626487</v>
      </c>
      <c r="BD807" s="5">
        <f t="shared" si="79"/>
        <v>9.7113617840081652</v>
      </c>
      <c r="BF807" s="58"/>
    </row>
    <row r="808" spans="48:58" ht="12" customHeight="1">
      <c r="AV808" s="5">
        <f t="shared" si="80"/>
        <v>1.8059999999999672</v>
      </c>
      <c r="AW808" s="5">
        <f t="shared" si="75"/>
        <v>3.243429222105609E-10</v>
      </c>
      <c r="AX808" s="5">
        <v>1</v>
      </c>
      <c r="AY808" s="5" t="e">
        <f t="shared" si="76"/>
        <v>#N/A</v>
      </c>
      <c r="AZ808" s="5" t="e">
        <f t="shared" si="77"/>
        <v>#N/A</v>
      </c>
      <c r="BA808" s="5">
        <f t="shared" si="78"/>
        <v>0.94742384586839368</v>
      </c>
      <c r="BD808" s="5">
        <f t="shared" si="79"/>
        <v>9.8224009673233663</v>
      </c>
      <c r="BF808" s="58"/>
    </row>
    <row r="809" spans="48:58" ht="12" customHeight="1">
      <c r="AV809" s="5">
        <f t="shared" si="80"/>
        <v>1.8119999999999672</v>
      </c>
      <c r="AW809" s="5">
        <f t="shared" si="75"/>
        <v>2.5914156221856785E-10</v>
      </c>
      <c r="AX809" s="5">
        <v>1</v>
      </c>
      <c r="AY809" s="5" t="e">
        <f t="shared" si="76"/>
        <v>#N/A</v>
      </c>
      <c r="AZ809" s="5" t="e">
        <f t="shared" si="77"/>
        <v>#N/A</v>
      </c>
      <c r="BA809" s="5">
        <f t="shared" si="78"/>
        <v>0.94803469448065869</v>
      </c>
      <c r="BD809" s="5">
        <f t="shared" si="79"/>
        <v>9.9347825916212411</v>
      </c>
      <c r="BF809" s="58"/>
    </row>
    <row r="810" spans="48:58" ht="12" customHeight="1">
      <c r="AV810" s="5">
        <f t="shared" si="80"/>
        <v>1.8179999999999672</v>
      </c>
      <c r="AW810" s="5">
        <f t="shared" si="75"/>
        <v>2.0684621849382198E-10</v>
      </c>
      <c r="AX810" s="5">
        <v>1</v>
      </c>
      <c r="AY810" s="5" t="e">
        <f t="shared" si="76"/>
        <v>#N/A</v>
      </c>
      <c r="AZ810" s="5" t="e">
        <f t="shared" si="77"/>
        <v>#N/A</v>
      </c>
      <c r="BA810" s="5">
        <f t="shared" si="78"/>
        <v>0.94863863321255004</v>
      </c>
      <c r="BD810" s="5">
        <f t="shared" si="79"/>
        <v>10.048522840052009</v>
      </c>
      <c r="BF810" s="58"/>
    </row>
    <row r="811" spans="48:58" ht="12" customHeight="1">
      <c r="AV811" s="5">
        <f t="shared" si="80"/>
        <v>1.8239999999999672</v>
      </c>
      <c r="AW811" s="5">
        <f t="shared" si="75"/>
        <v>1.6494378815999797E-10</v>
      </c>
      <c r="AX811" s="5">
        <v>1</v>
      </c>
      <c r="AY811" s="5" t="e">
        <f t="shared" si="76"/>
        <v>#N/A</v>
      </c>
      <c r="AZ811" s="5" t="e">
        <f t="shared" si="77"/>
        <v>#N/A</v>
      </c>
      <c r="BA811" s="5">
        <f t="shared" si="78"/>
        <v>0.94923573590072674</v>
      </c>
      <c r="BD811" s="5">
        <f t="shared" si="79"/>
        <v>10.163638091408588</v>
      </c>
      <c r="BF811" s="58"/>
    </row>
    <row r="812" spans="48:58" ht="12" customHeight="1">
      <c r="AV812" s="5">
        <f t="shared" si="80"/>
        <v>1.8299999999999672</v>
      </c>
      <c r="AW812" s="5">
        <f t="shared" si="75"/>
        <v>1.3140207070678437E-10</v>
      </c>
      <c r="AX812" s="5">
        <v>1</v>
      </c>
      <c r="AY812" s="5" t="e">
        <f t="shared" si="76"/>
        <v>#N/A</v>
      </c>
      <c r="AZ812" s="5" t="e">
        <f t="shared" si="77"/>
        <v>#N/A</v>
      </c>
      <c r="BA812" s="5">
        <f t="shared" si="78"/>
        <v>0.94982607569303712</v>
      </c>
      <c r="BD812" s="5">
        <f t="shared" si="79"/>
        <v>10.280144922483741</v>
      </c>
      <c r="BF812" s="58"/>
    </row>
    <row r="813" spans="48:58" ht="12" customHeight="1">
      <c r="AV813" s="5">
        <f t="shared" si="80"/>
        <v>1.8359999999999672</v>
      </c>
      <c r="AW813" s="5">
        <f t="shared" si="75"/>
        <v>1.0457944182260499E-10</v>
      </c>
      <c r="AX813" s="5">
        <v>1</v>
      </c>
      <c r="AY813" s="5" t="e">
        <f t="shared" si="76"/>
        <v>#N/A</v>
      </c>
      <c r="AZ813" s="5" t="e">
        <f t="shared" si="77"/>
        <v>#N/A</v>
      </c>
      <c r="BA813" s="5">
        <f t="shared" si="78"/>
        <v>0.95040972505257848</v>
      </c>
      <c r="BD813" s="5">
        <f t="shared" si="79"/>
        <v>10.398060110463884</v>
      </c>
      <c r="BF813" s="58"/>
    </row>
    <row r="814" spans="48:58" ht="12" customHeight="1">
      <c r="AV814" s="5">
        <f t="shared" si="80"/>
        <v>1.8419999999999672</v>
      </c>
      <c r="AW814" s="5">
        <f t="shared" si="75"/>
        <v>8.3151156830233491E-11</v>
      </c>
      <c r="AX814" s="5">
        <v>1</v>
      </c>
      <c r="AY814" s="5" t="e">
        <f t="shared" si="76"/>
        <v>#N/A</v>
      </c>
      <c r="AZ814" s="5" t="e">
        <f t="shared" si="77"/>
        <v>#N/A</v>
      </c>
      <c r="BA814" s="5">
        <f t="shared" si="78"/>
        <v>0.95098675576179337</v>
      </c>
      <c r="BD814" s="5">
        <f t="shared" si="79"/>
        <v>10.51740063534168</v>
      </c>
      <c r="BF814" s="58"/>
    </row>
    <row r="815" spans="48:58" ht="12" customHeight="1">
      <c r="AV815" s="5">
        <f t="shared" si="80"/>
        <v>1.8479999999999672</v>
      </c>
      <c r="AW815" s="5">
        <f t="shared" si="75"/>
        <v>6.6049287577687459E-11</v>
      </c>
      <c r="AX815" s="5">
        <v>1</v>
      </c>
      <c r="AY815" s="5" t="e">
        <f t="shared" si="76"/>
        <v>#N/A</v>
      </c>
      <c r="AZ815" s="5" t="e">
        <f t="shared" si="77"/>
        <v>#N/A</v>
      </c>
      <c r="BA815" s="5">
        <f t="shared" si="78"/>
        <v>0.95155723892660105</v>
      </c>
      <c r="BD815" s="5">
        <f t="shared" si="79"/>
        <v>10.638183682355377</v>
      </c>
      <c r="BF815" s="58"/>
    </row>
    <row r="816" spans="48:58" ht="12" customHeight="1">
      <c r="AV816" s="5">
        <f t="shared" si="80"/>
        <v>1.8539999999999672</v>
      </c>
      <c r="AW816" s="5">
        <f t="shared" si="75"/>
        <v>5.241382390397745E-11</v>
      </c>
      <c r="AX816" s="5">
        <v>1</v>
      </c>
      <c r="AY816" s="5" t="e">
        <f t="shared" si="76"/>
        <v>#N/A</v>
      </c>
      <c r="AZ816" s="5" t="e">
        <f t="shared" si="77"/>
        <v>#N/A</v>
      </c>
      <c r="BA816" s="5">
        <f t="shared" si="78"/>
        <v>0.95212124498056228</v>
      </c>
      <c r="BD816" s="5">
        <f t="shared" si="79"/>
        <v>10.760426644475062</v>
      </c>
      <c r="BF816" s="58"/>
    </row>
    <row r="817" spans="48:58" ht="12" customHeight="1">
      <c r="AV817" s="5">
        <f t="shared" si="80"/>
        <v>1.8599999999999672</v>
      </c>
      <c r="AW817" s="5">
        <f t="shared" si="75"/>
        <v>4.1552907641315642E-11</v>
      </c>
      <c r="AX817" s="5">
        <v>1</v>
      </c>
      <c r="AY817" s="5" t="e">
        <f t="shared" si="76"/>
        <v>#N/A</v>
      </c>
      <c r="AZ817" s="5" t="e">
        <f t="shared" si="77"/>
        <v>#N/A</v>
      </c>
      <c r="BA817" s="5">
        <f t="shared" si="78"/>
        <v>0.95267884368907452</v>
      </c>
      <c r="BD817" s="5">
        <f t="shared" si="79"/>
        <v>10.884147124896174</v>
      </c>
      <c r="BF817" s="58"/>
    </row>
    <row r="818" spans="48:58" ht="12" customHeight="1">
      <c r="AV818" s="5">
        <f t="shared" si="80"/>
        <v>1.8659999999999672</v>
      </c>
      <c r="AW818" s="5">
        <f t="shared" si="75"/>
        <v>3.2910528602125758E-11</v>
      </c>
      <c r="AX818" s="5">
        <v>1</v>
      </c>
      <c r="AY818" s="5" t="e">
        <f t="shared" si="76"/>
        <v>#N/A</v>
      </c>
      <c r="AZ818" s="5" t="e">
        <f t="shared" si="77"/>
        <v>#N/A</v>
      </c>
      <c r="BA818" s="5">
        <f t="shared" si="78"/>
        <v>0.95323010415359688</v>
      </c>
      <c r="BD818" s="5">
        <f t="shared" si="79"/>
        <v>11.009362939584886</v>
      </c>
      <c r="BF818" s="58"/>
    </row>
    <row r="819" spans="48:58" ht="12" customHeight="1">
      <c r="AV819" s="5">
        <f t="shared" si="80"/>
        <v>1.8719999999999672</v>
      </c>
      <c r="AW819" s="5">
        <f t="shared" si="75"/>
        <v>2.6040310769180161E-11</v>
      </c>
      <c r="AX819" s="5">
        <v>1</v>
      </c>
      <c r="AY819" s="5" t="e">
        <f t="shared" si="76"/>
        <v>#N/A</v>
      </c>
      <c r="AZ819" s="5" t="e">
        <f t="shared" si="77"/>
        <v>#N/A</v>
      </c>
      <c r="BA819" s="5">
        <f t="shared" si="78"/>
        <v>0.95377509481590184</v>
      </c>
      <c r="BD819" s="5">
        <f t="shared" si="79"/>
        <v>11.136092119834371</v>
      </c>
      <c r="BF819" s="58"/>
    </row>
    <row r="820" spans="48:58" ht="12" customHeight="1">
      <c r="AV820" s="5">
        <f t="shared" si="80"/>
        <v>1.8779999999999673</v>
      </c>
      <c r="AW820" s="5">
        <f t="shared" si="75"/>
        <v>2.0584263544431093E-11</v>
      </c>
      <c r="AX820" s="5">
        <v>1</v>
      </c>
      <c r="AY820" s="5" t="e">
        <f t="shared" si="76"/>
        <v>#N/A</v>
      </c>
      <c r="AZ820" s="5" t="e">
        <f t="shared" si="77"/>
        <v>#N/A</v>
      </c>
      <c r="BA820" s="5">
        <f t="shared" si="78"/>
        <v>0.95431388346235291</v>
      </c>
      <c r="BD820" s="5">
        <f t="shared" si="79"/>
        <v>11.264352914860494</v>
      </c>
      <c r="BF820" s="58"/>
    </row>
    <row r="821" spans="48:58" ht="12" customHeight="1">
      <c r="AV821" s="5">
        <f t="shared" si="80"/>
        <v>1.8839999999999673</v>
      </c>
      <c r="AW821" s="5">
        <f t="shared" si="75"/>
        <v>1.6255576269411135E-11</v>
      </c>
      <c r="AX821" s="5">
        <v>1</v>
      </c>
      <c r="AY821" s="5" t="e">
        <f t="shared" si="76"/>
        <v>#N/A</v>
      </c>
      <c r="AZ821" s="5" t="e">
        <f t="shared" si="77"/>
        <v>#N/A</v>
      </c>
      <c r="BA821" s="5">
        <f t="shared" si="78"/>
        <v>0.95484653722820612</v>
      </c>
      <c r="BD821" s="5">
        <f t="shared" si="79"/>
        <v>11.394163794446944</v>
      </c>
      <c r="BF821" s="58"/>
    </row>
    <row r="822" spans="48:58" ht="12" customHeight="1">
      <c r="AV822" s="5">
        <f t="shared" si="80"/>
        <v>1.8899999999999673</v>
      </c>
      <c r="AW822" s="5">
        <f t="shared" si="75"/>
        <v>1.2824701701493929E-11</v>
      </c>
      <c r="AX822" s="5">
        <v>1</v>
      </c>
      <c r="AY822" s="5" t="e">
        <f t="shared" si="76"/>
        <v>#N/A</v>
      </c>
      <c r="AZ822" s="5" t="e">
        <f t="shared" si="77"/>
        <v>#N/A</v>
      </c>
      <c r="BA822" s="5">
        <f t="shared" si="78"/>
        <v>0.95537312260193263</v>
      </c>
      <c r="BD822" s="5">
        <f t="shared" si="79"/>
        <v>11.525543451577706</v>
      </c>
      <c r="BF822" s="58"/>
    </row>
    <row r="823" spans="48:58" ht="12" customHeight="1">
      <c r="AV823" s="5">
        <f t="shared" si="80"/>
        <v>1.8959999999999673</v>
      </c>
      <c r="AW823" s="5">
        <f t="shared" si="75"/>
        <v>1.0108111884140513E-11</v>
      </c>
      <c r="AX823" s="5">
        <v>1</v>
      </c>
      <c r="AY823" s="5" t="e">
        <f t="shared" si="76"/>
        <v>#N/A</v>
      </c>
      <c r="AZ823" s="5" t="e">
        <f t="shared" si="77"/>
        <v>#N/A</v>
      </c>
      <c r="BA823" s="5">
        <f t="shared" si="78"/>
        <v>0.95589370542956309</v>
      </c>
      <c r="BD823" s="5">
        <f t="shared" si="79"/>
        <v>11.658510805156451</v>
      </c>
      <c r="BF823" s="58"/>
    </row>
    <row r="824" spans="48:58" ht="12" customHeight="1">
      <c r="AV824" s="5">
        <f t="shared" si="80"/>
        <v>1.9019999999999673</v>
      </c>
      <c r="AW824" s="5">
        <f t="shared" si="75"/>
        <v>7.9592230238760916E-12</v>
      </c>
      <c r="AX824" s="5">
        <v>1</v>
      </c>
      <c r="AY824" s="5" t="e">
        <f t="shared" si="76"/>
        <v>#N/A</v>
      </c>
      <c r="AZ824" s="5" t="e">
        <f t="shared" si="77"/>
        <v>#N/A</v>
      </c>
      <c r="BA824" s="5">
        <f t="shared" si="78"/>
        <v>0.9564083509190493</v>
      </c>
      <c r="BD824" s="5">
        <f t="shared" si="79"/>
        <v>11.793085002707649</v>
      </c>
      <c r="BF824" s="58"/>
    </row>
    <row r="825" spans="48:58" ht="12" customHeight="1">
      <c r="AV825" s="5">
        <f t="shared" si="80"/>
        <v>1.9079999999999673</v>
      </c>
      <c r="AW825" s="5">
        <f t="shared" si="75"/>
        <v>6.2610788575067387E-12</v>
      </c>
      <c r="AX825" s="5">
        <v>1</v>
      </c>
      <c r="AY825" s="5" t="e">
        <f t="shared" si="76"/>
        <v>#N/A</v>
      </c>
      <c r="AZ825" s="5" t="e">
        <f t="shared" si="77"/>
        <v>#N/A</v>
      </c>
      <c r="BA825" s="5">
        <f t="shared" si="78"/>
        <v>0.95691712364464421</v>
      </c>
      <c r="BD825" s="5">
        <f t="shared" si="79"/>
        <v>11.929285423149564</v>
      </c>
      <c r="BF825" s="58"/>
    </row>
    <row r="826" spans="48:58" ht="12" customHeight="1">
      <c r="AV826" s="5">
        <f t="shared" si="80"/>
        <v>1.9139999999999673</v>
      </c>
      <c r="AW826" s="5">
        <f t="shared" si="75"/>
        <v>4.9204581122183401E-12</v>
      </c>
      <c r="AX826" s="5">
        <v>1</v>
      </c>
      <c r="AY826" s="5" t="e">
        <f t="shared" si="76"/>
        <v>#N/A</v>
      </c>
      <c r="AZ826" s="5" t="e">
        <f t="shared" si="77"/>
        <v>#N/A</v>
      </c>
      <c r="BA826" s="5">
        <f t="shared" si="78"/>
        <v>0.95742008755129671</v>
      </c>
      <c r="BD826" s="5">
        <f t="shared" si="79"/>
        <v>12.06713167957983</v>
      </c>
      <c r="BF826" s="58"/>
    </row>
    <row r="827" spans="48:58" ht="12" customHeight="1">
      <c r="AV827" s="5">
        <f t="shared" si="80"/>
        <v>1.9199999999999673</v>
      </c>
      <c r="AW827" s="5">
        <f t="shared" si="75"/>
        <v>3.8631339766342849E-12</v>
      </c>
      <c r="AX827" s="5">
        <v>1</v>
      </c>
      <c r="AY827" s="5" t="e">
        <f t="shared" si="76"/>
        <v>#N/A</v>
      </c>
      <c r="AZ827" s="5" t="e">
        <f t="shared" si="77"/>
        <v>#N/A</v>
      </c>
      <c r="BA827" s="5">
        <f t="shared" si="78"/>
        <v>0.95791730595906077</v>
      </c>
      <c r="BD827" s="5">
        <f t="shared" si="79"/>
        <v>12.206643622096205</v>
      </c>
      <c r="BF827" s="58"/>
    </row>
    <row r="828" spans="48:58" ht="12" customHeight="1">
      <c r="AV828" s="5">
        <f t="shared" si="80"/>
        <v>1.9259999999999673</v>
      </c>
      <c r="AW828" s="5">
        <f t="shared" si="75"/>
        <v>3.0300644556651608E-12</v>
      </c>
      <c r="AX828" s="5">
        <v>1</v>
      </c>
      <c r="AY828" s="5" t="e">
        <f t="shared" si="76"/>
        <v>#N/A</v>
      </c>
      <c r="AZ828" s="5" t="e">
        <f t="shared" si="77"/>
        <v>#N/A</v>
      </c>
      <c r="BA828" s="5">
        <f t="shared" si="78"/>
        <v>0.95840884156751738</v>
      </c>
      <c r="BD828" s="5">
        <f t="shared" si="79"/>
        <v>12.347841340657059</v>
      </c>
      <c r="BF828" s="58"/>
    </row>
    <row r="829" spans="48:58" ht="12" customHeight="1">
      <c r="AV829" s="5">
        <f t="shared" si="80"/>
        <v>1.9319999999999673</v>
      </c>
      <c r="AW829" s="5">
        <f t="shared" si="75"/>
        <v>2.3743340982369174E-12</v>
      </c>
      <c r="AX829" s="5">
        <v>1</v>
      </c>
      <c r="AY829" s="5" t="e">
        <f t="shared" si="76"/>
        <v>#N/A</v>
      </c>
      <c r="AZ829" s="5" t="e">
        <f t="shared" si="77"/>
        <v>#N/A</v>
      </c>
      <c r="BA829" s="5">
        <f t="shared" si="78"/>
        <v>0.9588947564602075</v>
      </c>
      <c r="BD829" s="5">
        <f t="shared" si="79"/>
        <v>12.490745167981046</v>
      </c>
      <c r="BF829" s="58"/>
    </row>
    <row r="830" spans="48:58" ht="12" customHeight="1">
      <c r="AV830" s="5">
        <f t="shared" si="80"/>
        <v>1.9379999999999673</v>
      </c>
      <c r="AW830" s="5">
        <f t="shared" si="75"/>
        <v>1.8587015362948898E-12</v>
      </c>
      <c r="AX830" s="5">
        <v>1</v>
      </c>
      <c r="AY830" s="5" t="e">
        <f t="shared" si="76"/>
        <v>#N/A</v>
      </c>
      <c r="AZ830" s="5" t="e">
        <f t="shared" si="77"/>
        <v>#N/A</v>
      </c>
      <c r="BA830" s="5">
        <f t="shared" si="78"/>
        <v>0.95937511210907467</v>
      </c>
      <c r="BD830" s="5">
        <f t="shared" si="79"/>
        <v>12.635375682464517</v>
      </c>
      <c r="BF830" s="58"/>
    </row>
    <row r="831" spans="48:58" ht="12" customHeight="1">
      <c r="AV831" s="5">
        <f t="shared" si="80"/>
        <v>1.9439999999999673</v>
      </c>
      <c r="AW831" s="5">
        <f t="shared" si="75"/>
        <v>1.4536349359021722E-12</v>
      </c>
      <c r="AX831" s="5">
        <v>1</v>
      </c>
      <c r="AY831" s="5" t="e">
        <f t="shared" si="76"/>
        <v>#N/A</v>
      </c>
      <c r="AZ831" s="5" t="e">
        <f t="shared" si="77"/>
        <v>#N/A</v>
      </c>
      <c r="BA831" s="5">
        <f t="shared" si="78"/>
        <v>0.95984996937891642</v>
      </c>
      <c r="BD831" s="5">
        <f t="shared" si="79"/>
        <v>12.781753711157499</v>
      </c>
      <c r="BF831" s="58"/>
    </row>
    <row r="832" spans="48:58" ht="12" customHeight="1">
      <c r="AV832" s="5">
        <f t="shared" si="80"/>
        <v>1.9499999999999673</v>
      </c>
      <c r="AW832" s="5">
        <f t="shared" si="75"/>
        <v>1.1357399746652765E-12</v>
      </c>
      <c r="AX832" s="5">
        <v>1</v>
      </c>
      <c r="AY832" s="5" t="e">
        <f t="shared" si="76"/>
        <v>#N/A</v>
      </c>
      <c r="AZ832" s="5" t="e">
        <f t="shared" si="77"/>
        <v>#N/A</v>
      </c>
      <c r="BA832" s="5">
        <f t="shared" si="78"/>
        <v>0.9603193885318424</v>
      </c>
      <c r="BD832" s="5">
        <f t="shared" si="79"/>
        <v>12.929900332735592</v>
      </c>
      <c r="BF832" s="58"/>
    </row>
    <row r="833" spans="48:58" ht="12" customHeight="1">
      <c r="AV833" s="5">
        <f t="shared" si="80"/>
        <v>1.9559999999999673</v>
      </c>
      <c r="AW833" s="5">
        <f t="shared" si="75"/>
        <v>8.8650326118817513E-13</v>
      </c>
      <c r="AX833" s="5">
        <v>1</v>
      </c>
      <c r="AY833" s="5" t="e">
        <f t="shared" si="76"/>
        <v>#N/A</v>
      </c>
      <c r="AZ833" s="5" t="e">
        <f t="shared" si="77"/>
        <v>#N/A</v>
      </c>
      <c r="BA833" s="5">
        <f t="shared" si="78"/>
        <v>0.96078342923173932</v>
      </c>
      <c r="BD833" s="5">
        <f t="shared" si="79"/>
        <v>13.0798368805828</v>
      </c>
      <c r="BF833" s="58"/>
    </row>
    <row r="834" spans="48:58" ht="12" customHeight="1">
      <c r="AV834" s="5">
        <f t="shared" si="80"/>
        <v>1.9619999999999673</v>
      </c>
      <c r="AW834" s="5">
        <f t="shared" si="75"/>
        <v>6.9128897245024049E-13</v>
      </c>
      <c r="AX834" s="5">
        <v>1</v>
      </c>
      <c r="AY834" s="5" t="e">
        <f t="shared" si="76"/>
        <v>#N/A</v>
      </c>
      <c r="AZ834" s="5" t="e">
        <f t="shared" si="77"/>
        <v>#N/A</v>
      </c>
      <c r="BA834" s="5">
        <f t="shared" si="78"/>
        <v>0.96124215054873885</v>
      </c>
      <c r="BD834" s="5">
        <f t="shared" si="79"/>
        <v>13.231584945811441</v>
      </c>
      <c r="BF834" s="58"/>
    </row>
    <row r="835" spans="48:58" ht="12" customHeight="1">
      <c r="AV835" s="5">
        <f t="shared" si="80"/>
        <v>1.9679999999999673</v>
      </c>
      <c r="AW835" s="5">
        <f t="shared" si="75"/>
        <v>5.3853853698654188E-13</v>
      </c>
      <c r="AX835" s="5">
        <v>1</v>
      </c>
      <c r="AY835" s="5" t="e">
        <f t="shared" si="76"/>
        <v>#N/A</v>
      </c>
      <c r="AZ835" s="5" t="e">
        <f t="shared" si="77"/>
        <v>#N/A</v>
      </c>
      <c r="BA835" s="5">
        <f t="shared" si="78"/>
        <v>0.96169561096369083</v>
      </c>
      <c r="BD835" s="5">
        <f t="shared" si="79"/>
        <v>13.385166380412603</v>
      </c>
      <c r="BF835" s="58"/>
    </row>
    <row r="836" spans="48:58" ht="12" customHeight="1">
      <c r="AV836" s="5">
        <f t="shared" si="80"/>
        <v>1.9739999999999673</v>
      </c>
      <c r="AW836" s="5">
        <f t="shared" si="75"/>
        <v>4.1913295486616621E-13</v>
      </c>
      <c r="AX836" s="5">
        <v>1</v>
      </c>
      <c r="AY836" s="5" t="e">
        <f t="shared" si="76"/>
        <v>#N/A</v>
      </c>
      <c r="AZ836" s="5" t="e">
        <f t="shared" si="77"/>
        <v>#N/A</v>
      </c>
      <c r="BA836" s="5">
        <f t="shared" si="78"/>
        <v>0.96214386837263721</v>
      </c>
      <c r="BD836" s="5">
        <f t="shared" si="79"/>
        <v>13.540603300367918</v>
      </c>
      <c r="BF836" s="58"/>
    </row>
    <row r="837" spans="48:58" ht="12" customHeight="1">
      <c r="AV837" s="5">
        <f t="shared" si="80"/>
        <v>1.9799999999999673</v>
      </c>
      <c r="AW837" s="5">
        <f t="shared" si="75"/>
        <v>3.2588524526128429E-13</v>
      </c>
      <c r="AX837" s="5">
        <v>1</v>
      </c>
      <c r="AY837" s="5" t="e">
        <f t="shared" si="76"/>
        <v>#N/A</v>
      </c>
      <c r="AZ837" s="5" t="e">
        <f t="shared" si="77"/>
        <v>#N/A</v>
      </c>
      <c r="BA837" s="5">
        <f t="shared" si="78"/>
        <v>0.9625869800912884</v>
      </c>
      <c r="BD837" s="5">
        <f t="shared" si="79"/>
        <v>13.697918088874378</v>
      </c>
      <c r="BF837" s="58"/>
    </row>
    <row r="838" spans="48:58" ht="12" customHeight="1">
      <c r="AV838" s="5">
        <f t="shared" si="80"/>
        <v>1.9859999999999673</v>
      </c>
      <c r="AW838" s="5">
        <f t="shared" si="75"/>
        <v>2.5313689711073718E-13</v>
      </c>
      <c r="AX838" s="5">
        <v>1</v>
      </c>
      <c r="AY838" s="5" t="e">
        <f t="shared" si="76"/>
        <v>#N/A</v>
      </c>
      <c r="AZ838" s="5" t="e">
        <f t="shared" si="77"/>
        <v>#N/A</v>
      </c>
      <c r="BA838" s="5">
        <f t="shared" si="78"/>
        <v>0.96302500285949821</v>
      </c>
      <c r="BD838" s="5">
        <f t="shared" si="79"/>
        <v>13.85713339952582</v>
      </c>
      <c r="BF838" s="58"/>
    </row>
    <row r="839" spans="48:58" ht="12" customHeight="1">
      <c r="AV839" s="5">
        <f t="shared" si="80"/>
        <v>1.9919999999999674</v>
      </c>
      <c r="AW839" s="5">
        <f t="shared" ref="AW839:AW902" si="81">$G$22*NORMDIST(AV839,$AW$3,$AW$4,FALSE)</f>
        <v>1.9643735263680628E-13</v>
      </c>
      <c r="AX839" s="5">
        <v>1</v>
      </c>
      <c r="AY839" s="5" t="e">
        <f t="shared" ref="AY839:AY902" si="82">IF($BF$2,AX839+AW839*$BC$2*BD839,NA())</f>
        <v>#N/A</v>
      </c>
      <c r="AZ839" s="5" t="e">
        <f t="shared" ref="AZ839:AZ902" si="83">IF($BF$2,AX839-AW839*$BC$2*BD839,NA())</f>
        <v>#N/A</v>
      </c>
      <c r="BA839" s="5">
        <f t="shared" ref="BA839:BA902" si="84">(EXP(2*AV839)-1)/(EXP(2*AV839)+1)</f>
        <v>0.96345799284573919</v>
      </c>
      <c r="BD839" s="5">
        <f t="shared" ref="BD839:BD902" si="85">(AV839-AV840)/(BA839-BA840)</f>
        <v>14.018272159602345</v>
      </c>
      <c r="BF839" s="58"/>
    </row>
    <row r="840" spans="48:58" ht="12" customHeight="1">
      <c r="AV840" s="5">
        <f t="shared" ref="AV840:AV903" si="86">AV839+$BC$4</f>
        <v>1.9979999999999674</v>
      </c>
      <c r="AW840" s="5">
        <f t="shared" si="81"/>
        <v>1.5228970961473065E-13</v>
      </c>
      <c r="AX840" s="5">
        <v>1</v>
      </c>
      <c r="AY840" s="5" t="e">
        <f t="shared" si="82"/>
        <v>#N/A</v>
      </c>
      <c r="AZ840" s="5" t="e">
        <f t="shared" si="83"/>
        <v>#N/A</v>
      </c>
      <c r="BA840" s="5">
        <f t="shared" si="84"/>
        <v>0.9638860056515749</v>
      </c>
      <c r="BD840" s="5">
        <f t="shared" si="85"/>
        <v>14.181357573368842</v>
      </c>
      <c r="BF840" s="58"/>
    </row>
    <row r="841" spans="48:58" ht="12" customHeight="1">
      <c r="AV841" s="5">
        <f t="shared" si="86"/>
        <v>2.0039999999999671</v>
      </c>
      <c r="AW841" s="5">
        <f t="shared" si="81"/>
        <v>1.1794917575743198E-13</v>
      </c>
      <c r="AX841" s="5">
        <v>1</v>
      </c>
      <c r="AY841" s="5" t="e">
        <f t="shared" si="82"/>
        <v>#N/A</v>
      </c>
      <c r="AZ841" s="5" t="e">
        <f t="shared" si="83"/>
        <v>#N/A</v>
      </c>
      <c r="BA841" s="5">
        <f t="shared" si="84"/>
        <v>0.96430909631612927</v>
      </c>
      <c r="BD841" s="5">
        <f t="shared" si="85"/>
        <v>14.346413125401083</v>
      </c>
      <c r="BF841" s="58"/>
    </row>
    <row r="842" spans="48:58" ht="12" customHeight="1">
      <c r="AV842" s="5">
        <f t="shared" si="86"/>
        <v>2.0099999999999669</v>
      </c>
      <c r="AW842" s="5">
        <f t="shared" si="81"/>
        <v>9.1263501617903452E-14</v>
      </c>
      <c r="AX842" s="5">
        <v>1</v>
      </c>
      <c r="AY842" s="5" t="e">
        <f t="shared" si="82"/>
        <v>#N/A</v>
      </c>
      <c r="AZ842" s="5" t="e">
        <f t="shared" si="83"/>
        <v>#N/A</v>
      </c>
      <c r="BA842" s="5">
        <f t="shared" si="84"/>
        <v>0.96472731932055233</v>
      </c>
      <c r="BD842" s="5">
        <f t="shared" si="85"/>
        <v>14.513462583985266</v>
      </c>
      <c r="BF842" s="58"/>
    </row>
    <row r="843" spans="48:58" ht="12" customHeight="1">
      <c r="AV843" s="5">
        <f t="shared" si="86"/>
        <v>2.0159999999999667</v>
      </c>
      <c r="AW843" s="5">
        <f t="shared" si="81"/>
        <v>7.0546782488631714E-14</v>
      </c>
      <c r="AX843" s="5">
        <v>1</v>
      </c>
      <c r="AY843" s="5" t="e">
        <f t="shared" si="82"/>
        <v>#N/A</v>
      </c>
      <c r="AZ843" s="5" t="e">
        <f t="shared" si="83"/>
        <v>#N/A</v>
      </c>
      <c r="BA843" s="5">
        <f t="shared" si="84"/>
        <v>0.96514072859248035</v>
      </c>
      <c r="BD843" s="5">
        <f t="shared" si="85"/>
        <v>14.682530004537648</v>
      </c>
      <c r="BF843" s="58"/>
    </row>
    <row r="844" spans="48:58" ht="12" customHeight="1">
      <c r="AV844" s="5">
        <f t="shared" si="86"/>
        <v>2.0219999999999665</v>
      </c>
      <c r="AW844" s="5">
        <f t="shared" si="81"/>
        <v>5.4479756801527788E-14</v>
      </c>
      <c r="AX844" s="5">
        <v>1</v>
      </c>
      <c r="AY844" s="5" t="e">
        <f t="shared" si="82"/>
        <v>#N/A</v>
      </c>
      <c r="AZ844" s="5" t="e">
        <f t="shared" si="83"/>
        <v>#N/A</v>
      </c>
      <c r="BA844" s="5">
        <f t="shared" si="84"/>
        <v>0.96554937751049008</v>
      </c>
      <c r="BD844" s="5">
        <f t="shared" si="85"/>
        <v>14.853639733045755</v>
      </c>
      <c r="BF844" s="58"/>
    </row>
    <row r="845" spans="48:58" ht="12" customHeight="1">
      <c r="AV845" s="5">
        <f t="shared" si="86"/>
        <v>2.0279999999999663</v>
      </c>
      <c r="AW845" s="5">
        <f t="shared" si="81"/>
        <v>4.2031121186647663E-14</v>
      </c>
      <c r="AX845" s="5">
        <v>1</v>
      </c>
      <c r="AY845" s="5" t="e">
        <f t="shared" si="82"/>
        <v>#N/A</v>
      </c>
      <c r="AZ845" s="5" t="e">
        <f t="shared" si="83"/>
        <v>#N/A</v>
      </c>
      <c r="BA845" s="5">
        <f t="shared" si="84"/>
        <v>0.96595331890854697</v>
      </c>
      <c r="BD845" s="5">
        <f t="shared" si="85"/>
        <v>15.026816409624992</v>
      </c>
      <c r="BF845" s="58"/>
    </row>
    <row r="846" spans="48:58" ht="12" customHeight="1">
      <c r="AV846" s="5">
        <f t="shared" si="86"/>
        <v>2.0339999999999661</v>
      </c>
      <c r="AW846" s="5">
        <f t="shared" si="81"/>
        <v>3.2395497633676216E-14</v>
      </c>
      <c r="AX846" s="5">
        <v>1</v>
      </c>
      <c r="AY846" s="5" t="e">
        <f t="shared" si="82"/>
        <v>#N/A</v>
      </c>
      <c r="AZ846" s="5" t="e">
        <f t="shared" si="83"/>
        <v>#N/A</v>
      </c>
      <c r="BA846" s="5">
        <f t="shared" si="84"/>
        <v>0.96635260508044407</v>
      </c>
      <c r="BD846" s="5">
        <f t="shared" si="85"/>
        <v>15.202084971998737</v>
      </c>
      <c r="BF846" s="58"/>
    </row>
    <row r="847" spans="48:58" ht="12" customHeight="1">
      <c r="AV847" s="5">
        <f t="shared" si="86"/>
        <v>2.0399999999999658</v>
      </c>
      <c r="AW847" s="5">
        <f t="shared" si="81"/>
        <v>2.4944580343741682E-14</v>
      </c>
      <c r="AX847" s="5">
        <v>1</v>
      </c>
      <c r="AY847" s="5" t="e">
        <f t="shared" si="82"/>
        <v>#N/A</v>
      </c>
      <c r="AZ847" s="5" t="e">
        <f t="shared" si="83"/>
        <v>#N/A</v>
      </c>
      <c r="BA847" s="5">
        <f t="shared" si="84"/>
        <v>0.96674728778423447</v>
      </c>
      <c r="BD847" s="5">
        <f t="shared" si="85"/>
        <v>15.379470659150282</v>
      </c>
      <c r="BF847" s="58"/>
    </row>
    <row r="848" spans="48:58" ht="12" customHeight="1">
      <c r="AV848" s="5">
        <f t="shared" si="86"/>
        <v>2.0459999999999656</v>
      </c>
      <c r="AW848" s="5">
        <f t="shared" si="81"/>
        <v>1.9188702695876752E-14</v>
      </c>
      <c r="AX848" s="5">
        <v>1</v>
      </c>
      <c r="AY848" s="5" t="e">
        <f t="shared" si="82"/>
        <v>#N/A</v>
      </c>
      <c r="AZ848" s="5" t="e">
        <f t="shared" si="83"/>
        <v>#N/A</v>
      </c>
      <c r="BA848" s="5">
        <f t="shared" si="84"/>
        <v>0.96713741824665256</v>
      </c>
      <c r="BD848" s="5">
        <f t="shared" si="85"/>
        <v>15.558999014923902</v>
      </c>
      <c r="BF848" s="58"/>
    </row>
    <row r="849" spans="48:58" ht="12" customHeight="1">
      <c r="AV849" s="5">
        <f t="shared" si="86"/>
        <v>2.0519999999999654</v>
      </c>
      <c r="AW849" s="5">
        <f t="shared" si="81"/>
        <v>1.4746633674675956E-14</v>
      </c>
      <c r="AX849" s="5">
        <v>1</v>
      </c>
      <c r="AY849" s="5" t="e">
        <f t="shared" si="82"/>
        <v>#N/A</v>
      </c>
      <c r="AZ849" s="5" t="e">
        <f t="shared" si="83"/>
        <v>#N/A</v>
      </c>
      <c r="BA849" s="5">
        <f t="shared" si="84"/>
        <v>0.96752304716752624</v>
      </c>
      <c r="BD849" s="5">
        <f t="shared" si="85"/>
        <v>15.740695891716252</v>
      </c>
      <c r="BF849" s="58"/>
    </row>
    <row r="850" spans="48:58" ht="12" customHeight="1">
      <c r="AV850" s="5">
        <f t="shared" si="86"/>
        <v>2.0579999999999652</v>
      </c>
      <c r="AW850" s="5">
        <f t="shared" si="81"/>
        <v>1.1321866654454463E-14</v>
      </c>
      <c r="AX850" s="5">
        <v>1</v>
      </c>
      <c r="AY850" s="5" t="e">
        <f t="shared" si="82"/>
        <v>#N/A</v>
      </c>
      <c r="AZ850" s="5" t="e">
        <f t="shared" si="83"/>
        <v>#N/A</v>
      </c>
      <c r="BA850" s="5">
        <f t="shared" si="84"/>
        <v>0.96790422472417781</v>
      </c>
      <c r="BD850" s="5">
        <f t="shared" si="85"/>
        <v>15.924587454192681</v>
      </c>
      <c r="BF850" s="58"/>
    </row>
    <row r="851" spans="48:58" ht="12" customHeight="1">
      <c r="AV851" s="5">
        <f t="shared" si="86"/>
        <v>2.063999999999965</v>
      </c>
      <c r="AW851" s="5">
        <f t="shared" si="81"/>
        <v>8.6840245988495255E-15</v>
      </c>
      <c r="AX851" s="5">
        <v>1</v>
      </c>
      <c r="AY851" s="5" t="e">
        <f t="shared" si="82"/>
        <v>#N/A</v>
      </c>
      <c r="AZ851" s="5" t="e">
        <f t="shared" si="83"/>
        <v>#N/A</v>
      </c>
      <c r="BA851" s="5">
        <f t="shared" si="84"/>
        <v>0.96828100057581346</v>
      </c>
      <c r="BD851" s="5">
        <f t="shared" si="85"/>
        <v>16.1107001830459</v>
      </c>
      <c r="BF851" s="58"/>
    </row>
    <row r="852" spans="48:58" ht="12" customHeight="1">
      <c r="AV852" s="5">
        <f t="shared" si="86"/>
        <v>2.0699999999999648</v>
      </c>
      <c r="AW852" s="5">
        <f t="shared" si="81"/>
        <v>6.6542930071605778E-15</v>
      </c>
      <c r="AX852" s="5">
        <v>1</v>
      </c>
      <c r="AY852" s="5" t="e">
        <f t="shared" si="82"/>
        <v>#N/A</v>
      </c>
      <c r="AZ852" s="5" t="e">
        <f t="shared" si="83"/>
        <v>#N/A</v>
      </c>
      <c r="BA852" s="5">
        <f t="shared" si="84"/>
        <v>0.96865342386790065</v>
      </c>
      <c r="BD852" s="5">
        <f t="shared" si="85"/>
        <v>16.299060878842504</v>
      </c>
      <c r="BF852" s="58"/>
    </row>
    <row r="853" spans="48:58" ht="12" customHeight="1">
      <c r="AV853" s="5">
        <f t="shared" si="86"/>
        <v>2.0759999999999645</v>
      </c>
      <c r="AW853" s="5">
        <f t="shared" si="81"/>
        <v>5.094020179925996E-15</v>
      </c>
      <c r="AX853" s="5">
        <v>1</v>
      </c>
      <c r="AY853" s="5" t="e">
        <f t="shared" si="82"/>
        <v>#N/A</v>
      </c>
      <c r="AZ853" s="5" t="e">
        <f t="shared" si="83"/>
        <v>#N/A</v>
      </c>
      <c r="BA853" s="5">
        <f t="shared" si="84"/>
        <v>0.96902154323653178</v>
      </c>
      <c r="BD853" s="5">
        <f t="shared" si="85"/>
        <v>16.489696665830216</v>
      </c>
      <c r="BF853" s="58"/>
    </row>
    <row r="854" spans="48:58" ht="12" customHeight="1">
      <c r="AV854" s="5">
        <f t="shared" si="86"/>
        <v>2.0819999999999643</v>
      </c>
      <c r="AW854" s="5">
        <f t="shared" si="81"/>
        <v>3.8958055125191253E-15</v>
      </c>
      <c r="AX854" s="5">
        <v>1</v>
      </c>
      <c r="AY854" s="5" t="e">
        <f t="shared" si="82"/>
        <v>#N/A</v>
      </c>
      <c r="AZ854" s="5" t="e">
        <f t="shared" si="83"/>
        <v>#N/A</v>
      </c>
      <c r="BA854" s="5">
        <f t="shared" si="84"/>
        <v>0.9693854068127753</v>
      </c>
      <c r="BD854" s="5">
        <f t="shared" si="85"/>
        <v>16.682634995914452</v>
      </c>
      <c r="BF854" s="58"/>
    </row>
    <row r="855" spans="48:58" ht="12" customHeight="1">
      <c r="AV855" s="5">
        <f t="shared" si="86"/>
        <v>2.0879999999999641</v>
      </c>
      <c r="AW855" s="5">
        <f t="shared" si="81"/>
        <v>2.9765401170304712E-15</v>
      </c>
      <c r="AX855" s="5">
        <v>1</v>
      </c>
      <c r="AY855" s="5" t="e">
        <f t="shared" si="82"/>
        <v>#N/A</v>
      </c>
      <c r="AZ855" s="5" t="e">
        <f t="shared" si="83"/>
        <v>#N/A</v>
      </c>
      <c r="BA855" s="5">
        <f t="shared" si="84"/>
        <v>0.96974506222701107</v>
      </c>
      <c r="BD855" s="5">
        <f t="shared" si="85"/>
        <v>16.877903652542074</v>
      </c>
      <c r="BF855" s="58"/>
    </row>
    <row r="856" spans="48:58" ht="12" customHeight="1">
      <c r="AV856" s="5">
        <f t="shared" si="86"/>
        <v>2.0939999999999639</v>
      </c>
      <c r="AW856" s="5">
        <f t="shared" si="81"/>
        <v>2.2719777737540789E-15</v>
      </c>
      <c r="AX856" s="5">
        <v>1</v>
      </c>
      <c r="AY856" s="5" t="e">
        <f t="shared" si="82"/>
        <v>#N/A</v>
      </c>
      <c r="AZ856" s="5" t="e">
        <f t="shared" si="83"/>
        <v>#N/A</v>
      </c>
      <c r="BA856" s="5">
        <f t="shared" si="84"/>
        <v>0.97010055661325234</v>
      </c>
      <c r="BD856" s="5">
        <f t="shared" si="85"/>
        <v>17.075530754723605</v>
      </c>
      <c r="BF856" s="58"/>
    </row>
    <row r="857" spans="48:58" ht="12" customHeight="1">
      <c r="AV857" s="5">
        <f t="shared" si="86"/>
        <v>2.0999999999999637</v>
      </c>
      <c r="AW857" s="5">
        <f t="shared" si="81"/>
        <v>1.7325041454302127E-15</v>
      </c>
      <c r="AX857" s="5">
        <v>1</v>
      </c>
      <c r="AY857" s="5" t="e">
        <f t="shared" si="82"/>
        <v>#N/A</v>
      </c>
      <c r="AZ857" s="5" t="e">
        <f t="shared" si="83"/>
        <v>#N/A</v>
      </c>
      <c r="BA857" s="5">
        <f t="shared" si="84"/>
        <v>0.97045193661345175</v>
      </c>
      <c r="BD857" s="5">
        <f t="shared" si="85"/>
        <v>17.275544761117505</v>
      </c>
      <c r="BF857" s="58"/>
    </row>
    <row r="858" spans="48:58" ht="12" customHeight="1">
      <c r="AV858" s="5">
        <f t="shared" si="86"/>
        <v>2.1059999999999635</v>
      </c>
      <c r="AW858" s="5">
        <f t="shared" si="81"/>
        <v>1.3198432393992976E-15</v>
      </c>
      <c r="AX858" s="5">
        <v>1</v>
      </c>
      <c r="AY858" s="5" t="e">
        <f t="shared" si="82"/>
        <v>#N/A</v>
      </c>
      <c r="AZ858" s="5" t="e">
        <f t="shared" si="83"/>
        <v>#N/A</v>
      </c>
      <c r="BA858" s="5">
        <f t="shared" si="84"/>
        <v>0.97079924838179055</v>
      </c>
      <c r="BD858" s="5">
        <f t="shared" si="85"/>
        <v>17.477974474078369</v>
      </c>
      <c r="BF858" s="58"/>
    </row>
    <row r="859" spans="48:58" ht="12" customHeight="1">
      <c r="AV859" s="5">
        <f t="shared" si="86"/>
        <v>2.1119999999999632</v>
      </c>
      <c r="AW859" s="5">
        <f t="shared" si="81"/>
        <v>1.0044961758091638E-15</v>
      </c>
      <c r="AX859" s="5">
        <v>1</v>
      </c>
      <c r="AY859" s="5" t="e">
        <f t="shared" si="82"/>
        <v>#N/A</v>
      </c>
      <c r="AZ859" s="5" t="e">
        <f t="shared" si="83"/>
        <v>#N/A</v>
      </c>
      <c r="BA859" s="5">
        <f t="shared" si="84"/>
        <v>0.9711425375889523</v>
      </c>
      <c r="BD859" s="5">
        <f t="shared" si="85"/>
        <v>17.68284904383572</v>
      </c>
      <c r="BF859" s="58"/>
    </row>
    <row r="860" spans="48:58" ht="12" customHeight="1">
      <c r="AV860" s="5">
        <f t="shared" si="86"/>
        <v>2.117999999999963</v>
      </c>
      <c r="AW860" s="5">
        <f t="shared" si="81"/>
        <v>7.6375152245637289E-16</v>
      </c>
      <c r="AX860" s="5">
        <v>1</v>
      </c>
      <c r="AY860" s="5" t="e">
        <f t="shared" si="82"/>
        <v>#N/A</v>
      </c>
      <c r="AZ860" s="5" t="e">
        <f t="shared" si="83"/>
        <v>#N/A</v>
      </c>
      <c r="BA860" s="5">
        <f t="shared" si="84"/>
        <v>0.97148184942637883</v>
      </c>
      <c r="BD860" s="5">
        <f t="shared" si="85"/>
        <v>17.890197972694594</v>
      </c>
      <c r="BF860" s="58"/>
    </row>
    <row r="861" spans="48:58" ht="12" customHeight="1">
      <c r="AV861" s="5">
        <f t="shared" si="86"/>
        <v>2.1239999999999628</v>
      </c>
      <c r="AW861" s="5">
        <f t="shared" si="81"/>
        <v>5.801412628779238E-16</v>
      </c>
      <c r="AX861" s="5">
        <v>1</v>
      </c>
      <c r="AY861" s="5" t="e">
        <f t="shared" si="82"/>
        <v>#N/A</v>
      </c>
      <c r="AZ861" s="5" t="e">
        <f t="shared" si="83"/>
        <v>#N/A</v>
      </c>
      <c r="BA861" s="5">
        <f t="shared" si="84"/>
        <v>0.97181722861050845</v>
      </c>
      <c r="BD861" s="5">
        <f t="shared" si="85"/>
        <v>18.100051119230379</v>
      </c>
      <c r="BF861" s="58"/>
    </row>
    <row r="862" spans="48:58" ht="12" customHeight="1">
      <c r="AV862" s="5">
        <f t="shared" si="86"/>
        <v>2.1299999999999626</v>
      </c>
      <c r="AW862" s="5">
        <f t="shared" si="81"/>
        <v>4.4024384089560969E-16</v>
      </c>
      <c r="AX862" s="5">
        <v>1</v>
      </c>
      <c r="AY862" s="5" t="e">
        <f t="shared" si="82"/>
        <v>#N/A</v>
      </c>
      <c r="AZ862" s="5" t="e">
        <f t="shared" si="83"/>
        <v>#N/A</v>
      </c>
      <c r="BA862" s="5">
        <f t="shared" si="84"/>
        <v>0.97214871938699721</v>
      </c>
      <c r="BD862" s="5">
        <f t="shared" si="85"/>
        <v>18.312438702693587</v>
      </c>
      <c r="BF862" s="58"/>
    </row>
    <row r="863" spans="48:58" ht="12" customHeight="1">
      <c r="AV863" s="5">
        <f t="shared" si="86"/>
        <v>2.1359999999999624</v>
      </c>
      <c r="AW863" s="5">
        <f t="shared" si="81"/>
        <v>3.3375723385590194E-16</v>
      </c>
      <c r="AX863" s="5">
        <v>1</v>
      </c>
      <c r="AY863" s="5" t="e">
        <f t="shared" si="82"/>
        <v>#N/A</v>
      </c>
      <c r="AZ863" s="5" t="e">
        <f t="shared" si="83"/>
        <v>#N/A</v>
      </c>
      <c r="BA863" s="5">
        <f t="shared" si="84"/>
        <v>0.97247636553491945</v>
      </c>
      <c r="BD863" s="5">
        <f t="shared" si="85"/>
        <v>18.527391307233895</v>
      </c>
      <c r="BF863" s="58"/>
    </row>
    <row r="864" spans="48:58" ht="12" customHeight="1">
      <c r="AV864" s="5">
        <f t="shared" si="86"/>
        <v>2.1419999999999622</v>
      </c>
      <c r="AW864" s="5">
        <f t="shared" si="81"/>
        <v>2.5278188711757659E-16</v>
      </c>
      <c r="AX864" s="5">
        <v>1</v>
      </c>
      <c r="AY864" s="5" t="e">
        <f t="shared" si="82"/>
        <v>#N/A</v>
      </c>
      <c r="AZ864" s="5" t="e">
        <f t="shared" si="83"/>
        <v>#N/A</v>
      </c>
      <c r="BA864" s="5">
        <f t="shared" si="84"/>
        <v>0.97280021037095188</v>
      </c>
      <c r="BD864" s="5">
        <f t="shared" si="85"/>
        <v>18.744939886419083</v>
      </c>
      <c r="BF864" s="58"/>
    </row>
    <row r="865" spans="48:58" ht="12" customHeight="1">
      <c r="AV865" s="5">
        <f t="shared" si="86"/>
        <v>2.1479999999999619</v>
      </c>
      <c r="AW865" s="5">
        <f t="shared" si="81"/>
        <v>1.9126657532878189E-16</v>
      </c>
      <c r="AX865" s="5">
        <v>1</v>
      </c>
      <c r="AY865" s="5" t="e">
        <f t="shared" si="82"/>
        <v>#N/A</v>
      </c>
      <c r="AZ865" s="5" t="e">
        <f t="shared" si="83"/>
        <v>#N/A</v>
      </c>
      <c r="BA865" s="5">
        <f t="shared" si="84"/>
        <v>0.97312029675353595</v>
      </c>
      <c r="BD865" s="5">
        <f t="shared" si="85"/>
        <v>18.965115767606363</v>
      </c>
      <c r="BF865" s="58"/>
    </row>
    <row r="866" spans="48:58" ht="12" customHeight="1">
      <c r="AV866" s="5">
        <f t="shared" si="86"/>
        <v>2.1539999999999617</v>
      </c>
      <c r="AW866" s="5">
        <f t="shared" si="81"/>
        <v>1.4458061829135488E-16</v>
      </c>
      <c r="AX866" s="5">
        <v>1</v>
      </c>
      <c r="AY866" s="5" t="e">
        <f t="shared" si="82"/>
        <v>#N/A</v>
      </c>
      <c r="AZ866" s="5" t="e">
        <f t="shared" si="83"/>
        <v>#N/A</v>
      </c>
      <c r="BA866" s="5">
        <f t="shared" si="84"/>
        <v>0.97343666708702203</v>
      </c>
      <c r="BD866" s="5">
        <f t="shared" si="85"/>
        <v>19.187950656501055</v>
      </c>
      <c r="BF866" s="58"/>
    </row>
    <row r="867" spans="48:58" ht="12" customHeight="1">
      <c r="AV867" s="5">
        <f t="shared" si="86"/>
        <v>2.1599999999999615</v>
      </c>
      <c r="AW867" s="5">
        <f t="shared" si="81"/>
        <v>1.0918398452759585E-16</v>
      </c>
      <c r="AX867" s="5">
        <v>1</v>
      </c>
      <c r="AY867" s="5" t="e">
        <f t="shared" si="82"/>
        <v>#N/A</v>
      </c>
      <c r="AZ867" s="5" t="e">
        <f t="shared" si="83"/>
        <v>#N/A</v>
      </c>
      <c r="BA867" s="5">
        <f t="shared" si="84"/>
        <v>0.97374936332579243</v>
      </c>
      <c r="BD867" s="5">
        <f t="shared" si="85"/>
        <v>19.413476641732245</v>
      </c>
      <c r="BF867" s="58"/>
    </row>
    <row r="868" spans="48:58" ht="12" customHeight="1">
      <c r="AV868" s="5">
        <f t="shared" si="86"/>
        <v>2.1659999999999613</v>
      </c>
      <c r="AW868" s="5">
        <f t="shared" si="81"/>
        <v>8.2373148608775873E-17</v>
      </c>
      <c r="AX868" s="5">
        <v>1</v>
      </c>
      <c r="AY868" s="5" t="e">
        <f t="shared" si="82"/>
        <v>#N/A</v>
      </c>
      <c r="AZ868" s="5" t="e">
        <f t="shared" si="83"/>
        <v>#N/A</v>
      </c>
      <c r="BA868" s="5">
        <f t="shared" si="84"/>
        <v>0.97405842697836365</v>
      </c>
      <c r="BD868" s="5">
        <f t="shared" si="85"/>
        <v>19.641726199411799</v>
      </c>
      <c r="BF868" s="58"/>
    </row>
    <row r="869" spans="48:58" ht="12" customHeight="1">
      <c r="AV869" s="5">
        <f t="shared" si="86"/>
        <v>2.1719999999999611</v>
      </c>
      <c r="AW869" s="5">
        <f t="shared" si="81"/>
        <v>6.2085510976159469E-17</v>
      </c>
      <c r="AX869" s="5">
        <v>1</v>
      </c>
      <c r="AY869" s="5" t="e">
        <f t="shared" si="82"/>
        <v>#N/A</v>
      </c>
      <c r="AZ869" s="5" t="e">
        <f t="shared" si="83"/>
        <v>#N/A</v>
      </c>
      <c r="BA869" s="5">
        <f t="shared" si="84"/>
        <v>0.9743638991114687</v>
      </c>
      <c r="BD869" s="5">
        <f t="shared" si="85"/>
        <v>19.872732197878364</v>
      </c>
      <c r="BF869" s="58"/>
    </row>
    <row r="870" spans="48:58" ht="12" customHeight="1">
      <c r="AV870" s="5">
        <f t="shared" si="86"/>
        <v>2.1779999999999609</v>
      </c>
      <c r="AW870" s="5">
        <f t="shared" si="81"/>
        <v>4.6749042338823953E-17</v>
      </c>
      <c r="AX870" s="5">
        <v>1</v>
      </c>
      <c r="AY870" s="5" t="e">
        <f t="shared" si="82"/>
        <v>#N/A</v>
      </c>
      <c r="AZ870" s="5" t="e">
        <f t="shared" si="83"/>
        <v>#N/A</v>
      </c>
      <c r="BA870" s="5">
        <f t="shared" si="84"/>
        <v>0.97466582035411697</v>
      </c>
      <c r="BD870" s="5">
        <f t="shared" si="85"/>
        <v>20.106527902395957</v>
      </c>
      <c r="BF870" s="58"/>
    </row>
    <row r="871" spans="48:58" ht="12" customHeight="1">
      <c r="AV871" s="5">
        <f t="shared" si="86"/>
        <v>2.1839999999999606</v>
      </c>
      <c r="AW871" s="5">
        <f t="shared" si="81"/>
        <v>3.5166815535823712E-17</v>
      </c>
      <c r="AX871" s="5">
        <v>1</v>
      </c>
      <c r="AY871" s="5" t="e">
        <f t="shared" si="82"/>
        <v>#N/A</v>
      </c>
      <c r="AZ871" s="5" t="e">
        <f t="shared" si="83"/>
        <v>#N/A</v>
      </c>
      <c r="BA871" s="5">
        <f t="shared" si="84"/>
        <v>0.97496423090163298</v>
      </c>
      <c r="BD871" s="5">
        <f t="shared" si="85"/>
        <v>20.343146979936645</v>
      </c>
      <c r="BF871" s="58"/>
    </row>
    <row r="872" spans="48:58" ht="12" customHeight="1">
      <c r="AV872" s="5">
        <f t="shared" si="86"/>
        <v>2.1899999999999604</v>
      </c>
      <c r="AW872" s="5">
        <f t="shared" si="81"/>
        <v>2.6428422058766925E-17</v>
      </c>
      <c r="AX872" s="5">
        <v>1</v>
      </c>
      <c r="AY872" s="5" t="e">
        <f t="shared" si="82"/>
        <v>#N/A</v>
      </c>
      <c r="AZ872" s="5" t="e">
        <f t="shared" si="83"/>
        <v>#N/A</v>
      </c>
      <c r="BA872" s="5">
        <f t="shared" si="84"/>
        <v>0.97525917051967326</v>
      </c>
      <c r="BD872" s="5">
        <f t="shared" si="85"/>
        <v>20.582623504085298</v>
      </c>
      <c r="BF872" s="58"/>
    </row>
    <row r="873" spans="48:58" ht="12" customHeight="1">
      <c r="AV873" s="5">
        <f t="shared" si="86"/>
        <v>2.1959999999999602</v>
      </c>
      <c r="AW873" s="5">
        <f t="shared" si="81"/>
        <v>1.9842084281857322E-17</v>
      </c>
      <c r="AX873" s="5">
        <v>1</v>
      </c>
      <c r="AY873" s="5" t="e">
        <f t="shared" si="82"/>
        <v>#N/A</v>
      </c>
      <c r="AZ873" s="5" t="e">
        <f t="shared" si="83"/>
        <v>#N/A</v>
      </c>
      <c r="BA873" s="5">
        <f t="shared" si="84"/>
        <v>0.9755506785482202</v>
      </c>
      <c r="BD873" s="5">
        <f t="shared" si="85"/>
        <v>20.824991959846241</v>
      </c>
      <c r="BF873" s="58"/>
    </row>
    <row r="874" spans="48:58" ht="12" customHeight="1">
      <c r="AV874" s="5">
        <f t="shared" si="86"/>
        <v>2.20199999999996</v>
      </c>
      <c r="AW874" s="5">
        <f t="shared" si="81"/>
        <v>1.4882682334273314E-17</v>
      </c>
      <c r="AX874" s="5">
        <v>1</v>
      </c>
      <c r="AY874" s="5" t="e">
        <f t="shared" si="82"/>
        <v>#N/A</v>
      </c>
      <c r="AZ874" s="5" t="e">
        <f t="shared" si="83"/>
        <v>#N/A</v>
      </c>
      <c r="BA874" s="5">
        <f t="shared" si="84"/>
        <v>0.97583879390555472</v>
      </c>
      <c r="BD874" s="5">
        <f t="shared" si="85"/>
        <v>21.070287248704787</v>
      </c>
      <c r="BF874" s="58"/>
    </row>
    <row r="875" spans="48:58" ht="12" customHeight="1">
      <c r="AV875" s="5">
        <f t="shared" si="86"/>
        <v>2.2079999999999598</v>
      </c>
      <c r="AW875" s="5">
        <f t="shared" si="81"/>
        <v>1.1152006136195369E-17</v>
      </c>
      <c r="AX875" s="5">
        <v>1</v>
      </c>
      <c r="AY875" s="5" t="e">
        <f t="shared" si="82"/>
        <v>#N/A</v>
      </c>
      <c r="AZ875" s="5" t="e">
        <f t="shared" si="83"/>
        <v>#N/A</v>
      </c>
      <c r="BA875" s="5">
        <f t="shared" si="84"/>
        <v>0.97612355509220483</v>
      </c>
      <c r="BD875" s="5">
        <f t="shared" si="85"/>
        <v>21.318544693617426</v>
      </c>
      <c r="BF875" s="58"/>
    </row>
    <row r="876" spans="48:58" ht="12" customHeight="1">
      <c r="AV876" s="5">
        <f t="shared" si="86"/>
        <v>2.2139999999999596</v>
      </c>
      <c r="AW876" s="5">
        <f t="shared" si="81"/>
        <v>8.3483885393799838E-18</v>
      </c>
      <c r="AX876" s="5">
        <v>1</v>
      </c>
      <c r="AY876" s="5" t="e">
        <f t="shared" si="82"/>
        <v>#N/A</v>
      </c>
      <c r="AZ876" s="5" t="e">
        <f t="shared" si="83"/>
        <v>#N/A</v>
      </c>
      <c r="BA876" s="5">
        <f t="shared" si="84"/>
        <v>0.97640500019487153</v>
      </c>
      <c r="BD876" s="5">
        <f t="shared" si="85"/>
        <v>21.569800044064511</v>
      </c>
      <c r="BF876" s="58"/>
    </row>
    <row r="877" spans="48:58" ht="12" customHeight="1">
      <c r="AV877" s="5">
        <f t="shared" si="86"/>
        <v>2.2199999999999593</v>
      </c>
      <c r="AW877" s="5">
        <f t="shared" si="81"/>
        <v>6.2435295634198687E-18</v>
      </c>
      <c r="AX877" s="5">
        <v>1</v>
      </c>
      <c r="AY877" s="5" t="e">
        <f t="shared" si="82"/>
        <v>#N/A</v>
      </c>
      <c r="AZ877" s="5" t="e">
        <f t="shared" si="83"/>
        <v>#N/A</v>
      </c>
      <c r="BA877" s="5">
        <f t="shared" si="84"/>
        <v>0.97668316689033197</v>
      </c>
      <c r="BD877" s="5">
        <f t="shared" si="85"/>
        <v>21.824089481282538</v>
      </c>
      <c r="BF877" s="58"/>
    </row>
    <row r="878" spans="48:58" ht="12" customHeight="1">
      <c r="AV878" s="5">
        <f t="shared" si="86"/>
        <v>2.2259999999999591</v>
      </c>
      <c r="AW878" s="5">
        <f t="shared" si="81"/>
        <v>4.6648271650711327E-18</v>
      </c>
      <c r="AX878" s="5">
        <v>1</v>
      </c>
      <c r="AY878" s="5" t="e">
        <f t="shared" si="82"/>
        <v>#N/A</v>
      </c>
      <c r="AZ878" s="5" t="e">
        <f t="shared" si="83"/>
        <v>#N/A</v>
      </c>
      <c r="BA878" s="5">
        <f t="shared" si="84"/>
        <v>0.97695809244931786</v>
      </c>
      <c r="BD878" s="5">
        <f t="shared" si="85"/>
        <v>22.081449623345911</v>
      </c>
      <c r="BF878" s="58"/>
    </row>
    <row r="879" spans="48:58" ht="12" customHeight="1">
      <c r="AV879" s="5">
        <f t="shared" si="86"/>
        <v>2.2319999999999589</v>
      </c>
      <c r="AW879" s="5">
        <f t="shared" si="81"/>
        <v>3.4819201575072811E-18</v>
      </c>
      <c r="AX879" s="5">
        <v>1</v>
      </c>
      <c r="AY879" s="5" t="e">
        <f t="shared" si="82"/>
        <v>#N/A</v>
      </c>
      <c r="AZ879" s="5" t="e">
        <f t="shared" si="83"/>
        <v>#N/A</v>
      </c>
      <c r="BA879" s="5">
        <f t="shared" si="84"/>
        <v>0.97722981374037188</v>
      </c>
      <c r="BD879" s="5">
        <f t="shared" si="85"/>
        <v>22.341917530599428</v>
      </c>
      <c r="BF879" s="58"/>
    </row>
    <row r="880" spans="48:58" ht="12" customHeight="1">
      <c r="AV880" s="5">
        <f t="shared" si="86"/>
        <v>2.2379999999999587</v>
      </c>
      <c r="AW880" s="5">
        <f t="shared" si="81"/>
        <v>2.5964497670530699E-18</v>
      </c>
      <c r="AX880" s="5">
        <v>1</v>
      </c>
      <c r="AY880" s="5" t="e">
        <f t="shared" si="82"/>
        <v>#N/A</v>
      </c>
      <c r="AZ880" s="5" t="e">
        <f t="shared" si="83"/>
        <v>#N/A</v>
      </c>
      <c r="BA880" s="5">
        <f t="shared" si="84"/>
        <v>0.977498367233678</v>
      </c>
      <c r="BD880" s="5">
        <f t="shared" si="85"/>
        <v>22.605530710859085</v>
      </c>
      <c r="BF880" s="58"/>
    </row>
    <row r="881" spans="48:58" ht="12" customHeight="1">
      <c r="AV881" s="5">
        <f t="shared" si="86"/>
        <v>2.2439999999999585</v>
      </c>
      <c r="AW881" s="5">
        <f t="shared" si="81"/>
        <v>1.9342780660775002E-18</v>
      </c>
      <c r="AX881" s="5">
        <v>1</v>
      </c>
      <c r="AY881" s="5" t="e">
        <f t="shared" si="82"/>
        <v>#N/A</v>
      </c>
      <c r="AZ881" s="5" t="e">
        <f t="shared" si="83"/>
        <v>#N/A</v>
      </c>
      <c r="BA881" s="5">
        <f t="shared" si="84"/>
        <v>0.97776378900486949</v>
      </c>
      <c r="BD881" s="5">
        <f t="shared" si="85"/>
        <v>22.872327124864412</v>
      </c>
      <c r="BF881" s="58"/>
    </row>
    <row r="882" spans="48:58" ht="12" customHeight="1">
      <c r="AV882" s="5">
        <f t="shared" si="86"/>
        <v>2.2499999999999583</v>
      </c>
      <c r="AW882" s="5">
        <f t="shared" si="81"/>
        <v>1.4395798369131114E-18</v>
      </c>
      <c r="AX882" s="5">
        <v>1</v>
      </c>
      <c r="AY882" s="5" t="e">
        <f t="shared" si="82"/>
        <v>#N/A</v>
      </c>
      <c r="AZ882" s="5" t="e">
        <f t="shared" si="83"/>
        <v>#N/A</v>
      </c>
      <c r="BA882" s="5">
        <f t="shared" si="84"/>
        <v>0.97802611473881185</v>
      </c>
      <c r="BD882" s="5">
        <f t="shared" si="85"/>
        <v>23.142345191779068</v>
      </c>
      <c r="BF882" s="58"/>
    </row>
    <row r="883" spans="48:58" ht="12" customHeight="1">
      <c r="AV883" s="5">
        <f t="shared" si="86"/>
        <v>2.255999999999958</v>
      </c>
      <c r="AW883" s="5">
        <f t="shared" si="81"/>
        <v>1.0703614742035456E-18</v>
      </c>
      <c r="AX883" s="5">
        <v>1</v>
      </c>
      <c r="AY883" s="5" t="e">
        <f t="shared" si="82"/>
        <v>#N/A</v>
      </c>
      <c r="AZ883" s="5" t="e">
        <f t="shared" si="83"/>
        <v>#N/A</v>
      </c>
      <c r="BA883" s="5">
        <f t="shared" si="84"/>
        <v>0.97828537973336094</v>
      </c>
      <c r="BD883" s="5">
        <f t="shared" si="85"/>
        <v>23.415623794656913</v>
      </c>
      <c r="BF883" s="58"/>
    </row>
    <row r="884" spans="48:58" ht="12" customHeight="1">
      <c r="AV884" s="5">
        <f t="shared" si="86"/>
        <v>2.2619999999999578</v>
      </c>
      <c r="AW884" s="5">
        <f t="shared" si="81"/>
        <v>7.9506575621604874E-19</v>
      </c>
      <c r="AX884" s="5">
        <v>1</v>
      </c>
      <c r="AY884" s="5" t="e">
        <f t="shared" si="82"/>
        <v>#N/A</v>
      </c>
      <c r="AZ884" s="5" t="e">
        <f t="shared" si="83"/>
        <v>#N/A</v>
      </c>
      <c r="BA884" s="5">
        <f t="shared" si="84"/>
        <v>0.97854161890309721</v>
      </c>
      <c r="BD884" s="5">
        <f t="shared" si="85"/>
        <v>23.692202286107488</v>
      </c>
      <c r="BF884" s="58"/>
    </row>
    <row r="885" spans="48:58" ht="12" customHeight="1">
      <c r="AV885" s="5">
        <f t="shared" si="86"/>
        <v>2.2679999999999576</v>
      </c>
      <c r="AW885" s="5">
        <f t="shared" si="81"/>
        <v>5.900020138191239E-19</v>
      </c>
      <c r="AX885" s="5">
        <v>1</v>
      </c>
      <c r="AY885" s="5" t="e">
        <f t="shared" si="82"/>
        <v>#N/A</v>
      </c>
      <c r="AZ885" s="5" t="e">
        <f t="shared" si="83"/>
        <v>#N/A</v>
      </c>
      <c r="BA885" s="5">
        <f t="shared" si="84"/>
        <v>0.9787948667830344</v>
      </c>
      <c r="BD885" s="5">
        <f t="shared" si="85"/>
        <v>23.972120493877277</v>
      </c>
      <c r="BF885" s="58"/>
    </row>
    <row r="886" spans="48:58" ht="12" customHeight="1">
      <c r="AV886" s="5">
        <f t="shared" si="86"/>
        <v>2.2739999999999574</v>
      </c>
      <c r="AW886" s="5">
        <f t="shared" si="81"/>
        <v>4.3740304807424972E-19</v>
      </c>
      <c r="AX886" s="5">
        <v>1</v>
      </c>
      <c r="AY886" s="5" t="e">
        <f t="shared" si="82"/>
        <v>#N/A</v>
      </c>
      <c r="AZ886" s="5" t="e">
        <f t="shared" si="83"/>
        <v>#N/A</v>
      </c>
      <c r="BA886" s="5">
        <f t="shared" si="84"/>
        <v>0.97904515753230426</v>
      </c>
      <c r="BD886" s="5">
        <f t="shared" si="85"/>
        <v>24.255418726725285</v>
      </c>
      <c r="BF886" s="58"/>
    </row>
    <row r="887" spans="48:58" ht="12" customHeight="1">
      <c r="AV887" s="5">
        <f t="shared" si="86"/>
        <v>2.2799999999999572</v>
      </c>
      <c r="AW887" s="5">
        <f t="shared" si="81"/>
        <v>3.2395745762005907E-19</v>
      </c>
      <c r="AX887" s="5">
        <v>1</v>
      </c>
      <c r="AY887" s="5" t="e">
        <f t="shared" si="82"/>
        <v>#N/A</v>
      </c>
      <c r="AZ887" s="5" t="e">
        <f t="shared" si="83"/>
        <v>#N/A</v>
      </c>
      <c r="BA887" s="5">
        <f t="shared" si="84"/>
        <v>0.97929252493781471</v>
      </c>
      <c r="BD887" s="5">
        <f t="shared" si="85"/>
        <v>24.542137780031567</v>
      </c>
      <c r="BF887" s="58"/>
    </row>
    <row r="888" spans="48:58" ht="12" customHeight="1">
      <c r="AV888" s="5">
        <f t="shared" si="86"/>
        <v>2.285999999999957</v>
      </c>
      <c r="AW888" s="5">
        <f t="shared" si="81"/>
        <v>2.3970220256080438E-19</v>
      </c>
      <c r="AX888" s="5">
        <v>1</v>
      </c>
      <c r="AY888" s="5" t="e">
        <f t="shared" si="82"/>
        <v>#N/A</v>
      </c>
      <c r="AZ888" s="5" t="e">
        <f t="shared" si="83"/>
        <v>#N/A</v>
      </c>
      <c r="BA888" s="5">
        <f t="shared" si="84"/>
        <v>0.97953700241788499</v>
      </c>
      <c r="BD888" s="5">
        <f t="shared" si="85"/>
        <v>24.832318941858766</v>
      </c>
      <c r="BF888" s="58"/>
    </row>
    <row r="889" spans="48:58" ht="12" customHeight="1">
      <c r="AV889" s="5">
        <f t="shared" si="86"/>
        <v>2.2919999999999567</v>
      </c>
      <c r="AW889" s="5">
        <f t="shared" si="81"/>
        <v>1.7718784781765737E-19</v>
      </c>
      <c r="AX889" s="5">
        <v>1</v>
      </c>
      <c r="AY889" s="5" t="e">
        <f t="shared" si="82"/>
        <v>#N/A</v>
      </c>
      <c r="AZ889" s="5" t="e">
        <f t="shared" si="83"/>
        <v>#N/A</v>
      </c>
      <c r="BA889" s="5">
        <f t="shared" si="84"/>
        <v>0.9797786230258535</v>
      </c>
      <c r="BD889" s="5">
        <f t="shared" si="85"/>
        <v>25.126003998810379</v>
      </c>
      <c r="BF889" s="58"/>
    </row>
    <row r="890" spans="48:58" ht="12" customHeight="1">
      <c r="AV890" s="5">
        <f t="shared" si="86"/>
        <v>2.2979999999999565</v>
      </c>
      <c r="AW890" s="5">
        <f t="shared" si="81"/>
        <v>1.3084999406300082E-19</v>
      </c>
      <c r="AX890" s="5">
        <v>1</v>
      </c>
      <c r="AY890" s="5" t="e">
        <f t="shared" si="82"/>
        <v>#N/A</v>
      </c>
      <c r="AZ890" s="5" t="e">
        <f t="shared" si="83"/>
        <v>#N/A</v>
      </c>
      <c r="BA890" s="5">
        <f t="shared" si="84"/>
        <v>0.98001741945366128</v>
      </c>
      <c r="BD890" s="5">
        <f t="shared" si="85"/>
        <v>25.42323524202239</v>
      </c>
      <c r="BF890" s="58"/>
    </row>
    <row r="891" spans="48:58" ht="12" customHeight="1">
      <c r="AV891" s="5">
        <f t="shared" si="86"/>
        <v>2.3039999999999563</v>
      </c>
      <c r="AW891" s="5">
        <f t="shared" si="81"/>
        <v>9.6536455122330917E-20</v>
      </c>
      <c r="AX891" s="5">
        <v>1</v>
      </c>
      <c r="AY891" s="5" t="e">
        <f t="shared" si="82"/>
        <v>#N/A</v>
      </c>
      <c r="AZ891" s="5" t="e">
        <f t="shared" si="83"/>
        <v>#N/A</v>
      </c>
      <c r="BA891" s="5">
        <f t="shared" si="84"/>
        <v>0.98025342403541027</v>
      </c>
      <c r="BD891" s="5">
        <f t="shared" si="85"/>
        <v>25.72405547330143</v>
      </c>
      <c r="BF891" s="58"/>
    </row>
    <row r="892" spans="48:58" ht="12" customHeight="1">
      <c r="AV892" s="5">
        <f t="shared" si="86"/>
        <v>2.3099999999999561</v>
      </c>
      <c r="AW892" s="5">
        <f t="shared" si="81"/>
        <v>7.1151957537781244E-20</v>
      </c>
      <c r="AX892" s="5">
        <v>1</v>
      </c>
      <c r="AY892" s="5" t="e">
        <f t="shared" si="82"/>
        <v>#N/A</v>
      </c>
      <c r="AZ892" s="5" t="e">
        <f t="shared" si="83"/>
        <v>#N/A</v>
      </c>
      <c r="BA892" s="5">
        <f t="shared" si="84"/>
        <v>0.98048666875089563</v>
      </c>
      <c r="BD892" s="5">
        <f t="shared" si="85"/>
        <v>26.02850801131116</v>
      </c>
      <c r="BF892" s="58"/>
    </row>
    <row r="893" spans="48:58" ht="12" customHeight="1">
      <c r="AV893" s="5">
        <f t="shared" si="86"/>
        <v>2.3159999999999559</v>
      </c>
      <c r="AW893" s="5">
        <f t="shared" si="81"/>
        <v>5.2391426612619523E-20</v>
      </c>
      <c r="AX893" s="5">
        <v>1</v>
      </c>
      <c r="AY893" s="5" t="e">
        <f t="shared" si="82"/>
        <v>#N/A</v>
      </c>
      <c r="AZ893" s="5" t="e">
        <f t="shared" si="83"/>
        <v>#N/A</v>
      </c>
      <c r="BA893" s="5">
        <f t="shared" si="84"/>
        <v>0.98071718522911222</v>
      </c>
      <c r="BD893" s="5">
        <f t="shared" si="85"/>
        <v>26.336636697714045</v>
      </c>
      <c r="BF893" s="58"/>
    </row>
    <row r="894" spans="48:58" ht="12" customHeight="1">
      <c r="AV894" s="5">
        <f t="shared" si="86"/>
        <v>2.3219999999999557</v>
      </c>
      <c r="AW894" s="5">
        <f t="shared" si="81"/>
        <v>3.8539977931343355E-20</v>
      </c>
      <c r="AX894" s="5">
        <v>1</v>
      </c>
      <c r="AY894" s="5" t="e">
        <f t="shared" si="82"/>
        <v>#N/A</v>
      </c>
      <c r="AZ894" s="5" t="e">
        <f t="shared" si="83"/>
        <v>#N/A</v>
      </c>
      <c r="BA894" s="5">
        <f t="shared" si="84"/>
        <v>0.9809450047517364</v>
      </c>
      <c r="BD894" s="5">
        <f t="shared" si="85"/>
        <v>26.648485903578838</v>
      </c>
      <c r="BF894" s="58"/>
    </row>
    <row r="895" spans="48:58" ht="12" customHeight="1">
      <c r="AV895" s="5">
        <f t="shared" si="86"/>
        <v>2.3279999999999554</v>
      </c>
      <c r="AW895" s="5">
        <f t="shared" si="81"/>
        <v>2.8323085582096264E-20</v>
      </c>
      <c r="AX895" s="5">
        <v>1</v>
      </c>
      <c r="AY895" s="5" t="e">
        <f t="shared" si="82"/>
        <v>#N/A</v>
      </c>
      <c r="AZ895" s="5" t="e">
        <f t="shared" si="83"/>
        <v>#N/A</v>
      </c>
      <c r="BA895" s="5">
        <f t="shared" si="84"/>
        <v>0.98117015825658127</v>
      </c>
      <c r="BD895" s="5">
        <f t="shared" si="85"/>
        <v>26.964100535752202</v>
      </c>
      <c r="BF895" s="58"/>
    </row>
    <row r="896" spans="48:58" ht="12" customHeight="1">
      <c r="AV896" s="5">
        <f t="shared" si="86"/>
        <v>2.3339999999999552</v>
      </c>
      <c r="AW896" s="5">
        <f t="shared" si="81"/>
        <v>2.0794454565886312E-20</v>
      </c>
      <c r="AX896" s="5">
        <v>1</v>
      </c>
      <c r="AY896" s="5" t="e">
        <f t="shared" si="82"/>
        <v>#N/A</v>
      </c>
      <c r="AZ896" s="5" t="e">
        <f t="shared" si="83"/>
        <v>#N/A</v>
      </c>
      <c r="BA896" s="5">
        <f t="shared" si="84"/>
        <v>0.98139267634102634</v>
      </c>
      <c r="BD896" s="5">
        <f t="shared" si="85"/>
        <v>27.283526043245381</v>
      </c>
      <c r="BF896" s="58"/>
    </row>
    <row r="897" spans="48:58" ht="12" customHeight="1">
      <c r="AV897" s="5">
        <f t="shared" si="86"/>
        <v>2.339999999999955</v>
      </c>
      <c r="AW897" s="5">
        <f t="shared" si="81"/>
        <v>1.5252195660743237E-20</v>
      </c>
      <c r="AX897" s="5">
        <v>1</v>
      </c>
      <c r="AY897" s="5" t="e">
        <f t="shared" si="82"/>
        <v>#N/A</v>
      </c>
      <c r="AZ897" s="5" t="e">
        <f t="shared" si="83"/>
        <v>#N/A</v>
      </c>
      <c r="BA897" s="5">
        <f t="shared" si="84"/>
        <v>0.98161258926542216</v>
      </c>
      <c r="BD897" s="5">
        <f t="shared" si="85"/>
        <v>27.606808423923834</v>
      </c>
      <c r="BF897" s="58"/>
    </row>
    <row r="898" spans="48:58" ht="12" customHeight="1">
      <c r="AV898" s="5">
        <f t="shared" si="86"/>
        <v>2.3459999999999548</v>
      </c>
      <c r="AW898" s="5">
        <f t="shared" si="81"/>
        <v>1.1176223244841214E-20</v>
      </c>
      <c r="AX898" s="5">
        <v>1</v>
      </c>
      <c r="AY898" s="5" t="e">
        <f t="shared" si="82"/>
        <v>#N/A</v>
      </c>
      <c r="AZ898" s="5" t="e">
        <f t="shared" si="83"/>
        <v>#N/A</v>
      </c>
      <c r="BA898" s="5">
        <f t="shared" si="84"/>
        <v>0.98182992695646798</v>
      </c>
      <c r="BD898" s="5">
        <f t="shared" si="85"/>
        <v>27.933994230977103</v>
      </c>
      <c r="BF898" s="58"/>
    </row>
    <row r="899" spans="48:58" ht="12" customHeight="1">
      <c r="AV899" s="5">
        <f t="shared" si="86"/>
        <v>2.3519999999999546</v>
      </c>
      <c r="AW899" s="5">
        <f t="shared" si="81"/>
        <v>8.1815508558647885E-21</v>
      </c>
      <c r="AX899" s="5">
        <v>1</v>
      </c>
      <c r="AY899" s="5" t="e">
        <f t="shared" si="82"/>
        <v>#N/A</v>
      </c>
      <c r="AZ899" s="5" t="e">
        <f t="shared" si="83"/>
        <v>#N/A</v>
      </c>
      <c r="BA899" s="5">
        <f t="shared" si="84"/>
        <v>0.98204471901056478</v>
      </c>
      <c r="BD899" s="5">
        <f t="shared" si="85"/>
        <v>28.265130579754846</v>
      </c>
      <c r="BF899" s="58"/>
    </row>
    <row r="900" spans="48:58" ht="12" customHeight="1">
      <c r="AV900" s="5">
        <f t="shared" si="86"/>
        <v>2.3579999999999544</v>
      </c>
      <c r="AW900" s="5">
        <f t="shared" si="81"/>
        <v>5.9834830636433708E-21</v>
      </c>
      <c r="AX900" s="5">
        <v>1</v>
      </c>
      <c r="AY900" s="5" t="e">
        <f t="shared" si="82"/>
        <v>#N/A</v>
      </c>
      <c r="AZ900" s="5" t="e">
        <f t="shared" si="83"/>
        <v>#N/A</v>
      </c>
      <c r="BA900" s="5">
        <f t="shared" si="84"/>
        <v>0.98225699469714156</v>
      </c>
      <c r="BD900" s="5">
        <f t="shared" si="85"/>
        <v>28.600265154445445</v>
      </c>
      <c r="BF900" s="58"/>
    </row>
    <row r="901" spans="48:58" ht="12" customHeight="1">
      <c r="AV901" s="5">
        <f t="shared" si="86"/>
        <v>2.3639999999999541</v>
      </c>
      <c r="AW901" s="5">
        <f t="shared" si="81"/>
        <v>4.3717001212277004E-21</v>
      </c>
      <c r="AX901" s="5">
        <v>1</v>
      </c>
      <c r="AY901" s="5" t="e">
        <f t="shared" si="82"/>
        <v>#N/A</v>
      </c>
      <c r="AZ901" s="5" t="e">
        <f t="shared" si="83"/>
        <v>#N/A</v>
      </c>
      <c r="BA901" s="5">
        <f t="shared" si="84"/>
        <v>0.98246678296195655</v>
      </c>
      <c r="BD901" s="5">
        <f t="shared" si="85"/>
        <v>28.939446215022571</v>
      </c>
      <c r="BF901" s="58"/>
    </row>
    <row r="902" spans="48:58" ht="12" customHeight="1">
      <c r="AV902" s="5">
        <f t="shared" si="86"/>
        <v>2.3699999999999539</v>
      </c>
      <c r="AW902" s="5">
        <f t="shared" si="81"/>
        <v>3.1909832683674493E-21</v>
      </c>
      <c r="AX902" s="5">
        <v>1</v>
      </c>
      <c r="AY902" s="5" t="e">
        <f t="shared" si="82"/>
        <v>#N/A</v>
      </c>
      <c r="AZ902" s="5" t="e">
        <f t="shared" si="83"/>
        <v>#N/A</v>
      </c>
      <c r="BA902" s="5">
        <f t="shared" si="84"/>
        <v>0.98267411243037206</v>
      </c>
      <c r="BD902" s="5">
        <f t="shared" si="85"/>
        <v>29.282722604113186</v>
      </c>
      <c r="BF902" s="58"/>
    </row>
    <row r="903" spans="48:58" ht="12" customHeight="1">
      <c r="AV903" s="5">
        <f t="shared" si="86"/>
        <v>2.3759999999999537</v>
      </c>
      <c r="AW903" s="5">
        <f t="shared" ref="AW903:AW966" si="87">$G$22*NORMDIST(AV903,$AW$3,$AW$4,FALSE)</f>
        <v>2.326893766198572E-21</v>
      </c>
      <c r="AX903" s="5">
        <v>1</v>
      </c>
      <c r="AY903" s="5" t="e">
        <f t="shared" ref="AY903:AY966" si="88">IF($BF$2,AX903+AW903*$BC$2*BD903,NA())</f>
        <v>#N/A</v>
      </c>
      <c r="AZ903" s="5" t="e">
        <f t="shared" ref="AZ903:AZ966" si="89">IF($BF$2,AX903-AW903*$BC$2*BD903,NA())</f>
        <v>#N/A</v>
      </c>
      <c r="BA903" s="5">
        <f t="shared" ref="BA903:BA966" si="90">(EXP(2*AV903)-1)/(EXP(2*AV903)+1)</f>
        <v>0.98287901141060408</v>
      </c>
      <c r="BD903" s="5">
        <f t="shared" ref="BD903:BD966" si="91">(AV903-AV904)/(BA903-BA904)</f>
        <v>29.63014375415084</v>
      </c>
      <c r="BF903" s="58"/>
    </row>
    <row r="904" spans="48:58" ht="12" customHeight="1">
      <c r="AV904" s="5">
        <f t="shared" ref="AV904:AV967" si="92">AV903+$BC$4</f>
        <v>2.3819999999999535</v>
      </c>
      <c r="AW904" s="5">
        <f t="shared" si="87"/>
        <v>1.695143430951879E-21</v>
      </c>
      <c r="AX904" s="5">
        <v>1</v>
      </c>
      <c r="AY904" s="5" t="e">
        <f t="shared" si="88"/>
        <v>#N/A</v>
      </c>
      <c r="AZ904" s="5" t="e">
        <f t="shared" si="89"/>
        <v>#N/A</v>
      </c>
      <c r="BA904" s="5">
        <f t="shared" si="90"/>
        <v>0.98308150789694526</v>
      </c>
      <c r="BD904" s="5">
        <f t="shared" si="91"/>
        <v>29.981759694351819</v>
      </c>
      <c r="BF904" s="58"/>
    </row>
    <row r="905" spans="48:58" ht="12" customHeight="1">
      <c r="AV905" s="5">
        <f t="shared" si="92"/>
        <v>2.3879999999999533</v>
      </c>
      <c r="AW905" s="5">
        <f t="shared" si="87"/>
        <v>1.2337132005114005E-21</v>
      </c>
      <c r="AX905" s="5">
        <v>1</v>
      </c>
      <c r="AY905" s="5" t="e">
        <f t="shared" si="88"/>
        <v>#N/A</v>
      </c>
      <c r="AZ905" s="5" t="e">
        <f t="shared" si="89"/>
        <v>#N/A</v>
      </c>
      <c r="BA905" s="5">
        <f t="shared" si="90"/>
        <v>0.98328162957296317</v>
      </c>
      <c r="BD905" s="5">
        <f t="shared" si="91"/>
        <v>30.33762105801577</v>
      </c>
      <c r="BF905" s="58"/>
    </row>
    <row r="906" spans="48:58" ht="12" customHeight="1">
      <c r="AV906" s="5">
        <f t="shared" si="92"/>
        <v>2.3939999999999531</v>
      </c>
      <c r="AW906" s="5">
        <f t="shared" si="87"/>
        <v>8.9701527387741689E-22</v>
      </c>
      <c r="AX906" s="5">
        <v>1</v>
      </c>
      <c r="AY906" s="5" t="e">
        <f t="shared" si="88"/>
        <v>#N/A</v>
      </c>
      <c r="AZ906" s="5" t="e">
        <f t="shared" si="89"/>
        <v>#N/A</v>
      </c>
      <c r="BA906" s="5">
        <f t="shared" si="90"/>
        <v>0.98347940381467203</v>
      </c>
      <c r="BD906" s="5">
        <f t="shared" si="91"/>
        <v>30.697779089845628</v>
      </c>
      <c r="BF906" s="58"/>
    </row>
    <row r="907" spans="48:58" ht="12" customHeight="1">
      <c r="AV907" s="5">
        <f t="shared" si="92"/>
        <v>2.3999999999999528</v>
      </c>
      <c r="AW907" s="5">
        <f t="shared" si="87"/>
        <v>6.5157337591468927E-22</v>
      </c>
      <c r="AX907" s="5">
        <v>1</v>
      </c>
      <c r="AY907" s="5" t="e">
        <f t="shared" si="88"/>
        <v>#N/A</v>
      </c>
      <c r="AZ907" s="5" t="e">
        <f t="shared" si="89"/>
        <v>#N/A</v>
      </c>
      <c r="BA907" s="5">
        <f t="shared" si="90"/>
        <v>0.98367485769367868</v>
      </c>
      <c r="BD907" s="5">
        <f t="shared" si="91"/>
        <v>31.062285653151253</v>
      </c>
      <c r="BF907" s="58"/>
    </row>
    <row r="908" spans="48:58" ht="12" customHeight="1">
      <c r="AV908" s="5">
        <f t="shared" si="92"/>
        <v>2.4059999999999526</v>
      </c>
      <c r="AW908" s="5">
        <f t="shared" si="87"/>
        <v>4.7282963458532156E-22</v>
      </c>
      <c r="AX908" s="5">
        <v>1</v>
      </c>
      <c r="AY908" s="5" t="e">
        <f t="shared" si="88"/>
        <v>#N/A</v>
      </c>
      <c r="AZ908" s="5" t="e">
        <f t="shared" si="89"/>
        <v>#N/A</v>
      </c>
      <c r="BA908" s="5">
        <f t="shared" si="90"/>
        <v>0.98386801798030399</v>
      </c>
      <c r="BD908" s="5">
        <f t="shared" si="91"/>
        <v>31.431193237544065</v>
      </c>
      <c r="BF908" s="58"/>
    </row>
    <row r="909" spans="48:58" ht="12" customHeight="1">
      <c r="AV909" s="5">
        <f t="shared" si="92"/>
        <v>2.4119999999999524</v>
      </c>
      <c r="AW909" s="5">
        <f t="shared" si="87"/>
        <v>3.4278665951142918E-22</v>
      </c>
      <c r="AX909" s="5">
        <v>1</v>
      </c>
      <c r="AY909" s="5" t="e">
        <f t="shared" si="88"/>
        <v>#N/A</v>
      </c>
      <c r="AZ909" s="5" t="e">
        <f t="shared" si="89"/>
        <v>#N/A</v>
      </c>
      <c r="BA909" s="5">
        <f t="shared" si="90"/>
        <v>0.9840589111466771</v>
      </c>
      <c r="BD909" s="5">
        <f t="shared" si="91"/>
        <v>31.804554966370361</v>
      </c>
      <c r="BF909" s="58"/>
    </row>
    <row r="910" spans="48:58" ht="12" customHeight="1">
      <c r="AV910" s="5">
        <f t="shared" si="92"/>
        <v>2.4179999999999522</v>
      </c>
      <c r="AW910" s="5">
        <f t="shared" si="87"/>
        <v>2.4826814612159436E-22</v>
      </c>
      <c r="AX910" s="5">
        <v>1</v>
      </c>
      <c r="AY910" s="5" t="e">
        <f t="shared" si="88"/>
        <v>#N/A</v>
      </c>
      <c r="AZ910" s="5" t="e">
        <f t="shared" si="89"/>
        <v>#N/A</v>
      </c>
      <c r="BA910" s="5">
        <f t="shared" si="90"/>
        <v>0.98424756336980501</v>
      </c>
      <c r="BD910" s="5">
        <f t="shared" si="91"/>
        <v>32.182424604302867</v>
      </c>
      <c r="BF910" s="58"/>
    </row>
    <row r="911" spans="48:58" ht="12" customHeight="1">
      <c r="AV911" s="5">
        <f t="shared" si="92"/>
        <v>2.423999999999952</v>
      </c>
      <c r="AW911" s="5">
        <f t="shared" si="87"/>
        <v>1.7963706738031846E-22</v>
      </c>
      <c r="AX911" s="5">
        <v>1</v>
      </c>
      <c r="AY911" s="5" t="e">
        <f t="shared" si="88"/>
        <v>#N/A</v>
      </c>
      <c r="AZ911" s="5" t="e">
        <f t="shared" si="89"/>
        <v>#N/A</v>
      </c>
      <c r="BA911" s="5">
        <f t="shared" si="90"/>
        <v>0.98443400053461694</v>
      </c>
      <c r="BD911" s="5">
        <f t="shared" si="91"/>
        <v>32.564856565301355</v>
      </c>
      <c r="BF911" s="58"/>
    </row>
    <row r="912" spans="48:58" ht="12" customHeight="1">
      <c r="AV912" s="5">
        <f t="shared" si="92"/>
        <v>2.4299999999999518</v>
      </c>
      <c r="AW912" s="5">
        <f t="shared" si="87"/>
        <v>1.2985204017863486E-22</v>
      </c>
      <c r="AX912" s="5">
        <v>1</v>
      </c>
      <c r="AY912" s="5" t="e">
        <f t="shared" si="88"/>
        <v>#N/A</v>
      </c>
      <c r="AZ912" s="5" t="e">
        <f t="shared" si="89"/>
        <v>#N/A</v>
      </c>
      <c r="BA912" s="5">
        <f t="shared" si="90"/>
        <v>0.98461824823698185</v>
      </c>
      <c r="BD912" s="5">
        <f t="shared" si="91"/>
        <v>32.95190592016764</v>
      </c>
      <c r="BF912" s="58"/>
    </row>
    <row r="913" spans="48:58" ht="12" customHeight="1">
      <c r="AV913" s="5">
        <f t="shared" si="92"/>
        <v>2.4359999999999515</v>
      </c>
      <c r="AW913" s="5">
        <f t="shared" si="87"/>
        <v>9.3773357125115124E-23</v>
      </c>
      <c r="AX913" s="5">
        <v>1</v>
      </c>
      <c r="AY913" s="5" t="e">
        <f t="shared" si="88"/>
        <v>#N/A</v>
      </c>
      <c r="AZ913" s="5" t="e">
        <f t="shared" si="89"/>
        <v>#N/A</v>
      </c>
      <c r="BA913" s="5">
        <f t="shared" si="90"/>
        <v>0.98480033178670234</v>
      </c>
      <c r="BD913" s="5">
        <f t="shared" si="91"/>
        <v>33.343628404700887</v>
      </c>
      <c r="BF913" s="58"/>
    </row>
    <row r="914" spans="48:58" ht="12" customHeight="1">
      <c r="AV914" s="5">
        <f t="shared" si="92"/>
        <v>2.4419999999999513</v>
      </c>
      <c r="AW914" s="5">
        <f t="shared" si="87"/>
        <v>6.7653149083519023E-23</v>
      </c>
      <c r="AX914" s="5">
        <v>1</v>
      </c>
      <c r="AY914" s="5" t="e">
        <f t="shared" si="88"/>
        <v>#N/A</v>
      </c>
      <c r="AZ914" s="5" t="e">
        <f t="shared" si="89"/>
        <v>#N/A</v>
      </c>
      <c r="BA914" s="5">
        <f t="shared" si="90"/>
        <v>0.98498027621048179</v>
      </c>
      <c r="BD914" s="5">
        <f t="shared" si="91"/>
        <v>33.740080427616562</v>
      </c>
      <c r="BF914" s="58"/>
    </row>
    <row r="915" spans="48:58" ht="12" customHeight="1">
      <c r="AV915" s="5">
        <f t="shared" si="92"/>
        <v>2.4479999999999511</v>
      </c>
      <c r="AW915" s="5">
        <f t="shared" si="87"/>
        <v>4.8761205618446459E-23</v>
      </c>
      <c r="AX915" s="5">
        <v>1</v>
      </c>
      <c r="AY915" s="5" t="e">
        <f t="shared" si="88"/>
        <v>#N/A</v>
      </c>
      <c r="AZ915" s="5" t="e">
        <f t="shared" si="89"/>
        <v>#N/A</v>
      </c>
      <c r="BA915" s="5">
        <f t="shared" si="90"/>
        <v>0.98515810625486688</v>
      </c>
      <c r="BD915" s="5">
        <f t="shared" si="91"/>
        <v>34.141319078690209</v>
      </c>
      <c r="BF915" s="58"/>
    </row>
    <row r="916" spans="48:58" ht="12" customHeight="1">
      <c r="AV916" s="5">
        <f t="shared" si="92"/>
        <v>2.4539999999999509</v>
      </c>
      <c r="AW916" s="5">
        <f t="shared" si="87"/>
        <v>3.5110637827442158E-23</v>
      </c>
      <c r="AX916" s="5">
        <v>1</v>
      </c>
      <c r="AY916" s="5" t="e">
        <f t="shared" si="88"/>
        <v>#N/A</v>
      </c>
      <c r="AZ916" s="5" t="e">
        <f t="shared" si="89"/>
        <v>#N/A</v>
      </c>
      <c r="BA916" s="5">
        <f t="shared" si="90"/>
        <v>0.98533384638916488</v>
      </c>
      <c r="BD916" s="5">
        <f t="shared" si="91"/>
        <v>34.547402136974107</v>
      </c>
      <c r="BF916" s="58"/>
    </row>
    <row r="917" spans="48:58" ht="12" customHeight="1">
      <c r="AV917" s="5">
        <f t="shared" si="92"/>
        <v>2.4599999999999507</v>
      </c>
      <c r="AW917" s="5">
        <f t="shared" si="87"/>
        <v>2.5256947925914216E-23</v>
      </c>
      <c r="AX917" s="5">
        <v>1</v>
      </c>
      <c r="AY917" s="5" t="e">
        <f t="shared" si="88"/>
        <v>#N/A</v>
      </c>
      <c r="AZ917" s="5" t="e">
        <f t="shared" si="89"/>
        <v>#N/A</v>
      </c>
      <c r="BA917" s="5">
        <f t="shared" si="90"/>
        <v>0.9855075208083357</v>
      </c>
      <c r="BD917" s="5">
        <f t="shared" si="91"/>
        <v>34.958388079129442</v>
      </c>
      <c r="BF917" s="58"/>
    </row>
    <row r="918" spans="48:58" ht="12" customHeight="1">
      <c r="AV918" s="5">
        <f t="shared" si="92"/>
        <v>2.4659999999999505</v>
      </c>
      <c r="AW918" s="5">
        <f t="shared" si="87"/>
        <v>1.8151013691896278E-23</v>
      </c>
      <c r="AX918" s="5">
        <v>1</v>
      </c>
      <c r="AY918" s="5" t="e">
        <f t="shared" si="88"/>
        <v>#N/A</v>
      </c>
      <c r="AZ918" s="5" t="e">
        <f t="shared" si="89"/>
        <v>#N/A</v>
      </c>
      <c r="BA918" s="5">
        <f t="shared" si="90"/>
        <v>0.98567915343585899</v>
      </c>
      <c r="BD918" s="5">
        <f t="shared" si="91"/>
        <v>35.374336087878852</v>
      </c>
      <c r="BF918" s="58"/>
    </row>
    <row r="919" spans="48:58" ht="12" customHeight="1">
      <c r="AV919" s="5">
        <f t="shared" si="92"/>
        <v>2.4719999999999502</v>
      </c>
      <c r="AW919" s="5">
        <f t="shared" si="87"/>
        <v>1.303163074789127E-23</v>
      </c>
      <c r="AX919" s="5">
        <v>1</v>
      </c>
      <c r="AY919" s="5" t="e">
        <f t="shared" si="88"/>
        <v>#N/A</v>
      </c>
      <c r="AZ919" s="5" t="e">
        <f t="shared" si="89"/>
        <v>#N/A</v>
      </c>
      <c r="BA919" s="5">
        <f t="shared" si="90"/>
        <v>0.98584876792657605</v>
      </c>
      <c r="BD919" s="5">
        <f t="shared" si="91"/>
        <v>35.795306060418447</v>
      </c>
      <c r="BF919" s="58"/>
    </row>
    <row r="920" spans="48:58" ht="12" customHeight="1">
      <c r="AV920" s="5">
        <f t="shared" si="92"/>
        <v>2.47799999999995</v>
      </c>
      <c r="AW920" s="5">
        <f t="shared" si="87"/>
        <v>9.3470488580815695E-24</v>
      </c>
      <c r="AX920" s="5">
        <v>1</v>
      </c>
      <c r="AY920" s="5" t="e">
        <f t="shared" si="88"/>
        <v>#N/A</v>
      </c>
      <c r="AZ920" s="5" t="e">
        <f t="shared" si="89"/>
        <v>#N/A</v>
      </c>
      <c r="BA920" s="5">
        <f t="shared" si="90"/>
        <v>0.9860163876695075</v>
      </c>
      <c r="BD920" s="5">
        <f t="shared" si="91"/>
        <v>36.221358617131308</v>
      </c>
      <c r="BF920" s="58"/>
    </row>
    <row r="921" spans="48:58" ht="12" customHeight="1">
      <c r="AV921" s="5">
        <f t="shared" si="92"/>
        <v>2.4839999999999498</v>
      </c>
      <c r="AW921" s="5">
        <f t="shared" si="87"/>
        <v>6.6977375483428191E-24</v>
      </c>
      <c r="AX921" s="5">
        <v>1</v>
      </c>
      <c r="AY921" s="5" t="e">
        <f t="shared" si="88"/>
        <v>#N/A</v>
      </c>
      <c r="AZ921" s="5" t="e">
        <f t="shared" si="89"/>
        <v>#N/A</v>
      </c>
      <c r="BA921" s="5">
        <f t="shared" si="90"/>
        <v>0.98618203579064567</v>
      </c>
      <c r="BD921" s="5">
        <f t="shared" si="91"/>
        <v>36.652555110340622</v>
      </c>
      <c r="BF921" s="58"/>
    </row>
    <row r="922" spans="48:58" ht="12" customHeight="1">
      <c r="AV922" s="5">
        <f t="shared" si="92"/>
        <v>2.4899999999999496</v>
      </c>
      <c r="AW922" s="5">
        <f t="shared" si="87"/>
        <v>4.7946797448513766E-24</v>
      </c>
      <c r="AX922" s="5">
        <v>1</v>
      </c>
      <c r="AY922" s="5" t="e">
        <f t="shared" si="88"/>
        <v>#N/A</v>
      </c>
      <c r="AZ922" s="5" t="e">
        <f t="shared" si="89"/>
        <v>#N/A</v>
      </c>
      <c r="BA922" s="5">
        <f t="shared" si="90"/>
        <v>0.98634573515572233</v>
      </c>
      <c r="BD922" s="5">
        <f t="shared" si="91"/>
        <v>37.088957633143679</v>
      </c>
      <c r="BF922" s="58"/>
    </row>
    <row r="923" spans="48:58" ht="12" customHeight="1">
      <c r="AV923" s="5">
        <f t="shared" si="92"/>
        <v>2.4959999999999494</v>
      </c>
      <c r="AW923" s="5">
        <f t="shared" si="87"/>
        <v>3.4290115554771522E-24</v>
      </c>
      <c r="AX923" s="5">
        <v>1</v>
      </c>
      <c r="AY923" s="5" t="e">
        <f t="shared" si="88"/>
        <v>#N/A</v>
      </c>
      <c r="AZ923" s="5" t="e">
        <f t="shared" si="89"/>
        <v>#N/A</v>
      </c>
      <c r="BA923" s="5">
        <f t="shared" si="90"/>
        <v>0.98650750837295176</v>
      </c>
      <c r="BD923" s="5">
        <f t="shared" si="91"/>
        <v>37.530629028167645</v>
      </c>
      <c r="BF923" s="58"/>
    </row>
    <row r="924" spans="48:58" ht="12" customHeight="1">
      <c r="AV924" s="5">
        <f t="shared" si="92"/>
        <v>2.5019999999999492</v>
      </c>
      <c r="AW924" s="5">
        <f t="shared" si="87"/>
        <v>2.4499440072033202E-24</v>
      </c>
      <c r="AX924" s="5">
        <v>1</v>
      </c>
      <c r="AY924" s="5" t="e">
        <f t="shared" si="88"/>
        <v>#N/A</v>
      </c>
      <c r="AZ924" s="5" t="e">
        <f t="shared" si="89"/>
        <v>#N/A</v>
      </c>
      <c r="BA924" s="5">
        <f t="shared" si="90"/>
        <v>0.98666737779575031</v>
      </c>
      <c r="BD924" s="5">
        <f t="shared" si="91"/>
        <v>37.977632896885581</v>
      </c>
      <c r="BF924" s="58"/>
    </row>
    <row r="925" spans="48:58" ht="12" customHeight="1">
      <c r="AV925" s="5">
        <f t="shared" si="92"/>
        <v>2.5079999999999489</v>
      </c>
      <c r="AW925" s="5">
        <f t="shared" si="87"/>
        <v>1.7487238560097078E-24</v>
      </c>
      <c r="AX925" s="5">
        <v>1</v>
      </c>
      <c r="AY925" s="5" t="e">
        <f t="shared" si="88"/>
        <v>#N/A</v>
      </c>
      <c r="AZ925" s="5" t="e">
        <f t="shared" si="89"/>
        <v>#N/A</v>
      </c>
      <c r="BA925" s="5">
        <f t="shared" si="90"/>
        <v>0.98682536552543032</v>
      </c>
      <c r="BD925" s="5">
        <f t="shared" si="91"/>
        <v>38.430033608670819</v>
      </c>
      <c r="BF925" s="58"/>
    </row>
    <row r="926" spans="48:58" ht="12" customHeight="1">
      <c r="AV926" s="5">
        <f t="shared" si="92"/>
        <v>2.5139999999999487</v>
      </c>
      <c r="AW926" s="5">
        <f t="shared" si="87"/>
        <v>1.2469934617188224E-24</v>
      </c>
      <c r="AX926" s="5">
        <v>1</v>
      </c>
      <c r="AY926" s="5" t="e">
        <f t="shared" si="88"/>
        <v>#N/A</v>
      </c>
      <c r="AZ926" s="5" t="e">
        <f t="shared" si="89"/>
        <v>#N/A</v>
      </c>
      <c r="BA926" s="5">
        <f t="shared" si="90"/>
        <v>0.98698149341387031</v>
      </c>
      <c r="BD926" s="5">
        <f t="shared" si="91"/>
        <v>38.88789630997401</v>
      </c>
      <c r="BF926" s="58"/>
    </row>
    <row r="927" spans="48:58" ht="12" customHeight="1">
      <c r="AV927" s="5">
        <f t="shared" si="92"/>
        <v>2.5199999999999485</v>
      </c>
      <c r="AW927" s="5">
        <f t="shared" si="87"/>
        <v>8.883517941730998E-25</v>
      </c>
      <c r="AX927" s="5">
        <v>1</v>
      </c>
      <c r="AY927" s="5" t="e">
        <f t="shared" si="88"/>
        <v>#N/A</v>
      </c>
      <c r="AZ927" s="5" t="e">
        <f t="shared" si="89"/>
        <v>#N/A</v>
      </c>
      <c r="BA927" s="5">
        <f t="shared" si="90"/>
        <v>0.98713578306616145</v>
      </c>
      <c r="BD927" s="5">
        <f t="shared" si="91"/>
        <v>39.351286933828703</v>
      </c>
      <c r="BF927" s="58"/>
    </row>
    <row r="928" spans="48:58" ht="12" customHeight="1">
      <c r="AV928" s="5">
        <f t="shared" si="92"/>
        <v>2.5259999999999483</v>
      </c>
      <c r="AW928" s="5">
        <f t="shared" si="87"/>
        <v>6.3224245748606672E-25</v>
      </c>
      <c r="AX928" s="5">
        <v>1</v>
      </c>
      <c r="AY928" s="5" t="e">
        <f t="shared" si="88"/>
        <v>#N/A</v>
      </c>
      <c r="AZ928" s="5" t="e">
        <f t="shared" si="89"/>
        <v>#N/A</v>
      </c>
      <c r="BA928" s="5">
        <f t="shared" si="90"/>
        <v>0.98728825584322943</v>
      </c>
      <c r="BD928" s="5">
        <f t="shared" si="91"/>
        <v>39.820272209226168</v>
      </c>
      <c r="BF928" s="58"/>
    </row>
    <row r="929" spans="48:58" ht="12" customHeight="1">
      <c r="AV929" s="5">
        <f t="shared" si="92"/>
        <v>2.5319999999999481</v>
      </c>
      <c r="AW929" s="5">
        <f t="shared" si="87"/>
        <v>4.4953156887325661E-25</v>
      </c>
      <c r="AX929" s="5">
        <v>1</v>
      </c>
      <c r="AY929" s="5" t="e">
        <f t="shared" si="88"/>
        <v>#N/A</v>
      </c>
      <c r="AZ929" s="5" t="e">
        <f t="shared" si="89"/>
        <v>#N/A</v>
      </c>
      <c r="BA929" s="5">
        <f t="shared" si="90"/>
        <v>0.98743893286443296</v>
      </c>
      <c r="BD929" s="5">
        <f t="shared" si="91"/>
        <v>40.294919670919775</v>
      </c>
      <c r="BF929" s="58"/>
    </row>
    <row r="930" spans="48:58" ht="12" customHeight="1">
      <c r="AV930" s="5">
        <f t="shared" si="92"/>
        <v>2.5379999999999479</v>
      </c>
      <c r="AW930" s="5">
        <f t="shared" si="87"/>
        <v>3.193115299723014E-25</v>
      </c>
      <c r="AX930" s="5">
        <v>1</v>
      </c>
      <c r="AY930" s="5" t="e">
        <f t="shared" si="88"/>
        <v>#N/A</v>
      </c>
      <c r="AZ930" s="5" t="e">
        <f t="shared" si="89"/>
        <v>#N/A</v>
      </c>
      <c r="BA930" s="5">
        <f t="shared" si="90"/>
        <v>0.98758783501013769</v>
      </c>
      <c r="BD930" s="5">
        <f t="shared" si="91"/>
        <v>40.775297668946301</v>
      </c>
      <c r="BF930" s="58"/>
    </row>
    <row r="931" spans="48:58" ht="12" customHeight="1">
      <c r="AV931" s="5">
        <f t="shared" si="92"/>
        <v>2.5439999999999476</v>
      </c>
      <c r="AW931" s="5">
        <f t="shared" si="87"/>
        <v>2.2659319922891786E-25</v>
      </c>
      <c r="AX931" s="5">
        <v>1</v>
      </c>
      <c r="AY931" s="5" t="e">
        <f t="shared" si="88"/>
        <v>#N/A</v>
      </c>
      <c r="AZ931" s="5" t="e">
        <f t="shared" si="89"/>
        <v>#N/A</v>
      </c>
      <c r="BA931" s="5">
        <f t="shared" si="90"/>
        <v>0.98773498292426731</v>
      </c>
      <c r="BD931" s="5">
        <f t="shared" si="91"/>
        <v>41.261475378615607</v>
      </c>
      <c r="BF931" s="58"/>
    </row>
    <row r="932" spans="48:58" ht="12" customHeight="1">
      <c r="AV932" s="5">
        <f t="shared" si="92"/>
        <v>2.5499999999999474</v>
      </c>
      <c r="AW932" s="5">
        <f t="shared" si="87"/>
        <v>1.6064122506179089E-25</v>
      </c>
      <c r="AX932" s="5">
        <v>1</v>
      </c>
      <c r="AY932" s="5" t="e">
        <f t="shared" si="88"/>
        <v>#N/A</v>
      </c>
      <c r="AZ932" s="5" t="e">
        <f t="shared" si="89"/>
        <v>#N/A</v>
      </c>
      <c r="BA932" s="5">
        <f t="shared" si="90"/>
        <v>0.9878803970168305</v>
      </c>
      <c r="BD932" s="5">
        <f t="shared" si="91"/>
        <v>41.753522810258197</v>
      </c>
      <c r="BF932" s="58"/>
    </row>
    <row r="933" spans="48:58" ht="12" customHeight="1">
      <c r="AV933" s="5">
        <f t="shared" si="92"/>
        <v>2.5559999999999472</v>
      </c>
      <c r="AW933" s="5">
        <f t="shared" si="87"/>
        <v>1.1377451934654016E-25</v>
      </c>
      <c r="AX933" s="5">
        <v>1</v>
      </c>
      <c r="AY933" s="5" t="e">
        <f t="shared" si="88"/>
        <v>#N/A</v>
      </c>
      <c r="AZ933" s="5" t="e">
        <f t="shared" si="89"/>
        <v>#N/A</v>
      </c>
      <c r="BA933" s="5">
        <f t="shared" si="90"/>
        <v>0.98802409746642528</v>
      </c>
      <c r="BD933" s="5">
        <f t="shared" si="91"/>
        <v>42.251510819627967</v>
      </c>
      <c r="BF933" s="58"/>
    </row>
    <row r="934" spans="48:58" ht="12" customHeight="1">
      <c r="AV934" s="5">
        <f t="shared" si="92"/>
        <v>2.561999999999947</v>
      </c>
      <c r="AW934" s="5">
        <f t="shared" si="87"/>
        <v>8.050277983891489E-26</v>
      </c>
      <c r="AX934" s="5">
        <v>1</v>
      </c>
      <c r="AY934" s="5" t="e">
        <f t="shared" si="88"/>
        <v>#N/A</v>
      </c>
      <c r="AZ934" s="5" t="e">
        <f t="shared" si="89"/>
        <v>#N/A</v>
      </c>
      <c r="BA934" s="5">
        <f t="shared" si="90"/>
        <v>0.98816610422271889</v>
      </c>
      <c r="BD934" s="5">
        <f t="shared" si="91"/>
        <v>42.755511117837003</v>
      </c>
      <c r="BF934" s="58"/>
    </row>
    <row r="935" spans="48:58" ht="12" customHeight="1">
      <c r="AV935" s="5">
        <f t="shared" si="92"/>
        <v>2.5679999999999468</v>
      </c>
      <c r="AW935" s="5">
        <f t="shared" si="87"/>
        <v>5.6905548108541527E-26</v>
      </c>
      <c r="AX935" s="5">
        <v>1</v>
      </c>
      <c r="AY935" s="5" t="e">
        <f t="shared" si="88"/>
        <v>#N/A</v>
      </c>
      <c r="AZ935" s="5" t="e">
        <f t="shared" si="89"/>
        <v>#N/A</v>
      </c>
      <c r="BA935" s="5">
        <f t="shared" si="90"/>
        <v>0.98830643700890553</v>
      </c>
      <c r="BD935" s="5">
        <f t="shared" si="91"/>
        <v>43.26559628179519</v>
      </c>
      <c r="BF935" s="58"/>
    </row>
    <row r="936" spans="48:58" ht="12" customHeight="1">
      <c r="AV936" s="5">
        <f t="shared" si="92"/>
        <v>2.5739999999999466</v>
      </c>
      <c r="AW936" s="5">
        <f t="shared" si="87"/>
        <v>4.018613233710162E-26</v>
      </c>
      <c r="AX936" s="5">
        <v>1</v>
      </c>
      <c r="AY936" s="5" t="e">
        <f t="shared" si="88"/>
        <v>#N/A</v>
      </c>
      <c r="AZ936" s="5" t="e">
        <f t="shared" si="89"/>
        <v>#N/A</v>
      </c>
      <c r="BA936" s="5">
        <f t="shared" si="90"/>
        <v>0.98844511532414059</v>
      </c>
      <c r="BD936" s="5">
        <f t="shared" si="91"/>
        <v>43.78183976465656</v>
      </c>
      <c r="BF936" s="58"/>
    </row>
    <row r="937" spans="48:58" ht="12" customHeight="1">
      <c r="AV937" s="5">
        <f t="shared" si="92"/>
        <v>2.5799999999999463</v>
      </c>
      <c r="AW937" s="5">
        <f t="shared" si="87"/>
        <v>2.8351476106383711E-26</v>
      </c>
      <c r="AX937" s="5">
        <v>1</v>
      </c>
      <c r="AY937" s="5" t="e">
        <f t="shared" si="88"/>
        <v>#N/A</v>
      </c>
      <c r="AZ937" s="5" t="e">
        <f t="shared" si="89"/>
        <v>#N/A</v>
      </c>
      <c r="BA937" s="5">
        <f t="shared" si="90"/>
        <v>0.9885821584459521</v>
      </c>
      <c r="BD937" s="5">
        <f t="shared" si="91"/>
        <v>44.304315906362099</v>
      </c>
      <c r="BF937" s="58"/>
    </row>
    <row r="938" spans="48:58" ht="12" customHeight="1">
      <c r="AV938" s="5">
        <f t="shared" si="92"/>
        <v>2.5859999999999461</v>
      </c>
      <c r="AW938" s="5">
        <f t="shared" si="87"/>
        <v>1.9982646516947625E-26</v>
      </c>
      <c r="AX938" s="5">
        <v>1</v>
      </c>
      <c r="AY938" s="5" t="e">
        <f t="shared" si="88"/>
        <v>#N/A</v>
      </c>
      <c r="AZ938" s="5" t="e">
        <f t="shared" si="89"/>
        <v>#N/A</v>
      </c>
      <c r="BA938" s="5">
        <f t="shared" si="90"/>
        <v>0.98871758543262944</v>
      </c>
      <c r="BD938" s="5">
        <f t="shared" si="91"/>
        <v>44.83309994442498</v>
      </c>
      <c r="BF938" s="58"/>
    </row>
    <row r="939" spans="48:58" ht="12" customHeight="1">
      <c r="AV939" s="5">
        <f t="shared" si="92"/>
        <v>2.5919999999999459</v>
      </c>
      <c r="AW939" s="5">
        <f t="shared" si="87"/>
        <v>1.4070456977374125E-26</v>
      </c>
      <c r="AX939" s="5">
        <v>1</v>
      </c>
      <c r="AY939" s="5" t="e">
        <f t="shared" si="88"/>
        <v>#N/A</v>
      </c>
      <c r="AZ939" s="5" t="e">
        <f t="shared" si="89"/>
        <v>#N/A</v>
      </c>
      <c r="BA939" s="5">
        <f t="shared" si="90"/>
        <v>0.98885141512558927</v>
      </c>
      <c r="BD939" s="5">
        <f t="shared" si="91"/>
        <v>45.368268024598947</v>
      </c>
      <c r="BF939" s="58"/>
    </row>
    <row r="940" spans="48:58" ht="12" customHeight="1">
      <c r="AV940" s="5">
        <f t="shared" si="92"/>
        <v>2.5979999999999457</v>
      </c>
      <c r="AW940" s="5">
        <f t="shared" si="87"/>
        <v>9.8978590495969846E-27</v>
      </c>
      <c r="AX940" s="5">
        <v>1</v>
      </c>
      <c r="AY940" s="5" t="e">
        <f t="shared" si="88"/>
        <v>#N/A</v>
      </c>
      <c r="AZ940" s="5" t="e">
        <f t="shared" si="89"/>
        <v>#N/A</v>
      </c>
      <c r="BA940" s="5">
        <f t="shared" si="90"/>
        <v>0.9889836661517194</v>
      </c>
      <c r="BD940" s="5">
        <f t="shared" si="91"/>
        <v>45.909897212013661</v>
      </c>
      <c r="BF940" s="58"/>
    </row>
    <row r="941" spans="48:58" ht="12" customHeight="1">
      <c r="AV941" s="5">
        <f t="shared" si="92"/>
        <v>2.6039999999999455</v>
      </c>
      <c r="AW941" s="5">
        <f t="shared" si="87"/>
        <v>6.9558817930802641E-27</v>
      </c>
      <c r="AX941" s="5">
        <v>1</v>
      </c>
      <c r="AY941" s="5" t="e">
        <f t="shared" si="88"/>
        <v>#N/A</v>
      </c>
      <c r="AZ941" s="5" t="e">
        <f t="shared" si="89"/>
        <v>#N/A</v>
      </c>
      <c r="BA941" s="5">
        <f t="shared" si="90"/>
        <v>0.98911435692569982</v>
      </c>
      <c r="BD941" s="5">
        <f t="shared" si="91"/>
        <v>46.458065502278366</v>
      </c>
      <c r="BF941" s="58"/>
    </row>
    <row r="942" spans="48:58" ht="12" customHeight="1">
      <c r="AV942" s="5">
        <f t="shared" si="92"/>
        <v>2.6099999999999453</v>
      </c>
      <c r="AW942" s="5">
        <f t="shared" si="87"/>
        <v>4.8836101418179855E-27</v>
      </c>
      <c r="AX942" s="5">
        <v>1</v>
      </c>
      <c r="AY942" s="5" t="e">
        <f t="shared" si="88"/>
        <v>#N/A</v>
      </c>
      <c r="AZ942" s="5" t="e">
        <f t="shared" si="89"/>
        <v>#N/A</v>
      </c>
      <c r="BA942" s="5">
        <f t="shared" si="90"/>
        <v>0.98924350565230157</v>
      </c>
      <c r="BD942" s="5">
        <f t="shared" si="91"/>
        <v>47.012851832485339</v>
      </c>
      <c r="BF942" s="58"/>
    </row>
    <row r="943" spans="48:58" ht="12" customHeight="1">
      <c r="AV943" s="5">
        <f t="shared" si="92"/>
        <v>2.615999999999945</v>
      </c>
      <c r="AW943" s="5">
        <f t="shared" si="87"/>
        <v>3.4253712370200297E-27</v>
      </c>
      <c r="AX943" s="5">
        <v>1</v>
      </c>
      <c r="AY943" s="5" t="e">
        <f t="shared" si="88"/>
        <v>#N/A</v>
      </c>
      <c r="AZ943" s="5" t="e">
        <f t="shared" si="89"/>
        <v>#N/A</v>
      </c>
      <c r="BA943" s="5">
        <f t="shared" si="90"/>
        <v>0.98937113032866408</v>
      </c>
      <c r="BD943" s="5">
        <f t="shared" si="91"/>
        <v>47.574336092871476</v>
      </c>
      <c r="BF943" s="58"/>
    </row>
    <row r="944" spans="48:58" ht="12" customHeight="1">
      <c r="AV944" s="5">
        <f t="shared" si="92"/>
        <v>2.6219999999999448</v>
      </c>
      <c r="AW944" s="5">
        <f t="shared" si="87"/>
        <v>2.4002261999758191E-27</v>
      </c>
      <c r="AX944" s="5">
        <v>1</v>
      </c>
      <c r="AY944" s="5" t="e">
        <f t="shared" si="88"/>
        <v>#N/A</v>
      </c>
      <c r="AZ944" s="5" t="e">
        <f t="shared" si="89"/>
        <v>#N/A</v>
      </c>
      <c r="BA944" s="5">
        <f t="shared" si="90"/>
        <v>0.98949724874654987</v>
      </c>
      <c r="BD944" s="5">
        <f t="shared" si="91"/>
        <v>48.142599138158495</v>
      </c>
      <c r="BF944" s="58"/>
    </row>
    <row r="945" spans="48:58" ht="12" customHeight="1">
      <c r="AV945" s="5">
        <f t="shared" si="92"/>
        <v>2.6279999999999446</v>
      </c>
      <c r="AW945" s="5">
        <f t="shared" si="87"/>
        <v>1.6802525501610974E-27</v>
      </c>
      <c r="AX945" s="5">
        <v>1</v>
      </c>
      <c r="AY945" s="5" t="e">
        <f t="shared" si="88"/>
        <v>#N/A</v>
      </c>
      <c r="AZ945" s="5" t="e">
        <f t="shared" si="89"/>
        <v>#N/A</v>
      </c>
      <c r="BA945" s="5">
        <f t="shared" si="90"/>
        <v>0.98962187849457783</v>
      </c>
      <c r="BD945" s="5">
        <f t="shared" si="91"/>
        <v>48.717722799195698</v>
      </c>
      <c r="BF945" s="58"/>
    </row>
    <row r="946" spans="48:58" ht="12" customHeight="1">
      <c r="AV946" s="5">
        <f t="shared" si="92"/>
        <v>2.6339999999999444</v>
      </c>
      <c r="AW946" s="5">
        <f t="shared" si="87"/>
        <v>1.1750999834635067E-27</v>
      </c>
      <c r="AX946" s="5">
        <v>1</v>
      </c>
      <c r="AY946" s="5" t="e">
        <f t="shared" si="88"/>
        <v>#N/A</v>
      </c>
      <c r="AZ946" s="5" t="e">
        <f t="shared" si="89"/>
        <v>#N/A</v>
      </c>
      <c r="BA946" s="5">
        <f t="shared" si="90"/>
        <v>0.98974503696043492</v>
      </c>
      <c r="BD946" s="5">
        <f t="shared" si="91"/>
        <v>49.29978989471207</v>
      </c>
      <c r="BF946" s="58"/>
    </row>
    <row r="947" spans="48:58" ht="12" customHeight="1">
      <c r="AV947" s="5">
        <f t="shared" si="92"/>
        <v>2.6399999999999442</v>
      </c>
      <c r="AW947" s="5">
        <f t="shared" si="87"/>
        <v>8.21018499396205E-28</v>
      </c>
      <c r="AX947" s="5">
        <v>1</v>
      </c>
      <c r="AY947" s="5" t="e">
        <f t="shared" si="88"/>
        <v>#N/A</v>
      </c>
      <c r="AZ947" s="5" t="e">
        <f t="shared" si="89"/>
        <v>#N/A</v>
      </c>
      <c r="BA947" s="5">
        <f t="shared" si="90"/>
        <v>0.9898667413330664</v>
      </c>
      <c r="BD947" s="5">
        <f t="shared" si="91"/>
        <v>49.888884243496854</v>
      </c>
      <c r="BF947" s="58"/>
    </row>
    <row r="948" spans="48:58" ht="12" customHeight="1">
      <c r="AV948" s="5">
        <f t="shared" si="92"/>
        <v>2.645999999999944</v>
      </c>
      <c r="AW948" s="5">
        <f t="shared" si="87"/>
        <v>5.7307165923952515E-28</v>
      </c>
      <c r="AX948" s="5">
        <v>1</v>
      </c>
      <c r="AY948" s="5" t="e">
        <f t="shared" si="88"/>
        <v>#N/A</v>
      </c>
      <c r="AZ948" s="5" t="e">
        <f t="shared" si="89"/>
        <v>#N/A</v>
      </c>
      <c r="BA948" s="5">
        <f t="shared" si="90"/>
        <v>0.98998700860484412</v>
      </c>
      <c r="BD948" s="5">
        <f t="shared" si="91"/>
        <v>50.485090676068729</v>
      </c>
      <c r="BF948" s="58"/>
    </row>
    <row r="949" spans="48:58" ht="12" customHeight="1">
      <c r="AV949" s="5">
        <f t="shared" si="92"/>
        <v>2.6519999999999437</v>
      </c>
      <c r="AW949" s="5">
        <f t="shared" si="87"/>
        <v>3.9961592380473835E-28</v>
      </c>
      <c r="AX949" s="5">
        <v>1</v>
      </c>
      <c r="AY949" s="5" t="e">
        <f t="shared" si="88"/>
        <v>#N/A</v>
      </c>
      <c r="AZ949" s="5" t="e">
        <f t="shared" si="89"/>
        <v>#N/A</v>
      </c>
      <c r="BA949" s="5">
        <f t="shared" si="90"/>
        <v>0.99010585557371456</v>
      </c>
      <c r="BD949" s="5">
        <f t="shared" si="91"/>
        <v>51.088495047219432</v>
      </c>
      <c r="BF949" s="58"/>
    </row>
    <row r="950" spans="48:58" ht="12" customHeight="1">
      <c r="AV950" s="5">
        <f t="shared" si="92"/>
        <v>2.6579999999999435</v>
      </c>
      <c r="AW950" s="5">
        <f t="shared" si="87"/>
        <v>2.7839056061068621E-28</v>
      </c>
      <c r="AX950" s="5">
        <v>1</v>
      </c>
      <c r="AY950" s="5" t="e">
        <f t="shared" si="88"/>
        <v>#N/A</v>
      </c>
      <c r="AZ950" s="5" t="e">
        <f t="shared" si="89"/>
        <v>#N/A</v>
      </c>
      <c r="BA950" s="5">
        <f t="shared" si="90"/>
        <v>0.99022329884532501</v>
      </c>
      <c r="BD950" s="5">
        <f t="shared" si="91"/>
        <v>51.699184248226167</v>
      </c>
      <c r="BF950" s="58"/>
    </row>
    <row r="951" spans="48:58" ht="12" customHeight="1">
      <c r="AV951" s="5">
        <f t="shared" si="92"/>
        <v>2.6639999999999433</v>
      </c>
      <c r="AW951" s="5">
        <f t="shared" si="87"/>
        <v>1.9375106184803209E-28</v>
      </c>
      <c r="AX951" s="5">
        <v>1</v>
      </c>
      <c r="AY951" s="5" t="e">
        <f t="shared" si="88"/>
        <v>#N/A</v>
      </c>
      <c r="AZ951" s="5" t="e">
        <f t="shared" si="89"/>
        <v>#N/A</v>
      </c>
      <c r="BA951" s="5">
        <f t="shared" si="90"/>
        <v>0.99033935483512925</v>
      </c>
      <c r="BD951" s="5">
        <f t="shared" si="91"/>
        <v>52.317246219308402</v>
      </c>
      <c r="BF951" s="58"/>
    </row>
    <row r="952" spans="48:58" ht="12" customHeight="1">
      <c r="AV952" s="5">
        <f t="shared" si="92"/>
        <v>2.6699999999999431</v>
      </c>
      <c r="AW952" s="5">
        <f t="shared" si="87"/>
        <v>1.3471363125200577E-28</v>
      </c>
      <c r="AX952" s="5">
        <v>1</v>
      </c>
      <c r="AY952" s="5" t="e">
        <f t="shared" si="88"/>
        <v>#N/A</v>
      </c>
      <c r="AZ952" s="5" t="e">
        <f t="shared" si="89"/>
        <v>#N/A</v>
      </c>
      <c r="BA952" s="5">
        <f t="shared" si="90"/>
        <v>0.99045403977047253</v>
      </c>
      <c r="BD952" s="5">
        <f t="shared" si="91"/>
        <v>52.942769962556731</v>
      </c>
      <c r="BF952" s="58"/>
    </row>
    <row r="953" spans="48:58" ht="12" customHeight="1">
      <c r="AV953" s="5">
        <f t="shared" si="92"/>
        <v>2.6759999999999429</v>
      </c>
      <c r="AW953" s="5">
        <f t="shared" si="87"/>
        <v>9.3574358855931527E-29</v>
      </c>
      <c r="AX953" s="5">
        <v>1</v>
      </c>
      <c r="AY953" s="5" t="e">
        <f t="shared" si="88"/>
        <v>#N/A</v>
      </c>
      <c r="AZ953" s="5" t="e">
        <f t="shared" si="89"/>
        <v>#N/A</v>
      </c>
      <c r="BA953" s="5">
        <f t="shared" si="90"/>
        <v>0.99056736969265535</v>
      </c>
      <c r="BD953" s="5">
        <f t="shared" si="91"/>
        <v>53.575845554487401</v>
      </c>
      <c r="BF953" s="58"/>
    </row>
    <row r="954" spans="48:58" ht="12" customHeight="1">
      <c r="AV954" s="5">
        <f t="shared" si="92"/>
        <v>2.6819999999999427</v>
      </c>
      <c r="AW954" s="5">
        <f t="shared" si="87"/>
        <v>6.4935179171270687E-29</v>
      </c>
      <c r="AX954" s="5">
        <v>1</v>
      </c>
      <c r="AY954" s="5" t="e">
        <f t="shared" si="88"/>
        <v>#N/A</v>
      </c>
      <c r="AZ954" s="5" t="e">
        <f t="shared" si="89"/>
        <v>#N/A</v>
      </c>
      <c r="BA954" s="5">
        <f t="shared" si="90"/>
        <v>0.99067936045897742</v>
      </c>
      <c r="BD954" s="5">
        <f t="shared" si="91"/>
        <v>54.216564158948444</v>
      </c>
      <c r="BF954" s="58"/>
    </row>
    <row r="955" spans="48:58" ht="12" customHeight="1">
      <c r="AV955" s="5">
        <f t="shared" si="92"/>
        <v>2.6879999999999424</v>
      </c>
      <c r="AW955" s="5">
        <f t="shared" si="87"/>
        <v>4.5017470847956305E-29</v>
      </c>
      <c r="AX955" s="5">
        <v>1</v>
      </c>
      <c r="AY955" s="5" t="e">
        <f t="shared" si="88"/>
        <v>#N/A</v>
      </c>
      <c r="AZ955" s="5" t="e">
        <f t="shared" si="89"/>
        <v>#N/A</v>
      </c>
      <c r="BA955" s="5">
        <f t="shared" si="90"/>
        <v>0.99079002774476133</v>
      </c>
      <c r="BD955" s="5">
        <f t="shared" si="91"/>
        <v>54.865018040694444</v>
      </c>
      <c r="BF955" s="58"/>
    </row>
    <row r="956" spans="48:58" ht="12" customHeight="1">
      <c r="AV956" s="5">
        <f t="shared" si="92"/>
        <v>2.6939999999999422</v>
      </c>
      <c r="AW956" s="5">
        <f t="shared" si="87"/>
        <v>3.1178843821878903E-29</v>
      </c>
      <c r="AX956" s="5">
        <v>1</v>
      </c>
      <c r="AY956" s="5" t="e">
        <f t="shared" si="88"/>
        <v>#N/A</v>
      </c>
      <c r="AZ956" s="5" t="e">
        <f t="shared" si="89"/>
        <v>#N/A</v>
      </c>
      <c r="BA956" s="5">
        <f t="shared" si="90"/>
        <v>0.99089938704535518</v>
      </c>
      <c r="BD956" s="5">
        <f t="shared" si="91"/>
        <v>55.521300578007683</v>
      </c>
      <c r="BF956" s="58"/>
    </row>
    <row r="957" spans="48:58" ht="12" customHeight="1">
      <c r="AV957" s="5">
        <f t="shared" si="92"/>
        <v>2.699999999999942</v>
      </c>
      <c r="AW957" s="5">
        <f t="shared" si="87"/>
        <v>2.157331013749503E-29</v>
      </c>
      <c r="AX957" s="5">
        <v>1</v>
      </c>
      <c r="AY957" s="5" t="e">
        <f t="shared" si="88"/>
        <v>#N/A</v>
      </c>
      <c r="AZ957" s="5" t="e">
        <f t="shared" si="89"/>
        <v>#N/A</v>
      </c>
      <c r="BA957" s="5">
        <f t="shared" si="90"/>
        <v>0.9910074536781166</v>
      </c>
      <c r="BD957" s="5">
        <f t="shared" si="91"/>
        <v>56.185506276920265</v>
      </c>
      <c r="BF957" s="58"/>
    </row>
    <row r="958" spans="48:58" ht="12" customHeight="1">
      <c r="AV958" s="5">
        <f t="shared" si="92"/>
        <v>2.7059999999999418</v>
      </c>
      <c r="AW958" s="5">
        <f t="shared" si="87"/>
        <v>1.4912533525426737E-29</v>
      </c>
      <c r="AX958" s="5">
        <v>1</v>
      </c>
      <c r="AY958" s="5" t="e">
        <f t="shared" si="88"/>
        <v>#N/A</v>
      </c>
      <c r="AZ958" s="5" t="e">
        <f t="shared" si="89"/>
        <v>#N/A</v>
      </c>
      <c r="BA958" s="5">
        <f t="shared" si="90"/>
        <v>0.99111424278437521</v>
      </c>
      <c r="BD958" s="5">
        <f t="shared" si="91"/>
        <v>56.857730784000232</v>
      </c>
      <c r="BF958" s="58"/>
    </row>
    <row r="959" spans="48:58" ht="12" customHeight="1">
      <c r="AV959" s="5">
        <f t="shared" si="92"/>
        <v>2.7119999999999416</v>
      </c>
      <c r="AW959" s="5">
        <f t="shared" si="87"/>
        <v>1.0298262196921517E-29</v>
      </c>
      <c r="AX959" s="5">
        <v>1</v>
      </c>
      <c r="AY959" s="5" t="e">
        <f t="shared" si="88"/>
        <v>#N/A</v>
      </c>
      <c r="AZ959" s="5" t="e">
        <f t="shared" si="89"/>
        <v>#N/A</v>
      </c>
      <c r="BA959" s="5">
        <f t="shared" si="90"/>
        <v>0.99121976933137712</v>
      </c>
      <c r="BD959" s="5">
        <f t="shared" si="91"/>
        <v>57.538070900916544</v>
      </c>
      <c r="BF959" s="58"/>
    </row>
    <row r="960" spans="48:58" ht="12" customHeight="1">
      <c r="AV960" s="5">
        <f t="shared" si="92"/>
        <v>2.7179999999999414</v>
      </c>
      <c r="AW960" s="5">
        <f t="shared" si="87"/>
        <v>7.104840333955669E-30</v>
      </c>
      <c r="AX960" s="5">
        <v>1</v>
      </c>
      <c r="AY960" s="5" t="e">
        <f t="shared" si="88"/>
        <v>#N/A</v>
      </c>
      <c r="AZ960" s="5" t="e">
        <f t="shared" si="89"/>
        <v>#N/A</v>
      </c>
      <c r="BA960" s="5">
        <f t="shared" si="90"/>
        <v>0.99132404811420827</v>
      </c>
      <c r="BD960" s="5">
        <f t="shared" si="91"/>
        <v>58.226624597742273</v>
      </c>
      <c r="BF960" s="58"/>
    </row>
    <row r="961" spans="48:58" ht="12" customHeight="1">
      <c r="AV961" s="5">
        <f t="shared" si="92"/>
        <v>2.7239999999999411</v>
      </c>
      <c r="AW961" s="5">
        <f t="shared" si="87"/>
        <v>4.8969150031075773E-30</v>
      </c>
      <c r="AX961" s="5">
        <v>1</v>
      </c>
      <c r="AY961" s="5" t="e">
        <f t="shared" si="88"/>
        <v>#N/A</v>
      </c>
      <c r="AZ961" s="5" t="e">
        <f t="shared" si="89"/>
        <v>#N/A</v>
      </c>
      <c r="BA961" s="5">
        <f t="shared" si="90"/>
        <v>0.99142709375769955</v>
      </c>
      <c r="BD961" s="5">
        <f t="shared" si="91"/>
        <v>58.923491027381644</v>
      </c>
      <c r="BF961" s="58"/>
    </row>
    <row r="962" spans="48:58" ht="12" customHeight="1">
      <c r="AV962" s="5">
        <f t="shared" si="92"/>
        <v>2.7299999999999409</v>
      </c>
      <c r="AW962" s="5">
        <f t="shared" si="87"/>
        <v>3.3718533285748013E-30</v>
      </c>
      <c r="AX962" s="5">
        <v>1</v>
      </c>
      <c r="AY962" s="5" t="e">
        <f t="shared" si="88"/>
        <v>#N/A</v>
      </c>
      <c r="AZ962" s="5" t="e">
        <f t="shared" si="89"/>
        <v>#N/A</v>
      </c>
      <c r="BA962" s="5">
        <f t="shared" si="90"/>
        <v>0.99152892071831211</v>
      </c>
      <c r="BD962" s="5">
        <f t="shared" si="91"/>
        <v>59.628770539778756</v>
      </c>
      <c r="BF962" s="58"/>
    </row>
    <row r="963" spans="48:58" ht="12" customHeight="1">
      <c r="AV963" s="5">
        <f t="shared" si="92"/>
        <v>2.7359999999999407</v>
      </c>
      <c r="AW963" s="5">
        <f t="shared" si="87"/>
        <v>2.3194907772488653E-30</v>
      </c>
      <c r="AX963" s="5">
        <v>1</v>
      </c>
      <c r="AY963" s="5" t="e">
        <f t="shared" si="88"/>
        <v>#N/A</v>
      </c>
      <c r="AZ963" s="5" t="e">
        <f t="shared" si="89"/>
        <v>#N/A</v>
      </c>
      <c r="BA963" s="5">
        <f t="shared" si="90"/>
        <v>0.99162954328600361</v>
      </c>
      <c r="BD963" s="5">
        <f t="shared" si="91"/>
        <v>60.342564696446878</v>
      </c>
      <c r="BF963" s="58"/>
    </row>
    <row r="964" spans="48:58" ht="12" customHeight="1">
      <c r="AV964" s="5">
        <f t="shared" si="92"/>
        <v>2.7419999999999405</v>
      </c>
      <c r="AW964" s="5">
        <f t="shared" si="87"/>
        <v>1.5940226594200521E-30</v>
      </c>
      <c r="AX964" s="5">
        <v>1</v>
      </c>
      <c r="AY964" s="5" t="e">
        <f t="shared" si="88"/>
        <v>#N/A</v>
      </c>
      <c r="AZ964" s="5" t="e">
        <f t="shared" si="89"/>
        <v>#N/A</v>
      </c>
      <c r="BA964" s="5">
        <f t="shared" si="90"/>
        <v>0.99172897558607542</v>
      </c>
      <c r="BD964" s="5">
        <f t="shared" si="91"/>
        <v>61.064976285070209</v>
      </c>
      <c r="BF964" s="58"/>
    </row>
    <row r="965" spans="48:58" ht="12" customHeight="1">
      <c r="AV965" s="5">
        <f t="shared" si="92"/>
        <v>2.7479999999999403</v>
      </c>
      <c r="AW965" s="5">
        <f t="shared" si="87"/>
        <v>1.0943952443144673E-30</v>
      </c>
      <c r="AX965" s="5">
        <v>1</v>
      </c>
      <c r="AY965" s="5" t="e">
        <f t="shared" si="88"/>
        <v>#N/A</v>
      </c>
      <c r="AZ965" s="5" t="e">
        <f t="shared" si="89"/>
        <v>#N/A</v>
      </c>
      <c r="BA965" s="5">
        <f t="shared" si="90"/>
        <v>0.99182723158100106</v>
      </c>
      <c r="BD965" s="5">
        <f t="shared" si="91"/>
        <v>61.796109333950028</v>
      </c>
      <c r="BF965" s="58"/>
    </row>
    <row r="966" spans="48:58" ht="12" customHeight="1">
      <c r="AV966" s="5">
        <f t="shared" si="92"/>
        <v>2.7539999999999401</v>
      </c>
      <c r="AW966" s="5">
        <f t="shared" si="87"/>
        <v>7.5064011416901984E-31</v>
      </c>
      <c r="AX966" s="5">
        <v>1</v>
      </c>
      <c r="AY966" s="5" t="e">
        <f t="shared" si="88"/>
        <v>#N/A</v>
      </c>
      <c r="AZ966" s="5" t="e">
        <f t="shared" si="89"/>
        <v>#N/A</v>
      </c>
      <c r="BA966" s="5">
        <f t="shared" si="90"/>
        <v>0.99192432507223649</v>
      </c>
      <c r="BD966" s="5">
        <f t="shared" si="91"/>
        <v>62.536069127688869</v>
      </c>
      <c r="BF966" s="58"/>
    </row>
    <row r="967" spans="48:58" ht="12" customHeight="1">
      <c r="AV967" s="5">
        <f t="shared" si="92"/>
        <v>2.7599999999999398</v>
      </c>
      <c r="AW967" s="5">
        <f t="shared" ref="AW967:AW1007" si="93">$G$22*NORMDIST(AV967,$AW$3,$AW$4,FALSE)</f>
        <v>5.1436002333471304E-31</v>
      </c>
      <c r="AX967" s="5">
        <v>1</v>
      </c>
      <c r="AY967" s="5" t="e">
        <f t="shared" ref="AY967:AY1007" si="94">IF($BF$2,AX967+AW967*$BC$2*BD967,NA())</f>
        <v>#N/A</v>
      </c>
      <c r="AZ967" s="5" t="e">
        <f t="shared" ref="AZ967:AZ1007" si="95">IF($BF$2,AX967-AW967*$BC$2*BD967,NA())</f>
        <v>#N/A</v>
      </c>
      <c r="BA967" s="5">
        <f t="shared" ref="BA967:BA1008" si="96">(EXP(2*AV967)-1)/(EXP(2*AV967)+1)</f>
        <v>0.99202026970201085</v>
      </c>
      <c r="BD967" s="5">
        <f t="shared" ref="BD967:BD1007" si="97">(AV967-AV968)/(BA967-BA968)</f>
        <v>63.284962221704021</v>
      </c>
      <c r="BF967" s="58"/>
    </row>
    <row r="968" spans="48:58" ht="12" customHeight="1">
      <c r="AV968" s="5">
        <f t="shared" ref="AV968:AV1008" si="98">AV967+$BC$4</f>
        <v>2.7659999999999396</v>
      </c>
      <c r="AW968" s="5">
        <f t="shared" si="93"/>
        <v>3.5211174459668752E-31</v>
      </c>
      <c r="AX968" s="5">
        <v>1</v>
      </c>
      <c r="AY968" s="5" t="e">
        <f t="shared" si="94"/>
        <v>#N/A</v>
      </c>
      <c r="AZ968" s="5" t="e">
        <f t="shared" si="95"/>
        <v>#N/A</v>
      </c>
      <c r="BA968" s="5">
        <f t="shared" si="96"/>
        <v>0.99211507895509976</v>
      </c>
      <c r="BD968" s="5">
        <f t="shared" si="97"/>
        <v>64.042896457991915</v>
      </c>
      <c r="BF968" s="58"/>
    </row>
    <row r="969" spans="48:58" ht="12" customHeight="1">
      <c r="AV969" s="5">
        <f t="shared" si="98"/>
        <v>2.7719999999999394</v>
      </c>
      <c r="AW969" s="5">
        <f t="shared" si="93"/>
        <v>2.4080842687526197E-31</v>
      </c>
      <c r="AX969" s="5">
        <v>1</v>
      </c>
      <c r="AY969" s="5" t="e">
        <f t="shared" si="94"/>
        <v>#N/A</v>
      </c>
      <c r="AZ969" s="5" t="e">
        <f t="shared" si="95"/>
        <v>#N/A</v>
      </c>
      <c r="BA969" s="5">
        <f t="shared" si="96"/>
        <v>0.99220876616057985</v>
      </c>
      <c r="BD969" s="5">
        <f t="shared" si="97"/>
        <v>64.80998098015759</v>
      </c>
      <c r="BF969" s="58"/>
    </row>
    <row r="970" spans="48:58" ht="12" customHeight="1">
      <c r="AV970" s="5">
        <f t="shared" si="98"/>
        <v>2.7779999999999392</v>
      </c>
      <c r="AW970" s="5">
        <f t="shared" si="93"/>
        <v>1.6452833997378245E-31</v>
      </c>
      <c r="AX970" s="5">
        <v>1</v>
      </c>
      <c r="AY970" s="5" t="e">
        <f t="shared" si="94"/>
        <v>#N/A</v>
      </c>
      <c r="AZ970" s="5" t="e">
        <f t="shared" si="95"/>
        <v>#N/A</v>
      </c>
      <c r="BA970" s="5">
        <f t="shared" si="96"/>
        <v>0.99230134449356588</v>
      </c>
      <c r="BD970" s="5">
        <f t="shared" si="97"/>
        <v>65.586326249938452</v>
      </c>
      <c r="BF970" s="58"/>
    </row>
    <row r="971" spans="48:58" ht="12" customHeight="1">
      <c r="AV971" s="5">
        <f t="shared" si="98"/>
        <v>2.783999999999939</v>
      </c>
      <c r="AW971" s="5">
        <f t="shared" si="93"/>
        <v>1.1230203262479907E-31</v>
      </c>
      <c r="AX971" s="5">
        <v>1</v>
      </c>
      <c r="AY971" s="5" t="e">
        <f t="shared" si="94"/>
        <v>#N/A</v>
      </c>
      <c r="AZ971" s="5" t="e">
        <f t="shared" si="95"/>
        <v>#N/A</v>
      </c>
      <c r="BA971" s="5">
        <f t="shared" si="96"/>
        <v>0.99239282697692888</v>
      </c>
      <c r="BD971" s="5">
        <f t="shared" si="97"/>
        <v>66.372044062353751</v>
      </c>
      <c r="BF971" s="58"/>
    </row>
    <row r="972" spans="48:58" ht="12" customHeight="1">
      <c r="AV972" s="5">
        <f t="shared" si="98"/>
        <v>2.7899999999999388</v>
      </c>
      <c r="AW972" s="5">
        <f t="shared" si="93"/>
        <v>7.6579474829678935E-32</v>
      </c>
      <c r="AX972" s="5">
        <v>1</v>
      </c>
      <c r="AY972" s="5" t="e">
        <f t="shared" si="94"/>
        <v>#N/A</v>
      </c>
      <c r="AZ972" s="5" t="e">
        <f t="shared" si="95"/>
        <v>#N/A</v>
      </c>
      <c r="BA972" s="5">
        <f t="shared" si="96"/>
        <v>0.99248322648299747</v>
      </c>
      <c r="BD972" s="5">
        <f t="shared" si="97"/>
        <v>67.167247561962554</v>
      </c>
      <c r="BF972" s="58"/>
    </row>
    <row r="973" spans="48:58" ht="12" customHeight="1">
      <c r="AV973" s="5">
        <f t="shared" si="98"/>
        <v>2.7959999999999385</v>
      </c>
      <c r="AW973" s="5">
        <f t="shared" si="93"/>
        <v>5.2169300816228635E-32</v>
      </c>
      <c r="AX973" s="5">
        <v>1</v>
      </c>
      <c r="AY973" s="5" t="e">
        <f t="shared" si="94"/>
        <v>#N/A</v>
      </c>
      <c r="AZ973" s="5" t="e">
        <f t="shared" si="95"/>
        <v>#N/A</v>
      </c>
      <c r="BA973" s="5">
        <f t="shared" si="96"/>
        <v>0.9925725557352415</v>
      </c>
      <c r="BD973" s="5">
        <f t="shared" si="97"/>
        <v>67.972051259626937</v>
      </c>
      <c r="BF973" s="58"/>
    </row>
    <row r="974" spans="48:58" ht="12" customHeight="1">
      <c r="AV974" s="5">
        <f t="shared" si="98"/>
        <v>2.8019999999999383</v>
      </c>
      <c r="AW974" s="5">
        <f t="shared" si="93"/>
        <v>3.5505490326526069E-32</v>
      </c>
      <c r="AX974" s="5">
        <v>1</v>
      </c>
      <c r="AY974" s="5" t="e">
        <f t="shared" si="94"/>
        <v>#N/A</v>
      </c>
      <c r="AZ974" s="5" t="e">
        <f t="shared" si="95"/>
        <v>#N/A</v>
      </c>
      <c r="BA974" s="5">
        <f t="shared" si="96"/>
        <v>0.99266082730993743</v>
      </c>
      <c r="BD974" s="5">
        <f t="shared" si="97"/>
        <v>68.786571048344655</v>
      </c>
      <c r="BF974" s="58"/>
    </row>
    <row r="975" spans="48:58" ht="12" customHeight="1">
      <c r="AV975" s="5">
        <f t="shared" si="98"/>
        <v>2.8079999999999381</v>
      </c>
      <c r="AW975" s="5">
        <f t="shared" si="93"/>
        <v>2.4140923436160701E-32</v>
      </c>
      <c r="AX975" s="5">
        <v>1</v>
      </c>
      <c r="AY975" s="5" t="e">
        <f t="shared" si="94"/>
        <v>#N/A</v>
      </c>
      <c r="AZ975" s="5" t="e">
        <f t="shared" si="95"/>
        <v>#N/A</v>
      </c>
      <c r="BA975" s="5">
        <f t="shared" si="96"/>
        <v>0.99274805363781737</v>
      </c>
      <c r="BD975" s="5">
        <f t="shared" si="97"/>
        <v>69.61092422055728</v>
      </c>
      <c r="BF975" s="58"/>
    </row>
    <row r="976" spans="48:58" ht="12" customHeight="1">
      <c r="AV976" s="5">
        <f t="shared" si="98"/>
        <v>2.8139999999999379</v>
      </c>
      <c r="AW976" s="5">
        <f t="shared" si="93"/>
        <v>1.6397970792190917E-32</v>
      </c>
      <c r="AX976" s="5">
        <v>1</v>
      </c>
      <c r="AY976" s="5" t="e">
        <f t="shared" si="94"/>
        <v>#N/A</v>
      </c>
      <c r="AZ976" s="5" t="e">
        <f t="shared" si="95"/>
        <v>#N/A</v>
      </c>
      <c r="BA976" s="5">
        <f t="shared" si="96"/>
        <v>0.99283424700570011</v>
      </c>
      <c r="BD976" s="5">
        <f t="shared" si="97"/>
        <v>70.445229484221187</v>
      </c>
      <c r="BF976" s="58"/>
    </row>
    <row r="977" spans="48:58" ht="12" customHeight="1">
      <c r="AV977" s="5">
        <f t="shared" si="98"/>
        <v>2.8199999999999377</v>
      </c>
      <c r="AW977" s="5">
        <f t="shared" si="93"/>
        <v>1.1127669136778649E-32</v>
      </c>
      <c r="AX977" s="5">
        <v>1</v>
      </c>
      <c r="AY977" s="5" t="e">
        <f t="shared" si="94"/>
        <v>#N/A</v>
      </c>
      <c r="AZ977" s="5" t="e">
        <f t="shared" si="95"/>
        <v>#N/A</v>
      </c>
      <c r="BA977" s="5">
        <f t="shared" si="96"/>
        <v>0.99291941955810614</v>
      </c>
      <c r="BD977" s="5">
        <f t="shared" si="97"/>
        <v>71.28960698115452</v>
      </c>
      <c r="BF977" s="58"/>
    </row>
    <row r="978" spans="48:58" ht="12" customHeight="1">
      <c r="AV978" s="5">
        <f t="shared" si="98"/>
        <v>2.8259999999999375</v>
      </c>
      <c r="AW978" s="5">
        <f t="shared" si="93"/>
        <v>7.5439042147632053E-33</v>
      </c>
      <c r="AX978" s="5">
        <v>1</v>
      </c>
      <c r="AY978" s="5" t="e">
        <f t="shared" si="94"/>
        <v>#N/A</v>
      </c>
      <c r="AZ978" s="5" t="e">
        <f t="shared" si="95"/>
        <v>#N/A</v>
      </c>
      <c r="BA978" s="5">
        <f t="shared" si="96"/>
        <v>0.9930035832988543</v>
      </c>
      <c r="BD978" s="5">
        <f t="shared" si="97"/>
        <v>72.144178302725109</v>
      </c>
      <c r="BF978" s="58"/>
    </row>
    <row r="979" spans="48:58" ht="12" customHeight="1">
      <c r="AV979" s="5">
        <f t="shared" si="98"/>
        <v>2.8319999999999372</v>
      </c>
      <c r="AW979" s="5">
        <f t="shared" si="93"/>
        <v>5.1093539878805198E-33</v>
      </c>
      <c r="AX979" s="5">
        <v>1</v>
      </c>
      <c r="AY979" s="5" t="e">
        <f t="shared" si="94"/>
        <v>#N/A</v>
      </c>
      <c r="AZ979" s="5" t="e">
        <f t="shared" si="95"/>
        <v>#N/A</v>
      </c>
      <c r="BA979" s="5">
        <f t="shared" si="96"/>
        <v>0.99308675009264358</v>
      </c>
      <c r="BD979" s="5">
        <f t="shared" si="97"/>
        <v>73.009066509089038</v>
      </c>
      <c r="BF979" s="58"/>
    </row>
    <row r="980" spans="48:58" ht="12" customHeight="1">
      <c r="AV980" s="5">
        <f t="shared" si="98"/>
        <v>2.837999999999937</v>
      </c>
      <c r="AW980" s="5">
        <f t="shared" si="93"/>
        <v>3.4571138782809587E-33</v>
      </c>
      <c r="AX980" s="5">
        <v>1</v>
      </c>
      <c r="AY980" s="5" t="e">
        <f t="shared" si="94"/>
        <v>#N/A</v>
      </c>
      <c r="AZ980" s="5" t="e">
        <f t="shared" si="95"/>
        <v>#N/A</v>
      </c>
      <c r="BA980" s="5">
        <f t="shared" si="96"/>
        <v>0.99316893166661635</v>
      </c>
      <c r="BD980" s="5">
        <f t="shared" si="97"/>
        <v>73.884396145394447</v>
      </c>
      <c r="BF980" s="58"/>
    </row>
    <row r="981" spans="48:58" ht="12" customHeight="1">
      <c r="AV981" s="5">
        <f t="shared" si="98"/>
        <v>2.8439999999999368</v>
      </c>
      <c r="AW981" s="5">
        <f t="shared" si="93"/>
        <v>2.3368952413952972E-33</v>
      </c>
      <c r="AX981" s="5">
        <v>1</v>
      </c>
      <c r="AY981" s="5" t="e">
        <f t="shared" si="94"/>
        <v>#N/A</v>
      </c>
      <c r="AZ981" s="5" t="e">
        <f t="shared" si="95"/>
        <v>#N/A</v>
      </c>
      <c r="BA981" s="5">
        <f t="shared" si="96"/>
        <v>0.99325013961190689</v>
      </c>
      <c r="BD981" s="5">
        <f t="shared" si="97"/>
        <v>74.770293260693208</v>
      </c>
      <c r="BF981" s="58"/>
    </row>
    <row r="982" spans="48:58" ht="12" customHeight="1">
      <c r="AV982" s="5">
        <f t="shared" si="98"/>
        <v>2.8499999999999366</v>
      </c>
      <c r="AW982" s="5">
        <f t="shared" si="93"/>
        <v>1.5781296107481861E-33</v>
      </c>
      <c r="AX982" s="5">
        <v>1</v>
      </c>
      <c r="AY982" s="5" t="e">
        <f t="shared" si="94"/>
        <v>#N/A</v>
      </c>
      <c r="AZ982" s="5" t="e">
        <f t="shared" si="95"/>
        <v>#N/A</v>
      </c>
      <c r="BA982" s="5">
        <f t="shared" si="96"/>
        <v>0.99333038538517249</v>
      </c>
      <c r="BD982" s="5">
        <f t="shared" si="97"/>
        <v>75.666885425765031</v>
      </c>
      <c r="BF982" s="58"/>
    </row>
    <row r="983" spans="48:58" ht="12" customHeight="1">
      <c r="AV983" s="5">
        <f t="shared" si="98"/>
        <v>2.8559999999999364</v>
      </c>
      <c r="AW983" s="5">
        <f t="shared" si="93"/>
        <v>1.0646919216114236E-33</v>
      </c>
      <c r="AX983" s="5">
        <v>1</v>
      </c>
      <c r="AY983" s="5" t="e">
        <f t="shared" si="94"/>
        <v>#N/A</v>
      </c>
      <c r="AZ983" s="5" t="e">
        <f t="shared" si="95"/>
        <v>#N/A</v>
      </c>
      <c r="BA983" s="5">
        <f t="shared" si="96"/>
        <v>0.99340968031010879</v>
      </c>
      <c r="BD983" s="5">
        <f t="shared" si="97"/>
        <v>76.574301751142301</v>
      </c>
      <c r="BF983" s="58"/>
    </row>
    <row r="984" spans="48:58" ht="12" customHeight="1">
      <c r="AV984" s="5">
        <f t="shared" si="98"/>
        <v>2.8619999999999362</v>
      </c>
      <c r="AW984" s="5">
        <f t="shared" si="93"/>
        <v>7.1760113148378076E-34</v>
      </c>
      <c r="AX984" s="5">
        <v>1</v>
      </c>
      <c r="AY984" s="5" t="e">
        <f t="shared" si="94"/>
        <v>#N/A</v>
      </c>
      <c r="AZ984" s="5" t="e">
        <f t="shared" si="95"/>
        <v>#N/A</v>
      </c>
      <c r="BA984" s="5">
        <f t="shared" si="96"/>
        <v>0.99348803557894949</v>
      </c>
      <c r="BD984" s="5">
        <f t="shared" si="97"/>
        <v>77.492672906894541</v>
      </c>
      <c r="BF984" s="58"/>
    </row>
    <row r="985" spans="48:58" ht="12" customHeight="1">
      <c r="AV985" s="5">
        <f t="shared" si="98"/>
        <v>2.8679999999999359</v>
      </c>
      <c r="AW985" s="5">
        <f t="shared" si="93"/>
        <v>4.8319244647140016E-34</v>
      </c>
      <c r="AX985" s="5">
        <v>1</v>
      </c>
      <c r="AY985" s="5" t="e">
        <f t="shared" si="94"/>
        <v>#N/A</v>
      </c>
      <c r="AZ985" s="5" t="e">
        <f t="shared" si="95"/>
        <v>#N/A</v>
      </c>
      <c r="BA985" s="5">
        <f t="shared" si="96"/>
        <v>0.99356546225394893</v>
      </c>
      <c r="BD985" s="5">
        <f t="shared" si="97"/>
        <v>78.422131139431414</v>
      </c>
      <c r="BF985" s="58"/>
    </row>
    <row r="986" spans="48:58" ht="12" customHeight="1">
      <c r="AV986" s="5">
        <f t="shared" si="98"/>
        <v>2.8739999999999357</v>
      </c>
      <c r="AW986" s="5">
        <f t="shared" si="93"/>
        <v>3.2503866383083891E-34</v>
      </c>
      <c r="AX986" s="5">
        <v>1</v>
      </c>
      <c r="AY986" s="5" t="e">
        <f t="shared" si="94"/>
        <v>#N/A</v>
      </c>
      <c r="AZ986" s="5" t="e">
        <f t="shared" si="95"/>
        <v>#N/A</v>
      </c>
      <c r="BA986" s="5">
        <f t="shared" si="96"/>
        <v>0.99364197126885101</v>
      </c>
      <c r="BD986" s="5">
        <f t="shared" si="97"/>
        <v>79.36281029281156</v>
      </c>
      <c r="BF986" s="58"/>
    </row>
    <row r="987" spans="48:58" ht="12" customHeight="1">
      <c r="AV987" s="5">
        <f t="shared" si="98"/>
        <v>2.8799999999999355</v>
      </c>
      <c r="AW987" s="5">
        <f t="shared" si="93"/>
        <v>2.1843779164712957E-34</v>
      </c>
      <c r="AX987" s="5">
        <v>1</v>
      </c>
      <c r="AY987" s="5" t="e">
        <f t="shared" si="94"/>
        <v>#N/A</v>
      </c>
      <c r="AZ987" s="5" t="e">
        <f t="shared" si="95"/>
        <v>#N/A</v>
      </c>
      <c r="BA987" s="5">
        <f t="shared" si="96"/>
        <v>0.99371757343034028</v>
      </c>
      <c r="BD987" s="5">
        <f t="shared" si="97"/>
        <v>80.314845826116439</v>
      </c>
      <c r="BF987" s="58"/>
    </row>
    <row r="988" spans="48:58" ht="12" customHeight="1">
      <c r="AV988" s="5">
        <f t="shared" si="98"/>
        <v>2.8859999999999353</v>
      </c>
      <c r="AW988" s="5">
        <f t="shared" si="93"/>
        <v>1.4665551397450514E-34</v>
      </c>
      <c r="AX988" s="5">
        <v>1</v>
      </c>
      <c r="AY988" s="5" t="e">
        <f t="shared" si="94"/>
        <v>#N/A</v>
      </c>
      <c r="AZ988" s="5" t="e">
        <f t="shared" si="95"/>
        <v>#N/A</v>
      </c>
      <c r="BA988" s="5">
        <f t="shared" si="96"/>
        <v>0.99379227941947945</v>
      </c>
      <c r="BD988" s="5">
        <f t="shared" si="97"/>
        <v>81.278374834471933</v>
      </c>
      <c r="BF988" s="58"/>
    </row>
    <row r="989" spans="48:58" ht="12" customHeight="1">
      <c r="AV989" s="5">
        <f t="shared" si="98"/>
        <v>2.8919999999999351</v>
      </c>
      <c r="AW989" s="5">
        <f t="shared" si="93"/>
        <v>9.8366423473149893E-35</v>
      </c>
      <c r="AX989" s="5">
        <v>1</v>
      </c>
      <c r="AY989" s="5" t="e">
        <f t="shared" si="94"/>
        <v>#N/A</v>
      </c>
      <c r="AZ989" s="5" t="e">
        <f t="shared" si="95"/>
        <v>#N/A</v>
      </c>
      <c r="BA989" s="5">
        <f t="shared" si="96"/>
        <v>0.99386609979313012</v>
      </c>
      <c r="BD989" s="5">
        <f t="shared" si="97"/>
        <v>82.253536067434666</v>
      </c>
      <c r="BF989" s="58"/>
    </row>
    <row r="990" spans="48:58" ht="12" customHeight="1">
      <c r="AV990" s="5">
        <f t="shared" si="98"/>
        <v>2.8979999999999349</v>
      </c>
      <c r="AW990" s="5">
        <f t="shared" si="93"/>
        <v>6.5913326732239325E-35</v>
      </c>
      <c r="AX990" s="5">
        <v>1</v>
      </c>
      <c r="AY990" s="5" t="e">
        <f t="shared" si="94"/>
        <v>#N/A</v>
      </c>
      <c r="AZ990" s="5" t="e">
        <f t="shared" si="95"/>
        <v>#N/A</v>
      </c>
      <c r="BA990" s="5">
        <f t="shared" si="96"/>
        <v>0.99393904498535968</v>
      </c>
      <c r="BD990" s="5">
        <f t="shared" si="97"/>
        <v>83.240469950010961</v>
      </c>
      <c r="BF990" s="58"/>
    </row>
    <row r="991" spans="48:58" ht="12" customHeight="1">
      <c r="AV991" s="5">
        <f t="shared" si="98"/>
        <v>2.9039999999999346</v>
      </c>
      <c r="AW991" s="5">
        <f t="shared" si="93"/>
        <v>4.412426131356111E-35</v>
      </c>
      <c r="AX991" s="5">
        <v>1</v>
      </c>
      <c r="AY991" s="5" t="e">
        <f t="shared" si="94"/>
        <v>#N/A</v>
      </c>
      <c r="AZ991" s="5" t="e">
        <f t="shared" si="95"/>
        <v>#N/A</v>
      </c>
      <c r="BA991" s="5">
        <f t="shared" si="96"/>
        <v>0.99401112530883218</v>
      </c>
      <c r="BD991" s="5">
        <f t="shared" si="97"/>
        <v>84.239318602398569</v>
      </c>
      <c r="BF991" s="58"/>
    </row>
    <row r="992" spans="48:58" ht="12" customHeight="1">
      <c r="AV992" s="5">
        <f t="shared" si="98"/>
        <v>2.9099999999999344</v>
      </c>
      <c r="AW992" s="5">
        <f t="shared" si="93"/>
        <v>2.9509342290831496E-35</v>
      </c>
      <c r="AX992" s="5">
        <v>1</v>
      </c>
      <c r="AY992" s="5" t="e">
        <f t="shared" si="94"/>
        <v>#N/A</v>
      </c>
      <c r="AZ992" s="5" t="e">
        <f t="shared" si="95"/>
        <v>#N/A</v>
      </c>
      <c r="BA992" s="5">
        <f t="shared" si="96"/>
        <v>0.9940823509561848</v>
      </c>
      <c r="BD992" s="5">
        <f t="shared" si="97"/>
        <v>85.250225860469953</v>
      </c>
      <c r="BF992" s="58"/>
    </row>
    <row r="993" spans="48:58" ht="12" customHeight="1">
      <c r="AV993" s="5">
        <f t="shared" si="98"/>
        <v>2.9159999999999342</v>
      </c>
      <c r="AW993" s="5">
        <f t="shared" si="93"/>
        <v>1.9716030340656671E-35</v>
      </c>
      <c r="AX993" s="5">
        <v>1</v>
      </c>
      <c r="AY993" s="5" t="e">
        <f t="shared" si="94"/>
        <v>#N/A</v>
      </c>
      <c r="AZ993" s="5" t="e">
        <f t="shared" si="95"/>
        <v>#N/A</v>
      </c>
      <c r="BA993" s="5">
        <f t="shared" si="96"/>
        <v>0.99415273200138954</v>
      </c>
      <c r="BD993" s="5">
        <f t="shared" si="97"/>
        <v>86.273337296675919</v>
      </c>
      <c r="BF993" s="58"/>
    </row>
    <row r="994" spans="48:58" ht="12" customHeight="1">
      <c r="AV994" s="5">
        <f t="shared" si="98"/>
        <v>2.921999999999934</v>
      </c>
      <c r="AW994" s="5">
        <f t="shared" si="93"/>
        <v>1.3160042487407352E-35</v>
      </c>
      <c r="AX994" s="5">
        <v>1</v>
      </c>
      <c r="AY994" s="5" t="e">
        <f t="shared" si="94"/>
        <v>#N/A</v>
      </c>
      <c r="AZ994" s="5" t="e">
        <f t="shared" si="95"/>
        <v>#N/A</v>
      </c>
      <c r="BA994" s="5">
        <f t="shared" si="96"/>
        <v>0.99422227840110011</v>
      </c>
      <c r="BD994" s="5">
        <f t="shared" si="97"/>
        <v>87.30880024069549</v>
      </c>
      <c r="BF994" s="58"/>
    </row>
    <row r="995" spans="48:58" ht="12" customHeight="1">
      <c r="AV995" s="5">
        <f t="shared" si="98"/>
        <v>2.9279999999999338</v>
      </c>
      <c r="AW995" s="5">
        <f t="shared" si="93"/>
        <v>8.7755222312139683E-36</v>
      </c>
      <c r="AX995" s="5">
        <v>1</v>
      </c>
      <c r="AY995" s="5" t="e">
        <f t="shared" si="94"/>
        <v>#N/A</v>
      </c>
      <c r="AZ995" s="5" t="e">
        <f t="shared" si="95"/>
        <v>#N/A</v>
      </c>
      <c r="BA995" s="5">
        <f t="shared" si="96"/>
        <v>0.99429099999598469</v>
      </c>
      <c r="BD995" s="5">
        <f t="shared" si="97"/>
        <v>88.356763801335575</v>
      </c>
      <c r="BF995" s="58"/>
    </row>
    <row r="996" spans="48:58" ht="12" customHeight="1">
      <c r="AV996" s="5">
        <f t="shared" si="98"/>
        <v>2.9339999999999336</v>
      </c>
      <c r="AW996" s="5">
        <f t="shared" si="93"/>
        <v>5.8461037154611736E-36</v>
      </c>
      <c r="AX996" s="5">
        <v>1</v>
      </c>
      <c r="AY996" s="5" t="e">
        <f t="shared" si="94"/>
        <v>#N/A</v>
      </c>
      <c r="AZ996" s="5" t="e">
        <f t="shared" si="95"/>
        <v>#N/A</v>
      </c>
      <c r="BA996" s="5">
        <f t="shared" si="96"/>
        <v>0.99435890651204373</v>
      </c>
      <c r="BD996" s="5">
        <f t="shared" si="97"/>
        <v>89.417378886599963</v>
      </c>
      <c r="BF996" s="58"/>
    </row>
    <row r="997" spans="48:58" ht="12" customHeight="1">
      <c r="AV997" s="5">
        <f t="shared" si="98"/>
        <v>2.9399999999999333</v>
      </c>
      <c r="AW997" s="5">
        <f t="shared" si="93"/>
        <v>3.8907912164486426E-36</v>
      </c>
      <c r="AX997" s="5">
        <v>1</v>
      </c>
      <c r="AY997" s="5" t="e">
        <f t="shared" si="94"/>
        <v>#N/A</v>
      </c>
      <c r="AZ997" s="5" t="e">
        <f t="shared" si="95"/>
        <v>#N/A</v>
      </c>
      <c r="BA997" s="5">
        <f t="shared" si="96"/>
        <v>0.99442600756191468</v>
      </c>
      <c r="BD997" s="5">
        <f t="shared" si="97"/>
        <v>90.490798227477768</v>
      </c>
      <c r="BF997" s="58"/>
    </row>
    <row r="998" spans="48:58" ht="12" customHeight="1">
      <c r="AV998" s="5">
        <f t="shared" si="98"/>
        <v>2.9459999999999331</v>
      </c>
      <c r="AW998" s="5">
        <f t="shared" si="93"/>
        <v>2.5869450474779109E-36</v>
      </c>
      <c r="AX998" s="5">
        <v>1</v>
      </c>
      <c r="AY998" s="5" t="e">
        <f t="shared" si="94"/>
        <v>#N/A</v>
      </c>
      <c r="AZ998" s="5" t="e">
        <f t="shared" si="95"/>
        <v>#N/A</v>
      </c>
      <c r="BA998" s="5">
        <f t="shared" si="96"/>
        <v>0.99449231264616111</v>
      </c>
      <c r="BD998" s="5">
        <f t="shared" si="97"/>
        <v>91.577176397675956</v>
      </c>
      <c r="BF998" s="58"/>
    </row>
    <row r="999" spans="48:58" ht="12" customHeight="1">
      <c r="AV999" s="5">
        <f t="shared" si="98"/>
        <v>2.9519999999999329</v>
      </c>
      <c r="AW999" s="5">
        <f t="shared" si="93"/>
        <v>1.718360756561798E-36</v>
      </c>
      <c r="AX999" s="5">
        <v>1</v>
      </c>
      <c r="AY999" s="5" t="e">
        <f t="shared" si="94"/>
        <v>#N/A</v>
      </c>
      <c r="AZ999" s="5" t="e">
        <f t="shared" si="95"/>
        <v>#N/A</v>
      </c>
      <c r="BA999" s="5">
        <f t="shared" si="96"/>
        <v>0.99455783115454954</v>
      </c>
      <c r="BD999" s="5">
        <f t="shared" si="97"/>
        <v>92.676669838078027</v>
      </c>
      <c r="BF999" s="58"/>
    </row>
    <row r="1000" spans="48:58" ht="12" customHeight="1">
      <c r="AV1000" s="5">
        <f t="shared" si="98"/>
        <v>2.9579999999999327</v>
      </c>
      <c r="AW1000" s="5">
        <f t="shared" si="93"/>
        <v>1.1403006030882872E-36</v>
      </c>
      <c r="AX1000" s="5">
        <v>1</v>
      </c>
      <c r="AY1000" s="5" t="e">
        <f t="shared" si="94"/>
        <v>#N/A</v>
      </c>
      <c r="AZ1000" s="5" t="e">
        <f t="shared" si="95"/>
        <v>#N/A</v>
      </c>
      <c r="BA1000" s="5">
        <f t="shared" si="96"/>
        <v>0.99462257236731089</v>
      </c>
      <c r="BD1000" s="5">
        <f t="shared" si="97"/>
        <v>93.789436877272877</v>
      </c>
      <c r="BF1000" s="58"/>
    </row>
    <row r="1001" spans="48:58" ht="12" customHeight="1">
      <c r="AV1001" s="5">
        <f t="shared" si="98"/>
        <v>2.9639999999999325</v>
      </c>
      <c r="AW1001" s="5">
        <f t="shared" si="93"/>
        <v>7.5596593847721412E-37</v>
      </c>
      <c r="AX1001" s="5">
        <v>1</v>
      </c>
      <c r="AY1001" s="5" t="e">
        <f t="shared" si="94"/>
        <v>#N/A</v>
      </c>
      <c r="AZ1001" s="5" t="e">
        <f t="shared" si="95"/>
        <v>#N/A</v>
      </c>
      <c r="BA1001" s="5">
        <f t="shared" si="96"/>
        <v>0.99468654545638968</v>
      </c>
      <c r="BD1001" s="5">
        <f t="shared" si="97"/>
        <v>94.915637755586516</v>
      </c>
      <c r="BF1001" s="58"/>
    </row>
    <row r="1002" spans="48:58" ht="12" customHeight="1">
      <c r="AV1002" s="5">
        <f t="shared" si="98"/>
        <v>2.9699999999999322</v>
      </c>
      <c r="AW1002" s="5">
        <f t="shared" si="93"/>
        <v>5.0068314051101597E-37</v>
      </c>
      <c r="AX1002" s="5">
        <v>1</v>
      </c>
      <c r="AY1002" s="5" t="e">
        <f t="shared" si="94"/>
        <v>#N/A</v>
      </c>
      <c r="AZ1002" s="5" t="e">
        <f t="shared" si="95"/>
        <v>#N/A</v>
      </c>
      <c r="BA1002" s="5">
        <f t="shared" si="96"/>
        <v>0.99474975948667888</v>
      </c>
      <c r="BD1002" s="5">
        <f t="shared" si="97"/>
        <v>96.055434648068498</v>
      </c>
      <c r="BF1002" s="58"/>
    </row>
    <row r="1003" spans="48:58" ht="12" customHeight="1">
      <c r="AV1003" s="5">
        <f t="shared" si="98"/>
        <v>2.975999999999932</v>
      </c>
      <c r="AW1003" s="5">
        <f t="shared" si="93"/>
        <v>3.3128484811476163E-37</v>
      </c>
      <c r="AX1003" s="5">
        <v>1</v>
      </c>
      <c r="AY1003" s="5" t="e">
        <f t="shared" si="94"/>
        <v>#N/A</v>
      </c>
      <c r="AZ1003" s="5" t="e">
        <f t="shared" si="95"/>
        <v>#N/A</v>
      </c>
      <c r="BA1003" s="5">
        <f t="shared" si="96"/>
        <v>0.99481222341724129</v>
      </c>
      <c r="BD1003" s="5">
        <f t="shared" si="97"/>
        <v>97.208991687594775</v>
      </c>
      <c r="BF1003" s="58"/>
    </row>
    <row r="1004" spans="48:58" ht="12" customHeight="1">
      <c r="AV1004" s="5">
        <f t="shared" si="98"/>
        <v>2.9819999999999318</v>
      </c>
      <c r="AW1004" s="5">
        <f t="shared" si="93"/>
        <v>2.1898685393361214E-37</v>
      </c>
      <c r="AX1004" s="5">
        <v>1</v>
      </c>
      <c r="AY1004" s="5" t="e">
        <f t="shared" si="94"/>
        <v>#N/A</v>
      </c>
      <c r="AZ1004" s="5" t="e">
        <f t="shared" si="95"/>
        <v>#N/A</v>
      </c>
      <c r="BA1004" s="5">
        <f t="shared" si="96"/>
        <v>0.994873946102518</v>
      </c>
      <c r="BD1004" s="5">
        <f t="shared" si="97"/>
        <v>98.376474987883853</v>
      </c>
      <c r="BF1004" s="58"/>
    </row>
    <row r="1005" spans="48:58" ht="12" customHeight="1">
      <c r="AV1005" s="5">
        <f t="shared" si="98"/>
        <v>2.9879999999999316</v>
      </c>
      <c r="AW1005" s="5">
        <f t="shared" si="93"/>
        <v>1.4461468014397873E-37</v>
      </c>
      <c r="AX1005" s="5">
        <v>1</v>
      </c>
      <c r="AY1005" s="5" t="e">
        <f t="shared" si="94"/>
        <v>#N/A</v>
      </c>
      <c r="AZ1005" s="5" t="e">
        <f t="shared" si="95"/>
        <v>#N/A</v>
      </c>
      <c r="BA1005" s="5">
        <f t="shared" si="96"/>
        <v>0.99493493629352392</v>
      </c>
      <c r="BD1005" s="5">
        <f t="shared" si="97"/>
        <v>99.558052668936924</v>
      </c>
      <c r="BF1005" s="58"/>
    </row>
    <row r="1006" spans="48:58" ht="12" customHeight="1">
      <c r="AV1006" s="5">
        <f t="shared" si="98"/>
        <v>2.9939999999999314</v>
      </c>
      <c r="AW1006" s="5">
        <f t="shared" si="93"/>
        <v>9.5407954329765697E-38</v>
      </c>
      <c r="AX1006" s="5">
        <v>1</v>
      </c>
      <c r="AY1006" s="5" t="e">
        <f t="shared" si="94"/>
        <v>#N/A</v>
      </c>
      <c r="AZ1006" s="5" t="e">
        <f t="shared" si="95"/>
        <v>#N/A</v>
      </c>
      <c r="BA1006" s="5">
        <f t="shared" si="96"/>
        <v>0.99499520263902941</v>
      </c>
      <c r="BD1006" s="5">
        <f t="shared" si="97"/>
        <v>100.75389488001346</v>
      </c>
      <c r="BF1006" s="58"/>
    </row>
    <row r="1007" spans="48:58" ht="12" customHeight="1">
      <c r="AV1007" s="5">
        <f t="shared" si="98"/>
        <v>2.9999999999999312</v>
      </c>
      <c r="AW1007" s="5">
        <f t="shared" si="93"/>
        <v>6.2883202702545621E-38</v>
      </c>
      <c r="AX1007" s="5">
        <v>1</v>
      </c>
      <c r="AY1007" s="5" t="e">
        <f t="shared" si="94"/>
        <v>#N/A</v>
      </c>
      <c r="AZ1007" s="5" t="e">
        <f t="shared" si="95"/>
        <v>#N/A</v>
      </c>
      <c r="BA1007" s="5">
        <f t="shared" si="96"/>
        <v>0.9950547536867298</v>
      </c>
      <c r="BD1007" s="5">
        <f t="shared" si="97"/>
        <v>101.9641738242772</v>
      </c>
      <c r="BF1007" s="58"/>
    </row>
    <row r="1008" spans="48:58" ht="12" customHeight="1">
      <c r="AV1008" s="5">
        <f t="shared" si="98"/>
        <v>3.0059999999999309</v>
      </c>
      <c r="BA1008" s="5">
        <f t="shared" si="96"/>
        <v>0.99511359788440201</v>
      </c>
      <c r="BF1008" s="58"/>
    </row>
    <row r="1009" spans="58:58" ht="12" customHeight="1">
      <c r="BF1009" s="58"/>
    </row>
    <row r="1010" spans="58:58" ht="12" customHeight="1">
      <c r="BF1010" s="58"/>
    </row>
    <row r="1011" spans="58:58" ht="12" customHeight="1">
      <c r="BF1011" s="58"/>
    </row>
    <row r="1012" spans="58:58" ht="12" customHeight="1">
      <c r="BF1012" s="58"/>
    </row>
    <row r="1013" spans="58:58" ht="12" customHeight="1">
      <c r="BF1013" s="58"/>
    </row>
    <row r="1014" spans="58:58" ht="12" customHeight="1">
      <c r="BF1014" s="58"/>
    </row>
    <row r="1015" spans="58:58" ht="12" customHeight="1">
      <c r="BF1015" s="58"/>
    </row>
    <row r="1016" spans="58:58" ht="12" customHeight="1">
      <c r="BF1016" s="58"/>
    </row>
    <row r="1017" spans="58:58" ht="12" customHeight="1">
      <c r="BF1017" s="58"/>
    </row>
    <row r="1018" spans="58:58" ht="12" customHeight="1">
      <c r="BF1018" s="58"/>
    </row>
    <row r="1019" spans="58:58" ht="12" customHeight="1">
      <c r="BF1019" s="58"/>
    </row>
    <row r="1020" spans="58:58" ht="12" customHeight="1">
      <c r="BF1020" s="58"/>
    </row>
    <row r="1021" spans="58:58" ht="12" customHeight="1">
      <c r="BF1021" s="58"/>
    </row>
    <row r="1022" spans="58:58" ht="12" customHeight="1">
      <c r="BF1022" s="58"/>
    </row>
    <row r="1023" spans="58:58" ht="12" customHeight="1">
      <c r="BF1023" s="58"/>
    </row>
    <row r="1024" spans="58:58" ht="12" customHeight="1">
      <c r="BF1024" s="58"/>
    </row>
    <row r="1025" spans="58:58" ht="12" customHeight="1">
      <c r="BF1025" s="58"/>
    </row>
    <row r="1026" spans="58:58" ht="12" customHeight="1">
      <c r="BF1026" s="58"/>
    </row>
    <row r="1027" spans="58:58" ht="12" customHeight="1">
      <c r="BF1027" s="58"/>
    </row>
    <row r="1028" spans="58:58" ht="12" customHeight="1">
      <c r="BF1028" s="58"/>
    </row>
    <row r="1029" spans="58:58" ht="12" customHeight="1">
      <c r="BF1029" s="58"/>
    </row>
    <row r="1030" spans="58:58" ht="12" customHeight="1">
      <c r="BF1030" s="58"/>
    </row>
    <row r="1031" spans="58:58" ht="12" customHeight="1">
      <c r="BF1031" s="58"/>
    </row>
    <row r="1032" spans="58:58" ht="12" customHeight="1">
      <c r="BF1032" s="58"/>
    </row>
    <row r="1033" spans="58:58" ht="12" customHeight="1">
      <c r="BF1033" s="58"/>
    </row>
    <row r="1034" spans="58:58" ht="12" customHeight="1">
      <c r="BF1034" s="58"/>
    </row>
    <row r="1035" spans="58:58" ht="12" customHeight="1">
      <c r="BF1035" s="58"/>
    </row>
    <row r="1036" spans="58:58" ht="12" customHeight="1">
      <c r="BF1036" s="58"/>
    </row>
    <row r="1037" spans="58:58" ht="12" customHeight="1">
      <c r="BF1037" s="58"/>
    </row>
    <row r="1038" spans="58:58" ht="12" customHeight="1">
      <c r="BF1038" s="58"/>
    </row>
    <row r="1039" spans="58:58" ht="12" customHeight="1">
      <c r="BF1039" s="58"/>
    </row>
    <row r="1040" spans="58:58" ht="12" customHeight="1">
      <c r="BF1040" s="58"/>
    </row>
    <row r="1041" spans="58:58" ht="12" customHeight="1">
      <c r="BF1041" s="58"/>
    </row>
    <row r="1042" spans="58:58" ht="12" customHeight="1">
      <c r="BF1042" s="58"/>
    </row>
    <row r="1043" spans="58:58" ht="12" customHeight="1">
      <c r="BF1043" s="58"/>
    </row>
    <row r="1044" spans="58:58" ht="12" customHeight="1">
      <c r="BF1044" s="58"/>
    </row>
    <row r="1045" spans="58:58" ht="12" customHeight="1">
      <c r="BF1045" s="58"/>
    </row>
    <row r="1046" spans="58:58" ht="12" customHeight="1">
      <c r="BF1046" s="58"/>
    </row>
    <row r="1047" spans="58:58" ht="12" customHeight="1">
      <c r="BF1047" s="58"/>
    </row>
    <row r="1048" spans="58:58" ht="12" customHeight="1">
      <c r="BF1048" s="58"/>
    </row>
    <row r="1049" spans="58:58" ht="12" customHeight="1">
      <c r="BF1049" s="58"/>
    </row>
    <row r="1050" spans="58:58" ht="12" customHeight="1">
      <c r="BF1050" s="58"/>
    </row>
    <row r="1051" spans="58:58" ht="12" customHeight="1">
      <c r="BF1051" s="58"/>
    </row>
    <row r="1052" spans="58:58" ht="12" customHeight="1">
      <c r="BF1052" s="58"/>
    </row>
    <row r="1053" spans="58:58" ht="12" customHeight="1">
      <c r="BF1053" s="58"/>
    </row>
    <row r="1054" spans="58:58" ht="12" customHeight="1">
      <c r="BF1054" s="58"/>
    </row>
    <row r="1055" spans="58:58" ht="12" customHeight="1">
      <c r="BF1055" s="58"/>
    </row>
    <row r="1056" spans="58:58" ht="12" customHeight="1">
      <c r="BF1056" s="58"/>
    </row>
    <row r="1057" spans="58:58" ht="12" customHeight="1">
      <c r="BF1057" s="58"/>
    </row>
    <row r="1058" spans="58:58" ht="12" customHeight="1">
      <c r="BF1058" s="58"/>
    </row>
    <row r="1059" spans="58:58" ht="12" customHeight="1">
      <c r="BF1059" s="58"/>
    </row>
    <row r="1060" spans="58:58" ht="12" customHeight="1">
      <c r="BF1060" s="58"/>
    </row>
    <row r="1061" spans="58:58" ht="12" customHeight="1">
      <c r="BF1061" s="58"/>
    </row>
    <row r="1062" spans="58:58" ht="12" customHeight="1">
      <c r="BF1062" s="58"/>
    </row>
    <row r="1063" spans="58:58" ht="12" customHeight="1">
      <c r="BF1063" s="58"/>
    </row>
    <row r="1064" spans="58:58" ht="12" customHeight="1">
      <c r="BF1064" s="58"/>
    </row>
    <row r="1065" spans="58:58" ht="12" customHeight="1">
      <c r="BF1065" s="58"/>
    </row>
    <row r="1066" spans="58:58" ht="12" customHeight="1">
      <c r="BF1066" s="58"/>
    </row>
    <row r="1067" spans="58:58" ht="12" customHeight="1">
      <c r="BF1067" s="58"/>
    </row>
    <row r="1068" spans="58:58" ht="12" customHeight="1">
      <c r="BF1068" s="58"/>
    </row>
    <row r="1069" spans="58:58" ht="12" customHeight="1">
      <c r="BF1069" s="58"/>
    </row>
    <row r="1070" spans="58:58" ht="12" customHeight="1">
      <c r="BF1070" s="58"/>
    </row>
    <row r="1071" spans="58:58" ht="12" customHeight="1">
      <c r="BF1071" s="58"/>
    </row>
    <row r="1072" spans="58:58" ht="12" customHeight="1">
      <c r="BF1072" s="58"/>
    </row>
    <row r="1073" spans="58:58" ht="12" customHeight="1">
      <c r="BF1073" s="58"/>
    </row>
    <row r="1074" spans="58:58" ht="12" customHeight="1">
      <c r="BF1074" s="58"/>
    </row>
    <row r="1075" spans="58:58" ht="12" customHeight="1">
      <c r="BF1075" s="58"/>
    </row>
    <row r="1076" spans="58:58" ht="12" customHeight="1">
      <c r="BF1076" s="58"/>
    </row>
    <row r="1077" spans="58:58" ht="12" customHeight="1">
      <c r="BF1077" s="58"/>
    </row>
    <row r="1078" spans="58:58" ht="12" customHeight="1">
      <c r="BF1078" s="58"/>
    </row>
    <row r="1079" spans="58:58" ht="12" customHeight="1">
      <c r="BF1079" s="58"/>
    </row>
    <row r="1080" spans="58:58" ht="12" customHeight="1">
      <c r="BF1080" s="58"/>
    </row>
    <row r="1081" spans="58:58" ht="12" customHeight="1">
      <c r="BF1081" s="58"/>
    </row>
    <row r="1082" spans="58:58" ht="12" customHeight="1">
      <c r="BF1082" s="58"/>
    </row>
    <row r="1083" spans="58:58" ht="12" customHeight="1">
      <c r="BF1083" s="58"/>
    </row>
    <row r="1084" spans="58:58" ht="12" customHeight="1">
      <c r="BF1084" s="58"/>
    </row>
    <row r="1085" spans="58:58" ht="12" customHeight="1">
      <c r="BF1085" s="58"/>
    </row>
    <row r="1086" spans="58:58" ht="12" customHeight="1">
      <c r="BF1086" s="58"/>
    </row>
    <row r="1087" spans="58:58" ht="12" customHeight="1">
      <c r="BF1087" s="58"/>
    </row>
    <row r="1088" spans="58:58" ht="12" customHeight="1">
      <c r="BF1088" s="58"/>
    </row>
    <row r="1089" spans="58:58" ht="12" customHeight="1">
      <c r="BF1089" s="58"/>
    </row>
    <row r="1090" spans="58:58" ht="12" customHeight="1">
      <c r="BF1090" s="58"/>
    </row>
    <row r="1091" spans="58:58" ht="12" customHeight="1">
      <c r="BF1091" s="58"/>
    </row>
    <row r="1092" spans="58:58" ht="12" customHeight="1">
      <c r="BF1092" s="58"/>
    </row>
    <row r="1093" spans="58:58" ht="12" customHeight="1">
      <c r="BF1093" s="58"/>
    </row>
    <row r="1094" spans="58:58" ht="12" customHeight="1">
      <c r="BF1094" s="58"/>
    </row>
    <row r="1095" spans="58:58" ht="12" customHeight="1">
      <c r="BF1095" s="58"/>
    </row>
    <row r="1096" spans="58:58" ht="12" customHeight="1">
      <c r="BF1096" s="58"/>
    </row>
    <row r="1097" spans="58:58" ht="12" customHeight="1">
      <c r="BF1097" s="58"/>
    </row>
    <row r="1098" spans="58:58" ht="12" customHeight="1">
      <c r="BF1098" s="58"/>
    </row>
    <row r="1099" spans="58:58" ht="12" customHeight="1">
      <c r="BF1099" s="58"/>
    </row>
    <row r="1100" spans="58:58" ht="12" customHeight="1">
      <c r="BF1100" s="58"/>
    </row>
    <row r="1101" spans="58:58" ht="12" customHeight="1">
      <c r="BF1101" s="58"/>
    </row>
    <row r="1102" spans="58:58" ht="12" customHeight="1">
      <c r="BF1102" s="58"/>
    </row>
    <row r="1103" spans="58:58" ht="12" customHeight="1">
      <c r="BF1103" s="58"/>
    </row>
    <row r="1104" spans="58:58" ht="12" customHeight="1">
      <c r="BF1104" s="58"/>
    </row>
    <row r="1105" spans="58:58" ht="12" customHeight="1">
      <c r="BF1105" s="58"/>
    </row>
    <row r="1106" spans="58:58" ht="12" customHeight="1">
      <c r="BF1106" s="58"/>
    </row>
    <row r="1107" spans="58:58" ht="12" customHeight="1">
      <c r="BF1107" s="58"/>
    </row>
    <row r="1108" spans="58:58" ht="12" customHeight="1">
      <c r="BF1108" s="58"/>
    </row>
    <row r="1109" spans="58:58" ht="12" customHeight="1">
      <c r="BF1109" s="58"/>
    </row>
    <row r="1110" spans="58:58" ht="12" customHeight="1">
      <c r="BF1110" s="58"/>
    </row>
    <row r="1111" spans="58:58" ht="12" customHeight="1">
      <c r="BF1111" s="58"/>
    </row>
    <row r="1112" spans="58:58" ht="12" customHeight="1">
      <c r="BF1112" s="58"/>
    </row>
    <row r="1113" spans="58:58" ht="12" customHeight="1">
      <c r="BF1113" s="58"/>
    </row>
    <row r="1114" spans="58:58" ht="12" customHeight="1">
      <c r="BF1114" s="58"/>
    </row>
    <row r="1115" spans="58:58" ht="12" customHeight="1">
      <c r="BF1115" s="58"/>
    </row>
    <row r="1116" spans="58:58" ht="12" customHeight="1">
      <c r="BF1116" s="58"/>
    </row>
    <row r="1117" spans="58:58" ht="12" customHeight="1">
      <c r="BF1117" s="58"/>
    </row>
    <row r="1118" spans="58:58" ht="12" customHeight="1">
      <c r="BF1118" s="58"/>
    </row>
    <row r="1119" spans="58:58" ht="12" customHeight="1">
      <c r="BF1119" s="58"/>
    </row>
    <row r="1120" spans="58:58" ht="12" customHeight="1">
      <c r="BF1120" s="58"/>
    </row>
    <row r="1121" spans="58:58" ht="12" customHeight="1">
      <c r="BF1121" s="58"/>
    </row>
    <row r="1122" spans="58:58" ht="12" customHeight="1">
      <c r="BF1122" s="58"/>
    </row>
    <row r="1123" spans="58:58" ht="12" customHeight="1">
      <c r="BF1123" s="58"/>
    </row>
    <row r="1124" spans="58:58" ht="12" customHeight="1">
      <c r="BF1124" s="58"/>
    </row>
    <row r="1125" spans="58:58" ht="12" customHeight="1">
      <c r="BF1125" s="58"/>
    </row>
    <row r="1126" spans="58:58" ht="12" customHeight="1">
      <c r="BF1126" s="58"/>
    </row>
    <row r="1127" spans="58:58" ht="12" customHeight="1">
      <c r="BF1127" s="58"/>
    </row>
    <row r="1128" spans="58:58" ht="12" customHeight="1">
      <c r="BF1128" s="58"/>
    </row>
    <row r="1129" spans="58:58" ht="12" customHeight="1">
      <c r="BF1129" s="58"/>
    </row>
    <row r="1130" spans="58:58" ht="12" customHeight="1">
      <c r="BF1130" s="58"/>
    </row>
    <row r="1131" spans="58:58" ht="12" customHeight="1">
      <c r="BF1131" s="58"/>
    </row>
    <row r="1132" spans="58:58" ht="12" customHeight="1">
      <c r="BF1132" s="58"/>
    </row>
    <row r="1133" spans="58:58" ht="12" customHeight="1">
      <c r="BF1133" s="58"/>
    </row>
    <row r="1134" spans="58:58" ht="12" customHeight="1">
      <c r="BF1134" s="58"/>
    </row>
    <row r="1135" spans="58:58" ht="12" customHeight="1">
      <c r="BF1135" s="58"/>
    </row>
    <row r="1136" spans="58:58" ht="12" customHeight="1">
      <c r="BF1136" s="58"/>
    </row>
    <row r="1137" spans="58:58" ht="12" customHeight="1">
      <c r="BF1137" s="58"/>
    </row>
    <row r="1138" spans="58:58" ht="12" customHeight="1">
      <c r="BF1138" s="58"/>
    </row>
    <row r="1139" spans="58:58" ht="12" customHeight="1">
      <c r="BF1139" s="58"/>
    </row>
    <row r="1140" spans="58:58" ht="12" customHeight="1">
      <c r="BF1140" s="58"/>
    </row>
    <row r="1141" spans="58:58" ht="12" customHeight="1">
      <c r="BF1141" s="58"/>
    </row>
    <row r="1142" spans="58:58" ht="12" customHeight="1">
      <c r="BF1142" s="58"/>
    </row>
    <row r="1143" spans="58:58" ht="12" customHeight="1">
      <c r="BF1143" s="58"/>
    </row>
    <row r="1144" spans="58:58" ht="12" customHeight="1">
      <c r="BF1144" s="58"/>
    </row>
    <row r="1145" spans="58:58" ht="12" customHeight="1">
      <c r="BF1145" s="58"/>
    </row>
    <row r="1146" spans="58:58" ht="12" customHeight="1">
      <c r="BF1146" s="58"/>
    </row>
    <row r="1147" spans="58:58" ht="12" customHeight="1">
      <c r="BF1147" s="58"/>
    </row>
    <row r="1148" spans="58:58" ht="12" customHeight="1">
      <c r="BF1148" s="58"/>
    </row>
    <row r="1149" spans="58:58" ht="12" customHeight="1">
      <c r="BF1149" s="58"/>
    </row>
    <row r="1150" spans="58:58" ht="12" customHeight="1">
      <c r="BF1150" s="58"/>
    </row>
    <row r="1151" spans="58:58" ht="12" customHeight="1">
      <c r="BF1151" s="58"/>
    </row>
    <row r="1152" spans="58:58" ht="12" customHeight="1">
      <c r="BF1152" s="58"/>
    </row>
    <row r="1153" spans="58:58" ht="12" customHeight="1">
      <c r="BF1153" s="58"/>
    </row>
    <row r="1154" spans="58:58" ht="12" customHeight="1">
      <c r="BF1154" s="58"/>
    </row>
    <row r="1155" spans="58:58" ht="12" customHeight="1">
      <c r="BF1155" s="58"/>
    </row>
    <row r="1156" spans="58:58" ht="12" customHeight="1">
      <c r="BF1156" s="58"/>
    </row>
    <row r="1157" spans="58:58" ht="12" customHeight="1">
      <c r="BF1157" s="58"/>
    </row>
    <row r="1158" spans="58:58" ht="12" customHeight="1">
      <c r="BF1158" s="58"/>
    </row>
    <row r="1159" spans="58:58" ht="12" customHeight="1">
      <c r="BF1159" s="58"/>
    </row>
    <row r="1160" spans="58:58" ht="12" customHeight="1">
      <c r="BF1160" s="58"/>
    </row>
    <row r="1161" spans="58:58" ht="12" customHeight="1">
      <c r="BF1161" s="58"/>
    </row>
    <row r="1162" spans="58:58" ht="12" customHeight="1">
      <c r="BF1162" s="58"/>
    </row>
    <row r="1163" spans="58:58" ht="12" customHeight="1">
      <c r="BF1163" s="58"/>
    </row>
    <row r="1164" spans="58:58" ht="12" customHeight="1">
      <c r="BF1164" s="58"/>
    </row>
    <row r="1165" spans="58:58" ht="12" customHeight="1">
      <c r="BF1165" s="58"/>
    </row>
    <row r="1166" spans="58:58" ht="12" customHeight="1">
      <c r="BF1166" s="58"/>
    </row>
    <row r="1167" spans="58:58" ht="12" customHeight="1">
      <c r="BF1167" s="58"/>
    </row>
    <row r="1168" spans="58:58" ht="12" customHeight="1">
      <c r="BF1168" s="58"/>
    </row>
    <row r="1169" spans="58:58" ht="12" customHeight="1">
      <c r="BF1169" s="58"/>
    </row>
    <row r="1170" spans="58:58" ht="12" customHeight="1">
      <c r="BF1170" s="58"/>
    </row>
    <row r="1171" spans="58:58" ht="12" customHeight="1">
      <c r="BF1171" s="58"/>
    </row>
    <row r="1172" spans="58:58" ht="12" customHeight="1">
      <c r="BF1172" s="58"/>
    </row>
    <row r="1173" spans="58:58" ht="12" customHeight="1">
      <c r="BF1173" s="58"/>
    </row>
    <row r="1174" spans="58:58" ht="12" customHeight="1">
      <c r="BF1174" s="58"/>
    </row>
    <row r="1175" spans="58:58" ht="12" customHeight="1">
      <c r="BF1175" s="58"/>
    </row>
    <row r="1176" spans="58:58" ht="12" customHeight="1">
      <c r="BF1176" s="58"/>
    </row>
    <row r="1177" spans="58:58" ht="12" customHeight="1">
      <c r="BF1177" s="58"/>
    </row>
    <row r="1178" spans="58:58" ht="12" customHeight="1">
      <c r="BF1178" s="58"/>
    </row>
    <row r="1179" spans="58:58" ht="12" customHeight="1">
      <c r="BF1179" s="58"/>
    </row>
    <row r="1180" spans="58:58" ht="12" customHeight="1">
      <c r="BF1180" s="58"/>
    </row>
    <row r="1181" spans="58:58" ht="12" customHeight="1">
      <c r="BF1181" s="58"/>
    </row>
    <row r="1182" spans="58:58" ht="12" customHeight="1">
      <c r="BF1182" s="58"/>
    </row>
    <row r="1183" spans="58:58" ht="12" customHeight="1">
      <c r="BF1183" s="58"/>
    </row>
    <row r="1184" spans="58:58" ht="12" customHeight="1">
      <c r="BF1184" s="58"/>
    </row>
    <row r="1185" spans="58:58" ht="12" customHeight="1">
      <c r="BF1185" s="58"/>
    </row>
    <row r="1186" spans="58:58" ht="12" customHeight="1">
      <c r="BF1186" s="58"/>
    </row>
    <row r="1187" spans="58:58" ht="12" customHeight="1">
      <c r="BF1187" s="58"/>
    </row>
    <row r="1188" spans="58:58" ht="12" customHeight="1">
      <c r="BF1188" s="58"/>
    </row>
    <row r="1189" spans="58:58" ht="12" customHeight="1">
      <c r="BF1189" s="58"/>
    </row>
    <row r="1190" spans="58:58" ht="12" customHeight="1">
      <c r="BF1190" s="58"/>
    </row>
    <row r="1191" spans="58:58" ht="12" customHeight="1">
      <c r="BF1191" s="58"/>
    </row>
    <row r="1192" spans="58:58" ht="12" customHeight="1">
      <c r="BF1192" s="58"/>
    </row>
    <row r="1193" spans="58:58" ht="12" customHeight="1">
      <c r="BF1193" s="58"/>
    </row>
    <row r="1194" spans="58:58" ht="12" customHeight="1">
      <c r="BF1194" s="58"/>
    </row>
    <row r="1195" spans="58:58" ht="12" customHeight="1">
      <c r="BF1195" s="58"/>
    </row>
    <row r="1196" spans="58:58" ht="12" customHeight="1">
      <c r="BF1196" s="58"/>
    </row>
    <row r="1197" spans="58:58" ht="12" customHeight="1">
      <c r="BF1197" s="58"/>
    </row>
    <row r="1198" spans="58:58" ht="12" customHeight="1">
      <c r="BF1198" s="58"/>
    </row>
    <row r="1199" spans="58:58" ht="12" customHeight="1">
      <c r="BF1199" s="58"/>
    </row>
    <row r="1200" spans="58:58" ht="12" customHeight="1">
      <c r="BF1200" s="58"/>
    </row>
    <row r="1201" spans="58:58" ht="12" customHeight="1">
      <c r="BF1201" s="58"/>
    </row>
    <row r="1202" spans="58:58" ht="12" customHeight="1">
      <c r="BF1202" s="58"/>
    </row>
    <row r="1203" spans="58:58" ht="12" customHeight="1">
      <c r="BF1203" s="58"/>
    </row>
    <row r="1204" spans="58:58" ht="12" customHeight="1">
      <c r="BF1204" s="58"/>
    </row>
    <row r="1205" spans="58:58" ht="12" customHeight="1">
      <c r="BF1205" s="58"/>
    </row>
    <row r="1206" spans="58:58" ht="12" customHeight="1">
      <c r="BF1206" s="58"/>
    </row>
    <row r="1207" spans="58:58" ht="12" customHeight="1">
      <c r="BF1207" s="58"/>
    </row>
    <row r="1208" spans="58:58" ht="12" customHeight="1">
      <c r="BF1208" s="58"/>
    </row>
    <row r="1209" spans="58:58" ht="12" customHeight="1">
      <c r="BF1209" s="58"/>
    </row>
    <row r="1210" spans="58:58" ht="12" customHeight="1">
      <c r="BF1210" s="58"/>
    </row>
    <row r="1211" spans="58:58" ht="12" customHeight="1">
      <c r="BF1211" s="58"/>
    </row>
    <row r="1212" spans="58:58" ht="12" customHeight="1">
      <c r="BF1212" s="58"/>
    </row>
    <row r="1213" spans="58:58" ht="12" customHeight="1">
      <c r="BF1213" s="58"/>
    </row>
    <row r="1214" spans="58:58" ht="12" customHeight="1">
      <c r="BF1214" s="58"/>
    </row>
    <row r="1215" spans="58:58" ht="12" customHeight="1">
      <c r="BF1215" s="58"/>
    </row>
    <row r="1216" spans="58:58" ht="12" customHeight="1">
      <c r="BF1216" s="58"/>
    </row>
    <row r="1217" spans="58:58" ht="12" customHeight="1">
      <c r="BF1217" s="58"/>
    </row>
    <row r="1218" spans="58:58" ht="12" customHeight="1">
      <c r="BF1218" s="58"/>
    </row>
    <row r="1219" spans="58:58" ht="12" customHeight="1">
      <c r="BF1219" s="58"/>
    </row>
    <row r="1220" spans="58:58" ht="12" customHeight="1">
      <c r="BF1220" s="58"/>
    </row>
    <row r="1221" spans="58:58" ht="12" customHeight="1">
      <c r="BF1221" s="58"/>
    </row>
    <row r="1222" spans="58:58" ht="12" customHeight="1">
      <c r="BF1222" s="58"/>
    </row>
    <row r="1223" spans="58:58" ht="12" customHeight="1">
      <c r="BF1223" s="58"/>
    </row>
    <row r="1224" spans="58:58" ht="12" customHeight="1">
      <c r="BF1224" s="58"/>
    </row>
    <row r="1225" spans="58:58" ht="12" customHeight="1">
      <c r="BF1225" s="58"/>
    </row>
    <row r="1226" spans="58:58" ht="12" customHeight="1">
      <c r="BF1226" s="58"/>
    </row>
    <row r="1227" spans="58:58" ht="12" customHeight="1">
      <c r="BF1227" s="58"/>
    </row>
    <row r="1228" spans="58:58" ht="12" customHeight="1">
      <c r="BF1228" s="58"/>
    </row>
    <row r="1229" spans="58:58" ht="12" customHeight="1">
      <c r="BF1229" s="58"/>
    </row>
    <row r="1230" spans="58:58" ht="12" customHeight="1">
      <c r="BF1230" s="58"/>
    </row>
    <row r="1231" spans="58:58" ht="12" customHeight="1">
      <c r="BF1231" s="58"/>
    </row>
    <row r="1232" spans="58:58" ht="12" customHeight="1">
      <c r="BF1232" s="58"/>
    </row>
    <row r="1233" spans="58:58" ht="12" customHeight="1">
      <c r="BF1233" s="58"/>
    </row>
    <row r="1234" spans="58:58" ht="12" customHeight="1">
      <c r="BF1234" s="58"/>
    </row>
    <row r="1235" spans="58:58" ht="12" customHeight="1">
      <c r="BF1235" s="58"/>
    </row>
    <row r="1236" spans="58:58" ht="12" customHeight="1">
      <c r="BF1236" s="58"/>
    </row>
    <row r="1237" spans="58:58" ht="12" customHeight="1">
      <c r="BF1237" s="58"/>
    </row>
    <row r="1238" spans="58:58" ht="12" customHeight="1">
      <c r="BF1238" s="58"/>
    </row>
    <row r="1239" spans="58:58" ht="12" customHeight="1">
      <c r="BF1239" s="58"/>
    </row>
    <row r="1240" spans="58:58" ht="12" customHeight="1">
      <c r="BF1240" s="58"/>
    </row>
    <row r="1241" spans="58:58" ht="12" customHeight="1">
      <c r="BF1241" s="58"/>
    </row>
    <row r="1242" spans="58:58" ht="12" customHeight="1">
      <c r="BF1242" s="58"/>
    </row>
    <row r="1243" spans="58:58" ht="12" customHeight="1">
      <c r="BF1243" s="58"/>
    </row>
    <row r="1244" spans="58:58" ht="12" customHeight="1">
      <c r="BF1244" s="58"/>
    </row>
    <row r="1245" spans="58:58" ht="12" customHeight="1">
      <c r="BF1245" s="58"/>
    </row>
    <row r="1246" spans="58:58" ht="12" customHeight="1">
      <c r="BF1246" s="58"/>
    </row>
    <row r="1247" spans="58:58" ht="12" customHeight="1">
      <c r="BF1247" s="58"/>
    </row>
    <row r="1248" spans="58:58" ht="12" customHeight="1">
      <c r="BF1248" s="58"/>
    </row>
    <row r="1249" spans="58:58" ht="12" customHeight="1">
      <c r="BF1249" s="58"/>
    </row>
    <row r="1250" spans="58:58" ht="12" customHeight="1">
      <c r="BF1250" s="58"/>
    </row>
    <row r="1251" spans="58:58" ht="12" customHeight="1">
      <c r="BF1251" s="58"/>
    </row>
    <row r="1252" spans="58:58" ht="12" customHeight="1">
      <c r="BF1252" s="58"/>
    </row>
    <row r="1253" spans="58:58" ht="12" customHeight="1">
      <c r="BF1253" s="58"/>
    </row>
    <row r="1254" spans="58:58" ht="12" customHeight="1">
      <c r="BF1254" s="58"/>
    </row>
    <row r="1255" spans="58:58" ht="12" customHeight="1">
      <c r="BF1255" s="58"/>
    </row>
    <row r="1256" spans="58:58" ht="12" customHeight="1">
      <c r="BF1256" s="58"/>
    </row>
    <row r="1257" spans="58:58" ht="12" customHeight="1">
      <c r="BF1257" s="58"/>
    </row>
    <row r="1258" spans="58:58" ht="12" customHeight="1">
      <c r="BF1258" s="58"/>
    </row>
    <row r="1259" spans="58:58" ht="12" customHeight="1">
      <c r="BF1259" s="58"/>
    </row>
    <row r="1260" spans="58:58" ht="12" customHeight="1">
      <c r="BF1260" s="58"/>
    </row>
    <row r="1261" spans="58:58" ht="12" customHeight="1">
      <c r="BF1261" s="58"/>
    </row>
    <row r="1262" spans="58:58" ht="12" customHeight="1">
      <c r="BF1262" s="58"/>
    </row>
    <row r="1263" spans="58:58" ht="12" customHeight="1">
      <c r="BF1263" s="58"/>
    </row>
    <row r="1264" spans="58:58" ht="12" customHeight="1">
      <c r="BF1264" s="58"/>
    </row>
    <row r="1265" spans="58:58" ht="12" customHeight="1">
      <c r="BF1265" s="58"/>
    </row>
    <row r="1266" spans="58:58" ht="12" customHeight="1">
      <c r="BF1266" s="58"/>
    </row>
    <row r="1267" spans="58:58" ht="12" customHeight="1">
      <c r="BF1267" s="58"/>
    </row>
    <row r="1268" spans="58:58" ht="12" customHeight="1">
      <c r="BF1268" s="58"/>
    </row>
    <row r="1269" spans="58:58" ht="12" customHeight="1">
      <c r="BF1269" s="58"/>
    </row>
    <row r="1270" spans="58:58" ht="12" customHeight="1">
      <c r="BF1270" s="58"/>
    </row>
    <row r="1271" spans="58:58" ht="12" customHeight="1">
      <c r="BF1271" s="58"/>
    </row>
    <row r="1272" spans="58:58" ht="12" customHeight="1">
      <c r="BF1272" s="58"/>
    </row>
    <row r="1273" spans="58:58" ht="12" customHeight="1">
      <c r="BF1273" s="58"/>
    </row>
    <row r="1274" spans="58:58" ht="12" customHeight="1">
      <c r="BF1274" s="58"/>
    </row>
    <row r="1275" spans="58:58" ht="12" customHeight="1">
      <c r="BF1275" s="58"/>
    </row>
    <row r="1276" spans="58:58" ht="12" customHeight="1">
      <c r="BF1276" s="58"/>
    </row>
    <row r="1277" spans="58:58" ht="12" customHeight="1">
      <c r="BF1277" s="58"/>
    </row>
    <row r="1278" spans="58:58" ht="12" customHeight="1">
      <c r="BF1278" s="58"/>
    </row>
    <row r="1279" spans="58:58" ht="12" customHeight="1">
      <c r="BF1279" s="58"/>
    </row>
    <row r="1280" spans="58:58" ht="12" customHeight="1">
      <c r="BF1280" s="58"/>
    </row>
    <row r="1281" spans="58:58" ht="12" customHeight="1">
      <c r="BF1281" s="58"/>
    </row>
    <row r="1282" spans="58:58" ht="12" customHeight="1">
      <c r="BF1282" s="58"/>
    </row>
    <row r="1283" spans="58:58" ht="12" customHeight="1">
      <c r="BF1283" s="58"/>
    </row>
    <row r="1284" spans="58:58" ht="12" customHeight="1">
      <c r="BF1284" s="58"/>
    </row>
    <row r="1285" spans="58:58" ht="12" customHeight="1">
      <c r="BF1285" s="58"/>
    </row>
    <row r="1286" spans="58:58" ht="12" customHeight="1">
      <c r="BF1286" s="58"/>
    </row>
    <row r="1287" spans="58:58" ht="12" customHeight="1">
      <c r="BF1287" s="58"/>
    </row>
    <row r="1288" spans="58:58" ht="12" customHeight="1">
      <c r="BF1288" s="58"/>
    </row>
    <row r="1289" spans="58:58" ht="12" customHeight="1">
      <c r="BF1289" s="58"/>
    </row>
    <row r="1290" spans="58:58" ht="12" customHeight="1">
      <c r="BF1290" s="58"/>
    </row>
    <row r="1291" spans="58:58" ht="12" customHeight="1">
      <c r="BF1291" s="58"/>
    </row>
    <row r="1292" spans="58:58" ht="12" customHeight="1">
      <c r="BF1292" s="58"/>
    </row>
    <row r="1293" spans="58:58" ht="12" customHeight="1">
      <c r="BF1293" s="58"/>
    </row>
    <row r="1294" spans="58:58" ht="12" customHeight="1">
      <c r="BF1294" s="58"/>
    </row>
    <row r="1295" spans="58:58" ht="12" customHeight="1">
      <c r="BF1295" s="58"/>
    </row>
    <row r="1296" spans="58:58" ht="12" customHeight="1">
      <c r="BF1296" s="58"/>
    </row>
    <row r="1297" spans="58:58" ht="12" customHeight="1">
      <c r="BF1297" s="58"/>
    </row>
    <row r="1298" spans="58:58" ht="12" customHeight="1">
      <c r="BF1298" s="58"/>
    </row>
    <row r="1299" spans="58:58" ht="12" customHeight="1">
      <c r="BF1299" s="58"/>
    </row>
    <row r="1300" spans="58:58" ht="12" customHeight="1">
      <c r="BF1300" s="58"/>
    </row>
    <row r="1301" spans="58:58" ht="12" customHeight="1">
      <c r="BF1301" s="58"/>
    </row>
    <row r="1302" spans="58:58" ht="12" customHeight="1">
      <c r="BF1302" s="58"/>
    </row>
    <row r="1303" spans="58:58" ht="12" customHeight="1">
      <c r="BF1303" s="58"/>
    </row>
    <row r="1304" spans="58:58" ht="12" customHeight="1">
      <c r="BF1304" s="58"/>
    </row>
    <row r="1305" spans="58:58" ht="12" customHeight="1">
      <c r="BF1305" s="58"/>
    </row>
    <row r="1306" spans="58:58" ht="12" customHeight="1">
      <c r="BF1306" s="58"/>
    </row>
    <row r="1307" spans="58:58" ht="12" customHeight="1">
      <c r="BF1307" s="58"/>
    </row>
    <row r="1308" spans="58:58" ht="12" customHeight="1">
      <c r="BF1308" s="58"/>
    </row>
    <row r="1309" spans="58:58" ht="12" customHeight="1">
      <c r="BF1309" s="58"/>
    </row>
    <row r="1310" spans="58:58" ht="12" customHeight="1">
      <c r="BF1310" s="58"/>
    </row>
    <row r="1311" spans="58:58" ht="12" customHeight="1">
      <c r="BF1311" s="58"/>
    </row>
    <row r="1312" spans="58:58" ht="12" customHeight="1">
      <c r="BF1312" s="58"/>
    </row>
    <row r="1313" spans="58:58" ht="12" customHeight="1">
      <c r="BF1313" s="58"/>
    </row>
    <row r="1314" spans="58:58" ht="12" customHeight="1">
      <c r="BF1314" s="58"/>
    </row>
    <row r="1315" spans="58:58" ht="12" customHeight="1">
      <c r="BF1315" s="58"/>
    </row>
    <row r="1316" spans="58:58" ht="12" customHeight="1">
      <c r="BF1316" s="58"/>
    </row>
    <row r="1317" spans="58:58" ht="12" customHeight="1">
      <c r="BF1317" s="58"/>
    </row>
    <row r="1318" spans="58:58" ht="12" customHeight="1">
      <c r="BF1318" s="58"/>
    </row>
    <row r="1319" spans="58:58" ht="12" customHeight="1">
      <c r="BF1319" s="58"/>
    </row>
    <row r="1320" spans="58:58" ht="12" customHeight="1">
      <c r="BF1320" s="58"/>
    </row>
    <row r="1321" spans="58:58" ht="12" customHeight="1">
      <c r="BF1321" s="58"/>
    </row>
    <row r="1322" spans="58:58" ht="12" customHeight="1">
      <c r="BF1322" s="58"/>
    </row>
    <row r="1323" spans="58:58" ht="12" customHeight="1">
      <c r="BF1323" s="58"/>
    </row>
    <row r="1324" spans="58:58" ht="12" customHeight="1">
      <c r="BF1324" s="58"/>
    </row>
    <row r="1325" spans="58:58" ht="12" customHeight="1">
      <c r="BF1325" s="58"/>
    </row>
    <row r="1326" spans="58:58" ht="12" customHeight="1">
      <c r="BF1326" s="58"/>
    </row>
    <row r="1327" spans="58:58" ht="12" customHeight="1">
      <c r="BF1327" s="58"/>
    </row>
    <row r="1328" spans="58:58" ht="12" customHeight="1">
      <c r="BF1328" s="58"/>
    </row>
    <row r="1329" spans="58:58" ht="12" customHeight="1">
      <c r="BF1329" s="58"/>
    </row>
    <row r="1330" spans="58:58" ht="12" customHeight="1">
      <c r="BF1330" s="58"/>
    </row>
    <row r="1331" spans="58:58" ht="12" customHeight="1">
      <c r="BF1331" s="58"/>
    </row>
    <row r="1332" spans="58:58" ht="12" customHeight="1">
      <c r="BF1332" s="58"/>
    </row>
    <row r="1333" spans="58:58" ht="12" customHeight="1">
      <c r="BF1333" s="58"/>
    </row>
    <row r="1334" spans="58:58" ht="12" customHeight="1">
      <c r="BF1334" s="58"/>
    </row>
    <row r="1335" spans="58:58" ht="12" customHeight="1">
      <c r="BF1335" s="58"/>
    </row>
    <row r="1336" spans="58:58" ht="12" customHeight="1">
      <c r="BF1336" s="58"/>
    </row>
    <row r="1337" spans="58:58" ht="12" customHeight="1">
      <c r="BF1337" s="58"/>
    </row>
    <row r="1338" spans="58:58" ht="12" customHeight="1">
      <c r="BF1338" s="58"/>
    </row>
    <row r="1339" spans="58:58" ht="12" customHeight="1">
      <c r="BF1339" s="58"/>
    </row>
    <row r="1340" spans="58:58" ht="12" customHeight="1">
      <c r="BF1340" s="58"/>
    </row>
    <row r="1341" spans="58:58" ht="12" customHeight="1">
      <c r="BF1341" s="58"/>
    </row>
    <row r="1342" spans="58:58" ht="12" customHeight="1">
      <c r="BF1342" s="58"/>
    </row>
    <row r="1343" spans="58:58" ht="12" customHeight="1">
      <c r="BF1343" s="58"/>
    </row>
    <row r="1344" spans="58:58" ht="12" customHeight="1">
      <c r="BF1344" s="58"/>
    </row>
    <row r="1345" spans="58:58" ht="12" customHeight="1">
      <c r="BF1345" s="58"/>
    </row>
    <row r="1346" spans="58:58" ht="12" customHeight="1">
      <c r="BF1346" s="58"/>
    </row>
    <row r="1347" spans="58:58" ht="12" customHeight="1">
      <c r="BF1347" s="58"/>
    </row>
    <row r="1348" spans="58:58" ht="12" customHeight="1">
      <c r="BF1348" s="58"/>
    </row>
    <row r="1349" spans="58:58" ht="12" customHeight="1">
      <c r="BF1349" s="58"/>
    </row>
    <row r="1350" spans="58:58" ht="12" customHeight="1">
      <c r="BF1350" s="58"/>
    </row>
    <row r="1351" spans="58:58" ht="12" customHeight="1">
      <c r="BF1351" s="58"/>
    </row>
    <row r="1352" spans="58:58" ht="12" customHeight="1">
      <c r="BF1352" s="58"/>
    </row>
    <row r="1353" spans="58:58" ht="12" customHeight="1">
      <c r="BF1353" s="58"/>
    </row>
    <row r="1354" spans="58:58" ht="12" customHeight="1">
      <c r="BF1354" s="58"/>
    </row>
    <row r="1355" spans="58:58" ht="12" customHeight="1">
      <c r="BF1355" s="58"/>
    </row>
    <row r="1356" spans="58:58" ht="12" customHeight="1">
      <c r="BF1356" s="58"/>
    </row>
    <row r="1357" spans="58:58" ht="12" customHeight="1">
      <c r="BF1357" s="58"/>
    </row>
    <row r="1358" spans="58:58" ht="12" customHeight="1">
      <c r="BF1358" s="58"/>
    </row>
    <row r="1359" spans="58:58" ht="12" customHeight="1">
      <c r="BF1359" s="58"/>
    </row>
    <row r="1360" spans="58:58" ht="12" customHeight="1">
      <c r="BF1360" s="58"/>
    </row>
    <row r="1361" spans="58:58" ht="12" customHeight="1">
      <c r="BF1361" s="58"/>
    </row>
    <row r="1362" spans="58:58" ht="12" customHeight="1">
      <c r="BF1362" s="58"/>
    </row>
    <row r="1363" spans="58:58" ht="12" customHeight="1">
      <c r="BF1363" s="58"/>
    </row>
    <row r="1364" spans="58:58" ht="12" customHeight="1">
      <c r="BF1364" s="58"/>
    </row>
    <row r="1365" spans="58:58" ht="12" customHeight="1">
      <c r="BF1365" s="58"/>
    </row>
    <row r="1366" spans="58:58" ht="12" customHeight="1">
      <c r="BF1366" s="58"/>
    </row>
    <row r="1367" spans="58:58" ht="12" customHeight="1">
      <c r="BF1367" s="58"/>
    </row>
    <row r="1368" spans="58:58" ht="12" customHeight="1">
      <c r="BF1368" s="58"/>
    </row>
    <row r="1369" spans="58:58" ht="12" customHeight="1">
      <c r="BF1369" s="58"/>
    </row>
    <row r="1370" spans="58:58" ht="12" customHeight="1">
      <c r="BF1370" s="58"/>
    </row>
    <row r="1371" spans="58:58" ht="12" customHeight="1">
      <c r="BF1371" s="58"/>
    </row>
    <row r="1372" spans="58:58" ht="12" customHeight="1">
      <c r="BF1372" s="58"/>
    </row>
    <row r="1373" spans="58:58" ht="12" customHeight="1">
      <c r="BF1373" s="58"/>
    </row>
    <row r="1374" spans="58:58" ht="12" customHeight="1">
      <c r="BF1374" s="58"/>
    </row>
    <row r="1375" spans="58:58" ht="12" customHeight="1">
      <c r="BF1375" s="58"/>
    </row>
    <row r="1376" spans="58:58" ht="12" customHeight="1">
      <c r="BF1376" s="58"/>
    </row>
    <row r="1377" spans="58:58" ht="12" customHeight="1">
      <c r="BF1377" s="58"/>
    </row>
    <row r="1378" spans="58:58" ht="12" customHeight="1">
      <c r="BF1378" s="58"/>
    </row>
    <row r="1379" spans="58:58" ht="12" customHeight="1">
      <c r="BF1379" s="58"/>
    </row>
    <row r="1380" spans="58:58" ht="12" customHeight="1">
      <c r="BF1380" s="58"/>
    </row>
    <row r="1381" spans="58:58" ht="12" customHeight="1">
      <c r="BF1381" s="58"/>
    </row>
    <row r="1382" spans="58:58" ht="12" customHeight="1">
      <c r="BF1382" s="58"/>
    </row>
    <row r="1383" spans="58:58" ht="12" customHeight="1">
      <c r="BF1383" s="58"/>
    </row>
    <row r="1384" spans="58:58" ht="12" customHeight="1">
      <c r="BF1384" s="58"/>
    </row>
    <row r="1385" spans="58:58" ht="12" customHeight="1">
      <c r="BF1385" s="58"/>
    </row>
    <row r="1386" spans="58:58" ht="12" customHeight="1">
      <c r="BF1386" s="58"/>
    </row>
    <row r="1387" spans="58:58" ht="12" customHeight="1">
      <c r="BF1387" s="58"/>
    </row>
    <row r="1388" spans="58:58" ht="12" customHeight="1">
      <c r="BF1388" s="58"/>
    </row>
    <row r="1389" spans="58:58" ht="12" customHeight="1">
      <c r="BF1389" s="58"/>
    </row>
    <row r="1390" spans="58:58" ht="12" customHeight="1">
      <c r="BF1390" s="58"/>
    </row>
    <row r="1391" spans="58:58" ht="12" customHeight="1">
      <c r="BF1391" s="58"/>
    </row>
    <row r="1392" spans="58:58" ht="12" customHeight="1">
      <c r="BF1392" s="58"/>
    </row>
    <row r="1393" spans="58:58" ht="12" customHeight="1">
      <c r="BF1393" s="58"/>
    </row>
    <row r="1394" spans="58:58" ht="12" customHeight="1">
      <c r="BF1394" s="58"/>
    </row>
    <row r="1395" spans="58:58" ht="12" customHeight="1">
      <c r="BF1395" s="58"/>
    </row>
    <row r="1396" spans="58:58" ht="12" customHeight="1">
      <c r="BF1396" s="58"/>
    </row>
    <row r="1397" spans="58:58" ht="12" customHeight="1">
      <c r="BF1397" s="58"/>
    </row>
    <row r="1398" spans="58:58" ht="12" customHeight="1">
      <c r="BF1398" s="58"/>
    </row>
    <row r="1399" spans="58:58" ht="12" customHeight="1">
      <c r="BF1399" s="58"/>
    </row>
    <row r="1400" spans="58:58" ht="12" customHeight="1">
      <c r="BF1400" s="58"/>
    </row>
    <row r="1401" spans="58:58" ht="12" customHeight="1">
      <c r="BF1401" s="58"/>
    </row>
    <row r="1402" spans="58:58" ht="12" customHeight="1">
      <c r="BF1402" s="58"/>
    </row>
    <row r="1403" spans="58:58" ht="12" customHeight="1">
      <c r="BF1403" s="58"/>
    </row>
    <row r="1404" spans="58:58" ht="12" customHeight="1">
      <c r="BF1404" s="58"/>
    </row>
    <row r="1405" spans="58:58" ht="12" customHeight="1">
      <c r="BF1405" s="58"/>
    </row>
    <row r="1406" spans="58:58" ht="12" customHeight="1">
      <c r="BF1406" s="58"/>
    </row>
    <row r="1407" spans="58:58" ht="12" customHeight="1">
      <c r="BF1407" s="58"/>
    </row>
    <row r="1408" spans="58:58" ht="12" customHeight="1">
      <c r="BF1408" s="58"/>
    </row>
    <row r="1409" spans="58:58" ht="12" customHeight="1">
      <c r="BF1409" s="58"/>
    </row>
    <row r="1410" spans="58:58" ht="12" customHeight="1">
      <c r="BF1410" s="58"/>
    </row>
    <row r="1411" spans="58:58" ht="12" customHeight="1">
      <c r="BF1411" s="58"/>
    </row>
    <row r="1412" spans="58:58" ht="12" customHeight="1">
      <c r="BF1412" s="58"/>
    </row>
    <row r="1413" spans="58:58" ht="12" customHeight="1">
      <c r="BF1413" s="58"/>
    </row>
    <row r="1414" spans="58:58" ht="12" customHeight="1">
      <c r="BF1414" s="58"/>
    </row>
    <row r="1415" spans="58:58" ht="12" customHeight="1">
      <c r="BF1415" s="58"/>
    </row>
    <row r="1416" spans="58:58" ht="12" customHeight="1">
      <c r="BF1416" s="58"/>
    </row>
    <row r="1417" spans="58:58" ht="12" customHeight="1">
      <c r="BF1417" s="58"/>
    </row>
    <row r="1418" spans="58:58" ht="12" customHeight="1">
      <c r="BF1418" s="58"/>
    </row>
    <row r="1419" spans="58:58" ht="12" customHeight="1">
      <c r="BF1419" s="58"/>
    </row>
    <row r="1420" spans="58:58" ht="12" customHeight="1">
      <c r="BF1420" s="58"/>
    </row>
    <row r="1421" spans="58:58" ht="12" customHeight="1">
      <c r="BF1421" s="58"/>
    </row>
    <row r="1422" spans="58:58" ht="12" customHeight="1">
      <c r="BF1422" s="58"/>
    </row>
    <row r="1423" spans="58:58" ht="12" customHeight="1">
      <c r="BF1423" s="58"/>
    </row>
    <row r="1424" spans="58:58" ht="12" customHeight="1">
      <c r="BF1424" s="58"/>
    </row>
    <row r="1425" spans="58:58" ht="12" customHeight="1">
      <c r="BF1425" s="58"/>
    </row>
    <row r="1426" spans="58:58" ht="12" customHeight="1">
      <c r="BF1426" s="58"/>
    </row>
    <row r="1427" spans="58:58" ht="12" customHeight="1">
      <c r="BF1427" s="58"/>
    </row>
    <row r="1428" spans="58:58" ht="12" customHeight="1">
      <c r="BF1428" s="58"/>
    </row>
    <row r="1429" spans="58:58" ht="12" customHeight="1">
      <c r="BF1429" s="58"/>
    </row>
    <row r="1430" spans="58:58" ht="12" customHeight="1">
      <c r="BF1430" s="58"/>
    </row>
    <row r="1431" spans="58:58" ht="12" customHeight="1">
      <c r="BF1431" s="58"/>
    </row>
    <row r="1432" spans="58:58" ht="12" customHeight="1">
      <c r="BF1432" s="58"/>
    </row>
    <row r="1433" spans="58:58" ht="12" customHeight="1">
      <c r="BF1433" s="58"/>
    </row>
    <row r="1434" spans="58:58" ht="12" customHeight="1">
      <c r="BF1434" s="58"/>
    </row>
    <row r="1435" spans="58:58" ht="12" customHeight="1">
      <c r="BF1435" s="58"/>
    </row>
    <row r="1436" spans="58:58" ht="12" customHeight="1">
      <c r="BF1436" s="58"/>
    </row>
    <row r="1437" spans="58:58" ht="12" customHeight="1">
      <c r="BF1437" s="58"/>
    </row>
    <row r="1438" spans="58:58" ht="12" customHeight="1">
      <c r="BF1438" s="58"/>
    </row>
    <row r="1439" spans="58:58" ht="12" customHeight="1">
      <c r="BF1439" s="58"/>
    </row>
    <row r="1440" spans="58:58" ht="12" customHeight="1">
      <c r="BF1440" s="58"/>
    </row>
    <row r="1441" spans="58:58" ht="12" customHeight="1">
      <c r="BF1441" s="58"/>
    </row>
    <row r="1442" spans="58:58" ht="12" customHeight="1">
      <c r="BF1442" s="58"/>
    </row>
    <row r="1443" spans="58:58" ht="12" customHeight="1">
      <c r="BF1443" s="58"/>
    </row>
    <row r="1444" spans="58:58" ht="12" customHeight="1">
      <c r="BF1444" s="58"/>
    </row>
    <row r="1445" spans="58:58" ht="12" customHeight="1">
      <c r="BF1445" s="58"/>
    </row>
    <row r="1446" spans="58:58" ht="12" customHeight="1">
      <c r="BF1446" s="58"/>
    </row>
    <row r="1447" spans="58:58" ht="12" customHeight="1">
      <c r="BF1447" s="58"/>
    </row>
    <row r="1448" spans="58:58" ht="12" customHeight="1">
      <c r="BF1448" s="58"/>
    </row>
    <row r="1449" spans="58:58" ht="12" customHeight="1">
      <c r="BF1449" s="58"/>
    </row>
    <row r="1450" spans="58:58" ht="12" customHeight="1">
      <c r="BF1450" s="58"/>
    </row>
    <row r="1451" spans="58:58" ht="12" customHeight="1">
      <c r="BF1451" s="58"/>
    </row>
    <row r="1452" spans="58:58" ht="12" customHeight="1">
      <c r="BF1452" s="58"/>
    </row>
    <row r="1453" spans="58:58" ht="12" customHeight="1">
      <c r="BF1453" s="58"/>
    </row>
    <row r="1454" spans="58:58" ht="12" customHeight="1">
      <c r="BF1454" s="58"/>
    </row>
    <row r="1455" spans="58:58" ht="12" customHeight="1">
      <c r="BF1455" s="58"/>
    </row>
    <row r="1456" spans="58:58" ht="12" customHeight="1">
      <c r="BF1456" s="58"/>
    </row>
    <row r="1457" spans="58:58" ht="12" customHeight="1">
      <c r="BF1457" s="58"/>
    </row>
    <row r="1458" spans="58:58" ht="12" customHeight="1">
      <c r="BF1458" s="58"/>
    </row>
    <row r="1459" spans="58:58" ht="12" customHeight="1">
      <c r="BF1459" s="58"/>
    </row>
    <row r="1460" spans="58:58" ht="12" customHeight="1">
      <c r="BF1460" s="58"/>
    </row>
    <row r="1461" spans="58:58" ht="12" customHeight="1">
      <c r="BF1461" s="58"/>
    </row>
    <row r="1462" spans="58:58" ht="12" customHeight="1">
      <c r="BF1462" s="58"/>
    </row>
    <row r="1463" spans="58:58" ht="12" customHeight="1">
      <c r="BF1463" s="58"/>
    </row>
    <row r="1464" spans="58:58" ht="12" customHeight="1">
      <c r="BF1464" s="58"/>
    </row>
    <row r="1465" spans="58:58" ht="12" customHeight="1">
      <c r="BF1465" s="58"/>
    </row>
    <row r="1466" spans="58:58" ht="12" customHeight="1">
      <c r="BF1466" s="58"/>
    </row>
    <row r="1467" spans="58:58" ht="12" customHeight="1">
      <c r="BF1467" s="58"/>
    </row>
    <row r="1468" spans="58:58" ht="12" customHeight="1">
      <c r="BF1468" s="58"/>
    </row>
    <row r="1469" spans="58:58" ht="12" customHeight="1">
      <c r="BF1469" s="58"/>
    </row>
    <row r="1470" spans="58:58" ht="12" customHeight="1">
      <c r="BF1470" s="58"/>
    </row>
    <row r="1471" spans="58:58" ht="12" customHeight="1">
      <c r="BF1471" s="58"/>
    </row>
    <row r="1472" spans="58:58" ht="12" customHeight="1">
      <c r="BF1472" s="58"/>
    </row>
    <row r="1473" spans="58:58" ht="12" customHeight="1">
      <c r="BF1473" s="58"/>
    </row>
    <row r="1474" spans="58:58" ht="12" customHeight="1">
      <c r="BF1474" s="58"/>
    </row>
    <row r="1475" spans="58:58" ht="12" customHeight="1">
      <c r="BF1475" s="58"/>
    </row>
    <row r="1476" spans="58:58" ht="12" customHeight="1">
      <c r="BF1476" s="58"/>
    </row>
    <row r="1477" spans="58:58" ht="12" customHeight="1">
      <c r="BF1477" s="58"/>
    </row>
    <row r="1478" spans="58:58" ht="12" customHeight="1">
      <c r="BF1478" s="58"/>
    </row>
    <row r="1479" spans="58:58" ht="12" customHeight="1">
      <c r="BF1479" s="58"/>
    </row>
    <row r="1480" spans="58:58" ht="12" customHeight="1">
      <c r="BF1480" s="58"/>
    </row>
    <row r="1481" spans="58:58" ht="12" customHeight="1">
      <c r="BF1481" s="58"/>
    </row>
    <row r="1482" spans="58:58" ht="12" customHeight="1">
      <c r="BF1482" s="58"/>
    </row>
    <row r="1483" spans="58:58" ht="12" customHeight="1">
      <c r="BF1483" s="58"/>
    </row>
    <row r="1484" spans="58:58" ht="12" customHeight="1">
      <c r="BF1484" s="58"/>
    </row>
    <row r="1485" spans="58:58" ht="12" customHeight="1">
      <c r="BF1485" s="58"/>
    </row>
    <row r="1486" spans="58:58" ht="12" customHeight="1">
      <c r="BF1486" s="58"/>
    </row>
    <row r="1487" spans="58:58" ht="12" customHeight="1">
      <c r="BF1487" s="58"/>
    </row>
    <row r="1488" spans="58:58" ht="12" customHeight="1">
      <c r="BF1488" s="58"/>
    </row>
    <row r="1489" spans="58:58" ht="12" customHeight="1">
      <c r="BF1489" s="58"/>
    </row>
    <row r="1490" spans="58:58" ht="12" customHeight="1">
      <c r="BF1490" s="58"/>
    </row>
    <row r="1491" spans="58:58" ht="12" customHeight="1">
      <c r="BF1491" s="58"/>
    </row>
    <row r="1492" spans="58:58" ht="12" customHeight="1">
      <c r="BF1492" s="58"/>
    </row>
    <row r="1493" spans="58:58" ht="12" customHeight="1">
      <c r="BF1493" s="58"/>
    </row>
    <row r="1494" spans="58:58" ht="12" customHeight="1">
      <c r="BF1494" s="58"/>
    </row>
    <row r="1495" spans="58:58" ht="12" customHeight="1">
      <c r="BF1495" s="58"/>
    </row>
    <row r="1496" spans="58:58" ht="12" customHeight="1">
      <c r="BF1496" s="58"/>
    </row>
    <row r="1497" spans="58:58" ht="12" customHeight="1">
      <c r="BF1497" s="58"/>
    </row>
    <row r="1498" spans="58:58" ht="12" customHeight="1">
      <c r="BF1498" s="58"/>
    </row>
    <row r="1499" spans="58:58" ht="12" customHeight="1">
      <c r="BF1499" s="58"/>
    </row>
    <row r="1500" spans="58:58" ht="12" customHeight="1">
      <c r="BF1500" s="58"/>
    </row>
    <row r="1501" spans="58:58" ht="12" customHeight="1">
      <c r="BF1501" s="58"/>
    </row>
    <row r="1502" spans="58:58" ht="12" customHeight="1">
      <c r="BF1502" s="58"/>
    </row>
    <row r="1503" spans="58:58" ht="12" customHeight="1">
      <c r="BF1503" s="58"/>
    </row>
    <row r="1504" spans="58:58" ht="12" customHeight="1">
      <c r="BF1504" s="58"/>
    </row>
    <row r="1505" spans="58:58" ht="12" customHeight="1">
      <c r="BF1505" s="58"/>
    </row>
    <row r="1506" spans="58:58" ht="12" customHeight="1">
      <c r="BF1506" s="58"/>
    </row>
    <row r="1507" spans="58:58" ht="12" customHeight="1">
      <c r="BF1507" s="58"/>
    </row>
    <row r="1508" spans="58:58" ht="12" customHeight="1">
      <c r="BF1508" s="58"/>
    </row>
    <row r="1509" spans="58:58" ht="12" customHeight="1">
      <c r="BF1509" s="58"/>
    </row>
    <row r="1510" spans="58:58" ht="12" customHeight="1">
      <c r="BF1510" s="58"/>
    </row>
    <row r="1511" spans="58:58" ht="12" customHeight="1">
      <c r="BF1511" s="58"/>
    </row>
    <row r="1512" spans="58:58" ht="12" customHeight="1">
      <c r="BF1512" s="58"/>
    </row>
    <row r="1513" spans="58:58" ht="12" customHeight="1">
      <c r="BF1513" s="58"/>
    </row>
    <row r="1514" spans="58:58" ht="12" customHeight="1">
      <c r="BF1514" s="58"/>
    </row>
    <row r="1515" spans="58:58" ht="12" customHeight="1">
      <c r="BF1515" s="58"/>
    </row>
    <row r="1516" spans="58:58" ht="12" customHeight="1">
      <c r="BF1516" s="58"/>
    </row>
    <row r="1517" spans="58:58" ht="12" customHeight="1">
      <c r="BF1517" s="58"/>
    </row>
    <row r="1518" spans="58:58" ht="12" customHeight="1">
      <c r="BF1518" s="58"/>
    </row>
    <row r="1519" spans="58:58" ht="12" customHeight="1">
      <c r="BF1519" s="58"/>
    </row>
    <row r="1520" spans="58:58" ht="12" customHeight="1">
      <c r="BF1520" s="58"/>
    </row>
    <row r="1521" spans="58:58" ht="12" customHeight="1">
      <c r="BF1521" s="58"/>
    </row>
    <row r="1522" spans="58:58" ht="12" customHeight="1">
      <c r="BF1522" s="58"/>
    </row>
    <row r="1523" spans="58:58" ht="12" customHeight="1">
      <c r="BF1523" s="58"/>
    </row>
    <row r="1524" spans="58:58" ht="12" customHeight="1">
      <c r="BF1524" s="58"/>
    </row>
    <row r="1525" spans="58:58" ht="12" customHeight="1">
      <c r="BF1525" s="58"/>
    </row>
    <row r="1526" spans="58:58" ht="12" customHeight="1">
      <c r="BF1526" s="58"/>
    </row>
    <row r="1527" spans="58:58" ht="12" customHeight="1">
      <c r="BF1527" s="58"/>
    </row>
    <row r="1528" spans="58:58" ht="12" customHeight="1">
      <c r="BF1528" s="58"/>
    </row>
    <row r="1529" spans="58:58" ht="12" customHeight="1">
      <c r="BF1529" s="58"/>
    </row>
    <row r="1530" spans="58:58" ht="12" customHeight="1">
      <c r="BF1530" s="58"/>
    </row>
    <row r="1531" spans="58:58" ht="12" customHeight="1">
      <c r="BF1531" s="58"/>
    </row>
    <row r="1532" spans="58:58" ht="12" customHeight="1">
      <c r="BF1532" s="58"/>
    </row>
    <row r="1533" spans="58:58" ht="12" customHeight="1">
      <c r="BF1533" s="58"/>
    </row>
    <row r="1534" spans="58:58" ht="12" customHeight="1">
      <c r="BF1534" s="58"/>
    </row>
    <row r="1535" spans="58:58" ht="12" customHeight="1">
      <c r="BF1535" s="58"/>
    </row>
    <row r="1536" spans="58:58" ht="12" customHeight="1">
      <c r="BF1536" s="58"/>
    </row>
    <row r="1537" spans="58:58" ht="12" customHeight="1">
      <c r="BF1537" s="58"/>
    </row>
    <row r="1538" spans="58:58" ht="12" customHeight="1">
      <c r="BF1538" s="58"/>
    </row>
    <row r="1539" spans="58:58" ht="12" customHeight="1">
      <c r="BF1539" s="58"/>
    </row>
    <row r="1540" spans="58:58" ht="12" customHeight="1">
      <c r="BF1540" s="58"/>
    </row>
    <row r="1541" spans="58:58" ht="12" customHeight="1">
      <c r="BF1541" s="58"/>
    </row>
    <row r="1542" spans="58:58" ht="12" customHeight="1">
      <c r="BF1542" s="58"/>
    </row>
    <row r="1543" spans="58:58" ht="12" customHeight="1">
      <c r="BF1543" s="58"/>
    </row>
    <row r="1544" spans="58:58" ht="12" customHeight="1">
      <c r="BF1544" s="58"/>
    </row>
    <row r="1545" spans="58:58" ht="12" customHeight="1">
      <c r="BF1545" s="58"/>
    </row>
    <row r="1546" spans="58:58" ht="12" customHeight="1">
      <c r="BF1546" s="58"/>
    </row>
    <row r="1547" spans="58:58" ht="12" customHeight="1">
      <c r="BF1547" s="58"/>
    </row>
    <row r="1548" spans="58:58" ht="12" customHeight="1">
      <c r="BF1548" s="58"/>
    </row>
    <row r="1549" spans="58:58" ht="12" customHeight="1">
      <c r="BF1549" s="58"/>
    </row>
    <row r="1550" spans="58:58" ht="12" customHeight="1">
      <c r="BF1550" s="58"/>
    </row>
    <row r="1551" spans="58:58" ht="12" customHeight="1">
      <c r="BF1551" s="58"/>
    </row>
    <row r="1552" spans="58:58" ht="12" customHeight="1">
      <c r="BF1552" s="58"/>
    </row>
    <row r="1553" spans="58:58" ht="12" customHeight="1">
      <c r="BF1553" s="58"/>
    </row>
    <row r="1554" spans="58:58" ht="12" customHeight="1">
      <c r="BF1554" s="58"/>
    </row>
    <row r="1555" spans="58:58" ht="12" customHeight="1">
      <c r="BF1555" s="58"/>
    </row>
    <row r="1556" spans="58:58" ht="12" customHeight="1">
      <c r="BF1556" s="58"/>
    </row>
    <row r="1557" spans="58:58" ht="12" customHeight="1">
      <c r="BF1557" s="58"/>
    </row>
    <row r="1558" spans="58:58" ht="12" customHeight="1">
      <c r="BF1558" s="58"/>
    </row>
    <row r="1559" spans="58:58" ht="12" customHeight="1">
      <c r="BF1559" s="58"/>
    </row>
    <row r="1560" spans="58:58" ht="12" customHeight="1">
      <c r="BF1560" s="58"/>
    </row>
    <row r="1561" spans="58:58" ht="12" customHeight="1">
      <c r="BF1561" s="58"/>
    </row>
    <row r="1562" spans="58:58" ht="12" customHeight="1">
      <c r="BF1562" s="58"/>
    </row>
    <row r="1563" spans="58:58" ht="12" customHeight="1">
      <c r="BF1563" s="58"/>
    </row>
    <row r="1564" spans="58:58" ht="12" customHeight="1">
      <c r="BF1564" s="58"/>
    </row>
    <row r="1565" spans="58:58" ht="12" customHeight="1">
      <c r="BF1565" s="58"/>
    </row>
    <row r="1566" spans="58:58" ht="12" customHeight="1">
      <c r="BF1566" s="58"/>
    </row>
    <row r="1567" spans="58:58" ht="12" customHeight="1">
      <c r="BF1567" s="58"/>
    </row>
    <row r="1568" spans="58:58" ht="12" customHeight="1">
      <c r="BF1568" s="58"/>
    </row>
    <row r="1569" spans="58:58" ht="12" customHeight="1">
      <c r="BF1569" s="58"/>
    </row>
    <row r="1570" spans="58:58" ht="12" customHeight="1">
      <c r="BF1570" s="58"/>
    </row>
    <row r="1571" spans="58:58" ht="12" customHeight="1">
      <c r="BF1571" s="58"/>
    </row>
    <row r="1572" spans="58:58" ht="12" customHeight="1">
      <c r="BF1572" s="58"/>
    </row>
    <row r="1573" spans="58:58" ht="12" customHeight="1">
      <c r="BF1573" s="58"/>
    </row>
    <row r="1574" spans="58:58" ht="12" customHeight="1">
      <c r="BF1574" s="58"/>
    </row>
    <row r="1575" spans="58:58" ht="12" customHeight="1">
      <c r="BF1575" s="58"/>
    </row>
    <row r="1576" spans="58:58" ht="12" customHeight="1">
      <c r="BF1576" s="58"/>
    </row>
    <row r="1577" spans="58:58" ht="12" customHeight="1">
      <c r="BF1577" s="58"/>
    </row>
    <row r="1578" spans="58:58" ht="12" customHeight="1">
      <c r="BF1578" s="58"/>
    </row>
    <row r="1579" spans="58:58" ht="12" customHeight="1">
      <c r="BF1579" s="58"/>
    </row>
    <row r="1580" spans="58:58" ht="12" customHeight="1">
      <c r="BF1580" s="58"/>
    </row>
    <row r="1581" spans="58:58" ht="12" customHeight="1">
      <c r="BF1581" s="58"/>
    </row>
    <row r="1582" spans="58:58" ht="12" customHeight="1">
      <c r="BF1582" s="58"/>
    </row>
    <row r="1583" spans="58:58" ht="12" customHeight="1">
      <c r="BF1583" s="58"/>
    </row>
    <row r="1584" spans="58:58" ht="12" customHeight="1">
      <c r="BF1584" s="58"/>
    </row>
    <row r="1585" spans="58:58" ht="12" customHeight="1">
      <c r="BF1585" s="58"/>
    </row>
    <row r="1586" spans="58:58" ht="12" customHeight="1">
      <c r="BF1586" s="58"/>
    </row>
    <row r="1587" spans="58:58" ht="12" customHeight="1">
      <c r="BF1587" s="58"/>
    </row>
    <row r="1588" spans="58:58" ht="12" customHeight="1">
      <c r="BF1588" s="58"/>
    </row>
    <row r="1589" spans="58:58" ht="12" customHeight="1">
      <c r="BF1589" s="58"/>
    </row>
    <row r="1590" spans="58:58" ht="12" customHeight="1">
      <c r="BF1590" s="58"/>
    </row>
    <row r="1591" spans="58:58" ht="12" customHeight="1">
      <c r="BF1591" s="58"/>
    </row>
    <row r="1592" spans="58:58" ht="12" customHeight="1">
      <c r="BF1592" s="58"/>
    </row>
    <row r="1593" spans="58:58" ht="12" customHeight="1">
      <c r="BF1593" s="58"/>
    </row>
    <row r="1594" spans="58:58" ht="12" customHeight="1">
      <c r="BF1594" s="58"/>
    </row>
    <row r="1595" spans="58:58" ht="12" customHeight="1">
      <c r="BF1595" s="58"/>
    </row>
    <row r="1596" spans="58:58" ht="12" customHeight="1">
      <c r="BF1596" s="58"/>
    </row>
    <row r="1597" spans="58:58" ht="12" customHeight="1">
      <c r="BF1597" s="58"/>
    </row>
    <row r="1598" spans="58:58" ht="12" customHeight="1">
      <c r="BF1598" s="58"/>
    </row>
    <row r="1599" spans="58:58" ht="12" customHeight="1">
      <c r="BF1599" s="58"/>
    </row>
    <row r="1600" spans="58:58" ht="12" customHeight="1">
      <c r="BF1600" s="58"/>
    </row>
    <row r="1601" spans="58:58" ht="12" customHeight="1">
      <c r="BF1601" s="58"/>
    </row>
    <row r="1602" spans="58:58" ht="12" customHeight="1">
      <c r="BF1602" s="58"/>
    </row>
    <row r="1603" spans="58:58" ht="12" customHeight="1">
      <c r="BF1603" s="58"/>
    </row>
    <row r="1604" spans="58:58" ht="12" customHeight="1">
      <c r="BF1604" s="58"/>
    </row>
    <row r="1605" spans="58:58" ht="12" customHeight="1">
      <c r="BF1605" s="58"/>
    </row>
    <row r="1606" spans="58:58" ht="12" customHeight="1">
      <c r="BF1606" s="58"/>
    </row>
    <row r="1607" spans="58:58" ht="12" customHeight="1">
      <c r="BF1607" s="58"/>
    </row>
    <row r="1608" spans="58:58" ht="12" customHeight="1">
      <c r="BF1608" s="58"/>
    </row>
    <row r="1609" spans="58:58" ht="12" customHeight="1">
      <c r="BF1609" s="58"/>
    </row>
    <row r="1610" spans="58:58" ht="12" customHeight="1">
      <c r="BF1610" s="58"/>
    </row>
    <row r="1611" spans="58:58" ht="12" customHeight="1">
      <c r="BF1611" s="58"/>
    </row>
    <row r="1612" spans="58:58" ht="12" customHeight="1">
      <c r="BF1612" s="58"/>
    </row>
    <row r="1613" spans="58:58" ht="12" customHeight="1">
      <c r="BF1613" s="58"/>
    </row>
    <row r="1614" spans="58:58" ht="12" customHeight="1">
      <c r="BF1614" s="58"/>
    </row>
    <row r="1615" spans="58:58" ht="12" customHeight="1">
      <c r="BF1615" s="58"/>
    </row>
    <row r="1616" spans="58:58" ht="12" customHeight="1">
      <c r="BF1616" s="58"/>
    </row>
    <row r="1617" spans="58:58" ht="12" customHeight="1">
      <c r="BF1617" s="58"/>
    </row>
    <row r="1618" spans="58:58" ht="12" customHeight="1">
      <c r="BF1618" s="58"/>
    </row>
    <row r="1619" spans="58:58" ht="12" customHeight="1">
      <c r="BF1619" s="58"/>
    </row>
    <row r="1620" spans="58:58" ht="12" customHeight="1">
      <c r="BF1620" s="58"/>
    </row>
    <row r="1621" spans="58:58" ht="12" customHeight="1">
      <c r="BF1621" s="58"/>
    </row>
    <row r="1622" spans="58:58" ht="12" customHeight="1">
      <c r="BF1622" s="58"/>
    </row>
    <row r="1623" spans="58:58" ht="12" customHeight="1">
      <c r="BF1623" s="58"/>
    </row>
    <row r="1624" spans="58:58" ht="12" customHeight="1">
      <c r="BF1624" s="58"/>
    </row>
    <row r="1625" spans="58:58" ht="12" customHeight="1">
      <c r="BF1625" s="58"/>
    </row>
    <row r="1626" spans="58:58" ht="12" customHeight="1">
      <c r="BF1626" s="58"/>
    </row>
    <row r="1627" spans="58:58" ht="12" customHeight="1">
      <c r="BF1627" s="58"/>
    </row>
    <row r="1628" spans="58:58" ht="12" customHeight="1">
      <c r="BF1628" s="58"/>
    </row>
    <row r="1629" spans="58:58" ht="12" customHeight="1">
      <c r="BF1629" s="58"/>
    </row>
    <row r="1630" spans="58:58" ht="12" customHeight="1">
      <c r="BF1630" s="58"/>
    </row>
    <row r="1631" spans="58:58" ht="12" customHeight="1">
      <c r="BF1631" s="58"/>
    </row>
    <row r="1632" spans="58:58" ht="12" customHeight="1">
      <c r="BF1632" s="58"/>
    </row>
    <row r="1633" spans="58:58" ht="12" customHeight="1">
      <c r="BF1633" s="58"/>
    </row>
    <row r="1634" spans="58:58" ht="12" customHeight="1">
      <c r="BF1634" s="58"/>
    </row>
    <row r="1635" spans="58:58" ht="12" customHeight="1">
      <c r="BF1635" s="58"/>
    </row>
    <row r="1636" spans="58:58" ht="12" customHeight="1">
      <c r="BF1636" s="58"/>
    </row>
    <row r="1637" spans="58:58" ht="12" customHeight="1">
      <c r="BF1637" s="58"/>
    </row>
    <row r="1638" spans="58:58" ht="12" customHeight="1">
      <c r="BF1638" s="58"/>
    </row>
    <row r="1639" spans="58:58" ht="12" customHeight="1">
      <c r="BF1639" s="58"/>
    </row>
    <row r="1640" spans="58:58" ht="12" customHeight="1">
      <c r="BF1640" s="58"/>
    </row>
    <row r="1641" spans="58:58" ht="12" customHeight="1">
      <c r="BF1641" s="58"/>
    </row>
    <row r="1642" spans="58:58" ht="12" customHeight="1">
      <c r="BF1642" s="58"/>
    </row>
    <row r="1643" spans="58:58" ht="12" customHeight="1">
      <c r="BF1643" s="58"/>
    </row>
    <row r="1644" spans="58:58" ht="12" customHeight="1">
      <c r="BF1644" s="58"/>
    </row>
    <row r="1645" spans="58:58" ht="12" customHeight="1">
      <c r="BF1645" s="58"/>
    </row>
    <row r="1646" spans="58:58" ht="12" customHeight="1">
      <c r="BF1646" s="58"/>
    </row>
    <row r="1647" spans="58:58" ht="12" customHeight="1">
      <c r="BF1647" s="58"/>
    </row>
    <row r="1648" spans="58:58" ht="12" customHeight="1">
      <c r="BF1648" s="58"/>
    </row>
    <row r="1649" spans="58:58" ht="12" customHeight="1">
      <c r="BF1649" s="58"/>
    </row>
    <row r="1650" spans="58:58" ht="12" customHeight="1">
      <c r="BF1650" s="58"/>
    </row>
    <row r="1651" spans="58:58" ht="12" customHeight="1">
      <c r="BF1651" s="58"/>
    </row>
    <row r="1652" spans="58:58" ht="12" customHeight="1">
      <c r="BF1652" s="58"/>
    </row>
    <row r="1653" spans="58:58" ht="12" customHeight="1">
      <c r="BF1653" s="58"/>
    </row>
    <row r="1654" spans="58:58" ht="12" customHeight="1">
      <c r="BF1654" s="58"/>
    </row>
    <row r="1655" spans="58:58" ht="12" customHeight="1">
      <c r="BF1655" s="58"/>
    </row>
    <row r="1656" spans="58:58" ht="12" customHeight="1">
      <c r="BF1656" s="58"/>
    </row>
    <row r="1657" spans="58:58" ht="12" customHeight="1">
      <c r="BF1657" s="58"/>
    </row>
    <row r="1658" spans="58:58" ht="12" customHeight="1">
      <c r="BF1658" s="58"/>
    </row>
    <row r="1659" spans="58:58" ht="12" customHeight="1">
      <c r="BF1659" s="58"/>
    </row>
    <row r="1660" spans="58:58" ht="12" customHeight="1">
      <c r="BF1660" s="58"/>
    </row>
    <row r="1661" spans="58:58" ht="12" customHeight="1">
      <c r="BF1661" s="58"/>
    </row>
    <row r="1662" spans="58:58" ht="12" customHeight="1">
      <c r="BF1662" s="58"/>
    </row>
    <row r="1663" spans="58:58" ht="12" customHeight="1">
      <c r="BF1663" s="58"/>
    </row>
    <row r="1664" spans="58:58" ht="12" customHeight="1">
      <c r="BF1664" s="58"/>
    </row>
    <row r="1665" spans="58:58" ht="12" customHeight="1">
      <c r="BF1665" s="58"/>
    </row>
    <row r="1666" spans="58:58" ht="12" customHeight="1">
      <c r="BF1666" s="58"/>
    </row>
    <row r="1667" spans="58:58" ht="12" customHeight="1">
      <c r="BF1667" s="58"/>
    </row>
    <row r="1668" spans="58:58" ht="12" customHeight="1">
      <c r="BF1668" s="58"/>
    </row>
    <row r="1669" spans="58:58" ht="12" customHeight="1">
      <c r="BF1669" s="58"/>
    </row>
    <row r="1670" spans="58:58" ht="12" customHeight="1">
      <c r="BF1670" s="58"/>
    </row>
    <row r="1671" spans="58:58" ht="12" customHeight="1">
      <c r="BF1671" s="58"/>
    </row>
    <row r="1672" spans="58:58" ht="12" customHeight="1">
      <c r="BF1672" s="58"/>
    </row>
    <row r="1673" spans="58:58" ht="12" customHeight="1">
      <c r="BF1673" s="58"/>
    </row>
    <row r="1674" spans="58:58" ht="12" customHeight="1">
      <c r="BF1674" s="58"/>
    </row>
    <row r="1675" spans="58:58" ht="12" customHeight="1">
      <c r="BF1675" s="58"/>
    </row>
    <row r="1676" spans="58:58" ht="12" customHeight="1">
      <c r="BF1676" s="58"/>
    </row>
    <row r="1677" spans="58:58" ht="12" customHeight="1">
      <c r="BF1677" s="58"/>
    </row>
    <row r="1678" spans="58:58" ht="12" customHeight="1">
      <c r="BF1678" s="58"/>
    </row>
    <row r="1679" spans="58:58" ht="12" customHeight="1">
      <c r="BF1679" s="58"/>
    </row>
    <row r="1680" spans="58:58" ht="12" customHeight="1">
      <c r="BF1680" s="58"/>
    </row>
    <row r="1681" spans="58:58" ht="12" customHeight="1">
      <c r="BF1681" s="58"/>
    </row>
    <row r="1682" spans="58:58" ht="12" customHeight="1">
      <c r="BF1682" s="58"/>
    </row>
    <row r="1683" spans="58:58" ht="12" customHeight="1">
      <c r="BF1683" s="58"/>
    </row>
    <row r="1684" spans="58:58" ht="12" customHeight="1">
      <c r="BF1684" s="58"/>
    </row>
    <row r="1685" spans="58:58" ht="12" customHeight="1">
      <c r="BF1685" s="58"/>
    </row>
    <row r="1686" spans="58:58" ht="12" customHeight="1">
      <c r="BF1686" s="58"/>
    </row>
    <row r="1687" spans="58:58" ht="12" customHeight="1">
      <c r="BF1687" s="58"/>
    </row>
    <row r="1688" spans="58:58" ht="12" customHeight="1">
      <c r="BF1688" s="58"/>
    </row>
    <row r="1689" spans="58:58" ht="12" customHeight="1">
      <c r="BF1689" s="58"/>
    </row>
    <row r="1690" spans="58:58" ht="12" customHeight="1">
      <c r="BF1690" s="58"/>
    </row>
    <row r="1691" spans="58:58" ht="12" customHeight="1">
      <c r="BF1691" s="58"/>
    </row>
    <row r="1692" spans="58:58" ht="12" customHeight="1">
      <c r="BF1692" s="58"/>
    </row>
    <row r="1693" spans="58:58" ht="12" customHeight="1">
      <c r="BF1693" s="58"/>
    </row>
    <row r="1694" spans="58:58" ht="12" customHeight="1">
      <c r="BF1694" s="58"/>
    </row>
    <row r="1695" spans="58:58" ht="12" customHeight="1">
      <c r="BF1695" s="58"/>
    </row>
    <row r="1696" spans="58:58" ht="12" customHeight="1">
      <c r="BF1696" s="58"/>
    </row>
    <row r="1697" spans="58:58" ht="12" customHeight="1">
      <c r="BF1697" s="58"/>
    </row>
    <row r="1698" spans="58:58" ht="12" customHeight="1">
      <c r="BF1698" s="58"/>
    </row>
    <row r="1699" spans="58:58" ht="12" customHeight="1">
      <c r="BF1699" s="58"/>
    </row>
    <row r="1700" spans="58:58" ht="12" customHeight="1">
      <c r="BF1700" s="58"/>
    </row>
    <row r="1701" spans="58:58" ht="12" customHeight="1">
      <c r="BF1701" s="58"/>
    </row>
    <row r="1702" spans="58:58" ht="12" customHeight="1">
      <c r="BF1702" s="58"/>
    </row>
    <row r="1703" spans="58:58" ht="12" customHeight="1">
      <c r="BF1703" s="58"/>
    </row>
    <row r="1704" spans="58:58" ht="12" customHeight="1">
      <c r="BF1704" s="58"/>
    </row>
    <row r="1705" spans="58:58" ht="12" customHeight="1">
      <c r="BF1705" s="58"/>
    </row>
    <row r="1706" spans="58:58" ht="12" customHeight="1">
      <c r="BF1706" s="58"/>
    </row>
    <row r="1707" spans="58:58" ht="12" customHeight="1">
      <c r="BF1707" s="58"/>
    </row>
    <row r="1708" spans="58:58" ht="12" customHeight="1">
      <c r="BF1708" s="58"/>
    </row>
    <row r="1709" spans="58:58" ht="12" customHeight="1">
      <c r="BF1709" s="58"/>
    </row>
    <row r="1710" spans="58:58" ht="12" customHeight="1">
      <c r="BF1710" s="58"/>
    </row>
    <row r="1711" spans="58:58" ht="12" customHeight="1">
      <c r="BF1711" s="58"/>
    </row>
    <row r="1712" spans="58:58" ht="12" customHeight="1">
      <c r="BF1712" s="58"/>
    </row>
    <row r="1713" spans="58:58" ht="12" customHeight="1">
      <c r="BF1713" s="58"/>
    </row>
    <row r="1714" spans="58:58" ht="12" customHeight="1">
      <c r="BF1714" s="58"/>
    </row>
    <row r="1715" spans="58:58" ht="12" customHeight="1">
      <c r="BF1715" s="58"/>
    </row>
    <row r="1716" spans="58:58" ht="12" customHeight="1">
      <c r="BF1716" s="58"/>
    </row>
    <row r="1717" spans="58:58" ht="12" customHeight="1">
      <c r="BF1717" s="58"/>
    </row>
    <row r="1718" spans="58:58" ht="12" customHeight="1">
      <c r="BF1718" s="58"/>
    </row>
    <row r="1719" spans="58:58" ht="12" customHeight="1">
      <c r="BF1719" s="58"/>
    </row>
    <row r="1720" spans="58:58" ht="12" customHeight="1">
      <c r="BF1720" s="58"/>
    </row>
    <row r="1721" spans="58:58" ht="12" customHeight="1">
      <c r="BF1721" s="58"/>
    </row>
    <row r="1722" spans="58:58" ht="12" customHeight="1">
      <c r="BF1722" s="58"/>
    </row>
    <row r="1723" spans="58:58" ht="12" customHeight="1">
      <c r="BF1723" s="58"/>
    </row>
    <row r="1724" spans="58:58" ht="12" customHeight="1">
      <c r="BF1724" s="58"/>
    </row>
    <row r="1725" spans="58:58" ht="12" customHeight="1">
      <c r="BF1725" s="58"/>
    </row>
    <row r="1726" spans="58:58" ht="12" customHeight="1">
      <c r="BF1726" s="58"/>
    </row>
    <row r="1727" spans="58:58" ht="12" customHeight="1">
      <c r="BF1727" s="58"/>
    </row>
    <row r="1728" spans="58:58" ht="12" customHeight="1">
      <c r="BF1728" s="58"/>
    </row>
    <row r="1729" spans="58:58" ht="12" customHeight="1">
      <c r="BF1729" s="58"/>
    </row>
    <row r="1730" spans="58:58" ht="12" customHeight="1">
      <c r="BF1730" s="58"/>
    </row>
    <row r="1731" spans="58:58" ht="12" customHeight="1">
      <c r="BF1731" s="58"/>
    </row>
    <row r="1732" spans="58:58" ht="12" customHeight="1">
      <c r="BF1732" s="58"/>
    </row>
    <row r="1733" spans="58:58" ht="12" customHeight="1">
      <c r="BF1733" s="58"/>
    </row>
    <row r="1734" spans="58:58" ht="12" customHeight="1">
      <c r="BF1734" s="58"/>
    </row>
    <row r="1735" spans="58:58" ht="12" customHeight="1">
      <c r="BF1735" s="58"/>
    </row>
    <row r="1736" spans="58:58" ht="12" customHeight="1">
      <c r="BF1736" s="58"/>
    </row>
    <row r="1737" spans="58:58" ht="12" customHeight="1">
      <c r="BF1737" s="58"/>
    </row>
    <row r="1738" spans="58:58" ht="12" customHeight="1">
      <c r="BF1738" s="58"/>
    </row>
    <row r="1739" spans="58:58" ht="12" customHeight="1">
      <c r="BF1739" s="58"/>
    </row>
    <row r="1740" spans="58:58" ht="12" customHeight="1">
      <c r="BF1740" s="58"/>
    </row>
    <row r="1741" spans="58:58" ht="12" customHeight="1">
      <c r="BF1741" s="58"/>
    </row>
    <row r="1742" spans="58:58" ht="12" customHeight="1">
      <c r="BF1742" s="58"/>
    </row>
    <row r="1743" spans="58:58" ht="12" customHeight="1">
      <c r="BF1743" s="58"/>
    </row>
    <row r="1744" spans="58:58" ht="12" customHeight="1">
      <c r="BF1744" s="58"/>
    </row>
    <row r="1745" spans="58:58" ht="12" customHeight="1">
      <c r="BF1745" s="58"/>
    </row>
    <row r="1746" spans="58:58" ht="12" customHeight="1">
      <c r="BF1746" s="58"/>
    </row>
    <row r="1747" spans="58:58" ht="12" customHeight="1">
      <c r="BF1747" s="58"/>
    </row>
    <row r="1748" spans="58:58" ht="12" customHeight="1">
      <c r="BF1748" s="58"/>
    </row>
    <row r="1749" spans="58:58" ht="12" customHeight="1">
      <c r="BF1749" s="58"/>
    </row>
    <row r="1750" spans="58:58" ht="12" customHeight="1">
      <c r="BF1750" s="58"/>
    </row>
    <row r="1751" spans="58:58" ht="12" customHeight="1">
      <c r="BF1751" s="58"/>
    </row>
    <row r="1752" spans="58:58" ht="12" customHeight="1">
      <c r="BF1752" s="58"/>
    </row>
    <row r="1753" spans="58:58" ht="12" customHeight="1">
      <c r="BF1753" s="58"/>
    </row>
    <row r="1754" spans="58:58" ht="12" customHeight="1">
      <c r="BF1754" s="58"/>
    </row>
    <row r="1755" spans="58:58" ht="12" customHeight="1">
      <c r="BF1755" s="58"/>
    </row>
    <row r="1756" spans="58:58" ht="12" customHeight="1">
      <c r="BF1756" s="58"/>
    </row>
    <row r="1757" spans="58:58" ht="12" customHeight="1">
      <c r="BF1757" s="58"/>
    </row>
    <row r="1758" spans="58:58" ht="12" customHeight="1">
      <c r="BF1758" s="58"/>
    </row>
    <row r="1759" spans="58:58" ht="12" customHeight="1">
      <c r="BF1759" s="58"/>
    </row>
    <row r="1760" spans="58:58" ht="12" customHeight="1">
      <c r="BF1760" s="58"/>
    </row>
    <row r="1761" spans="58:58" ht="12" customHeight="1">
      <c r="BF1761" s="58"/>
    </row>
    <row r="1762" spans="58:58" ht="12" customHeight="1">
      <c r="BF1762" s="58"/>
    </row>
    <row r="1763" spans="58:58" ht="12" customHeight="1">
      <c r="BF1763" s="58"/>
    </row>
    <row r="1764" spans="58:58" ht="12" customHeight="1">
      <c r="BF1764" s="58"/>
    </row>
    <row r="1765" spans="58:58" ht="12" customHeight="1">
      <c r="BF1765" s="58"/>
    </row>
    <row r="1766" spans="58:58" ht="12" customHeight="1">
      <c r="BF1766" s="58"/>
    </row>
    <row r="1767" spans="58:58" ht="12" customHeight="1">
      <c r="BF1767" s="58"/>
    </row>
    <row r="1768" spans="58:58" ht="12" customHeight="1">
      <c r="BF1768" s="58"/>
    </row>
    <row r="1769" spans="58:58" ht="12" customHeight="1">
      <c r="BF1769" s="58"/>
    </row>
    <row r="1770" spans="58:58" ht="12" customHeight="1">
      <c r="BF1770" s="58"/>
    </row>
    <row r="1771" spans="58:58" ht="12" customHeight="1">
      <c r="BF1771" s="58"/>
    </row>
    <row r="1772" spans="58:58" ht="12" customHeight="1">
      <c r="BF1772" s="58"/>
    </row>
    <row r="1773" spans="58:58" ht="12" customHeight="1">
      <c r="BF1773" s="58"/>
    </row>
    <row r="1774" spans="58:58" ht="12" customHeight="1">
      <c r="BF1774" s="58"/>
    </row>
    <row r="1775" spans="58:58" ht="12" customHeight="1">
      <c r="BF1775" s="58"/>
    </row>
    <row r="1776" spans="58:58" ht="12" customHeight="1">
      <c r="BF1776" s="58"/>
    </row>
    <row r="1777" spans="58:58" ht="12" customHeight="1">
      <c r="BF1777" s="58"/>
    </row>
    <row r="1778" spans="58:58" ht="12" customHeight="1">
      <c r="BF1778" s="58"/>
    </row>
    <row r="1779" spans="58:58" ht="12" customHeight="1">
      <c r="BF1779" s="58"/>
    </row>
    <row r="1780" spans="58:58" ht="12" customHeight="1">
      <c r="BF1780" s="58"/>
    </row>
    <row r="1781" spans="58:58" ht="12" customHeight="1">
      <c r="BF1781" s="58"/>
    </row>
    <row r="1782" spans="58:58" ht="12" customHeight="1">
      <c r="BF1782" s="58"/>
    </row>
    <row r="1783" spans="58:58" ht="12" customHeight="1">
      <c r="BF1783" s="58"/>
    </row>
    <row r="1784" spans="58:58" ht="12" customHeight="1">
      <c r="BF1784" s="58"/>
    </row>
    <row r="1785" spans="58:58" ht="12" customHeight="1">
      <c r="BF1785" s="58"/>
    </row>
    <row r="1786" spans="58:58" ht="12" customHeight="1">
      <c r="BF1786" s="58"/>
    </row>
    <row r="1787" spans="58:58" ht="12" customHeight="1">
      <c r="BF1787" s="58"/>
    </row>
    <row r="1788" spans="58:58" ht="12" customHeight="1">
      <c r="BF1788" s="58"/>
    </row>
    <row r="1789" spans="58:58" ht="12" customHeight="1">
      <c r="BF1789" s="58"/>
    </row>
    <row r="1790" spans="58:58" ht="12" customHeight="1">
      <c r="BF1790" s="58"/>
    </row>
    <row r="1791" spans="58:58" ht="12" customHeight="1">
      <c r="BF1791" s="58"/>
    </row>
    <row r="1792" spans="58:58" ht="12" customHeight="1">
      <c r="BF1792" s="58"/>
    </row>
    <row r="1793" spans="58:58" ht="12" customHeight="1">
      <c r="BF1793" s="58"/>
    </row>
    <row r="1794" spans="58:58" ht="12" customHeight="1">
      <c r="BF1794" s="58"/>
    </row>
    <row r="1795" spans="58:58" ht="12" customHeight="1">
      <c r="BF1795" s="58"/>
    </row>
    <row r="1796" spans="58:58" ht="12" customHeight="1">
      <c r="BF1796" s="58"/>
    </row>
    <row r="1797" spans="58:58" ht="12" customHeight="1">
      <c r="BF1797" s="58"/>
    </row>
    <row r="1798" spans="58:58" ht="12" customHeight="1">
      <c r="BF1798" s="58"/>
    </row>
    <row r="1799" spans="58:58" ht="12" customHeight="1">
      <c r="BF1799" s="58"/>
    </row>
    <row r="1800" spans="58:58" ht="12" customHeight="1">
      <c r="BF1800" s="58"/>
    </row>
    <row r="1801" spans="58:58" ht="12" customHeight="1">
      <c r="BF1801" s="58"/>
    </row>
    <row r="1802" spans="58:58" ht="12" customHeight="1">
      <c r="BF1802" s="58"/>
    </row>
    <row r="1803" spans="58:58" ht="12" customHeight="1">
      <c r="BF1803" s="58"/>
    </row>
    <row r="1804" spans="58:58" ht="12" customHeight="1">
      <c r="BF1804" s="58"/>
    </row>
    <row r="1805" spans="58:58" ht="12" customHeight="1">
      <c r="BF1805" s="58"/>
    </row>
    <row r="1806" spans="58:58" ht="12" customHeight="1">
      <c r="BF1806" s="58"/>
    </row>
    <row r="1807" spans="58:58" ht="12" customHeight="1">
      <c r="BF1807" s="58"/>
    </row>
    <row r="1808" spans="58:58" ht="12" customHeight="1">
      <c r="BF1808" s="58"/>
    </row>
    <row r="1809" spans="58:58" ht="12" customHeight="1">
      <c r="BF1809" s="58"/>
    </row>
    <row r="1810" spans="58:58" ht="12" customHeight="1">
      <c r="BF1810" s="58"/>
    </row>
    <row r="1811" spans="58:58" ht="12" customHeight="1">
      <c r="BF1811" s="58"/>
    </row>
    <row r="1812" spans="58:58" ht="12" customHeight="1">
      <c r="BF1812" s="58"/>
    </row>
    <row r="1813" spans="58:58" ht="12" customHeight="1">
      <c r="BF1813" s="58"/>
    </row>
    <row r="1814" spans="58:58" ht="12" customHeight="1">
      <c r="BF1814" s="58"/>
    </row>
    <row r="1815" spans="58:58" ht="12" customHeight="1">
      <c r="BF1815" s="58"/>
    </row>
    <row r="1816" spans="58:58" ht="12" customHeight="1">
      <c r="BF1816" s="58"/>
    </row>
    <row r="1817" spans="58:58" ht="12" customHeight="1">
      <c r="BF1817" s="58"/>
    </row>
    <row r="1818" spans="58:58" ht="12" customHeight="1">
      <c r="BF1818" s="58"/>
    </row>
    <row r="1819" spans="58:58" ht="12" customHeight="1">
      <c r="BF1819" s="58"/>
    </row>
    <row r="1820" spans="58:58" ht="12" customHeight="1">
      <c r="BF1820" s="58"/>
    </row>
    <row r="1821" spans="58:58" ht="12" customHeight="1">
      <c r="BF1821" s="58"/>
    </row>
    <row r="1822" spans="58:58" ht="12" customHeight="1">
      <c r="BF1822" s="58"/>
    </row>
    <row r="1823" spans="58:58" ht="12" customHeight="1">
      <c r="BF1823" s="58"/>
    </row>
    <row r="1824" spans="58:58" ht="12" customHeight="1">
      <c r="BF1824" s="58"/>
    </row>
    <row r="1825" spans="58:58" ht="12" customHeight="1">
      <c r="BF1825" s="58"/>
    </row>
    <row r="1826" spans="58:58" ht="12" customHeight="1">
      <c r="BF1826" s="58"/>
    </row>
    <row r="1827" spans="58:58" ht="12" customHeight="1">
      <c r="BF1827" s="58"/>
    </row>
    <row r="1828" spans="58:58" ht="12" customHeight="1">
      <c r="BF1828" s="58"/>
    </row>
    <row r="1829" spans="58:58" ht="12" customHeight="1">
      <c r="BF1829" s="58"/>
    </row>
    <row r="1830" spans="58:58" ht="12" customHeight="1">
      <c r="BF1830" s="58"/>
    </row>
    <row r="1831" spans="58:58" ht="12" customHeight="1">
      <c r="BF1831" s="58"/>
    </row>
    <row r="1832" spans="58:58" ht="12" customHeight="1">
      <c r="BF1832" s="58"/>
    </row>
    <row r="1833" spans="58:58" ht="12" customHeight="1">
      <c r="BF1833" s="58"/>
    </row>
    <row r="1834" spans="58:58" ht="12" customHeight="1">
      <c r="BF1834" s="58"/>
    </row>
    <row r="1835" spans="58:58" ht="12" customHeight="1">
      <c r="BF1835" s="58"/>
    </row>
    <row r="1836" spans="58:58" ht="12" customHeight="1">
      <c r="BF1836" s="58"/>
    </row>
    <row r="1837" spans="58:58" ht="12" customHeight="1">
      <c r="BF1837" s="58"/>
    </row>
    <row r="1838" spans="58:58" ht="12" customHeight="1">
      <c r="BF1838" s="58"/>
    </row>
    <row r="1839" spans="58:58" ht="12" customHeight="1">
      <c r="BF1839" s="58"/>
    </row>
    <row r="1840" spans="58:58" ht="12" customHeight="1">
      <c r="BF1840" s="58"/>
    </row>
    <row r="1841" spans="58:58" ht="12" customHeight="1">
      <c r="BF1841" s="58"/>
    </row>
    <row r="1842" spans="58:58" ht="12" customHeight="1">
      <c r="BF1842" s="58"/>
    </row>
    <row r="1843" spans="58:58" ht="12" customHeight="1">
      <c r="BF1843" s="58"/>
    </row>
    <row r="1844" spans="58:58" ht="12" customHeight="1">
      <c r="BF1844" s="58"/>
    </row>
    <row r="1845" spans="58:58" ht="12" customHeight="1">
      <c r="BF1845" s="58"/>
    </row>
    <row r="1846" spans="58:58" ht="12" customHeight="1">
      <c r="BF1846" s="58"/>
    </row>
    <row r="1847" spans="58:58" ht="12" customHeight="1">
      <c r="BF1847" s="58"/>
    </row>
    <row r="1848" spans="58:58" ht="12" customHeight="1">
      <c r="BF1848" s="58"/>
    </row>
    <row r="1849" spans="58:58" ht="12" customHeight="1">
      <c r="BF1849" s="58"/>
    </row>
    <row r="1850" spans="58:58" ht="12" customHeight="1">
      <c r="BF1850" s="58"/>
    </row>
    <row r="1851" spans="58:58" ht="12" customHeight="1">
      <c r="BF1851" s="58"/>
    </row>
    <row r="1852" spans="58:58" ht="12" customHeight="1">
      <c r="BF1852" s="58"/>
    </row>
    <row r="1853" spans="58:58" ht="12" customHeight="1">
      <c r="BF1853" s="58"/>
    </row>
    <row r="1854" spans="58:58" ht="12" customHeight="1">
      <c r="BF1854" s="58"/>
    </row>
    <row r="1855" spans="58:58" ht="12" customHeight="1">
      <c r="BF1855" s="58"/>
    </row>
    <row r="1856" spans="58:58" ht="12" customHeight="1">
      <c r="BF1856" s="58"/>
    </row>
    <row r="1857" spans="58:58" ht="12" customHeight="1">
      <c r="BF1857" s="58"/>
    </row>
    <row r="1858" spans="58:58" ht="12" customHeight="1">
      <c r="BF1858" s="58"/>
    </row>
    <row r="1859" spans="58:58" ht="12" customHeight="1">
      <c r="BF1859" s="58"/>
    </row>
    <row r="1860" spans="58:58" ht="12" customHeight="1">
      <c r="BF1860" s="58"/>
    </row>
    <row r="1861" spans="58:58" ht="12" customHeight="1">
      <c r="BF1861" s="58"/>
    </row>
    <row r="1862" spans="58:58" ht="12" customHeight="1">
      <c r="BF1862" s="58"/>
    </row>
    <row r="1863" spans="58:58" ht="12" customHeight="1">
      <c r="BF1863" s="58"/>
    </row>
    <row r="1864" spans="58:58" ht="12" customHeight="1">
      <c r="BF1864" s="58"/>
    </row>
    <row r="1865" spans="58:58" ht="12" customHeight="1">
      <c r="BF1865" s="58"/>
    </row>
    <row r="1866" spans="58:58" ht="12" customHeight="1">
      <c r="BF1866" s="58"/>
    </row>
    <row r="1867" spans="58:58" ht="12" customHeight="1">
      <c r="BF1867" s="58"/>
    </row>
    <row r="1868" spans="58:58" ht="12" customHeight="1">
      <c r="BF1868" s="58"/>
    </row>
    <row r="1869" spans="58:58" ht="12" customHeight="1">
      <c r="BF1869" s="58"/>
    </row>
    <row r="1870" spans="58:58" ht="12" customHeight="1">
      <c r="BF1870" s="58"/>
    </row>
    <row r="1871" spans="58:58" ht="12" customHeight="1">
      <c r="BF1871" s="58"/>
    </row>
    <row r="1872" spans="58:58" ht="12" customHeight="1">
      <c r="BF1872" s="58"/>
    </row>
    <row r="1873" spans="58:58" ht="12" customHeight="1">
      <c r="BF1873" s="58"/>
    </row>
    <row r="1874" spans="58:58" ht="12" customHeight="1">
      <c r="BF1874" s="58"/>
    </row>
    <row r="1875" spans="58:58" ht="12" customHeight="1">
      <c r="BF1875" s="58"/>
    </row>
    <row r="1876" spans="58:58" ht="12" customHeight="1">
      <c r="BF1876" s="58"/>
    </row>
    <row r="1877" spans="58:58" ht="12" customHeight="1">
      <c r="BF1877" s="58"/>
    </row>
    <row r="1878" spans="58:58" ht="12" customHeight="1">
      <c r="BF1878" s="58"/>
    </row>
    <row r="1879" spans="58:58" ht="12" customHeight="1">
      <c r="BF1879" s="58"/>
    </row>
    <row r="1880" spans="58:58" ht="12" customHeight="1">
      <c r="BF1880" s="58"/>
    </row>
    <row r="1881" spans="58:58" ht="12" customHeight="1">
      <c r="BF1881" s="58"/>
    </row>
    <row r="1882" spans="58:58" ht="12" customHeight="1">
      <c r="BF1882" s="58"/>
    </row>
    <row r="1883" spans="58:58" ht="12" customHeight="1">
      <c r="BF1883" s="58"/>
    </row>
    <row r="1884" spans="58:58" ht="12" customHeight="1">
      <c r="BF1884" s="58"/>
    </row>
    <row r="1885" spans="58:58" ht="12" customHeight="1">
      <c r="BF1885" s="58"/>
    </row>
    <row r="1886" spans="58:58" ht="12" customHeight="1">
      <c r="BF1886" s="58"/>
    </row>
    <row r="1887" spans="58:58" ht="12" customHeight="1">
      <c r="BF1887" s="58"/>
    </row>
    <row r="1888" spans="58:58" ht="12" customHeight="1">
      <c r="BF1888" s="58"/>
    </row>
    <row r="1889" spans="58:58" ht="12" customHeight="1">
      <c r="BF1889" s="58"/>
    </row>
    <row r="1890" spans="58:58" ht="12" customHeight="1">
      <c r="BF1890" s="58"/>
    </row>
    <row r="1891" spans="58:58" ht="12" customHeight="1">
      <c r="BF1891" s="58"/>
    </row>
    <row r="1892" spans="58:58" ht="12" customHeight="1">
      <c r="BF1892" s="58"/>
    </row>
    <row r="1893" spans="58:58" ht="12" customHeight="1">
      <c r="BF1893" s="58"/>
    </row>
    <row r="1894" spans="58:58" ht="12" customHeight="1">
      <c r="BF1894" s="58"/>
    </row>
    <row r="1895" spans="58:58" ht="12" customHeight="1">
      <c r="BF1895" s="58"/>
    </row>
    <row r="1896" spans="58:58" ht="12" customHeight="1">
      <c r="BF1896" s="58"/>
    </row>
    <row r="1897" spans="58:58" ht="12" customHeight="1">
      <c r="BF1897" s="58"/>
    </row>
    <row r="1898" spans="58:58" ht="12" customHeight="1">
      <c r="BF1898" s="58"/>
    </row>
    <row r="1899" spans="58:58" ht="12" customHeight="1">
      <c r="BF1899" s="58"/>
    </row>
    <row r="1900" spans="58:58" ht="12" customHeight="1">
      <c r="BF1900" s="58"/>
    </row>
    <row r="1901" spans="58:58" ht="12" customHeight="1">
      <c r="BF1901" s="58"/>
    </row>
    <row r="1902" spans="58:58" ht="12" customHeight="1">
      <c r="BF1902" s="58"/>
    </row>
    <row r="1903" spans="58:58" ht="12" customHeight="1">
      <c r="BF1903" s="58"/>
    </row>
    <row r="1904" spans="58:58" ht="12" customHeight="1">
      <c r="BF1904" s="58"/>
    </row>
    <row r="1905" spans="58:58" ht="12" customHeight="1">
      <c r="BF1905" s="58"/>
    </row>
    <row r="1906" spans="58:58" ht="12" customHeight="1">
      <c r="BF1906" s="58"/>
    </row>
    <row r="1907" spans="58:58" ht="12" customHeight="1">
      <c r="BF1907" s="58"/>
    </row>
    <row r="1908" spans="58:58" ht="12" customHeight="1">
      <c r="BF1908" s="58"/>
    </row>
    <row r="1909" spans="58:58" ht="12" customHeight="1">
      <c r="BF1909" s="58"/>
    </row>
    <row r="1910" spans="58:58" ht="12" customHeight="1">
      <c r="BF1910" s="58"/>
    </row>
    <row r="1911" spans="58:58" ht="12" customHeight="1">
      <c r="BF1911" s="58"/>
    </row>
    <row r="1912" spans="58:58" ht="12" customHeight="1">
      <c r="BF1912" s="58"/>
    </row>
    <row r="1913" spans="58:58" ht="12" customHeight="1">
      <c r="BF1913" s="58"/>
    </row>
    <row r="1914" spans="58:58" ht="12" customHeight="1">
      <c r="BF1914" s="58"/>
    </row>
    <row r="1915" spans="58:58" ht="12" customHeight="1">
      <c r="BF1915" s="58"/>
    </row>
    <row r="1916" spans="58:58" ht="12" customHeight="1">
      <c r="BF1916" s="58"/>
    </row>
    <row r="1917" spans="58:58" ht="12" customHeight="1">
      <c r="BF1917" s="58"/>
    </row>
    <row r="1918" spans="58:58" ht="12" customHeight="1">
      <c r="BF1918" s="58"/>
    </row>
    <row r="1919" spans="58:58" ht="12" customHeight="1">
      <c r="BF1919" s="58"/>
    </row>
    <row r="1920" spans="58:58" ht="12" customHeight="1">
      <c r="BF1920" s="58"/>
    </row>
    <row r="1921" spans="58:58" ht="12" customHeight="1">
      <c r="BF1921" s="58"/>
    </row>
    <row r="1922" spans="58:58" ht="12" customHeight="1">
      <c r="BF1922" s="58"/>
    </row>
    <row r="1923" spans="58:58" ht="12" customHeight="1">
      <c r="BF1923" s="58"/>
    </row>
    <row r="1924" spans="58:58" ht="12" customHeight="1">
      <c r="BF1924" s="58"/>
    </row>
    <row r="1925" spans="58:58" ht="12" customHeight="1">
      <c r="BF1925" s="58"/>
    </row>
    <row r="1926" spans="58:58" ht="12" customHeight="1">
      <c r="BF1926" s="58"/>
    </row>
    <row r="1927" spans="58:58" ht="12" customHeight="1">
      <c r="BF1927" s="58"/>
    </row>
    <row r="1928" spans="58:58" ht="12" customHeight="1">
      <c r="BF1928" s="58"/>
    </row>
    <row r="1929" spans="58:58" ht="12" customHeight="1">
      <c r="BF1929" s="58"/>
    </row>
    <row r="1930" spans="58:58" ht="12" customHeight="1">
      <c r="BF1930" s="58"/>
    </row>
    <row r="1931" spans="58:58" ht="12" customHeight="1">
      <c r="BF1931" s="58"/>
    </row>
    <row r="1932" spans="58:58" ht="12" customHeight="1">
      <c r="BF1932" s="58"/>
    </row>
    <row r="1933" spans="58:58" ht="12" customHeight="1">
      <c r="BF1933" s="58"/>
    </row>
    <row r="1934" spans="58:58" ht="12" customHeight="1">
      <c r="BF1934" s="58"/>
    </row>
    <row r="1935" spans="58:58" ht="12" customHeight="1">
      <c r="BF1935" s="58"/>
    </row>
    <row r="1936" spans="58:58" ht="12" customHeight="1">
      <c r="BF1936" s="58"/>
    </row>
    <row r="1937" spans="58:58" ht="12" customHeight="1">
      <c r="BF1937" s="58"/>
    </row>
    <row r="1938" spans="58:58" ht="12" customHeight="1">
      <c r="BF1938" s="58"/>
    </row>
    <row r="1939" spans="58:58" ht="12" customHeight="1">
      <c r="BF1939" s="58"/>
    </row>
    <row r="1940" spans="58:58" ht="12" customHeight="1">
      <c r="BF1940" s="58"/>
    </row>
    <row r="1941" spans="58:58" ht="12" customHeight="1">
      <c r="BF1941" s="58"/>
    </row>
    <row r="1942" spans="58:58" ht="12" customHeight="1">
      <c r="BF1942" s="58"/>
    </row>
    <row r="1943" spans="58:58" ht="12" customHeight="1">
      <c r="BF1943" s="58"/>
    </row>
    <row r="1944" spans="58:58" ht="12" customHeight="1">
      <c r="BF1944" s="58"/>
    </row>
    <row r="1945" spans="58:58" ht="12" customHeight="1">
      <c r="BF1945" s="58"/>
    </row>
    <row r="1946" spans="58:58" ht="12" customHeight="1">
      <c r="BF1946" s="58"/>
    </row>
    <row r="1947" spans="58:58" ht="12" customHeight="1">
      <c r="BF1947" s="58"/>
    </row>
    <row r="1948" spans="58:58" ht="12" customHeight="1">
      <c r="BF1948" s="58"/>
    </row>
    <row r="1949" spans="58:58" ht="12" customHeight="1">
      <c r="BF1949" s="58"/>
    </row>
    <row r="1950" spans="58:58" ht="12" customHeight="1">
      <c r="BF1950" s="58"/>
    </row>
    <row r="1951" spans="58:58" ht="12" customHeight="1">
      <c r="BF1951" s="58"/>
    </row>
    <row r="1952" spans="58:58" ht="12" customHeight="1">
      <c r="BF1952" s="58"/>
    </row>
    <row r="1953" spans="58:58" ht="12" customHeight="1">
      <c r="BF1953" s="58"/>
    </row>
    <row r="1954" spans="58:58" ht="12" customHeight="1">
      <c r="BF1954" s="58"/>
    </row>
    <row r="1955" spans="58:58" ht="12" customHeight="1">
      <c r="BF1955" s="58"/>
    </row>
    <row r="1956" spans="58:58" ht="12" customHeight="1">
      <c r="BF1956" s="58"/>
    </row>
    <row r="1957" spans="58:58" ht="12" customHeight="1">
      <c r="BF1957" s="58"/>
    </row>
    <row r="1958" spans="58:58" ht="12" customHeight="1">
      <c r="BF1958" s="58"/>
    </row>
    <row r="1959" spans="58:58" ht="12" customHeight="1">
      <c r="BF1959" s="58"/>
    </row>
    <row r="1960" spans="58:58" ht="12" customHeight="1">
      <c r="BF1960" s="58"/>
    </row>
    <row r="1961" spans="58:58" ht="12" customHeight="1">
      <c r="BF1961" s="58"/>
    </row>
    <row r="1962" spans="58:58" ht="12" customHeight="1">
      <c r="BF1962" s="58"/>
    </row>
    <row r="1963" spans="58:58" ht="12" customHeight="1">
      <c r="BF1963" s="58"/>
    </row>
    <row r="1964" spans="58:58" ht="12" customHeight="1">
      <c r="BF1964" s="58"/>
    </row>
    <row r="1965" spans="58:58" ht="12" customHeight="1">
      <c r="BF1965" s="58"/>
    </row>
    <row r="1966" spans="58:58" ht="12" customHeight="1">
      <c r="BF1966" s="58"/>
    </row>
    <row r="1967" spans="58:58" ht="12" customHeight="1">
      <c r="BF1967" s="58"/>
    </row>
    <row r="1968" spans="58:58" ht="12" customHeight="1">
      <c r="BF1968" s="58"/>
    </row>
    <row r="1969" spans="58:58" ht="12" customHeight="1">
      <c r="BF1969" s="58"/>
    </row>
    <row r="1970" spans="58:58" ht="12" customHeight="1">
      <c r="BF1970" s="58"/>
    </row>
    <row r="1971" spans="58:58" ht="12" customHeight="1">
      <c r="BF1971" s="58"/>
    </row>
    <row r="1972" spans="58:58" ht="12" customHeight="1">
      <c r="BF1972" s="58"/>
    </row>
    <row r="1973" spans="58:58" ht="12" customHeight="1">
      <c r="BF1973" s="58"/>
    </row>
    <row r="1974" spans="58:58" ht="12" customHeight="1">
      <c r="BF1974" s="58"/>
    </row>
    <row r="1975" spans="58:58" ht="12" customHeight="1">
      <c r="BF1975" s="58"/>
    </row>
    <row r="1976" spans="58:58" ht="12" customHeight="1">
      <c r="BF1976" s="58"/>
    </row>
    <row r="1977" spans="58:58" ht="12" customHeight="1">
      <c r="BF1977" s="58"/>
    </row>
    <row r="1978" spans="58:58" ht="12" customHeight="1">
      <c r="BF1978" s="58"/>
    </row>
    <row r="1979" spans="58:58" ht="12" customHeight="1">
      <c r="BF1979" s="58"/>
    </row>
    <row r="1980" spans="58:58" ht="12" customHeight="1">
      <c r="BF1980" s="58"/>
    </row>
    <row r="1981" spans="58:58" ht="12" customHeight="1">
      <c r="BF1981" s="58"/>
    </row>
    <row r="1982" spans="58:58" ht="12" customHeight="1">
      <c r="BF1982" s="58"/>
    </row>
    <row r="1983" spans="58:58" ht="12" customHeight="1">
      <c r="BF1983" s="58"/>
    </row>
    <row r="1984" spans="58:58" ht="12" customHeight="1">
      <c r="BF1984" s="58"/>
    </row>
    <row r="1985" spans="58:58" ht="12" customHeight="1">
      <c r="BF1985" s="58"/>
    </row>
    <row r="1986" spans="58:58" ht="12" customHeight="1">
      <c r="BF1986" s="58"/>
    </row>
    <row r="1987" spans="58:58" ht="12" customHeight="1">
      <c r="BF1987" s="58"/>
    </row>
    <row r="1988" spans="58:58" ht="12" customHeight="1">
      <c r="BF1988" s="58"/>
    </row>
    <row r="1989" spans="58:58" ht="12" customHeight="1">
      <c r="BF1989" s="58"/>
    </row>
    <row r="1990" spans="58:58" ht="12" customHeight="1">
      <c r="BF1990" s="58"/>
    </row>
    <row r="1991" spans="58:58" ht="12" customHeight="1">
      <c r="BF1991" s="58"/>
    </row>
    <row r="1992" spans="58:58" ht="12" customHeight="1">
      <c r="BF1992" s="58"/>
    </row>
    <row r="1993" spans="58:58" ht="12" customHeight="1">
      <c r="BF1993" s="58"/>
    </row>
    <row r="1994" spans="58:58" ht="12" customHeight="1">
      <c r="BF1994" s="58"/>
    </row>
    <row r="1995" spans="58:58" ht="12" customHeight="1">
      <c r="BF1995" s="58"/>
    </row>
    <row r="1996" spans="58:58" ht="12" customHeight="1">
      <c r="BF1996" s="58"/>
    </row>
    <row r="1997" spans="58:58" ht="12" customHeight="1">
      <c r="BF1997" s="58"/>
    </row>
    <row r="1998" spans="58:58" ht="12" customHeight="1">
      <c r="BF1998" s="58"/>
    </row>
    <row r="1999" spans="58:58" ht="12" customHeight="1">
      <c r="BF1999" s="58"/>
    </row>
    <row r="2000" spans="58:58" ht="12" customHeight="1">
      <c r="BF2000" s="58"/>
    </row>
  </sheetData>
  <sheetProtection sheet="1" objects="1" scenarios="1" selectLockedCells="1"/>
  <phoneticPr fontId="2" type="noConversion"/>
  <dataValidations count="2">
    <dataValidation type="whole" allowBlank="1" showInputMessage="1" showErrorMessage="1" errorTitle="Size of dataset" error="Min 4, max 1000" sqref="C7">
      <formula1>4</formula1>
      <formula2>1000</formula2>
    </dataValidation>
    <dataValidation type="decimal" allowBlank="1" showInputMessage="1" showErrorMessage="1" errorTitle="Confidence level" error="Min=0, max=99.9" sqref="C12">
      <formula1>0</formula1>
      <formula2>99.9</formula2>
    </dataValidation>
  </dataValidations>
  <pageMargins left="0.75" right="0.75" top="1" bottom="1" header="0.5" footer="0.5"/>
  <pageSetup paperSize="9"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sheetPr codeName="Sheet4"/>
  <dimension ref="A1:CI2000"/>
  <sheetViews>
    <sheetView showGridLines="0" showRowColHeaders="0" zoomScale="120" workbookViewId="0">
      <selection activeCell="AC2" sqref="AC2"/>
    </sheetView>
  </sheetViews>
  <sheetFormatPr defaultRowHeight="12" customHeight="1"/>
  <cols>
    <col min="1" max="1" width="2.85546875" style="5" customWidth="1"/>
    <col min="2" max="2" width="5.7109375" style="5" customWidth="1"/>
    <col min="3" max="3" width="4.28515625" style="5" customWidth="1"/>
    <col min="4" max="4" width="6.28515625" style="5" customWidth="1"/>
    <col min="5" max="5" width="1.42578125" style="5" customWidth="1"/>
    <col min="6" max="6" width="6.28515625" style="5" customWidth="1"/>
    <col min="7" max="7" width="1.7109375" style="5" customWidth="1"/>
    <col min="8" max="8" width="1.7109375" style="19" customWidth="1"/>
    <col min="9" max="9" width="2.5703125" style="19" customWidth="1"/>
    <col min="10" max="10" width="1.42578125" style="19" customWidth="1"/>
    <col min="11" max="11" width="6.28515625" style="19" customWidth="1"/>
    <col min="12" max="12" width="1.42578125" style="19" customWidth="1"/>
    <col min="13" max="13" width="6.28515625" style="19" customWidth="1"/>
    <col min="14" max="14" width="1.7109375" style="19" customWidth="1"/>
    <col min="15" max="15" width="1.7109375" style="5" customWidth="1"/>
    <col min="16" max="16" width="8.5703125" style="5" customWidth="1"/>
    <col min="17" max="17" width="1.7109375" style="5" customWidth="1"/>
    <col min="18" max="18" width="1.7109375" style="19" customWidth="1"/>
    <col min="19" max="19" width="2.5703125" style="19" customWidth="1"/>
    <col min="20" max="20" width="1.42578125" style="19" customWidth="1"/>
    <col min="21" max="21" width="6.28515625" style="19" customWidth="1"/>
    <col min="22" max="22" width="1.42578125" style="19" customWidth="1"/>
    <col min="23" max="23" width="6.28515625" style="19" customWidth="1"/>
    <col min="24" max="24" width="1.7109375" style="19" customWidth="1"/>
    <col min="25" max="25" width="1.7109375" style="5" customWidth="1"/>
    <col min="26" max="26" width="8.5703125" style="5" customWidth="1"/>
    <col min="27" max="27" width="1.7109375" style="5" customWidth="1"/>
    <col min="28" max="28" width="6.28515625" style="5" customWidth="1"/>
    <col min="29" max="34" width="9.140625" style="5"/>
    <col min="35" max="35" width="7" style="5" customWidth="1"/>
    <col min="36" max="36" width="7.28515625" style="5" customWidth="1"/>
    <col min="37" max="61" width="6.28515625" style="5" customWidth="1"/>
    <col min="62" max="66" width="8.5703125" style="5" customWidth="1"/>
    <col min="67" max="75" width="6.28515625" style="5" customWidth="1"/>
    <col min="76" max="76" width="7.85546875" style="79" customWidth="1"/>
    <col min="77" max="85" width="6.28515625" style="5" customWidth="1"/>
    <col min="86" max="86" width="6.85546875" style="5" customWidth="1"/>
    <col min="87" max="94" width="6.28515625" style="5" customWidth="1"/>
    <col min="95" max="16384" width="9.140625" style="5"/>
  </cols>
  <sheetData>
    <row r="1" spans="1:87" ht="12" customHeight="1">
      <c r="C1" s="542" t="s">
        <v>928</v>
      </c>
      <c r="O1" s="1088"/>
      <c r="P1" s="1089"/>
      <c r="Q1" s="1090"/>
      <c r="S1" s="898">
        <v>3</v>
      </c>
      <c r="T1" s="693" t="s">
        <v>766</v>
      </c>
      <c r="U1" s="188"/>
      <c r="V1" s="188"/>
      <c r="W1" s="314"/>
      <c r="Y1" s="1088"/>
      <c r="Z1" s="1089"/>
      <c r="AA1" s="1090"/>
      <c r="AB1" s="82">
        <f>($M$10+$W$10+$K$8+$U$8+$U$3)/1000000</f>
        <v>3.2785000000000003E-4</v>
      </c>
      <c r="AC1" s="82">
        <f t="shared" ref="AC1:AJ1" si="0">$AB$1</f>
        <v>3.2785000000000003E-4</v>
      </c>
      <c r="AD1" s="82">
        <f t="shared" si="0"/>
        <v>3.2785000000000003E-4</v>
      </c>
      <c r="AE1" s="82">
        <f t="shared" si="0"/>
        <v>3.2785000000000003E-4</v>
      </c>
      <c r="AF1" s="82">
        <f t="shared" si="0"/>
        <v>3.2785000000000003E-4</v>
      </c>
      <c r="AG1" s="82">
        <f t="shared" si="0"/>
        <v>3.2785000000000003E-4</v>
      </c>
      <c r="AH1" s="82">
        <f t="shared" si="0"/>
        <v>3.2785000000000003E-4</v>
      </c>
      <c r="AI1" s="82">
        <f t="shared" si="0"/>
        <v>3.2785000000000003E-4</v>
      </c>
      <c r="AJ1" s="84">
        <f t="shared" si="0"/>
        <v>3.2785000000000003E-4</v>
      </c>
      <c r="AK1" s="82"/>
      <c r="AL1" s="82"/>
      <c r="AM1" s="82"/>
      <c r="AN1" s="82"/>
      <c r="AO1" s="82"/>
      <c r="AP1" s="82"/>
      <c r="AQ1" s="82"/>
      <c r="AR1" s="82"/>
      <c r="AS1" s="82"/>
      <c r="AT1" s="82"/>
      <c r="AU1" s="82"/>
      <c r="AV1" s="82"/>
      <c r="AW1" s="82"/>
      <c r="AX1" s="82"/>
      <c r="AY1" s="82"/>
      <c r="AZ1" s="82"/>
      <c r="BA1" s="82"/>
      <c r="BB1" s="82"/>
      <c r="BC1" s="82"/>
      <c r="BD1" s="82"/>
      <c r="BE1" s="82"/>
      <c r="BF1" s="82"/>
      <c r="BG1" s="82"/>
      <c r="BH1" s="82"/>
      <c r="BI1" s="82"/>
      <c r="BJ1" s="65"/>
      <c r="BK1" s="259" t="s">
        <v>1217</v>
      </c>
      <c r="BL1" s="66">
        <v>1</v>
      </c>
      <c r="BM1" s="93">
        <f>M10</f>
        <v>0.36</v>
      </c>
      <c r="BO1" s="65"/>
      <c r="BP1" s="66" t="s">
        <v>1248</v>
      </c>
      <c r="BQ1" s="66"/>
      <c r="BR1" s="93"/>
      <c r="BS1" s="82"/>
      <c r="BT1" s="82"/>
      <c r="BU1" s="82"/>
      <c r="BV1" s="82"/>
      <c r="BW1" s="82"/>
      <c r="BX1" s="84"/>
      <c r="CG1" s="58"/>
      <c r="CH1" s="58"/>
      <c r="CI1" s="58"/>
    </row>
    <row r="2" spans="1:87" ht="12.75" customHeight="1">
      <c r="C2" s="40" t="s">
        <v>102</v>
      </c>
      <c r="O2" s="1091"/>
      <c r="P2" s="1092"/>
      <c r="Q2" s="1093"/>
      <c r="S2" s="86"/>
      <c r="T2" s="648"/>
      <c r="U2" s="648"/>
      <c r="V2" s="648"/>
      <c r="W2" s="650"/>
      <c r="Y2" s="1091"/>
      <c r="Z2" s="1092"/>
      <c r="AA2" s="1093"/>
      <c r="AB2" s="82">
        <f t="shared" ref="AB2:AB37" si="1">$AB$1</f>
        <v>3.2785000000000003E-4</v>
      </c>
      <c r="AC2" s="95"/>
      <c r="AE2" s="62"/>
      <c r="AJ2" s="84">
        <f t="shared" ref="AJ2:AJ37" si="2">$AB$1</f>
        <v>3.2785000000000003E-4</v>
      </c>
      <c r="AK2" s="82"/>
      <c r="AL2" s="82"/>
      <c r="AM2" s="82"/>
      <c r="AN2" s="82"/>
      <c r="AO2" s="82"/>
      <c r="AP2" s="82"/>
      <c r="AQ2" s="82"/>
      <c r="AR2" s="82"/>
      <c r="AS2" s="82"/>
      <c r="AT2" s="82"/>
      <c r="AU2" s="82"/>
      <c r="AV2" s="82"/>
      <c r="AW2" s="82"/>
      <c r="AX2" s="82"/>
      <c r="AY2" s="82"/>
      <c r="AZ2" s="82"/>
      <c r="BA2" s="82"/>
      <c r="BB2" s="82"/>
      <c r="BC2" s="82"/>
      <c r="BD2" s="82"/>
      <c r="BE2" s="82"/>
      <c r="BF2" s="82"/>
      <c r="BG2" s="82"/>
      <c r="BH2" s="82"/>
      <c r="BJ2" s="275" t="s">
        <v>65</v>
      </c>
      <c r="BK2" s="264">
        <f>NORMSINV(0.5+U3/200)</f>
        <v>1.959963984540054</v>
      </c>
      <c r="BL2" s="70">
        <v>2</v>
      </c>
      <c r="BM2" s="97">
        <f>W10</f>
        <v>0.49</v>
      </c>
      <c r="BO2" s="67">
        <v>1.9</v>
      </c>
      <c r="BP2" s="68">
        <v>3.3</v>
      </c>
      <c r="BQ2" s="68" t="e">
        <f t="shared" ref="BQ2:BQ40" si="3">IF(AND($BN$12,BR2&lt;=$BK$25,BR2&gt;=$BK$26),BR2,NA())</f>
        <v>#N/A</v>
      </c>
      <c r="BR2" s="91">
        <f t="shared" ref="BR2:BR40" si="4">$M$10+BO2</f>
        <v>2.2599999999999998</v>
      </c>
      <c r="BX2" s="84"/>
      <c r="CH2" s="58"/>
    </row>
    <row r="3" spans="1:87" ht="12.75" customHeight="1">
      <c r="C3" s="5" t="s">
        <v>103</v>
      </c>
      <c r="O3" s="1091"/>
      <c r="P3" s="1092"/>
      <c r="Q3" s="1093"/>
      <c r="S3" s="86"/>
      <c r="T3" s="654" t="s">
        <v>746</v>
      </c>
      <c r="U3" s="931">
        <v>95</v>
      </c>
      <c r="V3" s="648"/>
      <c r="W3" s="650"/>
      <c r="Y3" s="1091"/>
      <c r="Z3" s="1092"/>
      <c r="AA3" s="1093"/>
      <c r="AB3" s="82">
        <f t="shared" si="1"/>
        <v>3.2785000000000003E-4</v>
      </c>
      <c r="AC3" s="95"/>
      <c r="AE3" s="62"/>
      <c r="AJ3" s="84">
        <f t="shared" si="2"/>
        <v>3.2785000000000003E-4</v>
      </c>
      <c r="AK3" s="82"/>
      <c r="AL3" s="82"/>
      <c r="AM3" s="82"/>
      <c r="AN3" s="82"/>
      <c r="AO3" s="82"/>
      <c r="AP3" s="82"/>
      <c r="AQ3" s="82"/>
      <c r="AR3" s="82"/>
      <c r="AS3" s="82"/>
      <c r="AU3" s="82"/>
      <c r="AV3" s="82"/>
      <c r="AW3" s="82"/>
      <c r="AX3" s="82"/>
      <c r="AY3" s="82"/>
      <c r="AZ3" s="82"/>
      <c r="BA3" s="82"/>
      <c r="BB3" s="82"/>
      <c r="BC3" s="82"/>
      <c r="BD3" s="82"/>
      <c r="BE3" s="82"/>
      <c r="BF3" s="82"/>
      <c r="BG3" s="82"/>
      <c r="BH3" s="82"/>
      <c r="BJ3" s="65" t="s">
        <v>919</v>
      </c>
      <c r="BK3" s="66"/>
      <c r="BL3" s="262" t="s">
        <v>664</v>
      </c>
      <c r="BM3" s="264">
        <v>0</v>
      </c>
      <c r="BO3" s="67">
        <v>1.8</v>
      </c>
      <c r="BP3" s="68">
        <f t="shared" ref="BP3:BP40" si="5">BP2</f>
        <v>3.3</v>
      </c>
      <c r="BQ3" s="68" t="e">
        <f t="shared" si="3"/>
        <v>#N/A</v>
      </c>
      <c r="BR3" s="91">
        <f t="shared" si="4"/>
        <v>2.16</v>
      </c>
      <c r="BX3" s="84"/>
      <c r="CH3" s="58"/>
    </row>
    <row r="4" spans="1:87" ht="12.75" customHeight="1">
      <c r="C4" s="5" t="s">
        <v>104</v>
      </c>
      <c r="O4" s="1091"/>
      <c r="P4" s="1092"/>
      <c r="Q4" s="1093"/>
      <c r="S4" s="162"/>
      <c r="T4" s="315"/>
      <c r="U4" s="315"/>
      <c r="V4" s="315"/>
      <c r="W4" s="316"/>
      <c r="Y4" s="1091"/>
      <c r="Z4" s="1092"/>
      <c r="AA4" s="1093"/>
      <c r="AB4" s="82">
        <f t="shared" si="1"/>
        <v>3.2785000000000003E-4</v>
      </c>
      <c r="AJ4" s="84">
        <f t="shared" si="2"/>
        <v>3.2785000000000003E-4</v>
      </c>
      <c r="AK4" s="82"/>
      <c r="AL4" s="82"/>
      <c r="AM4" s="82"/>
      <c r="AN4" s="82"/>
      <c r="AO4" s="82"/>
      <c r="AP4" s="82"/>
      <c r="AQ4" s="82"/>
      <c r="AR4" s="82"/>
      <c r="AS4" s="82"/>
      <c r="AU4" s="82"/>
      <c r="AV4" s="82"/>
      <c r="AW4" s="82"/>
      <c r="AX4" s="82"/>
      <c r="AY4" s="82"/>
      <c r="AZ4" s="82"/>
      <c r="BA4" s="82"/>
      <c r="BB4" s="82"/>
      <c r="BC4" s="82"/>
      <c r="BD4" s="82"/>
      <c r="BE4" s="82"/>
      <c r="BF4" s="82"/>
      <c r="BG4" s="82"/>
      <c r="BH4" s="82"/>
      <c r="BJ4" s="67" t="e">
        <f>IF(BN9,IF(K14&gt;U14,1+BM3,1),NA())</f>
        <v>#N/A</v>
      </c>
      <c r="BK4" s="1127">
        <f>MAX(K14,U14)</f>
        <v>0.3553762800034711</v>
      </c>
      <c r="BL4" s="68" t="e">
        <f>IF(BN9,IF(M14&gt;W14,1,1+BM3),NA())</f>
        <v>#N/A</v>
      </c>
      <c r="BM4" s="1128">
        <f>MIN(M14,W14)</f>
        <v>0.53042438366075562</v>
      </c>
      <c r="BO4" s="67">
        <v>1.7</v>
      </c>
      <c r="BP4" s="68">
        <f t="shared" si="5"/>
        <v>3.3</v>
      </c>
      <c r="BQ4" s="68" t="e">
        <f t="shared" si="3"/>
        <v>#N/A</v>
      </c>
      <c r="BR4" s="91">
        <f t="shared" si="4"/>
        <v>2.06</v>
      </c>
      <c r="BX4" s="84"/>
      <c r="CH4" s="58"/>
    </row>
    <row r="5" spans="1:87" ht="12" customHeight="1">
      <c r="N5" s="1129"/>
      <c r="O5" s="1092"/>
      <c r="P5" s="1092"/>
      <c r="Q5" s="1093"/>
      <c r="X5" s="1129"/>
      <c r="Y5" s="1092"/>
      <c r="Z5" s="1092"/>
      <c r="AA5" s="1093"/>
      <c r="AB5" s="82">
        <f t="shared" si="1"/>
        <v>3.2785000000000003E-4</v>
      </c>
      <c r="AJ5" s="84">
        <f t="shared" si="2"/>
        <v>3.2785000000000003E-4</v>
      </c>
      <c r="AK5" s="82"/>
      <c r="AL5" s="82"/>
      <c r="AM5" s="82"/>
      <c r="AN5" s="82"/>
      <c r="AO5" s="82"/>
      <c r="AP5" s="82"/>
      <c r="AQ5" s="82"/>
      <c r="AR5" s="82"/>
      <c r="AS5" s="82"/>
      <c r="AT5" s="82"/>
      <c r="AU5" s="82"/>
      <c r="AV5" s="82"/>
      <c r="AW5" s="82"/>
      <c r="AX5" s="82"/>
      <c r="AY5" s="82"/>
      <c r="AZ5" s="82"/>
      <c r="BA5" s="82"/>
      <c r="BB5" s="82"/>
      <c r="BC5" s="82"/>
      <c r="BD5" s="82"/>
      <c r="BE5" s="82"/>
      <c r="BF5" s="82"/>
      <c r="BG5" s="82"/>
      <c r="BH5" s="82"/>
      <c r="BJ5" s="69" t="e">
        <f>IF(BN9,IF(K14&gt;U14,2,2-BM3),NA())</f>
        <v>#N/A</v>
      </c>
      <c r="BK5" s="1130">
        <f>BK4</f>
        <v>0.3553762800034711</v>
      </c>
      <c r="BL5" s="70" t="e">
        <f>IF(BN9,IF(M14&gt;W14,2-BM3,2),NA())</f>
        <v>#N/A</v>
      </c>
      <c r="BM5" s="91">
        <f>BM4</f>
        <v>0.53042438366075562</v>
      </c>
      <c r="BO5" s="67">
        <v>1.6</v>
      </c>
      <c r="BP5" s="68">
        <f t="shared" si="5"/>
        <v>3.3</v>
      </c>
      <c r="BQ5" s="68" t="e">
        <f t="shared" si="3"/>
        <v>#N/A</v>
      </c>
      <c r="BR5" s="91">
        <f t="shared" si="4"/>
        <v>1.96</v>
      </c>
      <c r="BX5" s="84"/>
      <c r="CH5" s="58"/>
    </row>
    <row r="6" spans="1:87" ht="12" customHeight="1">
      <c r="A6" s="833">
        <v>6</v>
      </c>
      <c r="B6" s="1131" t="s">
        <v>105</v>
      </c>
      <c r="C6" s="9"/>
      <c r="D6" s="9"/>
      <c r="E6" s="9"/>
      <c r="F6" s="9"/>
      <c r="G6" s="10"/>
      <c r="I6" s="1095">
        <v>1</v>
      </c>
      <c r="J6" s="1096" t="s">
        <v>106</v>
      </c>
      <c r="K6" s="1089"/>
      <c r="L6" s="1089"/>
      <c r="M6" s="1089"/>
      <c r="N6" s="1089"/>
      <c r="O6" s="1092"/>
      <c r="P6" s="1092"/>
      <c r="Q6" s="1093"/>
      <c r="S6" s="1095">
        <v>2</v>
      </c>
      <c r="T6" s="1096" t="s">
        <v>107</v>
      </c>
      <c r="U6" s="1089"/>
      <c r="V6" s="1089"/>
      <c r="W6" s="1089"/>
      <c r="X6" s="1089"/>
      <c r="Y6" s="1092"/>
      <c r="Z6" s="1092"/>
      <c r="AA6" s="1093"/>
      <c r="AB6" s="82">
        <f t="shared" si="1"/>
        <v>3.2785000000000003E-4</v>
      </c>
      <c r="AJ6" s="84">
        <f t="shared" si="2"/>
        <v>3.2785000000000003E-4</v>
      </c>
      <c r="AK6" s="82"/>
      <c r="AL6" s="82"/>
      <c r="AM6" s="82"/>
      <c r="AN6" s="82"/>
      <c r="AO6" s="82"/>
      <c r="AP6" s="82"/>
      <c r="AQ6" s="82"/>
      <c r="AR6" s="82"/>
      <c r="AS6" s="82"/>
      <c r="AT6" s="82"/>
      <c r="AU6" s="82"/>
      <c r="AV6" s="82"/>
      <c r="AW6" s="82"/>
      <c r="AX6" s="82"/>
      <c r="AY6" s="82"/>
      <c r="AZ6" s="82"/>
      <c r="BA6" s="82"/>
      <c r="BB6" s="82"/>
      <c r="BC6" s="82"/>
      <c r="BD6" s="82"/>
      <c r="BE6" s="82"/>
      <c r="BF6" s="82"/>
      <c r="BG6" s="82"/>
      <c r="BH6" s="82"/>
      <c r="BJ6" s="65"/>
      <c r="BK6" s="1132" t="s">
        <v>917</v>
      </c>
      <c r="BL6" s="1133" t="s">
        <v>918</v>
      </c>
      <c r="BM6" s="259" t="s">
        <v>924</v>
      </c>
      <c r="BN6" s="66">
        <f>ABS(BK7-BL7)</f>
        <v>0.15917443542237664</v>
      </c>
      <c r="BO6" s="67">
        <v>1.5</v>
      </c>
      <c r="BP6" s="68">
        <f t="shared" si="5"/>
        <v>3.3</v>
      </c>
      <c r="BQ6" s="68" t="e">
        <f t="shared" si="3"/>
        <v>#N/A</v>
      </c>
      <c r="BR6" s="91">
        <f t="shared" si="4"/>
        <v>1.8599999999999999</v>
      </c>
      <c r="BX6" s="84"/>
      <c r="CH6" s="58"/>
    </row>
    <row r="7" spans="1:87" ht="12.75" customHeight="1">
      <c r="A7" s="87"/>
      <c r="B7" s="12" t="s">
        <v>768</v>
      </c>
      <c r="C7" s="12"/>
      <c r="D7" s="12"/>
      <c r="E7" s="23"/>
      <c r="F7" s="12"/>
      <c r="G7" s="13"/>
      <c r="I7" s="1091"/>
      <c r="J7" s="1092"/>
      <c r="K7" s="1134" t="s">
        <v>312</v>
      </c>
      <c r="L7" s="1092"/>
      <c r="M7" s="1092"/>
      <c r="N7" s="1092"/>
      <c r="O7" s="1092"/>
      <c r="P7" s="1092"/>
      <c r="Q7" s="1093"/>
      <c r="S7" s="1091"/>
      <c r="T7" s="1092"/>
      <c r="U7" s="1134" t="s">
        <v>313</v>
      </c>
      <c r="V7" s="1092"/>
      <c r="W7" s="1092"/>
      <c r="X7" s="1092"/>
      <c r="Y7" s="1092"/>
      <c r="Z7" s="1092"/>
      <c r="AA7" s="1093"/>
      <c r="AB7" s="82">
        <f t="shared" si="1"/>
        <v>3.2785000000000003E-4</v>
      </c>
      <c r="AJ7" s="84">
        <f t="shared" si="2"/>
        <v>3.2785000000000003E-4</v>
      </c>
      <c r="AK7" s="82"/>
      <c r="AL7" s="82"/>
      <c r="AM7" s="82"/>
      <c r="AN7" s="82"/>
      <c r="AO7" s="82"/>
      <c r="AP7" s="82"/>
      <c r="AQ7" s="82"/>
      <c r="AR7" s="82"/>
      <c r="AS7" s="82"/>
      <c r="AT7" s="82"/>
      <c r="AU7" s="82"/>
      <c r="AV7" s="82"/>
      <c r="AW7" s="82"/>
      <c r="AX7" s="82"/>
      <c r="AY7" s="82"/>
      <c r="AZ7" s="82"/>
      <c r="BA7" s="82"/>
      <c r="BB7" s="82"/>
      <c r="BC7" s="82"/>
      <c r="BD7" s="82"/>
      <c r="BE7" s="82"/>
      <c r="BF7" s="82"/>
      <c r="BG7" s="82"/>
      <c r="BH7" s="82"/>
      <c r="BJ7" s="260" t="s">
        <v>717</v>
      </c>
      <c r="BK7" s="68">
        <f>0.5*LN((1+M10)/(1-M10))</f>
        <v>0.37688590118818999</v>
      </c>
      <c r="BL7" s="91">
        <f>0.5*LN((1+W10)/(1-W10))</f>
        <v>0.53606033661056662</v>
      </c>
      <c r="BM7" s="109" t="s">
        <v>925</v>
      </c>
      <c r="BN7" s="68">
        <f>SQRT(1/(K8-3)+1/(U8-3))</f>
        <v>0.13764815809115888</v>
      </c>
      <c r="BO7" s="67">
        <v>1.4</v>
      </c>
      <c r="BP7" s="68">
        <f t="shared" si="5"/>
        <v>3.3</v>
      </c>
      <c r="BQ7" s="68" t="e">
        <f t="shared" si="3"/>
        <v>#N/A</v>
      </c>
      <c r="BR7" s="91">
        <f t="shared" si="4"/>
        <v>1.7599999999999998</v>
      </c>
      <c r="BX7" s="84"/>
      <c r="CH7" s="58"/>
    </row>
    <row r="8" spans="1:87" ht="12" customHeight="1">
      <c r="A8" s="87"/>
      <c r="B8" s="12"/>
      <c r="C8" s="12"/>
      <c r="D8" s="12"/>
      <c r="E8" s="1135" t="s">
        <v>108</v>
      </c>
      <c r="F8" s="1136">
        <f>W10-M10</f>
        <v>0.13</v>
      </c>
      <c r="G8" s="13"/>
      <c r="I8" s="1091"/>
      <c r="J8" s="1092"/>
      <c r="K8" s="931">
        <v>87</v>
      </c>
      <c r="L8" s="1092"/>
      <c r="M8" s="1092"/>
      <c r="N8" s="1092"/>
      <c r="O8" s="1092"/>
      <c r="P8" s="1092"/>
      <c r="Q8" s="1093"/>
      <c r="S8" s="1091"/>
      <c r="T8" s="1092"/>
      <c r="U8" s="931">
        <v>145</v>
      </c>
      <c r="V8" s="1092"/>
      <c r="W8" s="1092"/>
      <c r="X8" s="1092"/>
      <c r="Y8" s="1092"/>
      <c r="Z8" s="1092"/>
      <c r="AA8" s="1093"/>
      <c r="AB8" s="82">
        <f t="shared" si="1"/>
        <v>3.2785000000000003E-4</v>
      </c>
      <c r="AJ8" s="84">
        <f t="shared" si="2"/>
        <v>3.2785000000000003E-4</v>
      </c>
      <c r="AK8" s="82"/>
      <c r="AL8" s="82"/>
      <c r="AM8" s="82"/>
      <c r="AN8" s="82"/>
      <c r="AO8" s="82"/>
      <c r="AP8" s="82"/>
      <c r="AQ8" s="82"/>
      <c r="AR8" s="82"/>
      <c r="AS8" s="82"/>
      <c r="AT8" s="82"/>
      <c r="AU8" s="82"/>
      <c r="AV8" s="82"/>
      <c r="AW8" s="82"/>
      <c r="AX8" s="82"/>
      <c r="AY8" s="82"/>
      <c r="AZ8" s="82"/>
      <c r="BA8" s="82"/>
      <c r="BB8" s="82"/>
      <c r="BC8" s="82"/>
      <c r="BD8" s="82"/>
      <c r="BE8" s="82"/>
      <c r="BF8" s="82"/>
      <c r="BG8" s="82"/>
      <c r="BH8" s="82"/>
      <c r="BJ8" s="260" t="s">
        <v>920</v>
      </c>
      <c r="BK8" s="68">
        <f>1/SQRT(K8-3)</f>
        <v>0.10910894511799619</v>
      </c>
      <c r="BL8" s="91">
        <f>1/SQRT(U8-3)</f>
        <v>8.3918135829668908E-2</v>
      </c>
      <c r="BM8" s="261" t="s">
        <v>926</v>
      </c>
      <c r="BN8" s="70">
        <f>BN6/BN7</f>
        <v>1.1563862359637371</v>
      </c>
      <c r="BO8" s="67">
        <v>1.3</v>
      </c>
      <c r="BP8" s="68">
        <f t="shared" si="5"/>
        <v>3.3</v>
      </c>
      <c r="BQ8" s="68" t="e">
        <f t="shared" si="3"/>
        <v>#N/A</v>
      </c>
      <c r="BR8" s="91">
        <f t="shared" si="4"/>
        <v>1.6600000000000001</v>
      </c>
      <c r="BX8" s="84"/>
      <c r="CH8" s="58"/>
    </row>
    <row r="9" spans="1:87" ht="12" customHeight="1">
      <c r="A9" s="87"/>
      <c r="B9" s="23"/>
      <c r="C9" s="23"/>
      <c r="D9" s="23"/>
      <c r="E9" s="23"/>
      <c r="F9" s="23"/>
      <c r="G9" s="13"/>
      <c r="I9" s="1091"/>
      <c r="J9" s="1092"/>
      <c r="K9" s="1092"/>
      <c r="L9" s="1092"/>
      <c r="M9" s="1092"/>
      <c r="N9" s="1092"/>
      <c r="O9" s="1092"/>
      <c r="P9" s="1092"/>
      <c r="Q9" s="1093"/>
      <c r="S9" s="1091"/>
      <c r="T9" s="1092"/>
      <c r="U9" s="1137"/>
      <c r="V9" s="1092"/>
      <c r="W9" s="1092"/>
      <c r="X9" s="1092"/>
      <c r="Y9" s="1092"/>
      <c r="Z9" s="1092"/>
      <c r="AA9" s="1093"/>
      <c r="AB9" s="82">
        <f t="shared" si="1"/>
        <v>3.2785000000000003E-4</v>
      </c>
      <c r="AJ9" s="84">
        <f t="shared" si="2"/>
        <v>3.2785000000000003E-4</v>
      </c>
      <c r="AK9" s="82"/>
      <c r="AL9" s="82"/>
      <c r="AM9" s="82"/>
      <c r="AN9" s="82"/>
      <c r="AO9" s="82"/>
      <c r="AP9" s="82"/>
      <c r="AQ9" s="82"/>
      <c r="AR9" s="82"/>
      <c r="AS9" s="82"/>
      <c r="AT9" s="82"/>
      <c r="AU9" s="82"/>
      <c r="AV9" s="82"/>
      <c r="AW9" s="82"/>
      <c r="AX9" s="82"/>
      <c r="AY9" s="82"/>
      <c r="AZ9" s="82"/>
      <c r="BA9" s="82"/>
      <c r="BB9" s="82"/>
      <c r="BC9" s="82"/>
      <c r="BD9" s="82"/>
      <c r="BE9" s="82"/>
      <c r="BF9" s="82"/>
      <c r="BG9" s="82"/>
      <c r="BH9" s="82"/>
      <c r="BJ9" s="260" t="s">
        <v>921</v>
      </c>
      <c r="BK9" s="68">
        <f>BK7+$BK$2*BK8</f>
        <v>0.59073550401061992</v>
      </c>
      <c r="BL9" s="68">
        <f>BL7+$BK$2*BL8</f>
        <v>0.70053686048645791</v>
      </c>
      <c r="BM9" s="275" t="s">
        <v>761</v>
      </c>
      <c r="BN9" s="1138" t="b">
        <v>0</v>
      </c>
      <c r="BO9" s="67">
        <v>1.2</v>
      </c>
      <c r="BP9" s="68">
        <f t="shared" si="5"/>
        <v>3.3</v>
      </c>
      <c r="BQ9" s="68" t="e">
        <f t="shared" si="3"/>
        <v>#N/A</v>
      </c>
      <c r="BR9" s="91">
        <f t="shared" si="4"/>
        <v>1.56</v>
      </c>
      <c r="BX9" s="84"/>
      <c r="CH9" s="58"/>
    </row>
    <row r="10" spans="1:87" ht="12" customHeight="1">
      <c r="A10" s="87"/>
      <c r="B10" s="12"/>
      <c r="C10" s="12"/>
      <c r="D10" s="12"/>
      <c r="E10" s="323" t="s">
        <v>109</v>
      </c>
      <c r="F10" s="12"/>
      <c r="G10" s="13"/>
      <c r="I10" s="1091"/>
      <c r="J10" s="1092"/>
      <c r="K10" s="1092"/>
      <c r="L10" s="1100" t="s">
        <v>110</v>
      </c>
      <c r="M10" s="1139">
        <f>(1000-BN13)/1000</f>
        <v>0.36</v>
      </c>
      <c r="N10" s="1092"/>
      <c r="O10" s="1092"/>
      <c r="P10" s="1092"/>
      <c r="Q10" s="1093"/>
      <c r="S10" s="1091"/>
      <c r="T10" s="1092"/>
      <c r="U10" s="1137"/>
      <c r="V10" s="1100" t="s">
        <v>111</v>
      </c>
      <c r="W10" s="1139">
        <f>(1000-BN14)/1000</f>
        <v>0.49</v>
      </c>
      <c r="X10" s="1092"/>
      <c r="Y10" s="1092"/>
      <c r="Z10" s="1092"/>
      <c r="AA10" s="1093"/>
      <c r="AB10" s="82">
        <f t="shared" si="1"/>
        <v>3.2785000000000003E-4</v>
      </c>
      <c r="AJ10" s="84">
        <f t="shared" si="2"/>
        <v>3.2785000000000003E-4</v>
      </c>
      <c r="AK10" s="82"/>
      <c r="AL10" s="82"/>
      <c r="AM10" s="82"/>
      <c r="AN10" s="82"/>
      <c r="AO10" s="82"/>
      <c r="AP10" s="82"/>
      <c r="AQ10" s="82"/>
      <c r="AR10" s="82"/>
      <c r="AS10" s="82"/>
      <c r="AT10" s="82"/>
      <c r="AU10" s="82"/>
      <c r="AV10" s="82"/>
      <c r="AW10" s="82"/>
      <c r="AX10" s="82"/>
      <c r="AY10" s="82"/>
      <c r="AZ10" s="82"/>
      <c r="BA10" s="82"/>
      <c r="BB10" s="82"/>
      <c r="BC10" s="82"/>
      <c r="BD10" s="82"/>
      <c r="BE10" s="82"/>
      <c r="BF10" s="82"/>
      <c r="BG10" s="82"/>
      <c r="BH10" s="82"/>
      <c r="BJ10" s="260" t="s">
        <v>922</v>
      </c>
      <c r="BK10" s="68">
        <f>BK7-$BK$2*BK8</f>
        <v>0.16303629836576009</v>
      </c>
      <c r="BL10" s="68">
        <f>BL7-$BK$2*BL8</f>
        <v>0.37158381273467528</v>
      </c>
      <c r="BM10" s="65" t="s">
        <v>929</v>
      </c>
      <c r="BN10" s="66"/>
      <c r="BO10" s="67">
        <v>1.1000000000000001</v>
      </c>
      <c r="BP10" s="68">
        <f t="shared" si="5"/>
        <v>3.3</v>
      </c>
      <c r="BQ10" s="68" t="e">
        <f t="shared" si="3"/>
        <v>#N/A</v>
      </c>
      <c r="BR10" s="91">
        <f t="shared" si="4"/>
        <v>1.46</v>
      </c>
      <c r="BX10" s="84"/>
      <c r="CH10" s="58"/>
    </row>
    <row r="11" spans="1:87" ht="12" customHeight="1">
      <c r="A11" s="87"/>
      <c r="B11" s="12"/>
      <c r="C11" s="325" t="s">
        <v>52</v>
      </c>
      <c r="D11" s="1140">
        <f>BK15</f>
        <v>-8.7181989427881051E-2</v>
      </c>
      <c r="E11" s="341" t="s">
        <v>1535</v>
      </c>
      <c r="F11" s="1140">
        <f>BK14</f>
        <v>0.3591676857346856</v>
      </c>
      <c r="G11" s="1141" t="s">
        <v>1536</v>
      </c>
      <c r="I11" s="1125"/>
      <c r="J11" s="1105"/>
      <c r="K11" s="1105"/>
      <c r="L11" s="1105"/>
      <c r="M11" s="1105"/>
      <c r="N11" s="1105"/>
      <c r="O11" s="1092"/>
      <c r="P11" s="1092"/>
      <c r="Q11" s="1093"/>
      <c r="S11" s="1125"/>
      <c r="T11" s="1105"/>
      <c r="U11" s="1106"/>
      <c r="V11" s="1105"/>
      <c r="W11" s="1105"/>
      <c r="X11" s="1105"/>
      <c r="Y11" s="1092"/>
      <c r="Z11" s="1092"/>
      <c r="AA11" s="1093"/>
      <c r="AB11" s="82">
        <f t="shared" si="1"/>
        <v>3.2785000000000003E-4</v>
      </c>
      <c r="AJ11" s="84">
        <f t="shared" si="2"/>
        <v>3.2785000000000003E-4</v>
      </c>
      <c r="AK11" s="82"/>
      <c r="AL11" s="82"/>
      <c r="AM11" s="82"/>
      <c r="AN11" s="82"/>
      <c r="AO11" s="82"/>
      <c r="AP11" s="82"/>
      <c r="AQ11" s="82"/>
      <c r="AR11" s="82"/>
      <c r="AS11" s="82"/>
      <c r="AT11" s="82"/>
      <c r="AU11" s="82"/>
      <c r="AV11" s="82"/>
      <c r="AW11" s="82"/>
      <c r="AX11" s="82"/>
      <c r="AY11" s="82"/>
      <c r="AZ11" s="82"/>
      <c r="BA11" s="82"/>
      <c r="BB11" s="82"/>
      <c r="BC11" s="82"/>
      <c r="BD11" s="82"/>
      <c r="BE11" s="82"/>
      <c r="BF11" s="82"/>
      <c r="BG11" s="82"/>
      <c r="BH11" s="82"/>
      <c r="BJ11" s="69" t="s">
        <v>927</v>
      </c>
      <c r="BK11" s="70">
        <f>$BK$2*BK8</f>
        <v>0.2138496028224299</v>
      </c>
      <c r="BL11" s="70"/>
      <c r="BM11" s="69">
        <f>IF(M10&gt;=W10,9,-9)</f>
        <v>-9</v>
      </c>
      <c r="BN11" s="70"/>
      <c r="BO11" s="67">
        <v>1</v>
      </c>
      <c r="BP11" s="68">
        <f t="shared" si="5"/>
        <v>3.3</v>
      </c>
      <c r="BQ11" s="68" t="e">
        <f t="shared" si="3"/>
        <v>#N/A</v>
      </c>
      <c r="BR11" s="91">
        <f t="shared" si="4"/>
        <v>1.3599999999999999</v>
      </c>
      <c r="BX11" s="84"/>
      <c r="CH11" s="58"/>
    </row>
    <row r="12" spans="1:87" ht="12" customHeight="1">
      <c r="A12" s="87"/>
      <c r="B12" s="12"/>
      <c r="C12" s="12"/>
      <c r="D12" s="129"/>
      <c r="E12" s="129"/>
      <c r="F12" s="129"/>
      <c r="G12" s="783"/>
      <c r="I12" s="1107">
        <v>4</v>
      </c>
      <c r="J12" s="496" t="s">
        <v>112</v>
      </c>
      <c r="K12" s="125"/>
      <c r="L12" s="125"/>
      <c r="M12" s="125"/>
      <c r="N12" s="126"/>
      <c r="O12" s="1112"/>
      <c r="P12" s="1092"/>
      <c r="Q12" s="1093"/>
      <c r="S12" s="1107">
        <v>5</v>
      </c>
      <c r="T12" s="496" t="s">
        <v>113</v>
      </c>
      <c r="U12" s="125"/>
      <c r="V12" s="125"/>
      <c r="W12" s="125"/>
      <c r="X12" s="126"/>
      <c r="Y12" s="1112"/>
      <c r="Z12" s="1092"/>
      <c r="AA12" s="1093"/>
      <c r="AB12" s="82">
        <f t="shared" si="1"/>
        <v>3.2785000000000003E-4</v>
      </c>
      <c r="AJ12" s="84">
        <f t="shared" si="2"/>
        <v>3.2785000000000003E-4</v>
      </c>
      <c r="AK12" s="82"/>
      <c r="AL12" s="82"/>
      <c r="AM12" s="82"/>
      <c r="AN12" s="82"/>
      <c r="AO12" s="82"/>
      <c r="AP12" s="82"/>
      <c r="AQ12" s="82"/>
      <c r="AR12" s="82"/>
      <c r="AS12" s="82"/>
      <c r="AT12" s="82"/>
      <c r="AU12" s="82"/>
      <c r="AV12" s="82"/>
      <c r="AW12" s="82"/>
      <c r="AX12" s="82"/>
      <c r="AY12" s="82"/>
      <c r="AZ12" s="82"/>
      <c r="BA12" s="82"/>
      <c r="BB12" s="82"/>
      <c r="BC12" s="82"/>
      <c r="BD12" s="82"/>
      <c r="BE12" s="82"/>
      <c r="BF12" s="82"/>
      <c r="BG12" s="82"/>
      <c r="BH12" s="82"/>
      <c r="BJ12" s="65" t="s">
        <v>945</v>
      </c>
      <c r="BM12" s="275" t="s">
        <v>949</v>
      </c>
      <c r="BN12" s="1142" t="b">
        <v>1</v>
      </c>
      <c r="BO12" s="67">
        <v>0.9</v>
      </c>
      <c r="BP12" s="68">
        <f t="shared" si="5"/>
        <v>3.3</v>
      </c>
      <c r="BQ12" s="68" t="e">
        <f t="shared" si="3"/>
        <v>#N/A</v>
      </c>
      <c r="BR12" s="91">
        <f t="shared" si="4"/>
        <v>1.26</v>
      </c>
      <c r="BX12" s="84"/>
      <c r="CH12" s="58"/>
    </row>
    <row r="13" spans="1:87" ht="12" customHeight="1">
      <c r="A13" s="87"/>
      <c r="B13" s="12"/>
      <c r="C13" s="12"/>
      <c r="D13" s="323" t="s">
        <v>747</v>
      </c>
      <c r="E13" s="12"/>
      <c r="F13" s="323" t="s">
        <v>748</v>
      </c>
      <c r="G13" s="783"/>
      <c r="I13" s="216"/>
      <c r="J13" s="100"/>
      <c r="K13" s="100"/>
      <c r="L13" s="251" t="s">
        <v>114</v>
      </c>
      <c r="M13" s="717"/>
      <c r="N13" s="1143"/>
      <c r="O13" s="1092"/>
      <c r="P13" s="1092"/>
      <c r="Q13" s="1093"/>
      <c r="S13" s="1144"/>
      <c r="T13" s="717"/>
      <c r="U13" s="717"/>
      <c r="V13" s="251" t="s">
        <v>115</v>
      </c>
      <c r="W13" s="100"/>
      <c r="X13" s="217"/>
      <c r="Y13" s="1092"/>
      <c r="Z13" s="1092"/>
      <c r="AA13" s="1093"/>
      <c r="AB13" s="82">
        <f t="shared" si="1"/>
        <v>3.2785000000000003E-4</v>
      </c>
      <c r="AJ13" s="84">
        <f t="shared" si="2"/>
        <v>3.2785000000000003E-4</v>
      </c>
      <c r="AK13" s="82"/>
      <c r="AL13" s="82"/>
      <c r="AM13" s="82"/>
      <c r="AN13" s="82"/>
      <c r="AO13" s="82"/>
      <c r="AP13" s="82"/>
      <c r="AQ13" s="82"/>
      <c r="AR13" s="82"/>
      <c r="AS13" s="82"/>
      <c r="AT13" s="82"/>
      <c r="AU13" s="82"/>
      <c r="AV13" s="82"/>
      <c r="AW13" s="82"/>
      <c r="AX13" s="82"/>
      <c r="AY13" s="82"/>
      <c r="AZ13" s="82"/>
      <c r="BA13" s="82"/>
      <c r="BB13" s="82"/>
      <c r="BC13" s="82"/>
      <c r="BD13" s="82"/>
      <c r="BE13" s="82"/>
      <c r="BF13" s="82"/>
      <c r="BG13" s="82"/>
      <c r="BH13" s="82"/>
      <c r="BJ13" s="260" t="s">
        <v>946</v>
      </c>
      <c r="BK13" s="5">
        <f>W10-M10</f>
        <v>0.13</v>
      </c>
      <c r="BL13" s="5" t="s">
        <v>1275</v>
      </c>
      <c r="BM13" s="114" t="s">
        <v>654</v>
      </c>
      <c r="BN13" s="1145">
        <v>640</v>
      </c>
      <c r="BO13" s="67">
        <v>0.8</v>
      </c>
      <c r="BP13" s="68">
        <f t="shared" si="5"/>
        <v>3.3</v>
      </c>
      <c r="BQ13" s="68" t="e">
        <f t="shared" si="3"/>
        <v>#N/A</v>
      </c>
      <c r="BR13" s="91">
        <f t="shared" si="4"/>
        <v>1.1600000000000001</v>
      </c>
      <c r="BX13" s="84"/>
      <c r="CH13" s="58"/>
    </row>
    <row r="14" spans="1:87" ht="12" customHeight="1">
      <c r="A14" s="87"/>
      <c r="B14" s="12"/>
      <c r="C14" s="12"/>
      <c r="D14" s="323" t="s">
        <v>1280</v>
      </c>
      <c r="E14" s="323"/>
      <c r="F14" s="323" t="s">
        <v>1280</v>
      </c>
      <c r="G14" s="13"/>
      <c r="I14" s="216"/>
      <c r="J14" s="250" t="s">
        <v>52</v>
      </c>
      <c r="K14" s="1146">
        <f>(EXP(2*$BK$10)-1)/(EXP(2*$BK$10)+1)</f>
        <v>0.16160694682774485</v>
      </c>
      <c r="L14" s="255" t="s">
        <v>1535</v>
      </c>
      <c r="M14" s="1147">
        <f>(EXP(2*$BK$9)-1)/(EXP(2*$BK$9)+1)</f>
        <v>0.53042438366075562</v>
      </c>
      <c r="N14" s="1148" t="s">
        <v>1536</v>
      </c>
      <c r="O14" s="1149"/>
      <c r="P14" s="1149"/>
      <c r="Q14" s="1150"/>
      <c r="R14" s="165"/>
      <c r="S14" s="1144"/>
      <c r="T14" s="727" t="s">
        <v>52</v>
      </c>
      <c r="U14" s="1151">
        <f>(EXP(2*$BL$10)-1)/(EXP(2*$BL$10)+1)</f>
        <v>0.3553762800034711</v>
      </c>
      <c r="V14" s="255" t="s">
        <v>1535</v>
      </c>
      <c r="W14" s="1146">
        <f>(EXP(2*$BL$9)-1)/(EXP(2*$BL$9)+1)</f>
        <v>0.60470843315982648</v>
      </c>
      <c r="X14" s="674" t="s">
        <v>1536</v>
      </c>
      <c r="Y14" s="1092"/>
      <c r="Z14" s="1092"/>
      <c r="AA14" s="1093"/>
      <c r="AB14" s="82">
        <f t="shared" si="1"/>
        <v>3.2785000000000003E-4</v>
      </c>
      <c r="AC14" s="68"/>
      <c r="AD14" s="68"/>
      <c r="AE14" s="68"/>
      <c r="AF14" s="68"/>
      <c r="AG14" s="68"/>
      <c r="AH14" s="68"/>
      <c r="AI14" s="68"/>
      <c r="AJ14" s="84">
        <f t="shared" si="2"/>
        <v>3.2785000000000003E-4</v>
      </c>
      <c r="AK14" s="82"/>
      <c r="AL14" s="82"/>
      <c r="AM14" s="82"/>
      <c r="AN14" s="82"/>
      <c r="AO14" s="82"/>
      <c r="AP14" s="82"/>
      <c r="AQ14" s="82"/>
      <c r="AR14" s="82"/>
      <c r="AS14" s="82"/>
      <c r="AT14" s="82"/>
      <c r="AU14" s="82"/>
      <c r="AV14" s="82"/>
      <c r="AW14" s="82"/>
      <c r="AX14" s="82"/>
      <c r="AY14" s="82"/>
      <c r="AZ14" s="82"/>
      <c r="BA14" s="82"/>
      <c r="BB14" s="82"/>
      <c r="BC14" s="82"/>
      <c r="BD14" s="82"/>
      <c r="BE14" s="82"/>
      <c r="BF14" s="82"/>
      <c r="BG14" s="82"/>
      <c r="BH14" s="82"/>
      <c r="BJ14" s="260" t="s">
        <v>947</v>
      </c>
      <c r="BK14" s="5">
        <f>BK13+SQRT((W14-W10)^2+(M10-K14)^2)</f>
        <v>0.3591676857346856</v>
      </c>
      <c r="BL14" s="5">
        <f>BK14-BK13</f>
        <v>0.2291676857346856</v>
      </c>
      <c r="BM14" s="69"/>
      <c r="BN14" s="828">
        <v>510</v>
      </c>
      <c r="BO14" s="67">
        <v>0.7</v>
      </c>
      <c r="BP14" s="68">
        <f t="shared" si="5"/>
        <v>3.3</v>
      </c>
      <c r="BQ14" s="68" t="e">
        <f t="shared" si="3"/>
        <v>#N/A</v>
      </c>
      <c r="BR14" s="91">
        <f t="shared" si="4"/>
        <v>1.06</v>
      </c>
      <c r="BX14" s="84"/>
      <c r="CH14" s="58"/>
    </row>
    <row r="15" spans="1:87" ht="12.75" customHeight="1">
      <c r="A15" s="87"/>
      <c r="B15" s="12"/>
      <c r="C15" s="12"/>
      <c r="D15" s="1140">
        <f>BL15</f>
        <v>0.21718198942788106</v>
      </c>
      <c r="E15" s="129"/>
      <c r="F15" s="1140">
        <f>BL14</f>
        <v>0.2291676857346856</v>
      </c>
      <c r="G15" s="783"/>
      <c r="I15" s="216"/>
      <c r="J15" s="100"/>
      <c r="K15" s="100"/>
      <c r="L15" s="100"/>
      <c r="M15" s="100"/>
      <c r="N15" s="217"/>
      <c r="O15" s="1149"/>
      <c r="P15" s="1149"/>
      <c r="Q15" s="1150"/>
      <c r="R15" s="165"/>
      <c r="S15" s="216"/>
      <c r="T15" s="100"/>
      <c r="U15" s="100"/>
      <c r="V15" s="100"/>
      <c r="W15" s="100"/>
      <c r="X15" s="217"/>
      <c r="Y15" s="1092"/>
      <c r="Z15" s="1092"/>
      <c r="AA15" s="1093"/>
      <c r="AB15" s="82">
        <f t="shared" si="1"/>
        <v>3.2785000000000003E-4</v>
      </c>
      <c r="AC15" s="68"/>
      <c r="AD15" s="68"/>
      <c r="AE15" s="68"/>
      <c r="AF15" s="68"/>
      <c r="AG15" s="68"/>
      <c r="AH15" s="68"/>
      <c r="AI15" s="68"/>
      <c r="AJ15" s="84">
        <f t="shared" si="2"/>
        <v>3.2785000000000003E-4</v>
      </c>
      <c r="AK15" s="82"/>
      <c r="AL15" s="82"/>
      <c r="AM15" s="82"/>
      <c r="AN15" s="82"/>
      <c r="AO15" s="82"/>
      <c r="AP15" s="82"/>
      <c r="AQ15" s="82"/>
      <c r="AR15" s="82"/>
      <c r="AS15" s="82"/>
      <c r="AT15" s="82"/>
      <c r="AU15" s="82"/>
      <c r="AV15" s="82"/>
      <c r="AW15" s="82"/>
      <c r="AX15" s="82"/>
      <c r="AY15" s="82"/>
      <c r="AZ15" s="82"/>
      <c r="BA15" s="82"/>
      <c r="BB15" s="82"/>
      <c r="BC15" s="82"/>
      <c r="BD15" s="82"/>
      <c r="BE15" s="82"/>
      <c r="BF15" s="82"/>
      <c r="BG15" s="82"/>
      <c r="BH15" s="82"/>
      <c r="BJ15" s="260" t="s">
        <v>948</v>
      </c>
      <c r="BK15" s="5">
        <f>BK13-SQRT((W10-U14)^2+(M14-M10)^2)</f>
        <v>-8.7181989427881051E-2</v>
      </c>
      <c r="BL15" s="5">
        <f>BK13-BK15</f>
        <v>0.21718198942788106</v>
      </c>
      <c r="BM15" s="275" t="s">
        <v>767</v>
      </c>
      <c r="BN15" s="1142" t="b">
        <v>0</v>
      </c>
      <c r="BO15" s="67">
        <v>0.6</v>
      </c>
      <c r="BP15" s="68">
        <f t="shared" si="5"/>
        <v>3.3</v>
      </c>
      <c r="BQ15" s="68" t="e">
        <f t="shared" si="3"/>
        <v>#N/A</v>
      </c>
      <c r="BR15" s="91">
        <f t="shared" si="4"/>
        <v>0.96</v>
      </c>
      <c r="BX15" s="84"/>
      <c r="CH15" s="58"/>
    </row>
    <row r="16" spans="1:87" ht="12" customHeight="1">
      <c r="A16" s="87"/>
      <c r="B16" s="1152"/>
      <c r="C16" s="12"/>
      <c r="D16" s="129"/>
      <c r="E16" s="129"/>
      <c r="F16" s="129"/>
      <c r="G16" s="783"/>
      <c r="I16" s="216"/>
      <c r="J16" s="100"/>
      <c r="K16" s="396" t="s">
        <v>747</v>
      </c>
      <c r="L16" s="100"/>
      <c r="M16" s="396" t="s">
        <v>748</v>
      </c>
      <c r="N16" s="217"/>
      <c r="O16" s="1092"/>
      <c r="P16" s="1092"/>
      <c r="Q16" s="1093"/>
      <c r="S16" s="216"/>
      <c r="T16" s="100"/>
      <c r="U16" s="396" t="s">
        <v>747</v>
      </c>
      <c r="V16" s="100"/>
      <c r="W16" s="396" t="s">
        <v>748</v>
      </c>
      <c r="X16" s="217"/>
      <c r="Y16" s="1092"/>
      <c r="Z16" s="1092"/>
      <c r="AA16" s="1093"/>
      <c r="AB16" s="82">
        <f t="shared" si="1"/>
        <v>3.2785000000000003E-4</v>
      </c>
      <c r="AC16" s="68"/>
      <c r="AD16" s="68"/>
      <c r="AE16" s="68"/>
      <c r="AF16" s="109"/>
      <c r="AG16" s="109"/>
      <c r="AH16" s="109"/>
      <c r="AI16" s="107"/>
      <c r="AJ16" s="84">
        <f t="shared" si="2"/>
        <v>3.2785000000000003E-4</v>
      </c>
      <c r="AK16" s="82"/>
      <c r="AL16" s="82"/>
      <c r="AM16" s="82"/>
      <c r="AN16" s="82"/>
      <c r="AO16" s="82"/>
      <c r="AP16" s="82"/>
      <c r="AQ16" s="82"/>
      <c r="AR16" s="82"/>
      <c r="AS16" s="82"/>
      <c r="AT16" s="82"/>
      <c r="AU16" s="82"/>
      <c r="AV16" s="82"/>
      <c r="AW16" s="82"/>
      <c r="AX16" s="82"/>
      <c r="AY16" s="82"/>
      <c r="AZ16" s="82"/>
      <c r="BA16" s="82"/>
      <c r="BB16" s="82"/>
      <c r="BC16" s="82"/>
      <c r="BD16" s="82"/>
      <c r="BE16" s="82"/>
      <c r="BF16" s="82"/>
      <c r="BG16" s="82"/>
      <c r="BH16" s="82"/>
      <c r="BJ16" s="67" t="s">
        <v>950</v>
      </c>
      <c r="BL16" s="65" t="s">
        <v>760</v>
      </c>
      <c r="BM16" s="91"/>
      <c r="BO16" s="67">
        <v>0.5</v>
      </c>
      <c r="BP16" s="68">
        <f t="shared" si="5"/>
        <v>3.3</v>
      </c>
      <c r="BQ16" s="68">
        <f t="shared" si="3"/>
        <v>0.86</v>
      </c>
      <c r="BR16" s="91">
        <f t="shared" si="4"/>
        <v>0.86</v>
      </c>
      <c r="BX16" s="84"/>
      <c r="CH16" s="58"/>
    </row>
    <row r="17" spans="1:86" ht="12" customHeight="1">
      <c r="A17" s="87"/>
      <c r="B17" s="1152"/>
      <c r="C17" s="12"/>
      <c r="D17" s="12"/>
      <c r="E17" s="129" t="s">
        <v>116</v>
      </c>
      <c r="F17" s="1136">
        <f>(F15+D15)/2</f>
        <v>0.22317483758128331</v>
      </c>
      <c r="G17" s="783"/>
      <c r="I17" s="216"/>
      <c r="J17" s="100"/>
      <c r="K17" s="396" t="s">
        <v>1280</v>
      </c>
      <c r="L17" s="396"/>
      <c r="M17" s="396" t="s">
        <v>1280</v>
      </c>
      <c r="N17" s="217"/>
      <c r="O17" s="1092"/>
      <c r="P17" s="1092"/>
      <c r="Q17" s="1093"/>
      <c r="S17" s="216"/>
      <c r="T17" s="100"/>
      <c r="U17" s="396" t="s">
        <v>1280</v>
      </c>
      <c r="V17" s="396"/>
      <c r="W17" s="396" t="s">
        <v>1280</v>
      </c>
      <c r="X17" s="217"/>
      <c r="Y17" s="1092"/>
      <c r="Z17" s="1092"/>
      <c r="AA17" s="1093"/>
      <c r="AB17" s="82">
        <f t="shared" si="1"/>
        <v>3.2785000000000003E-4</v>
      </c>
      <c r="AC17" s="68"/>
      <c r="AD17" s="68"/>
      <c r="AE17" s="68"/>
      <c r="AF17" s="109"/>
      <c r="AG17" s="109"/>
      <c r="AH17" s="109"/>
      <c r="AI17" s="107"/>
      <c r="AJ17" s="84">
        <f t="shared" si="2"/>
        <v>3.2785000000000003E-4</v>
      </c>
      <c r="AK17" s="82"/>
      <c r="AL17" s="82"/>
      <c r="AM17" s="82"/>
      <c r="AN17" s="82"/>
      <c r="AO17" s="82"/>
      <c r="AP17" s="82"/>
      <c r="AQ17" s="82"/>
      <c r="AR17" s="82"/>
      <c r="AS17" s="82"/>
      <c r="AT17" s="82"/>
      <c r="AU17" s="82"/>
      <c r="AV17" s="82"/>
      <c r="AW17" s="82"/>
      <c r="AX17" s="82"/>
      <c r="AY17" s="82"/>
      <c r="AZ17" s="82"/>
      <c r="BA17" s="82"/>
      <c r="BB17" s="82"/>
      <c r="BC17" s="82"/>
      <c r="BD17" s="82"/>
      <c r="BE17" s="82"/>
      <c r="BF17" s="82"/>
      <c r="BG17" s="82"/>
      <c r="BH17" s="82"/>
      <c r="BJ17" s="67">
        <v>2.9</v>
      </c>
      <c r="BK17" s="5">
        <f>IF(BN12,W10,NA())</f>
        <v>0.49</v>
      </c>
      <c r="BL17" s="1153">
        <f>M18</f>
        <v>0.17042438366075563</v>
      </c>
      <c r="BM17" s="1128">
        <f>W18</f>
        <v>0.11470843315982648</v>
      </c>
      <c r="BO17" s="67">
        <v>0.4</v>
      </c>
      <c r="BP17" s="68">
        <f t="shared" si="5"/>
        <v>3.3</v>
      </c>
      <c r="BQ17" s="68">
        <f t="shared" si="3"/>
        <v>0.76</v>
      </c>
      <c r="BR17" s="91">
        <f t="shared" si="4"/>
        <v>0.76</v>
      </c>
      <c r="BX17" s="84"/>
      <c r="CH17" s="58"/>
    </row>
    <row r="18" spans="1:86" ht="12" customHeight="1">
      <c r="A18" s="85"/>
      <c r="B18" s="16"/>
      <c r="C18" s="16"/>
      <c r="D18" s="16"/>
      <c r="E18" s="16"/>
      <c r="F18" s="16"/>
      <c r="G18" s="17"/>
      <c r="I18" s="216"/>
      <c r="J18" s="100"/>
      <c r="K18" s="1110">
        <f>M10-K14</f>
        <v>0.19839305317225514</v>
      </c>
      <c r="L18" s="717"/>
      <c r="M18" s="1154">
        <f>M14-M10</f>
        <v>0.17042438366075563</v>
      </c>
      <c r="N18" s="217"/>
      <c r="O18" s="1092"/>
      <c r="P18" s="1092"/>
      <c r="Q18" s="1093"/>
      <c r="S18" s="216"/>
      <c r="T18" s="100"/>
      <c r="U18" s="1155">
        <f>W10-U14</f>
        <v>0.13462371999652889</v>
      </c>
      <c r="V18" s="717"/>
      <c r="W18" s="1110">
        <f>W14-W10</f>
        <v>0.11470843315982648</v>
      </c>
      <c r="X18" s="217"/>
      <c r="Y18" s="1092"/>
      <c r="Z18" s="1092"/>
      <c r="AA18" s="1093"/>
      <c r="AB18" s="82">
        <f t="shared" si="1"/>
        <v>3.2785000000000003E-4</v>
      </c>
      <c r="AC18" s="68"/>
      <c r="AD18" s="68"/>
      <c r="AE18" s="68"/>
      <c r="AF18" s="68"/>
      <c r="AG18" s="68"/>
      <c r="AH18" s="68"/>
      <c r="AI18" s="68"/>
      <c r="AJ18" s="84">
        <f t="shared" si="2"/>
        <v>3.2785000000000003E-4</v>
      </c>
      <c r="AK18" s="82"/>
      <c r="AL18" s="82"/>
      <c r="AM18" s="82"/>
      <c r="AN18" s="82"/>
      <c r="AO18" s="82"/>
      <c r="AP18" s="82"/>
      <c r="AQ18" s="82"/>
      <c r="AR18" s="82"/>
      <c r="AS18" s="82"/>
      <c r="AT18" s="82"/>
      <c r="AU18" s="82"/>
      <c r="AV18" s="82"/>
      <c r="AW18" s="82"/>
      <c r="AX18" s="82"/>
      <c r="AY18" s="82"/>
      <c r="AZ18" s="82"/>
      <c r="BA18" s="82"/>
      <c r="BB18" s="82"/>
      <c r="BC18" s="82"/>
      <c r="BD18" s="82"/>
      <c r="BE18" s="82"/>
      <c r="BF18" s="82"/>
      <c r="BG18" s="82"/>
      <c r="BH18" s="82"/>
      <c r="BJ18" s="69" t="s">
        <v>951</v>
      </c>
      <c r="BL18" s="1156">
        <f>K18</f>
        <v>0.19839305317225514</v>
      </c>
      <c r="BM18" s="1157">
        <f>U18</f>
        <v>0.13462371999652889</v>
      </c>
      <c r="BO18" s="67">
        <v>0.3</v>
      </c>
      <c r="BP18" s="68">
        <f t="shared" si="5"/>
        <v>3.3</v>
      </c>
      <c r="BQ18" s="68">
        <f t="shared" si="3"/>
        <v>0.65999999999999992</v>
      </c>
      <c r="BR18" s="91">
        <f t="shared" si="4"/>
        <v>0.65999999999999992</v>
      </c>
      <c r="BX18" s="84"/>
      <c r="CH18" s="58"/>
    </row>
    <row r="19" spans="1:86" ht="12" customHeight="1">
      <c r="A19" s="808">
        <v>7</v>
      </c>
      <c r="B19" s="1115" t="s">
        <v>117</v>
      </c>
      <c r="C19" s="664"/>
      <c r="D19" s="664"/>
      <c r="E19" s="664"/>
      <c r="F19" s="664"/>
      <c r="G19" s="358"/>
      <c r="I19" s="216"/>
      <c r="J19" s="100"/>
      <c r="K19" s="100"/>
      <c r="L19" s="100"/>
      <c r="M19" s="100"/>
      <c r="N19" s="217"/>
      <c r="O19" s="1092"/>
      <c r="P19" s="1092"/>
      <c r="Q19" s="1093"/>
      <c r="S19" s="216"/>
      <c r="T19" s="100"/>
      <c r="U19" s="100"/>
      <c r="V19" s="100"/>
      <c r="W19" s="100"/>
      <c r="X19" s="217"/>
      <c r="Y19" s="1092"/>
      <c r="Z19" s="1092"/>
      <c r="AA19" s="1093"/>
      <c r="AB19" s="82">
        <f t="shared" si="1"/>
        <v>3.2785000000000003E-4</v>
      </c>
      <c r="AC19" s="68"/>
      <c r="AD19" s="68"/>
      <c r="AE19" s="68"/>
      <c r="AF19" s="68"/>
      <c r="AG19" s="68"/>
      <c r="AH19" s="68"/>
      <c r="AI19" s="68"/>
      <c r="AJ19" s="84">
        <f t="shared" si="2"/>
        <v>3.2785000000000003E-4</v>
      </c>
      <c r="AK19" s="82"/>
      <c r="AL19" s="82"/>
      <c r="AM19" s="82"/>
      <c r="AN19" s="82"/>
      <c r="AO19" s="82"/>
      <c r="AP19" s="82"/>
      <c r="AQ19" s="82"/>
      <c r="AR19" s="82"/>
      <c r="AS19" s="82"/>
      <c r="AT19" s="82"/>
      <c r="AU19" s="82"/>
      <c r="AV19" s="82"/>
      <c r="AW19" s="82"/>
      <c r="AX19" s="82"/>
      <c r="AY19" s="82"/>
      <c r="AZ19" s="82"/>
      <c r="BA19" s="82"/>
      <c r="BB19" s="82"/>
      <c r="BC19" s="82"/>
      <c r="BD19" s="82"/>
      <c r="BE19" s="82"/>
      <c r="BF19" s="82"/>
      <c r="BG19" s="82"/>
      <c r="BH19" s="82"/>
      <c r="BJ19" s="65">
        <f>BL1</f>
        <v>1</v>
      </c>
      <c r="BK19" s="93">
        <f>IF(BN12,M10,NA())</f>
        <v>0.36</v>
      </c>
      <c r="BO19" s="67">
        <v>0.2</v>
      </c>
      <c r="BP19" s="68">
        <f t="shared" si="5"/>
        <v>3.3</v>
      </c>
      <c r="BQ19" s="68">
        <f t="shared" si="3"/>
        <v>0.56000000000000005</v>
      </c>
      <c r="BR19" s="91">
        <f t="shared" si="4"/>
        <v>0.56000000000000005</v>
      </c>
      <c r="BX19" s="84"/>
      <c r="CH19" s="58"/>
    </row>
    <row r="20" spans="1:86" ht="12.75" customHeight="1">
      <c r="A20" s="428"/>
      <c r="B20" s="1158" t="s">
        <v>118</v>
      </c>
      <c r="C20" s="665"/>
      <c r="D20" s="665"/>
      <c r="E20" s="665"/>
      <c r="F20" s="665"/>
      <c r="G20" s="359"/>
      <c r="I20" s="216"/>
      <c r="J20" s="100"/>
      <c r="K20" s="100"/>
      <c r="L20" s="395" t="s">
        <v>116</v>
      </c>
      <c r="M20" s="1159">
        <f>(M18+K18)/2</f>
        <v>0.18440871841650538</v>
      </c>
      <c r="N20" s="217"/>
      <c r="O20" s="1092"/>
      <c r="P20" s="1092"/>
      <c r="Q20" s="1093"/>
      <c r="S20" s="216"/>
      <c r="T20" s="100"/>
      <c r="U20" s="100"/>
      <c r="V20" s="395" t="s">
        <v>116</v>
      </c>
      <c r="W20" s="1160">
        <f>(W18+U18)/2</f>
        <v>0.12466607657817769</v>
      </c>
      <c r="X20" s="217"/>
      <c r="Y20" s="1092"/>
      <c r="Z20" s="1092"/>
      <c r="AA20" s="1093"/>
      <c r="AB20" s="82">
        <f t="shared" si="1"/>
        <v>3.2785000000000003E-4</v>
      </c>
      <c r="AC20" s="68"/>
      <c r="AD20" s="68"/>
      <c r="AE20" s="68"/>
      <c r="AF20" s="68"/>
      <c r="AG20" s="68"/>
      <c r="AH20" s="68"/>
      <c r="AI20" s="68"/>
      <c r="AJ20" s="84">
        <f t="shared" si="2"/>
        <v>3.2785000000000003E-4</v>
      </c>
      <c r="AK20" s="82"/>
      <c r="AL20" s="82"/>
      <c r="AM20" s="82"/>
      <c r="AN20" s="82"/>
      <c r="AO20" s="82"/>
      <c r="AP20" s="82"/>
      <c r="AQ20" s="82"/>
      <c r="AR20" s="82"/>
      <c r="AS20" s="82"/>
      <c r="AT20" s="82"/>
      <c r="AU20" s="82"/>
      <c r="AV20" s="82"/>
      <c r="AW20" s="82"/>
      <c r="AX20" s="82"/>
      <c r="AY20" s="82"/>
      <c r="AZ20" s="82"/>
      <c r="BA20" s="82"/>
      <c r="BB20" s="82"/>
      <c r="BC20" s="82"/>
      <c r="BD20" s="82"/>
      <c r="BE20" s="82"/>
      <c r="BF20" s="82"/>
      <c r="BG20" s="82"/>
      <c r="BH20" s="82"/>
      <c r="BJ20" s="69">
        <f>BP2</f>
        <v>3.3</v>
      </c>
      <c r="BK20" s="97">
        <f>IF($BN$12,M10,NA())</f>
        <v>0.36</v>
      </c>
      <c r="BO20" s="67">
        <v>0.1</v>
      </c>
      <c r="BP20" s="68">
        <f t="shared" si="5"/>
        <v>3.3</v>
      </c>
      <c r="BQ20" s="68">
        <f t="shared" si="3"/>
        <v>0.45999999999999996</v>
      </c>
      <c r="BR20" s="91">
        <f t="shared" si="4"/>
        <v>0.45999999999999996</v>
      </c>
      <c r="BX20" s="84"/>
      <c r="CH20" s="58"/>
    </row>
    <row r="21" spans="1:86" ht="12" customHeight="1">
      <c r="A21" s="428"/>
      <c r="B21" s="665"/>
      <c r="C21" s="665"/>
      <c r="D21" s="665"/>
      <c r="E21" s="1161" t="s">
        <v>470</v>
      </c>
      <c r="F21" s="1162" t="str">
        <f>IF(BN15,2*(1-NORMSDIST(BN8)),"")</f>
        <v/>
      </c>
      <c r="G21" s="359"/>
      <c r="I21" s="127"/>
      <c r="J21" s="101"/>
      <c r="K21" s="101"/>
      <c r="L21" s="101"/>
      <c r="M21" s="101"/>
      <c r="N21" s="128"/>
      <c r="O21" s="1092"/>
      <c r="P21" s="1092"/>
      <c r="Q21" s="1093"/>
      <c r="S21" s="127"/>
      <c r="T21" s="101"/>
      <c r="U21" s="101"/>
      <c r="V21" s="101"/>
      <c r="W21" s="101"/>
      <c r="X21" s="128"/>
      <c r="Y21" s="1092"/>
      <c r="Z21" s="1092"/>
      <c r="AA21" s="1093"/>
      <c r="AB21" s="82">
        <f t="shared" si="1"/>
        <v>3.2785000000000003E-4</v>
      </c>
      <c r="AC21" s="68"/>
      <c r="AD21" s="68"/>
      <c r="AE21" s="68"/>
      <c r="AF21" s="68"/>
      <c r="AG21" s="68"/>
      <c r="AH21" s="68"/>
      <c r="AI21" s="68"/>
      <c r="AJ21" s="84">
        <f t="shared" si="2"/>
        <v>3.2785000000000003E-4</v>
      </c>
      <c r="AK21" s="82"/>
      <c r="AL21" s="82"/>
      <c r="AM21" s="82"/>
      <c r="AN21" s="82"/>
      <c r="AO21" s="82"/>
      <c r="AP21" s="82"/>
      <c r="AQ21" s="82"/>
      <c r="AR21" s="82"/>
      <c r="AS21" s="82"/>
      <c r="AT21" s="82"/>
      <c r="AU21" s="82"/>
      <c r="AV21" s="82"/>
      <c r="AW21" s="82"/>
      <c r="AX21" s="82"/>
      <c r="AY21" s="82"/>
      <c r="AZ21" s="82"/>
      <c r="BA21" s="82"/>
      <c r="BB21" s="82"/>
      <c r="BC21" s="82"/>
      <c r="BD21" s="82"/>
      <c r="BE21" s="82"/>
      <c r="BF21" s="82"/>
      <c r="BG21" s="82"/>
      <c r="BH21" s="82"/>
      <c r="BJ21" s="65">
        <f>BL2</f>
        <v>2</v>
      </c>
      <c r="BK21" s="93">
        <f>IF($BN$12,BK17,NA())</f>
        <v>0.49</v>
      </c>
      <c r="BO21" s="67">
        <v>0</v>
      </c>
      <c r="BP21" s="68">
        <f t="shared" si="5"/>
        <v>3.3</v>
      </c>
      <c r="BQ21" s="68">
        <f t="shared" si="3"/>
        <v>0.36</v>
      </c>
      <c r="BR21" s="91">
        <f t="shared" si="4"/>
        <v>0.36</v>
      </c>
      <c r="BX21" s="84"/>
      <c r="CH21" s="58"/>
    </row>
    <row r="22" spans="1:86" ht="12" customHeight="1">
      <c r="A22" s="148"/>
      <c r="B22" s="673"/>
      <c r="C22" s="673"/>
      <c r="D22" s="673"/>
      <c r="E22" s="673"/>
      <c r="F22" s="673"/>
      <c r="G22" s="429"/>
      <c r="N22" s="1163"/>
      <c r="O22" s="1092"/>
      <c r="P22" s="1092"/>
      <c r="Q22" s="1093"/>
      <c r="X22" s="1163"/>
      <c r="Y22" s="1092"/>
      <c r="Z22" s="1092"/>
      <c r="AA22" s="1093"/>
      <c r="AB22" s="82">
        <f t="shared" si="1"/>
        <v>3.2785000000000003E-4</v>
      </c>
      <c r="AC22" s="68"/>
      <c r="AD22" s="68"/>
      <c r="AE22" s="68"/>
      <c r="AF22" s="68"/>
      <c r="AG22" s="68"/>
      <c r="AH22" s="68"/>
      <c r="AI22" s="68"/>
      <c r="AJ22" s="84">
        <f t="shared" si="2"/>
        <v>3.2785000000000003E-4</v>
      </c>
      <c r="AK22" s="82"/>
      <c r="AL22" s="82"/>
      <c r="AM22" s="82"/>
      <c r="AN22" s="82"/>
      <c r="AO22" s="82"/>
      <c r="AP22" s="82"/>
      <c r="AQ22" s="82"/>
      <c r="AR22" s="82"/>
      <c r="AS22" s="82"/>
      <c r="AT22" s="82"/>
      <c r="AU22" s="82"/>
      <c r="AV22" s="82"/>
      <c r="AW22" s="82"/>
      <c r="AX22" s="82"/>
      <c r="AY22" s="82"/>
      <c r="AZ22" s="82"/>
      <c r="BA22" s="82"/>
      <c r="BB22" s="82"/>
      <c r="BC22" s="82"/>
      <c r="BD22" s="82"/>
      <c r="BE22" s="82"/>
      <c r="BF22" s="82"/>
      <c r="BG22" s="82"/>
      <c r="BH22" s="82"/>
      <c r="BJ22" s="69">
        <f>BJ17</f>
        <v>2.9</v>
      </c>
      <c r="BK22" s="97">
        <f>IF($BN$12,BK17,NA())</f>
        <v>0.49</v>
      </c>
      <c r="BO22" s="67">
        <v>-0.1</v>
      </c>
      <c r="BP22" s="68">
        <f t="shared" si="5"/>
        <v>3.3</v>
      </c>
      <c r="BQ22" s="68">
        <f t="shared" si="3"/>
        <v>0.26</v>
      </c>
      <c r="BR22" s="91">
        <f t="shared" si="4"/>
        <v>0.26</v>
      </c>
      <c r="BX22" s="84"/>
      <c r="CH22" s="58"/>
    </row>
    <row r="23" spans="1:86" ht="12" customHeight="1">
      <c r="A23" s="854">
        <v>8</v>
      </c>
      <c r="B23" s="548" t="s">
        <v>295</v>
      </c>
      <c r="C23" s="116"/>
      <c r="D23" s="116"/>
      <c r="E23" s="116"/>
      <c r="F23" s="116"/>
      <c r="G23" s="306"/>
      <c r="O23" s="1091"/>
      <c r="P23" s="1092"/>
      <c r="Q23" s="1093"/>
      <c r="Y23" s="1091"/>
      <c r="Z23" s="1092"/>
      <c r="AA23" s="1093"/>
      <c r="AB23" s="82">
        <f t="shared" si="1"/>
        <v>3.2785000000000003E-4</v>
      </c>
      <c r="AC23" s="68"/>
      <c r="AD23" s="68"/>
      <c r="AE23" s="68"/>
      <c r="AF23" s="68"/>
      <c r="AG23" s="68"/>
      <c r="AH23" s="68"/>
      <c r="AI23" s="68"/>
      <c r="AJ23" s="84">
        <f t="shared" si="2"/>
        <v>3.2785000000000003E-4</v>
      </c>
      <c r="AK23" s="82"/>
      <c r="AL23" s="82"/>
      <c r="AM23" s="82"/>
      <c r="AN23" s="82"/>
      <c r="AO23" s="82"/>
      <c r="AP23" s="82"/>
      <c r="AQ23" s="82"/>
      <c r="AR23" s="82"/>
      <c r="AS23" s="82"/>
      <c r="AT23" s="82"/>
      <c r="AU23" s="82"/>
      <c r="AV23" s="82"/>
      <c r="AW23" s="82"/>
      <c r="AX23" s="82"/>
      <c r="AY23" s="82"/>
      <c r="AZ23" s="82"/>
      <c r="BA23" s="82"/>
      <c r="BB23" s="82"/>
      <c r="BC23" s="82"/>
      <c r="BD23" s="82"/>
      <c r="BE23" s="82"/>
      <c r="BF23" s="82"/>
      <c r="BG23" s="82"/>
      <c r="BH23" s="82"/>
      <c r="BJ23" s="65">
        <f>BJ22</f>
        <v>2.9</v>
      </c>
      <c r="BK23" s="93">
        <f>IF($BN$12,BK17,NA())</f>
        <v>0.49</v>
      </c>
      <c r="BO23" s="67">
        <v>-0.2</v>
      </c>
      <c r="BP23" s="68">
        <f t="shared" si="5"/>
        <v>3.3</v>
      </c>
      <c r="BQ23" s="68">
        <f t="shared" si="3"/>
        <v>0.15999999999999998</v>
      </c>
      <c r="BR23" s="91">
        <f t="shared" si="4"/>
        <v>0.15999999999999998</v>
      </c>
      <c r="BX23" s="84"/>
      <c r="CH23" s="58"/>
    </row>
    <row r="24" spans="1:86" ht="12" customHeight="1">
      <c r="A24" s="117"/>
      <c r="B24" s="118" t="s">
        <v>769</v>
      </c>
      <c r="C24" s="163"/>
      <c r="D24" s="118"/>
      <c r="E24" s="163"/>
      <c r="F24" s="118"/>
      <c r="G24" s="124"/>
      <c r="O24" s="1091"/>
      <c r="P24" s="1092"/>
      <c r="Q24" s="1093"/>
      <c r="Y24" s="1091"/>
      <c r="Z24" s="1092"/>
      <c r="AA24" s="1093"/>
      <c r="AB24" s="82">
        <f t="shared" si="1"/>
        <v>3.2785000000000003E-4</v>
      </c>
      <c r="AC24" s="68"/>
      <c r="AD24" s="68"/>
      <c r="AE24" s="68"/>
      <c r="AF24" s="68"/>
      <c r="AG24" s="68"/>
      <c r="AH24" s="68"/>
      <c r="AI24" s="68"/>
      <c r="AJ24" s="84">
        <f t="shared" si="2"/>
        <v>3.2785000000000003E-4</v>
      </c>
      <c r="AK24" s="82"/>
      <c r="AL24" s="82"/>
      <c r="AM24" s="82"/>
      <c r="AN24" s="82"/>
      <c r="AO24" s="82"/>
      <c r="AP24" s="82"/>
      <c r="AQ24" s="82"/>
      <c r="AR24" s="82"/>
      <c r="AS24" s="82"/>
      <c r="AT24" s="82"/>
      <c r="AU24" s="82"/>
      <c r="AV24" s="82"/>
      <c r="AW24" s="82"/>
      <c r="AX24" s="82"/>
      <c r="AY24" s="82"/>
      <c r="AZ24" s="82"/>
      <c r="BA24" s="82"/>
      <c r="BB24" s="82"/>
      <c r="BC24" s="82"/>
      <c r="BD24" s="82"/>
      <c r="BE24" s="82"/>
      <c r="BF24" s="82"/>
      <c r="BG24" s="82"/>
      <c r="BH24" s="82"/>
      <c r="BJ24" s="69">
        <f>BP2</f>
        <v>3.3</v>
      </c>
      <c r="BK24" s="97">
        <f>IF($BN$12,BK17,NA())</f>
        <v>0.49</v>
      </c>
      <c r="BO24" s="67">
        <v>-0.3</v>
      </c>
      <c r="BP24" s="68">
        <f t="shared" si="5"/>
        <v>3.3</v>
      </c>
      <c r="BQ24" s="68" t="e">
        <f t="shared" si="3"/>
        <v>#N/A</v>
      </c>
      <c r="BR24" s="91">
        <f t="shared" si="4"/>
        <v>0.06</v>
      </c>
      <c r="BX24" s="84"/>
      <c r="CH24" s="58"/>
    </row>
    <row r="25" spans="1:86" ht="12" customHeight="1">
      <c r="A25" s="117"/>
      <c r="B25" s="118"/>
      <c r="C25" s="118"/>
      <c r="D25" s="163"/>
      <c r="E25" s="644" t="s">
        <v>930</v>
      </c>
      <c r="F25" s="1164" t="str">
        <f>IF(BN9,IF(U3&gt;0,(BM4-BK4)/BL33,""),"")</f>
        <v/>
      </c>
      <c r="G25" s="124"/>
      <c r="K25" s="96"/>
      <c r="O25" s="1091"/>
      <c r="P25" s="1092"/>
      <c r="Q25" s="1093"/>
      <c r="Y25" s="1091"/>
      <c r="Z25" s="1092"/>
      <c r="AA25" s="1093"/>
      <c r="AB25" s="82">
        <f t="shared" si="1"/>
        <v>3.2785000000000003E-4</v>
      </c>
      <c r="AC25" s="109"/>
      <c r="AD25" s="68"/>
      <c r="AE25" s="68"/>
      <c r="AF25" s="68"/>
      <c r="AG25" s="68"/>
      <c r="AH25" s="68"/>
      <c r="AI25" s="68"/>
      <c r="AJ25" s="84">
        <f t="shared" si="2"/>
        <v>3.2785000000000003E-4</v>
      </c>
      <c r="AK25" s="82"/>
      <c r="AL25" s="82"/>
      <c r="AM25" s="82"/>
      <c r="AN25" s="82"/>
      <c r="AO25" s="82"/>
      <c r="AP25" s="82"/>
      <c r="AQ25" s="82"/>
      <c r="AR25" s="82"/>
      <c r="AS25" s="82"/>
      <c r="AT25" s="82"/>
      <c r="AU25" s="82"/>
      <c r="AV25" s="82"/>
      <c r="AW25" s="82"/>
      <c r="AX25" s="82"/>
      <c r="AY25" s="82"/>
      <c r="AZ25" s="82"/>
      <c r="BA25" s="82"/>
      <c r="BB25" s="82"/>
      <c r="BC25" s="82"/>
      <c r="BD25" s="82"/>
      <c r="BE25" s="82"/>
      <c r="BF25" s="82"/>
      <c r="BG25" s="82"/>
      <c r="BH25" s="82"/>
      <c r="BJ25" s="65" t="s">
        <v>1114</v>
      </c>
      <c r="BK25" s="93">
        <f>MAX(M10,M10+BK14)+0.2</f>
        <v>0.91916768573468555</v>
      </c>
      <c r="BO25" s="67">
        <v>-0.4</v>
      </c>
      <c r="BP25" s="68">
        <f t="shared" si="5"/>
        <v>3.3</v>
      </c>
      <c r="BQ25" s="68" t="e">
        <f t="shared" si="3"/>
        <v>#N/A</v>
      </c>
      <c r="BR25" s="91">
        <f t="shared" si="4"/>
        <v>-4.0000000000000036E-2</v>
      </c>
      <c r="BX25" s="84"/>
      <c r="CH25" s="58"/>
    </row>
    <row r="26" spans="1:86" ht="12" customHeight="1">
      <c r="A26" s="307"/>
      <c r="B26" s="269"/>
      <c r="C26" s="269"/>
      <c r="D26" s="269"/>
      <c r="E26" s="269"/>
      <c r="F26" s="269"/>
      <c r="G26" s="313"/>
      <c r="K26" s="96"/>
      <c r="O26" s="1091"/>
      <c r="P26" s="1092"/>
      <c r="Q26" s="1093"/>
      <c r="Y26" s="1091"/>
      <c r="Z26" s="1092"/>
      <c r="AA26" s="1093"/>
      <c r="AB26" s="82">
        <f t="shared" si="1"/>
        <v>3.2785000000000003E-4</v>
      </c>
      <c r="AC26" s="109"/>
      <c r="AD26" s="68"/>
      <c r="AE26" s="68"/>
      <c r="AF26" s="68"/>
      <c r="AG26" s="68"/>
      <c r="AH26" s="68"/>
      <c r="AI26" s="68"/>
      <c r="AJ26" s="84">
        <f t="shared" si="2"/>
        <v>3.2785000000000003E-4</v>
      </c>
      <c r="AK26" s="82"/>
      <c r="AL26" s="82"/>
      <c r="AM26" s="82"/>
      <c r="AN26" s="82"/>
      <c r="AO26" s="82"/>
      <c r="AP26" s="82"/>
      <c r="AQ26" s="82"/>
      <c r="AR26" s="82"/>
      <c r="AS26" s="82"/>
      <c r="AT26" s="82"/>
      <c r="AU26" s="82"/>
      <c r="AV26" s="82"/>
      <c r="AW26" s="82"/>
      <c r="AX26" s="82"/>
      <c r="AY26" s="82"/>
      <c r="AZ26" s="82"/>
      <c r="BA26" s="82"/>
      <c r="BB26" s="82"/>
      <c r="BC26" s="82"/>
      <c r="BD26" s="82"/>
      <c r="BE26" s="82"/>
      <c r="BF26" s="82"/>
      <c r="BG26" s="82"/>
      <c r="BH26" s="82"/>
      <c r="BJ26" s="69" t="s">
        <v>1115</v>
      </c>
      <c r="BK26" s="97">
        <f>MIN(M10,M10+BK15)-0.2</f>
        <v>7.2818010572118952E-2</v>
      </c>
      <c r="BO26" s="67">
        <v>-0.5</v>
      </c>
      <c r="BP26" s="68">
        <f t="shared" si="5"/>
        <v>3.3</v>
      </c>
      <c r="BQ26" s="68" t="e">
        <f t="shared" si="3"/>
        <v>#N/A</v>
      </c>
      <c r="BR26" s="91">
        <f t="shared" si="4"/>
        <v>-0.14000000000000001</v>
      </c>
      <c r="BX26" s="84"/>
      <c r="CH26" s="58"/>
    </row>
    <row r="27" spans="1:86" ht="12" customHeight="1">
      <c r="K27" s="96"/>
      <c r="O27" s="1091"/>
      <c r="P27" s="1092"/>
      <c r="Q27" s="1093"/>
      <c r="Y27" s="1091"/>
      <c r="Z27" s="1092"/>
      <c r="AA27" s="1093"/>
      <c r="AB27" s="82">
        <f t="shared" si="1"/>
        <v>3.2785000000000003E-4</v>
      </c>
      <c r="AC27" s="1116"/>
      <c r="AD27" s="68"/>
      <c r="AE27" s="68"/>
      <c r="AF27" s="68"/>
      <c r="AG27" s="68"/>
      <c r="AH27" s="68"/>
      <c r="AI27" s="68"/>
      <c r="AJ27" s="84">
        <f t="shared" si="2"/>
        <v>3.2785000000000003E-4</v>
      </c>
      <c r="AK27" s="82"/>
      <c r="AL27" s="82"/>
      <c r="AM27" s="82"/>
      <c r="AN27" s="82"/>
      <c r="AO27" s="82"/>
      <c r="AP27" s="82"/>
      <c r="AQ27" s="82"/>
      <c r="AR27" s="82"/>
      <c r="AS27" s="82"/>
      <c r="AT27" s="82"/>
      <c r="AU27" s="82"/>
      <c r="AV27" s="82"/>
      <c r="AW27" s="82"/>
      <c r="AX27" s="82"/>
      <c r="AY27" s="82"/>
      <c r="AZ27" s="82"/>
      <c r="BA27" s="82"/>
      <c r="BB27" s="82"/>
      <c r="BC27" s="82"/>
      <c r="BD27" s="82"/>
      <c r="BE27" s="82"/>
      <c r="BF27" s="82"/>
      <c r="BG27" s="82"/>
      <c r="BH27" s="82"/>
      <c r="BJ27" s="65" t="s">
        <v>952</v>
      </c>
      <c r="BK27" s="93"/>
      <c r="BO27" s="67">
        <v>-0.6</v>
      </c>
      <c r="BP27" s="68">
        <f t="shared" si="5"/>
        <v>3.3</v>
      </c>
      <c r="BQ27" s="68" t="e">
        <f t="shared" si="3"/>
        <v>#N/A</v>
      </c>
      <c r="BR27" s="91">
        <f t="shared" si="4"/>
        <v>-0.24</v>
      </c>
      <c r="BX27" s="84"/>
      <c r="CH27" s="58"/>
    </row>
    <row r="28" spans="1:86" ht="12" customHeight="1">
      <c r="C28" s="68"/>
      <c r="D28" s="1165"/>
      <c r="K28" s="96"/>
      <c r="O28" s="1091"/>
      <c r="P28" s="1092"/>
      <c r="Q28" s="1093"/>
      <c r="Y28" s="1091"/>
      <c r="Z28" s="1092"/>
      <c r="AA28" s="1093"/>
      <c r="AB28" s="82">
        <f t="shared" si="1"/>
        <v>3.2785000000000003E-4</v>
      </c>
      <c r="AC28" s="68"/>
      <c r="AD28" s="68"/>
      <c r="AE28" s="68"/>
      <c r="AF28" s="68"/>
      <c r="AG28" s="68"/>
      <c r="AH28" s="68"/>
      <c r="AI28" s="68"/>
      <c r="AJ28" s="84">
        <f t="shared" si="2"/>
        <v>3.2785000000000003E-4</v>
      </c>
      <c r="AK28" s="82"/>
      <c r="AL28" s="82"/>
      <c r="AM28" s="82"/>
      <c r="AN28" s="82"/>
      <c r="AO28" s="82"/>
      <c r="AP28" s="82"/>
      <c r="AQ28" s="82"/>
      <c r="AR28" s="82"/>
      <c r="AS28" s="82"/>
      <c r="AT28" s="82"/>
      <c r="AU28" s="82"/>
      <c r="AV28" s="82"/>
      <c r="AW28" s="82"/>
      <c r="AX28" s="82"/>
      <c r="AY28" s="82"/>
      <c r="AZ28" s="82"/>
      <c r="BA28" s="82"/>
      <c r="BB28" s="82"/>
      <c r="BC28" s="82"/>
      <c r="BD28" s="82"/>
      <c r="BE28" s="82"/>
      <c r="BF28" s="82"/>
      <c r="BG28" s="82"/>
      <c r="BH28" s="82"/>
      <c r="BJ28" s="67">
        <f>BP2+0.5</f>
        <v>3.8</v>
      </c>
      <c r="BK28" s="91">
        <f>IF($BN$12,M10,NA())</f>
        <v>0.36</v>
      </c>
      <c r="BO28" s="67">
        <v>-0.7</v>
      </c>
      <c r="BP28" s="68">
        <f t="shared" si="5"/>
        <v>3.3</v>
      </c>
      <c r="BQ28" s="68" t="e">
        <f t="shared" si="3"/>
        <v>#N/A</v>
      </c>
      <c r="BR28" s="91">
        <f t="shared" si="4"/>
        <v>-0.33999999999999997</v>
      </c>
      <c r="BX28" s="84"/>
      <c r="CH28" s="58"/>
    </row>
    <row r="29" spans="1:86" ht="12" customHeight="1">
      <c r="O29" s="1091"/>
      <c r="P29" s="1092"/>
      <c r="Q29" s="1093"/>
      <c r="Y29" s="1091"/>
      <c r="Z29" s="1092"/>
      <c r="AA29" s="1093"/>
      <c r="AB29" s="82">
        <f t="shared" si="1"/>
        <v>3.2785000000000003E-4</v>
      </c>
      <c r="AC29" s="68"/>
      <c r="AD29" s="68"/>
      <c r="AE29" s="68"/>
      <c r="AF29" s="68"/>
      <c r="AG29" s="68"/>
      <c r="AH29" s="68"/>
      <c r="AI29" s="68"/>
      <c r="AJ29" s="84">
        <f t="shared" si="2"/>
        <v>3.2785000000000003E-4</v>
      </c>
      <c r="AK29" s="82"/>
      <c r="AL29" s="82"/>
      <c r="AM29" s="82"/>
      <c r="AN29" s="82"/>
      <c r="AO29" s="82"/>
      <c r="AP29" s="82"/>
      <c r="AQ29" s="82"/>
      <c r="AR29" s="82"/>
      <c r="AS29" s="82"/>
      <c r="AT29" s="82"/>
      <c r="AU29" s="82"/>
      <c r="AV29" s="82"/>
      <c r="AW29" s="82"/>
      <c r="AX29" s="82"/>
      <c r="AY29" s="82"/>
      <c r="AZ29" s="82"/>
      <c r="BA29" s="82"/>
      <c r="BB29" s="82"/>
      <c r="BC29" s="82"/>
      <c r="BD29" s="82"/>
      <c r="BE29" s="82"/>
      <c r="BF29" s="82"/>
      <c r="BG29" s="82"/>
      <c r="BH29" s="82"/>
      <c r="BJ29" s="65" t="s">
        <v>953</v>
      </c>
      <c r="BK29" s="66"/>
      <c r="BL29" s="93" t="s">
        <v>1234</v>
      </c>
      <c r="BO29" s="67">
        <v>-0.8</v>
      </c>
      <c r="BP29" s="68">
        <f t="shared" si="5"/>
        <v>3.3</v>
      </c>
      <c r="BQ29" s="68" t="e">
        <f t="shared" si="3"/>
        <v>#N/A</v>
      </c>
      <c r="BR29" s="91">
        <f t="shared" si="4"/>
        <v>-0.44000000000000006</v>
      </c>
      <c r="BX29" s="84"/>
      <c r="CH29" s="58"/>
    </row>
    <row r="30" spans="1:86" ht="12" customHeight="1">
      <c r="O30" s="1099"/>
      <c r="P30" s="1123"/>
      <c r="Q30" s="1124"/>
      <c r="Y30" s="1099"/>
      <c r="Z30" s="1123"/>
      <c r="AA30" s="1124"/>
      <c r="AB30" s="82">
        <f t="shared" si="1"/>
        <v>3.2785000000000003E-4</v>
      </c>
      <c r="AJ30" s="84">
        <f t="shared" si="2"/>
        <v>3.2785000000000003E-4</v>
      </c>
      <c r="AK30" s="82"/>
      <c r="AL30" s="82"/>
      <c r="AM30" s="82"/>
      <c r="AN30" s="82"/>
      <c r="AO30" s="82"/>
      <c r="AP30" s="82"/>
      <c r="AQ30" s="82"/>
      <c r="AR30" s="82"/>
      <c r="AS30" s="82"/>
      <c r="AT30" s="82"/>
      <c r="AU30" s="82"/>
      <c r="AV30" s="82"/>
      <c r="AW30" s="82"/>
      <c r="AX30" s="82"/>
      <c r="AY30" s="82"/>
      <c r="AZ30" s="82"/>
      <c r="BA30" s="82"/>
      <c r="BB30" s="82"/>
      <c r="BC30" s="82"/>
      <c r="BD30" s="82"/>
      <c r="BE30" s="82"/>
      <c r="BF30" s="82"/>
      <c r="BG30" s="82"/>
      <c r="BH30" s="82"/>
      <c r="BJ30" s="67">
        <v>0</v>
      </c>
      <c r="BK30" s="68">
        <v>0</v>
      </c>
      <c r="BL30" s="91">
        <v>2.4</v>
      </c>
      <c r="BO30" s="67">
        <v>-0.9</v>
      </c>
      <c r="BP30" s="68">
        <f t="shared" si="5"/>
        <v>3.3</v>
      </c>
      <c r="BQ30" s="68" t="e">
        <f t="shared" si="3"/>
        <v>#N/A</v>
      </c>
      <c r="BR30" s="91">
        <f t="shared" si="4"/>
        <v>-0.54</v>
      </c>
      <c r="BX30" s="84"/>
      <c r="CH30" s="58"/>
    </row>
    <row r="31" spans="1:86" ht="12" customHeight="1">
      <c r="A31" s="40"/>
      <c r="B31" s="40"/>
      <c r="C31" s="40"/>
      <c r="D31" s="40"/>
      <c r="E31" s="40"/>
      <c r="F31" s="40"/>
      <c r="G31" s="40"/>
      <c r="O31" s="1099"/>
      <c r="P31" s="1123"/>
      <c r="Q31" s="1124"/>
      <c r="Y31" s="1099"/>
      <c r="Z31" s="1123"/>
      <c r="AA31" s="1124"/>
      <c r="AB31" s="82">
        <f t="shared" si="1"/>
        <v>3.2785000000000003E-4</v>
      </c>
      <c r="AJ31" s="84">
        <f t="shared" si="2"/>
        <v>3.2785000000000003E-4</v>
      </c>
      <c r="AK31" s="82"/>
      <c r="AL31" s="82"/>
      <c r="AM31" s="82"/>
      <c r="AN31" s="82"/>
      <c r="AO31" s="82"/>
      <c r="AP31" s="82"/>
      <c r="AQ31" s="82"/>
      <c r="AR31" s="82"/>
      <c r="AS31" s="82"/>
      <c r="AT31" s="82"/>
      <c r="AU31" s="82"/>
      <c r="AV31" s="82"/>
      <c r="AW31" s="82"/>
      <c r="AX31" s="82"/>
      <c r="AY31" s="82"/>
      <c r="AZ31" s="82"/>
      <c r="BA31" s="82"/>
      <c r="BB31" s="82"/>
      <c r="BC31" s="82"/>
      <c r="BD31" s="82"/>
      <c r="BE31" s="82"/>
      <c r="BF31" s="82"/>
      <c r="BG31" s="82"/>
      <c r="BH31" s="82"/>
      <c r="BJ31" s="68">
        <v>0</v>
      </c>
      <c r="BK31" s="68">
        <v>-1</v>
      </c>
      <c r="BL31" s="68"/>
      <c r="BO31" s="67">
        <v>-1</v>
      </c>
      <c r="BP31" s="68">
        <f t="shared" si="5"/>
        <v>3.3</v>
      </c>
      <c r="BQ31" s="68" t="e">
        <f t="shared" si="3"/>
        <v>#N/A</v>
      </c>
      <c r="BR31" s="91">
        <f t="shared" si="4"/>
        <v>-0.64</v>
      </c>
      <c r="BX31" s="84"/>
      <c r="CH31" s="58"/>
    </row>
    <row r="32" spans="1:86" ht="12" customHeight="1">
      <c r="A32" s="40"/>
      <c r="B32" s="40"/>
      <c r="C32" s="40"/>
      <c r="D32" s="40"/>
      <c r="E32" s="40"/>
      <c r="F32" s="40"/>
      <c r="G32" s="40"/>
      <c r="O32" s="1099"/>
      <c r="P32" s="1123"/>
      <c r="Q32" s="1124"/>
      <c r="Y32" s="1099"/>
      <c r="Z32" s="1123"/>
      <c r="AA32" s="1124"/>
      <c r="AB32" s="82">
        <f t="shared" si="1"/>
        <v>3.2785000000000003E-4</v>
      </c>
      <c r="AJ32" s="84">
        <f t="shared" si="2"/>
        <v>3.2785000000000003E-4</v>
      </c>
      <c r="AK32" s="82"/>
      <c r="AL32" s="82"/>
      <c r="AM32" s="82"/>
      <c r="AN32" s="82"/>
      <c r="AO32" s="82"/>
      <c r="AP32" s="82"/>
      <c r="AQ32" s="82"/>
      <c r="AR32" s="82"/>
      <c r="AS32" s="82"/>
      <c r="AT32" s="82"/>
      <c r="AU32" s="82"/>
      <c r="AV32" s="82"/>
      <c r="AW32" s="82"/>
      <c r="AX32" s="82"/>
      <c r="AY32" s="82"/>
      <c r="AZ32" s="82"/>
      <c r="BA32" s="82"/>
      <c r="BB32" s="82"/>
      <c r="BC32" s="82"/>
      <c r="BD32" s="82"/>
      <c r="BE32" s="82"/>
      <c r="BF32" s="82"/>
      <c r="BG32" s="82"/>
      <c r="BH32" s="82"/>
      <c r="BJ32" s="5">
        <v>0</v>
      </c>
      <c r="BK32" s="5">
        <v>1</v>
      </c>
      <c r="BO32" s="67">
        <v>-1.1000000000000001</v>
      </c>
      <c r="BP32" s="68">
        <f t="shared" si="5"/>
        <v>3.3</v>
      </c>
      <c r="BQ32" s="68" t="e">
        <f t="shared" si="3"/>
        <v>#N/A</v>
      </c>
      <c r="BR32" s="91">
        <f t="shared" si="4"/>
        <v>-0.7400000000000001</v>
      </c>
      <c r="BX32" s="84"/>
      <c r="CH32" s="58"/>
    </row>
    <row r="33" spans="1:86" s="40" customFormat="1" ht="12" customHeight="1">
      <c r="A33" s="5"/>
      <c r="B33" s="5"/>
      <c r="C33" s="5"/>
      <c r="D33" s="5"/>
      <c r="E33" s="5"/>
      <c r="F33" s="5"/>
      <c r="G33" s="5"/>
      <c r="H33" s="346"/>
      <c r="I33" s="346"/>
      <c r="J33" s="346"/>
      <c r="K33" s="346"/>
      <c r="L33" s="346"/>
      <c r="M33" s="346"/>
      <c r="N33" s="346"/>
      <c r="O33" s="1091"/>
      <c r="P33" s="1092"/>
      <c r="Q33" s="1093"/>
      <c r="R33" s="346"/>
      <c r="S33" s="346"/>
      <c r="T33" s="346"/>
      <c r="U33" s="346"/>
      <c r="V33" s="346"/>
      <c r="W33" s="346"/>
      <c r="X33" s="346"/>
      <c r="Y33" s="1091"/>
      <c r="Z33" s="1092"/>
      <c r="AA33" s="1093"/>
      <c r="AB33" s="1166">
        <f t="shared" si="1"/>
        <v>3.2785000000000003E-4</v>
      </c>
      <c r="AJ33" s="84">
        <f t="shared" si="2"/>
        <v>3.2785000000000003E-4</v>
      </c>
      <c r="AK33" s="1166"/>
      <c r="AL33" s="1166"/>
      <c r="AM33" s="1166"/>
      <c r="AN33" s="1166"/>
      <c r="AO33" s="1166"/>
      <c r="AP33" s="1166"/>
      <c r="AQ33" s="1166"/>
      <c r="AR33" s="1166"/>
      <c r="AS33" s="1166"/>
      <c r="AT33" s="1166"/>
      <c r="AU33" s="1166"/>
      <c r="AV33" s="1166"/>
      <c r="AW33" s="1166"/>
      <c r="AX33" s="1166"/>
      <c r="AY33" s="1166"/>
      <c r="AZ33" s="1166"/>
      <c r="BA33" s="1166"/>
      <c r="BB33" s="1166"/>
      <c r="BC33" s="1166"/>
      <c r="BD33" s="1166"/>
      <c r="BE33" s="1166"/>
      <c r="BF33" s="1166"/>
      <c r="BG33" s="1166"/>
      <c r="BH33" s="1166"/>
      <c r="BJ33" s="276"/>
      <c r="BK33" s="1167" t="s">
        <v>931</v>
      </c>
      <c r="BL33" s="1168">
        <f>IF(M10&gt;W10,AVERAGE(K18,W18),AVERAGE(M18,U18))</f>
        <v>0.15252405182864226</v>
      </c>
      <c r="BO33" s="1169">
        <v>-1.2</v>
      </c>
      <c r="BP33" s="1170">
        <f t="shared" si="5"/>
        <v>3.3</v>
      </c>
      <c r="BQ33" s="1170" t="e">
        <f t="shared" si="3"/>
        <v>#N/A</v>
      </c>
      <c r="BR33" s="1171">
        <f t="shared" si="4"/>
        <v>-0.84</v>
      </c>
      <c r="BX33" s="84"/>
      <c r="CH33" s="58"/>
    </row>
    <row r="34" spans="1:86" s="40" customFormat="1" ht="12" customHeight="1">
      <c r="A34" s="5"/>
      <c r="B34" s="5"/>
      <c r="C34" s="5"/>
      <c r="D34" s="5"/>
      <c r="E34" s="5"/>
      <c r="F34" s="5"/>
      <c r="G34" s="5"/>
      <c r="H34" s="346"/>
      <c r="I34" s="346"/>
      <c r="J34" s="346"/>
      <c r="K34" s="346"/>
      <c r="L34" s="346"/>
      <c r="M34" s="346"/>
      <c r="N34" s="346"/>
      <c r="O34" s="1091"/>
      <c r="P34" s="1092"/>
      <c r="Q34" s="1093"/>
      <c r="R34" s="346"/>
      <c r="S34" s="346"/>
      <c r="T34" s="346"/>
      <c r="U34" s="346"/>
      <c r="V34" s="346"/>
      <c r="W34" s="346"/>
      <c r="X34" s="346"/>
      <c r="Y34" s="1091"/>
      <c r="Z34" s="1092"/>
      <c r="AA34" s="1093"/>
      <c r="AB34" s="1166">
        <f t="shared" si="1"/>
        <v>3.2785000000000003E-4</v>
      </c>
      <c r="AJ34" s="84">
        <f t="shared" si="2"/>
        <v>3.2785000000000003E-4</v>
      </c>
      <c r="AK34" s="1166"/>
      <c r="AL34" s="1166"/>
      <c r="AM34" s="1166"/>
      <c r="AN34" s="1166"/>
      <c r="AO34" s="1166"/>
      <c r="AP34" s="1166"/>
      <c r="AQ34" s="1166"/>
      <c r="AR34" s="1166"/>
      <c r="AS34" s="1166"/>
      <c r="AT34" s="1166"/>
      <c r="AU34" s="1166"/>
      <c r="AV34" s="1166"/>
      <c r="AW34" s="1166"/>
      <c r="AX34" s="1166"/>
      <c r="AY34" s="1166"/>
      <c r="AZ34" s="1166"/>
      <c r="BA34" s="1166"/>
      <c r="BB34" s="1166"/>
      <c r="BC34" s="1166"/>
      <c r="BD34" s="1166"/>
      <c r="BE34" s="1166"/>
      <c r="BF34" s="1166"/>
      <c r="BG34" s="1166"/>
      <c r="BH34" s="1166"/>
      <c r="BJ34" s="262"/>
      <c r="BK34" s="1167" t="s">
        <v>923</v>
      </c>
      <c r="BL34" s="1172">
        <f>IF(U3&gt;0,IF(M10&gt;W10,IF(K18&gt;W18,K18/W18,W18/K18),IF(M18&gt;U18,M18/U18,U18/M18)),"")</f>
        <v>1.2659313207594458</v>
      </c>
      <c r="BO34" s="1169">
        <v>-1.3</v>
      </c>
      <c r="BP34" s="1170">
        <f t="shared" si="5"/>
        <v>3.3</v>
      </c>
      <c r="BQ34" s="1170" t="e">
        <f t="shared" si="3"/>
        <v>#N/A</v>
      </c>
      <c r="BR34" s="1171">
        <f t="shared" si="4"/>
        <v>-0.94000000000000006</v>
      </c>
      <c r="BX34" s="84"/>
      <c r="CH34" s="58"/>
    </row>
    <row r="35" spans="1:86" ht="12" customHeight="1">
      <c r="O35" s="1091"/>
      <c r="P35" s="1092"/>
      <c r="Q35" s="1093"/>
      <c r="Y35" s="1091"/>
      <c r="Z35" s="1092"/>
      <c r="AA35" s="1093"/>
      <c r="AB35" s="82">
        <f t="shared" si="1"/>
        <v>3.2785000000000003E-4</v>
      </c>
      <c r="AJ35" s="84">
        <f t="shared" si="2"/>
        <v>3.2785000000000003E-4</v>
      </c>
      <c r="AK35" s="82"/>
      <c r="AL35" s="82"/>
      <c r="AM35" s="82"/>
      <c r="AN35" s="82"/>
      <c r="AO35" s="82"/>
      <c r="AP35" s="82"/>
      <c r="AQ35" s="82"/>
      <c r="AR35" s="82"/>
      <c r="AS35" s="82"/>
      <c r="AT35" s="82"/>
      <c r="AU35" s="82"/>
      <c r="AV35" s="82"/>
      <c r="AW35" s="82"/>
      <c r="AX35" s="82"/>
      <c r="AY35" s="82"/>
      <c r="AZ35" s="82"/>
      <c r="BA35" s="82"/>
      <c r="BB35" s="82"/>
      <c r="BC35" s="82"/>
      <c r="BD35" s="82"/>
      <c r="BE35" s="82"/>
      <c r="BF35" s="82"/>
      <c r="BG35" s="82"/>
      <c r="BH35" s="82"/>
      <c r="BO35" s="67">
        <v>-1.4</v>
      </c>
      <c r="BP35" s="68">
        <f t="shared" si="5"/>
        <v>3.3</v>
      </c>
      <c r="BQ35" s="68" t="e">
        <f t="shared" si="3"/>
        <v>#N/A</v>
      </c>
      <c r="BR35" s="91">
        <f t="shared" si="4"/>
        <v>-1.04</v>
      </c>
      <c r="BX35" s="84"/>
      <c r="CH35" s="58"/>
    </row>
    <row r="36" spans="1:86" ht="12" customHeight="1">
      <c r="O36" s="1091"/>
      <c r="P36" s="1092"/>
      <c r="Q36" s="1093"/>
      <c r="Y36" s="1091"/>
      <c r="Z36" s="1092"/>
      <c r="AA36" s="1093"/>
      <c r="AB36" s="82">
        <f t="shared" si="1"/>
        <v>3.2785000000000003E-4</v>
      </c>
      <c r="AJ36" s="84">
        <f t="shared" si="2"/>
        <v>3.2785000000000003E-4</v>
      </c>
      <c r="AK36" s="82"/>
      <c r="AL36" s="82"/>
      <c r="AM36" s="82"/>
      <c r="AN36" s="82"/>
      <c r="AO36" s="82"/>
      <c r="AP36" s="82"/>
      <c r="AQ36" s="82"/>
      <c r="AR36" s="82"/>
      <c r="AS36" s="82"/>
      <c r="AT36" s="82"/>
      <c r="AU36" s="82"/>
      <c r="AV36" s="82"/>
      <c r="AW36" s="82"/>
      <c r="AX36" s="82"/>
      <c r="AY36" s="82"/>
      <c r="AZ36" s="82"/>
      <c r="BA36" s="82"/>
      <c r="BB36" s="82"/>
      <c r="BC36" s="82"/>
      <c r="BD36" s="82"/>
      <c r="BE36" s="82"/>
      <c r="BF36" s="82"/>
      <c r="BG36" s="82"/>
      <c r="BH36" s="82"/>
      <c r="BO36" s="67">
        <v>-1.5</v>
      </c>
      <c r="BP36" s="68">
        <f t="shared" si="5"/>
        <v>3.3</v>
      </c>
      <c r="BQ36" s="68" t="e">
        <f t="shared" si="3"/>
        <v>#N/A</v>
      </c>
      <c r="BR36" s="91">
        <f t="shared" si="4"/>
        <v>-1.1400000000000001</v>
      </c>
      <c r="BX36" s="84"/>
      <c r="CH36" s="58"/>
    </row>
    <row r="37" spans="1:86" ht="12" customHeight="1">
      <c r="B37" s="19"/>
      <c r="O37" s="1091"/>
      <c r="P37" s="1092"/>
      <c r="Q37" s="1093"/>
      <c r="Y37" s="1091"/>
      <c r="Z37" s="1092"/>
      <c r="AA37" s="1093"/>
      <c r="AB37" s="82">
        <f t="shared" si="1"/>
        <v>3.2785000000000003E-4</v>
      </c>
      <c r="AJ37" s="84">
        <f t="shared" si="2"/>
        <v>3.2785000000000003E-4</v>
      </c>
      <c r="AK37" s="82"/>
      <c r="AL37" s="82"/>
      <c r="AM37" s="82"/>
      <c r="AN37" s="82"/>
      <c r="AO37" s="82"/>
      <c r="AP37" s="82"/>
      <c r="AQ37" s="82"/>
      <c r="AR37" s="82"/>
      <c r="AS37" s="82"/>
      <c r="AT37" s="82"/>
      <c r="AU37" s="82"/>
      <c r="AV37" s="82"/>
      <c r="AW37" s="82"/>
      <c r="AX37" s="82"/>
      <c r="AY37" s="82"/>
      <c r="AZ37" s="82"/>
      <c r="BA37" s="82"/>
      <c r="BB37" s="82"/>
      <c r="BC37" s="82"/>
      <c r="BD37" s="82"/>
      <c r="BE37" s="82"/>
      <c r="BF37" s="82"/>
      <c r="BG37" s="82"/>
      <c r="BH37" s="82"/>
      <c r="BO37" s="67">
        <v>-1.6</v>
      </c>
      <c r="BP37" s="68">
        <f t="shared" si="5"/>
        <v>3.3</v>
      </c>
      <c r="BQ37" s="68" t="e">
        <f t="shared" si="3"/>
        <v>#N/A</v>
      </c>
      <c r="BR37" s="91">
        <f t="shared" si="4"/>
        <v>-1.2400000000000002</v>
      </c>
      <c r="BX37" s="84"/>
      <c r="CH37" s="58"/>
    </row>
    <row r="38" spans="1:86" ht="12" customHeight="1">
      <c r="B38" s="19"/>
      <c r="O38" s="1091"/>
      <c r="P38" s="1092"/>
      <c r="Q38" s="1093"/>
      <c r="Y38" s="1091"/>
      <c r="Z38" s="1092"/>
      <c r="AA38" s="1093"/>
      <c r="AB38" s="82"/>
      <c r="AJ38" s="84"/>
      <c r="BO38" s="67">
        <v>-1.7</v>
      </c>
      <c r="BP38" s="68">
        <f t="shared" si="5"/>
        <v>3.3</v>
      </c>
      <c r="BQ38" s="68" t="e">
        <f t="shared" si="3"/>
        <v>#N/A</v>
      </c>
      <c r="BR38" s="91">
        <f t="shared" si="4"/>
        <v>-1.3399999999999999</v>
      </c>
      <c r="CH38" s="58"/>
    </row>
    <row r="39" spans="1:86" ht="12" customHeight="1">
      <c r="O39" s="1125"/>
      <c r="P39" s="1105"/>
      <c r="Q39" s="1126"/>
      <c r="Y39" s="1125"/>
      <c r="Z39" s="1105"/>
      <c r="AA39" s="1126"/>
      <c r="AJ39" s="84"/>
      <c r="BO39" s="67">
        <v>-1.8</v>
      </c>
      <c r="BP39" s="68">
        <f t="shared" si="5"/>
        <v>3.3</v>
      </c>
      <c r="BQ39" s="68" t="e">
        <f t="shared" si="3"/>
        <v>#N/A</v>
      </c>
      <c r="BR39" s="91">
        <f t="shared" si="4"/>
        <v>-1.44</v>
      </c>
      <c r="CH39" s="58"/>
    </row>
    <row r="40" spans="1:86" ht="12" customHeight="1">
      <c r="AC40" s="19"/>
      <c r="AD40" s="602"/>
      <c r="AE40" s="19"/>
      <c r="AF40" s="19"/>
      <c r="BO40" s="69">
        <v>-1.9</v>
      </c>
      <c r="BP40" s="70">
        <f t="shared" si="5"/>
        <v>3.3</v>
      </c>
      <c r="BQ40" s="70" t="e">
        <f t="shared" si="3"/>
        <v>#N/A</v>
      </c>
      <c r="BR40" s="97">
        <f t="shared" si="4"/>
        <v>-1.54</v>
      </c>
      <c r="CH40" s="58"/>
    </row>
    <row r="41" spans="1:86" ht="12" customHeight="1">
      <c r="AC41" s="19"/>
      <c r="AD41" s="19"/>
      <c r="AE41" s="19"/>
      <c r="AF41" s="19"/>
      <c r="CH41" s="58"/>
    </row>
    <row r="42" spans="1:86" ht="12" customHeight="1">
      <c r="AC42" s="346"/>
      <c r="AD42" s="346"/>
      <c r="AE42" s="19"/>
      <c r="AF42" s="19"/>
      <c r="CH42" s="58"/>
    </row>
    <row r="43" spans="1:86" ht="12" customHeight="1">
      <c r="AC43" s="346"/>
      <c r="AD43" s="346"/>
      <c r="AE43" s="19"/>
      <c r="AF43" s="19"/>
      <c r="CH43" s="58"/>
    </row>
    <row r="44" spans="1:86" ht="12" customHeight="1">
      <c r="AC44" s="19"/>
      <c r="AD44" s="19"/>
      <c r="AE44" s="19"/>
      <c r="AF44" s="19"/>
      <c r="CH44" s="58"/>
    </row>
    <row r="45" spans="1:86" ht="12" customHeight="1">
      <c r="AC45" s="19"/>
      <c r="AD45" s="19"/>
      <c r="AE45" s="19"/>
      <c r="AF45" s="19"/>
      <c r="CH45" s="58"/>
    </row>
    <row r="46" spans="1:86" ht="12" customHeight="1">
      <c r="AC46" s="19"/>
      <c r="AD46" s="19"/>
      <c r="AE46" s="19"/>
      <c r="AF46" s="19"/>
      <c r="CH46" s="58"/>
    </row>
    <row r="47" spans="1:86" ht="12" customHeight="1">
      <c r="CH47" s="58"/>
    </row>
    <row r="48" spans="1:86" ht="12" customHeight="1">
      <c r="CH48" s="58"/>
    </row>
    <row r="49" spans="86:86" ht="12" customHeight="1">
      <c r="CH49" s="58"/>
    </row>
    <row r="50" spans="86:86" ht="12" customHeight="1">
      <c r="CH50" s="58"/>
    </row>
    <row r="51" spans="86:86" ht="12" customHeight="1">
      <c r="CH51" s="58"/>
    </row>
    <row r="52" spans="86:86" ht="12" customHeight="1">
      <c r="CH52" s="58"/>
    </row>
    <row r="53" spans="86:86" ht="12" customHeight="1">
      <c r="CH53" s="58"/>
    </row>
    <row r="54" spans="86:86" ht="12" customHeight="1">
      <c r="CH54" s="58"/>
    </row>
    <row r="55" spans="86:86" ht="12" customHeight="1">
      <c r="CH55" s="58"/>
    </row>
    <row r="56" spans="86:86" ht="12" customHeight="1">
      <c r="CH56" s="58"/>
    </row>
    <row r="57" spans="86:86" ht="12" customHeight="1">
      <c r="CH57" s="58"/>
    </row>
    <row r="58" spans="86:86" ht="12" customHeight="1">
      <c r="CH58" s="58"/>
    </row>
    <row r="59" spans="86:86" ht="12" customHeight="1">
      <c r="CH59" s="58"/>
    </row>
    <row r="60" spans="86:86" ht="12" customHeight="1">
      <c r="CH60" s="58"/>
    </row>
    <row r="61" spans="86:86" ht="12" customHeight="1">
      <c r="CH61" s="58"/>
    </row>
    <row r="62" spans="86:86" ht="12" customHeight="1">
      <c r="CH62" s="58"/>
    </row>
    <row r="63" spans="86:86" ht="12" customHeight="1">
      <c r="CH63" s="58"/>
    </row>
    <row r="64" spans="86:86" ht="12" customHeight="1">
      <c r="CH64" s="58"/>
    </row>
    <row r="65" spans="86:86" ht="12" customHeight="1">
      <c r="CH65" s="58"/>
    </row>
    <row r="66" spans="86:86" ht="12" customHeight="1">
      <c r="CH66" s="58"/>
    </row>
    <row r="67" spans="86:86" ht="12" customHeight="1">
      <c r="CH67" s="58"/>
    </row>
    <row r="68" spans="86:86" ht="12" customHeight="1">
      <c r="CH68" s="58"/>
    </row>
    <row r="69" spans="86:86" ht="12" customHeight="1">
      <c r="CH69" s="58"/>
    </row>
    <row r="70" spans="86:86" ht="12" customHeight="1">
      <c r="CH70" s="58"/>
    </row>
    <row r="71" spans="86:86" ht="12" customHeight="1">
      <c r="CH71" s="58"/>
    </row>
    <row r="72" spans="86:86" ht="12" customHeight="1">
      <c r="CH72" s="58"/>
    </row>
    <row r="73" spans="86:86" ht="12" customHeight="1">
      <c r="CH73" s="58"/>
    </row>
    <row r="74" spans="86:86" ht="12" customHeight="1">
      <c r="CH74" s="58"/>
    </row>
    <row r="75" spans="86:86" ht="12" customHeight="1">
      <c r="CH75" s="58"/>
    </row>
    <row r="76" spans="86:86" ht="12" customHeight="1">
      <c r="CH76" s="58"/>
    </row>
    <row r="77" spans="86:86" ht="12" customHeight="1">
      <c r="CH77" s="58"/>
    </row>
    <row r="78" spans="86:86" ht="12" customHeight="1">
      <c r="CH78" s="58"/>
    </row>
    <row r="79" spans="86:86" ht="12" customHeight="1">
      <c r="CH79" s="58"/>
    </row>
    <row r="80" spans="86:86" ht="12" customHeight="1">
      <c r="CH80" s="58"/>
    </row>
    <row r="81" spans="86:86" ht="12" customHeight="1">
      <c r="CH81" s="58"/>
    </row>
    <row r="82" spans="86:86" ht="12" customHeight="1">
      <c r="CH82" s="58"/>
    </row>
    <row r="83" spans="86:86" ht="12" customHeight="1">
      <c r="CH83" s="58"/>
    </row>
    <row r="84" spans="86:86" ht="12" customHeight="1">
      <c r="CH84" s="58"/>
    </row>
    <row r="85" spans="86:86" ht="12" customHeight="1">
      <c r="CH85" s="58"/>
    </row>
    <row r="86" spans="86:86" ht="12" customHeight="1">
      <c r="CH86" s="58"/>
    </row>
    <row r="87" spans="86:86" ht="12" customHeight="1">
      <c r="CH87" s="58"/>
    </row>
    <row r="88" spans="86:86" ht="12" customHeight="1">
      <c r="CH88" s="58"/>
    </row>
    <row r="89" spans="86:86" ht="12" customHeight="1">
      <c r="CH89" s="58"/>
    </row>
    <row r="90" spans="86:86" ht="12" customHeight="1">
      <c r="CH90" s="58"/>
    </row>
    <row r="91" spans="86:86" ht="12" customHeight="1">
      <c r="CH91" s="58"/>
    </row>
    <row r="92" spans="86:86" ht="12" customHeight="1">
      <c r="CH92" s="58"/>
    </row>
    <row r="93" spans="86:86" ht="12" customHeight="1">
      <c r="CH93" s="58"/>
    </row>
    <row r="94" spans="86:86" ht="12" customHeight="1">
      <c r="CH94" s="58"/>
    </row>
    <row r="95" spans="86:86" ht="12" customHeight="1">
      <c r="CH95" s="58"/>
    </row>
    <row r="96" spans="86:86" ht="12" customHeight="1">
      <c r="CH96" s="58"/>
    </row>
    <row r="97" spans="86:86" ht="12" customHeight="1">
      <c r="CH97" s="58"/>
    </row>
    <row r="98" spans="86:86" ht="12" customHeight="1">
      <c r="CH98" s="58"/>
    </row>
    <row r="99" spans="86:86" ht="12" customHeight="1">
      <c r="CH99" s="58"/>
    </row>
    <row r="100" spans="86:86" ht="12" customHeight="1">
      <c r="CH100" s="58"/>
    </row>
    <row r="101" spans="86:86" ht="12" customHeight="1">
      <c r="CH101" s="58"/>
    </row>
    <row r="102" spans="86:86" ht="12" customHeight="1">
      <c r="CH102" s="58"/>
    </row>
    <row r="103" spans="86:86" ht="12" customHeight="1">
      <c r="CH103" s="58"/>
    </row>
    <row r="104" spans="86:86" ht="12" customHeight="1">
      <c r="CH104" s="58"/>
    </row>
    <row r="105" spans="86:86" ht="12" customHeight="1">
      <c r="CH105" s="58"/>
    </row>
    <row r="106" spans="86:86" ht="12" customHeight="1">
      <c r="CH106" s="58"/>
    </row>
    <row r="107" spans="86:86" ht="12" customHeight="1">
      <c r="CH107" s="58"/>
    </row>
    <row r="108" spans="86:86" ht="12" customHeight="1">
      <c r="CH108" s="58"/>
    </row>
    <row r="109" spans="86:86" ht="12" customHeight="1">
      <c r="CH109" s="58"/>
    </row>
    <row r="110" spans="86:86" ht="12" customHeight="1">
      <c r="CH110" s="58"/>
    </row>
    <row r="111" spans="86:86" ht="12" customHeight="1">
      <c r="CH111" s="58"/>
    </row>
    <row r="112" spans="86:86" ht="12" customHeight="1">
      <c r="CH112" s="58"/>
    </row>
    <row r="113" spans="86:86" ht="12" customHeight="1">
      <c r="CH113" s="58"/>
    </row>
    <row r="114" spans="86:86" ht="12" customHeight="1">
      <c r="CH114" s="58"/>
    </row>
    <row r="115" spans="86:86" ht="12" customHeight="1">
      <c r="CH115" s="58"/>
    </row>
    <row r="116" spans="86:86" ht="12" customHeight="1">
      <c r="CH116" s="58"/>
    </row>
    <row r="117" spans="86:86" ht="12" customHeight="1">
      <c r="CH117" s="58"/>
    </row>
    <row r="118" spans="86:86" ht="12" customHeight="1">
      <c r="CH118" s="58"/>
    </row>
    <row r="119" spans="86:86" ht="12" customHeight="1">
      <c r="CH119" s="58"/>
    </row>
    <row r="120" spans="86:86" ht="12" customHeight="1">
      <c r="CH120" s="58"/>
    </row>
    <row r="121" spans="86:86" ht="12" customHeight="1">
      <c r="CH121" s="58"/>
    </row>
    <row r="122" spans="86:86" ht="12" customHeight="1">
      <c r="CH122" s="58"/>
    </row>
    <row r="123" spans="86:86" ht="12" customHeight="1">
      <c r="CH123" s="58"/>
    </row>
    <row r="124" spans="86:86" ht="12" customHeight="1">
      <c r="CH124" s="58"/>
    </row>
    <row r="125" spans="86:86" ht="12" customHeight="1">
      <c r="CH125" s="58"/>
    </row>
    <row r="126" spans="86:86" ht="12" customHeight="1">
      <c r="CH126" s="58"/>
    </row>
    <row r="127" spans="86:86" ht="12" customHeight="1">
      <c r="CH127" s="58"/>
    </row>
    <row r="128" spans="86:86" ht="12" customHeight="1">
      <c r="CH128" s="58"/>
    </row>
    <row r="129" spans="86:86" ht="12" customHeight="1">
      <c r="CH129" s="58"/>
    </row>
    <row r="130" spans="86:86" ht="12" customHeight="1">
      <c r="CH130" s="58"/>
    </row>
    <row r="131" spans="86:86" ht="12" customHeight="1">
      <c r="CH131" s="58"/>
    </row>
    <row r="132" spans="86:86" ht="12" customHeight="1">
      <c r="CH132" s="58"/>
    </row>
    <row r="133" spans="86:86" ht="12" customHeight="1">
      <c r="CH133" s="58"/>
    </row>
    <row r="134" spans="86:86" ht="12" customHeight="1">
      <c r="CH134" s="58"/>
    </row>
    <row r="135" spans="86:86" ht="12" customHeight="1">
      <c r="CH135" s="58"/>
    </row>
    <row r="136" spans="86:86" ht="12" customHeight="1">
      <c r="CH136" s="58"/>
    </row>
    <row r="137" spans="86:86" ht="12" customHeight="1">
      <c r="CH137" s="58"/>
    </row>
    <row r="138" spans="86:86" ht="12" customHeight="1">
      <c r="CH138" s="58"/>
    </row>
    <row r="139" spans="86:86" ht="12" customHeight="1">
      <c r="CH139" s="58"/>
    </row>
    <row r="140" spans="86:86" ht="12" customHeight="1">
      <c r="CH140" s="58"/>
    </row>
    <row r="141" spans="86:86" ht="12" customHeight="1">
      <c r="CH141" s="58"/>
    </row>
    <row r="142" spans="86:86" ht="12" customHeight="1">
      <c r="CH142" s="58"/>
    </row>
    <row r="143" spans="86:86" ht="12" customHeight="1">
      <c r="CH143" s="58"/>
    </row>
    <row r="144" spans="86:86" ht="12" customHeight="1">
      <c r="CH144" s="58"/>
    </row>
    <row r="145" spans="86:86" ht="12" customHeight="1">
      <c r="CH145" s="58"/>
    </row>
    <row r="146" spans="86:86" ht="12" customHeight="1">
      <c r="CH146" s="58"/>
    </row>
    <row r="147" spans="86:86" ht="12" customHeight="1">
      <c r="CH147" s="58"/>
    </row>
    <row r="148" spans="86:86" ht="12" customHeight="1">
      <c r="CH148" s="58"/>
    </row>
    <row r="149" spans="86:86" ht="12" customHeight="1">
      <c r="CH149" s="58"/>
    </row>
    <row r="150" spans="86:86" ht="12" customHeight="1">
      <c r="CH150" s="58"/>
    </row>
    <row r="151" spans="86:86" ht="12" customHeight="1">
      <c r="CH151" s="58"/>
    </row>
    <row r="152" spans="86:86" ht="12" customHeight="1">
      <c r="CH152" s="58"/>
    </row>
    <row r="153" spans="86:86" ht="12" customHeight="1">
      <c r="CH153" s="58"/>
    </row>
    <row r="154" spans="86:86" ht="12" customHeight="1">
      <c r="CH154" s="58"/>
    </row>
    <row r="155" spans="86:86" ht="12" customHeight="1">
      <c r="CH155" s="58"/>
    </row>
    <row r="156" spans="86:86" ht="12" customHeight="1">
      <c r="CH156" s="58"/>
    </row>
    <row r="157" spans="86:86" ht="12" customHeight="1">
      <c r="CH157" s="58"/>
    </row>
    <row r="158" spans="86:86" ht="12" customHeight="1">
      <c r="CH158" s="58"/>
    </row>
    <row r="159" spans="86:86" ht="12" customHeight="1">
      <c r="CH159" s="58"/>
    </row>
    <row r="160" spans="86:86" ht="12" customHeight="1">
      <c r="CH160" s="58"/>
    </row>
    <row r="161" spans="86:86" ht="12" customHeight="1">
      <c r="CH161" s="58"/>
    </row>
    <row r="162" spans="86:86" ht="12" customHeight="1">
      <c r="CH162" s="58"/>
    </row>
    <row r="163" spans="86:86" ht="12" customHeight="1">
      <c r="CH163" s="58"/>
    </row>
    <row r="164" spans="86:86" ht="12" customHeight="1">
      <c r="CH164" s="58"/>
    </row>
    <row r="165" spans="86:86" ht="12" customHeight="1">
      <c r="CH165" s="58"/>
    </row>
    <row r="166" spans="86:86" ht="12" customHeight="1">
      <c r="CH166" s="58"/>
    </row>
    <row r="167" spans="86:86" ht="12" customHeight="1">
      <c r="CH167" s="58"/>
    </row>
    <row r="168" spans="86:86" ht="12" customHeight="1">
      <c r="CH168" s="58"/>
    </row>
    <row r="169" spans="86:86" ht="12" customHeight="1">
      <c r="CH169" s="58"/>
    </row>
    <row r="170" spans="86:86" ht="12" customHeight="1">
      <c r="CH170" s="58"/>
    </row>
    <row r="171" spans="86:86" ht="12" customHeight="1">
      <c r="CH171" s="58"/>
    </row>
    <row r="172" spans="86:86" ht="12" customHeight="1">
      <c r="CH172" s="58"/>
    </row>
    <row r="173" spans="86:86" ht="12" customHeight="1">
      <c r="CH173" s="58"/>
    </row>
    <row r="174" spans="86:86" ht="12" customHeight="1">
      <c r="CH174" s="58"/>
    </row>
    <row r="175" spans="86:86" ht="12" customHeight="1">
      <c r="CH175" s="58"/>
    </row>
    <row r="176" spans="86:86" ht="12" customHeight="1">
      <c r="CH176" s="58"/>
    </row>
    <row r="177" spans="86:86" ht="12" customHeight="1">
      <c r="CH177" s="58"/>
    </row>
    <row r="178" spans="86:86" ht="12" customHeight="1">
      <c r="CH178" s="58"/>
    </row>
    <row r="179" spans="86:86" ht="12" customHeight="1">
      <c r="CH179" s="58"/>
    </row>
    <row r="180" spans="86:86" ht="12" customHeight="1">
      <c r="CH180" s="58"/>
    </row>
    <row r="181" spans="86:86" ht="12" customHeight="1">
      <c r="CH181" s="58"/>
    </row>
    <row r="182" spans="86:86" ht="12" customHeight="1">
      <c r="CH182" s="58"/>
    </row>
    <row r="183" spans="86:86" ht="12" customHeight="1">
      <c r="CH183" s="58"/>
    </row>
    <row r="184" spans="86:86" ht="12" customHeight="1">
      <c r="CH184" s="58"/>
    </row>
    <row r="185" spans="86:86" ht="12" customHeight="1">
      <c r="CH185" s="58"/>
    </row>
    <row r="186" spans="86:86" ht="12" customHeight="1">
      <c r="CH186" s="58"/>
    </row>
    <row r="187" spans="86:86" ht="12" customHeight="1">
      <c r="CH187" s="58"/>
    </row>
    <row r="188" spans="86:86" ht="12" customHeight="1">
      <c r="CH188" s="58"/>
    </row>
    <row r="189" spans="86:86" ht="12" customHeight="1">
      <c r="CH189" s="58"/>
    </row>
    <row r="190" spans="86:86" ht="12" customHeight="1">
      <c r="CH190" s="58"/>
    </row>
    <row r="191" spans="86:86" ht="12" customHeight="1">
      <c r="CH191" s="58"/>
    </row>
    <row r="192" spans="86:86" ht="12" customHeight="1">
      <c r="CH192" s="58"/>
    </row>
    <row r="193" spans="84:86" ht="12" customHeight="1">
      <c r="CH193" s="58"/>
    </row>
    <row r="194" spans="84:86" ht="12" customHeight="1">
      <c r="CH194" s="58"/>
    </row>
    <row r="195" spans="84:86" ht="12" customHeight="1">
      <c r="CH195" s="58"/>
    </row>
    <row r="196" spans="84:86" ht="12" customHeight="1">
      <c r="CH196" s="58"/>
    </row>
    <row r="197" spans="84:86" ht="12" customHeight="1">
      <c r="CH197" s="58"/>
    </row>
    <row r="198" spans="84:86" ht="12" customHeight="1">
      <c r="CH198" s="58"/>
    </row>
    <row r="199" spans="84:86" ht="12" customHeight="1">
      <c r="CH199" s="58"/>
    </row>
    <row r="200" spans="84:86" ht="12" customHeight="1">
      <c r="CH200" s="58"/>
    </row>
    <row r="201" spans="84:86" ht="12" customHeight="1">
      <c r="CH201" s="58"/>
    </row>
    <row r="202" spans="84:86" ht="12" customHeight="1">
      <c r="CH202" s="58"/>
    </row>
    <row r="203" spans="84:86" ht="12" customHeight="1">
      <c r="CH203" s="58"/>
    </row>
    <row r="204" spans="84:86" ht="12" customHeight="1">
      <c r="CH204" s="58"/>
    </row>
    <row r="205" spans="84:86" ht="12" customHeight="1">
      <c r="CH205" s="58"/>
    </row>
    <row r="206" spans="84:86" ht="12" customHeight="1">
      <c r="CH206" s="58"/>
    </row>
    <row r="207" spans="84:86" ht="12" customHeight="1">
      <c r="CF207" s="58"/>
      <c r="CH207" s="58"/>
    </row>
    <row r="208" spans="84:86" ht="12" customHeight="1">
      <c r="CF208" s="58"/>
      <c r="CH208" s="58"/>
    </row>
    <row r="209" spans="84:86" ht="12" customHeight="1">
      <c r="CF209" s="58"/>
      <c r="CH209" s="58"/>
    </row>
    <row r="210" spans="84:86" ht="12" customHeight="1">
      <c r="CF210" s="58"/>
      <c r="CH210" s="58"/>
    </row>
    <row r="211" spans="84:86" ht="12" customHeight="1">
      <c r="CF211" s="58"/>
      <c r="CH211" s="58"/>
    </row>
    <row r="212" spans="84:86" ht="12" customHeight="1">
      <c r="CF212" s="58"/>
      <c r="CH212" s="58"/>
    </row>
    <row r="213" spans="84:86" ht="12" customHeight="1">
      <c r="CF213" s="58"/>
      <c r="CH213" s="58"/>
    </row>
    <row r="214" spans="84:86" ht="12" customHeight="1">
      <c r="CH214" s="58"/>
    </row>
    <row r="215" spans="84:86" ht="12" customHeight="1">
      <c r="CH215" s="58"/>
    </row>
    <row r="216" spans="84:86" ht="12" customHeight="1">
      <c r="CH216" s="58"/>
    </row>
    <row r="217" spans="84:86" ht="12" customHeight="1">
      <c r="CH217" s="58"/>
    </row>
    <row r="218" spans="84:86" ht="12" customHeight="1">
      <c r="CH218" s="58"/>
    </row>
    <row r="219" spans="84:86" ht="12" customHeight="1">
      <c r="CH219" s="58"/>
    </row>
    <row r="220" spans="84:86" ht="12" customHeight="1">
      <c r="CH220" s="58"/>
    </row>
    <row r="221" spans="84:86" ht="12" customHeight="1">
      <c r="CH221" s="58"/>
    </row>
    <row r="222" spans="84:86" ht="12" customHeight="1">
      <c r="CH222" s="58"/>
    </row>
    <row r="223" spans="84:86" ht="12" customHeight="1">
      <c r="CH223" s="58"/>
    </row>
    <row r="224" spans="84:86" ht="12" customHeight="1">
      <c r="CH224" s="58"/>
    </row>
    <row r="225" spans="86:86" ht="12" customHeight="1">
      <c r="CH225" s="58"/>
    </row>
    <row r="226" spans="86:86" ht="12" customHeight="1">
      <c r="CH226" s="58"/>
    </row>
    <row r="227" spans="86:86" ht="12" customHeight="1">
      <c r="CH227" s="58"/>
    </row>
    <row r="228" spans="86:86" ht="12" customHeight="1">
      <c r="CH228" s="58"/>
    </row>
    <row r="229" spans="86:86" ht="12" customHeight="1">
      <c r="CH229" s="58"/>
    </row>
    <row r="230" spans="86:86" ht="12" customHeight="1">
      <c r="CH230" s="58"/>
    </row>
    <row r="231" spans="86:86" ht="12" customHeight="1">
      <c r="CH231" s="58"/>
    </row>
    <row r="232" spans="86:86" ht="12" customHeight="1">
      <c r="CH232" s="58"/>
    </row>
    <row r="233" spans="86:86" ht="12" customHeight="1">
      <c r="CH233" s="58"/>
    </row>
    <row r="234" spans="86:86" ht="12" customHeight="1">
      <c r="CH234" s="58"/>
    </row>
    <row r="235" spans="86:86" ht="12" customHeight="1">
      <c r="CH235" s="58"/>
    </row>
    <row r="236" spans="86:86" ht="12" customHeight="1">
      <c r="CH236" s="58"/>
    </row>
    <row r="237" spans="86:86" ht="12" customHeight="1">
      <c r="CH237" s="58"/>
    </row>
    <row r="238" spans="86:86" ht="12" customHeight="1">
      <c r="CH238" s="58"/>
    </row>
    <row r="239" spans="86:86" ht="12" customHeight="1">
      <c r="CH239" s="58"/>
    </row>
    <row r="240" spans="86:86" ht="12" customHeight="1">
      <c r="CH240" s="58"/>
    </row>
    <row r="241" spans="86:86" ht="12" customHeight="1">
      <c r="CH241" s="58"/>
    </row>
    <row r="242" spans="86:86" ht="12" customHeight="1">
      <c r="CH242" s="58"/>
    </row>
    <row r="243" spans="86:86" ht="12" customHeight="1">
      <c r="CH243" s="58"/>
    </row>
    <row r="244" spans="86:86" ht="12" customHeight="1">
      <c r="CH244" s="58"/>
    </row>
    <row r="245" spans="86:86" ht="12" customHeight="1">
      <c r="CH245" s="58"/>
    </row>
    <row r="246" spans="86:86" ht="12" customHeight="1">
      <c r="CH246" s="58"/>
    </row>
    <row r="247" spans="86:86" ht="12" customHeight="1">
      <c r="CH247" s="58"/>
    </row>
    <row r="248" spans="86:86" ht="12" customHeight="1">
      <c r="CH248" s="58"/>
    </row>
    <row r="249" spans="86:86" ht="12" customHeight="1">
      <c r="CH249" s="58"/>
    </row>
    <row r="250" spans="86:86" ht="12" customHeight="1">
      <c r="CH250" s="58"/>
    </row>
    <row r="251" spans="86:86" ht="12" customHeight="1">
      <c r="CH251" s="58"/>
    </row>
    <row r="252" spans="86:86" ht="12" customHeight="1">
      <c r="CH252" s="58"/>
    </row>
    <row r="253" spans="86:86" ht="12" customHeight="1">
      <c r="CH253" s="58"/>
    </row>
    <row r="254" spans="86:86" ht="12" customHeight="1">
      <c r="CH254" s="58"/>
    </row>
    <row r="255" spans="86:86" ht="12" customHeight="1">
      <c r="CH255" s="58"/>
    </row>
    <row r="256" spans="86:86" ht="12" customHeight="1">
      <c r="CH256" s="58"/>
    </row>
    <row r="257" spans="86:86" ht="12" customHeight="1">
      <c r="CH257" s="58"/>
    </row>
    <row r="258" spans="86:86" ht="12" customHeight="1">
      <c r="CH258" s="58"/>
    </row>
    <row r="259" spans="86:86" ht="12" customHeight="1">
      <c r="CH259" s="58"/>
    </row>
    <row r="260" spans="86:86" ht="12" customHeight="1">
      <c r="CH260" s="58"/>
    </row>
    <row r="261" spans="86:86" ht="12" customHeight="1">
      <c r="CH261" s="58"/>
    </row>
    <row r="262" spans="86:86" ht="12" customHeight="1">
      <c r="CH262" s="58"/>
    </row>
    <row r="263" spans="86:86" ht="12" customHeight="1">
      <c r="CH263" s="58"/>
    </row>
    <row r="264" spans="86:86" ht="12" customHeight="1">
      <c r="CH264" s="58"/>
    </row>
    <row r="265" spans="86:86" ht="12" customHeight="1">
      <c r="CH265" s="58"/>
    </row>
    <row r="266" spans="86:86" ht="12" customHeight="1">
      <c r="CH266" s="58"/>
    </row>
    <row r="267" spans="86:86" ht="12" customHeight="1">
      <c r="CH267" s="58"/>
    </row>
    <row r="268" spans="86:86" ht="12" customHeight="1">
      <c r="CH268" s="58"/>
    </row>
    <row r="269" spans="86:86" ht="12" customHeight="1">
      <c r="CH269" s="58"/>
    </row>
    <row r="270" spans="86:86" ht="12" customHeight="1">
      <c r="CH270" s="58"/>
    </row>
    <row r="271" spans="86:86" ht="12" customHeight="1">
      <c r="CH271" s="58"/>
    </row>
    <row r="272" spans="86:86" ht="12" customHeight="1">
      <c r="CH272" s="58"/>
    </row>
    <row r="273" spans="86:86" ht="12" customHeight="1">
      <c r="CH273" s="58"/>
    </row>
    <row r="274" spans="86:86" ht="12" customHeight="1">
      <c r="CH274" s="58"/>
    </row>
    <row r="275" spans="86:86" ht="12" customHeight="1">
      <c r="CH275" s="58"/>
    </row>
    <row r="276" spans="86:86" ht="12" customHeight="1">
      <c r="CH276" s="58"/>
    </row>
    <row r="277" spans="86:86" ht="12" customHeight="1">
      <c r="CH277" s="58"/>
    </row>
    <row r="278" spans="86:86" ht="12" customHeight="1">
      <c r="CH278" s="58"/>
    </row>
    <row r="279" spans="86:86" ht="12" customHeight="1">
      <c r="CH279" s="58"/>
    </row>
    <row r="280" spans="86:86" ht="12" customHeight="1">
      <c r="CH280" s="58"/>
    </row>
    <row r="281" spans="86:86" ht="12" customHeight="1">
      <c r="CH281" s="58"/>
    </row>
    <row r="282" spans="86:86" ht="12" customHeight="1">
      <c r="CH282" s="58"/>
    </row>
    <row r="283" spans="86:86" ht="12" customHeight="1">
      <c r="CH283" s="58"/>
    </row>
    <row r="284" spans="86:86" ht="12" customHeight="1">
      <c r="CH284" s="58"/>
    </row>
    <row r="285" spans="86:86" ht="12" customHeight="1">
      <c r="CH285" s="58"/>
    </row>
    <row r="286" spans="86:86" ht="12" customHeight="1">
      <c r="CH286" s="58"/>
    </row>
    <row r="287" spans="86:86" ht="12" customHeight="1">
      <c r="CH287" s="58"/>
    </row>
    <row r="288" spans="86:86" ht="12" customHeight="1">
      <c r="CH288" s="58"/>
    </row>
    <row r="289" spans="86:86" ht="12" customHeight="1">
      <c r="CH289" s="58"/>
    </row>
    <row r="290" spans="86:86" ht="12" customHeight="1">
      <c r="CH290" s="58"/>
    </row>
    <row r="291" spans="86:86" ht="12" customHeight="1">
      <c r="CH291" s="58"/>
    </row>
    <row r="292" spans="86:86" ht="12" customHeight="1">
      <c r="CH292" s="58"/>
    </row>
    <row r="293" spans="86:86" ht="12" customHeight="1">
      <c r="CH293" s="58"/>
    </row>
    <row r="294" spans="86:86" ht="12" customHeight="1">
      <c r="CH294" s="58"/>
    </row>
    <row r="295" spans="86:86" ht="12" customHeight="1">
      <c r="CH295" s="58"/>
    </row>
    <row r="296" spans="86:86" ht="12" customHeight="1">
      <c r="CH296" s="58"/>
    </row>
    <row r="297" spans="86:86" ht="12" customHeight="1">
      <c r="CH297" s="58"/>
    </row>
    <row r="298" spans="86:86" ht="12" customHeight="1">
      <c r="CH298" s="58"/>
    </row>
    <row r="299" spans="86:86" ht="12" customHeight="1">
      <c r="CH299" s="58"/>
    </row>
    <row r="300" spans="86:86" ht="12" customHeight="1">
      <c r="CH300" s="58"/>
    </row>
    <row r="301" spans="86:86" ht="12" customHeight="1">
      <c r="CH301" s="58"/>
    </row>
    <row r="302" spans="86:86" ht="12" customHeight="1">
      <c r="CH302" s="58"/>
    </row>
    <row r="303" spans="86:86" ht="12" customHeight="1">
      <c r="CH303" s="58"/>
    </row>
    <row r="304" spans="86:86" ht="12" customHeight="1">
      <c r="CH304" s="58"/>
    </row>
    <row r="305" spans="86:86" ht="12" customHeight="1">
      <c r="CH305" s="58"/>
    </row>
    <row r="306" spans="86:86" ht="12" customHeight="1">
      <c r="CH306" s="58"/>
    </row>
    <row r="307" spans="86:86" ht="12" customHeight="1">
      <c r="CH307" s="58"/>
    </row>
    <row r="308" spans="86:86" ht="12" customHeight="1">
      <c r="CH308" s="58"/>
    </row>
    <row r="309" spans="86:86" ht="12" customHeight="1">
      <c r="CH309" s="58"/>
    </row>
    <row r="310" spans="86:86" ht="12" customHeight="1">
      <c r="CH310" s="58"/>
    </row>
    <row r="311" spans="86:86" ht="12" customHeight="1">
      <c r="CH311" s="58"/>
    </row>
    <row r="312" spans="86:86" ht="12" customHeight="1">
      <c r="CH312" s="58"/>
    </row>
    <row r="313" spans="86:86" ht="12" customHeight="1">
      <c r="CH313" s="58"/>
    </row>
    <row r="314" spans="86:86" ht="12" customHeight="1">
      <c r="CH314" s="58"/>
    </row>
    <row r="315" spans="86:86" ht="12" customHeight="1">
      <c r="CH315" s="58"/>
    </row>
    <row r="316" spans="86:86" ht="12" customHeight="1">
      <c r="CH316" s="58"/>
    </row>
    <row r="317" spans="86:86" ht="12" customHeight="1">
      <c r="CH317" s="58"/>
    </row>
    <row r="318" spans="86:86" ht="12" customHeight="1">
      <c r="CH318" s="58"/>
    </row>
    <row r="319" spans="86:86" ht="12" customHeight="1">
      <c r="CH319" s="58"/>
    </row>
    <row r="320" spans="86:86" ht="12" customHeight="1">
      <c r="CH320" s="58"/>
    </row>
    <row r="321" spans="86:86" ht="12" customHeight="1">
      <c r="CH321" s="58"/>
    </row>
    <row r="322" spans="86:86" ht="12" customHeight="1">
      <c r="CH322" s="58"/>
    </row>
    <row r="323" spans="86:86" ht="12" customHeight="1">
      <c r="CH323" s="58"/>
    </row>
    <row r="324" spans="86:86" ht="12" customHeight="1">
      <c r="CH324" s="58"/>
    </row>
    <row r="325" spans="86:86" ht="12" customHeight="1">
      <c r="CH325" s="58"/>
    </row>
    <row r="326" spans="86:86" ht="12" customHeight="1">
      <c r="CH326" s="58"/>
    </row>
    <row r="327" spans="86:86" ht="12" customHeight="1">
      <c r="CH327" s="58"/>
    </row>
    <row r="328" spans="86:86" ht="12" customHeight="1">
      <c r="CH328" s="58"/>
    </row>
    <row r="329" spans="86:86" ht="12" customHeight="1">
      <c r="CH329" s="58"/>
    </row>
    <row r="330" spans="86:86" ht="12" customHeight="1">
      <c r="CH330" s="58"/>
    </row>
    <row r="331" spans="86:86" ht="12" customHeight="1">
      <c r="CH331" s="58"/>
    </row>
    <row r="332" spans="86:86" ht="12" customHeight="1">
      <c r="CH332" s="58"/>
    </row>
    <row r="333" spans="86:86" ht="12" customHeight="1">
      <c r="CH333" s="58"/>
    </row>
    <row r="334" spans="86:86" ht="12" customHeight="1">
      <c r="CH334" s="58"/>
    </row>
    <row r="335" spans="86:86" ht="12" customHeight="1">
      <c r="CH335" s="58"/>
    </row>
    <row r="336" spans="86:86" ht="12" customHeight="1">
      <c r="CH336" s="58"/>
    </row>
    <row r="337" spans="86:86" ht="12" customHeight="1">
      <c r="CH337" s="58"/>
    </row>
    <row r="338" spans="86:86" ht="12" customHeight="1">
      <c r="CH338" s="58"/>
    </row>
    <row r="339" spans="86:86" ht="12" customHeight="1">
      <c r="CH339" s="58"/>
    </row>
    <row r="340" spans="86:86" ht="12" customHeight="1">
      <c r="CH340" s="58"/>
    </row>
    <row r="341" spans="86:86" ht="12" customHeight="1">
      <c r="CH341" s="58"/>
    </row>
    <row r="342" spans="86:86" ht="12" customHeight="1">
      <c r="CH342" s="58"/>
    </row>
    <row r="343" spans="86:86" ht="12" customHeight="1">
      <c r="CH343" s="58"/>
    </row>
    <row r="344" spans="86:86" ht="12" customHeight="1">
      <c r="CH344" s="58"/>
    </row>
    <row r="345" spans="86:86" ht="12" customHeight="1">
      <c r="CH345" s="58"/>
    </row>
    <row r="346" spans="86:86" ht="12" customHeight="1">
      <c r="CH346" s="58"/>
    </row>
    <row r="347" spans="86:86" ht="12" customHeight="1">
      <c r="CH347" s="58"/>
    </row>
    <row r="348" spans="86:86" ht="12" customHeight="1">
      <c r="CH348" s="58"/>
    </row>
    <row r="349" spans="86:86" ht="12" customHeight="1">
      <c r="CH349" s="58"/>
    </row>
    <row r="350" spans="86:86" ht="12" customHeight="1">
      <c r="CH350" s="58"/>
    </row>
    <row r="351" spans="86:86" ht="12" customHeight="1">
      <c r="CH351" s="58"/>
    </row>
    <row r="352" spans="86:86" ht="12" customHeight="1">
      <c r="CH352" s="58"/>
    </row>
    <row r="353" spans="86:86" ht="12" customHeight="1">
      <c r="CH353" s="58"/>
    </row>
    <row r="354" spans="86:86" ht="12" customHeight="1">
      <c r="CH354" s="58"/>
    </row>
    <row r="355" spans="86:86" ht="12" customHeight="1">
      <c r="CH355" s="58"/>
    </row>
    <row r="356" spans="86:86" ht="12" customHeight="1">
      <c r="CH356" s="58"/>
    </row>
    <row r="357" spans="86:86" ht="12" customHeight="1">
      <c r="CH357" s="58"/>
    </row>
    <row r="358" spans="86:86" ht="12" customHeight="1">
      <c r="CH358" s="58"/>
    </row>
    <row r="359" spans="86:86" ht="12" customHeight="1">
      <c r="CH359" s="58"/>
    </row>
    <row r="360" spans="86:86" ht="12" customHeight="1">
      <c r="CH360" s="58"/>
    </row>
    <row r="361" spans="86:86" ht="12" customHeight="1">
      <c r="CH361" s="58"/>
    </row>
    <row r="362" spans="86:86" ht="12" customHeight="1">
      <c r="CH362" s="58"/>
    </row>
    <row r="363" spans="86:86" ht="12" customHeight="1">
      <c r="CH363" s="58"/>
    </row>
    <row r="364" spans="86:86" ht="12" customHeight="1">
      <c r="CH364" s="58"/>
    </row>
    <row r="365" spans="86:86" ht="12" customHeight="1">
      <c r="CH365" s="58"/>
    </row>
    <row r="366" spans="86:86" ht="12" customHeight="1">
      <c r="CH366" s="58"/>
    </row>
    <row r="367" spans="86:86" ht="12" customHeight="1">
      <c r="CH367" s="58"/>
    </row>
    <row r="368" spans="86:86" ht="12" customHeight="1">
      <c r="CH368" s="58"/>
    </row>
    <row r="369" spans="86:86" ht="12" customHeight="1">
      <c r="CH369" s="58"/>
    </row>
    <row r="370" spans="86:86" ht="12" customHeight="1">
      <c r="CH370" s="58"/>
    </row>
    <row r="371" spans="86:86" ht="12" customHeight="1">
      <c r="CH371" s="58"/>
    </row>
    <row r="372" spans="86:86" ht="12" customHeight="1">
      <c r="CH372" s="58"/>
    </row>
    <row r="373" spans="86:86" ht="12" customHeight="1">
      <c r="CH373" s="58"/>
    </row>
    <row r="374" spans="86:86" ht="12" customHeight="1">
      <c r="CH374" s="58"/>
    </row>
    <row r="375" spans="86:86" ht="12" customHeight="1">
      <c r="CH375" s="58"/>
    </row>
    <row r="376" spans="86:86" ht="12" customHeight="1">
      <c r="CH376" s="58"/>
    </row>
    <row r="377" spans="86:86" ht="12" customHeight="1">
      <c r="CH377" s="58"/>
    </row>
    <row r="378" spans="86:86" ht="12" customHeight="1">
      <c r="CH378" s="58"/>
    </row>
    <row r="379" spans="86:86" ht="12" customHeight="1">
      <c r="CH379" s="58"/>
    </row>
    <row r="380" spans="86:86" ht="12" customHeight="1">
      <c r="CH380" s="58"/>
    </row>
    <row r="381" spans="86:86" ht="12" customHeight="1">
      <c r="CH381" s="58"/>
    </row>
    <row r="382" spans="86:86" ht="12" customHeight="1">
      <c r="CH382" s="58"/>
    </row>
    <row r="383" spans="86:86" ht="12" customHeight="1">
      <c r="CH383" s="58"/>
    </row>
    <row r="384" spans="86:86" ht="12" customHeight="1">
      <c r="CH384" s="58"/>
    </row>
    <row r="385" spans="86:86" ht="12" customHeight="1">
      <c r="CH385" s="58"/>
    </row>
    <row r="386" spans="86:86" ht="12" customHeight="1">
      <c r="CH386" s="58"/>
    </row>
    <row r="387" spans="86:86" ht="12" customHeight="1">
      <c r="CH387" s="58"/>
    </row>
    <row r="388" spans="86:86" ht="12" customHeight="1">
      <c r="CH388" s="58"/>
    </row>
    <row r="389" spans="86:86" ht="12" customHeight="1">
      <c r="CH389" s="58"/>
    </row>
    <row r="390" spans="86:86" ht="12" customHeight="1">
      <c r="CH390" s="58"/>
    </row>
    <row r="391" spans="86:86" ht="12" customHeight="1">
      <c r="CH391" s="58"/>
    </row>
    <row r="392" spans="86:86" ht="12" customHeight="1">
      <c r="CH392" s="58"/>
    </row>
    <row r="393" spans="86:86" ht="12" customHeight="1">
      <c r="CH393" s="58"/>
    </row>
    <row r="394" spans="86:86" ht="12" customHeight="1">
      <c r="CH394" s="58"/>
    </row>
    <row r="395" spans="86:86" ht="12" customHeight="1">
      <c r="CH395" s="58"/>
    </row>
    <row r="396" spans="86:86" ht="12" customHeight="1">
      <c r="CH396" s="58"/>
    </row>
    <row r="397" spans="86:86" ht="12" customHeight="1">
      <c r="CH397" s="58"/>
    </row>
    <row r="398" spans="86:86" ht="12" customHeight="1">
      <c r="CH398" s="58"/>
    </row>
    <row r="399" spans="86:86" ht="12" customHeight="1">
      <c r="CH399" s="58"/>
    </row>
    <row r="400" spans="86:86" ht="12" customHeight="1">
      <c r="CH400" s="58"/>
    </row>
    <row r="401" spans="86:86" ht="12" customHeight="1">
      <c r="CH401" s="58"/>
    </row>
    <row r="402" spans="86:86" ht="12" customHeight="1">
      <c r="CH402" s="58"/>
    </row>
    <row r="403" spans="86:86" ht="12" customHeight="1">
      <c r="CH403" s="58"/>
    </row>
    <row r="404" spans="86:86" ht="12" customHeight="1">
      <c r="CH404" s="58"/>
    </row>
    <row r="405" spans="86:86" ht="12" customHeight="1">
      <c r="CH405" s="58"/>
    </row>
    <row r="406" spans="86:86" ht="12" customHeight="1">
      <c r="CH406" s="58"/>
    </row>
    <row r="407" spans="86:86" ht="12" customHeight="1">
      <c r="CH407" s="58"/>
    </row>
    <row r="408" spans="86:86" ht="12" customHeight="1">
      <c r="CH408" s="58"/>
    </row>
    <row r="409" spans="86:86" ht="12" customHeight="1">
      <c r="CH409" s="58"/>
    </row>
    <row r="410" spans="86:86" ht="12" customHeight="1">
      <c r="CH410" s="58"/>
    </row>
    <row r="411" spans="86:86" ht="12" customHeight="1">
      <c r="CH411" s="58"/>
    </row>
    <row r="412" spans="86:86" ht="12" customHeight="1">
      <c r="CH412" s="58"/>
    </row>
    <row r="413" spans="86:86" ht="12" customHeight="1">
      <c r="CH413" s="58"/>
    </row>
    <row r="414" spans="86:86" ht="12" customHeight="1">
      <c r="CH414" s="58"/>
    </row>
    <row r="415" spans="86:86" ht="12" customHeight="1">
      <c r="CH415" s="58"/>
    </row>
    <row r="416" spans="86:86" ht="12" customHeight="1">
      <c r="CH416" s="58"/>
    </row>
    <row r="417" spans="86:86" ht="12" customHeight="1">
      <c r="CH417" s="58"/>
    </row>
    <row r="418" spans="86:86" ht="12" customHeight="1">
      <c r="CH418" s="58"/>
    </row>
    <row r="419" spans="86:86" ht="12" customHeight="1">
      <c r="CH419" s="58"/>
    </row>
    <row r="420" spans="86:86" ht="12" customHeight="1">
      <c r="CH420" s="58"/>
    </row>
    <row r="421" spans="86:86" ht="12" customHeight="1">
      <c r="CH421" s="58"/>
    </row>
    <row r="422" spans="86:86" ht="12" customHeight="1">
      <c r="CH422" s="58"/>
    </row>
    <row r="423" spans="86:86" ht="12" customHeight="1">
      <c r="CH423" s="58"/>
    </row>
    <row r="424" spans="86:86" ht="12" customHeight="1">
      <c r="CH424" s="58"/>
    </row>
    <row r="425" spans="86:86" ht="12" customHeight="1">
      <c r="CH425" s="58"/>
    </row>
    <row r="426" spans="86:86" ht="12" customHeight="1">
      <c r="CH426" s="58"/>
    </row>
    <row r="427" spans="86:86" ht="12" customHeight="1">
      <c r="CH427" s="58"/>
    </row>
    <row r="428" spans="86:86" ht="12" customHeight="1">
      <c r="CH428" s="58"/>
    </row>
    <row r="429" spans="86:86" ht="12" customHeight="1">
      <c r="CH429" s="58"/>
    </row>
    <row r="430" spans="86:86" ht="12" customHeight="1">
      <c r="CH430" s="58"/>
    </row>
    <row r="431" spans="86:86" ht="12" customHeight="1">
      <c r="CH431" s="58"/>
    </row>
    <row r="432" spans="86:86" ht="12" customHeight="1">
      <c r="CH432" s="58"/>
    </row>
    <row r="433" spans="86:86" ht="12" customHeight="1">
      <c r="CH433" s="58"/>
    </row>
    <row r="434" spans="86:86" ht="12" customHeight="1">
      <c r="CH434" s="58"/>
    </row>
    <row r="435" spans="86:86" ht="12" customHeight="1">
      <c r="CH435" s="58"/>
    </row>
    <row r="436" spans="86:86" ht="12" customHeight="1">
      <c r="CH436" s="58"/>
    </row>
    <row r="437" spans="86:86" ht="12" customHeight="1">
      <c r="CH437" s="58"/>
    </row>
    <row r="438" spans="86:86" ht="12" customHeight="1">
      <c r="CH438" s="58"/>
    </row>
    <row r="439" spans="86:86" ht="12" customHeight="1">
      <c r="CH439" s="58"/>
    </row>
    <row r="440" spans="86:86" ht="12" customHeight="1">
      <c r="CH440" s="58"/>
    </row>
    <row r="441" spans="86:86" ht="12" customHeight="1">
      <c r="CH441" s="58"/>
    </row>
    <row r="442" spans="86:86" ht="12" customHeight="1">
      <c r="CH442" s="58"/>
    </row>
    <row r="443" spans="86:86" ht="12" customHeight="1">
      <c r="CH443" s="58"/>
    </row>
    <row r="444" spans="86:86" ht="12" customHeight="1">
      <c r="CH444" s="58"/>
    </row>
    <row r="445" spans="86:86" ht="12" customHeight="1">
      <c r="CH445" s="58"/>
    </row>
    <row r="446" spans="86:86" ht="12" customHeight="1">
      <c r="CH446" s="58"/>
    </row>
    <row r="447" spans="86:86" ht="12" customHeight="1">
      <c r="CH447" s="58"/>
    </row>
    <row r="448" spans="86:86" ht="12" customHeight="1">
      <c r="CH448" s="58"/>
    </row>
    <row r="449" spans="86:86" ht="12" customHeight="1">
      <c r="CH449" s="58"/>
    </row>
    <row r="450" spans="86:86" ht="12" customHeight="1">
      <c r="CH450" s="58"/>
    </row>
    <row r="451" spans="86:86" ht="12" customHeight="1">
      <c r="CH451" s="58"/>
    </row>
    <row r="452" spans="86:86" ht="12" customHeight="1">
      <c r="CH452" s="58"/>
    </row>
    <row r="453" spans="86:86" ht="12" customHeight="1">
      <c r="CH453" s="58"/>
    </row>
    <row r="454" spans="86:86" ht="12" customHeight="1">
      <c r="CH454" s="58"/>
    </row>
    <row r="455" spans="86:86" ht="12" customHeight="1">
      <c r="CH455" s="58"/>
    </row>
    <row r="456" spans="86:86" ht="12" customHeight="1">
      <c r="CH456" s="58"/>
    </row>
    <row r="457" spans="86:86" ht="12" customHeight="1">
      <c r="CH457" s="58"/>
    </row>
    <row r="458" spans="86:86" ht="12" customHeight="1">
      <c r="CH458" s="58"/>
    </row>
    <row r="459" spans="86:86" ht="12" customHeight="1">
      <c r="CH459" s="58"/>
    </row>
    <row r="460" spans="86:86" ht="12" customHeight="1">
      <c r="CH460" s="58"/>
    </row>
    <row r="461" spans="86:86" ht="12" customHeight="1">
      <c r="CH461" s="58"/>
    </row>
    <row r="462" spans="86:86" ht="12" customHeight="1">
      <c r="CH462" s="58"/>
    </row>
    <row r="463" spans="86:86" ht="12" customHeight="1">
      <c r="CH463" s="58"/>
    </row>
    <row r="464" spans="86:86" ht="12" customHeight="1">
      <c r="CH464" s="58"/>
    </row>
    <row r="465" spans="86:86" ht="12" customHeight="1">
      <c r="CH465" s="58"/>
    </row>
    <row r="466" spans="86:86" ht="12" customHeight="1">
      <c r="CH466" s="58"/>
    </row>
    <row r="467" spans="86:86" ht="12" customHeight="1">
      <c r="CH467" s="58"/>
    </row>
    <row r="468" spans="86:86" ht="12" customHeight="1">
      <c r="CH468" s="58"/>
    </row>
    <row r="469" spans="86:86" ht="12" customHeight="1">
      <c r="CH469" s="58"/>
    </row>
    <row r="470" spans="86:86" ht="12" customHeight="1">
      <c r="CH470" s="58"/>
    </row>
    <row r="471" spans="86:86" ht="12" customHeight="1">
      <c r="CH471" s="58"/>
    </row>
    <row r="472" spans="86:86" ht="12" customHeight="1">
      <c r="CH472" s="58"/>
    </row>
    <row r="473" spans="86:86" ht="12" customHeight="1">
      <c r="CH473" s="58"/>
    </row>
    <row r="474" spans="86:86" ht="12" customHeight="1">
      <c r="CH474" s="58"/>
    </row>
    <row r="475" spans="86:86" ht="12" customHeight="1">
      <c r="CH475" s="58"/>
    </row>
    <row r="476" spans="86:86" ht="12" customHeight="1">
      <c r="CH476" s="58"/>
    </row>
    <row r="477" spans="86:86" ht="12" customHeight="1">
      <c r="CH477" s="58"/>
    </row>
    <row r="478" spans="86:86" ht="12" customHeight="1">
      <c r="CH478" s="58"/>
    </row>
    <row r="479" spans="86:86" ht="12" customHeight="1">
      <c r="CH479" s="58"/>
    </row>
    <row r="480" spans="86:86" ht="12" customHeight="1">
      <c r="CH480" s="58"/>
    </row>
    <row r="481" spans="86:86" ht="12" customHeight="1">
      <c r="CH481" s="58"/>
    </row>
    <row r="482" spans="86:86" ht="12" customHeight="1">
      <c r="CH482" s="58"/>
    </row>
    <row r="483" spans="86:86" ht="12" customHeight="1">
      <c r="CH483" s="58"/>
    </row>
    <row r="484" spans="86:86" ht="12" customHeight="1">
      <c r="CH484" s="58"/>
    </row>
    <row r="485" spans="86:86" ht="12" customHeight="1">
      <c r="CH485" s="58"/>
    </row>
    <row r="486" spans="86:86" ht="12" customHeight="1">
      <c r="CH486" s="58"/>
    </row>
    <row r="487" spans="86:86" ht="12" customHeight="1">
      <c r="CH487" s="58"/>
    </row>
    <row r="488" spans="86:86" ht="12" customHeight="1">
      <c r="CH488" s="58"/>
    </row>
    <row r="489" spans="86:86" ht="12" customHeight="1">
      <c r="CH489" s="58"/>
    </row>
    <row r="490" spans="86:86" ht="12" customHeight="1">
      <c r="CH490" s="58"/>
    </row>
    <row r="491" spans="86:86" ht="12" customHeight="1">
      <c r="CH491" s="58"/>
    </row>
    <row r="492" spans="86:86" ht="12" customHeight="1">
      <c r="CH492" s="58"/>
    </row>
    <row r="493" spans="86:86" ht="12" customHeight="1">
      <c r="CH493" s="58"/>
    </row>
    <row r="494" spans="86:86" ht="12" customHeight="1">
      <c r="CH494" s="58"/>
    </row>
    <row r="495" spans="86:86" ht="12" customHeight="1">
      <c r="CH495" s="58"/>
    </row>
    <row r="496" spans="86:86" ht="12" customHeight="1">
      <c r="CH496" s="58"/>
    </row>
    <row r="497" spans="86:86" ht="12" customHeight="1">
      <c r="CH497" s="58"/>
    </row>
    <row r="498" spans="86:86" ht="12" customHeight="1">
      <c r="CH498" s="58"/>
    </row>
    <row r="499" spans="86:86" ht="12" customHeight="1">
      <c r="CH499" s="58"/>
    </row>
    <row r="500" spans="86:86" ht="12" customHeight="1">
      <c r="CH500" s="58"/>
    </row>
    <row r="501" spans="86:86" ht="12" customHeight="1">
      <c r="CH501" s="58"/>
    </row>
    <row r="502" spans="86:86" ht="12" customHeight="1">
      <c r="CH502" s="58"/>
    </row>
    <row r="503" spans="86:86" ht="12" customHeight="1">
      <c r="CH503" s="58"/>
    </row>
    <row r="504" spans="86:86" ht="12" customHeight="1">
      <c r="CH504" s="58"/>
    </row>
    <row r="505" spans="86:86" ht="12" customHeight="1">
      <c r="CH505" s="58"/>
    </row>
    <row r="506" spans="86:86" ht="12" customHeight="1">
      <c r="CH506" s="58"/>
    </row>
    <row r="507" spans="86:86" ht="12" customHeight="1">
      <c r="CH507" s="58"/>
    </row>
    <row r="508" spans="86:86" ht="12" customHeight="1">
      <c r="CH508" s="58"/>
    </row>
    <row r="509" spans="86:86" ht="12" customHeight="1">
      <c r="CH509" s="58"/>
    </row>
    <row r="510" spans="86:86" ht="12" customHeight="1">
      <c r="CH510" s="58"/>
    </row>
    <row r="511" spans="86:86" ht="12" customHeight="1">
      <c r="CH511" s="58"/>
    </row>
    <row r="512" spans="86:86" ht="12" customHeight="1">
      <c r="CH512" s="58"/>
    </row>
    <row r="513" spans="86:86" ht="12" customHeight="1">
      <c r="CH513" s="58"/>
    </row>
    <row r="514" spans="86:86" ht="12" customHeight="1">
      <c r="CH514" s="58"/>
    </row>
    <row r="515" spans="86:86" ht="12" customHeight="1">
      <c r="CH515" s="58"/>
    </row>
    <row r="516" spans="86:86" ht="12" customHeight="1">
      <c r="CH516" s="58"/>
    </row>
    <row r="517" spans="86:86" ht="12" customHeight="1">
      <c r="CH517" s="58"/>
    </row>
    <row r="518" spans="86:86" ht="12" customHeight="1">
      <c r="CH518" s="58"/>
    </row>
    <row r="519" spans="86:86" ht="12" customHeight="1">
      <c r="CH519" s="58"/>
    </row>
    <row r="520" spans="86:86" ht="12" customHeight="1">
      <c r="CH520" s="58"/>
    </row>
    <row r="521" spans="86:86" ht="12" customHeight="1">
      <c r="CH521" s="58"/>
    </row>
    <row r="522" spans="86:86" ht="12" customHeight="1">
      <c r="CH522" s="58"/>
    </row>
    <row r="523" spans="86:86" ht="12" customHeight="1">
      <c r="CH523" s="58"/>
    </row>
    <row r="524" spans="86:86" ht="12" customHeight="1">
      <c r="CH524" s="58"/>
    </row>
    <row r="525" spans="86:86" ht="12" customHeight="1">
      <c r="CH525" s="58"/>
    </row>
    <row r="526" spans="86:86" ht="12" customHeight="1">
      <c r="CH526" s="58"/>
    </row>
    <row r="527" spans="86:86" ht="12" customHeight="1">
      <c r="CH527" s="58"/>
    </row>
    <row r="528" spans="86:86" ht="12" customHeight="1">
      <c r="CH528" s="58"/>
    </row>
    <row r="529" spans="86:86" ht="12" customHeight="1">
      <c r="CH529" s="58"/>
    </row>
    <row r="530" spans="86:86" ht="12" customHeight="1">
      <c r="CH530" s="58"/>
    </row>
    <row r="531" spans="86:86" ht="12" customHeight="1">
      <c r="CH531" s="58"/>
    </row>
    <row r="532" spans="86:86" ht="12" customHeight="1">
      <c r="CH532" s="58"/>
    </row>
    <row r="533" spans="86:86" ht="12" customHeight="1">
      <c r="CH533" s="58"/>
    </row>
    <row r="534" spans="86:86" ht="12" customHeight="1">
      <c r="CH534" s="58"/>
    </row>
    <row r="535" spans="86:86" ht="12" customHeight="1">
      <c r="CH535" s="58"/>
    </row>
    <row r="536" spans="86:86" ht="12" customHeight="1">
      <c r="CH536" s="58"/>
    </row>
    <row r="537" spans="86:86" ht="12" customHeight="1">
      <c r="CH537" s="58"/>
    </row>
    <row r="538" spans="86:86" ht="12" customHeight="1">
      <c r="CH538" s="58"/>
    </row>
    <row r="539" spans="86:86" ht="12" customHeight="1">
      <c r="CH539" s="58"/>
    </row>
    <row r="540" spans="86:86" ht="12" customHeight="1">
      <c r="CH540" s="58"/>
    </row>
    <row r="541" spans="86:86" ht="12" customHeight="1">
      <c r="CH541" s="58"/>
    </row>
    <row r="542" spans="86:86" ht="12" customHeight="1">
      <c r="CH542" s="58"/>
    </row>
    <row r="543" spans="86:86" ht="12" customHeight="1">
      <c r="CH543" s="58"/>
    </row>
    <row r="544" spans="86:86" ht="12" customHeight="1">
      <c r="CH544" s="58"/>
    </row>
    <row r="545" spans="86:86" ht="12" customHeight="1">
      <c r="CH545" s="58"/>
    </row>
    <row r="546" spans="86:86" ht="12" customHeight="1">
      <c r="CH546" s="58"/>
    </row>
    <row r="547" spans="86:86" ht="12" customHeight="1">
      <c r="CH547" s="58"/>
    </row>
    <row r="548" spans="86:86" ht="12" customHeight="1">
      <c r="CH548" s="58"/>
    </row>
    <row r="549" spans="86:86" ht="12" customHeight="1">
      <c r="CH549" s="58"/>
    </row>
    <row r="550" spans="86:86" ht="12" customHeight="1">
      <c r="CH550" s="58"/>
    </row>
    <row r="551" spans="86:86" ht="12" customHeight="1">
      <c r="CH551" s="58"/>
    </row>
    <row r="552" spans="86:86" ht="12" customHeight="1">
      <c r="CH552" s="58"/>
    </row>
    <row r="553" spans="86:86" ht="12" customHeight="1">
      <c r="CH553" s="58"/>
    </row>
    <row r="554" spans="86:86" ht="12" customHeight="1">
      <c r="CH554" s="58"/>
    </row>
    <row r="555" spans="86:86" ht="12" customHeight="1">
      <c r="CH555" s="58"/>
    </row>
    <row r="556" spans="86:86" ht="12" customHeight="1">
      <c r="CH556" s="58"/>
    </row>
    <row r="557" spans="86:86" ht="12" customHeight="1">
      <c r="CH557" s="58"/>
    </row>
    <row r="558" spans="86:86" ht="12" customHeight="1">
      <c r="CH558" s="58"/>
    </row>
    <row r="559" spans="86:86" ht="12" customHeight="1">
      <c r="CH559" s="58"/>
    </row>
    <row r="560" spans="86:86" ht="12" customHeight="1">
      <c r="CH560" s="58"/>
    </row>
    <row r="561" spans="86:86" ht="12" customHeight="1">
      <c r="CH561" s="58"/>
    </row>
    <row r="562" spans="86:86" ht="12" customHeight="1">
      <c r="CH562" s="58"/>
    </row>
    <row r="563" spans="86:86" ht="12" customHeight="1">
      <c r="CH563" s="58"/>
    </row>
    <row r="564" spans="86:86" ht="12" customHeight="1">
      <c r="CH564" s="58"/>
    </row>
    <row r="565" spans="86:86" ht="12" customHeight="1">
      <c r="CH565" s="58"/>
    </row>
    <row r="566" spans="86:86" ht="12" customHeight="1">
      <c r="CH566" s="58"/>
    </row>
    <row r="567" spans="86:86" ht="12" customHeight="1">
      <c r="CH567" s="58"/>
    </row>
    <row r="568" spans="86:86" ht="12" customHeight="1">
      <c r="CH568" s="58"/>
    </row>
    <row r="569" spans="86:86" ht="12" customHeight="1">
      <c r="CH569" s="58"/>
    </row>
    <row r="570" spans="86:86" ht="12" customHeight="1">
      <c r="CH570" s="58"/>
    </row>
    <row r="571" spans="86:86" ht="12" customHeight="1">
      <c r="CH571" s="58"/>
    </row>
    <row r="572" spans="86:86" ht="12" customHeight="1">
      <c r="CH572" s="58"/>
    </row>
    <row r="573" spans="86:86" ht="12" customHeight="1">
      <c r="CH573" s="58"/>
    </row>
    <row r="574" spans="86:86" ht="12" customHeight="1">
      <c r="CH574" s="58"/>
    </row>
    <row r="575" spans="86:86" ht="12" customHeight="1">
      <c r="CH575" s="58"/>
    </row>
    <row r="576" spans="86:86" ht="12" customHeight="1">
      <c r="CH576" s="58"/>
    </row>
    <row r="577" spans="86:86" ht="12" customHeight="1">
      <c r="CH577" s="58"/>
    </row>
    <row r="578" spans="86:86" ht="12" customHeight="1">
      <c r="CH578" s="58"/>
    </row>
    <row r="579" spans="86:86" ht="12" customHeight="1">
      <c r="CH579" s="58"/>
    </row>
    <row r="580" spans="86:86" ht="12" customHeight="1">
      <c r="CH580" s="58"/>
    </row>
    <row r="581" spans="86:86" ht="12" customHeight="1">
      <c r="CH581" s="58"/>
    </row>
    <row r="582" spans="86:86" ht="12" customHeight="1">
      <c r="CH582" s="58"/>
    </row>
    <row r="583" spans="86:86" ht="12" customHeight="1">
      <c r="CH583" s="58"/>
    </row>
    <row r="584" spans="86:86" ht="12" customHeight="1">
      <c r="CH584" s="58"/>
    </row>
    <row r="585" spans="86:86" ht="12" customHeight="1">
      <c r="CH585" s="58"/>
    </row>
    <row r="586" spans="86:86" ht="12" customHeight="1">
      <c r="CH586" s="58"/>
    </row>
    <row r="587" spans="86:86" ht="12" customHeight="1">
      <c r="CH587" s="58"/>
    </row>
    <row r="588" spans="86:86" ht="12" customHeight="1">
      <c r="CH588" s="58"/>
    </row>
    <row r="589" spans="86:86" ht="12" customHeight="1">
      <c r="CH589" s="58"/>
    </row>
    <row r="590" spans="86:86" ht="12" customHeight="1">
      <c r="CH590" s="58"/>
    </row>
    <row r="591" spans="86:86" ht="12" customHeight="1">
      <c r="CH591" s="58"/>
    </row>
    <row r="592" spans="86:86" ht="12" customHeight="1">
      <c r="CH592" s="58"/>
    </row>
    <row r="593" spans="86:86" ht="12" customHeight="1">
      <c r="CH593" s="58"/>
    </row>
    <row r="594" spans="86:86" ht="12" customHeight="1">
      <c r="CH594" s="58"/>
    </row>
    <row r="595" spans="86:86" ht="12" customHeight="1">
      <c r="CH595" s="58"/>
    </row>
    <row r="596" spans="86:86" ht="12" customHeight="1">
      <c r="CH596" s="58"/>
    </row>
    <row r="597" spans="86:86" ht="12" customHeight="1">
      <c r="CH597" s="58"/>
    </row>
    <row r="598" spans="86:86" ht="12" customHeight="1">
      <c r="CH598" s="58"/>
    </row>
    <row r="599" spans="86:86" ht="12" customHeight="1">
      <c r="CH599" s="58"/>
    </row>
    <row r="600" spans="86:86" ht="12" customHeight="1">
      <c r="CH600" s="58"/>
    </row>
    <row r="601" spans="86:86" ht="12" customHeight="1">
      <c r="CH601" s="58"/>
    </row>
    <row r="602" spans="86:86" ht="12" customHeight="1">
      <c r="CH602" s="58"/>
    </row>
    <row r="603" spans="86:86" ht="12" customHeight="1">
      <c r="CH603" s="58"/>
    </row>
    <row r="604" spans="86:86" ht="12" customHeight="1">
      <c r="CH604" s="58"/>
    </row>
    <row r="605" spans="86:86" ht="12" customHeight="1">
      <c r="CH605" s="58"/>
    </row>
    <row r="606" spans="86:86" ht="12" customHeight="1">
      <c r="CH606" s="58"/>
    </row>
    <row r="607" spans="86:86" ht="12" customHeight="1">
      <c r="CH607" s="58"/>
    </row>
    <row r="608" spans="86:86" ht="12" customHeight="1">
      <c r="CH608" s="58"/>
    </row>
    <row r="609" spans="86:86" ht="12" customHeight="1">
      <c r="CH609" s="58"/>
    </row>
    <row r="610" spans="86:86" ht="12" customHeight="1">
      <c r="CH610" s="58"/>
    </row>
    <row r="611" spans="86:86" ht="12" customHeight="1">
      <c r="CH611" s="58"/>
    </row>
    <row r="612" spans="86:86" ht="12" customHeight="1">
      <c r="CH612" s="58"/>
    </row>
    <row r="613" spans="86:86" ht="12" customHeight="1">
      <c r="CH613" s="58"/>
    </row>
    <row r="614" spans="86:86" ht="12" customHeight="1">
      <c r="CH614" s="58"/>
    </row>
    <row r="615" spans="86:86" ht="12" customHeight="1">
      <c r="CH615" s="58"/>
    </row>
    <row r="616" spans="86:86" ht="12" customHeight="1">
      <c r="CH616" s="58"/>
    </row>
    <row r="617" spans="86:86" ht="12" customHeight="1">
      <c r="CH617" s="58"/>
    </row>
    <row r="618" spans="86:86" ht="12" customHeight="1">
      <c r="CH618" s="58"/>
    </row>
    <row r="619" spans="86:86" ht="12" customHeight="1">
      <c r="CH619" s="58"/>
    </row>
    <row r="620" spans="86:86" ht="12" customHeight="1">
      <c r="CH620" s="58"/>
    </row>
    <row r="621" spans="86:86" ht="12" customHeight="1">
      <c r="CH621" s="58"/>
    </row>
    <row r="622" spans="86:86" ht="12" customHeight="1">
      <c r="CH622" s="58"/>
    </row>
    <row r="623" spans="86:86" ht="12" customHeight="1">
      <c r="CH623" s="58"/>
    </row>
    <row r="624" spans="86:86" ht="12" customHeight="1">
      <c r="CH624" s="58"/>
    </row>
    <row r="625" spans="86:86" ht="12" customHeight="1">
      <c r="CH625" s="58"/>
    </row>
    <row r="626" spans="86:86" ht="12" customHeight="1">
      <c r="CH626" s="58"/>
    </row>
    <row r="627" spans="86:86" ht="12" customHeight="1">
      <c r="CH627" s="58"/>
    </row>
    <row r="628" spans="86:86" ht="12" customHeight="1">
      <c r="CH628" s="58"/>
    </row>
    <row r="629" spans="86:86" ht="12" customHeight="1">
      <c r="CH629" s="58"/>
    </row>
    <row r="630" spans="86:86" ht="12" customHeight="1">
      <c r="CH630" s="58"/>
    </row>
    <row r="631" spans="86:86" ht="12" customHeight="1">
      <c r="CH631" s="58"/>
    </row>
    <row r="632" spans="86:86" ht="12" customHeight="1">
      <c r="CH632" s="58"/>
    </row>
    <row r="633" spans="86:86" ht="12" customHeight="1">
      <c r="CH633" s="58"/>
    </row>
    <row r="634" spans="86:86" ht="12" customHeight="1">
      <c r="CH634" s="58"/>
    </row>
    <row r="635" spans="86:86" ht="12" customHeight="1">
      <c r="CH635" s="58"/>
    </row>
    <row r="636" spans="86:86" ht="12" customHeight="1">
      <c r="CH636" s="58"/>
    </row>
    <row r="637" spans="86:86" ht="12" customHeight="1">
      <c r="CH637" s="58"/>
    </row>
    <row r="638" spans="86:86" ht="12" customHeight="1">
      <c r="CH638" s="58"/>
    </row>
    <row r="639" spans="86:86" ht="12" customHeight="1">
      <c r="CH639" s="58"/>
    </row>
    <row r="640" spans="86:86" ht="12" customHeight="1">
      <c r="CH640" s="58"/>
    </row>
    <row r="641" spans="86:86" ht="12" customHeight="1">
      <c r="CH641" s="58"/>
    </row>
    <row r="642" spans="86:86" ht="12" customHeight="1">
      <c r="CH642" s="58"/>
    </row>
    <row r="643" spans="86:86" ht="12" customHeight="1">
      <c r="CH643" s="58"/>
    </row>
    <row r="644" spans="86:86" ht="12" customHeight="1">
      <c r="CH644" s="58"/>
    </row>
    <row r="645" spans="86:86" ht="12" customHeight="1">
      <c r="CH645" s="58"/>
    </row>
    <row r="646" spans="86:86" ht="12" customHeight="1">
      <c r="CH646" s="58"/>
    </row>
    <row r="647" spans="86:86" ht="12" customHeight="1">
      <c r="CH647" s="58"/>
    </row>
    <row r="648" spans="86:86" ht="12" customHeight="1">
      <c r="CH648" s="58"/>
    </row>
    <row r="649" spans="86:86" ht="12" customHeight="1">
      <c r="CH649" s="58"/>
    </row>
    <row r="650" spans="86:86" ht="12" customHeight="1">
      <c r="CH650" s="58"/>
    </row>
    <row r="651" spans="86:86" ht="12" customHeight="1">
      <c r="CH651" s="58"/>
    </row>
    <row r="652" spans="86:86" ht="12" customHeight="1">
      <c r="CH652" s="58"/>
    </row>
    <row r="653" spans="86:86" ht="12" customHeight="1">
      <c r="CH653" s="58"/>
    </row>
    <row r="654" spans="86:86" ht="12" customHeight="1">
      <c r="CH654" s="58"/>
    </row>
    <row r="655" spans="86:86" ht="12" customHeight="1">
      <c r="CH655" s="58"/>
    </row>
    <row r="656" spans="86:86" ht="12" customHeight="1">
      <c r="CH656" s="58"/>
    </row>
    <row r="657" spans="86:86" ht="12" customHeight="1">
      <c r="CH657" s="58"/>
    </row>
    <row r="658" spans="86:86" ht="12" customHeight="1">
      <c r="CH658" s="58"/>
    </row>
    <row r="659" spans="86:86" ht="12" customHeight="1">
      <c r="CH659" s="58"/>
    </row>
    <row r="660" spans="86:86" ht="12" customHeight="1">
      <c r="CH660" s="58"/>
    </row>
    <row r="661" spans="86:86" ht="12" customHeight="1">
      <c r="CH661" s="58"/>
    </row>
    <row r="662" spans="86:86" ht="12" customHeight="1">
      <c r="CH662" s="58"/>
    </row>
    <row r="663" spans="86:86" ht="12" customHeight="1">
      <c r="CH663" s="58"/>
    </row>
    <row r="664" spans="86:86" ht="12" customHeight="1">
      <c r="CH664" s="58"/>
    </row>
    <row r="665" spans="86:86" ht="12" customHeight="1">
      <c r="CH665" s="58"/>
    </row>
    <row r="666" spans="86:86" ht="12" customHeight="1">
      <c r="CH666" s="58"/>
    </row>
    <row r="667" spans="86:86" ht="12" customHeight="1">
      <c r="CH667" s="58"/>
    </row>
    <row r="668" spans="86:86" ht="12" customHeight="1">
      <c r="CH668" s="58"/>
    </row>
    <row r="669" spans="86:86" ht="12" customHeight="1">
      <c r="CH669" s="58"/>
    </row>
    <row r="670" spans="86:86" ht="12" customHeight="1">
      <c r="CH670" s="58"/>
    </row>
    <row r="671" spans="86:86" ht="12" customHeight="1">
      <c r="CH671" s="58"/>
    </row>
    <row r="672" spans="86:86" ht="12" customHeight="1">
      <c r="CH672" s="58"/>
    </row>
    <row r="673" spans="86:86" ht="12" customHeight="1">
      <c r="CH673" s="58"/>
    </row>
    <row r="674" spans="86:86" ht="12" customHeight="1">
      <c r="CH674" s="58"/>
    </row>
    <row r="675" spans="86:86" ht="12" customHeight="1">
      <c r="CH675" s="58"/>
    </row>
    <row r="676" spans="86:86" ht="12" customHeight="1">
      <c r="CH676" s="58"/>
    </row>
    <row r="677" spans="86:86" ht="12" customHeight="1">
      <c r="CH677" s="58"/>
    </row>
    <row r="678" spans="86:86" ht="12" customHeight="1">
      <c r="CH678" s="58"/>
    </row>
    <row r="679" spans="86:86" ht="12" customHeight="1">
      <c r="CH679" s="58"/>
    </row>
    <row r="680" spans="86:86" ht="12" customHeight="1">
      <c r="CH680" s="58"/>
    </row>
    <row r="681" spans="86:86" ht="12" customHeight="1">
      <c r="CH681" s="58"/>
    </row>
    <row r="682" spans="86:86" ht="12" customHeight="1">
      <c r="CH682" s="58"/>
    </row>
    <row r="683" spans="86:86" ht="12" customHeight="1">
      <c r="CH683" s="58"/>
    </row>
    <row r="684" spans="86:86" ht="12" customHeight="1">
      <c r="CH684" s="58"/>
    </row>
    <row r="685" spans="86:86" ht="12" customHeight="1">
      <c r="CH685" s="58"/>
    </row>
    <row r="686" spans="86:86" ht="12" customHeight="1">
      <c r="CH686" s="58"/>
    </row>
    <row r="687" spans="86:86" ht="12" customHeight="1">
      <c r="CH687" s="58"/>
    </row>
    <row r="688" spans="86:86" ht="12" customHeight="1">
      <c r="CH688" s="58"/>
    </row>
    <row r="689" spans="86:86" ht="12" customHeight="1">
      <c r="CH689" s="58"/>
    </row>
    <row r="690" spans="86:86" ht="12" customHeight="1">
      <c r="CH690" s="58"/>
    </row>
    <row r="691" spans="86:86" ht="12" customHeight="1">
      <c r="CH691" s="58"/>
    </row>
    <row r="692" spans="86:86" ht="12" customHeight="1">
      <c r="CH692" s="58"/>
    </row>
    <row r="693" spans="86:86" ht="12" customHeight="1">
      <c r="CH693" s="58"/>
    </row>
    <row r="694" spans="86:86" ht="12" customHeight="1">
      <c r="CH694" s="58"/>
    </row>
    <row r="695" spans="86:86" ht="12" customHeight="1">
      <c r="CH695" s="58"/>
    </row>
    <row r="696" spans="86:86" ht="12" customHeight="1">
      <c r="CH696" s="58"/>
    </row>
    <row r="697" spans="86:86" ht="12" customHeight="1">
      <c r="CH697" s="58"/>
    </row>
    <row r="698" spans="86:86" ht="12" customHeight="1">
      <c r="CH698" s="58"/>
    </row>
    <row r="699" spans="86:86" ht="12" customHeight="1">
      <c r="CH699" s="58"/>
    </row>
    <row r="700" spans="86:86" ht="12" customHeight="1">
      <c r="CH700" s="58"/>
    </row>
    <row r="701" spans="86:86" ht="12" customHeight="1">
      <c r="CH701" s="58"/>
    </row>
    <row r="702" spans="86:86" ht="12" customHeight="1">
      <c r="CH702" s="58"/>
    </row>
    <row r="703" spans="86:86" ht="12" customHeight="1">
      <c r="CH703" s="58"/>
    </row>
    <row r="704" spans="86:86" ht="12" customHeight="1">
      <c r="CH704" s="58"/>
    </row>
    <row r="705" spans="86:86" ht="12" customHeight="1">
      <c r="CH705" s="58"/>
    </row>
    <row r="706" spans="86:86" ht="12" customHeight="1">
      <c r="CH706" s="58"/>
    </row>
    <row r="707" spans="86:86" ht="12" customHeight="1">
      <c r="CH707" s="58"/>
    </row>
    <row r="708" spans="86:86" ht="12" customHeight="1">
      <c r="CH708" s="58"/>
    </row>
    <row r="709" spans="86:86" ht="12" customHeight="1">
      <c r="CH709" s="58"/>
    </row>
    <row r="710" spans="86:86" ht="12" customHeight="1">
      <c r="CH710" s="58"/>
    </row>
    <row r="711" spans="86:86" ht="12" customHeight="1">
      <c r="CH711" s="58"/>
    </row>
    <row r="712" spans="86:86" ht="12" customHeight="1">
      <c r="CH712" s="58"/>
    </row>
    <row r="713" spans="86:86" ht="12" customHeight="1">
      <c r="CH713" s="58"/>
    </row>
    <row r="714" spans="86:86" ht="12" customHeight="1">
      <c r="CH714" s="58"/>
    </row>
    <row r="715" spans="86:86" ht="12" customHeight="1">
      <c r="CH715" s="58"/>
    </row>
    <row r="716" spans="86:86" ht="12" customHeight="1">
      <c r="CH716" s="58"/>
    </row>
    <row r="717" spans="86:86" ht="12" customHeight="1">
      <c r="CH717" s="58"/>
    </row>
    <row r="718" spans="86:86" ht="12" customHeight="1">
      <c r="CH718" s="58"/>
    </row>
    <row r="719" spans="86:86" ht="12" customHeight="1">
      <c r="CH719" s="58"/>
    </row>
    <row r="720" spans="86:86" ht="12" customHeight="1">
      <c r="CH720" s="58"/>
    </row>
    <row r="721" spans="86:86" ht="12" customHeight="1">
      <c r="CH721" s="58"/>
    </row>
    <row r="722" spans="86:86" ht="12" customHeight="1">
      <c r="CH722" s="58"/>
    </row>
    <row r="723" spans="86:86" ht="12" customHeight="1">
      <c r="CH723" s="58"/>
    </row>
    <row r="724" spans="86:86" ht="12" customHeight="1">
      <c r="CH724" s="58"/>
    </row>
    <row r="725" spans="86:86" ht="12" customHeight="1">
      <c r="CH725" s="58"/>
    </row>
    <row r="726" spans="86:86" ht="12" customHeight="1">
      <c r="CH726" s="58"/>
    </row>
    <row r="727" spans="86:86" ht="12" customHeight="1">
      <c r="CH727" s="58"/>
    </row>
    <row r="728" spans="86:86" ht="12" customHeight="1">
      <c r="CH728" s="58"/>
    </row>
    <row r="729" spans="86:86" ht="12" customHeight="1">
      <c r="CH729" s="58"/>
    </row>
    <row r="730" spans="86:86" ht="12" customHeight="1">
      <c r="CH730" s="58"/>
    </row>
    <row r="731" spans="86:86" ht="12" customHeight="1">
      <c r="CH731" s="58"/>
    </row>
    <row r="732" spans="86:86" ht="12" customHeight="1">
      <c r="CH732" s="58"/>
    </row>
    <row r="733" spans="86:86" ht="12" customHeight="1">
      <c r="CH733" s="58"/>
    </row>
    <row r="734" spans="86:86" ht="12" customHeight="1">
      <c r="CH734" s="58"/>
    </row>
    <row r="735" spans="86:86" ht="12" customHeight="1">
      <c r="CH735" s="58"/>
    </row>
    <row r="736" spans="86:86" ht="12" customHeight="1">
      <c r="CH736" s="58"/>
    </row>
    <row r="737" spans="86:86" ht="12" customHeight="1">
      <c r="CH737" s="58"/>
    </row>
    <row r="738" spans="86:86" ht="12" customHeight="1">
      <c r="CH738" s="58"/>
    </row>
    <row r="739" spans="86:86" ht="12" customHeight="1">
      <c r="CH739" s="58"/>
    </row>
    <row r="740" spans="86:86" ht="12" customHeight="1">
      <c r="CH740" s="58"/>
    </row>
    <row r="741" spans="86:86" ht="12" customHeight="1">
      <c r="CH741" s="58"/>
    </row>
    <row r="742" spans="86:86" ht="12" customHeight="1">
      <c r="CH742" s="58"/>
    </row>
    <row r="743" spans="86:86" ht="12" customHeight="1">
      <c r="CH743" s="58"/>
    </row>
    <row r="744" spans="86:86" ht="12" customHeight="1">
      <c r="CH744" s="58"/>
    </row>
    <row r="745" spans="86:86" ht="12" customHeight="1">
      <c r="CH745" s="58"/>
    </row>
    <row r="746" spans="86:86" ht="12" customHeight="1">
      <c r="CH746" s="58"/>
    </row>
    <row r="747" spans="86:86" ht="12" customHeight="1">
      <c r="CH747" s="58"/>
    </row>
    <row r="748" spans="86:86" ht="12" customHeight="1">
      <c r="CH748" s="58"/>
    </row>
    <row r="749" spans="86:86" ht="12" customHeight="1">
      <c r="CH749" s="58"/>
    </row>
    <row r="750" spans="86:86" ht="12" customHeight="1">
      <c r="CH750" s="58"/>
    </row>
    <row r="751" spans="86:86" ht="12" customHeight="1">
      <c r="CH751" s="58"/>
    </row>
    <row r="752" spans="86:86" ht="12" customHeight="1">
      <c r="CH752" s="58"/>
    </row>
    <row r="753" spans="86:86" ht="12" customHeight="1">
      <c r="CH753" s="58"/>
    </row>
    <row r="754" spans="86:86" ht="12" customHeight="1">
      <c r="CH754" s="58"/>
    </row>
    <row r="755" spans="86:86" ht="12" customHeight="1">
      <c r="CH755" s="58"/>
    </row>
    <row r="756" spans="86:86" ht="12" customHeight="1">
      <c r="CH756" s="58"/>
    </row>
    <row r="757" spans="86:86" ht="12" customHeight="1">
      <c r="CH757" s="58"/>
    </row>
    <row r="758" spans="86:86" ht="12" customHeight="1">
      <c r="CH758" s="58"/>
    </row>
    <row r="759" spans="86:86" ht="12" customHeight="1">
      <c r="CH759" s="58"/>
    </row>
    <row r="760" spans="86:86" ht="12" customHeight="1">
      <c r="CH760" s="58"/>
    </row>
    <row r="761" spans="86:86" ht="12" customHeight="1">
      <c r="CH761" s="58"/>
    </row>
    <row r="762" spans="86:86" ht="12" customHeight="1">
      <c r="CH762" s="58"/>
    </row>
    <row r="763" spans="86:86" ht="12" customHeight="1">
      <c r="CH763" s="58"/>
    </row>
    <row r="764" spans="86:86" ht="12" customHeight="1">
      <c r="CH764" s="58"/>
    </row>
    <row r="765" spans="86:86" ht="12" customHeight="1">
      <c r="CH765" s="58"/>
    </row>
    <row r="766" spans="86:86" ht="12" customHeight="1">
      <c r="CH766" s="58"/>
    </row>
    <row r="767" spans="86:86" ht="12" customHeight="1">
      <c r="CH767" s="58"/>
    </row>
    <row r="768" spans="86:86" ht="12" customHeight="1">
      <c r="CH768" s="58"/>
    </row>
    <row r="769" spans="86:86" ht="12" customHeight="1">
      <c r="CH769" s="58"/>
    </row>
    <row r="770" spans="86:86" ht="12" customHeight="1">
      <c r="CH770" s="58"/>
    </row>
    <row r="771" spans="86:86" ht="12" customHeight="1">
      <c r="CH771" s="58"/>
    </row>
    <row r="772" spans="86:86" ht="12" customHeight="1">
      <c r="CH772" s="58"/>
    </row>
    <row r="773" spans="86:86" ht="12" customHeight="1">
      <c r="CH773" s="58"/>
    </row>
    <row r="774" spans="86:86" ht="12" customHeight="1">
      <c r="CH774" s="58"/>
    </row>
    <row r="775" spans="86:86" ht="12" customHeight="1">
      <c r="CH775" s="58"/>
    </row>
    <row r="776" spans="86:86" ht="12" customHeight="1">
      <c r="CH776" s="58"/>
    </row>
    <row r="777" spans="86:86" ht="12" customHeight="1">
      <c r="CH777" s="58"/>
    </row>
    <row r="778" spans="86:86" ht="12" customHeight="1">
      <c r="CH778" s="58"/>
    </row>
    <row r="779" spans="86:86" ht="12" customHeight="1">
      <c r="CH779" s="58"/>
    </row>
    <row r="780" spans="86:86" ht="12" customHeight="1">
      <c r="CH780" s="58"/>
    </row>
    <row r="781" spans="86:86" ht="12" customHeight="1">
      <c r="CH781" s="58"/>
    </row>
    <row r="782" spans="86:86" ht="12" customHeight="1">
      <c r="CH782" s="58"/>
    </row>
    <row r="783" spans="86:86" ht="12" customHeight="1">
      <c r="CH783" s="58"/>
    </row>
    <row r="784" spans="86:86" ht="12" customHeight="1">
      <c r="CH784" s="58"/>
    </row>
    <row r="785" spans="86:86" ht="12" customHeight="1">
      <c r="CH785" s="58"/>
    </row>
    <row r="786" spans="86:86" ht="12" customHeight="1">
      <c r="CH786" s="58"/>
    </row>
    <row r="787" spans="86:86" ht="12" customHeight="1">
      <c r="CH787" s="58"/>
    </row>
    <row r="788" spans="86:86" ht="12" customHeight="1">
      <c r="CH788" s="58"/>
    </row>
    <row r="789" spans="86:86" ht="12" customHeight="1">
      <c r="CH789" s="58"/>
    </row>
    <row r="790" spans="86:86" ht="12" customHeight="1">
      <c r="CH790" s="58"/>
    </row>
    <row r="791" spans="86:86" ht="12" customHeight="1">
      <c r="CH791" s="58"/>
    </row>
    <row r="792" spans="86:86" ht="12" customHeight="1">
      <c r="CH792" s="58"/>
    </row>
    <row r="793" spans="86:86" ht="12" customHeight="1">
      <c r="CH793" s="58"/>
    </row>
    <row r="794" spans="86:86" ht="12" customHeight="1">
      <c r="CH794" s="58"/>
    </row>
    <row r="795" spans="86:86" ht="12" customHeight="1">
      <c r="CH795" s="58"/>
    </row>
    <row r="796" spans="86:86" ht="12" customHeight="1">
      <c r="CH796" s="58"/>
    </row>
    <row r="797" spans="86:86" ht="12" customHeight="1">
      <c r="CH797" s="58"/>
    </row>
    <row r="798" spans="86:86" ht="12" customHeight="1">
      <c r="CH798" s="58"/>
    </row>
    <row r="799" spans="86:86" ht="12" customHeight="1">
      <c r="CH799" s="58"/>
    </row>
    <row r="800" spans="86:86" ht="12" customHeight="1">
      <c r="CH800" s="58"/>
    </row>
    <row r="801" spans="86:86" ht="12" customHeight="1">
      <c r="CH801" s="58"/>
    </row>
    <row r="802" spans="86:86" ht="12" customHeight="1">
      <c r="CH802" s="58"/>
    </row>
    <row r="803" spans="86:86" ht="12" customHeight="1">
      <c r="CH803" s="58"/>
    </row>
    <row r="804" spans="86:86" ht="12" customHeight="1">
      <c r="CH804" s="58"/>
    </row>
    <row r="805" spans="86:86" ht="12" customHeight="1">
      <c r="CH805" s="58"/>
    </row>
    <row r="806" spans="86:86" ht="12" customHeight="1">
      <c r="CH806" s="58"/>
    </row>
    <row r="807" spans="86:86" ht="12" customHeight="1">
      <c r="CH807" s="58"/>
    </row>
    <row r="808" spans="86:86" ht="12" customHeight="1">
      <c r="CH808" s="58"/>
    </row>
    <row r="809" spans="86:86" ht="12" customHeight="1">
      <c r="CH809" s="58"/>
    </row>
    <row r="810" spans="86:86" ht="12" customHeight="1">
      <c r="CH810" s="58"/>
    </row>
    <row r="811" spans="86:86" ht="12" customHeight="1">
      <c r="CH811" s="58"/>
    </row>
    <row r="812" spans="86:86" ht="12" customHeight="1">
      <c r="CH812" s="58"/>
    </row>
    <row r="813" spans="86:86" ht="12" customHeight="1">
      <c r="CH813" s="58"/>
    </row>
    <row r="814" spans="86:86" ht="12" customHeight="1">
      <c r="CH814" s="58"/>
    </row>
    <row r="815" spans="86:86" ht="12" customHeight="1">
      <c r="CH815" s="58"/>
    </row>
    <row r="816" spans="86:86" ht="12" customHeight="1">
      <c r="CH816" s="58"/>
    </row>
    <row r="817" spans="86:86" ht="12" customHeight="1">
      <c r="CH817" s="58"/>
    </row>
    <row r="818" spans="86:86" ht="12" customHeight="1">
      <c r="CH818" s="58"/>
    </row>
    <row r="819" spans="86:86" ht="12" customHeight="1">
      <c r="CH819" s="58"/>
    </row>
    <row r="820" spans="86:86" ht="12" customHeight="1">
      <c r="CH820" s="58"/>
    </row>
    <row r="821" spans="86:86" ht="12" customHeight="1">
      <c r="CH821" s="58"/>
    </row>
    <row r="822" spans="86:86" ht="12" customHeight="1">
      <c r="CH822" s="58"/>
    </row>
    <row r="823" spans="86:86" ht="12" customHeight="1">
      <c r="CH823" s="58"/>
    </row>
    <row r="824" spans="86:86" ht="12" customHeight="1">
      <c r="CH824" s="58"/>
    </row>
    <row r="825" spans="86:86" ht="12" customHeight="1">
      <c r="CH825" s="58"/>
    </row>
    <row r="826" spans="86:86" ht="12" customHeight="1">
      <c r="CH826" s="58"/>
    </row>
    <row r="827" spans="86:86" ht="12" customHeight="1">
      <c r="CH827" s="58"/>
    </row>
    <row r="828" spans="86:86" ht="12" customHeight="1">
      <c r="CH828" s="58"/>
    </row>
    <row r="829" spans="86:86" ht="12" customHeight="1">
      <c r="CH829" s="58"/>
    </row>
    <row r="830" spans="86:86" ht="12" customHeight="1">
      <c r="CH830" s="58"/>
    </row>
    <row r="831" spans="86:86" ht="12" customHeight="1">
      <c r="CH831" s="58"/>
    </row>
    <row r="832" spans="86:86" ht="12" customHeight="1">
      <c r="CH832" s="58"/>
    </row>
    <row r="833" spans="86:86" ht="12" customHeight="1">
      <c r="CH833" s="58"/>
    </row>
    <row r="834" spans="86:86" ht="12" customHeight="1">
      <c r="CH834" s="58"/>
    </row>
    <row r="835" spans="86:86" ht="12" customHeight="1">
      <c r="CH835" s="58"/>
    </row>
    <row r="836" spans="86:86" ht="12" customHeight="1">
      <c r="CH836" s="58"/>
    </row>
    <row r="837" spans="86:86" ht="12" customHeight="1">
      <c r="CH837" s="58"/>
    </row>
    <row r="838" spans="86:86" ht="12" customHeight="1">
      <c r="CH838" s="58"/>
    </row>
    <row r="839" spans="86:86" ht="12" customHeight="1">
      <c r="CH839" s="58"/>
    </row>
    <row r="840" spans="86:86" ht="12" customHeight="1">
      <c r="CH840" s="58"/>
    </row>
    <row r="841" spans="86:86" ht="12" customHeight="1">
      <c r="CH841" s="58"/>
    </row>
    <row r="842" spans="86:86" ht="12" customHeight="1">
      <c r="CH842" s="58"/>
    </row>
    <row r="843" spans="86:86" ht="12" customHeight="1">
      <c r="CH843" s="58"/>
    </row>
    <row r="844" spans="86:86" ht="12" customHeight="1">
      <c r="CH844" s="58"/>
    </row>
    <row r="845" spans="86:86" ht="12" customHeight="1">
      <c r="CH845" s="58"/>
    </row>
    <row r="846" spans="86:86" ht="12" customHeight="1">
      <c r="CH846" s="58"/>
    </row>
    <row r="847" spans="86:86" ht="12" customHeight="1">
      <c r="CH847" s="58"/>
    </row>
    <row r="848" spans="86:86" ht="12" customHeight="1">
      <c r="CH848" s="58"/>
    </row>
    <row r="849" spans="86:86" ht="12" customHeight="1">
      <c r="CH849" s="58"/>
    </row>
    <row r="850" spans="86:86" ht="12" customHeight="1">
      <c r="CH850" s="58"/>
    </row>
    <row r="851" spans="86:86" ht="12" customHeight="1">
      <c r="CH851" s="58"/>
    </row>
    <row r="852" spans="86:86" ht="12" customHeight="1">
      <c r="CH852" s="58"/>
    </row>
    <row r="853" spans="86:86" ht="12" customHeight="1">
      <c r="CH853" s="58"/>
    </row>
    <row r="854" spans="86:86" ht="12" customHeight="1">
      <c r="CH854" s="58"/>
    </row>
    <row r="855" spans="86:86" ht="12" customHeight="1">
      <c r="CH855" s="58"/>
    </row>
    <row r="856" spans="86:86" ht="12" customHeight="1">
      <c r="CH856" s="58"/>
    </row>
    <row r="857" spans="86:86" ht="12" customHeight="1">
      <c r="CH857" s="58"/>
    </row>
    <row r="858" spans="86:86" ht="12" customHeight="1">
      <c r="CH858" s="58"/>
    </row>
    <row r="859" spans="86:86" ht="12" customHeight="1">
      <c r="CH859" s="58"/>
    </row>
    <row r="860" spans="86:86" ht="12" customHeight="1">
      <c r="CH860" s="58"/>
    </row>
    <row r="861" spans="86:86" ht="12" customHeight="1">
      <c r="CH861" s="58"/>
    </row>
    <row r="862" spans="86:86" ht="12" customHeight="1">
      <c r="CH862" s="58"/>
    </row>
    <row r="863" spans="86:86" ht="12" customHeight="1">
      <c r="CH863" s="58"/>
    </row>
    <row r="864" spans="86:86" ht="12" customHeight="1">
      <c r="CH864" s="58"/>
    </row>
    <row r="865" spans="86:86" ht="12" customHeight="1">
      <c r="CH865" s="58"/>
    </row>
    <row r="866" spans="86:86" ht="12" customHeight="1">
      <c r="CH866" s="58"/>
    </row>
    <row r="867" spans="86:86" ht="12" customHeight="1">
      <c r="CH867" s="58"/>
    </row>
    <row r="868" spans="86:86" ht="12" customHeight="1">
      <c r="CH868" s="58"/>
    </row>
    <row r="869" spans="86:86" ht="12" customHeight="1">
      <c r="CH869" s="58"/>
    </row>
    <row r="870" spans="86:86" ht="12" customHeight="1">
      <c r="CH870" s="58"/>
    </row>
    <row r="871" spans="86:86" ht="12" customHeight="1">
      <c r="CH871" s="58"/>
    </row>
    <row r="872" spans="86:86" ht="12" customHeight="1">
      <c r="CH872" s="58"/>
    </row>
    <row r="873" spans="86:86" ht="12" customHeight="1">
      <c r="CH873" s="58"/>
    </row>
    <row r="874" spans="86:86" ht="12" customHeight="1">
      <c r="CH874" s="58"/>
    </row>
    <row r="875" spans="86:86" ht="12" customHeight="1">
      <c r="CH875" s="58"/>
    </row>
    <row r="876" spans="86:86" ht="12" customHeight="1">
      <c r="CH876" s="58"/>
    </row>
    <row r="877" spans="86:86" ht="12" customHeight="1">
      <c r="CH877" s="58"/>
    </row>
    <row r="878" spans="86:86" ht="12" customHeight="1">
      <c r="CH878" s="58"/>
    </row>
    <row r="879" spans="86:86" ht="12" customHeight="1">
      <c r="CH879" s="58"/>
    </row>
    <row r="880" spans="86:86" ht="12" customHeight="1">
      <c r="CH880" s="58"/>
    </row>
    <row r="881" spans="86:86" ht="12" customHeight="1">
      <c r="CH881" s="58"/>
    </row>
    <row r="882" spans="86:86" ht="12" customHeight="1">
      <c r="CH882" s="58"/>
    </row>
    <row r="883" spans="86:86" ht="12" customHeight="1">
      <c r="CH883" s="58"/>
    </row>
    <row r="884" spans="86:86" ht="12" customHeight="1">
      <c r="CH884" s="58"/>
    </row>
    <row r="885" spans="86:86" ht="12" customHeight="1">
      <c r="CH885" s="58"/>
    </row>
    <row r="886" spans="86:86" ht="12" customHeight="1">
      <c r="CH886" s="58"/>
    </row>
    <row r="887" spans="86:86" ht="12" customHeight="1">
      <c r="CH887" s="58"/>
    </row>
    <row r="888" spans="86:86" ht="12" customHeight="1">
      <c r="CH888" s="58"/>
    </row>
    <row r="889" spans="86:86" ht="12" customHeight="1">
      <c r="CH889" s="58"/>
    </row>
    <row r="890" spans="86:86" ht="12" customHeight="1">
      <c r="CH890" s="58"/>
    </row>
    <row r="891" spans="86:86" ht="12" customHeight="1">
      <c r="CH891" s="58"/>
    </row>
    <row r="892" spans="86:86" ht="12" customHeight="1">
      <c r="CH892" s="58"/>
    </row>
    <row r="893" spans="86:86" ht="12" customHeight="1">
      <c r="CH893" s="58"/>
    </row>
    <row r="894" spans="86:86" ht="12" customHeight="1">
      <c r="CH894" s="58"/>
    </row>
    <row r="895" spans="86:86" ht="12" customHeight="1">
      <c r="CH895" s="58"/>
    </row>
    <row r="896" spans="86:86" ht="12" customHeight="1">
      <c r="CH896" s="58"/>
    </row>
    <row r="897" spans="86:86" ht="12" customHeight="1">
      <c r="CH897" s="58"/>
    </row>
    <row r="898" spans="86:86" ht="12" customHeight="1">
      <c r="CH898" s="58"/>
    </row>
    <row r="899" spans="86:86" ht="12" customHeight="1">
      <c r="CH899" s="58"/>
    </row>
    <row r="900" spans="86:86" ht="12" customHeight="1">
      <c r="CH900" s="58"/>
    </row>
    <row r="901" spans="86:86" ht="12" customHeight="1">
      <c r="CH901" s="58"/>
    </row>
    <row r="902" spans="86:86" ht="12" customHeight="1">
      <c r="CH902" s="58"/>
    </row>
    <row r="903" spans="86:86" ht="12" customHeight="1">
      <c r="CH903" s="58"/>
    </row>
    <row r="904" spans="86:86" ht="12" customHeight="1">
      <c r="CH904" s="58"/>
    </row>
    <row r="905" spans="86:86" ht="12" customHeight="1">
      <c r="CH905" s="58"/>
    </row>
    <row r="906" spans="86:86" ht="12" customHeight="1">
      <c r="CH906" s="58"/>
    </row>
    <row r="907" spans="86:86" ht="12" customHeight="1">
      <c r="CH907" s="58"/>
    </row>
    <row r="908" spans="86:86" ht="12" customHeight="1">
      <c r="CH908" s="58"/>
    </row>
    <row r="909" spans="86:86" ht="12" customHeight="1">
      <c r="CH909" s="58"/>
    </row>
    <row r="910" spans="86:86" ht="12" customHeight="1">
      <c r="CH910" s="58"/>
    </row>
    <row r="911" spans="86:86" ht="12" customHeight="1">
      <c r="CH911" s="58"/>
    </row>
    <row r="912" spans="86:86" ht="12" customHeight="1">
      <c r="CH912" s="58"/>
    </row>
    <row r="913" spans="86:86" ht="12" customHeight="1">
      <c r="CH913" s="58"/>
    </row>
    <row r="914" spans="86:86" ht="12" customHeight="1">
      <c r="CH914" s="58"/>
    </row>
    <row r="915" spans="86:86" ht="12" customHeight="1">
      <c r="CH915" s="58"/>
    </row>
    <row r="916" spans="86:86" ht="12" customHeight="1">
      <c r="CH916" s="58"/>
    </row>
    <row r="917" spans="86:86" ht="12" customHeight="1">
      <c r="CH917" s="58"/>
    </row>
    <row r="918" spans="86:86" ht="12" customHeight="1">
      <c r="CH918" s="58"/>
    </row>
    <row r="919" spans="86:86" ht="12" customHeight="1">
      <c r="CH919" s="58"/>
    </row>
    <row r="920" spans="86:86" ht="12" customHeight="1">
      <c r="CH920" s="58"/>
    </row>
    <row r="921" spans="86:86" ht="12" customHeight="1">
      <c r="CH921" s="58"/>
    </row>
    <row r="922" spans="86:86" ht="12" customHeight="1">
      <c r="CH922" s="58"/>
    </row>
    <row r="923" spans="86:86" ht="12" customHeight="1">
      <c r="CH923" s="58"/>
    </row>
    <row r="924" spans="86:86" ht="12" customHeight="1">
      <c r="CH924" s="58"/>
    </row>
    <row r="925" spans="86:86" ht="12" customHeight="1">
      <c r="CH925" s="58"/>
    </row>
    <row r="926" spans="86:86" ht="12" customHeight="1">
      <c r="CH926" s="58"/>
    </row>
    <row r="927" spans="86:86" ht="12" customHeight="1">
      <c r="CH927" s="58"/>
    </row>
    <row r="928" spans="86:86" ht="12" customHeight="1">
      <c r="CH928" s="58"/>
    </row>
    <row r="929" spans="86:86" ht="12" customHeight="1">
      <c r="CH929" s="58"/>
    </row>
    <row r="930" spans="86:86" ht="12" customHeight="1">
      <c r="CH930" s="58"/>
    </row>
    <row r="931" spans="86:86" ht="12" customHeight="1">
      <c r="CH931" s="58"/>
    </row>
    <row r="932" spans="86:86" ht="12" customHeight="1">
      <c r="CH932" s="58"/>
    </row>
    <row r="933" spans="86:86" ht="12" customHeight="1">
      <c r="CH933" s="58"/>
    </row>
    <row r="934" spans="86:86" ht="12" customHeight="1">
      <c r="CH934" s="58"/>
    </row>
    <row r="935" spans="86:86" ht="12" customHeight="1">
      <c r="CH935" s="58"/>
    </row>
    <row r="936" spans="86:86" ht="12" customHeight="1">
      <c r="CH936" s="58"/>
    </row>
    <row r="937" spans="86:86" ht="12" customHeight="1">
      <c r="CH937" s="58"/>
    </row>
    <row r="938" spans="86:86" ht="12" customHeight="1">
      <c r="CH938" s="58"/>
    </row>
    <row r="939" spans="86:86" ht="12" customHeight="1">
      <c r="CH939" s="58"/>
    </row>
    <row r="940" spans="86:86" ht="12" customHeight="1">
      <c r="CH940" s="58"/>
    </row>
    <row r="941" spans="86:86" ht="12" customHeight="1">
      <c r="CH941" s="58"/>
    </row>
    <row r="942" spans="86:86" ht="12" customHeight="1">
      <c r="CH942" s="58"/>
    </row>
    <row r="943" spans="86:86" ht="12" customHeight="1">
      <c r="CH943" s="58"/>
    </row>
    <row r="944" spans="86:86" ht="12" customHeight="1">
      <c r="CH944" s="58"/>
    </row>
    <row r="945" spans="86:86" ht="12" customHeight="1">
      <c r="CH945" s="58"/>
    </row>
    <row r="946" spans="86:86" ht="12" customHeight="1">
      <c r="CH946" s="58"/>
    </row>
    <row r="947" spans="86:86" ht="12" customHeight="1">
      <c r="CH947" s="58"/>
    </row>
    <row r="948" spans="86:86" ht="12" customHeight="1">
      <c r="CH948" s="58"/>
    </row>
    <row r="949" spans="86:86" ht="12" customHeight="1">
      <c r="CH949" s="58"/>
    </row>
    <row r="950" spans="86:86" ht="12" customHeight="1">
      <c r="CH950" s="58"/>
    </row>
    <row r="951" spans="86:86" ht="12" customHeight="1">
      <c r="CH951" s="58"/>
    </row>
    <row r="952" spans="86:86" ht="12" customHeight="1">
      <c r="CH952" s="58"/>
    </row>
    <row r="953" spans="86:86" ht="12" customHeight="1">
      <c r="CH953" s="58"/>
    </row>
    <row r="954" spans="86:86" ht="12" customHeight="1">
      <c r="CH954" s="58"/>
    </row>
    <row r="955" spans="86:86" ht="12" customHeight="1">
      <c r="CH955" s="58"/>
    </row>
    <row r="956" spans="86:86" ht="12" customHeight="1">
      <c r="CH956" s="58"/>
    </row>
    <row r="957" spans="86:86" ht="12" customHeight="1">
      <c r="CH957" s="58"/>
    </row>
    <row r="958" spans="86:86" ht="12" customHeight="1">
      <c r="CH958" s="58"/>
    </row>
    <row r="959" spans="86:86" ht="12" customHeight="1">
      <c r="CH959" s="58"/>
    </row>
    <row r="960" spans="86:86" ht="12" customHeight="1">
      <c r="CH960" s="58"/>
    </row>
    <row r="961" spans="86:86" ht="12" customHeight="1">
      <c r="CH961" s="58"/>
    </row>
    <row r="962" spans="86:86" ht="12" customHeight="1">
      <c r="CH962" s="58"/>
    </row>
    <row r="963" spans="86:86" ht="12" customHeight="1">
      <c r="CH963" s="58"/>
    </row>
    <row r="964" spans="86:86" ht="12" customHeight="1">
      <c r="CH964" s="58"/>
    </row>
    <row r="965" spans="86:86" ht="12" customHeight="1">
      <c r="CH965" s="58"/>
    </row>
    <row r="966" spans="86:86" ht="12" customHeight="1">
      <c r="CH966" s="58"/>
    </row>
    <row r="967" spans="86:86" ht="12" customHeight="1">
      <c r="CH967" s="58"/>
    </row>
    <row r="968" spans="86:86" ht="12" customHeight="1">
      <c r="CH968" s="58"/>
    </row>
    <row r="969" spans="86:86" ht="12" customHeight="1">
      <c r="CH969" s="58"/>
    </row>
    <row r="970" spans="86:86" ht="12" customHeight="1">
      <c r="CH970" s="58"/>
    </row>
    <row r="971" spans="86:86" ht="12" customHeight="1">
      <c r="CH971" s="58"/>
    </row>
    <row r="972" spans="86:86" ht="12" customHeight="1">
      <c r="CH972" s="58"/>
    </row>
    <row r="973" spans="86:86" ht="12" customHeight="1">
      <c r="CH973" s="58"/>
    </row>
    <row r="974" spans="86:86" ht="12" customHeight="1">
      <c r="CH974" s="58"/>
    </row>
    <row r="975" spans="86:86" ht="12" customHeight="1">
      <c r="CH975" s="58"/>
    </row>
    <row r="976" spans="86:86" ht="12" customHeight="1">
      <c r="CH976" s="58"/>
    </row>
    <row r="977" spans="86:86" ht="12" customHeight="1">
      <c r="CH977" s="58"/>
    </row>
    <row r="978" spans="86:86" ht="12" customHeight="1">
      <c r="CH978" s="58"/>
    </row>
    <row r="979" spans="86:86" ht="12" customHeight="1">
      <c r="CH979" s="58"/>
    </row>
    <row r="980" spans="86:86" ht="12" customHeight="1">
      <c r="CH980" s="58"/>
    </row>
    <row r="981" spans="86:86" ht="12" customHeight="1">
      <c r="CH981" s="58"/>
    </row>
    <row r="982" spans="86:86" ht="12" customHeight="1">
      <c r="CH982" s="58"/>
    </row>
    <row r="983" spans="86:86" ht="12" customHeight="1">
      <c r="CH983" s="58"/>
    </row>
    <row r="984" spans="86:86" ht="12" customHeight="1">
      <c r="CH984" s="58"/>
    </row>
    <row r="985" spans="86:86" ht="12" customHeight="1">
      <c r="CH985" s="58"/>
    </row>
    <row r="986" spans="86:86" ht="12" customHeight="1">
      <c r="CH986" s="58"/>
    </row>
    <row r="987" spans="86:86" ht="12" customHeight="1">
      <c r="CH987" s="58"/>
    </row>
    <row r="988" spans="86:86" ht="12" customHeight="1">
      <c r="CH988" s="58"/>
    </row>
    <row r="989" spans="86:86" ht="12" customHeight="1">
      <c r="CH989" s="58"/>
    </row>
    <row r="990" spans="86:86" ht="12" customHeight="1">
      <c r="CH990" s="58"/>
    </row>
    <row r="991" spans="86:86" ht="12" customHeight="1">
      <c r="CH991" s="58"/>
    </row>
    <row r="992" spans="86:86" ht="12" customHeight="1">
      <c r="CH992" s="58"/>
    </row>
    <row r="993" spans="86:86" ht="12" customHeight="1">
      <c r="CH993" s="58"/>
    </row>
    <row r="994" spans="86:86" ht="12" customHeight="1">
      <c r="CH994" s="58"/>
    </row>
    <row r="995" spans="86:86" ht="12" customHeight="1">
      <c r="CH995" s="58"/>
    </row>
    <row r="996" spans="86:86" ht="12" customHeight="1">
      <c r="CH996" s="58"/>
    </row>
    <row r="997" spans="86:86" ht="12" customHeight="1">
      <c r="CH997" s="58"/>
    </row>
    <row r="998" spans="86:86" ht="12" customHeight="1">
      <c r="CH998" s="58"/>
    </row>
    <row r="999" spans="86:86" ht="12" customHeight="1">
      <c r="CH999" s="58"/>
    </row>
    <row r="1000" spans="86:86" ht="12" customHeight="1">
      <c r="CH1000" s="58"/>
    </row>
    <row r="1001" spans="86:86" ht="12" customHeight="1">
      <c r="CH1001" s="58"/>
    </row>
    <row r="1002" spans="86:86" ht="12" customHeight="1">
      <c r="CH1002" s="58"/>
    </row>
    <row r="1003" spans="86:86" ht="12" customHeight="1">
      <c r="CH1003" s="58"/>
    </row>
    <row r="1004" spans="86:86" ht="12" customHeight="1">
      <c r="CH1004" s="58"/>
    </row>
    <row r="1005" spans="86:86" ht="12" customHeight="1">
      <c r="CH1005" s="58"/>
    </row>
    <row r="1006" spans="86:86" ht="12" customHeight="1">
      <c r="CH1006" s="58"/>
    </row>
    <row r="1007" spans="86:86" ht="12" customHeight="1">
      <c r="CH1007" s="58"/>
    </row>
    <row r="1008" spans="86:86" ht="12" customHeight="1">
      <c r="CH1008" s="58"/>
    </row>
    <row r="1009" spans="86:86" ht="12" customHeight="1">
      <c r="CH1009" s="58"/>
    </row>
    <row r="1010" spans="86:86" ht="12" customHeight="1">
      <c r="CH1010" s="58"/>
    </row>
    <row r="1011" spans="86:86" ht="12" customHeight="1">
      <c r="CH1011" s="58"/>
    </row>
    <row r="1012" spans="86:86" ht="12" customHeight="1">
      <c r="CH1012" s="58"/>
    </row>
    <row r="1013" spans="86:86" ht="12" customHeight="1">
      <c r="CH1013" s="58"/>
    </row>
    <row r="1014" spans="86:86" ht="12" customHeight="1">
      <c r="CH1014" s="58"/>
    </row>
    <row r="1015" spans="86:86" ht="12" customHeight="1">
      <c r="CH1015" s="58"/>
    </row>
    <row r="1016" spans="86:86" ht="12" customHeight="1">
      <c r="CH1016" s="58"/>
    </row>
    <row r="1017" spans="86:86" ht="12" customHeight="1">
      <c r="CH1017" s="58"/>
    </row>
    <row r="1018" spans="86:86" ht="12" customHeight="1">
      <c r="CH1018" s="58"/>
    </row>
    <row r="1019" spans="86:86" ht="12" customHeight="1">
      <c r="CH1019" s="58"/>
    </row>
    <row r="1020" spans="86:86" ht="12" customHeight="1">
      <c r="CH1020" s="58"/>
    </row>
    <row r="1021" spans="86:86" ht="12" customHeight="1">
      <c r="CH1021" s="58"/>
    </row>
    <row r="1022" spans="86:86" ht="12" customHeight="1">
      <c r="CH1022" s="58"/>
    </row>
    <row r="1023" spans="86:86" ht="12" customHeight="1">
      <c r="CH1023" s="58"/>
    </row>
    <row r="1024" spans="86:86" ht="12" customHeight="1">
      <c r="CH1024" s="58"/>
    </row>
    <row r="1025" spans="86:86" ht="12" customHeight="1">
      <c r="CH1025" s="58"/>
    </row>
    <row r="1026" spans="86:86" ht="12" customHeight="1">
      <c r="CH1026" s="58"/>
    </row>
    <row r="1027" spans="86:86" ht="12" customHeight="1">
      <c r="CH1027" s="58"/>
    </row>
    <row r="1028" spans="86:86" ht="12" customHeight="1">
      <c r="CH1028" s="58"/>
    </row>
    <row r="1029" spans="86:86" ht="12" customHeight="1">
      <c r="CH1029" s="58"/>
    </row>
    <row r="1030" spans="86:86" ht="12" customHeight="1">
      <c r="CH1030" s="58"/>
    </row>
    <row r="1031" spans="86:86" ht="12" customHeight="1">
      <c r="CH1031" s="58"/>
    </row>
    <row r="1032" spans="86:86" ht="12" customHeight="1">
      <c r="CH1032" s="58"/>
    </row>
    <row r="1033" spans="86:86" ht="12" customHeight="1">
      <c r="CH1033" s="58"/>
    </row>
    <row r="1034" spans="86:86" ht="12" customHeight="1">
      <c r="CH1034" s="58"/>
    </row>
    <row r="1035" spans="86:86" ht="12" customHeight="1">
      <c r="CH1035" s="58"/>
    </row>
    <row r="1036" spans="86:86" ht="12" customHeight="1">
      <c r="CH1036" s="58"/>
    </row>
    <row r="1037" spans="86:86" ht="12" customHeight="1">
      <c r="CH1037" s="58"/>
    </row>
    <row r="1038" spans="86:86" ht="12" customHeight="1">
      <c r="CH1038" s="58"/>
    </row>
    <row r="1039" spans="86:86" ht="12" customHeight="1">
      <c r="CH1039" s="58"/>
    </row>
    <row r="1040" spans="86:86" ht="12" customHeight="1">
      <c r="CH1040" s="58"/>
    </row>
    <row r="1041" spans="86:86" ht="12" customHeight="1">
      <c r="CH1041" s="58"/>
    </row>
    <row r="1042" spans="86:86" ht="12" customHeight="1">
      <c r="CH1042" s="58"/>
    </row>
    <row r="1043" spans="86:86" ht="12" customHeight="1">
      <c r="CH1043" s="58"/>
    </row>
    <row r="1044" spans="86:86" ht="12" customHeight="1">
      <c r="CH1044" s="58"/>
    </row>
    <row r="1045" spans="86:86" ht="12" customHeight="1">
      <c r="CH1045" s="58"/>
    </row>
    <row r="1046" spans="86:86" ht="12" customHeight="1">
      <c r="CH1046" s="58"/>
    </row>
    <row r="1047" spans="86:86" ht="12" customHeight="1">
      <c r="CH1047" s="58"/>
    </row>
    <row r="1048" spans="86:86" ht="12" customHeight="1">
      <c r="CH1048" s="58"/>
    </row>
    <row r="1049" spans="86:86" ht="12" customHeight="1">
      <c r="CH1049" s="58"/>
    </row>
    <row r="1050" spans="86:86" ht="12" customHeight="1">
      <c r="CH1050" s="58"/>
    </row>
    <row r="1051" spans="86:86" ht="12" customHeight="1">
      <c r="CH1051" s="58"/>
    </row>
    <row r="1052" spans="86:86" ht="12" customHeight="1">
      <c r="CH1052" s="58"/>
    </row>
    <row r="1053" spans="86:86" ht="12" customHeight="1">
      <c r="CH1053" s="58"/>
    </row>
    <row r="1054" spans="86:86" ht="12" customHeight="1">
      <c r="CH1054" s="58"/>
    </row>
    <row r="1055" spans="86:86" ht="12" customHeight="1">
      <c r="CH1055" s="58"/>
    </row>
    <row r="1056" spans="86:86" ht="12" customHeight="1">
      <c r="CH1056" s="58"/>
    </row>
    <row r="1057" spans="86:86" ht="12" customHeight="1">
      <c r="CH1057" s="58"/>
    </row>
    <row r="1058" spans="86:86" ht="12" customHeight="1">
      <c r="CH1058" s="58"/>
    </row>
    <row r="1059" spans="86:86" ht="12" customHeight="1">
      <c r="CH1059" s="58"/>
    </row>
    <row r="1060" spans="86:86" ht="12" customHeight="1">
      <c r="CH1060" s="58"/>
    </row>
    <row r="1061" spans="86:86" ht="12" customHeight="1">
      <c r="CH1061" s="58"/>
    </row>
    <row r="1062" spans="86:86" ht="12" customHeight="1">
      <c r="CH1062" s="58"/>
    </row>
    <row r="1063" spans="86:86" ht="12" customHeight="1">
      <c r="CH1063" s="58"/>
    </row>
    <row r="1064" spans="86:86" ht="12" customHeight="1">
      <c r="CH1064" s="58"/>
    </row>
    <row r="1065" spans="86:86" ht="12" customHeight="1">
      <c r="CH1065" s="58"/>
    </row>
    <row r="1066" spans="86:86" ht="12" customHeight="1">
      <c r="CH1066" s="58"/>
    </row>
    <row r="1067" spans="86:86" ht="12" customHeight="1">
      <c r="CH1067" s="58"/>
    </row>
    <row r="1068" spans="86:86" ht="12" customHeight="1">
      <c r="CH1068" s="58"/>
    </row>
    <row r="1069" spans="86:86" ht="12" customHeight="1">
      <c r="CH1069" s="58"/>
    </row>
    <row r="1070" spans="86:86" ht="12" customHeight="1">
      <c r="CH1070" s="58"/>
    </row>
    <row r="1071" spans="86:86" ht="12" customHeight="1">
      <c r="CH1071" s="58"/>
    </row>
    <row r="1072" spans="86:86" ht="12" customHeight="1">
      <c r="CH1072" s="58"/>
    </row>
    <row r="1073" spans="86:86" ht="12" customHeight="1">
      <c r="CH1073" s="58"/>
    </row>
    <row r="1074" spans="86:86" ht="12" customHeight="1">
      <c r="CH1074" s="58"/>
    </row>
    <row r="1075" spans="86:86" ht="12" customHeight="1">
      <c r="CH1075" s="58"/>
    </row>
    <row r="1076" spans="86:86" ht="12" customHeight="1">
      <c r="CH1076" s="58"/>
    </row>
    <row r="1077" spans="86:86" ht="12" customHeight="1">
      <c r="CH1077" s="58"/>
    </row>
    <row r="1078" spans="86:86" ht="12" customHeight="1">
      <c r="CH1078" s="58"/>
    </row>
    <row r="1079" spans="86:86" ht="12" customHeight="1">
      <c r="CH1079" s="58"/>
    </row>
    <row r="1080" spans="86:86" ht="12" customHeight="1">
      <c r="CH1080" s="58"/>
    </row>
    <row r="1081" spans="86:86" ht="12" customHeight="1">
      <c r="CH1081" s="58"/>
    </row>
    <row r="1082" spans="86:86" ht="12" customHeight="1">
      <c r="CH1082" s="58"/>
    </row>
    <row r="1083" spans="86:86" ht="12" customHeight="1">
      <c r="CH1083" s="58"/>
    </row>
    <row r="1084" spans="86:86" ht="12" customHeight="1">
      <c r="CH1084" s="58"/>
    </row>
    <row r="1085" spans="86:86" ht="12" customHeight="1">
      <c r="CH1085" s="58"/>
    </row>
    <row r="1086" spans="86:86" ht="12" customHeight="1">
      <c r="CH1086" s="58"/>
    </row>
    <row r="1087" spans="86:86" ht="12" customHeight="1">
      <c r="CH1087" s="58"/>
    </row>
    <row r="1088" spans="86:86" ht="12" customHeight="1">
      <c r="CH1088" s="58"/>
    </row>
    <row r="1089" spans="86:86" ht="12" customHeight="1">
      <c r="CH1089" s="58"/>
    </row>
    <row r="1090" spans="86:86" ht="12" customHeight="1">
      <c r="CH1090" s="58"/>
    </row>
    <row r="1091" spans="86:86" ht="12" customHeight="1">
      <c r="CH1091" s="58"/>
    </row>
    <row r="1092" spans="86:86" ht="12" customHeight="1">
      <c r="CH1092" s="58"/>
    </row>
    <row r="1093" spans="86:86" ht="12" customHeight="1">
      <c r="CH1093" s="58"/>
    </row>
    <row r="1094" spans="86:86" ht="12" customHeight="1">
      <c r="CH1094" s="58"/>
    </row>
    <row r="1095" spans="86:86" ht="12" customHeight="1">
      <c r="CH1095" s="58"/>
    </row>
    <row r="1096" spans="86:86" ht="12" customHeight="1">
      <c r="CH1096" s="58"/>
    </row>
    <row r="1097" spans="86:86" ht="12" customHeight="1">
      <c r="CH1097" s="58"/>
    </row>
    <row r="1098" spans="86:86" ht="12" customHeight="1">
      <c r="CH1098" s="58"/>
    </row>
    <row r="1099" spans="86:86" ht="12" customHeight="1">
      <c r="CH1099" s="58"/>
    </row>
    <row r="1100" spans="86:86" ht="12" customHeight="1">
      <c r="CH1100" s="58"/>
    </row>
    <row r="1101" spans="86:86" ht="12" customHeight="1">
      <c r="CH1101" s="58"/>
    </row>
    <row r="1102" spans="86:86" ht="12" customHeight="1">
      <c r="CH1102" s="58"/>
    </row>
    <row r="1103" spans="86:86" ht="12" customHeight="1">
      <c r="CH1103" s="58"/>
    </row>
    <row r="1104" spans="86:86" ht="12" customHeight="1">
      <c r="CH1104" s="58"/>
    </row>
    <row r="1105" spans="86:86" ht="12" customHeight="1">
      <c r="CH1105" s="58"/>
    </row>
    <row r="1106" spans="86:86" ht="12" customHeight="1">
      <c r="CH1106" s="58"/>
    </row>
    <row r="1107" spans="86:86" ht="12" customHeight="1">
      <c r="CH1107" s="58"/>
    </row>
    <row r="1108" spans="86:86" ht="12" customHeight="1">
      <c r="CH1108" s="58"/>
    </row>
    <row r="1109" spans="86:86" ht="12" customHeight="1">
      <c r="CH1109" s="58"/>
    </row>
    <row r="1110" spans="86:86" ht="12" customHeight="1">
      <c r="CH1110" s="58"/>
    </row>
    <row r="1111" spans="86:86" ht="12" customHeight="1">
      <c r="CH1111" s="58"/>
    </row>
    <row r="1112" spans="86:86" ht="12" customHeight="1">
      <c r="CH1112" s="58"/>
    </row>
    <row r="1113" spans="86:86" ht="12" customHeight="1">
      <c r="CH1113" s="58"/>
    </row>
    <row r="1114" spans="86:86" ht="12" customHeight="1">
      <c r="CH1114" s="58"/>
    </row>
    <row r="1115" spans="86:86" ht="12" customHeight="1">
      <c r="CH1115" s="58"/>
    </row>
    <row r="1116" spans="86:86" ht="12" customHeight="1">
      <c r="CH1116" s="58"/>
    </row>
    <row r="1117" spans="86:86" ht="12" customHeight="1">
      <c r="CH1117" s="58"/>
    </row>
    <row r="1118" spans="86:86" ht="12" customHeight="1">
      <c r="CH1118" s="58"/>
    </row>
    <row r="1119" spans="86:86" ht="12" customHeight="1">
      <c r="CH1119" s="58"/>
    </row>
    <row r="1120" spans="86:86" ht="12" customHeight="1">
      <c r="CH1120" s="58"/>
    </row>
    <row r="1121" spans="86:86" ht="12" customHeight="1">
      <c r="CH1121" s="58"/>
    </row>
    <row r="1122" spans="86:86" ht="12" customHeight="1">
      <c r="CH1122" s="58"/>
    </row>
    <row r="1123" spans="86:86" ht="12" customHeight="1">
      <c r="CH1123" s="58"/>
    </row>
    <row r="1124" spans="86:86" ht="12" customHeight="1">
      <c r="CH1124" s="58"/>
    </row>
    <row r="1125" spans="86:86" ht="12" customHeight="1">
      <c r="CH1125" s="58"/>
    </row>
    <row r="1126" spans="86:86" ht="12" customHeight="1">
      <c r="CH1126" s="58"/>
    </row>
    <row r="1127" spans="86:86" ht="12" customHeight="1">
      <c r="CH1127" s="58"/>
    </row>
    <row r="1128" spans="86:86" ht="12" customHeight="1">
      <c r="CH1128" s="58"/>
    </row>
    <row r="1129" spans="86:86" ht="12" customHeight="1">
      <c r="CH1129" s="58"/>
    </row>
    <row r="1130" spans="86:86" ht="12" customHeight="1">
      <c r="CH1130" s="58"/>
    </row>
    <row r="1131" spans="86:86" ht="12" customHeight="1">
      <c r="CH1131" s="58"/>
    </row>
    <row r="1132" spans="86:86" ht="12" customHeight="1">
      <c r="CH1132" s="58"/>
    </row>
    <row r="1133" spans="86:86" ht="12" customHeight="1">
      <c r="CH1133" s="58"/>
    </row>
    <row r="1134" spans="86:86" ht="12" customHeight="1">
      <c r="CH1134" s="58"/>
    </row>
    <row r="1135" spans="86:86" ht="12" customHeight="1">
      <c r="CH1135" s="58"/>
    </row>
    <row r="1136" spans="86:86" ht="12" customHeight="1">
      <c r="CH1136" s="58"/>
    </row>
    <row r="1137" spans="86:86" ht="12" customHeight="1">
      <c r="CH1137" s="58"/>
    </row>
    <row r="1138" spans="86:86" ht="12" customHeight="1">
      <c r="CH1138" s="58"/>
    </row>
    <row r="1139" spans="86:86" ht="12" customHeight="1">
      <c r="CH1139" s="58"/>
    </row>
    <row r="1140" spans="86:86" ht="12" customHeight="1">
      <c r="CH1140" s="58"/>
    </row>
    <row r="1141" spans="86:86" ht="12" customHeight="1">
      <c r="CH1141" s="58"/>
    </row>
    <row r="1142" spans="86:86" ht="12" customHeight="1">
      <c r="CH1142" s="58"/>
    </row>
    <row r="1143" spans="86:86" ht="12" customHeight="1">
      <c r="CH1143" s="58"/>
    </row>
    <row r="1144" spans="86:86" ht="12" customHeight="1">
      <c r="CH1144" s="58"/>
    </row>
    <row r="1145" spans="86:86" ht="12" customHeight="1">
      <c r="CH1145" s="58"/>
    </row>
    <row r="1146" spans="86:86" ht="12" customHeight="1">
      <c r="CH1146" s="58"/>
    </row>
    <row r="1147" spans="86:86" ht="12" customHeight="1">
      <c r="CH1147" s="58"/>
    </row>
    <row r="1148" spans="86:86" ht="12" customHeight="1">
      <c r="CH1148" s="58"/>
    </row>
    <row r="1149" spans="86:86" ht="12" customHeight="1">
      <c r="CH1149" s="58"/>
    </row>
    <row r="1150" spans="86:86" ht="12" customHeight="1">
      <c r="CH1150" s="58"/>
    </row>
    <row r="1151" spans="86:86" ht="12" customHeight="1">
      <c r="CH1151" s="58"/>
    </row>
    <row r="1152" spans="86:86" ht="12" customHeight="1">
      <c r="CH1152" s="58"/>
    </row>
    <row r="1153" spans="86:86" ht="12" customHeight="1">
      <c r="CH1153" s="58"/>
    </row>
    <row r="1154" spans="86:86" ht="12" customHeight="1">
      <c r="CH1154" s="58"/>
    </row>
    <row r="1155" spans="86:86" ht="12" customHeight="1">
      <c r="CH1155" s="58"/>
    </row>
    <row r="1156" spans="86:86" ht="12" customHeight="1">
      <c r="CH1156" s="58"/>
    </row>
    <row r="1157" spans="86:86" ht="12" customHeight="1">
      <c r="CH1157" s="58"/>
    </row>
    <row r="1158" spans="86:86" ht="12" customHeight="1">
      <c r="CH1158" s="58"/>
    </row>
    <row r="1159" spans="86:86" ht="12" customHeight="1">
      <c r="CH1159" s="58"/>
    </row>
    <row r="1160" spans="86:86" ht="12" customHeight="1">
      <c r="CH1160" s="58"/>
    </row>
    <row r="1161" spans="86:86" ht="12" customHeight="1">
      <c r="CH1161" s="58"/>
    </row>
    <row r="1162" spans="86:86" ht="12" customHeight="1">
      <c r="CH1162" s="58"/>
    </row>
    <row r="1163" spans="86:86" ht="12" customHeight="1">
      <c r="CH1163" s="58"/>
    </row>
    <row r="1164" spans="86:86" ht="12" customHeight="1">
      <c r="CH1164" s="58"/>
    </row>
    <row r="1165" spans="86:86" ht="12" customHeight="1">
      <c r="CH1165" s="58"/>
    </row>
    <row r="1166" spans="86:86" ht="12" customHeight="1">
      <c r="CH1166" s="58"/>
    </row>
    <row r="1167" spans="86:86" ht="12" customHeight="1">
      <c r="CH1167" s="58"/>
    </row>
    <row r="1168" spans="86:86" ht="12" customHeight="1">
      <c r="CH1168" s="58"/>
    </row>
    <row r="1169" spans="86:86" ht="12" customHeight="1">
      <c r="CH1169" s="58"/>
    </row>
    <row r="1170" spans="86:86" ht="12" customHeight="1">
      <c r="CH1170" s="58"/>
    </row>
    <row r="1171" spans="86:86" ht="12" customHeight="1">
      <c r="CH1171" s="58"/>
    </row>
    <row r="1172" spans="86:86" ht="12" customHeight="1">
      <c r="CH1172" s="58"/>
    </row>
    <row r="1173" spans="86:86" ht="12" customHeight="1">
      <c r="CH1173" s="58"/>
    </row>
    <row r="1174" spans="86:86" ht="12" customHeight="1">
      <c r="CH1174" s="58"/>
    </row>
    <row r="1175" spans="86:86" ht="12" customHeight="1">
      <c r="CH1175" s="58"/>
    </row>
    <row r="1176" spans="86:86" ht="12" customHeight="1">
      <c r="CH1176" s="58"/>
    </row>
    <row r="1177" spans="86:86" ht="12" customHeight="1">
      <c r="CH1177" s="58"/>
    </row>
    <row r="1178" spans="86:86" ht="12" customHeight="1">
      <c r="CH1178" s="58"/>
    </row>
    <row r="1179" spans="86:86" ht="12" customHeight="1">
      <c r="CH1179" s="58"/>
    </row>
    <row r="1180" spans="86:86" ht="12" customHeight="1">
      <c r="CH1180" s="58"/>
    </row>
    <row r="1181" spans="86:86" ht="12" customHeight="1">
      <c r="CH1181" s="58"/>
    </row>
    <row r="1182" spans="86:86" ht="12" customHeight="1">
      <c r="CH1182" s="58"/>
    </row>
    <row r="1183" spans="86:86" ht="12" customHeight="1">
      <c r="CH1183" s="58"/>
    </row>
    <row r="1184" spans="86:86" ht="12" customHeight="1">
      <c r="CH1184" s="58"/>
    </row>
    <row r="1185" spans="86:86" ht="12" customHeight="1">
      <c r="CH1185" s="58"/>
    </row>
    <row r="1186" spans="86:86" ht="12" customHeight="1">
      <c r="CH1186" s="58"/>
    </row>
    <row r="1187" spans="86:86" ht="12" customHeight="1">
      <c r="CH1187" s="58"/>
    </row>
    <row r="1188" spans="86:86" ht="12" customHeight="1">
      <c r="CH1188" s="58"/>
    </row>
    <row r="1189" spans="86:86" ht="12" customHeight="1">
      <c r="CH1189" s="58"/>
    </row>
    <row r="1190" spans="86:86" ht="12" customHeight="1">
      <c r="CH1190" s="58"/>
    </row>
    <row r="1191" spans="86:86" ht="12" customHeight="1">
      <c r="CH1191" s="58"/>
    </row>
    <row r="1192" spans="86:86" ht="12" customHeight="1">
      <c r="CH1192" s="58"/>
    </row>
    <row r="1193" spans="86:86" ht="12" customHeight="1">
      <c r="CH1193" s="58"/>
    </row>
    <row r="1194" spans="86:86" ht="12" customHeight="1">
      <c r="CH1194" s="58"/>
    </row>
    <row r="1195" spans="86:86" ht="12" customHeight="1">
      <c r="CH1195" s="58"/>
    </row>
    <row r="1196" spans="86:86" ht="12" customHeight="1">
      <c r="CH1196" s="58"/>
    </row>
    <row r="1197" spans="86:86" ht="12" customHeight="1">
      <c r="CH1197" s="58"/>
    </row>
    <row r="1198" spans="86:86" ht="12" customHeight="1">
      <c r="CH1198" s="58"/>
    </row>
    <row r="1199" spans="86:86" ht="12" customHeight="1">
      <c r="CH1199" s="58"/>
    </row>
    <row r="1200" spans="86:86" ht="12" customHeight="1">
      <c r="CH1200" s="58"/>
    </row>
    <row r="1201" spans="86:86" ht="12" customHeight="1">
      <c r="CH1201" s="58"/>
    </row>
    <row r="1202" spans="86:86" ht="12" customHeight="1">
      <c r="CH1202" s="58"/>
    </row>
    <row r="1203" spans="86:86" ht="12" customHeight="1">
      <c r="CH1203" s="58"/>
    </row>
    <row r="1204" spans="86:86" ht="12" customHeight="1">
      <c r="CH1204" s="58"/>
    </row>
    <row r="1205" spans="86:86" ht="12" customHeight="1">
      <c r="CH1205" s="58"/>
    </row>
    <row r="1206" spans="86:86" ht="12" customHeight="1">
      <c r="CH1206" s="58"/>
    </row>
    <row r="1207" spans="86:86" ht="12" customHeight="1">
      <c r="CH1207" s="58"/>
    </row>
    <row r="1208" spans="86:86" ht="12" customHeight="1">
      <c r="CH1208" s="58"/>
    </row>
    <row r="1209" spans="86:86" ht="12" customHeight="1">
      <c r="CH1209" s="58"/>
    </row>
    <row r="1210" spans="86:86" ht="12" customHeight="1">
      <c r="CH1210" s="58"/>
    </row>
    <row r="1211" spans="86:86" ht="12" customHeight="1">
      <c r="CH1211" s="58"/>
    </row>
    <row r="1212" spans="86:86" ht="12" customHeight="1">
      <c r="CH1212" s="58"/>
    </row>
    <row r="1213" spans="86:86" ht="12" customHeight="1">
      <c r="CH1213" s="58"/>
    </row>
    <row r="1214" spans="86:86" ht="12" customHeight="1">
      <c r="CH1214" s="58"/>
    </row>
    <row r="1215" spans="86:86" ht="12" customHeight="1">
      <c r="CH1215" s="58"/>
    </row>
    <row r="1216" spans="86:86" ht="12" customHeight="1">
      <c r="CH1216" s="58"/>
    </row>
    <row r="1217" spans="86:86" ht="12" customHeight="1">
      <c r="CH1217" s="58"/>
    </row>
    <row r="1218" spans="86:86" ht="12" customHeight="1">
      <c r="CH1218" s="58"/>
    </row>
    <row r="1219" spans="86:86" ht="12" customHeight="1">
      <c r="CH1219" s="58"/>
    </row>
    <row r="1220" spans="86:86" ht="12" customHeight="1">
      <c r="CH1220" s="58"/>
    </row>
    <row r="1221" spans="86:86" ht="12" customHeight="1">
      <c r="CH1221" s="58"/>
    </row>
    <row r="1222" spans="86:86" ht="12" customHeight="1">
      <c r="CH1222" s="58"/>
    </row>
    <row r="1223" spans="86:86" ht="12" customHeight="1">
      <c r="CH1223" s="58"/>
    </row>
    <row r="1224" spans="86:86" ht="12" customHeight="1">
      <c r="CH1224" s="58"/>
    </row>
    <row r="1225" spans="86:86" ht="12" customHeight="1">
      <c r="CH1225" s="58"/>
    </row>
    <row r="1226" spans="86:86" ht="12" customHeight="1">
      <c r="CH1226" s="58"/>
    </row>
    <row r="1227" spans="86:86" ht="12" customHeight="1">
      <c r="CH1227" s="58"/>
    </row>
    <row r="1228" spans="86:86" ht="12" customHeight="1">
      <c r="CH1228" s="58"/>
    </row>
    <row r="1229" spans="86:86" ht="12" customHeight="1">
      <c r="CH1229" s="58"/>
    </row>
    <row r="1230" spans="86:86" ht="12" customHeight="1">
      <c r="CH1230" s="58"/>
    </row>
    <row r="1231" spans="86:86" ht="12" customHeight="1">
      <c r="CH1231" s="58"/>
    </row>
    <row r="1232" spans="86:86" ht="12" customHeight="1">
      <c r="CH1232" s="58"/>
    </row>
    <row r="1233" spans="86:86" ht="12" customHeight="1">
      <c r="CH1233" s="58"/>
    </row>
    <row r="1234" spans="86:86" ht="12" customHeight="1">
      <c r="CH1234" s="58"/>
    </row>
    <row r="1235" spans="86:86" ht="12" customHeight="1">
      <c r="CH1235" s="58"/>
    </row>
    <row r="1236" spans="86:86" ht="12" customHeight="1">
      <c r="CH1236" s="58"/>
    </row>
    <row r="1237" spans="86:86" ht="12" customHeight="1">
      <c r="CH1237" s="58"/>
    </row>
    <row r="1238" spans="86:86" ht="12" customHeight="1">
      <c r="CH1238" s="58"/>
    </row>
    <row r="1239" spans="86:86" ht="12" customHeight="1">
      <c r="CH1239" s="58"/>
    </row>
    <row r="1240" spans="86:86" ht="12" customHeight="1">
      <c r="CH1240" s="58"/>
    </row>
    <row r="1241" spans="86:86" ht="12" customHeight="1">
      <c r="CH1241" s="58"/>
    </row>
    <row r="1242" spans="86:86" ht="12" customHeight="1">
      <c r="CH1242" s="58"/>
    </row>
    <row r="1243" spans="86:86" ht="12" customHeight="1">
      <c r="CH1243" s="58"/>
    </row>
    <row r="1244" spans="86:86" ht="12" customHeight="1">
      <c r="CH1244" s="58"/>
    </row>
    <row r="1245" spans="86:86" ht="12" customHeight="1">
      <c r="CH1245" s="58"/>
    </row>
    <row r="1246" spans="86:86" ht="12" customHeight="1">
      <c r="CH1246" s="58"/>
    </row>
    <row r="1247" spans="86:86" ht="12" customHeight="1">
      <c r="CH1247" s="58"/>
    </row>
    <row r="1248" spans="86:86" ht="12" customHeight="1">
      <c r="CH1248" s="58"/>
    </row>
    <row r="1249" spans="86:86" ht="12" customHeight="1">
      <c r="CH1249" s="58"/>
    </row>
    <row r="1250" spans="86:86" ht="12" customHeight="1">
      <c r="CH1250" s="58"/>
    </row>
    <row r="1251" spans="86:86" ht="12" customHeight="1">
      <c r="CH1251" s="58"/>
    </row>
    <row r="1252" spans="86:86" ht="12" customHeight="1">
      <c r="CH1252" s="58"/>
    </row>
    <row r="1253" spans="86:86" ht="12" customHeight="1">
      <c r="CH1253" s="58"/>
    </row>
    <row r="1254" spans="86:86" ht="12" customHeight="1">
      <c r="CH1254" s="58"/>
    </row>
    <row r="1255" spans="86:86" ht="12" customHeight="1">
      <c r="CH1255" s="58"/>
    </row>
    <row r="1256" spans="86:86" ht="12" customHeight="1">
      <c r="CH1256" s="58"/>
    </row>
    <row r="1257" spans="86:86" ht="12" customHeight="1">
      <c r="CH1257" s="58"/>
    </row>
    <row r="1258" spans="86:86" ht="12" customHeight="1">
      <c r="CH1258" s="58"/>
    </row>
    <row r="1259" spans="86:86" ht="12" customHeight="1">
      <c r="CH1259" s="58"/>
    </row>
    <row r="1260" spans="86:86" ht="12" customHeight="1">
      <c r="CH1260" s="58"/>
    </row>
    <row r="1261" spans="86:86" ht="12" customHeight="1">
      <c r="CH1261" s="58"/>
    </row>
    <row r="1262" spans="86:86" ht="12" customHeight="1">
      <c r="CH1262" s="58"/>
    </row>
    <row r="1263" spans="86:86" ht="12" customHeight="1">
      <c r="CH1263" s="58"/>
    </row>
    <row r="1264" spans="86:86" ht="12" customHeight="1">
      <c r="CH1264" s="58"/>
    </row>
    <row r="1265" spans="86:86" ht="12" customHeight="1">
      <c r="CH1265" s="58"/>
    </row>
    <row r="1266" spans="86:86" ht="12" customHeight="1">
      <c r="CH1266" s="58"/>
    </row>
    <row r="1267" spans="86:86" ht="12" customHeight="1">
      <c r="CH1267" s="58"/>
    </row>
    <row r="1268" spans="86:86" ht="12" customHeight="1">
      <c r="CH1268" s="58"/>
    </row>
    <row r="1269" spans="86:86" ht="12" customHeight="1">
      <c r="CH1269" s="58"/>
    </row>
    <row r="1270" spans="86:86" ht="12" customHeight="1">
      <c r="CH1270" s="58"/>
    </row>
    <row r="1271" spans="86:86" ht="12" customHeight="1">
      <c r="CH1271" s="58"/>
    </row>
    <row r="1272" spans="86:86" ht="12" customHeight="1">
      <c r="CH1272" s="58"/>
    </row>
    <row r="1273" spans="86:86" ht="12" customHeight="1">
      <c r="CH1273" s="58"/>
    </row>
    <row r="1274" spans="86:86" ht="12" customHeight="1">
      <c r="CH1274" s="58"/>
    </row>
    <row r="1275" spans="86:86" ht="12" customHeight="1">
      <c r="CH1275" s="58"/>
    </row>
    <row r="1276" spans="86:86" ht="12" customHeight="1">
      <c r="CH1276" s="58"/>
    </row>
    <row r="1277" spans="86:86" ht="12" customHeight="1">
      <c r="CH1277" s="58"/>
    </row>
    <row r="1278" spans="86:86" ht="12" customHeight="1">
      <c r="CH1278" s="58"/>
    </row>
    <row r="1279" spans="86:86" ht="12" customHeight="1">
      <c r="CH1279" s="58"/>
    </row>
    <row r="1280" spans="86:86" ht="12" customHeight="1">
      <c r="CH1280" s="58"/>
    </row>
    <row r="1281" spans="86:86" ht="12" customHeight="1">
      <c r="CH1281" s="58"/>
    </row>
    <row r="1282" spans="86:86" ht="12" customHeight="1">
      <c r="CH1282" s="58"/>
    </row>
    <row r="1283" spans="86:86" ht="12" customHeight="1">
      <c r="CH1283" s="58"/>
    </row>
    <row r="1284" spans="86:86" ht="12" customHeight="1">
      <c r="CH1284" s="58"/>
    </row>
    <row r="1285" spans="86:86" ht="12" customHeight="1">
      <c r="CH1285" s="58"/>
    </row>
    <row r="1286" spans="86:86" ht="12" customHeight="1">
      <c r="CH1286" s="58"/>
    </row>
    <row r="1287" spans="86:86" ht="12" customHeight="1">
      <c r="CH1287" s="58"/>
    </row>
    <row r="1288" spans="86:86" ht="12" customHeight="1">
      <c r="CH1288" s="58"/>
    </row>
    <row r="1289" spans="86:86" ht="12" customHeight="1">
      <c r="CH1289" s="58"/>
    </row>
    <row r="1290" spans="86:86" ht="12" customHeight="1">
      <c r="CH1290" s="58"/>
    </row>
    <row r="1291" spans="86:86" ht="12" customHeight="1">
      <c r="CH1291" s="58"/>
    </row>
    <row r="1292" spans="86:86" ht="12" customHeight="1">
      <c r="CH1292" s="58"/>
    </row>
    <row r="1293" spans="86:86" ht="12" customHeight="1">
      <c r="CH1293" s="58"/>
    </row>
    <row r="1294" spans="86:86" ht="12" customHeight="1">
      <c r="CH1294" s="58"/>
    </row>
    <row r="1295" spans="86:86" ht="12" customHeight="1">
      <c r="CH1295" s="58"/>
    </row>
    <row r="1296" spans="86:86" ht="12" customHeight="1">
      <c r="CH1296" s="58"/>
    </row>
    <row r="1297" spans="86:86" ht="12" customHeight="1">
      <c r="CH1297" s="58"/>
    </row>
    <row r="1298" spans="86:86" ht="12" customHeight="1">
      <c r="CH1298" s="58"/>
    </row>
    <row r="1299" spans="86:86" ht="12" customHeight="1">
      <c r="CH1299" s="58"/>
    </row>
    <row r="1300" spans="86:86" ht="12" customHeight="1">
      <c r="CH1300" s="58"/>
    </row>
    <row r="1301" spans="86:86" ht="12" customHeight="1">
      <c r="CH1301" s="58"/>
    </row>
    <row r="1302" spans="86:86" ht="12" customHeight="1">
      <c r="CH1302" s="58"/>
    </row>
    <row r="1303" spans="86:86" ht="12" customHeight="1">
      <c r="CH1303" s="58"/>
    </row>
    <row r="1304" spans="86:86" ht="12" customHeight="1">
      <c r="CH1304" s="58"/>
    </row>
    <row r="1305" spans="86:86" ht="12" customHeight="1">
      <c r="CH1305" s="58"/>
    </row>
    <row r="1306" spans="86:86" ht="12" customHeight="1">
      <c r="CH1306" s="58"/>
    </row>
    <row r="1307" spans="86:86" ht="12" customHeight="1">
      <c r="CH1307" s="58"/>
    </row>
    <row r="1308" spans="86:86" ht="12" customHeight="1">
      <c r="CH1308" s="58"/>
    </row>
    <row r="1309" spans="86:86" ht="12" customHeight="1">
      <c r="CH1309" s="58"/>
    </row>
    <row r="1310" spans="86:86" ht="12" customHeight="1">
      <c r="CH1310" s="58"/>
    </row>
    <row r="1311" spans="86:86" ht="12" customHeight="1">
      <c r="CH1311" s="58"/>
    </row>
    <row r="1312" spans="86:86" ht="12" customHeight="1">
      <c r="CH1312" s="58"/>
    </row>
    <row r="1313" spans="86:86" ht="12" customHeight="1">
      <c r="CH1313" s="58"/>
    </row>
    <row r="1314" spans="86:86" ht="12" customHeight="1">
      <c r="CH1314" s="58"/>
    </row>
    <row r="1315" spans="86:86" ht="12" customHeight="1">
      <c r="CH1315" s="58"/>
    </row>
    <row r="1316" spans="86:86" ht="12" customHeight="1">
      <c r="CH1316" s="58"/>
    </row>
    <row r="1317" spans="86:86" ht="12" customHeight="1">
      <c r="CH1317" s="58"/>
    </row>
    <row r="1318" spans="86:86" ht="12" customHeight="1">
      <c r="CH1318" s="58"/>
    </row>
    <row r="1319" spans="86:86" ht="12" customHeight="1">
      <c r="CH1319" s="58"/>
    </row>
    <row r="1320" spans="86:86" ht="12" customHeight="1">
      <c r="CH1320" s="58"/>
    </row>
    <row r="1321" spans="86:86" ht="12" customHeight="1">
      <c r="CH1321" s="58"/>
    </row>
    <row r="1322" spans="86:86" ht="12" customHeight="1">
      <c r="CH1322" s="58"/>
    </row>
    <row r="1323" spans="86:86" ht="12" customHeight="1">
      <c r="CH1323" s="58"/>
    </row>
    <row r="1324" spans="86:86" ht="12" customHeight="1">
      <c r="CH1324" s="58"/>
    </row>
    <row r="1325" spans="86:86" ht="12" customHeight="1">
      <c r="CH1325" s="58"/>
    </row>
    <row r="1326" spans="86:86" ht="12" customHeight="1">
      <c r="CH1326" s="58"/>
    </row>
    <row r="1327" spans="86:86" ht="12" customHeight="1">
      <c r="CH1327" s="58"/>
    </row>
    <row r="1328" spans="86:86" ht="12" customHeight="1">
      <c r="CH1328" s="58"/>
    </row>
    <row r="1329" spans="86:86" ht="12" customHeight="1">
      <c r="CH1329" s="58"/>
    </row>
    <row r="1330" spans="86:86" ht="12" customHeight="1">
      <c r="CH1330" s="58"/>
    </row>
    <row r="1331" spans="86:86" ht="12" customHeight="1">
      <c r="CH1331" s="58"/>
    </row>
    <row r="1332" spans="86:86" ht="12" customHeight="1">
      <c r="CH1332" s="58"/>
    </row>
    <row r="1333" spans="86:86" ht="12" customHeight="1">
      <c r="CH1333" s="58"/>
    </row>
    <row r="1334" spans="86:86" ht="12" customHeight="1">
      <c r="CH1334" s="58"/>
    </row>
    <row r="1335" spans="86:86" ht="12" customHeight="1">
      <c r="CH1335" s="58"/>
    </row>
    <row r="1336" spans="86:86" ht="12" customHeight="1">
      <c r="CH1336" s="58"/>
    </row>
    <row r="1337" spans="86:86" ht="12" customHeight="1">
      <c r="CH1337" s="58"/>
    </row>
    <row r="1338" spans="86:86" ht="12" customHeight="1">
      <c r="CH1338" s="58"/>
    </row>
    <row r="1339" spans="86:86" ht="12" customHeight="1">
      <c r="CH1339" s="58"/>
    </row>
    <row r="1340" spans="86:86" ht="12" customHeight="1">
      <c r="CH1340" s="58"/>
    </row>
    <row r="1341" spans="86:86" ht="12" customHeight="1">
      <c r="CH1341" s="58"/>
    </row>
    <row r="1342" spans="86:86" ht="12" customHeight="1">
      <c r="CH1342" s="58"/>
    </row>
    <row r="1343" spans="86:86" ht="12" customHeight="1">
      <c r="CH1343" s="58"/>
    </row>
    <row r="1344" spans="86:86" ht="12" customHeight="1">
      <c r="CH1344" s="58"/>
    </row>
    <row r="1345" spans="86:86" ht="12" customHeight="1">
      <c r="CH1345" s="58"/>
    </row>
    <row r="1346" spans="86:86" ht="12" customHeight="1">
      <c r="CH1346" s="58"/>
    </row>
    <row r="1347" spans="86:86" ht="12" customHeight="1">
      <c r="CH1347" s="58"/>
    </row>
    <row r="1348" spans="86:86" ht="12" customHeight="1">
      <c r="CH1348" s="58"/>
    </row>
    <row r="1349" spans="86:86" ht="12" customHeight="1">
      <c r="CH1349" s="58"/>
    </row>
    <row r="1350" spans="86:86" ht="12" customHeight="1">
      <c r="CH1350" s="58"/>
    </row>
    <row r="1351" spans="86:86" ht="12" customHeight="1">
      <c r="CH1351" s="58"/>
    </row>
    <row r="1352" spans="86:86" ht="12" customHeight="1">
      <c r="CH1352" s="58"/>
    </row>
    <row r="1353" spans="86:86" ht="12" customHeight="1">
      <c r="CH1353" s="58"/>
    </row>
    <row r="1354" spans="86:86" ht="12" customHeight="1">
      <c r="CH1354" s="58"/>
    </row>
    <row r="1355" spans="86:86" ht="12" customHeight="1">
      <c r="CH1355" s="58"/>
    </row>
    <row r="1356" spans="86:86" ht="12" customHeight="1">
      <c r="CH1356" s="58"/>
    </row>
    <row r="1357" spans="86:86" ht="12" customHeight="1">
      <c r="CH1357" s="58"/>
    </row>
    <row r="1358" spans="86:86" ht="12" customHeight="1">
      <c r="CH1358" s="58"/>
    </row>
    <row r="1359" spans="86:86" ht="12" customHeight="1">
      <c r="CH1359" s="58"/>
    </row>
    <row r="1360" spans="86:86" ht="12" customHeight="1">
      <c r="CH1360" s="58"/>
    </row>
    <row r="1361" spans="86:86" ht="12" customHeight="1">
      <c r="CH1361" s="58"/>
    </row>
    <row r="1362" spans="86:86" ht="12" customHeight="1">
      <c r="CH1362" s="58"/>
    </row>
    <row r="1363" spans="86:86" ht="12" customHeight="1">
      <c r="CH1363" s="58"/>
    </row>
    <row r="1364" spans="86:86" ht="12" customHeight="1">
      <c r="CH1364" s="58"/>
    </row>
    <row r="1365" spans="86:86" ht="12" customHeight="1">
      <c r="CH1365" s="58"/>
    </row>
    <row r="1366" spans="86:86" ht="12" customHeight="1">
      <c r="CH1366" s="58"/>
    </row>
    <row r="1367" spans="86:86" ht="12" customHeight="1">
      <c r="CH1367" s="58"/>
    </row>
    <row r="1368" spans="86:86" ht="12" customHeight="1">
      <c r="CH1368" s="58"/>
    </row>
    <row r="1369" spans="86:86" ht="12" customHeight="1">
      <c r="CH1369" s="58"/>
    </row>
    <row r="1370" spans="86:86" ht="12" customHeight="1">
      <c r="CH1370" s="58"/>
    </row>
    <row r="1371" spans="86:86" ht="12" customHeight="1">
      <c r="CH1371" s="58"/>
    </row>
    <row r="1372" spans="86:86" ht="12" customHeight="1">
      <c r="CH1372" s="58"/>
    </row>
    <row r="1373" spans="86:86" ht="12" customHeight="1">
      <c r="CH1373" s="58"/>
    </row>
    <row r="1374" spans="86:86" ht="12" customHeight="1">
      <c r="CH1374" s="58"/>
    </row>
    <row r="1375" spans="86:86" ht="12" customHeight="1">
      <c r="CH1375" s="58"/>
    </row>
    <row r="1376" spans="86:86" ht="12" customHeight="1">
      <c r="CH1376" s="58"/>
    </row>
    <row r="1377" spans="86:86" ht="12" customHeight="1">
      <c r="CH1377" s="58"/>
    </row>
    <row r="1378" spans="86:86" ht="12" customHeight="1">
      <c r="CH1378" s="58"/>
    </row>
    <row r="1379" spans="86:86" ht="12" customHeight="1">
      <c r="CH1379" s="58"/>
    </row>
    <row r="1380" spans="86:86" ht="12" customHeight="1">
      <c r="CH1380" s="58"/>
    </row>
    <row r="1381" spans="86:86" ht="12" customHeight="1">
      <c r="CH1381" s="58"/>
    </row>
    <row r="1382" spans="86:86" ht="12" customHeight="1">
      <c r="CH1382" s="58"/>
    </row>
    <row r="1383" spans="86:86" ht="12" customHeight="1">
      <c r="CH1383" s="58"/>
    </row>
    <row r="1384" spans="86:86" ht="12" customHeight="1">
      <c r="CH1384" s="58"/>
    </row>
    <row r="1385" spans="86:86" ht="12" customHeight="1">
      <c r="CH1385" s="58"/>
    </row>
    <row r="1386" spans="86:86" ht="12" customHeight="1">
      <c r="CH1386" s="58"/>
    </row>
    <row r="1387" spans="86:86" ht="12" customHeight="1">
      <c r="CH1387" s="58"/>
    </row>
    <row r="1388" spans="86:86" ht="12" customHeight="1">
      <c r="CH1388" s="58"/>
    </row>
    <row r="1389" spans="86:86" ht="12" customHeight="1">
      <c r="CH1389" s="58"/>
    </row>
    <row r="1390" spans="86:86" ht="12" customHeight="1">
      <c r="CH1390" s="58"/>
    </row>
    <row r="1391" spans="86:86" ht="12" customHeight="1">
      <c r="CH1391" s="58"/>
    </row>
    <row r="1392" spans="86:86" ht="12" customHeight="1">
      <c r="CH1392" s="58"/>
    </row>
    <row r="1393" spans="86:86" ht="12" customHeight="1">
      <c r="CH1393" s="58"/>
    </row>
    <row r="1394" spans="86:86" ht="12" customHeight="1">
      <c r="CH1394" s="58"/>
    </row>
    <row r="1395" spans="86:86" ht="12" customHeight="1">
      <c r="CH1395" s="58"/>
    </row>
    <row r="1396" spans="86:86" ht="12" customHeight="1">
      <c r="CH1396" s="58"/>
    </row>
    <row r="1397" spans="86:86" ht="12" customHeight="1">
      <c r="CH1397" s="58"/>
    </row>
    <row r="1398" spans="86:86" ht="12" customHeight="1">
      <c r="CH1398" s="58"/>
    </row>
    <row r="1399" spans="86:86" ht="12" customHeight="1">
      <c r="CH1399" s="58"/>
    </row>
    <row r="1400" spans="86:86" ht="12" customHeight="1">
      <c r="CH1400" s="58"/>
    </row>
    <row r="1401" spans="86:86" ht="12" customHeight="1">
      <c r="CH1401" s="58"/>
    </row>
    <row r="1402" spans="86:86" ht="12" customHeight="1">
      <c r="CH1402" s="58"/>
    </row>
    <row r="1403" spans="86:86" ht="12" customHeight="1">
      <c r="CH1403" s="58"/>
    </row>
    <row r="1404" spans="86:86" ht="12" customHeight="1">
      <c r="CH1404" s="58"/>
    </row>
    <row r="1405" spans="86:86" ht="12" customHeight="1">
      <c r="CH1405" s="58"/>
    </row>
    <row r="1406" spans="86:86" ht="12" customHeight="1">
      <c r="CH1406" s="58"/>
    </row>
    <row r="1407" spans="86:86" ht="12" customHeight="1">
      <c r="CH1407" s="58"/>
    </row>
    <row r="1408" spans="86:86" ht="12" customHeight="1">
      <c r="CH1408" s="58"/>
    </row>
    <row r="1409" spans="86:86" ht="12" customHeight="1">
      <c r="CH1409" s="58"/>
    </row>
    <row r="1410" spans="86:86" ht="12" customHeight="1">
      <c r="CH1410" s="58"/>
    </row>
    <row r="1411" spans="86:86" ht="12" customHeight="1">
      <c r="CH1411" s="58"/>
    </row>
    <row r="1412" spans="86:86" ht="12" customHeight="1">
      <c r="CH1412" s="58"/>
    </row>
    <row r="1413" spans="86:86" ht="12" customHeight="1">
      <c r="CH1413" s="58"/>
    </row>
    <row r="1414" spans="86:86" ht="12" customHeight="1">
      <c r="CH1414" s="58"/>
    </row>
    <row r="1415" spans="86:86" ht="12" customHeight="1">
      <c r="CH1415" s="58"/>
    </row>
    <row r="1416" spans="86:86" ht="12" customHeight="1">
      <c r="CH1416" s="58"/>
    </row>
    <row r="1417" spans="86:86" ht="12" customHeight="1">
      <c r="CH1417" s="58"/>
    </row>
    <row r="1418" spans="86:86" ht="12" customHeight="1">
      <c r="CH1418" s="58"/>
    </row>
    <row r="1419" spans="86:86" ht="12" customHeight="1">
      <c r="CH1419" s="58"/>
    </row>
    <row r="1420" spans="86:86" ht="12" customHeight="1">
      <c r="CH1420" s="58"/>
    </row>
    <row r="1421" spans="86:86" ht="12" customHeight="1">
      <c r="CH1421" s="58"/>
    </row>
    <row r="1422" spans="86:86" ht="12" customHeight="1">
      <c r="CH1422" s="58"/>
    </row>
    <row r="1423" spans="86:86" ht="12" customHeight="1">
      <c r="CH1423" s="58"/>
    </row>
    <row r="1424" spans="86:86" ht="12" customHeight="1">
      <c r="CH1424" s="58"/>
    </row>
    <row r="1425" spans="86:86" ht="12" customHeight="1">
      <c r="CH1425" s="58"/>
    </row>
    <row r="1426" spans="86:86" ht="12" customHeight="1">
      <c r="CH1426" s="58"/>
    </row>
    <row r="1427" spans="86:86" ht="12" customHeight="1">
      <c r="CH1427" s="58"/>
    </row>
    <row r="1428" spans="86:86" ht="12" customHeight="1">
      <c r="CH1428" s="58"/>
    </row>
    <row r="1429" spans="86:86" ht="12" customHeight="1">
      <c r="CH1429" s="58"/>
    </row>
    <row r="1430" spans="86:86" ht="12" customHeight="1">
      <c r="CH1430" s="58"/>
    </row>
    <row r="1431" spans="86:86" ht="12" customHeight="1">
      <c r="CH1431" s="58"/>
    </row>
    <row r="1432" spans="86:86" ht="12" customHeight="1">
      <c r="CH1432" s="58"/>
    </row>
    <row r="1433" spans="86:86" ht="12" customHeight="1">
      <c r="CH1433" s="58"/>
    </row>
    <row r="1434" spans="86:86" ht="12" customHeight="1">
      <c r="CH1434" s="58"/>
    </row>
    <row r="1435" spans="86:86" ht="12" customHeight="1">
      <c r="CH1435" s="58"/>
    </row>
    <row r="1436" spans="86:86" ht="12" customHeight="1">
      <c r="CH1436" s="58"/>
    </row>
    <row r="1437" spans="86:86" ht="12" customHeight="1">
      <c r="CH1437" s="58"/>
    </row>
    <row r="1438" spans="86:86" ht="12" customHeight="1">
      <c r="CH1438" s="58"/>
    </row>
    <row r="1439" spans="86:86" ht="12" customHeight="1">
      <c r="CH1439" s="58"/>
    </row>
    <row r="1440" spans="86:86" ht="12" customHeight="1">
      <c r="CH1440" s="58"/>
    </row>
    <row r="1441" spans="86:86" ht="12" customHeight="1">
      <c r="CH1441" s="58"/>
    </row>
    <row r="1442" spans="86:86" ht="12" customHeight="1">
      <c r="CH1442" s="58"/>
    </row>
    <row r="1443" spans="86:86" ht="12" customHeight="1">
      <c r="CH1443" s="58"/>
    </row>
    <row r="1444" spans="86:86" ht="12" customHeight="1">
      <c r="CH1444" s="58"/>
    </row>
    <row r="1445" spans="86:86" ht="12" customHeight="1">
      <c r="CH1445" s="58"/>
    </row>
    <row r="1446" spans="86:86" ht="12" customHeight="1">
      <c r="CH1446" s="58"/>
    </row>
    <row r="1447" spans="86:86" ht="12" customHeight="1">
      <c r="CH1447" s="58"/>
    </row>
    <row r="1448" spans="86:86" ht="12" customHeight="1">
      <c r="CH1448" s="58"/>
    </row>
    <row r="1449" spans="86:86" ht="12" customHeight="1">
      <c r="CH1449" s="58"/>
    </row>
    <row r="1450" spans="86:86" ht="12" customHeight="1">
      <c r="CH1450" s="58"/>
    </row>
    <row r="1451" spans="86:86" ht="12" customHeight="1">
      <c r="CH1451" s="58"/>
    </row>
    <row r="1452" spans="86:86" ht="12" customHeight="1">
      <c r="CH1452" s="58"/>
    </row>
    <row r="1453" spans="86:86" ht="12" customHeight="1">
      <c r="CH1453" s="58"/>
    </row>
    <row r="1454" spans="86:86" ht="12" customHeight="1">
      <c r="CH1454" s="58"/>
    </row>
    <row r="1455" spans="86:86" ht="12" customHeight="1">
      <c r="CH1455" s="58"/>
    </row>
    <row r="1456" spans="86:86" ht="12" customHeight="1">
      <c r="CH1456" s="58"/>
    </row>
    <row r="1457" spans="86:86" ht="12" customHeight="1">
      <c r="CH1457" s="58"/>
    </row>
    <row r="1458" spans="86:86" ht="12" customHeight="1">
      <c r="CH1458" s="58"/>
    </row>
    <row r="1459" spans="86:86" ht="12" customHeight="1">
      <c r="CH1459" s="58"/>
    </row>
    <row r="1460" spans="86:86" ht="12" customHeight="1">
      <c r="CH1460" s="58"/>
    </row>
    <row r="1461" spans="86:86" ht="12" customHeight="1">
      <c r="CH1461" s="58"/>
    </row>
    <row r="1462" spans="86:86" ht="12" customHeight="1">
      <c r="CH1462" s="58"/>
    </row>
    <row r="1463" spans="86:86" ht="12" customHeight="1">
      <c r="CH1463" s="58"/>
    </row>
    <row r="1464" spans="86:86" ht="12" customHeight="1">
      <c r="CH1464" s="58"/>
    </row>
    <row r="1465" spans="86:86" ht="12" customHeight="1">
      <c r="CH1465" s="58"/>
    </row>
    <row r="1466" spans="86:86" ht="12" customHeight="1">
      <c r="CH1466" s="58"/>
    </row>
    <row r="1467" spans="86:86" ht="12" customHeight="1">
      <c r="CH1467" s="58"/>
    </row>
    <row r="1468" spans="86:86" ht="12" customHeight="1">
      <c r="CH1468" s="58"/>
    </row>
    <row r="1469" spans="86:86" ht="12" customHeight="1">
      <c r="CH1469" s="58"/>
    </row>
    <row r="1470" spans="86:86" ht="12" customHeight="1">
      <c r="CH1470" s="58"/>
    </row>
    <row r="1471" spans="86:86" ht="12" customHeight="1">
      <c r="CH1471" s="58"/>
    </row>
    <row r="1472" spans="86:86" ht="12" customHeight="1">
      <c r="CH1472" s="58"/>
    </row>
    <row r="1473" spans="86:86" ht="12" customHeight="1">
      <c r="CH1473" s="58"/>
    </row>
    <row r="1474" spans="86:86" ht="12" customHeight="1">
      <c r="CH1474" s="58"/>
    </row>
    <row r="1475" spans="86:86" ht="12" customHeight="1">
      <c r="CH1475" s="58"/>
    </row>
    <row r="1476" spans="86:86" ht="12" customHeight="1">
      <c r="CH1476" s="58"/>
    </row>
    <row r="1477" spans="86:86" ht="12" customHeight="1">
      <c r="CH1477" s="58"/>
    </row>
    <row r="1478" spans="86:86" ht="12" customHeight="1">
      <c r="CH1478" s="58"/>
    </row>
    <row r="1479" spans="86:86" ht="12" customHeight="1">
      <c r="CH1479" s="58"/>
    </row>
    <row r="1480" spans="86:86" ht="12" customHeight="1">
      <c r="CH1480" s="58"/>
    </row>
    <row r="1481" spans="86:86" ht="12" customHeight="1">
      <c r="CH1481" s="58"/>
    </row>
    <row r="1482" spans="86:86" ht="12" customHeight="1">
      <c r="CH1482" s="58"/>
    </row>
    <row r="1483" spans="86:86" ht="12" customHeight="1">
      <c r="CH1483" s="58"/>
    </row>
    <row r="1484" spans="86:86" ht="12" customHeight="1">
      <c r="CH1484" s="58"/>
    </row>
    <row r="1485" spans="86:86" ht="12" customHeight="1">
      <c r="CH1485" s="58"/>
    </row>
    <row r="1486" spans="86:86" ht="12" customHeight="1">
      <c r="CH1486" s="58"/>
    </row>
    <row r="1487" spans="86:86" ht="12" customHeight="1">
      <c r="CH1487" s="58"/>
    </row>
    <row r="1488" spans="86:86" ht="12" customHeight="1">
      <c r="CH1488" s="58"/>
    </row>
    <row r="1489" spans="86:86" ht="12" customHeight="1">
      <c r="CH1489" s="58"/>
    </row>
    <row r="1490" spans="86:86" ht="12" customHeight="1">
      <c r="CH1490" s="58"/>
    </row>
    <row r="1491" spans="86:86" ht="12" customHeight="1">
      <c r="CH1491" s="58"/>
    </row>
    <row r="1492" spans="86:86" ht="12" customHeight="1">
      <c r="CH1492" s="58"/>
    </row>
    <row r="1493" spans="86:86" ht="12" customHeight="1">
      <c r="CH1493" s="58"/>
    </row>
    <row r="1494" spans="86:86" ht="12" customHeight="1">
      <c r="CH1494" s="58"/>
    </row>
    <row r="1495" spans="86:86" ht="12" customHeight="1">
      <c r="CH1495" s="58"/>
    </row>
    <row r="1496" spans="86:86" ht="12" customHeight="1">
      <c r="CH1496" s="58"/>
    </row>
    <row r="1497" spans="86:86" ht="12" customHeight="1">
      <c r="CH1497" s="58"/>
    </row>
    <row r="1498" spans="86:86" ht="12" customHeight="1">
      <c r="CH1498" s="58"/>
    </row>
    <row r="1499" spans="86:86" ht="12" customHeight="1">
      <c r="CH1499" s="58"/>
    </row>
    <row r="1500" spans="86:86" ht="12" customHeight="1">
      <c r="CH1500" s="58"/>
    </row>
    <row r="1501" spans="86:86" ht="12" customHeight="1">
      <c r="CH1501" s="58"/>
    </row>
    <row r="1502" spans="86:86" ht="12" customHeight="1">
      <c r="CH1502" s="58"/>
    </row>
    <row r="1503" spans="86:86" ht="12" customHeight="1">
      <c r="CH1503" s="58"/>
    </row>
    <row r="1504" spans="86:86" ht="12" customHeight="1">
      <c r="CH1504" s="58"/>
    </row>
    <row r="1505" spans="86:86" ht="12" customHeight="1">
      <c r="CH1505" s="58"/>
    </row>
    <row r="1506" spans="86:86" ht="12" customHeight="1">
      <c r="CH1506" s="58"/>
    </row>
    <row r="1507" spans="86:86" ht="12" customHeight="1">
      <c r="CH1507" s="58"/>
    </row>
    <row r="1508" spans="86:86" ht="12" customHeight="1">
      <c r="CH1508" s="58"/>
    </row>
    <row r="1509" spans="86:86" ht="12" customHeight="1">
      <c r="CH1509" s="58"/>
    </row>
    <row r="1510" spans="86:86" ht="12" customHeight="1">
      <c r="CH1510" s="58"/>
    </row>
    <row r="1511" spans="86:86" ht="12" customHeight="1">
      <c r="CH1511" s="58"/>
    </row>
    <row r="1512" spans="86:86" ht="12" customHeight="1">
      <c r="CH1512" s="58"/>
    </row>
    <row r="1513" spans="86:86" ht="12" customHeight="1">
      <c r="CH1513" s="58"/>
    </row>
    <row r="1514" spans="86:86" ht="12" customHeight="1">
      <c r="CH1514" s="58"/>
    </row>
    <row r="1515" spans="86:86" ht="12" customHeight="1">
      <c r="CH1515" s="58"/>
    </row>
    <row r="1516" spans="86:86" ht="12" customHeight="1">
      <c r="CH1516" s="58"/>
    </row>
    <row r="1517" spans="86:86" ht="12" customHeight="1">
      <c r="CH1517" s="58"/>
    </row>
    <row r="1518" spans="86:86" ht="12" customHeight="1">
      <c r="CH1518" s="58"/>
    </row>
    <row r="1519" spans="86:86" ht="12" customHeight="1">
      <c r="CH1519" s="58"/>
    </row>
    <row r="1520" spans="86:86" ht="12" customHeight="1">
      <c r="CH1520" s="58"/>
    </row>
    <row r="1521" spans="86:86" ht="12" customHeight="1">
      <c r="CH1521" s="58"/>
    </row>
    <row r="1522" spans="86:86" ht="12" customHeight="1">
      <c r="CH1522" s="58"/>
    </row>
    <row r="1523" spans="86:86" ht="12" customHeight="1">
      <c r="CH1523" s="58"/>
    </row>
    <row r="1524" spans="86:86" ht="12" customHeight="1">
      <c r="CH1524" s="58"/>
    </row>
    <row r="1525" spans="86:86" ht="12" customHeight="1">
      <c r="CH1525" s="58"/>
    </row>
    <row r="1526" spans="86:86" ht="12" customHeight="1">
      <c r="CH1526" s="58"/>
    </row>
    <row r="1527" spans="86:86" ht="12" customHeight="1">
      <c r="CH1527" s="58"/>
    </row>
    <row r="1528" spans="86:86" ht="12" customHeight="1">
      <c r="CH1528" s="58"/>
    </row>
    <row r="1529" spans="86:86" ht="12" customHeight="1">
      <c r="CH1529" s="58"/>
    </row>
    <row r="1530" spans="86:86" ht="12" customHeight="1">
      <c r="CH1530" s="58"/>
    </row>
    <row r="1531" spans="86:86" ht="12" customHeight="1">
      <c r="CH1531" s="58"/>
    </row>
    <row r="1532" spans="86:86" ht="12" customHeight="1">
      <c r="CH1532" s="58"/>
    </row>
    <row r="1533" spans="86:86" ht="12" customHeight="1">
      <c r="CH1533" s="58"/>
    </row>
    <row r="1534" spans="86:86" ht="12" customHeight="1">
      <c r="CH1534" s="58"/>
    </row>
    <row r="1535" spans="86:86" ht="12" customHeight="1">
      <c r="CH1535" s="58"/>
    </row>
    <row r="1536" spans="86:86" ht="12" customHeight="1">
      <c r="CH1536" s="58"/>
    </row>
    <row r="1537" spans="86:86" ht="12" customHeight="1">
      <c r="CH1537" s="58"/>
    </row>
    <row r="1538" spans="86:86" ht="12" customHeight="1">
      <c r="CH1538" s="58"/>
    </row>
    <row r="1539" spans="86:86" ht="12" customHeight="1">
      <c r="CH1539" s="58"/>
    </row>
    <row r="1540" spans="86:86" ht="12" customHeight="1">
      <c r="CH1540" s="58"/>
    </row>
    <row r="1541" spans="86:86" ht="12" customHeight="1">
      <c r="CH1541" s="58"/>
    </row>
    <row r="1542" spans="86:86" ht="12" customHeight="1">
      <c r="CH1542" s="58"/>
    </row>
    <row r="1543" spans="86:86" ht="12" customHeight="1">
      <c r="CH1543" s="58"/>
    </row>
    <row r="1544" spans="86:86" ht="12" customHeight="1">
      <c r="CH1544" s="58"/>
    </row>
    <row r="1545" spans="86:86" ht="12" customHeight="1">
      <c r="CH1545" s="58"/>
    </row>
    <row r="1546" spans="86:86" ht="12" customHeight="1">
      <c r="CH1546" s="58"/>
    </row>
    <row r="1547" spans="86:86" ht="12" customHeight="1">
      <c r="CH1547" s="58"/>
    </row>
    <row r="1548" spans="86:86" ht="12" customHeight="1">
      <c r="CH1548" s="58"/>
    </row>
    <row r="1549" spans="86:86" ht="12" customHeight="1">
      <c r="CH1549" s="58"/>
    </row>
    <row r="1550" spans="86:86" ht="12" customHeight="1">
      <c r="CH1550" s="58"/>
    </row>
    <row r="1551" spans="86:86" ht="12" customHeight="1">
      <c r="CH1551" s="58"/>
    </row>
    <row r="1552" spans="86:86" ht="12" customHeight="1">
      <c r="CH1552" s="58"/>
    </row>
    <row r="1553" spans="86:86" ht="12" customHeight="1">
      <c r="CH1553" s="58"/>
    </row>
    <row r="1554" spans="86:86" ht="12" customHeight="1">
      <c r="CH1554" s="58"/>
    </row>
    <row r="1555" spans="86:86" ht="12" customHeight="1">
      <c r="CH1555" s="58"/>
    </row>
    <row r="1556" spans="86:86" ht="12" customHeight="1">
      <c r="CH1556" s="58"/>
    </row>
    <row r="1557" spans="86:86" ht="12" customHeight="1">
      <c r="CH1557" s="58"/>
    </row>
    <row r="1558" spans="86:86" ht="12" customHeight="1">
      <c r="CH1558" s="58"/>
    </row>
    <row r="1559" spans="86:86" ht="12" customHeight="1">
      <c r="CH1559" s="58"/>
    </row>
    <row r="1560" spans="86:86" ht="12" customHeight="1">
      <c r="CH1560" s="58"/>
    </row>
    <row r="1561" spans="86:86" ht="12" customHeight="1">
      <c r="CH1561" s="58"/>
    </row>
    <row r="1562" spans="86:86" ht="12" customHeight="1">
      <c r="CH1562" s="58"/>
    </row>
    <row r="1563" spans="86:86" ht="12" customHeight="1">
      <c r="CH1563" s="58"/>
    </row>
    <row r="1564" spans="86:86" ht="12" customHeight="1">
      <c r="CH1564" s="58"/>
    </row>
    <row r="1565" spans="86:86" ht="12" customHeight="1">
      <c r="CH1565" s="58"/>
    </row>
    <row r="1566" spans="86:86" ht="12" customHeight="1">
      <c r="CH1566" s="58"/>
    </row>
    <row r="1567" spans="86:86" ht="12" customHeight="1">
      <c r="CH1567" s="58"/>
    </row>
    <row r="1568" spans="86:86" ht="12" customHeight="1">
      <c r="CH1568" s="58"/>
    </row>
    <row r="1569" spans="86:86" ht="12" customHeight="1">
      <c r="CH1569" s="58"/>
    </row>
    <row r="1570" spans="86:86" ht="12" customHeight="1">
      <c r="CH1570" s="58"/>
    </row>
    <row r="1571" spans="86:86" ht="12" customHeight="1">
      <c r="CH1571" s="58"/>
    </row>
    <row r="1572" spans="86:86" ht="12" customHeight="1">
      <c r="CH1572" s="58"/>
    </row>
    <row r="1573" spans="86:86" ht="12" customHeight="1">
      <c r="CH1573" s="58"/>
    </row>
    <row r="1574" spans="86:86" ht="12" customHeight="1">
      <c r="CH1574" s="58"/>
    </row>
    <row r="1575" spans="86:86" ht="12" customHeight="1">
      <c r="CH1575" s="58"/>
    </row>
    <row r="1576" spans="86:86" ht="12" customHeight="1">
      <c r="CH1576" s="58"/>
    </row>
    <row r="1577" spans="86:86" ht="12" customHeight="1">
      <c r="CH1577" s="58"/>
    </row>
    <row r="1578" spans="86:86" ht="12" customHeight="1">
      <c r="CH1578" s="58"/>
    </row>
    <row r="1579" spans="86:86" ht="12" customHeight="1">
      <c r="CH1579" s="58"/>
    </row>
    <row r="1580" spans="86:86" ht="12" customHeight="1">
      <c r="CH1580" s="58"/>
    </row>
    <row r="1581" spans="86:86" ht="12" customHeight="1">
      <c r="CH1581" s="58"/>
    </row>
    <row r="1582" spans="86:86" ht="12" customHeight="1">
      <c r="CH1582" s="58"/>
    </row>
    <row r="1583" spans="86:86" ht="12" customHeight="1">
      <c r="CH1583" s="58"/>
    </row>
    <row r="1584" spans="86:86" ht="12" customHeight="1">
      <c r="CH1584" s="58"/>
    </row>
    <row r="1585" spans="86:86" ht="12" customHeight="1">
      <c r="CH1585" s="58"/>
    </row>
    <row r="1586" spans="86:86" ht="12" customHeight="1">
      <c r="CH1586" s="58"/>
    </row>
    <row r="1587" spans="86:86" ht="12" customHeight="1">
      <c r="CH1587" s="58"/>
    </row>
    <row r="1588" spans="86:86" ht="12" customHeight="1">
      <c r="CH1588" s="58"/>
    </row>
    <row r="1589" spans="86:86" ht="12" customHeight="1">
      <c r="CH1589" s="58"/>
    </row>
    <row r="1590" spans="86:86" ht="12" customHeight="1">
      <c r="CH1590" s="58"/>
    </row>
    <row r="1591" spans="86:86" ht="12" customHeight="1">
      <c r="CH1591" s="58"/>
    </row>
    <row r="1592" spans="86:86" ht="12" customHeight="1">
      <c r="CH1592" s="58"/>
    </row>
    <row r="1593" spans="86:86" ht="12" customHeight="1">
      <c r="CH1593" s="58"/>
    </row>
    <row r="1594" spans="86:86" ht="12" customHeight="1">
      <c r="CH1594" s="58"/>
    </row>
    <row r="1595" spans="86:86" ht="12" customHeight="1">
      <c r="CH1595" s="58"/>
    </row>
    <row r="1596" spans="86:86" ht="12" customHeight="1">
      <c r="CH1596" s="58"/>
    </row>
    <row r="1597" spans="86:86" ht="12" customHeight="1">
      <c r="CH1597" s="58"/>
    </row>
    <row r="1598" spans="86:86" ht="12" customHeight="1">
      <c r="CH1598" s="58"/>
    </row>
    <row r="1599" spans="86:86" ht="12" customHeight="1">
      <c r="CH1599" s="58"/>
    </row>
    <row r="1600" spans="86:86" ht="12" customHeight="1">
      <c r="CH1600" s="58"/>
    </row>
    <row r="1601" spans="86:86" ht="12" customHeight="1">
      <c r="CH1601" s="58"/>
    </row>
    <row r="1602" spans="86:86" ht="12" customHeight="1">
      <c r="CH1602" s="58"/>
    </row>
    <row r="1603" spans="86:86" ht="12" customHeight="1">
      <c r="CH1603" s="58"/>
    </row>
    <row r="1604" spans="86:86" ht="12" customHeight="1">
      <c r="CH1604" s="58"/>
    </row>
    <row r="1605" spans="86:86" ht="12" customHeight="1">
      <c r="CH1605" s="58"/>
    </row>
    <row r="1606" spans="86:86" ht="12" customHeight="1">
      <c r="CH1606" s="58"/>
    </row>
    <row r="1607" spans="86:86" ht="12" customHeight="1">
      <c r="CH1607" s="58"/>
    </row>
    <row r="1608" spans="86:86" ht="12" customHeight="1">
      <c r="CH1608" s="58"/>
    </row>
    <row r="1609" spans="86:86" ht="12" customHeight="1">
      <c r="CH1609" s="58"/>
    </row>
    <row r="1610" spans="86:86" ht="12" customHeight="1">
      <c r="CH1610" s="58"/>
    </row>
    <row r="1611" spans="86:86" ht="12" customHeight="1">
      <c r="CH1611" s="58"/>
    </row>
    <row r="1612" spans="86:86" ht="12" customHeight="1">
      <c r="CH1612" s="58"/>
    </row>
    <row r="1613" spans="86:86" ht="12" customHeight="1">
      <c r="CH1613" s="58"/>
    </row>
    <row r="1614" spans="86:86" ht="12" customHeight="1">
      <c r="CH1614" s="58"/>
    </row>
    <row r="1615" spans="86:86" ht="12" customHeight="1">
      <c r="CH1615" s="58"/>
    </row>
    <row r="1616" spans="86:86" ht="12" customHeight="1">
      <c r="CH1616" s="58"/>
    </row>
    <row r="1617" spans="86:86" ht="12" customHeight="1">
      <c r="CH1617" s="58"/>
    </row>
    <row r="1618" spans="86:86" ht="12" customHeight="1">
      <c r="CH1618" s="58"/>
    </row>
    <row r="1619" spans="86:86" ht="12" customHeight="1">
      <c r="CH1619" s="58"/>
    </row>
    <row r="1620" spans="86:86" ht="12" customHeight="1">
      <c r="CH1620" s="58"/>
    </row>
    <row r="1621" spans="86:86" ht="12" customHeight="1">
      <c r="CH1621" s="58"/>
    </row>
    <row r="1622" spans="86:86" ht="12" customHeight="1">
      <c r="CH1622" s="58"/>
    </row>
    <row r="1623" spans="86:86" ht="12" customHeight="1">
      <c r="CH1623" s="58"/>
    </row>
    <row r="1624" spans="86:86" ht="12" customHeight="1">
      <c r="CH1624" s="58"/>
    </row>
    <row r="1625" spans="86:86" ht="12" customHeight="1">
      <c r="CH1625" s="58"/>
    </row>
    <row r="1626" spans="86:86" ht="12" customHeight="1">
      <c r="CH1626" s="58"/>
    </row>
    <row r="1627" spans="86:86" ht="12" customHeight="1">
      <c r="CH1627" s="58"/>
    </row>
    <row r="1628" spans="86:86" ht="12" customHeight="1">
      <c r="CH1628" s="58"/>
    </row>
    <row r="1629" spans="86:86" ht="12" customHeight="1">
      <c r="CH1629" s="58"/>
    </row>
    <row r="1630" spans="86:86" ht="12" customHeight="1">
      <c r="CH1630" s="58"/>
    </row>
    <row r="1631" spans="86:86" ht="12" customHeight="1">
      <c r="CH1631" s="58"/>
    </row>
    <row r="1632" spans="86:86" ht="12" customHeight="1">
      <c r="CH1632" s="58"/>
    </row>
    <row r="1633" spans="86:86" ht="12" customHeight="1">
      <c r="CH1633" s="58"/>
    </row>
    <row r="1634" spans="86:86" ht="12" customHeight="1">
      <c r="CH1634" s="58"/>
    </row>
    <row r="1635" spans="86:86" ht="12" customHeight="1">
      <c r="CH1635" s="58"/>
    </row>
    <row r="1636" spans="86:86" ht="12" customHeight="1">
      <c r="CH1636" s="58"/>
    </row>
    <row r="1637" spans="86:86" ht="12" customHeight="1">
      <c r="CH1637" s="58"/>
    </row>
    <row r="1638" spans="86:86" ht="12" customHeight="1">
      <c r="CH1638" s="58"/>
    </row>
    <row r="1639" spans="86:86" ht="12" customHeight="1">
      <c r="CH1639" s="58"/>
    </row>
    <row r="1640" spans="86:86" ht="12" customHeight="1">
      <c r="CH1640" s="58"/>
    </row>
    <row r="1641" spans="86:86" ht="12" customHeight="1">
      <c r="CH1641" s="58"/>
    </row>
    <row r="1642" spans="86:86" ht="12" customHeight="1">
      <c r="CH1642" s="58"/>
    </row>
    <row r="1643" spans="86:86" ht="12" customHeight="1">
      <c r="CH1643" s="58"/>
    </row>
    <row r="1644" spans="86:86" ht="12" customHeight="1">
      <c r="CH1644" s="58"/>
    </row>
    <row r="1645" spans="86:86" ht="12" customHeight="1">
      <c r="CH1645" s="58"/>
    </row>
    <row r="1646" spans="86:86" ht="12" customHeight="1">
      <c r="CH1646" s="58"/>
    </row>
    <row r="1647" spans="86:86" ht="12" customHeight="1">
      <c r="CH1647" s="58"/>
    </row>
    <row r="1648" spans="86:86" ht="12" customHeight="1">
      <c r="CH1648" s="58"/>
    </row>
    <row r="1649" spans="86:86" ht="12" customHeight="1">
      <c r="CH1649" s="58"/>
    </row>
    <row r="1650" spans="86:86" ht="12" customHeight="1">
      <c r="CH1650" s="58"/>
    </row>
    <row r="1651" spans="86:86" ht="12" customHeight="1">
      <c r="CH1651" s="58"/>
    </row>
    <row r="1652" spans="86:86" ht="12" customHeight="1">
      <c r="CH1652" s="58"/>
    </row>
    <row r="1653" spans="86:86" ht="12" customHeight="1">
      <c r="CH1653" s="58"/>
    </row>
    <row r="1654" spans="86:86" ht="12" customHeight="1">
      <c r="CH1654" s="58"/>
    </row>
    <row r="1655" spans="86:86" ht="12" customHeight="1">
      <c r="CH1655" s="58"/>
    </row>
    <row r="1656" spans="86:86" ht="12" customHeight="1">
      <c r="CH1656" s="58"/>
    </row>
    <row r="1657" spans="86:86" ht="12" customHeight="1">
      <c r="CH1657" s="58"/>
    </row>
    <row r="1658" spans="86:86" ht="12" customHeight="1">
      <c r="CH1658" s="58"/>
    </row>
    <row r="1659" spans="86:86" ht="12" customHeight="1">
      <c r="CH1659" s="58"/>
    </row>
    <row r="1660" spans="86:86" ht="12" customHeight="1">
      <c r="CH1660" s="58"/>
    </row>
    <row r="1661" spans="86:86" ht="12" customHeight="1">
      <c r="CH1661" s="58"/>
    </row>
    <row r="1662" spans="86:86" ht="12" customHeight="1">
      <c r="CH1662" s="58"/>
    </row>
    <row r="1663" spans="86:86" ht="12" customHeight="1">
      <c r="CH1663" s="58"/>
    </row>
    <row r="1664" spans="86:86" ht="12" customHeight="1">
      <c r="CH1664" s="58"/>
    </row>
    <row r="1665" spans="86:86" ht="12" customHeight="1">
      <c r="CH1665" s="58"/>
    </row>
    <row r="1666" spans="86:86" ht="12" customHeight="1">
      <c r="CH1666" s="58"/>
    </row>
    <row r="1667" spans="86:86" ht="12" customHeight="1">
      <c r="CH1667" s="58"/>
    </row>
    <row r="1668" spans="86:86" ht="12" customHeight="1">
      <c r="CH1668" s="58"/>
    </row>
    <row r="1669" spans="86:86" ht="12" customHeight="1">
      <c r="CH1669" s="58"/>
    </row>
    <row r="1670" spans="86:86" ht="12" customHeight="1">
      <c r="CH1670" s="58"/>
    </row>
    <row r="1671" spans="86:86" ht="12" customHeight="1">
      <c r="CH1671" s="58"/>
    </row>
    <row r="1672" spans="86:86" ht="12" customHeight="1">
      <c r="CH1672" s="58"/>
    </row>
    <row r="1673" spans="86:86" ht="12" customHeight="1">
      <c r="CH1673" s="58"/>
    </row>
    <row r="1674" spans="86:86" ht="12" customHeight="1">
      <c r="CH1674" s="58"/>
    </row>
    <row r="1675" spans="86:86" ht="12" customHeight="1">
      <c r="CH1675" s="58"/>
    </row>
    <row r="1676" spans="86:86" ht="12" customHeight="1">
      <c r="CH1676" s="58"/>
    </row>
    <row r="1677" spans="86:86" ht="12" customHeight="1">
      <c r="CH1677" s="58"/>
    </row>
    <row r="1678" spans="86:86" ht="12" customHeight="1">
      <c r="CH1678" s="58"/>
    </row>
    <row r="1679" spans="86:86" ht="12" customHeight="1">
      <c r="CH1679" s="58"/>
    </row>
    <row r="1680" spans="86:86" ht="12" customHeight="1">
      <c r="CH1680" s="58"/>
    </row>
    <row r="1681" spans="86:86" ht="12" customHeight="1">
      <c r="CH1681" s="58"/>
    </row>
    <row r="1682" spans="86:86" ht="12" customHeight="1">
      <c r="CH1682" s="58"/>
    </row>
    <row r="1683" spans="86:86" ht="12" customHeight="1">
      <c r="CH1683" s="58"/>
    </row>
    <row r="1684" spans="86:86" ht="12" customHeight="1">
      <c r="CH1684" s="58"/>
    </row>
    <row r="1685" spans="86:86" ht="12" customHeight="1">
      <c r="CH1685" s="58"/>
    </row>
    <row r="1686" spans="86:86" ht="12" customHeight="1">
      <c r="CH1686" s="58"/>
    </row>
    <row r="1687" spans="86:86" ht="12" customHeight="1">
      <c r="CH1687" s="58"/>
    </row>
    <row r="1688" spans="86:86" ht="12" customHeight="1">
      <c r="CH1688" s="58"/>
    </row>
    <row r="1689" spans="86:86" ht="12" customHeight="1">
      <c r="CH1689" s="58"/>
    </row>
    <row r="1690" spans="86:86" ht="12" customHeight="1">
      <c r="CH1690" s="58"/>
    </row>
    <row r="1691" spans="86:86" ht="12" customHeight="1">
      <c r="CH1691" s="58"/>
    </row>
    <row r="1692" spans="86:86" ht="12" customHeight="1">
      <c r="CH1692" s="58"/>
    </row>
    <row r="1693" spans="86:86" ht="12" customHeight="1">
      <c r="CH1693" s="58"/>
    </row>
    <row r="1694" spans="86:86" ht="12" customHeight="1">
      <c r="CH1694" s="58"/>
    </row>
    <row r="1695" spans="86:86" ht="12" customHeight="1">
      <c r="CH1695" s="58"/>
    </row>
    <row r="1696" spans="86:86" ht="12" customHeight="1">
      <c r="CH1696" s="58"/>
    </row>
    <row r="1697" spans="86:86" ht="12" customHeight="1">
      <c r="CH1697" s="58"/>
    </row>
    <row r="1698" spans="86:86" ht="12" customHeight="1">
      <c r="CH1698" s="58"/>
    </row>
    <row r="1699" spans="86:86" ht="12" customHeight="1">
      <c r="CH1699" s="58"/>
    </row>
    <row r="1700" spans="86:86" ht="12" customHeight="1">
      <c r="CH1700" s="58"/>
    </row>
    <row r="1701" spans="86:86" ht="12" customHeight="1">
      <c r="CH1701" s="58"/>
    </row>
    <row r="1702" spans="86:86" ht="12" customHeight="1">
      <c r="CH1702" s="58"/>
    </row>
    <row r="1703" spans="86:86" ht="12" customHeight="1">
      <c r="CH1703" s="58"/>
    </row>
    <row r="1704" spans="86:86" ht="12" customHeight="1">
      <c r="CH1704" s="58"/>
    </row>
    <row r="1705" spans="86:86" ht="12" customHeight="1">
      <c r="CH1705" s="58"/>
    </row>
    <row r="1706" spans="86:86" ht="12" customHeight="1">
      <c r="CH1706" s="58"/>
    </row>
    <row r="1707" spans="86:86" ht="12" customHeight="1">
      <c r="CH1707" s="58"/>
    </row>
    <row r="1708" spans="86:86" ht="12" customHeight="1">
      <c r="CH1708" s="58"/>
    </row>
    <row r="1709" spans="86:86" ht="12" customHeight="1">
      <c r="CH1709" s="58"/>
    </row>
    <row r="1710" spans="86:86" ht="12" customHeight="1">
      <c r="CH1710" s="58"/>
    </row>
    <row r="1711" spans="86:86" ht="12" customHeight="1">
      <c r="CH1711" s="58"/>
    </row>
    <row r="1712" spans="86:86" ht="12" customHeight="1">
      <c r="CH1712" s="58"/>
    </row>
    <row r="1713" spans="86:86" ht="12" customHeight="1">
      <c r="CH1713" s="58"/>
    </row>
    <row r="1714" spans="86:86" ht="12" customHeight="1">
      <c r="CH1714" s="58"/>
    </row>
    <row r="1715" spans="86:86" ht="12" customHeight="1">
      <c r="CH1715" s="58"/>
    </row>
    <row r="1716" spans="86:86" ht="12" customHeight="1">
      <c r="CH1716" s="58"/>
    </row>
    <row r="1717" spans="86:86" ht="12" customHeight="1">
      <c r="CH1717" s="58"/>
    </row>
    <row r="1718" spans="86:86" ht="12" customHeight="1">
      <c r="CH1718" s="58"/>
    </row>
    <row r="1719" spans="86:86" ht="12" customHeight="1">
      <c r="CH1719" s="58"/>
    </row>
    <row r="1720" spans="86:86" ht="12" customHeight="1">
      <c r="CH1720" s="58"/>
    </row>
    <row r="1721" spans="86:86" ht="12" customHeight="1">
      <c r="CH1721" s="58"/>
    </row>
    <row r="1722" spans="86:86" ht="12" customHeight="1">
      <c r="CH1722" s="58"/>
    </row>
    <row r="1723" spans="86:86" ht="12" customHeight="1">
      <c r="CH1723" s="58"/>
    </row>
    <row r="1724" spans="86:86" ht="12" customHeight="1">
      <c r="CH1724" s="58"/>
    </row>
    <row r="1725" spans="86:86" ht="12" customHeight="1">
      <c r="CH1725" s="58"/>
    </row>
    <row r="1726" spans="86:86" ht="12" customHeight="1">
      <c r="CH1726" s="58"/>
    </row>
    <row r="1727" spans="86:86" ht="12" customHeight="1">
      <c r="CH1727" s="58"/>
    </row>
    <row r="1728" spans="86:86" ht="12" customHeight="1">
      <c r="CH1728" s="58"/>
    </row>
    <row r="1729" spans="86:86" ht="12" customHeight="1">
      <c r="CH1729" s="58"/>
    </row>
    <row r="1730" spans="86:86" ht="12" customHeight="1">
      <c r="CH1730" s="58"/>
    </row>
    <row r="1731" spans="86:86" ht="12" customHeight="1">
      <c r="CH1731" s="58"/>
    </row>
    <row r="1732" spans="86:86" ht="12" customHeight="1">
      <c r="CH1732" s="58"/>
    </row>
    <row r="1733" spans="86:86" ht="12" customHeight="1">
      <c r="CH1733" s="58"/>
    </row>
    <row r="1734" spans="86:86" ht="12" customHeight="1">
      <c r="CH1734" s="58"/>
    </row>
    <row r="1735" spans="86:86" ht="12" customHeight="1">
      <c r="CH1735" s="58"/>
    </row>
    <row r="1736" spans="86:86" ht="12" customHeight="1">
      <c r="CH1736" s="58"/>
    </row>
    <row r="1737" spans="86:86" ht="12" customHeight="1">
      <c r="CH1737" s="58"/>
    </row>
    <row r="1738" spans="86:86" ht="12" customHeight="1">
      <c r="CH1738" s="58"/>
    </row>
    <row r="1739" spans="86:86" ht="12" customHeight="1">
      <c r="CH1739" s="58"/>
    </row>
    <row r="1740" spans="86:86" ht="12" customHeight="1">
      <c r="CH1740" s="58"/>
    </row>
    <row r="1741" spans="86:86" ht="12" customHeight="1">
      <c r="CH1741" s="58"/>
    </row>
    <row r="1742" spans="86:86" ht="12" customHeight="1">
      <c r="CH1742" s="58"/>
    </row>
    <row r="1743" spans="86:86" ht="12" customHeight="1">
      <c r="CH1743" s="58"/>
    </row>
    <row r="1744" spans="86:86" ht="12" customHeight="1">
      <c r="CH1744" s="58"/>
    </row>
    <row r="1745" spans="86:86" ht="12" customHeight="1">
      <c r="CH1745" s="58"/>
    </row>
    <row r="1746" spans="86:86" ht="12" customHeight="1">
      <c r="CH1746" s="58"/>
    </row>
    <row r="1747" spans="86:86" ht="12" customHeight="1">
      <c r="CH1747" s="58"/>
    </row>
    <row r="1748" spans="86:86" ht="12" customHeight="1">
      <c r="CH1748" s="58"/>
    </row>
    <row r="1749" spans="86:86" ht="12" customHeight="1">
      <c r="CH1749" s="58"/>
    </row>
    <row r="1750" spans="86:86" ht="12" customHeight="1">
      <c r="CH1750" s="58"/>
    </row>
    <row r="1751" spans="86:86" ht="12" customHeight="1">
      <c r="CH1751" s="58"/>
    </row>
    <row r="1752" spans="86:86" ht="12" customHeight="1">
      <c r="CH1752" s="58"/>
    </row>
    <row r="1753" spans="86:86" ht="12" customHeight="1">
      <c r="CH1753" s="58"/>
    </row>
    <row r="1754" spans="86:86" ht="12" customHeight="1">
      <c r="CH1754" s="58"/>
    </row>
    <row r="1755" spans="86:86" ht="12" customHeight="1">
      <c r="CH1755" s="58"/>
    </row>
    <row r="1756" spans="86:86" ht="12" customHeight="1">
      <c r="CH1756" s="58"/>
    </row>
    <row r="1757" spans="86:86" ht="12" customHeight="1">
      <c r="CH1757" s="58"/>
    </row>
    <row r="1758" spans="86:86" ht="12" customHeight="1">
      <c r="CH1758" s="58"/>
    </row>
    <row r="1759" spans="86:86" ht="12" customHeight="1">
      <c r="CH1759" s="58"/>
    </row>
    <row r="1760" spans="86:86" ht="12" customHeight="1">
      <c r="CH1760" s="58"/>
    </row>
    <row r="1761" spans="86:86" ht="12" customHeight="1">
      <c r="CH1761" s="58"/>
    </row>
    <row r="1762" spans="86:86" ht="12" customHeight="1">
      <c r="CH1762" s="58"/>
    </row>
    <row r="1763" spans="86:86" ht="12" customHeight="1">
      <c r="CH1763" s="58"/>
    </row>
    <row r="1764" spans="86:86" ht="12" customHeight="1">
      <c r="CH1764" s="58"/>
    </row>
    <row r="1765" spans="86:86" ht="12" customHeight="1">
      <c r="CH1765" s="58"/>
    </row>
    <row r="1766" spans="86:86" ht="12" customHeight="1">
      <c r="CH1766" s="58"/>
    </row>
    <row r="1767" spans="86:86" ht="12" customHeight="1">
      <c r="CH1767" s="58"/>
    </row>
    <row r="1768" spans="86:86" ht="12" customHeight="1">
      <c r="CH1768" s="58"/>
    </row>
    <row r="1769" spans="86:86" ht="12" customHeight="1">
      <c r="CH1769" s="58"/>
    </row>
    <row r="1770" spans="86:86" ht="12" customHeight="1">
      <c r="CH1770" s="58"/>
    </row>
    <row r="1771" spans="86:86" ht="12" customHeight="1">
      <c r="CH1771" s="58"/>
    </row>
    <row r="1772" spans="86:86" ht="12" customHeight="1">
      <c r="CH1772" s="58"/>
    </row>
    <row r="1773" spans="86:86" ht="12" customHeight="1">
      <c r="CH1773" s="58"/>
    </row>
    <row r="1774" spans="86:86" ht="12" customHeight="1">
      <c r="CH1774" s="58"/>
    </row>
    <row r="1775" spans="86:86" ht="12" customHeight="1">
      <c r="CH1775" s="58"/>
    </row>
    <row r="1776" spans="86:86" ht="12" customHeight="1">
      <c r="CH1776" s="58"/>
    </row>
    <row r="1777" spans="86:86" ht="12" customHeight="1">
      <c r="CH1777" s="58"/>
    </row>
    <row r="1778" spans="86:86" ht="12" customHeight="1">
      <c r="CH1778" s="58"/>
    </row>
    <row r="1779" spans="86:86" ht="12" customHeight="1">
      <c r="CH1779" s="58"/>
    </row>
    <row r="1780" spans="86:86" ht="12" customHeight="1">
      <c r="CH1780" s="58"/>
    </row>
    <row r="1781" spans="86:86" ht="12" customHeight="1">
      <c r="CH1781" s="58"/>
    </row>
    <row r="1782" spans="86:86" ht="12" customHeight="1">
      <c r="CH1782" s="58"/>
    </row>
    <row r="1783" spans="86:86" ht="12" customHeight="1">
      <c r="CH1783" s="58"/>
    </row>
    <row r="1784" spans="86:86" ht="12" customHeight="1">
      <c r="CH1784" s="58"/>
    </row>
    <row r="1785" spans="86:86" ht="12" customHeight="1">
      <c r="CH1785" s="58"/>
    </row>
    <row r="1786" spans="86:86" ht="12" customHeight="1">
      <c r="CH1786" s="58"/>
    </row>
    <row r="1787" spans="86:86" ht="12" customHeight="1">
      <c r="CH1787" s="58"/>
    </row>
    <row r="1788" spans="86:86" ht="12" customHeight="1">
      <c r="CH1788" s="58"/>
    </row>
    <row r="1789" spans="86:86" ht="12" customHeight="1">
      <c r="CH1789" s="58"/>
    </row>
    <row r="1790" spans="86:86" ht="12" customHeight="1">
      <c r="CH1790" s="58"/>
    </row>
    <row r="1791" spans="86:86" ht="12" customHeight="1">
      <c r="CH1791" s="58"/>
    </row>
    <row r="1792" spans="86:86" ht="12" customHeight="1">
      <c r="CH1792" s="58"/>
    </row>
    <row r="1793" spans="86:86" ht="12" customHeight="1">
      <c r="CH1793" s="58"/>
    </row>
    <row r="1794" spans="86:86" ht="12" customHeight="1">
      <c r="CH1794" s="58"/>
    </row>
    <row r="1795" spans="86:86" ht="12" customHeight="1">
      <c r="CH1795" s="58"/>
    </row>
    <row r="1796" spans="86:86" ht="12" customHeight="1">
      <c r="CH1796" s="58"/>
    </row>
    <row r="1797" spans="86:86" ht="12" customHeight="1">
      <c r="CH1797" s="58"/>
    </row>
    <row r="1798" spans="86:86" ht="12" customHeight="1">
      <c r="CH1798" s="58"/>
    </row>
    <row r="1799" spans="86:86" ht="12" customHeight="1">
      <c r="CH1799" s="58"/>
    </row>
    <row r="1800" spans="86:86" ht="12" customHeight="1">
      <c r="CH1800" s="58"/>
    </row>
    <row r="1801" spans="86:86" ht="12" customHeight="1">
      <c r="CH1801" s="58"/>
    </row>
    <row r="1802" spans="86:86" ht="12" customHeight="1">
      <c r="CH1802" s="58"/>
    </row>
    <row r="1803" spans="86:86" ht="12" customHeight="1">
      <c r="CH1803" s="58"/>
    </row>
    <row r="1804" spans="86:86" ht="12" customHeight="1">
      <c r="CH1804" s="58"/>
    </row>
    <row r="1805" spans="86:86" ht="12" customHeight="1">
      <c r="CH1805" s="58"/>
    </row>
    <row r="1806" spans="86:86" ht="12" customHeight="1">
      <c r="CH1806" s="58"/>
    </row>
    <row r="1807" spans="86:86" ht="12" customHeight="1">
      <c r="CH1807" s="58"/>
    </row>
    <row r="1808" spans="86:86" ht="12" customHeight="1">
      <c r="CH1808" s="58"/>
    </row>
    <row r="1809" spans="86:86" ht="12" customHeight="1">
      <c r="CH1809" s="58"/>
    </row>
    <row r="1810" spans="86:86" ht="12" customHeight="1">
      <c r="CH1810" s="58"/>
    </row>
    <row r="1811" spans="86:86" ht="12" customHeight="1">
      <c r="CH1811" s="58"/>
    </row>
    <row r="1812" spans="86:86" ht="12" customHeight="1">
      <c r="CH1812" s="58"/>
    </row>
    <row r="1813" spans="86:86" ht="12" customHeight="1">
      <c r="CH1813" s="58"/>
    </row>
    <row r="1814" spans="86:86" ht="12" customHeight="1">
      <c r="CH1814" s="58"/>
    </row>
    <row r="1815" spans="86:86" ht="12" customHeight="1">
      <c r="CH1815" s="58"/>
    </row>
    <row r="1816" spans="86:86" ht="12" customHeight="1">
      <c r="CH1816" s="58"/>
    </row>
    <row r="1817" spans="86:86" ht="12" customHeight="1">
      <c r="CH1817" s="58"/>
    </row>
    <row r="1818" spans="86:86" ht="12" customHeight="1">
      <c r="CH1818" s="58"/>
    </row>
    <row r="1819" spans="86:86" ht="12" customHeight="1">
      <c r="CH1819" s="58"/>
    </row>
    <row r="1820" spans="86:86" ht="12" customHeight="1">
      <c r="CH1820" s="58"/>
    </row>
    <row r="1821" spans="86:86" ht="12" customHeight="1">
      <c r="CH1821" s="58"/>
    </row>
    <row r="1822" spans="86:86" ht="12" customHeight="1">
      <c r="CH1822" s="58"/>
    </row>
    <row r="1823" spans="86:86" ht="12" customHeight="1">
      <c r="CH1823" s="58"/>
    </row>
    <row r="1824" spans="86:86" ht="12" customHeight="1">
      <c r="CH1824" s="58"/>
    </row>
    <row r="1825" spans="86:86" ht="12" customHeight="1">
      <c r="CH1825" s="58"/>
    </row>
    <row r="1826" spans="86:86" ht="12" customHeight="1">
      <c r="CH1826" s="58"/>
    </row>
    <row r="1827" spans="86:86" ht="12" customHeight="1">
      <c r="CH1827" s="58"/>
    </row>
    <row r="1828" spans="86:86" ht="12" customHeight="1">
      <c r="CH1828" s="58"/>
    </row>
    <row r="1829" spans="86:86" ht="12" customHeight="1">
      <c r="CH1829" s="58"/>
    </row>
    <row r="1830" spans="86:86" ht="12" customHeight="1">
      <c r="CH1830" s="58"/>
    </row>
    <row r="1831" spans="86:86" ht="12" customHeight="1">
      <c r="CH1831" s="58"/>
    </row>
    <row r="1832" spans="86:86" ht="12" customHeight="1">
      <c r="CH1832" s="58"/>
    </row>
    <row r="1833" spans="86:86" ht="12" customHeight="1">
      <c r="CH1833" s="58"/>
    </row>
    <row r="1834" spans="86:86" ht="12" customHeight="1">
      <c r="CH1834" s="58"/>
    </row>
    <row r="1835" spans="86:86" ht="12" customHeight="1">
      <c r="CH1835" s="58"/>
    </row>
    <row r="1836" spans="86:86" ht="12" customHeight="1">
      <c r="CH1836" s="58"/>
    </row>
    <row r="1837" spans="86:86" ht="12" customHeight="1">
      <c r="CH1837" s="58"/>
    </row>
    <row r="1838" spans="86:86" ht="12" customHeight="1">
      <c r="CH1838" s="58"/>
    </row>
    <row r="1839" spans="86:86" ht="12" customHeight="1">
      <c r="CH1839" s="58"/>
    </row>
    <row r="1840" spans="86:86" ht="12" customHeight="1">
      <c r="CH1840" s="58"/>
    </row>
    <row r="1841" spans="86:86" ht="12" customHeight="1">
      <c r="CH1841" s="58"/>
    </row>
    <row r="1842" spans="86:86" ht="12" customHeight="1">
      <c r="CH1842" s="58"/>
    </row>
    <row r="1843" spans="86:86" ht="12" customHeight="1">
      <c r="CH1843" s="58"/>
    </row>
    <row r="1844" spans="86:86" ht="12" customHeight="1">
      <c r="CH1844" s="58"/>
    </row>
    <row r="1845" spans="86:86" ht="12" customHeight="1">
      <c r="CH1845" s="58"/>
    </row>
    <row r="1846" spans="86:86" ht="12" customHeight="1">
      <c r="CH1846" s="58"/>
    </row>
    <row r="1847" spans="86:86" ht="12" customHeight="1">
      <c r="CH1847" s="58"/>
    </row>
    <row r="1848" spans="86:86" ht="12" customHeight="1">
      <c r="CH1848" s="58"/>
    </row>
    <row r="1849" spans="86:86" ht="12" customHeight="1">
      <c r="CH1849" s="58"/>
    </row>
    <row r="1850" spans="86:86" ht="12" customHeight="1">
      <c r="CH1850" s="58"/>
    </row>
    <row r="1851" spans="86:86" ht="12" customHeight="1">
      <c r="CH1851" s="58"/>
    </row>
    <row r="1852" spans="86:86" ht="12" customHeight="1">
      <c r="CH1852" s="58"/>
    </row>
    <row r="1853" spans="86:86" ht="12" customHeight="1">
      <c r="CH1853" s="58"/>
    </row>
    <row r="1854" spans="86:86" ht="12" customHeight="1">
      <c r="CH1854" s="58"/>
    </row>
    <row r="1855" spans="86:86" ht="12" customHeight="1">
      <c r="CH1855" s="58"/>
    </row>
    <row r="1856" spans="86:86" ht="12" customHeight="1">
      <c r="CH1856" s="58"/>
    </row>
    <row r="1857" spans="86:86" ht="12" customHeight="1">
      <c r="CH1857" s="58"/>
    </row>
    <row r="1858" spans="86:86" ht="12" customHeight="1">
      <c r="CH1858" s="58"/>
    </row>
    <row r="1859" spans="86:86" ht="12" customHeight="1">
      <c r="CH1859" s="58"/>
    </row>
    <row r="1860" spans="86:86" ht="12" customHeight="1">
      <c r="CH1860" s="58"/>
    </row>
    <row r="1861" spans="86:86" ht="12" customHeight="1">
      <c r="CH1861" s="58"/>
    </row>
    <row r="1862" spans="86:86" ht="12" customHeight="1">
      <c r="CH1862" s="58"/>
    </row>
    <row r="1863" spans="86:86" ht="12" customHeight="1">
      <c r="CH1863" s="58"/>
    </row>
    <row r="1864" spans="86:86" ht="12" customHeight="1">
      <c r="CH1864" s="58"/>
    </row>
    <row r="1865" spans="86:86" ht="12" customHeight="1">
      <c r="CH1865" s="58"/>
    </row>
    <row r="1866" spans="86:86" ht="12" customHeight="1">
      <c r="CH1866" s="58"/>
    </row>
    <row r="1867" spans="86:86" ht="12" customHeight="1">
      <c r="CH1867" s="58"/>
    </row>
    <row r="1868" spans="86:86" ht="12" customHeight="1">
      <c r="CH1868" s="58"/>
    </row>
    <row r="1869" spans="86:86" ht="12" customHeight="1">
      <c r="CH1869" s="58"/>
    </row>
    <row r="1870" spans="86:86" ht="12" customHeight="1">
      <c r="CH1870" s="58"/>
    </row>
    <row r="1871" spans="86:86" ht="12" customHeight="1">
      <c r="CH1871" s="58"/>
    </row>
    <row r="1872" spans="86:86" ht="12" customHeight="1">
      <c r="CH1872" s="58"/>
    </row>
    <row r="1873" spans="86:86" ht="12" customHeight="1">
      <c r="CH1873" s="58"/>
    </row>
    <row r="1874" spans="86:86" ht="12" customHeight="1">
      <c r="CH1874" s="58"/>
    </row>
    <row r="1875" spans="86:86" ht="12" customHeight="1">
      <c r="CH1875" s="58"/>
    </row>
    <row r="1876" spans="86:86" ht="12" customHeight="1">
      <c r="CH1876" s="58"/>
    </row>
    <row r="1877" spans="86:86" ht="12" customHeight="1">
      <c r="CH1877" s="58"/>
    </row>
    <row r="1878" spans="86:86" ht="12" customHeight="1">
      <c r="CH1878" s="58"/>
    </row>
    <row r="1879" spans="86:86" ht="12" customHeight="1">
      <c r="CH1879" s="58"/>
    </row>
    <row r="1880" spans="86:86" ht="12" customHeight="1">
      <c r="CH1880" s="58"/>
    </row>
    <row r="1881" spans="86:86" ht="12" customHeight="1">
      <c r="CH1881" s="58"/>
    </row>
    <row r="1882" spans="86:86" ht="12" customHeight="1">
      <c r="CH1882" s="58"/>
    </row>
    <row r="1883" spans="86:86" ht="12" customHeight="1">
      <c r="CH1883" s="58"/>
    </row>
    <row r="1884" spans="86:86" ht="12" customHeight="1">
      <c r="CH1884" s="58"/>
    </row>
    <row r="1885" spans="86:86" ht="12" customHeight="1">
      <c r="CH1885" s="58"/>
    </row>
    <row r="1886" spans="86:86" ht="12" customHeight="1">
      <c r="CH1886" s="58"/>
    </row>
    <row r="1887" spans="86:86" ht="12" customHeight="1">
      <c r="CH1887" s="58"/>
    </row>
    <row r="1888" spans="86:86" ht="12" customHeight="1">
      <c r="CH1888" s="58"/>
    </row>
    <row r="1889" spans="86:86" ht="12" customHeight="1">
      <c r="CH1889" s="58"/>
    </row>
    <row r="1890" spans="86:86" ht="12" customHeight="1">
      <c r="CH1890" s="58"/>
    </row>
    <row r="1891" spans="86:86" ht="12" customHeight="1">
      <c r="CH1891" s="58"/>
    </row>
    <row r="1892" spans="86:86" ht="12" customHeight="1">
      <c r="CH1892" s="58"/>
    </row>
    <row r="1893" spans="86:86" ht="12" customHeight="1">
      <c r="CH1893" s="58"/>
    </row>
    <row r="1894" spans="86:86" ht="12" customHeight="1">
      <c r="CH1894" s="58"/>
    </row>
    <row r="1895" spans="86:86" ht="12" customHeight="1">
      <c r="CH1895" s="58"/>
    </row>
    <row r="1896" spans="86:86" ht="12" customHeight="1">
      <c r="CH1896" s="58"/>
    </row>
    <row r="1897" spans="86:86" ht="12" customHeight="1">
      <c r="CH1897" s="58"/>
    </row>
    <row r="1898" spans="86:86" ht="12" customHeight="1">
      <c r="CH1898" s="58"/>
    </row>
    <row r="1899" spans="86:86" ht="12" customHeight="1">
      <c r="CH1899" s="58"/>
    </row>
    <row r="1900" spans="86:86" ht="12" customHeight="1">
      <c r="CH1900" s="58"/>
    </row>
    <row r="1901" spans="86:86" ht="12" customHeight="1">
      <c r="CH1901" s="58"/>
    </row>
    <row r="1902" spans="86:86" ht="12" customHeight="1">
      <c r="CH1902" s="58"/>
    </row>
    <row r="1903" spans="86:86" ht="12" customHeight="1">
      <c r="CH1903" s="58"/>
    </row>
    <row r="1904" spans="86:86" ht="12" customHeight="1">
      <c r="CH1904" s="58"/>
    </row>
    <row r="1905" spans="86:86" ht="12" customHeight="1">
      <c r="CH1905" s="58"/>
    </row>
    <row r="1906" spans="86:86" ht="12" customHeight="1">
      <c r="CH1906" s="58"/>
    </row>
    <row r="1907" spans="86:86" ht="12" customHeight="1">
      <c r="CH1907" s="58"/>
    </row>
    <row r="1908" spans="86:86" ht="12" customHeight="1">
      <c r="CH1908" s="58"/>
    </row>
    <row r="1909" spans="86:86" ht="12" customHeight="1">
      <c r="CH1909" s="58"/>
    </row>
    <row r="1910" spans="86:86" ht="12" customHeight="1">
      <c r="CH1910" s="58"/>
    </row>
    <row r="1911" spans="86:86" ht="12" customHeight="1">
      <c r="CH1911" s="58"/>
    </row>
    <row r="1912" spans="86:86" ht="12" customHeight="1">
      <c r="CH1912" s="58"/>
    </row>
    <row r="1913" spans="86:86" ht="12" customHeight="1">
      <c r="CH1913" s="58"/>
    </row>
    <row r="1914" spans="86:86" ht="12" customHeight="1">
      <c r="CH1914" s="58"/>
    </row>
    <row r="1915" spans="86:86" ht="12" customHeight="1">
      <c r="CH1915" s="58"/>
    </row>
    <row r="1916" spans="86:86" ht="12" customHeight="1">
      <c r="CH1916" s="58"/>
    </row>
    <row r="1917" spans="86:86" ht="12" customHeight="1">
      <c r="CH1917" s="58"/>
    </row>
    <row r="1918" spans="86:86" ht="12" customHeight="1">
      <c r="CH1918" s="58"/>
    </row>
    <row r="1919" spans="86:86" ht="12" customHeight="1">
      <c r="CH1919" s="58"/>
    </row>
    <row r="1920" spans="86:86" ht="12" customHeight="1">
      <c r="CH1920" s="58"/>
    </row>
    <row r="1921" spans="86:86" ht="12" customHeight="1">
      <c r="CH1921" s="58"/>
    </row>
    <row r="1922" spans="86:86" ht="12" customHeight="1">
      <c r="CH1922" s="58"/>
    </row>
    <row r="1923" spans="86:86" ht="12" customHeight="1">
      <c r="CH1923" s="58"/>
    </row>
    <row r="1924" spans="86:86" ht="12" customHeight="1">
      <c r="CH1924" s="58"/>
    </row>
    <row r="1925" spans="86:86" ht="12" customHeight="1">
      <c r="CH1925" s="58"/>
    </row>
    <row r="1926" spans="86:86" ht="12" customHeight="1">
      <c r="CH1926" s="58"/>
    </row>
    <row r="1927" spans="86:86" ht="12" customHeight="1">
      <c r="CH1927" s="58"/>
    </row>
    <row r="1928" spans="86:86" ht="12" customHeight="1">
      <c r="CH1928" s="58"/>
    </row>
    <row r="1929" spans="86:86" ht="12" customHeight="1">
      <c r="CH1929" s="58"/>
    </row>
    <row r="1930" spans="86:86" ht="12" customHeight="1">
      <c r="CH1930" s="58"/>
    </row>
    <row r="1931" spans="86:86" ht="12" customHeight="1">
      <c r="CH1931" s="58"/>
    </row>
    <row r="1932" spans="86:86" ht="12" customHeight="1">
      <c r="CH1932" s="58"/>
    </row>
    <row r="1933" spans="86:86" ht="12" customHeight="1">
      <c r="CH1933" s="58"/>
    </row>
    <row r="1934" spans="86:86" ht="12" customHeight="1">
      <c r="CH1934" s="58"/>
    </row>
    <row r="1935" spans="86:86" ht="12" customHeight="1">
      <c r="CH1935" s="58"/>
    </row>
    <row r="1936" spans="86:86" ht="12" customHeight="1">
      <c r="CH1936" s="58"/>
    </row>
    <row r="1937" spans="86:86" ht="12" customHeight="1">
      <c r="CH1937" s="58"/>
    </row>
    <row r="1938" spans="86:86" ht="12" customHeight="1">
      <c r="CH1938" s="58"/>
    </row>
    <row r="1939" spans="86:86" ht="12" customHeight="1">
      <c r="CH1939" s="58"/>
    </row>
    <row r="1940" spans="86:86" ht="12" customHeight="1">
      <c r="CH1940" s="58"/>
    </row>
    <row r="1941" spans="86:86" ht="12" customHeight="1">
      <c r="CH1941" s="58"/>
    </row>
    <row r="1942" spans="86:86" ht="12" customHeight="1">
      <c r="CH1942" s="58"/>
    </row>
    <row r="1943" spans="86:86" ht="12" customHeight="1">
      <c r="CH1943" s="58"/>
    </row>
    <row r="1944" spans="86:86" ht="12" customHeight="1">
      <c r="CH1944" s="58"/>
    </row>
    <row r="1945" spans="86:86" ht="12" customHeight="1">
      <c r="CH1945" s="58"/>
    </row>
    <row r="1946" spans="86:86" ht="12" customHeight="1">
      <c r="CH1946" s="58"/>
    </row>
    <row r="1947" spans="86:86" ht="12" customHeight="1">
      <c r="CH1947" s="58"/>
    </row>
    <row r="1948" spans="86:86" ht="12" customHeight="1">
      <c r="CH1948" s="58"/>
    </row>
    <row r="1949" spans="86:86" ht="12" customHeight="1">
      <c r="CH1949" s="58"/>
    </row>
    <row r="1950" spans="86:86" ht="12" customHeight="1">
      <c r="CH1950" s="58"/>
    </row>
    <row r="1951" spans="86:86" ht="12" customHeight="1">
      <c r="CH1951" s="58"/>
    </row>
    <row r="1952" spans="86:86" ht="12" customHeight="1">
      <c r="CH1952" s="58"/>
    </row>
    <row r="1953" spans="86:86" ht="12" customHeight="1">
      <c r="CH1953" s="58"/>
    </row>
    <row r="1954" spans="86:86" ht="12" customHeight="1">
      <c r="CH1954" s="58"/>
    </row>
    <row r="1955" spans="86:86" ht="12" customHeight="1">
      <c r="CH1955" s="58"/>
    </row>
    <row r="1956" spans="86:86" ht="12" customHeight="1">
      <c r="CH1956" s="58"/>
    </row>
    <row r="1957" spans="86:86" ht="12" customHeight="1">
      <c r="CH1957" s="58"/>
    </row>
    <row r="1958" spans="86:86" ht="12" customHeight="1">
      <c r="CH1958" s="58"/>
    </row>
    <row r="1959" spans="86:86" ht="12" customHeight="1">
      <c r="CH1959" s="58"/>
    </row>
    <row r="1960" spans="86:86" ht="12" customHeight="1">
      <c r="CH1960" s="58"/>
    </row>
    <row r="1961" spans="86:86" ht="12" customHeight="1">
      <c r="CH1961" s="58"/>
    </row>
    <row r="1962" spans="86:86" ht="12" customHeight="1">
      <c r="CH1962" s="58"/>
    </row>
    <row r="1963" spans="86:86" ht="12" customHeight="1">
      <c r="CH1963" s="58"/>
    </row>
    <row r="1964" spans="86:86" ht="12" customHeight="1">
      <c r="CH1964" s="58"/>
    </row>
    <row r="1965" spans="86:86" ht="12" customHeight="1">
      <c r="CH1965" s="58"/>
    </row>
    <row r="1966" spans="86:86" ht="12" customHeight="1">
      <c r="CH1966" s="58"/>
    </row>
    <row r="1967" spans="86:86" ht="12" customHeight="1">
      <c r="CH1967" s="58"/>
    </row>
    <row r="1968" spans="86:86" ht="12" customHeight="1">
      <c r="CH1968" s="58"/>
    </row>
    <row r="1969" spans="86:86" ht="12" customHeight="1">
      <c r="CH1969" s="58"/>
    </row>
    <row r="1970" spans="86:86" ht="12" customHeight="1">
      <c r="CH1970" s="58"/>
    </row>
    <row r="1971" spans="86:86" ht="12" customHeight="1">
      <c r="CH1971" s="58"/>
    </row>
    <row r="1972" spans="86:86" ht="12" customHeight="1">
      <c r="CH1972" s="58"/>
    </row>
    <row r="1973" spans="86:86" ht="12" customHeight="1">
      <c r="CH1973" s="58"/>
    </row>
    <row r="1974" spans="86:86" ht="12" customHeight="1">
      <c r="CH1974" s="58"/>
    </row>
    <row r="1975" spans="86:86" ht="12" customHeight="1">
      <c r="CH1975" s="58"/>
    </row>
    <row r="1976" spans="86:86" ht="12" customHeight="1">
      <c r="CH1976" s="58"/>
    </row>
    <row r="1977" spans="86:86" ht="12" customHeight="1">
      <c r="CH1977" s="58"/>
    </row>
    <row r="1978" spans="86:86" ht="12" customHeight="1">
      <c r="CH1978" s="58"/>
    </row>
    <row r="1979" spans="86:86" ht="12" customHeight="1">
      <c r="CH1979" s="58"/>
    </row>
    <row r="1980" spans="86:86" ht="12" customHeight="1">
      <c r="CH1980" s="58"/>
    </row>
    <row r="1981" spans="86:86" ht="12" customHeight="1">
      <c r="CH1981" s="58"/>
    </row>
    <row r="1982" spans="86:86" ht="12" customHeight="1">
      <c r="CH1982" s="58"/>
    </row>
    <row r="1983" spans="86:86" ht="12" customHeight="1">
      <c r="CH1983" s="58"/>
    </row>
    <row r="1984" spans="86:86" ht="12" customHeight="1">
      <c r="CH1984" s="58"/>
    </row>
    <row r="1985" spans="86:86" ht="12" customHeight="1">
      <c r="CH1985" s="58"/>
    </row>
    <row r="1986" spans="86:86" ht="12" customHeight="1">
      <c r="CH1986" s="58"/>
    </row>
    <row r="1987" spans="86:86" ht="12" customHeight="1">
      <c r="CH1987" s="58"/>
    </row>
    <row r="1988" spans="86:86" ht="12" customHeight="1">
      <c r="CH1988" s="58"/>
    </row>
    <row r="1989" spans="86:86" ht="12" customHeight="1">
      <c r="CH1989" s="58"/>
    </row>
    <row r="1990" spans="86:86" ht="12" customHeight="1">
      <c r="CH1990" s="58"/>
    </row>
    <row r="1991" spans="86:86" ht="12" customHeight="1">
      <c r="CH1991" s="58"/>
    </row>
    <row r="1992" spans="86:86" ht="12" customHeight="1">
      <c r="CH1992" s="58"/>
    </row>
    <row r="1993" spans="86:86" ht="12" customHeight="1">
      <c r="CH1993" s="58"/>
    </row>
    <row r="1994" spans="86:86" ht="12" customHeight="1">
      <c r="CH1994" s="58"/>
    </row>
    <row r="1995" spans="86:86" ht="12" customHeight="1">
      <c r="CH1995" s="58"/>
    </row>
    <row r="1996" spans="86:86" ht="12" customHeight="1">
      <c r="CH1996" s="58"/>
    </row>
    <row r="1997" spans="86:86" ht="12" customHeight="1">
      <c r="CH1997" s="58"/>
    </row>
    <row r="1998" spans="86:86" ht="12" customHeight="1">
      <c r="CH1998" s="58"/>
    </row>
    <row r="1999" spans="86:86" ht="12" customHeight="1">
      <c r="CH1999" s="58"/>
    </row>
    <row r="2000" spans="86:86" ht="12" customHeight="1">
      <c r="CH2000" s="58"/>
    </row>
  </sheetData>
  <sheetProtection sheet="1" objects="1" scenarios="1" selectLockedCells="1"/>
  <phoneticPr fontId="2" type="noConversion"/>
  <dataValidations count="2">
    <dataValidation type="decimal" allowBlank="1" showInputMessage="1" showErrorMessage="1" errorTitle="Confidence level" error="Min=0, max=99.9" sqref="U3">
      <formula1>0</formula1>
      <formula2>99.9</formula2>
    </dataValidation>
    <dataValidation type="whole" allowBlank="1" showInputMessage="1" showErrorMessage="1" errorTitle="Size of dataset" error="Min 4, max 1000" sqref="U8 K8">
      <formula1>4</formula1>
      <formula2>1000</formula2>
    </dataValidation>
  </dataValidations>
  <pageMargins left="0.75" right="0.75" top="1" bottom="1" header="0.5" footer="0.5"/>
  <pageSetup paperSize="9"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sheetPr codeName="Sheet16"/>
  <dimension ref="A1:BH2000"/>
  <sheetViews>
    <sheetView showGridLines="0" showRowColHeaders="0" topLeftCell="C1" zoomScale="120" workbookViewId="0">
      <selection activeCell="F8" sqref="F8"/>
    </sheetView>
  </sheetViews>
  <sheetFormatPr defaultRowHeight="12" customHeight="1"/>
  <cols>
    <col min="1" max="1" width="17" style="43" hidden="1" customWidth="1"/>
    <col min="2" max="2" width="7.5703125" style="43" hidden="1" customWidth="1"/>
    <col min="3" max="3" width="0.42578125" style="43" customWidth="1"/>
    <col min="4" max="4" width="2.28515625" style="43" customWidth="1"/>
    <col min="5" max="5" width="6.42578125" style="43" customWidth="1"/>
    <col min="6" max="6" width="6.28515625" style="43" customWidth="1"/>
    <col min="7" max="7" width="3.28515625" style="43" customWidth="1"/>
    <col min="8" max="8" width="6.28515625" style="43" customWidth="1"/>
    <col min="9" max="9" width="2.28515625" style="43" customWidth="1"/>
    <col min="10" max="10" width="6.28515625" style="43" customWidth="1"/>
    <col min="11" max="11" width="1.42578125" style="43" customWidth="1"/>
    <col min="12" max="12" width="6.28515625" style="43" customWidth="1"/>
    <col min="13" max="13" width="3.42578125" style="43" customWidth="1"/>
    <col min="14" max="14" width="1.7109375" style="43" customWidth="1"/>
    <col min="15" max="15" width="6.28515625" style="43" customWidth="1"/>
    <col min="16" max="21" width="8.85546875" style="43" customWidth="1"/>
    <col min="22" max="38" width="6.28515625" style="43" customWidth="1"/>
    <col min="39" max="39" width="7.85546875" style="913" customWidth="1"/>
    <col min="40" max="58" width="6.28515625" style="43" customWidth="1"/>
    <col min="59" max="59" width="6.85546875" style="43" customWidth="1"/>
    <col min="60" max="67" width="6.28515625" style="43" customWidth="1"/>
    <col min="68" max="16384" width="9.140625" style="43"/>
  </cols>
  <sheetData>
    <row r="1" spans="1:60" ht="12" customHeight="1">
      <c r="A1" s="53"/>
      <c r="B1" s="50"/>
      <c r="F1" s="799" t="s">
        <v>783</v>
      </c>
      <c r="N1" s="1173"/>
      <c r="O1" s="83">
        <f>($F$10+$F$18+$F$8+$B$6)/1000000</f>
        <v>1.75E-4</v>
      </c>
      <c r="P1" s="83">
        <f t="shared" ref="P1:U1" si="0">$O$1</f>
        <v>1.75E-4</v>
      </c>
      <c r="Q1" s="83">
        <f t="shared" si="0"/>
        <v>1.75E-4</v>
      </c>
      <c r="R1" s="83">
        <f t="shared" si="0"/>
        <v>1.75E-4</v>
      </c>
      <c r="S1" s="83">
        <f t="shared" si="0"/>
        <v>1.75E-4</v>
      </c>
      <c r="T1" s="83">
        <f t="shared" si="0"/>
        <v>1.75E-4</v>
      </c>
      <c r="U1" s="802">
        <f t="shared" si="0"/>
        <v>1.75E-4</v>
      </c>
      <c r="V1" s="83"/>
      <c r="W1" s="83"/>
      <c r="X1" s="83"/>
      <c r="Y1" s="83"/>
      <c r="Z1" s="83"/>
      <c r="AA1" s="83"/>
      <c r="AB1" s="83"/>
      <c r="AC1" s="83"/>
      <c r="AD1" s="83"/>
      <c r="AE1" s="83"/>
      <c r="AF1" s="83"/>
      <c r="AG1" s="83"/>
      <c r="AH1" s="83"/>
      <c r="AI1" s="83"/>
      <c r="AJ1" s="83"/>
      <c r="AK1" s="83"/>
      <c r="AL1" s="83"/>
      <c r="AM1" s="802"/>
      <c r="AN1" s="802"/>
      <c r="AO1" s="802"/>
      <c r="AP1" s="802"/>
      <c r="AQ1" s="802"/>
      <c r="AR1" s="802"/>
      <c r="AW1" s="864"/>
      <c r="AX1" s="824" t="s">
        <v>1217</v>
      </c>
      <c r="AY1" s="865">
        <v>1</v>
      </c>
      <c r="AZ1" s="52">
        <f>IF(xandn,J8,NA())</f>
        <v>0.36363636363636365</v>
      </c>
      <c r="BE1" s="1174"/>
      <c r="BF1" s="1174"/>
      <c r="BG1" s="1174"/>
      <c r="BH1" s="49"/>
    </row>
    <row r="2" spans="1:60" ht="12" customHeight="1">
      <c r="A2" s="53"/>
      <c r="F2" s="43" t="s">
        <v>119</v>
      </c>
      <c r="N2" s="1175"/>
      <c r="O2" s="83">
        <f t="shared" ref="O2:O38" si="1">$O$1</f>
        <v>1.75E-4</v>
      </c>
      <c r="P2" s="48"/>
      <c r="Q2" s="48"/>
      <c r="R2" s="815"/>
      <c r="S2" s="48"/>
      <c r="T2" s="48"/>
      <c r="U2" s="802">
        <f t="shared" ref="U2:U35" si="2">$O$1</f>
        <v>1.75E-4</v>
      </c>
      <c r="V2" s="83"/>
      <c r="AW2" s="803" t="s">
        <v>65</v>
      </c>
      <c r="AX2" s="805">
        <f>NORMSINV(0.5+F18/200)</f>
        <v>1.959963984540054</v>
      </c>
      <c r="AY2" s="803" t="s">
        <v>921</v>
      </c>
      <c r="AZ2" s="459">
        <f>AX3+$AX$2*AX4</f>
        <v>0.83071660189657526</v>
      </c>
      <c r="BC2" s="53"/>
      <c r="BE2" s="1174"/>
      <c r="BF2" s="1174"/>
      <c r="BG2" s="1174"/>
    </row>
    <row r="3" spans="1:60" ht="12" customHeight="1">
      <c r="A3" s="53"/>
      <c r="B3" s="50"/>
      <c r="F3" s="43" t="s">
        <v>120</v>
      </c>
      <c r="N3" s="1175"/>
      <c r="O3" s="83">
        <f t="shared" si="1"/>
        <v>1.75E-4</v>
      </c>
      <c r="P3" s="48"/>
      <c r="Q3" s="48"/>
      <c r="R3" s="815"/>
      <c r="S3" s="48"/>
      <c r="T3" s="48"/>
      <c r="U3" s="802">
        <f t="shared" si="2"/>
        <v>1.75E-4</v>
      </c>
      <c r="V3" s="83"/>
      <c r="AS3" s="48"/>
      <c r="AT3" s="48"/>
      <c r="AW3" s="821" t="s">
        <v>717</v>
      </c>
      <c r="AX3" s="48">
        <f>0.5*LN((1+J8)/(1-J8))</f>
        <v>0.38107002602344847</v>
      </c>
      <c r="AY3" s="821" t="s">
        <v>922</v>
      </c>
      <c r="AZ3" s="792">
        <f>AX3-$AX$2*AX4</f>
        <v>-6.857654984967837E-2</v>
      </c>
      <c r="BA3" s="53" t="s">
        <v>753</v>
      </c>
      <c r="BB3" s="43">
        <f>2*(1-NORMSDIST(ABS(AX8/AX4)))</f>
        <v>0.46336069508648725</v>
      </c>
      <c r="BC3" s="48"/>
      <c r="BD3" s="48"/>
    </row>
    <row r="4" spans="1:60" ht="12" customHeight="1">
      <c r="A4" s="53" t="s">
        <v>786</v>
      </c>
      <c r="B4" s="43" t="b">
        <f>AND(ISNUMBER(forx),ISNUMBER(forn),forx&gt;=0,forn&gt;=2,forx&lt;=F10)</f>
        <v>1</v>
      </c>
      <c r="N4" s="1175"/>
      <c r="O4" s="83">
        <f t="shared" si="1"/>
        <v>1.75E-4</v>
      </c>
      <c r="T4" s="48"/>
      <c r="U4" s="802">
        <f t="shared" si="2"/>
        <v>1.75E-4</v>
      </c>
      <c r="V4" s="83"/>
      <c r="AH4" s="50"/>
      <c r="AS4" s="48"/>
      <c r="AT4" s="48"/>
      <c r="AW4" s="813" t="s">
        <v>920</v>
      </c>
      <c r="AX4" s="454">
        <f>1/SQRT(F10-3)</f>
        <v>0.22941573387056174</v>
      </c>
      <c r="AY4" s="92" t="s">
        <v>927</v>
      </c>
      <c r="AZ4" s="792">
        <f>$AX$2*AX4</f>
        <v>0.44964657587312684</v>
      </c>
      <c r="BA4" s="43" t="s">
        <v>754</v>
      </c>
      <c r="BB4" s="43">
        <f>TDIST(ABS(J8*SQRT(F10-2)/SQRT(1-J8^2)),F10-2,2)</f>
        <v>9.6200298788499616E-2</v>
      </c>
      <c r="BC4" s="48"/>
      <c r="BD4" s="48"/>
    </row>
    <row r="5" spans="1:60" ht="12" customHeight="1">
      <c r="A5" s="53"/>
      <c r="D5" s="1095">
        <v>1</v>
      </c>
      <c r="E5" s="1176" t="s">
        <v>787</v>
      </c>
      <c r="F5" s="1177"/>
      <c r="G5" s="1177"/>
      <c r="H5" s="1177"/>
      <c r="I5" s="1177"/>
      <c r="J5" s="1177"/>
      <c r="K5" s="1177"/>
      <c r="L5" s="1177"/>
      <c r="M5" s="1177"/>
      <c r="N5" s="1178"/>
      <c r="O5" s="83">
        <f t="shared" si="1"/>
        <v>1.75E-4</v>
      </c>
      <c r="T5" s="48"/>
      <c r="U5" s="802">
        <f t="shared" si="2"/>
        <v>1.75E-4</v>
      </c>
      <c r="V5" s="83"/>
      <c r="AS5" s="48"/>
      <c r="AT5" s="48"/>
      <c r="AW5" s="1174"/>
      <c r="AX5" s="1174"/>
      <c r="AY5" s="1174"/>
      <c r="AZ5" s="1174"/>
      <c r="BA5" s="1174"/>
      <c r="BB5" s="1174"/>
      <c r="BC5" s="1174"/>
      <c r="BD5" s="1174"/>
      <c r="BE5" s="1174"/>
    </row>
    <row r="6" spans="1:60" ht="15" customHeight="1">
      <c r="A6" s="53" t="s">
        <v>751</v>
      </c>
      <c r="B6" s="1179">
        <v>50</v>
      </c>
      <c r="D6" s="1180"/>
      <c r="E6" s="1181"/>
      <c r="F6" s="1181"/>
      <c r="G6" s="1181"/>
      <c r="H6" s="1182" t="s">
        <v>121</v>
      </c>
      <c r="I6" s="1181"/>
      <c r="J6" s="1181"/>
      <c r="K6" s="1181"/>
      <c r="L6" s="1181"/>
      <c r="M6" s="1181"/>
      <c r="N6" s="1178"/>
      <c r="O6" s="83">
        <f t="shared" si="1"/>
        <v>1.75E-4</v>
      </c>
      <c r="T6" s="48"/>
      <c r="U6" s="802">
        <f t="shared" si="2"/>
        <v>1.75E-4</v>
      </c>
      <c r="V6" s="83"/>
      <c r="AM6" s="802"/>
      <c r="AS6" s="48"/>
      <c r="AT6" s="48"/>
      <c r="AW6" s="53" t="s">
        <v>755</v>
      </c>
      <c r="AX6" s="49">
        <f>(100-B6)/100</f>
        <v>0.5</v>
      </c>
      <c r="AY6" s="1183" t="s">
        <v>788</v>
      </c>
      <c r="AZ6" s="1184"/>
      <c r="BA6" s="1174"/>
      <c r="BB6" s="1174"/>
      <c r="BC6" s="1174"/>
      <c r="BD6" s="1174"/>
      <c r="BE6" s="1174"/>
    </row>
    <row r="7" spans="1:60" ht="12" customHeight="1">
      <c r="A7" s="53" t="s">
        <v>752</v>
      </c>
      <c r="B7" s="1185" t="b">
        <v>0</v>
      </c>
      <c r="D7" s="1186"/>
      <c r="E7" s="848"/>
      <c r="F7" s="848"/>
      <c r="G7" s="848"/>
      <c r="H7" s="848"/>
      <c r="I7" s="848"/>
      <c r="J7" s="848"/>
      <c r="K7" s="1181"/>
      <c r="L7" s="1181"/>
      <c r="M7" s="1181"/>
      <c r="N7" s="1178"/>
      <c r="O7" s="83">
        <f t="shared" si="1"/>
        <v>1.75E-4</v>
      </c>
      <c r="T7" s="48"/>
      <c r="U7" s="802">
        <f t="shared" si="2"/>
        <v>1.75E-4</v>
      </c>
      <c r="V7" s="83"/>
      <c r="AM7" s="802"/>
      <c r="AS7" s="54"/>
      <c r="AT7" s="815"/>
      <c r="AW7" s="53" t="s">
        <v>758</v>
      </c>
      <c r="AX7" s="43">
        <f>0.5*LN((1+AX6)/(1-AX6))</f>
        <v>0.54930614433405489</v>
      </c>
      <c r="AY7" s="1187" t="s">
        <v>789</v>
      </c>
      <c r="AZ7" s="1188">
        <f>NORMSINV(0.5+F18/200)</f>
        <v>1.959963984540054</v>
      </c>
      <c r="BA7" s="1174"/>
      <c r="BB7" s="1174"/>
      <c r="BC7" s="1174"/>
      <c r="BD7" s="1174"/>
      <c r="BE7" s="1174"/>
    </row>
    <row r="8" spans="1:60" ht="12" customHeight="1">
      <c r="A8" s="53"/>
      <c r="D8" s="1189"/>
      <c r="E8" s="1190" t="s">
        <v>790</v>
      </c>
      <c r="F8" s="639">
        <v>8</v>
      </c>
      <c r="G8" s="1181"/>
      <c r="H8" s="848"/>
      <c r="I8" s="1191" t="s">
        <v>791</v>
      </c>
      <c r="J8" s="871">
        <f>IF(xandn,F8/F10,"")</f>
        <v>0.36363636363636365</v>
      </c>
      <c r="K8" s="848"/>
      <c r="L8" s="848"/>
      <c r="M8" s="1181"/>
      <c r="N8" s="1178"/>
      <c r="O8" s="83">
        <f t="shared" si="1"/>
        <v>1.75E-4</v>
      </c>
      <c r="T8" s="48"/>
      <c r="U8" s="802">
        <f t="shared" si="2"/>
        <v>1.75E-4</v>
      </c>
      <c r="V8" s="83"/>
      <c r="AM8" s="802"/>
      <c r="AS8" s="48"/>
      <c r="AT8" s="815"/>
      <c r="AW8" s="53" t="s">
        <v>759</v>
      </c>
      <c r="AX8" s="43">
        <f>ABS(AX3-AX7)</f>
        <v>0.16823611831060642</v>
      </c>
      <c r="AY8" s="1174"/>
      <c r="AZ8" s="1174"/>
      <c r="BA8" s="1174"/>
      <c r="BB8" s="1174"/>
      <c r="BC8" s="1174"/>
      <c r="BD8" s="1174"/>
      <c r="BE8" s="1174"/>
    </row>
    <row r="9" spans="1:60" ht="12" customHeight="1">
      <c r="A9" s="53"/>
      <c r="D9" s="1181"/>
      <c r="E9" s="1181"/>
      <c r="F9" s="1181"/>
      <c r="G9" s="1181"/>
      <c r="H9" s="1181"/>
      <c r="I9" s="1181"/>
      <c r="J9" s="1181"/>
      <c r="K9" s="1181"/>
      <c r="L9" s="848"/>
      <c r="M9" s="1181"/>
      <c r="N9" s="1178"/>
      <c r="O9" s="83">
        <f t="shared" si="1"/>
        <v>1.75E-4</v>
      </c>
      <c r="T9" s="48"/>
      <c r="U9" s="802">
        <f t="shared" si="2"/>
        <v>1.75E-4</v>
      </c>
      <c r="V9" s="83"/>
      <c r="Y9" s="53"/>
      <c r="AM9" s="802"/>
      <c r="AR9" s="802"/>
      <c r="AW9" s="43" t="s">
        <v>756</v>
      </c>
      <c r="AX9" s="49"/>
      <c r="AY9" s="1174"/>
      <c r="AZ9" s="1174"/>
      <c r="BA9" s="1174"/>
      <c r="BB9" s="1174"/>
      <c r="BC9" s="1174"/>
      <c r="BD9" s="1174"/>
      <c r="BE9" s="1174"/>
    </row>
    <row r="10" spans="1:60" ht="12" customHeight="1">
      <c r="A10" s="53" t="s">
        <v>792</v>
      </c>
      <c r="B10" s="43" t="e">
        <f>IF(J8=L30,"",IF(J8&gt;L30,J21/(J8-L30),L21/(L30-J8)))</f>
        <v>#VALUE!</v>
      </c>
      <c r="D10" s="848"/>
      <c r="E10" s="1190" t="s">
        <v>1186</v>
      </c>
      <c r="F10" s="99">
        <v>22</v>
      </c>
      <c r="G10" s="1181"/>
      <c r="H10" s="848"/>
      <c r="I10" s="848"/>
      <c r="J10" s="848"/>
      <c r="K10" s="848"/>
      <c r="L10" s="848"/>
      <c r="M10" s="1181"/>
      <c r="N10" s="1178"/>
      <c r="O10" s="83">
        <f t="shared" si="1"/>
        <v>1.75E-4</v>
      </c>
      <c r="T10" s="48"/>
      <c r="U10" s="802">
        <f t="shared" si="2"/>
        <v>1.75E-4</v>
      </c>
      <c r="V10" s="83"/>
      <c r="Y10" s="53"/>
      <c r="AM10" s="802"/>
      <c r="AR10" s="802"/>
      <c r="AW10" s="43" t="e">
        <f>IF(B7,1.8,NA())</f>
        <v>#N/A</v>
      </c>
      <c r="AX10" s="49" t="e">
        <f>IF(B7,AX6,NA())</f>
        <v>#N/A</v>
      </c>
      <c r="AY10" s="1174"/>
      <c r="AZ10" s="1174"/>
      <c r="BA10" s="1174"/>
      <c r="BB10" s="1174"/>
      <c r="BC10" s="1174"/>
      <c r="BD10" s="1174"/>
      <c r="BE10" s="1174"/>
    </row>
    <row r="11" spans="1:60" ht="12" customHeight="1">
      <c r="A11" s="53" t="s">
        <v>793</v>
      </c>
      <c r="B11" s="43" t="e">
        <f>IF(B10="",0,AZ7/B10)</f>
        <v>#VALUE!</v>
      </c>
      <c r="D11" s="1192"/>
      <c r="E11" s="1192"/>
      <c r="F11" s="1192"/>
      <c r="G11" s="1192"/>
      <c r="H11" s="1192"/>
      <c r="I11" s="1192"/>
      <c r="J11" s="1192"/>
      <c r="K11" s="1192"/>
      <c r="L11" s="1192"/>
      <c r="M11" s="1192"/>
      <c r="N11" s="1178"/>
      <c r="O11" s="83">
        <f t="shared" si="1"/>
        <v>1.75E-4</v>
      </c>
      <c r="R11" s="48"/>
      <c r="S11" s="815"/>
      <c r="T11" s="48"/>
      <c r="U11" s="802">
        <f t="shared" si="2"/>
        <v>1.75E-4</v>
      </c>
      <c r="V11" s="83"/>
      <c r="Y11" s="53"/>
      <c r="AM11" s="802"/>
      <c r="AR11" s="802"/>
      <c r="AW11" s="43" t="s">
        <v>757</v>
      </c>
      <c r="AX11" s="49"/>
      <c r="AY11" s="1174"/>
      <c r="AZ11" s="1174"/>
      <c r="BA11" s="1174"/>
      <c r="BB11" s="1174"/>
      <c r="BC11" s="1174"/>
      <c r="BD11" s="1174"/>
      <c r="BE11" s="1174"/>
    </row>
    <row r="12" spans="1:60" ht="12" customHeight="1">
      <c r="A12" s="53" t="s">
        <v>794</v>
      </c>
      <c r="B12" s="43">
        <f>2*(1-NORMSDIST(B13))</f>
        <v>0.20082512020374921</v>
      </c>
      <c r="D12" s="833">
        <v>2</v>
      </c>
      <c r="E12" s="834" t="s">
        <v>795</v>
      </c>
      <c r="F12" s="447"/>
      <c r="G12" s="447"/>
      <c r="H12" s="447"/>
      <c r="I12" s="447"/>
      <c r="J12" s="447"/>
      <c r="K12" s="447"/>
      <c r="L12" s="447"/>
      <c r="M12" s="383"/>
      <c r="N12" s="1193"/>
      <c r="O12" s="83">
        <f t="shared" si="1"/>
        <v>1.75E-4</v>
      </c>
      <c r="R12" s="48"/>
      <c r="S12" s="48"/>
      <c r="T12" s="48"/>
      <c r="U12" s="802">
        <f t="shared" si="2"/>
        <v>1.75E-4</v>
      </c>
      <c r="V12" s="83"/>
      <c r="Y12" s="53"/>
      <c r="AM12" s="802"/>
      <c r="AR12" s="802"/>
      <c r="AW12" s="43">
        <v>0</v>
      </c>
      <c r="AX12" s="1194">
        <v>0</v>
      </c>
      <c r="AY12" s="1174"/>
      <c r="AZ12" s="1174"/>
      <c r="BA12" s="1174"/>
      <c r="BB12" s="1174"/>
      <c r="BC12" s="1174"/>
      <c r="BD12" s="1174"/>
      <c r="BE12" s="1174"/>
    </row>
    <row r="13" spans="1:60" ht="12" customHeight="1">
      <c r="A13" s="53" t="s">
        <v>796</v>
      </c>
      <c r="B13" s="95">
        <v>1.2792043052104252</v>
      </c>
      <c r="D13" s="447"/>
      <c r="E13" s="447"/>
      <c r="F13" s="383" t="s">
        <v>154</v>
      </c>
      <c r="G13" s="447"/>
      <c r="H13" s="447"/>
      <c r="I13" s="447"/>
      <c r="J13" s="447"/>
      <c r="K13" s="447"/>
      <c r="L13" s="447"/>
      <c r="M13" s="447"/>
      <c r="N13" s="1175"/>
      <c r="O13" s="83">
        <f t="shared" si="1"/>
        <v>1.75E-4</v>
      </c>
      <c r="R13" s="48"/>
      <c r="S13" s="48"/>
      <c r="T13" s="48"/>
      <c r="U13" s="802">
        <f t="shared" si="2"/>
        <v>1.75E-4</v>
      </c>
      <c r="V13" s="83"/>
      <c r="Y13" s="53"/>
      <c r="AM13" s="802"/>
      <c r="AR13" s="802"/>
      <c r="AW13" s="1036">
        <v>0</v>
      </c>
      <c r="AX13" s="43">
        <v>1</v>
      </c>
      <c r="AY13" s="1174"/>
      <c r="AZ13" s="1174"/>
      <c r="BA13" s="1174"/>
      <c r="BB13" s="1174"/>
      <c r="BC13" s="1174"/>
      <c r="BD13" s="1174"/>
      <c r="BE13" s="1174"/>
    </row>
    <row r="14" spans="1:60" ht="12" customHeight="1">
      <c r="A14" s="53" t="s">
        <v>797</v>
      </c>
      <c r="B14" s="43" t="e">
        <f>10000*IF(J8=L30,0,IF(J8&gt;L30,BB19-(J8-L30),BC19-(L30-J8)))</f>
        <v>#VALUE!</v>
      </c>
      <c r="D14" s="447"/>
      <c r="E14" s="447"/>
      <c r="F14" s="447"/>
      <c r="G14" s="447"/>
      <c r="H14" s="447"/>
      <c r="I14" s="447"/>
      <c r="J14" s="447"/>
      <c r="K14" s="447"/>
      <c r="L14" s="447"/>
      <c r="M14" s="447"/>
      <c r="N14" s="1175"/>
      <c r="O14" s="83">
        <f t="shared" si="1"/>
        <v>1.75E-4</v>
      </c>
      <c r="R14" s="48"/>
      <c r="S14" s="48"/>
      <c r="T14" s="48"/>
      <c r="U14" s="802">
        <f t="shared" si="2"/>
        <v>1.75E-4</v>
      </c>
      <c r="V14" s="83"/>
      <c r="Y14" s="53"/>
      <c r="AM14" s="802"/>
      <c r="AR14" s="802"/>
      <c r="AY14" s="1174"/>
      <c r="AZ14" s="1174"/>
      <c r="BA14" s="1174"/>
      <c r="BB14" s="1174"/>
      <c r="BC14" s="1174"/>
      <c r="BD14" s="1174"/>
      <c r="BE14" s="1174"/>
      <c r="BG14" s="49"/>
    </row>
    <row r="15" spans="1:60" ht="12" customHeight="1">
      <c r="A15" s="53"/>
      <c r="D15" s="447"/>
      <c r="E15" s="447"/>
      <c r="F15" s="447"/>
      <c r="G15" s="447"/>
      <c r="H15" s="447"/>
      <c r="I15" s="447"/>
      <c r="J15" s="447"/>
      <c r="K15" s="447"/>
      <c r="L15" s="447"/>
      <c r="M15" s="447"/>
      <c r="N15" s="1175"/>
      <c r="O15" s="83">
        <f t="shared" si="1"/>
        <v>1.75E-4</v>
      </c>
      <c r="P15" s="48"/>
      <c r="Q15" s="48"/>
      <c r="R15" s="48"/>
      <c r="S15" s="48"/>
      <c r="T15" s="48"/>
      <c r="U15" s="802">
        <f t="shared" si="2"/>
        <v>1.75E-4</v>
      </c>
      <c r="V15" s="83"/>
      <c r="Y15" s="53"/>
      <c r="AM15" s="802"/>
      <c r="AR15" s="802"/>
      <c r="AW15" s="1195" t="s">
        <v>798</v>
      </c>
      <c r="AX15" s="1195" t="s">
        <v>799</v>
      </c>
      <c r="AY15" s="1195" t="s">
        <v>800</v>
      </c>
      <c r="AZ15" s="1195" t="s">
        <v>801</v>
      </c>
      <c r="BA15" s="1195" t="s">
        <v>244</v>
      </c>
      <c r="BB15" s="1195" t="s">
        <v>1538</v>
      </c>
      <c r="BC15" s="1195" t="s">
        <v>1537</v>
      </c>
      <c r="BD15" s="1174"/>
      <c r="BE15" s="1174"/>
      <c r="BG15" s="49"/>
    </row>
    <row r="16" spans="1:60" ht="12" customHeight="1">
      <c r="A16" s="53" t="s">
        <v>802</v>
      </c>
      <c r="B16" s="95" t="b">
        <v>0</v>
      </c>
      <c r="D16" s="1107">
        <v>3</v>
      </c>
      <c r="E16" s="1196" t="s">
        <v>122</v>
      </c>
      <c r="F16" s="208"/>
      <c r="G16" s="1108"/>
      <c r="H16" s="208"/>
      <c r="I16" s="208"/>
      <c r="J16" s="208"/>
      <c r="K16" s="877" t="s">
        <v>155</v>
      </c>
      <c r="L16" s="208"/>
      <c r="M16" s="208"/>
      <c r="N16" s="1175"/>
      <c r="O16" s="83">
        <f t="shared" si="1"/>
        <v>1.75E-4</v>
      </c>
      <c r="P16" s="48"/>
      <c r="Q16" s="48"/>
      <c r="R16" s="48"/>
      <c r="S16" s="815"/>
      <c r="T16" s="48"/>
      <c r="U16" s="802">
        <f t="shared" si="2"/>
        <v>1.75E-4</v>
      </c>
      <c r="V16" s="83"/>
      <c r="AM16" s="802"/>
      <c r="AR16" s="802"/>
      <c r="AW16" s="1197">
        <f>J8</f>
        <v>0.36363636363636365</v>
      </c>
      <c r="AX16" s="1197">
        <f>1-AW16</f>
        <v>0.63636363636363635</v>
      </c>
      <c r="AY16" s="51">
        <f>2*F8+$AZ$7^2</f>
        <v>19.841458820694125</v>
      </c>
      <c r="AZ16" s="51">
        <f>$AZ$7*SQRT($AZ$7^2+4*F8*AX16)</f>
        <v>9.6427629029022199</v>
      </c>
      <c r="BA16" s="51">
        <f>2*(F10+$AZ$7^2)</f>
        <v>51.682917641388251</v>
      </c>
      <c r="BB16" s="1198">
        <f>(AY16-AZ16)/BA16</f>
        <v>0.19733204670366128</v>
      </c>
      <c r="BC16" s="1198">
        <f>(AY16+AZ16)/BA16</f>
        <v>0.57048291909868987</v>
      </c>
      <c r="BD16" s="1174"/>
      <c r="BE16" s="1174"/>
      <c r="BG16" s="49"/>
    </row>
    <row r="17" spans="1:59" ht="12" customHeight="1">
      <c r="A17" s="53"/>
      <c r="D17" s="884"/>
      <c r="E17" s="204"/>
      <c r="F17" s="204"/>
      <c r="G17" s="204"/>
      <c r="H17" s="204"/>
      <c r="I17" s="1199" t="s">
        <v>52</v>
      </c>
      <c r="J17" s="871">
        <f>IF(xandn,BB16,"")</f>
        <v>0.19733204670366128</v>
      </c>
      <c r="K17" s="889" t="s">
        <v>1535</v>
      </c>
      <c r="L17" s="888">
        <f>IF(xandn,BC16,"")</f>
        <v>0.57048291909868987</v>
      </c>
      <c r="M17" s="1200" t="s">
        <v>1536</v>
      </c>
      <c r="N17" s="1175"/>
      <c r="O17" s="83">
        <f t="shared" si="1"/>
        <v>1.75E-4</v>
      </c>
      <c r="P17" s="48"/>
      <c r="Q17" s="48"/>
      <c r="R17" s="48"/>
      <c r="S17" s="815"/>
      <c r="T17" s="48"/>
      <c r="U17" s="802">
        <f t="shared" si="2"/>
        <v>1.75E-4</v>
      </c>
      <c r="V17" s="83"/>
      <c r="AM17" s="802"/>
      <c r="AR17" s="802"/>
      <c r="AV17" s="53" t="s">
        <v>803</v>
      </c>
      <c r="AW17" s="1174"/>
      <c r="AX17" s="1174"/>
      <c r="AY17" s="1174">
        <f>2*F8+$B$13^2</f>
        <v>17.636363654468887</v>
      </c>
      <c r="AZ17" s="1174">
        <f>$B$13*SQRT($B$13^2+4*F8*AX16)</f>
        <v>6.0000000356618566</v>
      </c>
      <c r="BA17" s="1174">
        <f>2*(F10+$B$13^2)</f>
        <v>47.272727308937775</v>
      </c>
      <c r="BB17" s="1198">
        <f>(AY17-AZ17)/BA17</f>
        <v>0.24615384559390471</v>
      </c>
      <c r="BC17" s="1198">
        <f>(AY17+AZ17)/BA17</f>
        <v>0.50000000075438544</v>
      </c>
      <c r="BD17" s="1174"/>
      <c r="BE17" s="1174"/>
      <c r="BG17" s="49"/>
    </row>
    <row r="18" spans="1:59" ht="12" customHeight="1">
      <c r="A18" s="53"/>
      <c r="D18" s="884"/>
      <c r="E18" s="1201" t="s">
        <v>746</v>
      </c>
      <c r="F18" s="639">
        <v>95</v>
      </c>
      <c r="G18" s="204"/>
      <c r="H18" s="204"/>
      <c r="I18" s="204"/>
      <c r="J18" s="842"/>
      <c r="K18" s="842"/>
      <c r="L18" s="842"/>
      <c r="M18" s="204"/>
      <c r="N18" s="1175"/>
      <c r="O18" s="83">
        <f t="shared" si="1"/>
        <v>1.75E-4</v>
      </c>
      <c r="P18" s="48"/>
      <c r="Q18" s="48"/>
      <c r="R18" s="48"/>
      <c r="S18" s="48"/>
      <c r="T18" s="48"/>
      <c r="U18" s="802">
        <f t="shared" si="2"/>
        <v>1.75E-4</v>
      </c>
      <c r="V18" s="83"/>
      <c r="AM18" s="802"/>
      <c r="AR18" s="802"/>
      <c r="AW18" s="1174"/>
      <c r="AX18" s="1174"/>
      <c r="AY18" s="1174"/>
      <c r="AZ18" s="1174"/>
      <c r="BA18" s="1174"/>
      <c r="BB18" s="1174" t="s">
        <v>804</v>
      </c>
      <c r="BC18" s="1174" t="s">
        <v>805</v>
      </c>
      <c r="BD18" s="1174"/>
      <c r="BE18" s="1174"/>
      <c r="BG18" s="49"/>
    </row>
    <row r="19" spans="1:59" ht="12" customHeight="1">
      <c r="A19" s="53"/>
      <c r="D19" s="884"/>
      <c r="E19" s="204"/>
      <c r="F19" s="885"/>
      <c r="G19" s="204"/>
      <c r="H19" s="204"/>
      <c r="I19" s="204"/>
      <c r="J19" s="880" t="s">
        <v>747</v>
      </c>
      <c r="K19" s="204"/>
      <c r="L19" s="880" t="s">
        <v>748</v>
      </c>
      <c r="M19" s="204"/>
      <c r="N19" s="1175"/>
      <c r="O19" s="83">
        <f t="shared" si="1"/>
        <v>1.75E-4</v>
      </c>
      <c r="P19" s="48"/>
      <c r="Q19" s="48"/>
      <c r="R19" s="48"/>
      <c r="S19" s="48"/>
      <c r="T19" s="48"/>
      <c r="U19" s="802">
        <f t="shared" si="2"/>
        <v>1.75E-4</v>
      </c>
      <c r="V19" s="83"/>
      <c r="AM19" s="802"/>
      <c r="AR19" s="802"/>
      <c r="AW19" s="1202"/>
      <c r="AX19" s="1202"/>
      <c r="AY19" s="1202"/>
      <c r="AZ19" s="1202"/>
      <c r="BA19" s="1202"/>
      <c r="BB19" s="1202">
        <f>AW16-BB17</f>
        <v>0.11748251804245893</v>
      </c>
      <c r="BC19" s="1202">
        <f>BC17-AW16</f>
        <v>0.1363636371180218</v>
      </c>
      <c r="BD19" s="1174"/>
      <c r="BE19" s="1174"/>
      <c r="BG19" s="49"/>
    </row>
    <row r="20" spans="1:59" ht="12" customHeight="1">
      <c r="A20" s="1203">
        <v>8</v>
      </c>
      <c r="B20" s="43">
        <f>forx</f>
        <v>8</v>
      </c>
      <c r="D20" s="884"/>
      <c r="E20" s="204"/>
      <c r="F20" s="885"/>
      <c r="G20" s="204"/>
      <c r="H20" s="204"/>
      <c r="I20" s="204"/>
      <c r="J20" s="880" t="s">
        <v>1280</v>
      </c>
      <c r="K20" s="880"/>
      <c r="L20" s="880" t="s">
        <v>1280</v>
      </c>
      <c r="M20" s="204"/>
      <c r="N20" s="1175"/>
      <c r="O20" s="83">
        <f t="shared" si="1"/>
        <v>1.75E-4</v>
      </c>
      <c r="P20" s="48"/>
      <c r="Q20" s="48"/>
      <c r="R20" s="48"/>
      <c r="S20" s="48"/>
      <c r="T20" s="48"/>
      <c r="U20" s="802">
        <f t="shared" si="2"/>
        <v>1.75E-4</v>
      </c>
      <c r="V20" s="83"/>
      <c r="AM20" s="802"/>
      <c r="AR20" s="802"/>
      <c r="AW20" s="43" t="s">
        <v>806</v>
      </c>
      <c r="BD20" s="1174"/>
      <c r="BE20" s="1174"/>
      <c r="BG20" s="49"/>
    </row>
    <row r="21" spans="1:59" ht="12" customHeight="1">
      <c r="A21" s="1203">
        <v>22</v>
      </c>
      <c r="B21" s="43">
        <f>F10</f>
        <v>22</v>
      </c>
      <c r="D21" s="884"/>
      <c r="E21" s="204"/>
      <c r="F21" s="204"/>
      <c r="G21" s="205" t="s">
        <v>96</v>
      </c>
      <c r="H21" s="928">
        <f>IF(xandn,(L21+J21)/2,"")</f>
        <v>0.18657543619751429</v>
      </c>
      <c r="I21" s="204"/>
      <c r="J21" s="1204">
        <f>IF(xandn,J8-J17,"")</f>
        <v>0.16630431693270237</v>
      </c>
      <c r="K21" s="1205"/>
      <c r="L21" s="1204">
        <f>IF(xandn,L17-J8,"")</f>
        <v>0.20684655546232622</v>
      </c>
      <c r="M21" s="204"/>
      <c r="N21" s="1175"/>
      <c r="O21" s="83">
        <f t="shared" si="1"/>
        <v>1.75E-4</v>
      </c>
      <c r="P21" s="48"/>
      <c r="Q21" s="48"/>
      <c r="R21" s="48"/>
      <c r="S21" s="48"/>
      <c r="T21" s="48"/>
      <c r="U21" s="802">
        <f t="shared" si="2"/>
        <v>1.75E-4</v>
      </c>
      <c r="V21" s="83"/>
      <c r="AM21" s="802"/>
      <c r="AR21" s="802"/>
      <c r="AW21" s="49" t="s">
        <v>1184</v>
      </c>
      <c r="AX21" s="49" t="s">
        <v>1122</v>
      </c>
      <c r="AY21" s="49" t="s">
        <v>808</v>
      </c>
      <c r="AZ21" s="49"/>
      <c r="BA21" s="49"/>
      <c r="BB21" s="49"/>
      <c r="BC21" s="49"/>
      <c r="BD21" s="1206"/>
      <c r="BE21" s="1174"/>
      <c r="BG21" s="49"/>
    </row>
    <row r="22" spans="1:59" ht="12" customHeight="1">
      <c r="A22" s="53" t="s">
        <v>123</v>
      </c>
      <c r="B22" s="43" t="b">
        <f>AND(putoneprop=B20,A21=B21)</f>
        <v>1</v>
      </c>
      <c r="D22" s="891"/>
      <c r="E22" s="892"/>
      <c r="F22" s="892"/>
      <c r="G22" s="892"/>
      <c r="H22" s="892"/>
      <c r="I22" s="892"/>
      <c r="J22" s="892"/>
      <c r="K22" s="892"/>
      <c r="L22" s="892"/>
      <c r="M22" s="892"/>
      <c r="N22" s="1175"/>
      <c r="O22" s="83">
        <f t="shared" si="1"/>
        <v>1.75E-4</v>
      </c>
      <c r="P22" s="48"/>
      <c r="Q22" s="48"/>
      <c r="R22" s="48"/>
      <c r="S22" s="48"/>
      <c r="T22" s="48"/>
      <c r="U22" s="802">
        <f t="shared" si="2"/>
        <v>1.75E-4</v>
      </c>
      <c r="V22" s="83"/>
      <c r="AM22" s="802"/>
      <c r="AR22" s="802"/>
      <c r="AW22" s="43">
        <v>1</v>
      </c>
      <c r="AX22" s="43" t="e">
        <f t="shared" ref="AX22:AX53" si="3">IF(AND(xandn,$B$16,$F$10&lt;201,AW22&lt;$F$10),0,NA())</f>
        <v>#N/A</v>
      </c>
      <c r="AY22" s="43" t="e">
        <f t="shared" ref="AY22:AY53" si="4">IF(AND(xandn,$B$16,$F$10&lt;201,AW22&lt;$F$10),AW22/$F$10,NA())</f>
        <v>#N/A</v>
      </c>
      <c r="BD22" s="1174"/>
      <c r="BE22" s="1174"/>
      <c r="BG22" s="49"/>
    </row>
    <row r="23" spans="1:59" ht="12" customHeight="1">
      <c r="A23" s="53"/>
      <c r="D23" s="50"/>
      <c r="E23" s="50"/>
      <c r="F23" s="50"/>
      <c r="G23" s="50"/>
      <c r="H23" s="50"/>
      <c r="I23" s="50"/>
      <c r="J23" s="50"/>
      <c r="K23" s="50"/>
      <c r="L23" s="50"/>
      <c r="M23" s="50"/>
      <c r="N23" s="1175"/>
      <c r="O23" s="83">
        <f t="shared" si="1"/>
        <v>1.75E-4</v>
      </c>
      <c r="P23" s="48"/>
      <c r="Q23" s="48"/>
      <c r="R23" s="48"/>
      <c r="S23" s="48"/>
      <c r="T23" s="48"/>
      <c r="U23" s="802">
        <f t="shared" si="2"/>
        <v>1.75E-4</v>
      </c>
      <c r="V23" s="83"/>
      <c r="AM23" s="802"/>
      <c r="AR23" s="802"/>
      <c r="AW23" s="1202">
        <v>2</v>
      </c>
      <c r="AX23" s="43" t="e">
        <f t="shared" si="3"/>
        <v>#N/A</v>
      </c>
      <c r="AY23" s="43" t="e">
        <f t="shared" si="4"/>
        <v>#N/A</v>
      </c>
      <c r="AZ23" s="1202"/>
      <c r="BA23" s="1202"/>
      <c r="BB23" s="1202"/>
      <c r="BC23" s="1202"/>
      <c r="BD23" s="1174"/>
      <c r="BE23" s="1174"/>
      <c r="BG23" s="49"/>
    </row>
    <row r="24" spans="1:59" ht="12" customHeight="1">
      <c r="A24" s="53"/>
      <c r="D24" s="50"/>
      <c r="E24" s="50"/>
      <c r="F24" s="50"/>
      <c r="G24" s="50"/>
      <c r="H24" s="50"/>
      <c r="I24" s="50"/>
      <c r="J24" s="50"/>
      <c r="K24" s="50"/>
      <c r="L24" s="50"/>
      <c r="M24" s="50"/>
      <c r="N24" s="1175"/>
      <c r="O24" s="83">
        <f t="shared" si="1"/>
        <v>1.75E-4</v>
      </c>
      <c r="P24" s="48"/>
      <c r="Q24" s="48"/>
      <c r="R24" s="48"/>
      <c r="S24" s="48"/>
      <c r="T24" s="48"/>
      <c r="U24" s="802">
        <f t="shared" si="2"/>
        <v>1.75E-4</v>
      </c>
      <c r="V24" s="83"/>
      <c r="AM24" s="802"/>
      <c r="AR24" s="802"/>
      <c r="AW24" s="1202">
        <v>3</v>
      </c>
      <c r="AX24" s="43" t="e">
        <f t="shared" si="3"/>
        <v>#N/A</v>
      </c>
      <c r="AY24" s="43" t="e">
        <f t="shared" si="4"/>
        <v>#N/A</v>
      </c>
      <c r="AZ24" s="1202"/>
      <c r="BA24" s="1202"/>
      <c r="BB24" s="1202"/>
      <c r="BC24" s="1202"/>
      <c r="BD24" s="1174"/>
      <c r="BE24" s="1174"/>
      <c r="BG24" s="49"/>
    </row>
    <row r="25" spans="1:59" ht="12" customHeight="1">
      <c r="A25" s="53"/>
      <c r="D25" s="808">
        <v>4</v>
      </c>
      <c r="E25" s="1207" t="s">
        <v>97</v>
      </c>
      <c r="F25" s="810"/>
      <c r="G25" s="810"/>
      <c r="H25" s="810"/>
      <c r="I25" s="810"/>
      <c r="J25" s="810"/>
      <c r="K25" s="810"/>
      <c r="L25" s="810"/>
      <c r="M25" s="810"/>
      <c r="N25" s="1175"/>
      <c r="O25" s="83">
        <f t="shared" si="1"/>
        <v>1.75E-4</v>
      </c>
      <c r="P25" s="815"/>
      <c r="Q25" s="48"/>
      <c r="R25" s="48"/>
      <c r="S25" s="48"/>
      <c r="T25" s="48"/>
      <c r="U25" s="802">
        <f t="shared" si="2"/>
        <v>1.75E-4</v>
      </c>
      <c r="V25" s="83"/>
      <c r="AM25" s="802"/>
      <c r="AR25" s="802"/>
      <c r="AW25" s="43">
        <v>4</v>
      </c>
      <c r="AX25" s="43" t="e">
        <f t="shared" si="3"/>
        <v>#N/A</v>
      </c>
      <c r="AY25" s="43" t="e">
        <f t="shared" si="4"/>
        <v>#N/A</v>
      </c>
      <c r="AZ25" s="1202"/>
      <c r="BA25" s="1202"/>
      <c r="BB25" s="1202"/>
      <c r="BC25" s="1202"/>
      <c r="BD25" s="1174"/>
      <c r="BE25" s="1174"/>
      <c r="BG25" s="49"/>
    </row>
    <row r="26" spans="1:59" ht="12" customHeight="1">
      <c r="A26" s="53"/>
      <c r="D26" s="816"/>
      <c r="E26" s="817"/>
      <c r="F26" s="817" t="s">
        <v>98</v>
      </c>
      <c r="G26" s="817"/>
      <c r="H26" s="817"/>
      <c r="I26" s="817"/>
      <c r="J26" s="817"/>
      <c r="K26" s="817"/>
      <c r="L26" s="817"/>
      <c r="M26" s="817"/>
      <c r="N26" s="1175"/>
      <c r="O26" s="83">
        <f t="shared" si="1"/>
        <v>1.75E-4</v>
      </c>
      <c r="P26" s="815"/>
      <c r="Q26" s="48"/>
      <c r="R26" s="48"/>
      <c r="S26" s="48"/>
      <c r="T26" s="48"/>
      <c r="U26" s="802">
        <f t="shared" si="2"/>
        <v>1.75E-4</v>
      </c>
      <c r="V26" s="83"/>
      <c r="AM26" s="802"/>
      <c r="AR26" s="802"/>
      <c r="AW26" s="1202">
        <v>5</v>
      </c>
      <c r="AX26" s="43" t="e">
        <f t="shared" si="3"/>
        <v>#N/A</v>
      </c>
      <c r="AY26" s="43" t="e">
        <f t="shared" si="4"/>
        <v>#N/A</v>
      </c>
      <c r="AZ26" s="1202"/>
      <c r="BA26" s="1202"/>
      <c r="BB26" s="1202"/>
      <c r="BC26" s="1202"/>
      <c r="BD26" s="1174"/>
      <c r="BE26" s="1174"/>
      <c r="BG26" s="49"/>
    </row>
    <row r="27" spans="1:59" ht="12" customHeight="1">
      <c r="A27" s="53"/>
      <c r="D27" s="816"/>
      <c r="E27" s="817"/>
      <c r="F27" s="817"/>
      <c r="G27" s="817"/>
      <c r="H27" s="817"/>
      <c r="I27" s="817"/>
      <c r="J27" s="817"/>
      <c r="K27" s="817"/>
      <c r="L27" s="817"/>
      <c r="M27" s="817"/>
      <c r="N27" s="1175"/>
      <c r="O27" s="83">
        <f t="shared" si="1"/>
        <v>1.75E-4</v>
      </c>
      <c r="P27" s="1208"/>
      <c r="Q27" s="48"/>
      <c r="R27" s="48"/>
      <c r="S27" s="48"/>
      <c r="T27" s="48"/>
      <c r="U27" s="802">
        <f t="shared" si="2"/>
        <v>1.75E-4</v>
      </c>
      <c r="V27" s="83"/>
      <c r="AM27" s="802"/>
      <c r="AR27" s="802"/>
      <c r="AW27" s="1202">
        <v>6</v>
      </c>
      <c r="AX27" s="43" t="e">
        <f t="shared" si="3"/>
        <v>#N/A</v>
      </c>
      <c r="AY27" s="43" t="e">
        <f t="shared" si="4"/>
        <v>#N/A</v>
      </c>
      <c r="AZ27" s="1202"/>
      <c r="BA27" s="1202"/>
      <c r="BB27" s="1202"/>
      <c r="BC27" s="1202"/>
      <c r="BD27" s="1174"/>
      <c r="BE27" s="1174"/>
      <c r="BG27" s="49"/>
    </row>
    <row r="28" spans="1:59" ht="12.75" customHeight="1">
      <c r="A28" s="53"/>
      <c r="D28" s="1061"/>
      <c r="E28" s="817"/>
      <c r="F28" s="817"/>
      <c r="G28" s="817"/>
      <c r="H28" s="817"/>
      <c r="I28" s="817"/>
      <c r="J28" s="817"/>
      <c r="K28" s="1011"/>
      <c r="L28" s="1011"/>
      <c r="M28" s="817"/>
      <c r="N28" s="1175"/>
      <c r="O28" s="83">
        <f t="shared" si="1"/>
        <v>1.75E-4</v>
      </c>
      <c r="P28" s="48"/>
      <c r="Q28" s="48"/>
      <c r="R28" s="48"/>
      <c r="S28" s="48"/>
      <c r="T28" s="48"/>
      <c r="U28" s="802">
        <f t="shared" si="2"/>
        <v>1.75E-4</v>
      </c>
      <c r="V28" s="83"/>
      <c r="AM28" s="802"/>
      <c r="AR28" s="802"/>
      <c r="AW28" s="43">
        <v>7</v>
      </c>
      <c r="AX28" s="43" t="e">
        <f t="shared" si="3"/>
        <v>#N/A</v>
      </c>
      <c r="AY28" s="43" t="e">
        <f t="shared" si="4"/>
        <v>#N/A</v>
      </c>
      <c r="AZ28" s="1174"/>
      <c r="BA28" s="1174"/>
      <c r="BB28" s="1174"/>
      <c r="BC28" s="1174"/>
      <c r="BD28" s="1174"/>
      <c r="BE28" s="1174"/>
      <c r="BG28" s="49"/>
    </row>
    <row r="29" spans="1:59" ht="13.5" customHeight="1">
      <c r="A29" s="53"/>
      <c r="D29" s="816"/>
      <c r="E29" s="1011"/>
      <c r="F29" s="1011"/>
      <c r="G29" s="817"/>
      <c r="H29" s="817"/>
      <c r="I29" s="817"/>
      <c r="J29" s="817"/>
      <c r="K29" s="817"/>
      <c r="L29" s="1065" t="s">
        <v>124</v>
      </c>
      <c r="M29" s="817"/>
      <c r="N29" s="1175"/>
      <c r="O29" s="1209">
        <f t="shared" si="1"/>
        <v>1.75E-4</v>
      </c>
      <c r="U29" s="802">
        <f t="shared" si="2"/>
        <v>1.75E-4</v>
      </c>
      <c r="V29" s="83"/>
      <c r="AM29" s="802"/>
      <c r="AR29" s="802"/>
      <c r="AW29" s="1202">
        <v>8</v>
      </c>
      <c r="AX29" s="43" t="e">
        <f t="shared" si="3"/>
        <v>#N/A</v>
      </c>
      <c r="AY29" s="43" t="e">
        <f t="shared" si="4"/>
        <v>#N/A</v>
      </c>
      <c r="AZ29" s="1174"/>
      <c r="BA29" s="1174"/>
      <c r="BB29" s="1174"/>
      <c r="BC29" s="1174"/>
      <c r="BD29" s="1174"/>
      <c r="BE29" s="1174"/>
      <c r="BG29" s="49"/>
    </row>
    <row r="30" spans="1:59" ht="14.25" customHeight="1">
      <c r="A30" s="53"/>
      <c r="D30" s="816"/>
      <c r="E30" s="1210" t="s">
        <v>99</v>
      </c>
      <c r="F30" s="1211" t="str">
        <f>IF(AND(xandn,B7,B22),B12,"")</f>
        <v/>
      </c>
      <c r="G30" s="817"/>
      <c r="H30" s="817"/>
      <c r="I30" s="817"/>
      <c r="J30" s="817"/>
      <c r="K30" s="1212" t="s">
        <v>125</v>
      </c>
      <c r="L30" s="1213" t="str">
        <f>IF(B7,(100-B6)/100,"")</f>
        <v/>
      </c>
      <c r="M30" s="1214"/>
      <c r="N30" s="1215"/>
      <c r="O30" s="1209">
        <f t="shared" si="1"/>
        <v>1.75E-4</v>
      </c>
      <c r="U30" s="802">
        <f t="shared" si="2"/>
        <v>1.75E-4</v>
      </c>
      <c r="V30" s="83"/>
      <c r="AM30" s="802"/>
      <c r="AR30" s="802"/>
      <c r="AW30" s="1202">
        <v>9</v>
      </c>
      <c r="AX30" s="43" t="e">
        <f t="shared" si="3"/>
        <v>#N/A</v>
      </c>
      <c r="AY30" s="43" t="e">
        <f t="shared" si="4"/>
        <v>#N/A</v>
      </c>
      <c r="AZ30" s="1174"/>
      <c r="BA30" s="1174"/>
      <c r="BB30" s="1174"/>
      <c r="BC30" s="1174"/>
      <c r="BD30" s="1174"/>
      <c r="BE30" s="1174"/>
      <c r="BG30" s="49"/>
    </row>
    <row r="31" spans="1:59" ht="12" customHeight="1">
      <c r="A31" s="53"/>
      <c r="D31" s="1216"/>
      <c r="E31" s="1217"/>
      <c r="F31" s="1217"/>
      <c r="G31" s="1217"/>
      <c r="H31" s="1217"/>
      <c r="I31" s="1217"/>
      <c r="J31" s="1217"/>
      <c r="K31" s="1217"/>
      <c r="L31" s="1217"/>
      <c r="M31" s="1218"/>
      <c r="N31" s="1219"/>
      <c r="O31" s="1209">
        <f t="shared" si="1"/>
        <v>1.75E-4</v>
      </c>
      <c r="U31" s="802">
        <f t="shared" si="2"/>
        <v>1.75E-4</v>
      </c>
      <c r="V31" s="83"/>
      <c r="AM31" s="802"/>
      <c r="AR31" s="802"/>
      <c r="AW31" s="43">
        <v>10</v>
      </c>
      <c r="AX31" s="43" t="e">
        <f t="shared" si="3"/>
        <v>#N/A</v>
      </c>
      <c r="AY31" s="43" t="e">
        <f t="shared" si="4"/>
        <v>#N/A</v>
      </c>
      <c r="AZ31" s="1174"/>
      <c r="BA31" s="1174"/>
      <c r="BB31" s="1174"/>
      <c r="BC31" s="1174"/>
      <c r="BD31" s="1174"/>
      <c r="BE31" s="1174"/>
      <c r="BG31" s="49"/>
    </row>
    <row r="32" spans="1:59" ht="12" customHeight="1">
      <c r="A32" s="53"/>
      <c r="D32" s="1220"/>
      <c r="E32" s="1220"/>
      <c r="F32" s="1220"/>
      <c r="G32" s="1220"/>
      <c r="H32" s="1220"/>
      <c r="I32" s="1220"/>
      <c r="J32" s="1220"/>
      <c r="K32" s="1220"/>
      <c r="L32" s="1220"/>
      <c r="M32" s="502"/>
      <c r="N32" s="1215"/>
      <c r="O32" s="83">
        <f t="shared" si="1"/>
        <v>1.75E-4</v>
      </c>
      <c r="U32" s="802">
        <f t="shared" si="2"/>
        <v>1.75E-4</v>
      </c>
      <c r="V32" s="83"/>
      <c r="AM32" s="802"/>
      <c r="AR32" s="802"/>
      <c r="AW32" s="1202">
        <v>11</v>
      </c>
      <c r="AX32" s="43" t="e">
        <f t="shared" si="3"/>
        <v>#N/A</v>
      </c>
      <c r="AY32" s="43" t="e">
        <f t="shared" si="4"/>
        <v>#N/A</v>
      </c>
      <c r="AZ32" s="1174"/>
      <c r="BA32" s="1174"/>
      <c r="BB32" s="1174"/>
      <c r="BC32" s="1174"/>
      <c r="BD32" s="1174"/>
      <c r="BE32" s="1174"/>
      <c r="BG32" s="49"/>
    </row>
    <row r="33" spans="1:59" ht="12" customHeight="1">
      <c r="A33" s="53"/>
      <c r="D33" s="502"/>
      <c r="E33" s="502"/>
      <c r="F33" s="502"/>
      <c r="G33" s="502"/>
      <c r="H33" s="502"/>
      <c r="I33" s="502"/>
      <c r="J33" s="502"/>
      <c r="K33" s="502"/>
      <c r="L33" s="502"/>
      <c r="N33" s="1175"/>
      <c r="O33" s="83">
        <f t="shared" si="1"/>
        <v>1.75E-4</v>
      </c>
      <c r="U33" s="802">
        <f t="shared" si="2"/>
        <v>1.75E-4</v>
      </c>
      <c r="V33" s="83"/>
      <c r="AM33" s="802"/>
      <c r="AR33" s="802"/>
      <c r="AW33" s="1202">
        <v>12</v>
      </c>
      <c r="AX33" s="43" t="e">
        <f t="shared" si="3"/>
        <v>#N/A</v>
      </c>
      <c r="AY33" s="43" t="e">
        <f t="shared" si="4"/>
        <v>#N/A</v>
      </c>
      <c r="AZ33" s="1174"/>
      <c r="BA33" s="1174"/>
      <c r="BB33" s="1174"/>
      <c r="BC33" s="1174"/>
      <c r="BD33" s="1174"/>
      <c r="BE33" s="1174"/>
      <c r="BG33" s="49"/>
    </row>
    <row r="34" spans="1:59" ht="12" customHeight="1">
      <c r="N34" s="1175"/>
      <c r="O34" s="83">
        <f t="shared" si="1"/>
        <v>1.75E-4</v>
      </c>
      <c r="U34" s="802">
        <f t="shared" si="2"/>
        <v>1.75E-4</v>
      </c>
      <c r="V34" s="83"/>
      <c r="AM34" s="802"/>
      <c r="AR34" s="802"/>
      <c r="AW34" s="43">
        <v>13</v>
      </c>
      <c r="AX34" s="43" t="e">
        <f t="shared" si="3"/>
        <v>#N/A</v>
      </c>
      <c r="AY34" s="43" t="e">
        <f t="shared" si="4"/>
        <v>#N/A</v>
      </c>
      <c r="AZ34" s="1174"/>
      <c r="BA34" s="1174"/>
      <c r="BB34" s="1174"/>
      <c r="BC34" s="1174"/>
      <c r="BD34" s="1174"/>
      <c r="BE34" s="1174"/>
      <c r="BG34" s="49"/>
    </row>
    <row r="35" spans="1:59" ht="12" customHeight="1">
      <c r="N35" s="1175"/>
      <c r="O35" s="83">
        <f t="shared" si="1"/>
        <v>1.75E-4</v>
      </c>
      <c r="U35" s="802">
        <f t="shared" si="2"/>
        <v>1.75E-4</v>
      </c>
      <c r="V35" s="83"/>
      <c r="AM35" s="802"/>
      <c r="AR35" s="802"/>
      <c r="AW35" s="1202">
        <v>14</v>
      </c>
      <c r="AX35" s="43" t="e">
        <f t="shared" si="3"/>
        <v>#N/A</v>
      </c>
      <c r="AY35" s="43" t="e">
        <f t="shared" si="4"/>
        <v>#N/A</v>
      </c>
      <c r="AZ35" s="1174"/>
      <c r="BA35" s="1174"/>
      <c r="BB35" s="1174"/>
      <c r="BC35" s="1174"/>
      <c r="BD35" s="1174"/>
      <c r="BE35" s="1174"/>
      <c r="BG35" s="49"/>
    </row>
    <row r="36" spans="1:59" ht="12" customHeight="1">
      <c r="N36" s="1175"/>
      <c r="O36" s="83">
        <f t="shared" si="1"/>
        <v>1.75E-4</v>
      </c>
      <c r="U36" s="802"/>
      <c r="V36" s="83"/>
      <c r="AM36" s="802"/>
      <c r="AW36" s="1202">
        <v>15</v>
      </c>
      <c r="AX36" s="43" t="e">
        <f t="shared" si="3"/>
        <v>#N/A</v>
      </c>
      <c r="AY36" s="43" t="e">
        <f t="shared" si="4"/>
        <v>#N/A</v>
      </c>
      <c r="AZ36" s="1174"/>
      <c r="BA36" s="1174"/>
      <c r="BB36" s="1174"/>
      <c r="BC36" s="1174"/>
      <c r="BD36" s="1174"/>
      <c r="BE36" s="1174"/>
      <c r="BG36" s="49"/>
    </row>
    <row r="37" spans="1:59" ht="12" customHeight="1">
      <c r="N37" s="1175"/>
      <c r="O37" s="83">
        <f t="shared" si="1"/>
        <v>1.75E-4</v>
      </c>
      <c r="U37" s="802"/>
      <c r="V37" s="83"/>
      <c r="AM37" s="802"/>
      <c r="AW37" s="43">
        <v>16</v>
      </c>
      <c r="AX37" s="43" t="e">
        <f t="shared" si="3"/>
        <v>#N/A</v>
      </c>
      <c r="AY37" s="43" t="e">
        <f t="shared" si="4"/>
        <v>#N/A</v>
      </c>
      <c r="AZ37" s="1174"/>
      <c r="BA37" s="1174"/>
      <c r="BB37" s="1174"/>
      <c r="BC37" s="1174"/>
      <c r="BD37" s="1174"/>
      <c r="BE37" s="1174"/>
      <c r="BG37" s="49"/>
    </row>
    <row r="38" spans="1:59" ht="9.75" customHeight="1">
      <c r="N38" s="1221"/>
      <c r="O38" s="83">
        <f t="shared" si="1"/>
        <v>1.75E-4</v>
      </c>
      <c r="AW38" s="1202">
        <v>17</v>
      </c>
      <c r="AX38" s="43" t="e">
        <f t="shared" si="3"/>
        <v>#N/A</v>
      </c>
      <c r="AY38" s="43" t="e">
        <f t="shared" si="4"/>
        <v>#N/A</v>
      </c>
      <c r="AZ38" s="1174"/>
      <c r="BA38" s="1174"/>
      <c r="BB38" s="1174"/>
      <c r="BC38" s="1174"/>
      <c r="BD38" s="1174"/>
      <c r="BE38" s="1174"/>
      <c r="BG38" s="49"/>
    </row>
    <row r="39" spans="1:59" ht="12" customHeight="1">
      <c r="N39" s="50"/>
      <c r="O39" s="1031"/>
      <c r="AW39" s="1202">
        <v>18</v>
      </c>
      <c r="AX39" s="43" t="e">
        <f t="shared" si="3"/>
        <v>#N/A</v>
      </c>
      <c r="AY39" s="43" t="e">
        <f t="shared" si="4"/>
        <v>#N/A</v>
      </c>
      <c r="AZ39" s="1174"/>
      <c r="BA39" s="1174"/>
      <c r="BB39" s="1174"/>
      <c r="BC39" s="1174"/>
      <c r="BD39" s="1174"/>
      <c r="BE39" s="1174"/>
      <c r="BG39" s="49"/>
    </row>
    <row r="40" spans="1:59" ht="12" customHeight="1">
      <c r="O40" s="83"/>
      <c r="AW40" s="43">
        <v>19</v>
      </c>
      <c r="AX40" s="43" t="e">
        <f t="shared" si="3"/>
        <v>#N/A</v>
      </c>
      <c r="AY40" s="43" t="e">
        <f t="shared" si="4"/>
        <v>#N/A</v>
      </c>
      <c r="AZ40" s="1174"/>
      <c r="BA40" s="1174"/>
      <c r="BB40" s="1174"/>
      <c r="BC40" s="1174"/>
      <c r="BD40" s="1174"/>
      <c r="BE40" s="1174"/>
      <c r="BG40" s="49"/>
    </row>
    <row r="41" spans="1:59" ht="12" customHeight="1">
      <c r="AW41" s="1202">
        <v>20</v>
      </c>
      <c r="AX41" s="43" t="e">
        <f t="shared" si="3"/>
        <v>#N/A</v>
      </c>
      <c r="AY41" s="43" t="e">
        <f t="shared" si="4"/>
        <v>#N/A</v>
      </c>
      <c r="AZ41" s="1174"/>
      <c r="BA41" s="1174"/>
      <c r="BB41" s="1174"/>
      <c r="BC41" s="1174"/>
      <c r="BD41" s="1174"/>
      <c r="BE41" s="1174"/>
      <c r="BG41" s="49"/>
    </row>
    <row r="42" spans="1:59" ht="12" customHeight="1">
      <c r="AW42" s="1202">
        <v>21</v>
      </c>
      <c r="AX42" s="43" t="e">
        <f t="shared" si="3"/>
        <v>#N/A</v>
      </c>
      <c r="AY42" s="43" t="e">
        <f t="shared" si="4"/>
        <v>#N/A</v>
      </c>
      <c r="AZ42" s="1174"/>
      <c r="BA42" s="1174"/>
      <c r="BB42" s="1174"/>
      <c r="BC42" s="1174"/>
      <c r="BD42" s="1174"/>
      <c r="BE42" s="1174"/>
      <c r="BG42" s="49"/>
    </row>
    <row r="43" spans="1:59" ht="12" customHeight="1">
      <c r="AW43" s="43">
        <v>22</v>
      </c>
      <c r="AX43" s="43" t="e">
        <f t="shared" si="3"/>
        <v>#N/A</v>
      </c>
      <c r="AY43" s="43" t="e">
        <f t="shared" si="4"/>
        <v>#N/A</v>
      </c>
      <c r="AZ43" s="1174"/>
      <c r="BA43" s="1174"/>
      <c r="BB43" s="1174"/>
      <c r="BC43" s="1174"/>
      <c r="BD43" s="1174"/>
      <c r="BE43" s="1174"/>
      <c r="BG43" s="49"/>
    </row>
    <row r="44" spans="1:59" ht="12" customHeight="1">
      <c r="AW44" s="1202">
        <v>23</v>
      </c>
      <c r="AX44" s="43" t="e">
        <f t="shared" si="3"/>
        <v>#N/A</v>
      </c>
      <c r="AY44" s="43" t="e">
        <f t="shared" si="4"/>
        <v>#N/A</v>
      </c>
      <c r="AZ44" s="1174"/>
      <c r="BA44" s="1174"/>
      <c r="BB44" s="1174"/>
      <c r="BC44" s="1174"/>
      <c r="BD44" s="1174"/>
      <c r="BE44" s="1174"/>
      <c r="BG44" s="49"/>
    </row>
    <row r="45" spans="1:59" ht="12" customHeight="1">
      <c r="AW45" s="1202">
        <v>24</v>
      </c>
      <c r="AX45" s="43" t="e">
        <f t="shared" si="3"/>
        <v>#N/A</v>
      </c>
      <c r="AY45" s="43" t="e">
        <f t="shared" si="4"/>
        <v>#N/A</v>
      </c>
      <c r="AZ45" s="1174"/>
      <c r="BA45" s="1174"/>
      <c r="BB45" s="1174"/>
      <c r="BC45" s="1174"/>
      <c r="BD45" s="1174"/>
      <c r="BE45" s="1174"/>
      <c r="BG45" s="49"/>
    </row>
    <row r="46" spans="1:59" ht="12" customHeight="1">
      <c r="AW46" s="43">
        <v>25</v>
      </c>
      <c r="AX46" s="43" t="e">
        <f t="shared" si="3"/>
        <v>#N/A</v>
      </c>
      <c r="AY46" s="43" t="e">
        <f t="shared" si="4"/>
        <v>#N/A</v>
      </c>
      <c r="AZ46" s="1174"/>
      <c r="BA46" s="1174"/>
      <c r="BB46" s="1174"/>
      <c r="BC46" s="1174"/>
      <c r="BD46" s="1174"/>
      <c r="BE46" s="1174"/>
      <c r="BG46" s="49"/>
    </row>
    <row r="47" spans="1:59" ht="12" customHeight="1">
      <c r="AW47" s="1202">
        <v>26</v>
      </c>
      <c r="AX47" s="43" t="e">
        <f t="shared" si="3"/>
        <v>#N/A</v>
      </c>
      <c r="AY47" s="43" t="e">
        <f t="shared" si="4"/>
        <v>#N/A</v>
      </c>
      <c r="AZ47" s="1174"/>
      <c r="BA47" s="1174"/>
      <c r="BB47" s="1174"/>
      <c r="BC47" s="1174"/>
      <c r="BD47" s="1174"/>
      <c r="BE47" s="1174"/>
      <c r="BG47" s="49"/>
    </row>
    <row r="48" spans="1:59" ht="12" customHeight="1">
      <c r="AW48" s="1202">
        <v>27</v>
      </c>
      <c r="AX48" s="43" t="e">
        <f t="shared" si="3"/>
        <v>#N/A</v>
      </c>
      <c r="AY48" s="43" t="e">
        <f t="shared" si="4"/>
        <v>#N/A</v>
      </c>
      <c r="AZ48" s="1174"/>
      <c r="BA48" s="1174"/>
      <c r="BB48" s="1174"/>
      <c r="BC48" s="1174"/>
      <c r="BD48" s="1174"/>
      <c r="BE48" s="1174"/>
      <c r="BG48" s="49"/>
    </row>
    <row r="49" spans="49:59" ht="12" customHeight="1">
      <c r="AW49" s="43">
        <v>28</v>
      </c>
      <c r="AX49" s="43" t="e">
        <f t="shared" si="3"/>
        <v>#N/A</v>
      </c>
      <c r="AY49" s="43" t="e">
        <f t="shared" si="4"/>
        <v>#N/A</v>
      </c>
      <c r="AZ49" s="1174"/>
      <c r="BA49" s="1174"/>
      <c r="BB49" s="1174"/>
      <c r="BC49" s="1174"/>
      <c r="BD49" s="1174"/>
      <c r="BE49" s="1174"/>
      <c r="BG49" s="49"/>
    </row>
    <row r="50" spans="49:59" ht="12" customHeight="1">
      <c r="AW50" s="1202">
        <v>29</v>
      </c>
      <c r="AX50" s="43" t="e">
        <f t="shared" si="3"/>
        <v>#N/A</v>
      </c>
      <c r="AY50" s="43" t="e">
        <f t="shared" si="4"/>
        <v>#N/A</v>
      </c>
      <c r="AZ50" s="1174"/>
      <c r="BA50" s="1174"/>
      <c r="BB50" s="1174"/>
      <c r="BC50" s="1174"/>
      <c r="BD50" s="1174"/>
      <c r="BE50" s="1174"/>
      <c r="BG50" s="49"/>
    </row>
    <row r="51" spans="49:59" ht="12" customHeight="1">
      <c r="AW51" s="1202">
        <v>30</v>
      </c>
      <c r="AX51" s="43" t="e">
        <f t="shared" si="3"/>
        <v>#N/A</v>
      </c>
      <c r="AY51" s="43" t="e">
        <f t="shared" si="4"/>
        <v>#N/A</v>
      </c>
      <c r="AZ51" s="1174"/>
      <c r="BA51" s="1174"/>
      <c r="BB51" s="1174"/>
      <c r="BC51" s="1174"/>
      <c r="BD51" s="1174"/>
      <c r="BE51" s="1174"/>
      <c r="BG51" s="49"/>
    </row>
    <row r="52" spans="49:59" ht="12" customHeight="1">
      <c r="AW52" s="43">
        <v>31</v>
      </c>
      <c r="AX52" s="43" t="e">
        <f t="shared" si="3"/>
        <v>#N/A</v>
      </c>
      <c r="AY52" s="43" t="e">
        <f t="shared" si="4"/>
        <v>#N/A</v>
      </c>
      <c r="AZ52" s="1174"/>
      <c r="BA52" s="1174"/>
      <c r="BB52" s="1174"/>
      <c r="BC52" s="1174"/>
      <c r="BD52" s="1174"/>
      <c r="BE52" s="1174"/>
      <c r="BG52" s="49"/>
    </row>
    <row r="53" spans="49:59" ht="12" customHeight="1">
      <c r="AW53" s="1202">
        <v>32</v>
      </c>
      <c r="AX53" s="43" t="e">
        <f t="shared" si="3"/>
        <v>#N/A</v>
      </c>
      <c r="AY53" s="43" t="e">
        <f t="shared" si="4"/>
        <v>#N/A</v>
      </c>
      <c r="AZ53" s="1174"/>
      <c r="BA53" s="1174"/>
      <c r="BB53" s="1174"/>
      <c r="BC53" s="1174"/>
      <c r="BD53" s="1174"/>
      <c r="BE53" s="1174"/>
      <c r="BG53" s="49"/>
    </row>
    <row r="54" spans="49:59" ht="12" customHeight="1">
      <c r="AW54" s="1202">
        <v>33</v>
      </c>
      <c r="AX54" s="43" t="e">
        <f t="shared" ref="AX54:AX85" si="5">IF(AND(xandn,$B$16,$F$10&lt;201,AW54&lt;$F$10),0,NA())</f>
        <v>#N/A</v>
      </c>
      <c r="AY54" s="43" t="e">
        <f t="shared" ref="AY54:AY85" si="6">IF(AND(xandn,$B$16,$F$10&lt;201,AW54&lt;$F$10),AW54/$F$10,NA())</f>
        <v>#N/A</v>
      </c>
      <c r="AZ54" s="1174"/>
      <c r="BA54" s="1174"/>
      <c r="BB54" s="1174"/>
      <c r="BC54" s="1174"/>
      <c r="BD54" s="1174"/>
      <c r="BE54" s="1174"/>
      <c r="BG54" s="49"/>
    </row>
    <row r="55" spans="49:59" ht="12" customHeight="1">
      <c r="AW55" s="43">
        <v>34</v>
      </c>
      <c r="AX55" s="43" t="e">
        <f t="shared" si="5"/>
        <v>#N/A</v>
      </c>
      <c r="AY55" s="43" t="e">
        <f t="shared" si="6"/>
        <v>#N/A</v>
      </c>
      <c r="AZ55" s="1174"/>
      <c r="BA55" s="1174"/>
      <c r="BB55" s="1174"/>
      <c r="BC55" s="1174"/>
      <c r="BD55" s="1174"/>
      <c r="BE55" s="1174"/>
      <c r="BG55" s="49"/>
    </row>
    <row r="56" spans="49:59" ht="12" customHeight="1">
      <c r="AW56" s="1202">
        <v>35</v>
      </c>
      <c r="AX56" s="43" t="e">
        <f t="shared" si="5"/>
        <v>#N/A</v>
      </c>
      <c r="AY56" s="43" t="e">
        <f t="shared" si="6"/>
        <v>#N/A</v>
      </c>
      <c r="AZ56" s="1174"/>
      <c r="BA56" s="1174"/>
      <c r="BB56" s="1174"/>
      <c r="BC56" s="1174"/>
      <c r="BD56" s="1174"/>
      <c r="BE56" s="1174"/>
      <c r="BG56" s="49"/>
    </row>
    <row r="57" spans="49:59" ht="12" customHeight="1">
      <c r="AW57" s="1202">
        <v>36</v>
      </c>
      <c r="AX57" s="43" t="e">
        <f t="shared" si="5"/>
        <v>#N/A</v>
      </c>
      <c r="AY57" s="43" t="e">
        <f t="shared" si="6"/>
        <v>#N/A</v>
      </c>
      <c r="AZ57" s="1174"/>
      <c r="BA57" s="1174"/>
      <c r="BB57" s="1174"/>
      <c r="BC57" s="1174"/>
      <c r="BD57" s="1174"/>
      <c r="BE57" s="1174"/>
      <c r="BG57" s="49"/>
    </row>
    <row r="58" spans="49:59" ht="12" customHeight="1">
      <c r="AW58" s="43">
        <v>37</v>
      </c>
      <c r="AX58" s="43" t="e">
        <f t="shared" si="5"/>
        <v>#N/A</v>
      </c>
      <c r="AY58" s="43" t="e">
        <f t="shared" si="6"/>
        <v>#N/A</v>
      </c>
      <c r="AZ58" s="1174"/>
      <c r="BA58" s="1174"/>
      <c r="BB58" s="1174"/>
      <c r="BC58" s="1174"/>
      <c r="BD58" s="1174"/>
      <c r="BE58" s="1174"/>
      <c r="BG58" s="49"/>
    </row>
    <row r="59" spans="49:59" ht="12" customHeight="1">
      <c r="AW59" s="1202">
        <v>38</v>
      </c>
      <c r="AX59" s="43" t="e">
        <f t="shared" si="5"/>
        <v>#N/A</v>
      </c>
      <c r="AY59" s="43" t="e">
        <f t="shared" si="6"/>
        <v>#N/A</v>
      </c>
      <c r="AZ59" s="1174"/>
      <c r="BA59" s="1174"/>
      <c r="BB59" s="1174"/>
      <c r="BC59" s="1174"/>
      <c r="BD59" s="1174"/>
      <c r="BE59" s="1174"/>
      <c r="BG59" s="49"/>
    </row>
    <row r="60" spans="49:59" ht="12" customHeight="1">
      <c r="AW60" s="1202">
        <v>39</v>
      </c>
      <c r="AX60" s="43" t="e">
        <f t="shared" si="5"/>
        <v>#N/A</v>
      </c>
      <c r="AY60" s="43" t="e">
        <f t="shared" si="6"/>
        <v>#N/A</v>
      </c>
      <c r="AZ60" s="1174"/>
      <c r="BA60" s="1174"/>
      <c r="BB60" s="1174"/>
      <c r="BC60" s="1174"/>
      <c r="BD60" s="1174"/>
      <c r="BE60" s="1174"/>
      <c r="BG60" s="49"/>
    </row>
    <row r="61" spans="49:59" ht="12" customHeight="1">
      <c r="AW61" s="43">
        <v>40</v>
      </c>
      <c r="AX61" s="43" t="e">
        <f t="shared" si="5"/>
        <v>#N/A</v>
      </c>
      <c r="AY61" s="43" t="e">
        <f t="shared" si="6"/>
        <v>#N/A</v>
      </c>
      <c r="AZ61" s="1174"/>
      <c r="BA61" s="1174"/>
      <c r="BB61" s="1174"/>
      <c r="BC61" s="1174"/>
      <c r="BD61" s="1174"/>
      <c r="BE61" s="1174"/>
      <c r="BG61" s="49"/>
    </row>
    <row r="62" spans="49:59" ht="12" customHeight="1">
      <c r="AW62" s="1202">
        <v>41</v>
      </c>
      <c r="AX62" s="43" t="e">
        <f t="shared" si="5"/>
        <v>#N/A</v>
      </c>
      <c r="AY62" s="43" t="e">
        <f t="shared" si="6"/>
        <v>#N/A</v>
      </c>
      <c r="AZ62" s="1174"/>
      <c r="BA62" s="1174"/>
      <c r="BB62" s="1174"/>
      <c r="BC62" s="1174"/>
      <c r="BD62" s="1174"/>
      <c r="BE62" s="1174"/>
      <c r="BG62" s="49"/>
    </row>
    <row r="63" spans="49:59" ht="12" customHeight="1">
      <c r="AW63" s="1202">
        <v>42</v>
      </c>
      <c r="AX63" s="43" t="e">
        <f t="shared" si="5"/>
        <v>#N/A</v>
      </c>
      <c r="AY63" s="43" t="e">
        <f t="shared" si="6"/>
        <v>#N/A</v>
      </c>
      <c r="AZ63" s="1174"/>
      <c r="BA63" s="1174"/>
      <c r="BB63" s="1174"/>
      <c r="BC63" s="1174"/>
      <c r="BD63" s="1174"/>
      <c r="BE63" s="1174"/>
      <c r="BG63" s="49"/>
    </row>
    <row r="64" spans="49:59" ht="12" customHeight="1">
      <c r="AW64" s="43">
        <v>43</v>
      </c>
      <c r="AX64" s="43" t="e">
        <f t="shared" si="5"/>
        <v>#N/A</v>
      </c>
      <c r="AY64" s="43" t="e">
        <f t="shared" si="6"/>
        <v>#N/A</v>
      </c>
      <c r="AZ64" s="1174"/>
      <c r="BA64" s="1174"/>
      <c r="BB64" s="1174"/>
      <c r="BC64" s="1174"/>
      <c r="BD64" s="1174"/>
      <c r="BE64" s="1174"/>
      <c r="BG64" s="49"/>
    </row>
    <row r="65" spans="49:59" ht="12" customHeight="1">
      <c r="AW65" s="1202">
        <v>44</v>
      </c>
      <c r="AX65" s="43" t="e">
        <f t="shared" si="5"/>
        <v>#N/A</v>
      </c>
      <c r="AY65" s="43" t="e">
        <f t="shared" si="6"/>
        <v>#N/A</v>
      </c>
      <c r="AZ65" s="1174"/>
      <c r="BA65" s="1174"/>
      <c r="BB65" s="1174"/>
      <c r="BC65" s="1174"/>
      <c r="BD65" s="1174"/>
      <c r="BE65" s="1174"/>
      <c r="BG65" s="49"/>
    </row>
    <row r="66" spans="49:59" ht="12" customHeight="1">
      <c r="AW66" s="1202">
        <v>45</v>
      </c>
      <c r="AX66" s="43" t="e">
        <f t="shared" si="5"/>
        <v>#N/A</v>
      </c>
      <c r="AY66" s="43" t="e">
        <f t="shared" si="6"/>
        <v>#N/A</v>
      </c>
      <c r="AZ66" s="1174"/>
      <c r="BA66" s="1174"/>
      <c r="BB66" s="1174"/>
      <c r="BC66" s="1174"/>
      <c r="BD66" s="1174"/>
      <c r="BE66" s="1174"/>
      <c r="BG66" s="49"/>
    </row>
    <row r="67" spans="49:59" ht="12" customHeight="1">
      <c r="AW67" s="43">
        <v>46</v>
      </c>
      <c r="AX67" s="43" t="e">
        <f t="shared" si="5"/>
        <v>#N/A</v>
      </c>
      <c r="AY67" s="43" t="e">
        <f t="shared" si="6"/>
        <v>#N/A</v>
      </c>
      <c r="AZ67" s="1174"/>
      <c r="BA67" s="1174"/>
      <c r="BB67" s="1174"/>
      <c r="BC67" s="1174"/>
      <c r="BD67" s="1174"/>
      <c r="BE67" s="1174"/>
      <c r="BG67" s="49"/>
    </row>
    <row r="68" spans="49:59" ht="12" customHeight="1">
      <c r="AW68" s="1202">
        <v>47</v>
      </c>
      <c r="AX68" s="43" t="e">
        <f t="shared" si="5"/>
        <v>#N/A</v>
      </c>
      <c r="AY68" s="43" t="e">
        <f t="shared" si="6"/>
        <v>#N/A</v>
      </c>
      <c r="AZ68" s="1174"/>
      <c r="BA68" s="1174"/>
      <c r="BB68" s="1174"/>
      <c r="BC68" s="1174"/>
      <c r="BD68" s="1174"/>
      <c r="BE68" s="1174"/>
      <c r="BG68" s="49"/>
    </row>
    <row r="69" spans="49:59" ht="12" customHeight="1">
      <c r="AW69" s="1202">
        <v>48</v>
      </c>
      <c r="AX69" s="43" t="e">
        <f t="shared" si="5"/>
        <v>#N/A</v>
      </c>
      <c r="AY69" s="43" t="e">
        <f t="shared" si="6"/>
        <v>#N/A</v>
      </c>
      <c r="AZ69" s="1174"/>
      <c r="BA69" s="1174"/>
      <c r="BB69" s="1174"/>
      <c r="BC69" s="1174"/>
      <c r="BD69" s="1174"/>
      <c r="BE69" s="1174"/>
      <c r="BG69" s="49"/>
    </row>
    <row r="70" spans="49:59" ht="12" customHeight="1">
      <c r="AW70" s="43">
        <v>49</v>
      </c>
      <c r="AX70" s="43" t="e">
        <f t="shared" si="5"/>
        <v>#N/A</v>
      </c>
      <c r="AY70" s="43" t="e">
        <f t="shared" si="6"/>
        <v>#N/A</v>
      </c>
      <c r="AZ70" s="1174"/>
      <c r="BA70" s="1174"/>
      <c r="BB70" s="1174"/>
      <c r="BC70" s="1174"/>
      <c r="BD70" s="1174"/>
      <c r="BE70" s="1174"/>
      <c r="BG70" s="49"/>
    </row>
    <row r="71" spans="49:59" ht="12" customHeight="1">
      <c r="AW71" s="1202">
        <v>50</v>
      </c>
      <c r="AX71" s="43" t="e">
        <f t="shared" si="5"/>
        <v>#N/A</v>
      </c>
      <c r="AY71" s="43" t="e">
        <f t="shared" si="6"/>
        <v>#N/A</v>
      </c>
      <c r="AZ71" s="1174"/>
      <c r="BA71" s="1174"/>
      <c r="BB71" s="1174"/>
      <c r="BC71" s="1174"/>
      <c r="BD71" s="1174"/>
      <c r="BE71" s="1174"/>
      <c r="BG71" s="49"/>
    </row>
    <row r="72" spans="49:59" ht="12" customHeight="1">
      <c r="AW72" s="1202">
        <v>51</v>
      </c>
      <c r="AX72" s="43" t="e">
        <f t="shared" si="5"/>
        <v>#N/A</v>
      </c>
      <c r="AY72" s="43" t="e">
        <f t="shared" si="6"/>
        <v>#N/A</v>
      </c>
      <c r="AZ72" s="1174"/>
      <c r="BA72" s="1174"/>
      <c r="BB72" s="1174"/>
      <c r="BC72" s="1174"/>
      <c r="BD72" s="1174"/>
      <c r="BE72" s="1174"/>
      <c r="BG72" s="49"/>
    </row>
    <row r="73" spans="49:59" ht="12" customHeight="1">
      <c r="AW73" s="43">
        <v>52</v>
      </c>
      <c r="AX73" s="43" t="e">
        <f t="shared" si="5"/>
        <v>#N/A</v>
      </c>
      <c r="AY73" s="43" t="e">
        <f t="shared" si="6"/>
        <v>#N/A</v>
      </c>
      <c r="AZ73" s="1174"/>
      <c r="BA73" s="1174"/>
      <c r="BB73" s="1174"/>
      <c r="BC73" s="1174"/>
      <c r="BD73" s="1174"/>
      <c r="BE73" s="1174"/>
      <c r="BG73" s="49"/>
    </row>
    <row r="74" spans="49:59" ht="12" customHeight="1">
      <c r="AW74" s="1202">
        <v>53</v>
      </c>
      <c r="AX74" s="43" t="e">
        <f t="shared" si="5"/>
        <v>#N/A</v>
      </c>
      <c r="AY74" s="43" t="e">
        <f t="shared" si="6"/>
        <v>#N/A</v>
      </c>
      <c r="AZ74" s="1174"/>
      <c r="BA74" s="1174"/>
      <c r="BB74" s="1174"/>
      <c r="BC74" s="1174"/>
      <c r="BD74" s="1174"/>
      <c r="BE74" s="1174"/>
      <c r="BG74" s="49"/>
    </row>
    <row r="75" spans="49:59" ht="12" customHeight="1">
      <c r="AW75" s="1202">
        <v>54</v>
      </c>
      <c r="AX75" s="43" t="e">
        <f t="shared" si="5"/>
        <v>#N/A</v>
      </c>
      <c r="AY75" s="43" t="e">
        <f t="shared" si="6"/>
        <v>#N/A</v>
      </c>
      <c r="AZ75" s="1174"/>
      <c r="BA75" s="1174"/>
      <c r="BB75" s="1174"/>
      <c r="BC75" s="1174"/>
      <c r="BD75" s="1174"/>
      <c r="BE75" s="1174"/>
      <c r="BG75" s="49"/>
    </row>
    <row r="76" spans="49:59" ht="12" customHeight="1">
      <c r="AW76" s="43">
        <v>55</v>
      </c>
      <c r="AX76" s="43" t="e">
        <f t="shared" si="5"/>
        <v>#N/A</v>
      </c>
      <c r="AY76" s="43" t="e">
        <f t="shared" si="6"/>
        <v>#N/A</v>
      </c>
      <c r="AZ76" s="1174"/>
      <c r="BA76" s="1174"/>
      <c r="BB76" s="1174"/>
      <c r="BC76" s="1174"/>
      <c r="BD76" s="1174"/>
      <c r="BE76" s="1174"/>
      <c r="BG76" s="49"/>
    </row>
    <row r="77" spans="49:59" ht="12" customHeight="1">
      <c r="AW77" s="1202">
        <v>56</v>
      </c>
      <c r="AX77" s="43" t="e">
        <f t="shared" si="5"/>
        <v>#N/A</v>
      </c>
      <c r="AY77" s="43" t="e">
        <f t="shared" si="6"/>
        <v>#N/A</v>
      </c>
      <c r="AZ77" s="1174"/>
      <c r="BA77" s="1174"/>
      <c r="BB77" s="1174"/>
      <c r="BC77" s="1174"/>
      <c r="BD77" s="1174"/>
      <c r="BE77" s="1174"/>
      <c r="BG77" s="49"/>
    </row>
    <row r="78" spans="49:59" ht="12" customHeight="1">
      <c r="AW78" s="1202">
        <v>57</v>
      </c>
      <c r="AX78" s="43" t="e">
        <f t="shared" si="5"/>
        <v>#N/A</v>
      </c>
      <c r="AY78" s="43" t="e">
        <f t="shared" si="6"/>
        <v>#N/A</v>
      </c>
      <c r="AZ78" s="1174"/>
      <c r="BA78" s="1174"/>
      <c r="BB78" s="1174"/>
      <c r="BC78" s="1174"/>
      <c r="BD78" s="1174"/>
      <c r="BE78" s="1174"/>
      <c r="BG78" s="49"/>
    </row>
    <row r="79" spans="49:59" ht="12" customHeight="1">
      <c r="AW79" s="43">
        <v>58</v>
      </c>
      <c r="AX79" s="43" t="e">
        <f t="shared" si="5"/>
        <v>#N/A</v>
      </c>
      <c r="AY79" s="43" t="e">
        <f t="shared" si="6"/>
        <v>#N/A</v>
      </c>
      <c r="AZ79" s="1174"/>
      <c r="BA79" s="1174"/>
      <c r="BB79" s="1174"/>
      <c r="BC79" s="1174"/>
      <c r="BD79" s="1174"/>
      <c r="BE79" s="1174"/>
      <c r="BG79" s="49"/>
    </row>
    <row r="80" spans="49:59" ht="12" customHeight="1">
      <c r="AW80" s="1202">
        <v>59</v>
      </c>
      <c r="AX80" s="43" t="e">
        <f t="shared" si="5"/>
        <v>#N/A</v>
      </c>
      <c r="AY80" s="43" t="e">
        <f t="shared" si="6"/>
        <v>#N/A</v>
      </c>
      <c r="AZ80" s="1174"/>
      <c r="BA80" s="1174"/>
      <c r="BB80" s="1174"/>
      <c r="BC80" s="1174"/>
      <c r="BD80" s="1174"/>
      <c r="BE80" s="1174"/>
      <c r="BG80" s="49"/>
    </row>
    <row r="81" spans="49:59" ht="12" customHeight="1">
      <c r="AW81" s="1202">
        <v>60</v>
      </c>
      <c r="AX81" s="43" t="e">
        <f t="shared" si="5"/>
        <v>#N/A</v>
      </c>
      <c r="AY81" s="43" t="e">
        <f t="shared" si="6"/>
        <v>#N/A</v>
      </c>
      <c r="AZ81" s="1174"/>
      <c r="BA81" s="1174"/>
      <c r="BB81" s="1174"/>
      <c r="BC81" s="1174"/>
      <c r="BD81" s="1174"/>
      <c r="BE81" s="1174"/>
      <c r="BG81" s="49"/>
    </row>
    <row r="82" spans="49:59" ht="12" customHeight="1">
      <c r="AW82" s="43">
        <v>61</v>
      </c>
      <c r="AX82" s="43" t="e">
        <f t="shared" si="5"/>
        <v>#N/A</v>
      </c>
      <c r="AY82" s="43" t="e">
        <f t="shared" si="6"/>
        <v>#N/A</v>
      </c>
      <c r="AZ82" s="1174"/>
      <c r="BA82" s="1174"/>
      <c r="BB82" s="1174"/>
      <c r="BC82" s="1174"/>
      <c r="BD82" s="1174"/>
      <c r="BE82" s="1174"/>
      <c r="BG82" s="49"/>
    </row>
    <row r="83" spans="49:59" ht="12" customHeight="1">
      <c r="AW83" s="1202">
        <v>62</v>
      </c>
      <c r="AX83" s="43" t="e">
        <f t="shared" si="5"/>
        <v>#N/A</v>
      </c>
      <c r="AY83" s="43" t="e">
        <f t="shared" si="6"/>
        <v>#N/A</v>
      </c>
      <c r="AZ83" s="1174"/>
      <c r="BA83" s="1174"/>
      <c r="BB83" s="1174"/>
      <c r="BC83" s="1174"/>
      <c r="BD83" s="1174"/>
      <c r="BE83" s="1174"/>
      <c r="BG83" s="49"/>
    </row>
    <row r="84" spans="49:59" ht="12" customHeight="1">
      <c r="AW84" s="1202">
        <v>63</v>
      </c>
      <c r="AX84" s="43" t="e">
        <f t="shared" si="5"/>
        <v>#N/A</v>
      </c>
      <c r="AY84" s="43" t="e">
        <f t="shared" si="6"/>
        <v>#N/A</v>
      </c>
      <c r="AZ84" s="1174"/>
      <c r="BA84" s="1174"/>
      <c r="BB84" s="1174"/>
      <c r="BC84" s="1174"/>
      <c r="BD84" s="1174"/>
      <c r="BE84" s="1174"/>
      <c r="BG84" s="49"/>
    </row>
    <row r="85" spans="49:59" ht="12" customHeight="1">
      <c r="AW85" s="43">
        <v>64</v>
      </c>
      <c r="AX85" s="43" t="e">
        <f t="shared" si="5"/>
        <v>#N/A</v>
      </c>
      <c r="AY85" s="43" t="e">
        <f t="shared" si="6"/>
        <v>#N/A</v>
      </c>
      <c r="AZ85" s="1174"/>
      <c r="BA85" s="1174"/>
      <c r="BB85" s="1174"/>
      <c r="BC85" s="1174"/>
      <c r="BD85" s="1174"/>
      <c r="BE85" s="1174"/>
      <c r="BG85" s="49"/>
    </row>
    <row r="86" spans="49:59" ht="12" customHeight="1">
      <c r="AW86" s="1202">
        <v>65</v>
      </c>
      <c r="AX86" s="43" t="e">
        <f t="shared" ref="AX86:AX117" si="7">IF(AND(xandn,$B$16,$F$10&lt;201,AW86&lt;$F$10),0,NA())</f>
        <v>#N/A</v>
      </c>
      <c r="AY86" s="43" t="e">
        <f t="shared" ref="AY86:AY117" si="8">IF(AND(xandn,$B$16,$F$10&lt;201,AW86&lt;$F$10),AW86/$F$10,NA())</f>
        <v>#N/A</v>
      </c>
      <c r="AZ86" s="1174"/>
      <c r="BA86" s="1174"/>
      <c r="BB86" s="1174"/>
      <c r="BC86" s="1174"/>
      <c r="BD86" s="1174"/>
      <c r="BE86" s="1174"/>
      <c r="BG86" s="49"/>
    </row>
    <row r="87" spans="49:59" ht="12" customHeight="1">
      <c r="AW87" s="1202">
        <v>66</v>
      </c>
      <c r="AX87" s="43" t="e">
        <f t="shared" si="7"/>
        <v>#N/A</v>
      </c>
      <c r="AY87" s="43" t="e">
        <f t="shared" si="8"/>
        <v>#N/A</v>
      </c>
      <c r="AZ87" s="1174"/>
      <c r="BA87" s="1174"/>
      <c r="BB87" s="1174"/>
      <c r="BC87" s="1174"/>
      <c r="BD87" s="1174"/>
      <c r="BE87" s="1174"/>
      <c r="BG87" s="49"/>
    </row>
    <row r="88" spans="49:59" ht="12" customHeight="1">
      <c r="AW88" s="43">
        <v>67</v>
      </c>
      <c r="AX88" s="43" t="e">
        <f t="shared" si="7"/>
        <v>#N/A</v>
      </c>
      <c r="AY88" s="43" t="e">
        <f t="shared" si="8"/>
        <v>#N/A</v>
      </c>
      <c r="AZ88" s="1174"/>
      <c r="BA88" s="1174"/>
      <c r="BB88" s="1174"/>
      <c r="BC88" s="1174"/>
      <c r="BD88" s="1174"/>
      <c r="BE88" s="1174"/>
      <c r="BG88" s="49"/>
    </row>
    <row r="89" spans="49:59" ht="12" customHeight="1">
      <c r="AW89" s="1202">
        <v>68</v>
      </c>
      <c r="AX89" s="43" t="e">
        <f t="shared" si="7"/>
        <v>#N/A</v>
      </c>
      <c r="AY89" s="43" t="e">
        <f t="shared" si="8"/>
        <v>#N/A</v>
      </c>
      <c r="AZ89" s="1174"/>
      <c r="BA89" s="1174"/>
      <c r="BB89" s="1174"/>
      <c r="BC89" s="1174"/>
      <c r="BD89" s="1174"/>
      <c r="BE89" s="1174"/>
      <c r="BG89" s="49"/>
    </row>
    <row r="90" spans="49:59" ht="12" customHeight="1">
      <c r="AW90" s="1202">
        <v>69</v>
      </c>
      <c r="AX90" s="43" t="e">
        <f t="shared" si="7"/>
        <v>#N/A</v>
      </c>
      <c r="AY90" s="43" t="e">
        <f t="shared" si="8"/>
        <v>#N/A</v>
      </c>
      <c r="AZ90" s="1174"/>
      <c r="BA90" s="1174"/>
      <c r="BB90" s="1174"/>
      <c r="BC90" s="1174"/>
      <c r="BD90" s="1174"/>
      <c r="BE90" s="1174"/>
      <c r="BG90" s="49"/>
    </row>
    <row r="91" spans="49:59" ht="12" customHeight="1">
      <c r="AW91" s="43">
        <v>70</v>
      </c>
      <c r="AX91" s="43" t="e">
        <f t="shared" si="7"/>
        <v>#N/A</v>
      </c>
      <c r="AY91" s="43" t="e">
        <f t="shared" si="8"/>
        <v>#N/A</v>
      </c>
      <c r="AZ91" s="1174"/>
      <c r="BA91" s="1174"/>
      <c r="BB91" s="1174"/>
      <c r="BC91" s="1174"/>
      <c r="BD91" s="1174"/>
      <c r="BE91" s="1174"/>
      <c r="BG91" s="49"/>
    </row>
    <row r="92" spans="49:59" ht="12" customHeight="1">
      <c r="AW92" s="1202">
        <v>71</v>
      </c>
      <c r="AX92" s="43" t="e">
        <f t="shared" si="7"/>
        <v>#N/A</v>
      </c>
      <c r="AY92" s="43" t="e">
        <f t="shared" si="8"/>
        <v>#N/A</v>
      </c>
      <c r="AZ92" s="1174"/>
      <c r="BA92" s="1174"/>
      <c r="BB92" s="1174"/>
      <c r="BC92" s="1174"/>
      <c r="BD92" s="1174"/>
      <c r="BE92" s="1174"/>
      <c r="BG92" s="49"/>
    </row>
    <row r="93" spans="49:59" ht="12" customHeight="1">
      <c r="AW93" s="1202">
        <v>72</v>
      </c>
      <c r="AX93" s="43" t="e">
        <f t="shared" si="7"/>
        <v>#N/A</v>
      </c>
      <c r="AY93" s="43" t="e">
        <f t="shared" si="8"/>
        <v>#N/A</v>
      </c>
      <c r="AZ93" s="1174"/>
      <c r="BA93" s="1174"/>
      <c r="BB93" s="1174"/>
      <c r="BC93" s="1174"/>
      <c r="BD93" s="1174"/>
      <c r="BE93" s="1174"/>
      <c r="BG93" s="49"/>
    </row>
    <row r="94" spans="49:59" ht="12" customHeight="1">
      <c r="AW94" s="43">
        <v>73</v>
      </c>
      <c r="AX94" s="43" t="e">
        <f t="shared" si="7"/>
        <v>#N/A</v>
      </c>
      <c r="AY94" s="43" t="e">
        <f t="shared" si="8"/>
        <v>#N/A</v>
      </c>
      <c r="AZ94" s="1174"/>
      <c r="BA94" s="1174"/>
      <c r="BB94" s="1174"/>
      <c r="BC94" s="1174"/>
      <c r="BD94" s="1174"/>
      <c r="BE94" s="1174"/>
      <c r="BG94" s="49"/>
    </row>
    <row r="95" spans="49:59" ht="12" customHeight="1">
      <c r="AW95" s="1202">
        <v>74</v>
      </c>
      <c r="AX95" s="43" t="e">
        <f t="shared" si="7"/>
        <v>#N/A</v>
      </c>
      <c r="AY95" s="43" t="e">
        <f t="shared" si="8"/>
        <v>#N/A</v>
      </c>
      <c r="AZ95" s="1174"/>
      <c r="BA95" s="1174"/>
      <c r="BB95" s="1174"/>
      <c r="BC95" s="1174"/>
      <c r="BD95" s="1174"/>
      <c r="BE95" s="1174"/>
      <c r="BG95" s="49"/>
    </row>
    <row r="96" spans="49:59" ht="12" customHeight="1">
      <c r="AW96" s="1202">
        <v>75</v>
      </c>
      <c r="AX96" s="43" t="e">
        <f t="shared" si="7"/>
        <v>#N/A</v>
      </c>
      <c r="AY96" s="43" t="e">
        <f t="shared" si="8"/>
        <v>#N/A</v>
      </c>
      <c r="AZ96" s="1174"/>
      <c r="BA96" s="1174"/>
      <c r="BB96" s="1174"/>
      <c r="BC96" s="1174"/>
      <c r="BD96" s="1174"/>
      <c r="BE96" s="1174"/>
      <c r="BG96" s="49"/>
    </row>
    <row r="97" spans="49:59" ht="12" customHeight="1">
      <c r="AW97" s="43">
        <v>76</v>
      </c>
      <c r="AX97" s="43" t="e">
        <f t="shared" si="7"/>
        <v>#N/A</v>
      </c>
      <c r="AY97" s="43" t="e">
        <f t="shared" si="8"/>
        <v>#N/A</v>
      </c>
      <c r="AZ97" s="1174"/>
      <c r="BA97" s="1174"/>
      <c r="BB97" s="1174"/>
      <c r="BC97" s="1174"/>
      <c r="BD97" s="1174"/>
      <c r="BE97" s="1174"/>
      <c r="BG97" s="49"/>
    </row>
    <row r="98" spans="49:59" ht="12" customHeight="1">
      <c r="AW98" s="1202">
        <v>77</v>
      </c>
      <c r="AX98" s="43" t="e">
        <f t="shared" si="7"/>
        <v>#N/A</v>
      </c>
      <c r="AY98" s="43" t="e">
        <f t="shared" si="8"/>
        <v>#N/A</v>
      </c>
      <c r="AZ98" s="1174"/>
      <c r="BA98" s="1174"/>
      <c r="BB98" s="1174"/>
      <c r="BC98" s="1174"/>
      <c r="BD98" s="1174"/>
      <c r="BE98" s="1174"/>
      <c r="BG98" s="49"/>
    </row>
    <row r="99" spans="49:59" ht="12" customHeight="1">
      <c r="AW99" s="1202">
        <v>78</v>
      </c>
      <c r="AX99" s="43" t="e">
        <f t="shared" si="7"/>
        <v>#N/A</v>
      </c>
      <c r="AY99" s="43" t="e">
        <f t="shared" si="8"/>
        <v>#N/A</v>
      </c>
      <c r="AZ99" s="1174"/>
      <c r="BA99" s="1174"/>
      <c r="BB99" s="1174"/>
      <c r="BC99" s="1174"/>
      <c r="BD99" s="1174"/>
      <c r="BE99" s="1174"/>
      <c r="BG99" s="49"/>
    </row>
    <row r="100" spans="49:59" ht="12" customHeight="1">
      <c r="AW100" s="43">
        <v>79</v>
      </c>
      <c r="AX100" s="43" t="e">
        <f t="shared" si="7"/>
        <v>#N/A</v>
      </c>
      <c r="AY100" s="43" t="e">
        <f t="shared" si="8"/>
        <v>#N/A</v>
      </c>
      <c r="AZ100" s="1174"/>
      <c r="BA100" s="1174"/>
      <c r="BB100" s="1174"/>
      <c r="BC100" s="1174"/>
      <c r="BD100" s="1174"/>
      <c r="BE100" s="1174"/>
      <c r="BG100" s="49"/>
    </row>
    <row r="101" spans="49:59" ht="12" customHeight="1">
      <c r="AW101" s="1202">
        <v>80</v>
      </c>
      <c r="AX101" s="43" t="e">
        <f t="shared" si="7"/>
        <v>#N/A</v>
      </c>
      <c r="AY101" s="43" t="e">
        <f t="shared" si="8"/>
        <v>#N/A</v>
      </c>
      <c r="AZ101" s="1174"/>
      <c r="BA101" s="1174"/>
      <c r="BB101" s="1174"/>
      <c r="BC101" s="1174"/>
      <c r="BD101" s="1174"/>
      <c r="BE101" s="1174"/>
      <c r="BG101" s="49"/>
    </row>
    <row r="102" spans="49:59" ht="12" customHeight="1">
      <c r="AW102" s="1202">
        <v>81</v>
      </c>
      <c r="AX102" s="43" t="e">
        <f t="shared" si="7"/>
        <v>#N/A</v>
      </c>
      <c r="AY102" s="43" t="e">
        <f t="shared" si="8"/>
        <v>#N/A</v>
      </c>
      <c r="AZ102" s="1174"/>
      <c r="BA102" s="1174"/>
      <c r="BB102" s="1174"/>
      <c r="BC102" s="1174"/>
      <c r="BD102" s="1174"/>
      <c r="BE102" s="1174"/>
      <c r="BG102" s="49"/>
    </row>
    <row r="103" spans="49:59" ht="12" customHeight="1">
      <c r="AW103" s="43">
        <v>82</v>
      </c>
      <c r="AX103" s="43" t="e">
        <f t="shared" si="7"/>
        <v>#N/A</v>
      </c>
      <c r="AY103" s="43" t="e">
        <f t="shared" si="8"/>
        <v>#N/A</v>
      </c>
      <c r="AZ103" s="1174"/>
      <c r="BA103" s="1174"/>
      <c r="BB103" s="1174"/>
      <c r="BC103" s="1174"/>
      <c r="BD103" s="1174"/>
      <c r="BE103" s="1174"/>
      <c r="BG103" s="49"/>
    </row>
    <row r="104" spans="49:59" ht="12" customHeight="1">
      <c r="AW104" s="1202">
        <v>83</v>
      </c>
      <c r="AX104" s="43" t="e">
        <f t="shared" si="7"/>
        <v>#N/A</v>
      </c>
      <c r="AY104" s="43" t="e">
        <f t="shared" si="8"/>
        <v>#N/A</v>
      </c>
      <c r="AZ104" s="1174"/>
      <c r="BA104" s="1174"/>
      <c r="BB104" s="1174"/>
      <c r="BC104" s="1174"/>
      <c r="BD104" s="1174"/>
      <c r="BE104" s="1174"/>
      <c r="BG104" s="49"/>
    </row>
    <row r="105" spans="49:59" ht="12" customHeight="1">
      <c r="AW105" s="1202">
        <v>84</v>
      </c>
      <c r="AX105" s="43" t="e">
        <f t="shared" si="7"/>
        <v>#N/A</v>
      </c>
      <c r="AY105" s="43" t="e">
        <f t="shared" si="8"/>
        <v>#N/A</v>
      </c>
      <c r="AZ105" s="1174"/>
      <c r="BA105" s="1174"/>
      <c r="BB105" s="1174"/>
      <c r="BC105" s="1174"/>
      <c r="BD105" s="1174"/>
      <c r="BE105" s="1174"/>
      <c r="BG105" s="49"/>
    </row>
    <row r="106" spans="49:59" ht="12" customHeight="1">
      <c r="AW106" s="43">
        <v>85</v>
      </c>
      <c r="AX106" s="43" t="e">
        <f t="shared" si="7"/>
        <v>#N/A</v>
      </c>
      <c r="AY106" s="43" t="e">
        <f t="shared" si="8"/>
        <v>#N/A</v>
      </c>
      <c r="AZ106" s="1174"/>
      <c r="BA106" s="1174"/>
      <c r="BB106" s="1174"/>
      <c r="BC106" s="1174"/>
      <c r="BD106" s="1174"/>
      <c r="BE106" s="1174"/>
      <c r="BG106" s="49"/>
    </row>
    <row r="107" spans="49:59" ht="12" customHeight="1">
      <c r="AW107" s="1202">
        <v>86</v>
      </c>
      <c r="AX107" s="43" t="e">
        <f t="shared" si="7"/>
        <v>#N/A</v>
      </c>
      <c r="AY107" s="43" t="e">
        <f t="shared" si="8"/>
        <v>#N/A</v>
      </c>
      <c r="AZ107" s="1174"/>
      <c r="BA107" s="1174"/>
      <c r="BB107" s="1174"/>
      <c r="BC107" s="1174"/>
      <c r="BD107" s="1174"/>
      <c r="BE107" s="1174"/>
      <c r="BG107" s="49"/>
    </row>
    <row r="108" spans="49:59" ht="12" customHeight="1">
      <c r="AW108" s="1202">
        <v>87</v>
      </c>
      <c r="AX108" s="43" t="e">
        <f t="shared" si="7"/>
        <v>#N/A</v>
      </c>
      <c r="AY108" s="43" t="e">
        <f t="shared" si="8"/>
        <v>#N/A</v>
      </c>
      <c r="AZ108" s="1174"/>
      <c r="BA108" s="1174"/>
      <c r="BB108" s="1174"/>
      <c r="BC108" s="1174"/>
      <c r="BD108" s="1174"/>
      <c r="BE108" s="1174"/>
      <c r="BG108" s="49"/>
    </row>
    <row r="109" spans="49:59" ht="12" customHeight="1">
      <c r="AW109" s="43">
        <v>88</v>
      </c>
      <c r="AX109" s="43" t="e">
        <f t="shared" si="7"/>
        <v>#N/A</v>
      </c>
      <c r="AY109" s="43" t="e">
        <f t="shared" si="8"/>
        <v>#N/A</v>
      </c>
      <c r="AZ109" s="1174"/>
      <c r="BA109" s="1174"/>
      <c r="BB109" s="1174"/>
      <c r="BC109" s="1174"/>
      <c r="BD109" s="1174"/>
      <c r="BE109" s="1174"/>
      <c r="BG109" s="49"/>
    </row>
    <row r="110" spans="49:59" ht="12" customHeight="1">
      <c r="AW110" s="1202">
        <v>89</v>
      </c>
      <c r="AX110" s="43" t="e">
        <f t="shared" si="7"/>
        <v>#N/A</v>
      </c>
      <c r="AY110" s="43" t="e">
        <f t="shared" si="8"/>
        <v>#N/A</v>
      </c>
      <c r="AZ110" s="1174"/>
      <c r="BA110" s="1174"/>
      <c r="BB110" s="1174"/>
      <c r="BC110" s="1174"/>
      <c r="BD110" s="1174"/>
      <c r="BE110" s="1174"/>
      <c r="BG110" s="49"/>
    </row>
    <row r="111" spans="49:59" ht="12" customHeight="1">
      <c r="AW111" s="1202">
        <v>90</v>
      </c>
      <c r="AX111" s="43" t="e">
        <f t="shared" si="7"/>
        <v>#N/A</v>
      </c>
      <c r="AY111" s="43" t="e">
        <f t="shared" si="8"/>
        <v>#N/A</v>
      </c>
      <c r="AZ111" s="1174"/>
      <c r="BA111" s="1174"/>
      <c r="BB111" s="1174"/>
      <c r="BC111" s="1174"/>
      <c r="BD111" s="1174"/>
      <c r="BE111" s="1174"/>
      <c r="BG111" s="49"/>
    </row>
    <row r="112" spans="49:59" ht="12" customHeight="1">
      <c r="AW112" s="43">
        <v>91</v>
      </c>
      <c r="AX112" s="43" t="e">
        <f t="shared" si="7"/>
        <v>#N/A</v>
      </c>
      <c r="AY112" s="43" t="e">
        <f t="shared" si="8"/>
        <v>#N/A</v>
      </c>
      <c r="AZ112" s="1174"/>
      <c r="BA112" s="1174"/>
      <c r="BB112" s="1174"/>
      <c r="BC112" s="1174"/>
      <c r="BD112" s="1174"/>
      <c r="BE112" s="1174"/>
      <c r="BG112" s="49"/>
    </row>
    <row r="113" spans="49:59" ht="12" customHeight="1">
      <c r="AW113" s="1202">
        <v>92</v>
      </c>
      <c r="AX113" s="43" t="e">
        <f t="shared" si="7"/>
        <v>#N/A</v>
      </c>
      <c r="AY113" s="43" t="e">
        <f t="shared" si="8"/>
        <v>#N/A</v>
      </c>
      <c r="AZ113" s="1174"/>
      <c r="BA113" s="1174"/>
      <c r="BB113" s="1174"/>
      <c r="BC113" s="1174"/>
      <c r="BD113" s="1174"/>
      <c r="BE113" s="1174"/>
      <c r="BG113" s="49"/>
    </row>
    <row r="114" spans="49:59" ht="12" customHeight="1">
      <c r="AW114" s="1202">
        <v>93</v>
      </c>
      <c r="AX114" s="43" t="e">
        <f t="shared" si="7"/>
        <v>#N/A</v>
      </c>
      <c r="AY114" s="43" t="e">
        <f t="shared" si="8"/>
        <v>#N/A</v>
      </c>
      <c r="AZ114" s="1174"/>
      <c r="BA114" s="1174"/>
      <c r="BB114" s="1174"/>
      <c r="BC114" s="1174"/>
      <c r="BD114" s="1174"/>
      <c r="BE114" s="1174"/>
      <c r="BG114" s="49"/>
    </row>
    <row r="115" spans="49:59" ht="12" customHeight="1">
      <c r="AW115" s="43">
        <v>94</v>
      </c>
      <c r="AX115" s="43" t="e">
        <f t="shared" si="7"/>
        <v>#N/A</v>
      </c>
      <c r="AY115" s="43" t="e">
        <f t="shared" si="8"/>
        <v>#N/A</v>
      </c>
      <c r="AZ115" s="1174"/>
      <c r="BA115" s="1174"/>
      <c r="BB115" s="1174"/>
      <c r="BC115" s="1174"/>
      <c r="BD115" s="1174"/>
      <c r="BE115" s="1174"/>
      <c r="BG115" s="49"/>
    </row>
    <row r="116" spans="49:59" ht="12" customHeight="1">
      <c r="AW116" s="1202">
        <v>95</v>
      </c>
      <c r="AX116" s="43" t="e">
        <f t="shared" si="7"/>
        <v>#N/A</v>
      </c>
      <c r="AY116" s="43" t="e">
        <f t="shared" si="8"/>
        <v>#N/A</v>
      </c>
      <c r="AZ116" s="1174"/>
      <c r="BA116" s="1174"/>
      <c r="BB116" s="1174"/>
      <c r="BC116" s="1174"/>
      <c r="BD116" s="1174"/>
      <c r="BE116" s="1174"/>
      <c r="BG116" s="49"/>
    </row>
    <row r="117" spans="49:59" ht="12" customHeight="1">
      <c r="AW117" s="1202">
        <v>96</v>
      </c>
      <c r="AX117" s="43" t="e">
        <f t="shared" si="7"/>
        <v>#N/A</v>
      </c>
      <c r="AY117" s="43" t="e">
        <f t="shared" si="8"/>
        <v>#N/A</v>
      </c>
      <c r="AZ117" s="1174"/>
      <c r="BA117" s="1174"/>
      <c r="BB117" s="1174"/>
      <c r="BC117" s="1174"/>
      <c r="BD117" s="1174"/>
      <c r="BE117" s="1174"/>
      <c r="BG117" s="49"/>
    </row>
    <row r="118" spans="49:59" ht="12" customHeight="1">
      <c r="AW118" s="43">
        <v>97</v>
      </c>
      <c r="AX118" s="43" t="e">
        <f t="shared" ref="AX118:AX149" si="9">IF(AND(xandn,$B$16,$F$10&lt;201,AW118&lt;$F$10),0,NA())</f>
        <v>#N/A</v>
      </c>
      <c r="AY118" s="43" t="e">
        <f t="shared" ref="AY118:AY149" si="10">IF(AND(xandn,$B$16,$F$10&lt;201,AW118&lt;$F$10),AW118/$F$10,NA())</f>
        <v>#N/A</v>
      </c>
      <c r="AZ118" s="1174"/>
      <c r="BA118" s="1174"/>
      <c r="BB118" s="1174"/>
      <c r="BC118" s="1174"/>
      <c r="BD118" s="1174"/>
      <c r="BE118" s="1174"/>
      <c r="BG118" s="49"/>
    </row>
    <row r="119" spans="49:59" ht="12" customHeight="1">
      <c r="AW119" s="1202">
        <v>98</v>
      </c>
      <c r="AX119" s="43" t="e">
        <f t="shared" si="9"/>
        <v>#N/A</v>
      </c>
      <c r="AY119" s="43" t="e">
        <f t="shared" si="10"/>
        <v>#N/A</v>
      </c>
      <c r="AZ119" s="1174"/>
      <c r="BA119" s="1174"/>
      <c r="BB119" s="1174"/>
      <c r="BC119" s="1174"/>
      <c r="BD119" s="1174"/>
      <c r="BE119" s="1174"/>
      <c r="BG119" s="49"/>
    </row>
    <row r="120" spans="49:59" ht="12" customHeight="1">
      <c r="AW120" s="1202">
        <v>99</v>
      </c>
      <c r="AX120" s="43" t="e">
        <f t="shared" si="9"/>
        <v>#N/A</v>
      </c>
      <c r="AY120" s="43" t="e">
        <f t="shared" si="10"/>
        <v>#N/A</v>
      </c>
      <c r="AZ120" s="1174"/>
      <c r="BA120" s="1174"/>
      <c r="BB120" s="1174"/>
      <c r="BC120" s="1174"/>
      <c r="BD120" s="1174"/>
      <c r="BE120" s="1174"/>
      <c r="BG120" s="49"/>
    </row>
    <row r="121" spans="49:59" ht="12" customHeight="1">
      <c r="AW121" s="1202">
        <v>100</v>
      </c>
      <c r="AX121" s="43" t="e">
        <f t="shared" si="9"/>
        <v>#N/A</v>
      </c>
      <c r="AY121" s="43" t="e">
        <f t="shared" si="10"/>
        <v>#N/A</v>
      </c>
      <c r="AZ121" s="1174"/>
      <c r="BA121" s="1174"/>
      <c r="BB121" s="1174"/>
      <c r="BC121" s="1174"/>
      <c r="BD121" s="1174"/>
      <c r="BE121" s="1174"/>
      <c r="BG121" s="49"/>
    </row>
    <row r="122" spans="49:59" ht="12" customHeight="1">
      <c r="AW122" s="1202">
        <v>101</v>
      </c>
      <c r="AX122" s="43" t="e">
        <f t="shared" si="9"/>
        <v>#N/A</v>
      </c>
      <c r="AY122" s="43" t="e">
        <f t="shared" si="10"/>
        <v>#N/A</v>
      </c>
      <c r="AZ122" s="1174"/>
      <c r="BA122" s="1174"/>
      <c r="BB122" s="1174"/>
      <c r="BC122" s="1174"/>
      <c r="BD122" s="1174"/>
      <c r="BE122" s="1174"/>
      <c r="BG122" s="49"/>
    </row>
    <row r="123" spans="49:59" ht="12" customHeight="1">
      <c r="AW123" s="43">
        <v>102</v>
      </c>
      <c r="AX123" s="43" t="e">
        <f t="shared" si="9"/>
        <v>#N/A</v>
      </c>
      <c r="AY123" s="43" t="e">
        <f t="shared" si="10"/>
        <v>#N/A</v>
      </c>
      <c r="AZ123" s="1174"/>
      <c r="BA123" s="1174"/>
      <c r="BB123" s="1174"/>
      <c r="BC123" s="1174"/>
      <c r="BD123" s="1174"/>
      <c r="BE123" s="1174"/>
      <c r="BG123" s="49"/>
    </row>
    <row r="124" spans="49:59" ht="12" customHeight="1">
      <c r="AW124" s="1202">
        <v>103</v>
      </c>
      <c r="AX124" s="43" t="e">
        <f t="shared" si="9"/>
        <v>#N/A</v>
      </c>
      <c r="AY124" s="43" t="e">
        <f t="shared" si="10"/>
        <v>#N/A</v>
      </c>
      <c r="AZ124" s="1174"/>
      <c r="BA124" s="1174"/>
      <c r="BB124" s="1174"/>
      <c r="BC124" s="1174"/>
      <c r="BD124" s="1174"/>
      <c r="BE124" s="1174"/>
      <c r="BG124" s="49"/>
    </row>
    <row r="125" spans="49:59" ht="12" customHeight="1">
      <c r="AW125" s="1202">
        <v>104</v>
      </c>
      <c r="AX125" s="43" t="e">
        <f t="shared" si="9"/>
        <v>#N/A</v>
      </c>
      <c r="AY125" s="43" t="e">
        <f t="shared" si="10"/>
        <v>#N/A</v>
      </c>
      <c r="AZ125" s="1174"/>
      <c r="BA125" s="1174"/>
      <c r="BB125" s="1174"/>
      <c r="BC125" s="1174"/>
      <c r="BD125" s="1174"/>
      <c r="BE125" s="1174"/>
      <c r="BG125" s="49"/>
    </row>
    <row r="126" spans="49:59" ht="12" customHeight="1">
      <c r="AW126" s="1202">
        <v>105</v>
      </c>
      <c r="AX126" s="43" t="e">
        <f t="shared" si="9"/>
        <v>#N/A</v>
      </c>
      <c r="AY126" s="43" t="e">
        <f t="shared" si="10"/>
        <v>#N/A</v>
      </c>
      <c r="AZ126" s="1174"/>
      <c r="BA126" s="1174"/>
      <c r="BB126" s="1174"/>
      <c r="BC126" s="1174"/>
      <c r="BD126" s="1174"/>
      <c r="BE126" s="1174"/>
      <c r="BG126" s="49"/>
    </row>
    <row r="127" spans="49:59" ht="12" customHeight="1">
      <c r="AW127" s="1202">
        <v>106</v>
      </c>
      <c r="AX127" s="43" t="e">
        <f t="shared" si="9"/>
        <v>#N/A</v>
      </c>
      <c r="AY127" s="43" t="e">
        <f t="shared" si="10"/>
        <v>#N/A</v>
      </c>
      <c r="AZ127" s="1174"/>
      <c r="BA127" s="1174"/>
      <c r="BB127" s="1174"/>
      <c r="BC127" s="1174"/>
      <c r="BD127" s="1174"/>
      <c r="BE127" s="1174"/>
      <c r="BG127" s="49"/>
    </row>
    <row r="128" spans="49:59" ht="12" customHeight="1">
      <c r="AW128" s="43">
        <v>107</v>
      </c>
      <c r="AX128" s="43" t="e">
        <f t="shared" si="9"/>
        <v>#N/A</v>
      </c>
      <c r="AY128" s="43" t="e">
        <f t="shared" si="10"/>
        <v>#N/A</v>
      </c>
      <c r="AZ128" s="1174"/>
      <c r="BA128" s="1174"/>
      <c r="BB128" s="1174"/>
      <c r="BC128" s="1174"/>
      <c r="BD128" s="1174"/>
      <c r="BE128" s="1174"/>
      <c r="BG128" s="49"/>
    </row>
    <row r="129" spans="49:59" ht="12" customHeight="1">
      <c r="AW129" s="1202">
        <v>108</v>
      </c>
      <c r="AX129" s="43" t="e">
        <f t="shared" si="9"/>
        <v>#N/A</v>
      </c>
      <c r="AY129" s="43" t="e">
        <f t="shared" si="10"/>
        <v>#N/A</v>
      </c>
      <c r="AZ129" s="1174"/>
      <c r="BA129" s="1174"/>
      <c r="BB129" s="1174"/>
      <c r="BC129" s="1174"/>
      <c r="BD129" s="1174"/>
      <c r="BE129" s="1174"/>
      <c r="BG129" s="49"/>
    </row>
    <row r="130" spans="49:59" ht="12" customHeight="1">
      <c r="AW130" s="1202">
        <v>109</v>
      </c>
      <c r="AX130" s="43" t="e">
        <f t="shared" si="9"/>
        <v>#N/A</v>
      </c>
      <c r="AY130" s="43" t="e">
        <f t="shared" si="10"/>
        <v>#N/A</v>
      </c>
      <c r="AZ130" s="1174"/>
      <c r="BA130" s="1174"/>
      <c r="BB130" s="1174"/>
      <c r="BC130" s="1174"/>
      <c r="BD130" s="1174"/>
      <c r="BE130" s="1174"/>
      <c r="BG130" s="49"/>
    </row>
    <row r="131" spans="49:59" ht="12" customHeight="1">
      <c r="AW131" s="1202">
        <v>110</v>
      </c>
      <c r="AX131" s="43" t="e">
        <f t="shared" si="9"/>
        <v>#N/A</v>
      </c>
      <c r="AY131" s="43" t="e">
        <f t="shared" si="10"/>
        <v>#N/A</v>
      </c>
      <c r="AZ131" s="1174"/>
      <c r="BA131" s="1174"/>
      <c r="BB131" s="1174"/>
      <c r="BC131" s="1174"/>
      <c r="BD131" s="1174"/>
      <c r="BE131" s="1174"/>
      <c r="BG131" s="49"/>
    </row>
    <row r="132" spans="49:59" ht="12" customHeight="1">
      <c r="AW132" s="1202">
        <v>111</v>
      </c>
      <c r="AX132" s="43" t="e">
        <f t="shared" si="9"/>
        <v>#N/A</v>
      </c>
      <c r="AY132" s="43" t="e">
        <f t="shared" si="10"/>
        <v>#N/A</v>
      </c>
      <c r="AZ132" s="1174"/>
      <c r="BA132" s="1174"/>
      <c r="BB132" s="1174"/>
      <c r="BC132" s="1174"/>
      <c r="BD132" s="1174"/>
      <c r="BE132" s="1174"/>
      <c r="BG132" s="49"/>
    </row>
    <row r="133" spans="49:59" ht="12" customHeight="1">
      <c r="AW133" s="43">
        <v>112</v>
      </c>
      <c r="AX133" s="43" t="e">
        <f t="shared" si="9"/>
        <v>#N/A</v>
      </c>
      <c r="AY133" s="43" t="e">
        <f t="shared" si="10"/>
        <v>#N/A</v>
      </c>
      <c r="AZ133" s="1174"/>
      <c r="BA133" s="1174"/>
      <c r="BB133" s="1174"/>
      <c r="BC133" s="1174"/>
      <c r="BD133" s="1174"/>
      <c r="BE133" s="1174"/>
      <c r="BG133" s="49"/>
    </row>
    <row r="134" spans="49:59" ht="12" customHeight="1">
      <c r="AW134" s="1202">
        <v>113</v>
      </c>
      <c r="AX134" s="43" t="e">
        <f t="shared" si="9"/>
        <v>#N/A</v>
      </c>
      <c r="AY134" s="43" t="e">
        <f t="shared" si="10"/>
        <v>#N/A</v>
      </c>
      <c r="AZ134" s="1174"/>
      <c r="BA134" s="1174"/>
      <c r="BB134" s="1174"/>
      <c r="BC134" s="1174"/>
      <c r="BD134" s="1174"/>
      <c r="BE134" s="1174"/>
      <c r="BG134" s="49"/>
    </row>
    <row r="135" spans="49:59" ht="12" customHeight="1">
      <c r="AW135" s="1202">
        <v>114</v>
      </c>
      <c r="AX135" s="43" t="e">
        <f t="shared" si="9"/>
        <v>#N/A</v>
      </c>
      <c r="AY135" s="43" t="e">
        <f t="shared" si="10"/>
        <v>#N/A</v>
      </c>
      <c r="AZ135" s="1174"/>
      <c r="BA135" s="1174"/>
      <c r="BB135" s="1174"/>
      <c r="BC135" s="1174"/>
      <c r="BD135" s="1174"/>
      <c r="BE135" s="1174"/>
      <c r="BG135" s="49"/>
    </row>
    <row r="136" spans="49:59" ht="12" customHeight="1">
      <c r="AW136" s="1202">
        <v>115</v>
      </c>
      <c r="AX136" s="43" t="e">
        <f t="shared" si="9"/>
        <v>#N/A</v>
      </c>
      <c r="AY136" s="43" t="e">
        <f t="shared" si="10"/>
        <v>#N/A</v>
      </c>
      <c r="AZ136" s="1174"/>
      <c r="BA136" s="1174"/>
      <c r="BB136" s="1174"/>
      <c r="BC136" s="1174"/>
      <c r="BD136" s="1174"/>
      <c r="BE136" s="1174"/>
      <c r="BG136" s="49"/>
    </row>
    <row r="137" spans="49:59" ht="12" customHeight="1">
      <c r="AW137" s="1202">
        <v>116</v>
      </c>
      <c r="AX137" s="43" t="e">
        <f t="shared" si="9"/>
        <v>#N/A</v>
      </c>
      <c r="AY137" s="43" t="e">
        <f t="shared" si="10"/>
        <v>#N/A</v>
      </c>
      <c r="AZ137" s="1174"/>
      <c r="BA137" s="1174"/>
      <c r="BB137" s="1174"/>
      <c r="BC137" s="1174"/>
      <c r="BD137" s="1174"/>
      <c r="BE137" s="1174"/>
      <c r="BG137" s="49"/>
    </row>
    <row r="138" spans="49:59" ht="12" customHeight="1">
      <c r="AW138" s="43">
        <v>117</v>
      </c>
      <c r="AX138" s="43" t="e">
        <f t="shared" si="9"/>
        <v>#N/A</v>
      </c>
      <c r="AY138" s="43" t="e">
        <f t="shared" si="10"/>
        <v>#N/A</v>
      </c>
      <c r="AZ138" s="1174"/>
      <c r="BA138" s="1174"/>
      <c r="BB138" s="1174"/>
      <c r="BC138" s="1174"/>
      <c r="BD138" s="1174"/>
      <c r="BE138" s="1174"/>
      <c r="BG138" s="49"/>
    </row>
    <row r="139" spans="49:59" ht="12" customHeight="1">
      <c r="AW139" s="1202">
        <v>118</v>
      </c>
      <c r="AX139" s="43" t="e">
        <f t="shared" si="9"/>
        <v>#N/A</v>
      </c>
      <c r="AY139" s="43" t="e">
        <f t="shared" si="10"/>
        <v>#N/A</v>
      </c>
      <c r="AZ139" s="1174"/>
      <c r="BA139" s="1174"/>
      <c r="BB139" s="1174"/>
      <c r="BC139" s="1174"/>
      <c r="BD139" s="1174"/>
      <c r="BE139" s="1174"/>
      <c r="BG139" s="49"/>
    </row>
    <row r="140" spans="49:59" ht="12" customHeight="1">
      <c r="AW140" s="1202">
        <v>119</v>
      </c>
      <c r="AX140" s="43" t="e">
        <f t="shared" si="9"/>
        <v>#N/A</v>
      </c>
      <c r="AY140" s="43" t="e">
        <f t="shared" si="10"/>
        <v>#N/A</v>
      </c>
      <c r="AZ140" s="1174"/>
      <c r="BA140" s="1174"/>
      <c r="BB140" s="1174"/>
      <c r="BC140" s="1174"/>
      <c r="BD140" s="1174"/>
      <c r="BE140" s="1174"/>
      <c r="BG140" s="49"/>
    </row>
    <row r="141" spans="49:59" ht="12" customHeight="1">
      <c r="AW141" s="1202">
        <v>120</v>
      </c>
      <c r="AX141" s="43" t="e">
        <f t="shared" si="9"/>
        <v>#N/A</v>
      </c>
      <c r="AY141" s="43" t="e">
        <f t="shared" si="10"/>
        <v>#N/A</v>
      </c>
      <c r="AZ141" s="1174"/>
      <c r="BA141" s="1174"/>
      <c r="BB141" s="1174"/>
      <c r="BC141" s="1174"/>
      <c r="BD141" s="1174"/>
      <c r="BE141" s="1174"/>
      <c r="BG141" s="49"/>
    </row>
    <row r="142" spans="49:59" ht="12" customHeight="1">
      <c r="AW142" s="1202">
        <v>121</v>
      </c>
      <c r="AX142" s="43" t="e">
        <f t="shared" si="9"/>
        <v>#N/A</v>
      </c>
      <c r="AY142" s="43" t="e">
        <f t="shared" si="10"/>
        <v>#N/A</v>
      </c>
      <c r="AZ142" s="1174"/>
      <c r="BA142" s="1174"/>
      <c r="BB142" s="1174"/>
      <c r="BC142" s="1174"/>
      <c r="BD142" s="1174"/>
      <c r="BE142" s="1174"/>
      <c r="BG142" s="49"/>
    </row>
    <row r="143" spans="49:59" ht="12" customHeight="1">
      <c r="AW143" s="43">
        <v>122</v>
      </c>
      <c r="AX143" s="43" t="e">
        <f t="shared" si="9"/>
        <v>#N/A</v>
      </c>
      <c r="AY143" s="43" t="e">
        <f t="shared" si="10"/>
        <v>#N/A</v>
      </c>
      <c r="AZ143" s="1174"/>
      <c r="BA143" s="1174"/>
      <c r="BB143" s="1174"/>
      <c r="BC143" s="1174"/>
      <c r="BD143" s="1174"/>
      <c r="BE143" s="1174"/>
      <c r="BG143" s="49"/>
    </row>
    <row r="144" spans="49:59" ht="12" customHeight="1">
      <c r="AW144" s="1202">
        <v>123</v>
      </c>
      <c r="AX144" s="43" t="e">
        <f t="shared" si="9"/>
        <v>#N/A</v>
      </c>
      <c r="AY144" s="43" t="e">
        <f t="shared" si="10"/>
        <v>#N/A</v>
      </c>
      <c r="AZ144" s="1174"/>
      <c r="BA144" s="1174"/>
      <c r="BB144" s="1174"/>
      <c r="BC144" s="1174"/>
      <c r="BD144" s="1174"/>
      <c r="BE144" s="1174"/>
      <c r="BG144" s="49"/>
    </row>
    <row r="145" spans="49:59" ht="12" customHeight="1">
      <c r="AW145" s="1202">
        <v>124</v>
      </c>
      <c r="AX145" s="43" t="e">
        <f t="shared" si="9"/>
        <v>#N/A</v>
      </c>
      <c r="AY145" s="43" t="e">
        <f t="shared" si="10"/>
        <v>#N/A</v>
      </c>
      <c r="AZ145" s="1174"/>
      <c r="BA145" s="1174"/>
      <c r="BB145" s="1174"/>
      <c r="BC145" s="1174"/>
      <c r="BD145" s="1174"/>
      <c r="BE145" s="1174"/>
      <c r="BG145" s="49"/>
    </row>
    <row r="146" spans="49:59" ht="12" customHeight="1">
      <c r="AW146" s="1202">
        <v>125</v>
      </c>
      <c r="AX146" s="43" t="e">
        <f t="shared" si="9"/>
        <v>#N/A</v>
      </c>
      <c r="AY146" s="43" t="e">
        <f t="shared" si="10"/>
        <v>#N/A</v>
      </c>
      <c r="AZ146" s="1174"/>
      <c r="BA146" s="1174"/>
      <c r="BB146" s="1174"/>
      <c r="BC146" s="1174"/>
      <c r="BD146" s="1174"/>
      <c r="BE146" s="1174"/>
      <c r="BG146" s="49"/>
    </row>
    <row r="147" spans="49:59" ht="12" customHeight="1">
      <c r="AW147" s="1202">
        <v>126</v>
      </c>
      <c r="AX147" s="43" t="e">
        <f t="shared" si="9"/>
        <v>#N/A</v>
      </c>
      <c r="AY147" s="43" t="e">
        <f t="shared" si="10"/>
        <v>#N/A</v>
      </c>
      <c r="AZ147" s="1174"/>
      <c r="BA147" s="1174"/>
      <c r="BB147" s="1174"/>
      <c r="BC147" s="1174"/>
      <c r="BD147" s="1174"/>
      <c r="BE147" s="1174"/>
      <c r="BG147" s="49"/>
    </row>
    <row r="148" spans="49:59" ht="12" customHeight="1">
      <c r="AW148" s="43">
        <v>127</v>
      </c>
      <c r="AX148" s="43" t="e">
        <f t="shared" si="9"/>
        <v>#N/A</v>
      </c>
      <c r="AY148" s="43" t="e">
        <f t="shared" si="10"/>
        <v>#N/A</v>
      </c>
      <c r="AZ148" s="1174"/>
      <c r="BA148" s="1174"/>
      <c r="BB148" s="1174"/>
      <c r="BC148" s="1174"/>
      <c r="BD148" s="1174"/>
      <c r="BE148" s="1174"/>
      <c r="BG148" s="49"/>
    </row>
    <row r="149" spans="49:59" ht="12" customHeight="1">
      <c r="AW149" s="1202">
        <v>128</v>
      </c>
      <c r="AX149" s="43" t="e">
        <f t="shared" si="9"/>
        <v>#N/A</v>
      </c>
      <c r="AY149" s="43" t="e">
        <f t="shared" si="10"/>
        <v>#N/A</v>
      </c>
      <c r="AZ149" s="1174"/>
      <c r="BA149" s="1174"/>
      <c r="BB149" s="1174"/>
      <c r="BC149" s="1174"/>
      <c r="BD149" s="1174"/>
      <c r="BE149" s="1174"/>
      <c r="BG149" s="49"/>
    </row>
    <row r="150" spans="49:59" ht="12" customHeight="1">
      <c r="AW150" s="1202">
        <v>129</v>
      </c>
      <c r="AX150" s="43" t="e">
        <f t="shared" ref="AX150:AX181" si="11">IF(AND(xandn,$B$16,$F$10&lt;201,AW150&lt;$F$10),0,NA())</f>
        <v>#N/A</v>
      </c>
      <c r="AY150" s="43" t="e">
        <f t="shared" ref="AY150:AY181" si="12">IF(AND(xandn,$B$16,$F$10&lt;201,AW150&lt;$F$10),AW150/$F$10,NA())</f>
        <v>#N/A</v>
      </c>
      <c r="AZ150" s="1174"/>
      <c r="BA150" s="1174"/>
      <c r="BB150" s="1174"/>
      <c r="BC150" s="1174"/>
      <c r="BD150" s="1174"/>
      <c r="BE150" s="1174"/>
      <c r="BG150" s="49"/>
    </row>
    <row r="151" spans="49:59" ht="12" customHeight="1">
      <c r="AW151" s="1202">
        <v>130</v>
      </c>
      <c r="AX151" s="43" t="e">
        <f t="shared" si="11"/>
        <v>#N/A</v>
      </c>
      <c r="AY151" s="43" t="e">
        <f t="shared" si="12"/>
        <v>#N/A</v>
      </c>
      <c r="AZ151" s="1174"/>
      <c r="BA151" s="1174"/>
      <c r="BB151" s="1174"/>
      <c r="BC151" s="1174"/>
      <c r="BD151" s="1174"/>
      <c r="BE151" s="1174"/>
      <c r="BG151" s="49"/>
    </row>
    <row r="152" spans="49:59" ht="12" customHeight="1">
      <c r="AW152" s="1202">
        <v>131</v>
      </c>
      <c r="AX152" s="43" t="e">
        <f t="shared" si="11"/>
        <v>#N/A</v>
      </c>
      <c r="AY152" s="43" t="e">
        <f t="shared" si="12"/>
        <v>#N/A</v>
      </c>
      <c r="AZ152" s="1174"/>
      <c r="BA152" s="1174"/>
      <c r="BB152" s="1174"/>
      <c r="BC152" s="1174"/>
      <c r="BD152" s="1174"/>
      <c r="BE152" s="1174"/>
      <c r="BG152" s="49"/>
    </row>
    <row r="153" spans="49:59" ht="12" customHeight="1">
      <c r="AW153" s="43">
        <v>132</v>
      </c>
      <c r="AX153" s="43" t="e">
        <f t="shared" si="11"/>
        <v>#N/A</v>
      </c>
      <c r="AY153" s="43" t="e">
        <f t="shared" si="12"/>
        <v>#N/A</v>
      </c>
      <c r="AZ153" s="1174"/>
      <c r="BA153" s="1174"/>
      <c r="BB153" s="1174"/>
      <c r="BC153" s="1174"/>
      <c r="BD153" s="1174"/>
      <c r="BE153" s="1174"/>
      <c r="BG153" s="49"/>
    </row>
    <row r="154" spans="49:59" ht="12" customHeight="1">
      <c r="AW154" s="1202">
        <v>133</v>
      </c>
      <c r="AX154" s="43" t="e">
        <f t="shared" si="11"/>
        <v>#N/A</v>
      </c>
      <c r="AY154" s="43" t="e">
        <f t="shared" si="12"/>
        <v>#N/A</v>
      </c>
      <c r="AZ154" s="1174"/>
      <c r="BA154" s="1174"/>
      <c r="BB154" s="1174"/>
      <c r="BC154" s="1174"/>
      <c r="BD154" s="1174"/>
      <c r="BE154" s="1174"/>
      <c r="BG154" s="49"/>
    </row>
    <row r="155" spans="49:59" ht="12" customHeight="1">
      <c r="AW155" s="1202">
        <v>134</v>
      </c>
      <c r="AX155" s="43" t="e">
        <f t="shared" si="11"/>
        <v>#N/A</v>
      </c>
      <c r="AY155" s="43" t="e">
        <f t="shared" si="12"/>
        <v>#N/A</v>
      </c>
      <c r="AZ155" s="1174"/>
      <c r="BA155" s="1174"/>
      <c r="BB155" s="1174"/>
      <c r="BC155" s="1174"/>
      <c r="BD155" s="1174"/>
      <c r="BE155" s="1174"/>
      <c r="BG155" s="49"/>
    </row>
    <row r="156" spans="49:59" ht="12" customHeight="1">
      <c r="AW156" s="1202">
        <v>135</v>
      </c>
      <c r="AX156" s="43" t="e">
        <f t="shared" si="11"/>
        <v>#N/A</v>
      </c>
      <c r="AY156" s="43" t="e">
        <f t="shared" si="12"/>
        <v>#N/A</v>
      </c>
      <c r="AZ156" s="1174"/>
      <c r="BA156" s="1174"/>
      <c r="BB156" s="1174"/>
      <c r="BC156" s="1174"/>
      <c r="BD156" s="1174"/>
      <c r="BE156" s="1174"/>
      <c r="BG156" s="49"/>
    </row>
    <row r="157" spans="49:59" ht="12" customHeight="1">
      <c r="AW157" s="1202">
        <v>136</v>
      </c>
      <c r="AX157" s="43" t="e">
        <f t="shared" si="11"/>
        <v>#N/A</v>
      </c>
      <c r="AY157" s="43" t="e">
        <f t="shared" si="12"/>
        <v>#N/A</v>
      </c>
      <c r="AZ157" s="1174"/>
      <c r="BA157" s="1174"/>
      <c r="BB157" s="1174"/>
      <c r="BC157" s="1174"/>
      <c r="BD157" s="1174"/>
      <c r="BE157" s="1174"/>
      <c r="BG157" s="49"/>
    </row>
    <row r="158" spans="49:59" ht="12" customHeight="1">
      <c r="AW158" s="43">
        <v>137</v>
      </c>
      <c r="AX158" s="43" t="e">
        <f t="shared" si="11"/>
        <v>#N/A</v>
      </c>
      <c r="AY158" s="43" t="e">
        <f t="shared" si="12"/>
        <v>#N/A</v>
      </c>
      <c r="AZ158" s="1174"/>
      <c r="BA158" s="1174"/>
      <c r="BB158" s="1174"/>
      <c r="BC158" s="1174"/>
      <c r="BD158" s="1174"/>
      <c r="BE158" s="1174"/>
      <c r="BG158" s="49"/>
    </row>
    <row r="159" spans="49:59" ht="12" customHeight="1">
      <c r="AW159" s="1202">
        <v>138</v>
      </c>
      <c r="AX159" s="43" t="e">
        <f t="shared" si="11"/>
        <v>#N/A</v>
      </c>
      <c r="AY159" s="43" t="e">
        <f t="shared" si="12"/>
        <v>#N/A</v>
      </c>
      <c r="AZ159" s="1174"/>
      <c r="BA159" s="1174"/>
      <c r="BB159" s="1174"/>
      <c r="BC159" s="1174"/>
      <c r="BD159" s="1174"/>
      <c r="BE159" s="1174"/>
      <c r="BG159" s="49"/>
    </row>
    <row r="160" spans="49:59" ht="12" customHeight="1">
      <c r="AW160" s="1202">
        <v>139</v>
      </c>
      <c r="AX160" s="43" t="e">
        <f t="shared" si="11"/>
        <v>#N/A</v>
      </c>
      <c r="AY160" s="43" t="e">
        <f t="shared" si="12"/>
        <v>#N/A</v>
      </c>
      <c r="AZ160" s="1174"/>
      <c r="BA160" s="1174"/>
      <c r="BB160" s="1174"/>
      <c r="BC160" s="1174"/>
      <c r="BD160" s="1174"/>
      <c r="BE160" s="1174"/>
      <c r="BG160" s="49"/>
    </row>
    <row r="161" spans="49:59" ht="12" customHeight="1">
      <c r="AW161" s="1202">
        <v>140</v>
      </c>
      <c r="AX161" s="43" t="e">
        <f t="shared" si="11"/>
        <v>#N/A</v>
      </c>
      <c r="AY161" s="43" t="e">
        <f t="shared" si="12"/>
        <v>#N/A</v>
      </c>
      <c r="AZ161" s="1174"/>
      <c r="BA161" s="1174"/>
      <c r="BB161" s="1174"/>
      <c r="BC161" s="1174"/>
      <c r="BD161" s="1174"/>
      <c r="BE161" s="1174"/>
      <c r="BG161" s="49"/>
    </row>
    <row r="162" spans="49:59" ht="12" customHeight="1">
      <c r="AW162" s="1202">
        <v>141</v>
      </c>
      <c r="AX162" s="43" t="e">
        <f t="shared" si="11"/>
        <v>#N/A</v>
      </c>
      <c r="AY162" s="43" t="e">
        <f t="shared" si="12"/>
        <v>#N/A</v>
      </c>
      <c r="AZ162" s="1174"/>
      <c r="BA162" s="1174"/>
      <c r="BB162" s="1174"/>
      <c r="BC162" s="1174"/>
      <c r="BD162" s="1174"/>
      <c r="BE162" s="1174"/>
      <c r="BG162" s="49"/>
    </row>
    <row r="163" spans="49:59" ht="12" customHeight="1">
      <c r="AW163" s="43">
        <v>142</v>
      </c>
      <c r="AX163" s="43" t="e">
        <f t="shared" si="11"/>
        <v>#N/A</v>
      </c>
      <c r="AY163" s="43" t="e">
        <f t="shared" si="12"/>
        <v>#N/A</v>
      </c>
      <c r="AZ163" s="1174"/>
      <c r="BA163" s="1174"/>
      <c r="BB163" s="1174"/>
      <c r="BC163" s="1174"/>
      <c r="BD163" s="1174"/>
      <c r="BE163" s="1174"/>
      <c r="BG163" s="49"/>
    </row>
    <row r="164" spans="49:59" ht="12" customHeight="1">
      <c r="AW164" s="1202">
        <v>143</v>
      </c>
      <c r="AX164" s="43" t="e">
        <f t="shared" si="11"/>
        <v>#N/A</v>
      </c>
      <c r="AY164" s="43" t="e">
        <f t="shared" si="12"/>
        <v>#N/A</v>
      </c>
      <c r="AZ164" s="1174"/>
      <c r="BA164" s="1174"/>
      <c r="BB164" s="1174"/>
      <c r="BC164" s="1174"/>
      <c r="BD164" s="1174"/>
      <c r="BE164" s="1174"/>
      <c r="BG164" s="49"/>
    </row>
    <row r="165" spans="49:59" ht="12" customHeight="1">
      <c r="AW165" s="1202">
        <v>144</v>
      </c>
      <c r="AX165" s="43" t="e">
        <f t="shared" si="11"/>
        <v>#N/A</v>
      </c>
      <c r="AY165" s="43" t="e">
        <f t="shared" si="12"/>
        <v>#N/A</v>
      </c>
      <c r="AZ165" s="1174"/>
      <c r="BA165" s="1174"/>
      <c r="BB165" s="1174"/>
      <c r="BC165" s="1174"/>
      <c r="BD165" s="1174"/>
      <c r="BE165" s="1174"/>
      <c r="BG165" s="49"/>
    </row>
    <row r="166" spans="49:59" ht="12" customHeight="1">
      <c r="AW166" s="1202">
        <v>145</v>
      </c>
      <c r="AX166" s="43" t="e">
        <f t="shared" si="11"/>
        <v>#N/A</v>
      </c>
      <c r="AY166" s="43" t="e">
        <f t="shared" si="12"/>
        <v>#N/A</v>
      </c>
      <c r="AZ166" s="1174"/>
      <c r="BA166" s="1174"/>
      <c r="BB166" s="1174"/>
      <c r="BC166" s="1174"/>
      <c r="BD166" s="1174"/>
      <c r="BE166" s="1174"/>
      <c r="BG166" s="49"/>
    </row>
    <row r="167" spans="49:59" ht="12" customHeight="1">
      <c r="AW167" s="1202">
        <v>146</v>
      </c>
      <c r="AX167" s="43" t="e">
        <f t="shared" si="11"/>
        <v>#N/A</v>
      </c>
      <c r="AY167" s="43" t="e">
        <f t="shared" si="12"/>
        <v>#N/A</v>
      </c>
      <c r="AZ167" s="1174"/>
      <c r="BA167" s="1174"/>
      <c r="BB167" s="1174"/>
      <c r="BC167" s="1174"/>
      <c r="BD167" s="1174"/>
      <c r="BE167" s="1174"/>
      <c r="BG167" s="49"/>
    </row>
    <row r="168" spans="49:59" ht="12" customHeight="1">
      <c r="AW168" s="43">
        <v>147</v>
      </c>
      <c r="AX168" s="43" t="e">
        <f t="shared" si="11"/>
        <v>#N/A</v>
      </c>
      <c r="AY168" s="43" t="e">
        <f t="shared" si="12"/>
        <v>#N/A</v>
      </c>
      <c r="AZ168" s="1174"/>
      <c r="BA168" s="1174"/>
      <c r="BB168" s="1174"/>
      <c r="BC168" s="1174"/>
      <c r="BD168" s="1174"/>
      <c r="BE168" s="1174"/>
      <c r="BG168" s="49"/>
    </row>
    <row r="169" spans="49:59" ht="12" customHeight="1">
      <c r="AW169" s="1202">
        <v>148</v>
      </c>
      <c r="AX169" s="43" t="e">
        <f t="shared" si="11"/>
        <v>#N/A</v>
      </c>
      <c r="AY169" s="43" t="e">
        <f t="shared" si="12"/>
        <v>#N/A</v>
      </c>
      <c r="AZ169" s="1174"/>
      <c r="BA169" s="1174"/>
      <c r="BB169" s="1174"/>
      <c r="BC169" s="1174"/>
      <c r="BD169" s="1174"/>
      <c r="BE169" s="1174"/>
      <c r="BG169" s="49"/>
    </row>
    <row r="170" spans="49:59" ht="12" customHeight="1">
      <c r="AW170" s="1202">
        <v>149</v>
      </c>
      <c r="AX170" s="43" t="e">
        <f t="shared" si="11"/>
        <v>#N/A</v>
      </c>
      <c r="AY170" s="43" t="e">
        <f t="shared" si="12"/>
        <v>#N/A</v>
      </c>
      <c r="AZ170" s="1174"/>
      <c r="BA170" s="1174"/>
      <c r="BB170" s="1174"/>
      <c r="BC170" s="1174"/>
      <c r="BD170" s="1174"/>
      <c r="BE170" s="1174"/>
      <c r="BG170" s="49"/>
    </row>
    <row r="171" spans="49:59" ht="12" customHeight="1">
      <c r="AW171" s="1202">
        <v>150</v>
      </c>
      <c r="AX171" s="43" t="e">
        <f t="shared" si="11"/>
        <v>#N/A</v>
      </c>
      <c r="AY171" s="43" t="e">
        <f t="shared" si="12"/>
        <v>#N/A</v>
      </c>
      <c r="AZ171" s="1174"/>
      <c r="BA171" s="1174"/>
      <c r="BB171" s="1174"/>
      <c r="BC171" s="1174"/>
      <c r="BD171" s="1174"/>
      <c r="BE171" s="1174"/>
      <c r="BG171" s="49"/>
    </row>
    <row r="172" spans="49:59" ht="12" customHeight="1">
      <c r="AW172" s="1202">
        <v>151</v>
      </c>
      <c r="AX172" s="43" t="e">
        <f t="shared" si="11"/>
        <v>#N/A</v>
      </c>
      <c r="AY172" s="43" t="e">
        <f t="shared" si="12"/>
        <v>#N/A</v>
      </c>
      <c r="AZ172" s="1174"/>
      <c r="BA172" s="1174"/>
      <c r="BB172" s="1174"/>
      <c r="BC172" s="1174"/>
      <c r="BD172" s="1174"/>
      <c r="BE172" s="1174"/>
      <c r="BG172" s="49"/>
    </row>
    <row r="173" spans="49:59" ht="12" customHeight="1">
      <c r="AW173" s="43">
        <v>152</v>
      </c>
      <c r="AX173" s="43" t="e">
        <f t="shared" si="11"/>
        <v>#N/A</v>
      </c>
      <c r="AY173" s="43" t="e">
        <f t="shared" si="12"/>
        <v>#N/A</v>
      </c>
      <c r="AZ173" s="1174"/>
      <c r="BA173" s="1174"/>
      <c r="BB173" s="1174"/>
      <c r="BC173" s="1174"/>
      <c r="BD173" s="1174"/>
      <c r="BE173" s="1174"/>
      <c r="BG173" s="49"/>
    </row>
    <row r="174" spans="49:59" ht="12" customHeight="1">
      <c r="AW174" s="1202">
        <v>153</v>
      </c>
      <c r="AX174" s="43" t="e">
        <f t="shared" si="11"/>
        <v>#N/A</v>
      </c>
      <c r="AY174" s="43" t="e">
        <f t="shared" si="12"/>
        <v>#N/A</v>
      </c>
      <c r="AZ174" s="1174"/>
      <c r="BA174" s="1174"/>
      <c r="BB174" s="1174"/>
      <c r="BC174" s="1174"/>
      <c r="BD174" s="1174"/>
      <c r="BE174" s="1174"/>
      <c r="BG174" s="49"/>
    </row>
    <row r="175" spans="49:59" ht="12" customHeight="1">
      <c r="AW175" s="1202">
        <v>154</v>
      </c>
      <c r="AX175" s="43" t="e">
        <f t="shared" si="11"/>
        <v>#N/A</v>
      </c>
      <c r="AY175" s="43" t="e">
        <f t="shared" si="12"/>
        <v>#N/A</v>
      </c>
      <c r="AZ175" s="1174"/>
      <c r="BA175" s="1174"/>
      <c r="BB175" s="1174"/>
      <c r="BC175" s="1174"/>
      <c r="BD175" s="1174"/>
      <c r="BE175" s="1174"/>
      <c r="BG175" s="49"/>
    </row>
    <row r="176" spans="49:59" ht="12" customHeight="1">
      <c r="AW176" s="1202">
        <v>155</v>
      </c>
      <c r="AX176" s="43" t="e">
        <f t="shared" si="11"/>
        <v>#N/A</v>
      </c>
      <c r="AY176" s="43" t="e">
        <f t="shared" si="12"/>
        <v>#N/A</v>
      </c>
      <c r="AZ176" s="1174"/>
      <c r="BA176" s="1174"/>
      <c r="BB176" s="1174"/>
      <c r="BC176" s="1174"/>
      <c r="BD176" s="1174"/>
      <c r="BE176" s="1174"/>
      <c r="BG176" s="49"/>
    </row>
    <row r="177" spans="49:59" ht="12" customHeight="1">
      <c r="AW177" s="1202">
        <v>156</v>
      </c>
      <c r="AX177" s="43" t="e">
        <f t="shared" si="11"/>
        <v>#N/A</v>
      </c>
      <c r="AY177" s="43" t="e">
        <f t="shared" si="12"/>
        <v>#N/A</v>
      </c>
      <c r="AZ177" s="1174"/>
      <c r="BA177" s="1174"/>
      <c r="BB177" s="1174"/>
      <c r="BC177" s="1174"/>
      <c r="BD177" s="1174"/>
      <c r="BE177" s="1174"/>
      <c r="BG177" s="49"/>
    </row>
    <row r="178" spans="49:59" ht="12" customHeight="1">
      <c r="AW178" s="43">
        <v>157</v>
      </c>
      <c r="AX178" s="43" t="e">
        <f t="shared" si="11"/>
        <v>#N/A</v>
      </c>
      <c r="AY178" s="43" t="e">
        <f t="shared" si="12"/>
        <v>#N/A</v>
      </c>
      <c r="AZ178" s="1174"/>
      <c r="BA178" s="1174"/>
      <c r="BB178" s="1174"/>
      <c r="BC178" s="1174"/>
      <c r="BD178" s="1174"/>
      <c r="BE178" s="1174"/>
      <c r="BG178" s="49"/>
    </row>
    <row r="179" spans="49:59" ht="12" customHeight="1">
      <c r="AW179" s="1202">
        <v>158</v>
      </c>
      <c r="AX179" s="43" t="e">
        <f t="shared" si="11"/>
        <v>#N/A</v>
      </c>
      <c r="AY179" s="43" t="e">
        <f t="shared" si="12"/>
        <v>#N/A</v>
      </c>
      <c r="AZ179" s="1174"/>
      <c r="BA179" s="1174"/>
      <c r="BB179" s="1174"/>
      <c r="BC179" s="1174"/>
      <c r="BD179" s="1174"/>
      <c r="BE179" s="1174"/>
      <c r="BG179" s="49"/>
    </row>
    <row r="180" spans="49:59" ht="12" customHeight="1">
      <c r="AW180" s="1202">
        <v>159</v>
      </c>
      <c r="AX180" s="43" t="e">
        <f t="shared" si="11"/>
        <v>#N/A</v>
      </c>
      <c r="AY180" s="43" t="e">
        <f t="shared" si="12"/>
        <v>#N/A</v>
      </c>
      <c r="AZ180" s="1174"/>
      <c r="BA180" s="1174"/>
      <c r="BB180" s="1174"/>
      <c r="BC180" s="1174"/>
      <c r="BD180" s="1174"/>
      <c r="BE180" s="1174"/>
      <c r="BG180" s="49"/>
    </row>
    <row r="181" spans="49:59" ht="12" customHeight="1">
      <c r="AW181" s="1202">
        <v>160</v>
      </c>
      <c r="AX181" s="43" t="e">
        <f t="shared" si="11"/>
        <v>#N/A</v>
      </c>
      <c r="AY181" s="43" t="e">
        <f t="shared" si="12"/>
        <v>#N/A</v>
      </c>
      <c r="AZ181" s="1174"/>
      <c r="BA181" s="1174"/>
      <c r="BB181" s="1174"/>
      <c r="BC181" s="1174"/>
      <c r="BD181" s="1174"/>
      <c r="BE181" s="1174"/>
      <c r="BG181" s="49"/>
    </row>
    <row r="182" spans="49:59" ht="12" customHeight="1">
      <c r="AW182" s="1202">
        <v>161</v>
      </c>
      <c r="AX182" s="43" t="e">
        <f t="shared" ref="AX182:AX213" si="13">IF(AND(xandn,$B$16,$F$10&lt;201,AW182&lt;$F$10),0,NA())</f>
        <v>#N/A</v>
      </c>
      <c r="AY182" s="43" t="e">
        <f t="shared" ref="AY182:AY213" si="14">IF(AND(xandn,$B$16,$F$10&lt;201,AW182&lt;$F$10),AW182/$F$10,NA())</f>
        <v>#N/A</v>
      </c>
      <c r="AZ182" s="1174"/>
      <c r="BA182" s="1174"/>
      <c r="BB182" s="1174"/>
      <c r="BC182" s="1174"/>
      <c r="BD182" s="1174"/>
      <c r="BE182" s="1174"/>
      <c r="BG182" s="49"/>
    </row>
    <row r="183" spans="49:59" ht="12" customHeight="1">
      <c r="AW183" s="43">
        <v>162</v>
      </c>
      <c r="AX183" s="43" t="e">
        <f t="shared" si="13"/>
        <v>#N/A</v>
      </c>
      <c r="AY183" s="43" t="e">
        <f t="shared" si="14"/>
        <v>#N/A</v>
      </c>
      <c r="AZ183" s="1174"/>
      <c r="BA183" s="1174"/>
      <c r="BB183" s="1174"/>
      <c r="BC183" s="1174"/>
      <c r="BD183" s="1174"/>
      <c r="BE183" s="1174"/>
      <c r="BG183" s="49"/>
    </row>
    <row r="184" spans="49:59" ht="12" customHeight="1">
      <c r="AW184" s="1202">
        <v>163</v>
      </c>
      <c r="AX184" s="43" t="e">
        <f t="shared" si="13"/>
        <v>#N/A</v>
      </c>
      <c r="AY184" s="43" t="e">
        <f t="shared" si="14"/>
        <v>#N/A</v>
      </c>
      <c r="AZ184" s="1174"/>
      <c r="BA184" s="1174"/>
      <c r="BB184" s="1174"/>
      <c r="BC184" s="1174"/>
      <c r="BD184" s="1174"/>
      <c r="BE184" s="1174"/>
      <c r="BG184" s="49"/>
    </row>
    <row r="185" spans="49:59" ht="12" customHeight="1">
      <c r="AW185" s="1202">
        <v>164</v>
      </c>
      <c r="AX185" s="43" t="e">
        <f t="shared" si="13"/>
        <v>#N/A</v>
      </c>
      <c r="AY185" s="43" t="e">
        <f t="shared" si="14"/>
        <v>#N/A</v>
      </c>
      <c r="AZ185" s="1174"/>
      <c r="BA185" s="1174"/>
      <c r="BB185" s="1174"/>
      <c r="BC185" s="1174"/>
      <c r="BD185" s="1174"/>
      <c r="BE185" s="1174"/>
      <c r="BG185" s="49"/>
    </row>
    <row r="186" spans="49:59" ht="12" customHeight="1">
      <c r="AW186" s="1202">
        <v>165</v>
      </c>
      <c r="AX186" s="43" t="e">
        <f t="shared" si="13"/>
        <v>#N/A</v>
      </c>
      <c r="AY186" s="43" t="e">
        <f t="shared" si="14"/>
        <v>#N/A</v>
      </c>
      <c r="AZ186" s="1174"/>
      <c r="BA186" s="1174"/>
      <c r="BB186" s="1174"/>
      <c r="BC186" s="1174"/>
      <c r="BD186" s="1174"/>
      <c r="BE186" s="1174"/>
      <c r="BG186" s="49"/>
    </row>
    <row r="187" spans="49:59" ht="12" customHeight="1">
      <c r="AW187" s="1202">
        <v>166</v>
      </c>
      <c r="AX187" s="43" t="e">
        <f t="shared" si="13"/>
        <v>#N/A</v>
      </c>
      <c r="AY187" s="43" t="e">
        <f t="shared" si="14"/>
        <v>#N/A</v>
      </c>
      <c r="AZ187" s="1174"/>
      <c r="BA187" s="1174"/>
      <c r="BB187" s="1174"/>
      <c r="BC187" s="1174"/>
      <c r="BD187" s="1174"/>
      <c r="BE187" s="1174"/>
      <c r="BG187" s="49"/>
    </row>
    <row r="188" spans="49:59" ht="12" customHeight="1">
      <c r="AW188" s="43">
        <v>167</v>
      </c>
      <c r="AX188" s="43" t="e">
        <f t="shared" si="13"/>
        <v>#N/A</v>
      </c>
      <c r="AY188" s="43" t="e">
        <f t="shared" si="14"/>
        <v>#N/A</v>
      </c>
      <c r="AZ188" s="1174"/>
      <c r="BA188" s="1174"/>
      <c r="BB188" s="1174"/>
      <c r="BC188" s="1174"/>
      <c r="BD188" s="1174"/>
      <c r="BE188" s="1174"/>
      <c r="BG188" s="49"/>
    </row>
    <row r="189" spans="49:59" ht="12" customHeight="1">
      <c r="AW189" s="1202">
        <v>168</v>
      </c>
      <c r="AX189" s="43" t="e">
        <f t="shared" si="13"/>
        <v>#N/A</v>
      </c>
      <c r="AY189" s="43" t="e">
        <f t="shared" si="14"/>
        <v>#N/A</v>
      </c>
      <c r="AZ189" s="1174"/>
      <c r="BA189" s="1174"/>
      <c r="BB189" s="1174"/>
      <c r="BC189" s="1174"/>
      <c r="BD189" s="1174"/>
      <c r="BE189" s="1174"/>
      <c r="BG189" s="49"/>
    </row>
    <row r="190" spans="49:59" ht="12" customHeight="1">
      <c r="AW190" s="1202">
        <v>169</v>
      </c>
      <c r="AX190" s="43" t="e">
        <f t="shared" si="13"/>
        <v>#N/A</v>
      </c>
      <c r="AY190" s="43" t="e">
        <f t="shared" si="14"/>
        <v>#N/A</v>
      </c>
      <c r="AZ190" s="1174"/>
      <c r="BA190" s="1174"/>
      <c r="BB190" s="1174"/>
      <c r="BC190" s="1174"/>
      <c r="BD190" s="1174"/>
      <c r="BE190" s="1174"/>
      <c r="BG190" s="49"/>
    </row>
    <row r="191" spans="49:59" ht="12" customHeight="1">
      <c r="AW191" s="1202">
        <v>170</v>
      </c>
      <c r="AX191" s="43" t="e">
        <f t="shared" si="13"/>
        <v>#N/A</v>
      </c>
      <c r="AY191" s="43" t="e">
        <f t="shared" si="14"/>
        <v>#N/A</v>
      </c>
      <c r="AZ191" s="1174"/>
      <c r="BA191" s="1174"/>
      <c r="BB191" s="1174"/>
      <c r="BC191" s="1174"/>
      <c r="BD191" s="1174"/>
      <c r="BE191" s="1174"/>
      <c r="BG191" s="49"/>
    </row>
    <row r="192" spans="49:59" ht="12" customHeight="1">
      <c r="AW192" s="1202">
        <v>171</v>
      </c>
      <c r="AX192" s="43" t="e">
        <f t="shared" si="13"/>
        <v>#N/A</v>
      </c>
      <c r="AY192" s="43" t="e">
        <f t="shared" si="14"/>
        <v>#N/A</v>
      </c>
      <c r="AZ192" s="1174"/>
      <c r="BA192" s="1174"/>
      <c r="BB192" s="1174"/>
      <c r="BC192" s="1174"/>
      <c r="BD192" s="1174"/>
      <c r="BE192" s="1174"/>
      <c r="BG192" s="49"/>
    </row>
    <row r="193" spans="49:59" ht="12" customHeight="1">
      <c r="AW193" s="43">
        <v>172</v>
      </c>
      <c r="AX193" s="43" t="e">
        <f t="shared" si="13"/>
        <v>#N/A</v>
      </c>
      <c r="AY193" s="43" t="e">
        <f t="shared" si="14"/>
        <v>#N/A</v>
      </c>
      <c r="AZ193" s="1174"/>
      <c r="BA193" s="1174"/>
      <c r="BB193" s="1174"/>
      <c r="BC193" s="1174"/>
      <c r="BD193" s="1174"/>
      <c r="BE193" s="1174"/>
      <c r="BG193" s="49"/>
    </row>
    <row r="194" spans="49:59" ht="12" customHeight="1">
      <c r="AW194" s="1202">
        <v>173</v>
      </c>
      <c r="AX194" s="43" t="e">
        <f t="shared" si="13"/>
        <v>#N/A</v>
      </c>
      <c r="AY194" s="43" t="e">
        <f t="shared" si="14"/>
        <v>#N/A</v>
      </c>
      <c r="AZ194" s="1174"/>
      <c r="BA194" s="1174"/>
      <c r="BB194" s="1174"/>
      <c r="BC194" s="1174"/>
      <c r="BD194" s="1174"/>
      <c r="BE194" s="1174"/>
      <c r="BG194" s="49"/>
    </row>
    <row r="195" spans="49:59" ht="12" customHeight="1">
      <c r="AW195" s="1202">
        <v>174</v>
      </c>
      <c r="AX195" s="43" t="e">
        <f t="shared" si="13"/>
        <v>#N/A</v>
      </c>
      <c r="AY195" s="43" t="e">
        <f t="shared" si="14"/>
        <v>#N/A</v>
      </c>
      <c r="AZ195" s="1174"/>
      <c r="BA195" s="1174"/>
      <c r="BB195" s="1174"/>
      <c r="BC195" s="1174"/>
      <c r="BD195" s="1174"/>
      <c r="BE195" s="1174"/>
      <c r="BG195" s="49"/>
    </row>
    <row r="196" spans="49:59" ht="12" customHeight="1">
      <c r="AW196" s="1202">
        <v>175</v>
      </c>
      <c r="AX196" s="43" t="e">
        <f t="shared" si="13"/>
        <v>#N/A</v>
      </c>
      <c r="AY196" s="43" t="e">
        <f t="shared" si="14"/>
        <v>#N/A</v>
      </c>
      <c r="AZ196" s="1174"/>
      <c r="BA196" s="1174"/>
      <c r="BB196" s="1174"/>
      <c r="BC196" s="1174"/>
      <c r="BD196" s="1174"/>
      <c r="BE196" s="1174"/>
      <c r="BG196" s="49"/>
    </row>
    <row r="197" spans="49:59" ht="12" customHeight="1">
      <c r="AW197" s="1202">
        <v>176</v>
      </c>
      <c r="AX197" s="43" t="e">
        <f t="shared" si="13"/>
        <v>#N/A</v>
      </c>
      <c r="AY197" s="43" t="e">
        <f t="shared" si="14"/>
        <v>#N/A</v>
      </c>
      <c r="AZ197" s="1174"/>
      <c r="BA197" s="1174"/>
      <c r="BB197" s="1174"/>
      <c r="BC197" s="1174"/>
      <c r="BD197" s="1174"/>
      <c r="BE197" s="1174"/>
      <c r="BG197" s="49"/>
    </row>
    <row r="198" spans="49:59" ht="12" customHeight="1">
      <c r="AW198" s="43">
        <v>177</v>
      </c>
      <c r="AX198" s="43" t="e">
        <f t="shared" si="13"/>
        <v>#N/A</v>
      </c>
      <c r="AY198" s="43" t="e">
        <f t="shared" si="14"/>
        <v>#N/A</v>
      </c>
      <c r="AZ198" s="1174"/>
      <c r="BA198" s="1174"/>
      <c r="BB198" s="1174"/>
      <c r="BC198" s="1174"/>
      <c r="BD198" s="1174"/>
      <c r="BE198" s="1174"/>
      <c r="BG198" s="49"/>
    </row>
    <row r="199" spans="49:59" ht="12" customHeight="1">
      <c r="AW199" s="1202">
        <v>178</v>
      </c>
      <c r="AX199" s="43" t="e">
        <f t="shared" si="13"/>
        <v>#N/A</v>
      </c>
      <c r="AY199" s="43" t="e">
        <f t="shared" si="14"/>
        <v>#N/A</v>
      </c>
      <c r="AZ199" s="1174"/>
      <c r="BA199" s="1174"/>
      <c r="BB199" s="1174"/>
      <c r="BC199" s="1174"/>
      <c r="BD199" s="1174"/>
      <c r="BE199" s="1174"/>
      <c r="BG199" s="49"/>
    </row>
    <row r="200" spans="49:59" ht="12" customHeight="1">
      <c r="AW200" s="1202">
        <v>179</v>
      </c>
      <c r="AX200" s="43" t="e">
        <f t="shared" si="13"/>
        <v>#N/A</v>
      </c>
      <c r="AY200" s="43" t="e">
        <f t="shared" si="14"/>
        <v>#N/A</v>
      </c>
      <c r="AZ200" s="1174"/>
      <c r="BA200" s="1174"/>
      <c r="BB200" s="1174"/>
      <c r="BC200" s="1174"/>
      <c r="BD200" s="1174"/>
      <c r="BE200" s="1174"/>
      <c r="BG200" s="49"/>
    </row>
    <row r="201" spans="49:59" ht="12" customHeight="1">
      <c r="AW201" s="1202">
        <v>180</v>
      </c>
      <c r="AX201" s="43" t="e">
        <f t="shared" si="13"/>
        <v>#N/A</v>
      </c>
      <c r="AY201" s="43" t="e">
        <f t="shared" si="14"/>
        <v>#N/A</v>
      </c>
      <c r="AZ201" s="1174"/>
      <c r="BA201" s="1174"/>
      <c r="BB201" s="1174"/>
      <c r="BC201" s="1174"/>
      <c r="BD201" s="1174"/>
      <c r="BE201" s="1174"/>
      <c r="BG201" s="49"/>
    </row>
    <row r="202" spans="49:59" ht="12" customHeight="1">
      <c r="AW202" s="1202">
        <v>181</v>
      </c>
      <c r="AX202" s="43" t="e">
        <f t="shared" si="13"/>
        <v>#N/A</v>
      </c>
      <c r="AY202" s="43" t="e">
        <f t="shared" si="14"/>
        <v>#N/A</v>
      </c>
      <c r="AZ202" s="1174"/>
      <c r="BA202" s="1174"/>
      <c r="BB202" s="1174"/>
      <c r="BC202" s="1174"/>
      <c r="BD202" s="1174"/>
      <c r="BE202" s="1174"/>
      <c r="BG202" s="49"/>
    </row>
    <row r="203" spans="49:59" ht="12" customHeight="1">
      <c r="AW203" s="43">
        <v>182</v>
      </c>
      <c r="AX203" s="43" t="e">
        <f t="shared" si="13"/>
        <v>#N/A</v>
      </c>
      <c r="AY203" s="43" t="e">
        <f t="shared" si="14"/>
        <v>#N/A</v>
      </c>
      <c r="AZ203" s="1174"/>
      <c r="BA203" s="1174"/>
      <c r="BB203" s="1174"/>
      <c r="BC203" s="1174"/>
      <c r="BD203" s="1174"/>
      <c r="BE203" s="1174"/>
      <c r="BG203" s="49"/>
    </row>
    <row r="204" spans="49:59" ht="12" customHeight="1">
      <c r="AW204" s="1202">
        <v>183</v>
      </c>
      <c r="AX204" s="43" t="e">
        <f t="shared" si="13"/>
        <v>#N/A</v>
      </c>
      <c r="AY204" s="43" t="e">
        <f t="shared" si="14"/>
        <v>#N/A</v>
      </c>
      <c r="AZ204" s="1174"/>
      <c r="BA204" s="1174"/>
      <c r="BB204" s="1174"/>
      <c r="BC204" s="1174"/>
      <c r="BD204" s="1174"/>
      <c r="BE204" s="1174"/>
      <c r="BG204" s="49"/>
    </row>
    <row r="205" spans="49:59" ht="12" customHeight="1">
      <c r="AW205" s="1202">
        <v>184</v>
      </c>
      <c r="AX205" s="43" t="e">
        <f t="shared" si="13"/>
        <v>#N/A</v>
      </c>
      <c r="AY205" s="43" t="e">
        <f t="shared" si="14"/>
        <v>#N/A</v>
      </c>
      <c r="AZ205" s="1174"/>
      <c r="BA205" s="1174"/>
      <c r="BB205" s="1174"/>
      <c r="BC205" s="1174"/>
      <c r="BD205" s="1174"/>
      <c r="BE205" s="1174"/>
      <c r="BG205" s="49"/>
    </row>
    <row r="206" spans="49:59" ht="12" customHeight="1">
      <c r="AW206" s="1202">
        <v>185</v>
      </c>
      <c r="AX206" s="43" t="e">
        <f t="shared" si="13"/>
        <v>#N/A</v>
      </c>
      <c r="AY206" s="43" t="e">
        <f t="shared" si="14"/>
        <v>#N/A</v>
      </c>
      <c r="AZ206" s="1174"/>
      <c r="BA206" s="1174"/>
      <c r="BB206" s="1174"/>
      <c r="BC206" s="1174"/>
      <c r="BD206" s="1174"/>
      <c r="BE206" s="1174"/>
      <c r="BG206" s="49"/>
    </row>
    <row r="207" spans="49:59" ht="12" customHeight="1">
      <c r="AW207" s="1202">
        <v>186</v>
      </c>
      <c r="AX207" s="43" t="e">
        <f t="shared" si="13"/>
        <v>#N/A</v>
      </c>
      <c r="AY207" s="43" t="e">
        <f t="shared" si="14"/>
        <v>#N/A</v>
      </c>
      <c r="AZ207" s="1174"/>
      <c r="BA207" s="1174"/>
      <c r="BB207" s="1174"/>
      <c r="BC207" s="1174"/>
      <c r="BD207" s="1174"/>
      <c r="BE207" s="1174"/>
      <c r="BG207" s="49"/>
    </row>
    <row r="208" spans="49:59" ht="12" customHeight="1">
      <c r="AW208" s="43">
        <v>187</v>
      </c>
      <c r="AX208" s="43" t="e">
        <f t="shared" si="13"/>
        <v>#N/A</v>
      </c>
      <c r="AY208" s="43" t="e">
        <f t="shared" si="14"/>
        <v>#N/A</v>
      </c>
      <c r="AZ208" s="1174"/>
      <c r="BA208" s="1174"/>
      <c r="BB208" s="1174"/>
      <c r="BC208" s="1174"/>
      <c r="BD208" s="1174"/>
      <c r="BE208" s="1174"/>
      <c r="BG208" s="49"/>
    </row>
    <row r="209" spans="49:59" ht="12" customHeight="1">
      <c r="AW209" s="1202">
        <v>188</v>
      </c>
      <c r="AX209" s="43" t="e">
        <f t="shared" si="13"/>
        <v>#N/A</v>
      </c>
      <c r="AY209" s="43" t="e">
        <f t="shared" si="14"/>
        <v>#N/A</v>
      </c>
      <c r="AZ209" s="1174"/>
      <c r="BA209" s="1174"/>
      <c r="BB209" s="1174"/>
      <c r="BC209" s="1174"/>
      <c r="BD209" s="1174"/>
      <c r="BE209" s="1174"/>
      <c r="BG209" s="49"/>
    </row>
    <row r="210" spans="49:59" ht="12" customHeight="1">
      <c r="AW210" s="1202">
        <v>189</v>
      </c>
      <c r="AX210" s="43" t="e">
        <f t="shared" si="13"/>
        <v>#N/A</v>
      </c>
      <c r="AY210" s="43" t="e">
        <f t="shared" si="14"/>
        <v>#N/A</v>
      </c>
      <c r="AZ210" s="1174"/>
      <c r="BA210" s="1174"/>
      <c r="BB210" s="1174"/>
      <c r="BC210" s="1174"/>
      <c r="BD210" s="1174"/>
      <c r="BE210" s="1174"/>
      <c r="BG210" s="49"/>
    </row>
    <row r="211" spans="49:59" ht="12" customHeight="1">
      <c r="AW211" s="1202">
        <v>190</v>
      </c>
      <c r="AX211" s="43" t="e">
        <f t="shared" si="13"/>
        <v>#N/A</v>
      </c>
      <c r="AY211" s="43" t="e">
        <f t="shared" si="14"/>
        <v>#N/A</v>
      </c>
      <c r="AZ211" s="1174"/>
      <c r="BA211" s="1174"/>
      <c r="BB211" s="1174"/>
      <c r="BC211" s="1174"/>
      <c r="BD211" s="1174"/>
      <c r="BE211" s="1174"/>
      <c r="BG211" s="49"/>
    </row>
    <row r="212" spans="49:59" ht="12" customHeight="1">
      <c r="AW212" s="1202">
        <v>191</v>
      </c>
      <c r="AX212" s="43" t="e">
        <f t="shared" si="13"/>
        <v>#N/A</v>
      </c>
      <c r="AY212" s="43" t="e">
        <f t="shared" si="14"/>
        <v>#N/A</v>
      </c>
      <c r="AZ212" s="1174"/>
      <c r="BA212" s="1174"/>
      <c r="BB212" s="1174"/>
      <c r="BC212" s="1174"/>
      <c r="BD212" s="1174"/>
      <c r="BE212" s="1174"/>
      <c r="BG212" s="49"/>
    </row>
    <row r="213" spans="49:59" ht="12" customHeight="1">
      <c r="AW213" s="43">
        <v>192</v>
      </c>
      <c r="AX213" s="43" t="e">
        <f t="shared" si="13"/>
        <v>#N/A</v>
      </c>
      <c r="AY213" s="43" t="e">
        <f t="shared" si="14"/>
        <v>#N/A</v>
      </c>
      <c r="AZ213" s="1174"/>
      <c r="BA213" s="1174"/>
      <c r="BB213" s="1174"/>
      <c r="BC213" s="1174"/>
      <c r="BD213" s="1174"/>
      <c r="BE213" s="1174"/>
      <c r="BG213" s="49"/>
    </row>
    <row r="214" spans="49:59" ht="12" customHeight="1">
      <c r="AW214" s="1202">
        <v>193</v>
      </c>
      <c r="AX214" s="43" t="e">
        <f t="shared" ref="AX214:AX220" si="15">IF(AND(xandn,$B$16,$F$10&lt;201,AW214&lt;$F$10),0,NA())</f>
        <v>#N/A</v>
      </c>
      <c r="AY214" s="43" t="e">
        <f t="shared" ref="AY214:AY220" si="16">IF(AND(xandn,$B$16,$F$10&lt;201,AW214&lt;$F$10),AW214/$F$10,NA())</f>
        <v>#N/A</v>
      </c>
      <c r="AZ214" s="1174"/>
      <c r="BA214" s="1174"/>
      <c r="BB214" s="1174"/>
      <c r="BC214" s="1174"/>
      <c r="BD214" s="1174"/>
      <c r="BE214" s="1174"/>
      <c r="BG214" s="49"/>
    </row>
    <row r="215" spans="49:59" ht="12" customHeight="1">
      <c r="AW215" s="1202">
        <v>194</v>
      </c>
      <c r="AX215" s="43" t="e">
        <f t="shared" si="15"/>
        <v>#N/A</v>
      </c>
      <c r="AY215" s="43" t="e">
        <f t="shared" si="16"/>
        <v>#N/A</v>
      </c>
      <c r="AZ215" s="1174"/>
      <c r="BA215" s="1174"/>
      <c r="BB215" s="1174"/>
      <c r="BC215" s="1174"/>
      <c r="BD215" s="1174"/>
      <c r="BE215" s="1174"/>
      <c r="BG215" s="49"/>
    </row>
    <row r="216" spans="49:59" ht="12" customHeight="1">
      <c r="AW216" s="1202">
        <v>195</v>
      </c>
      <c r="AX216" s="43" t="e">
        <f t="shared" si="15"/>
        <v>#N/A</v>
      </c>
      <c r="AY216" s="43" t="e">
        <f t="shared" si="16"/>
        <v>#N/A</v>
      </c>
      <c r="AZ216" s="1174"/>
      <c r="BA216" s="1174"/>
      <c r="BB216" s="1174"/>
      <c r="BC216" s="1174"/>
      <c r="BD216" s="1174"/>
      <c r="BE216" s="1174"/>
      <c r="BG216" s="49"/>
    </row>
    <row r="217" spans="49:59" ht="12" customHeight="1">
      <c r="AW217" s="1202">
        <v>196</v>
      </c>
      <c r="AX217" s="43" t="e">
        <f t="shared" si="15"/>
        <v>#N/A</v>
      </c>
      <c r="AY217" s="43" t="e">
        <f t="shared" si="16"/>
        <v>#N/A</v>
      </c>
      <c r="AZ217" s="1174"/>
      <c r="BA217" s="1174"/>
      <c r="BB217" s="1174"/>
      <c r="BC217" s="1174"/>
      <c r="BD217" s="1174"/>
      <c r="BE217" s="1174"/>
      <c r="BG217" s="49"/>
    </row>
    <row r="218" spans="49:59" ht="12" customHeight="1">
      <c r="AW218" s="43">
        <v>197</v>
      </c>
      <c r="AX218" s="43" t="e">
        <f t="shared" si="15"/>
        <v>#N/A</v>
      </c>
      <c r="AY218" s="43" t="e">
        <f t="shared" si="16"/>
        <v>#N/A</v>
      </c>
      <c r="AZ218" s="1174"/>
      <c r="BA218" s="1174"/>
      <c r="BB218" s="1174"/>
      <c r="BC218" s="1174"/>
      <c r="BD218" s="1174"/>
      <c r="BE218" s="1174"/>
      <c r="BG218" s="49"/>
    </row>
    <row r="219" spans="49:59" ht="12" customHeight="1">
      <c r="AW219" s="1202">
        <v>198</v>
      </c>
      <c r="AX219" s="43" t="e">
        <f t="shared" si="15"/>
        <v>#N/A</v>
      </c>
      <c r="AY219" s="43" t="e">
        <f t="shared" si="16"/>
        <v>#N/A</v>
      </c>
      <c r="AZ219" s="1174"/>
      <c r="BA219" s="1174"/>
      <c r="BB219" s="1174"/>
      <c r="BC219" s="1174"/>
      <c r="BD219" s="1174"/>
      <c r="BE219" s="1174"/>
      <c r="BG219" s="49"/>
    </row>
    <row r="220" spans="49:59" ht="12" customHeight="1">
      <c r="AW220" s="1202">
        <v>199</v>
      </c>
      <c r="AX220" s="43" t="e">
        <f t="shared" si="15"/>
        <v>#N/A</v>
      </c>
      <c r="AY220" s="43" t="e">
        <f t="shared" si="16"/>
        <v>#N/A</v>
      </c>
      <c r="AZ220" s="1174"/>
      <c r="BA220" s="1174"/>
      <c r="BB220" s="1174"/>
      <c r="BC220" s="1174"/>
      <c r="BD220" s="1174"/>
      <c r="BE220" s="1174"/>
      <c r="BG220" s="49"/>
    </row>
    <row r="221" spans="49:59" ht="12" customHeight="1">
      <c r="AW221" s="1174"/>
      <c r="AX221" s="1174"/>
      <c r="AY221" s="1174"/>
      <c r="AZ221" s="1174"/>
      <c r="BA221" s="1174"/>
      <c r="BB221" s="1174"/>
      <c r="BC221" s="1174"/>
      <c r="BD221" s="1174"/>
      <c r="BE221" s="1174"/>
      <c r="BG221" s="49"/>
    </row>
    <row r="222" spans="49:59" ht="12" customHeight="1">
      <c r="AW222" s="1174"/>
      <c r="AX222" s="1174"/>
      <c r="AY222" s="1174"/>
      <c r="AZ222" s="1174"/>
      <c r="BA222" s="1174"/>
      <c r="BB222" s="1174"/>
      <c r="BC222" s="1174"/>
      <c r="BD222" s="1174"/>
      <c r="BE222" s="1174"/>
      <c r="BG222" s="49"/>
    </row>
    <row r="223" spans="49:59" ht="12" customHeight="1">
      <c r="AW223" s="1174"/>
      <c r="AX223" s="1174"/>
      <c r="AY223" s="1174"/>
      <c r="AZ223" s="1174"/>
      <c r="BA223" s="1174"/>
      <c r="BB223" s="1174"/>
      <c r="BC223" s="1174"/>
      <c r="BD223" s="1174"/>
      <c r="BE223" s="1174"/>
      <c r="BG223" s="49"/>
    </row>
    <row r="224" spans="49:59" ht="12" customHeight="1">
      <c r="AW224" s="1174"/>
      <c r="AX224" s="1174"/>
      <c r="AY224" s="1174"/>
      <c r="AZ224" s="1174"/>
      <c r="BA224" s="1174"/>
      <c r="BB224" s="1174"/>
      <c r="BC224" s="1174"/>
      <c r="BD224" s="1174"/>
      <c r="BE224" s="1174"/>
      <c r="BG224" s="49"/>
    </row>
    <row r="225" spans="49:59" ht="12" customHeight="1">
      <c r="AW225" s="1174"/>
      <c r="AX225" s="1174"/>
      <c r="AY225" s="1174"/>
      <c r="AZ225" s="1174"/>
      <c r="BA225" s="1174"/>
      <c r="BB225" s="1174"/>
      <c r="BC225" s="1174"/>
      <c r="BD225" s="1174"/>
      <c r="BE225" s="1174"/>
      <c r="BG225" s="49"/>
    </row>
    <row r="226" spans="49:59" ht="12" customHeight="1">
      <c r="AW226" s="1174"/>
      <c r="AX226" s="1174"/>
      <c r="AY226" s="1174"/>
      <c r="AZ226" s="1174"/>
      <c r="BA226" s="1174"/>
      <c r="BB226" s="1174"/>
      <c r="BC226" s="1174"/>
      <c r="BD226" s="1174"/>
      <c r="BE226" s="1174"/>
      <c r="BG226" s="49"/>
    </row>
    <row r="227" spans="49:59" ht="12" customHeight="1">
      <c r="AW227" s="1174"/>
      <c r="AX227" s="1174"/>
      <c r="AY227" s="1174"/>
      <c r="AZ227" s="1174"/>
      <c r="BA227" s="1174"/>
      <c r="BB227" s="1174"/>
      <c r="BC227" s="1174"/>
      <c r="BD227" s="1174"/>
      <c r="BE227" s="1174"/>
      <c r="BG227" s="49"/>
    </row>
    <row r="228" spans="49:59" ht="12" customHeight="1">
      <c r="AW228" s="1174"/>
      <c r="AX228" s="1174"/>
      <c r="AY228" s="1174"/>
      <c r="AZ228" s="1174"/>
      <c r="BA228" s="1174"/>
      <c r="BB228" s="1174"/>
      <c r="BC228" s="1174"/>
      <c r="BD228" s="1174"/>
      <c r="BE228" s="1174"/>
      <c r="BG228" s="49"/>
    </row>
    <row r="229" spans="49:59" ht="12" customHeight="1">
      <c r="AW229" s="1174"/>
      <c r="AX229" s="1174"/>
      <c r="AY229" s="1174"/>
      <c r="AZ229" s="1174"/>
      <c r="BA229" s="1174"/>
      <c r="BB229" s="1174"/>
      <c r="BC229" s="1174"/>
      <c r="BD229" s="1174"/>
      <c r="BE229" s="1174"/>
      <c r="BG229" s="49"/>
    </row>
    <row r="230" spans="49:59" ht="12" customHeight="1">
      <c r="AW230" s="1174"/>
      <c r="AX230" s="1174"/>
      <c r="AY230" s="1174"/>
      <c r="AZ230" s="1174"/>
      <c r="BA230" s="1174"/>
      <c r="BB230" s="1174"/>
      <c r="BC230" s="1174"/>
      <c r="BD230" s="1174"/>
      <c r="BE230" s="1174"/>
      <c r="BG230" s="49"/>
    </row>
    <row r="231" spans="49:59" ht="12" customHeight="1">
      <c r="AW231" s="1174"/>
      <c r="AX231" s="1174"/>
      <c r="AY231" s="1174"/>
      <c r="AZ231" s="1174"/>
      <c r="BA231" s="1174"/>
      <c r="BB231" s="1174"/>
      <c r="BC231" s="1174"/>
      <c r="BD231" s="1174"/>
      <c r="BE231" s="1174"/>
      <c r="BG231" s="49"/>
    </row>
    <row r="232" spans="49:59" ht="12" customHeight="1">
      <c r="AW232" s="1174"/>
      <c r="AX232" s="1174"/>
      <c r="AY232" s="1174"/>
      <c r="AZ232" s="1174"/>
      <c r="BA232" s="1174"/>
      <c r="BB232" s="1174"/>
      <c r="BC232" s="1174"/>
      <c r="BD232" s="1174"/>
      <c r="BE232" s="1174"/>
      <c r="BG232" s="49"/>
    </row>
    <row r="233" spans="49:59" ht="12" customHeight="1">
      <c r="AW233" s="1174"/>
      <c r="AX233" s="1174"/>
      <c r="AY233" s="1174"/>
      <c r="AZ233" s="1174"/>
      <c r="BA233" s="1174"/>
      <c r="BB233" s="1174"/>
      <c r="BC233" s="1174"/>
      <c r="BD233" s="1174"/>
      <c r="BE233" s="1174"/>
      <c r="BG233" s="49"/>
    </row>
    <row r="234" spans="49:59" ht="12" customHeight="1">
      <c r="AW234" s="1174"/>
      <c r="AX234" s="1174"/>
      <c r="AY234" s="1174"/>
      <c r="AZ234" s="1174"/>
      <c r="BA234" s="1174"/>
      <c r="BB234" s="1174"/>
      <c r="BC234" s="1174"/>
      <c r="BD234" s="1174"/>
      <c r="BE234" s="1174"/>
      <c r="BG234" s="49"/>
    </row>
    <row r="235" spans="49:59" ht="12" customHeight="1">
      <c r="AW235" s="1174"/>
      <c r="AX235" s="1174"/>
      <c r="AY235" s="1174"/>
      <c r="AZ235" s="1174"/>
      <c r="BA235" s="1174"/>
      <c r="BB235" s="1174"/>
      <c r="BC235" s="1174"/>
      <c r="BD235" s="1174"/>
      <c r="BE235" s="1174"/>
      <c r="BG235" s="49"/>
    </row>
    <row r="236" spans="49:59" ht="12" customHeight="1">
      <c r="AW236" s="1174"/>
      <c r="AX236" s="1174"/>
      <c r="AY236" s="1174"/>
      <c r="AZ236" s="1174"/>
      <c r="BA236" s="1174"/>
      <c r="BB236" s="1174"/>
      <c r="BC236" s="1174"/>
      <c r="BD236" s="1174"/>
      <c r="BE236" s="1174"/>
      <c r="BG236" s="49"/>
    </row>
    <row r="237" spans="49:59" ht="12" customHeight="1">
      <c r="AW237" s="1174"/>
      <c r="AX237" s="1174"/>
      <c r="AY237" s="1174"/>
      <c r="AZ237" s="1174"/>
      <c r="BA237" s="1174"/>
      <c r="BB237" s="1174"/>
      <c r="BC237" s="1174"/>
      <c r="BD237" s="1174"/>
      <c r="BE237" s="1174"/>
      <c r="BG237" s="49"/>
    </row>
    <row r="238" spans="49:59" ht="12" customHeight="1">
      <c r="AW238" s="1174"/>
      <c r="AX238" s="1174"/>
      <c r="AY238" s="1174"/>
      <c r="AZ238" s="1174"/>
      <c r="BA238" s="1174"/>
      <c r="BB238" s="1174"/>
      <c r="BC238" s="1174"/>
      <c r="BD238" s="1174"/>
      <c r="BE238" s="1174"/>
      <c r="BG238" s="49"/>
    </row>
    <row r="239" spans="49:59" ht="12" customHeight="1">
      <c r="AW239" s="1174"/>
      <c r="AX239" s="1174"/>
      <c r="AY239" s="1174"/>
      <c r="AZ239" s="1174"/>
      <c r="BA239" s="1174"/>
      <c r="BB239" s="1174"/>
      <c r="BC239" s="1174"/>
      <c r="BD239" s="1174"/>
      <c r="BE239" s="1174"/>
      <c r="BG239" s="49"/>
    </row>
    <row r="240" spans="49:59" ht="12" customHeight="1">
      <c r="AW240" s="1174"/>
      <c r="AX240" s="1174"/>
      <c r="AY240" s="1174"/>
      <c r="AZ240" s="1174"/>
      <c r="BA240" s="1174"/>
      <c r="BB240" s="1174"/>
      <c r="BC240" s="1174"/>
      <c r="BD240" s="1174"/>
      <c r="BE240" s="1174"/>
      <c r="BG240" s="49"/>
    </row>
    <row r="241" spans="49:59" ht="12" customHeight="1">
      <c r="AW241" s="1174"/>
      <c r="AX241" s="1174"/>
      <c r="AY241" s="1174"/>
      <c r="AZ241" s="1174"/>
      <c r="BA241" s="1174"/>
      <c r="BB241" s="1174"/>
      <c r="BC241" s="1174"/>
      <c r="BD241" s="1174"/>
      <c r="BE241" s="1174"/>
      <c r="BG241" s="49"/>
    </row>
    <row r="242" spans="49:59" ht="12" customHeight="1">
      <c r="AW242" s="1174"/>
      <c r="AX242" s="1174"/>
      <c r="AY242" s="1174"/>
      <c r="AZ242" s="1174"/>
      <c r="BA242" s="1174"/>
      <c r="BB242" s="1174"/>
      <c r="BC242" s="1174"/>
      <c r="BD242" s="1174"/>
      <c r="BE242" s="1174"/>
      <c r="BG242" s="49"/>
    </row>
    <row r="243" spans="49:59" ht="12" customHeight="1">
      <c r="AW243" s="1174"/>
      <c r="AX243" s="1174"/>
      <c r="AY243" s="1174"/>
      <c r="AZ243" s="1174"/>
      <c r="BA243" s="1174"/>
      <c r="BB243" s="1174"/>
      <c r="BC243" s="1174"/>
      <c r="BD243" s="1174"/>
      <c r="BE243" s="1174"/>
      <c r="BG243" s="49"/>
    </row>
    <row r="244" spans="49:59" ht="12" customHeight="1">
      <c r="AW244" s="1174"/>
      <c r="AX244" s="1174"/>
      <c r="AY244" s="1174"/>
      <c r="AZ244" s="1174"/>
      <c r="BA244" s="1174"/>
      <c r="BB244" s="1174"/>
      <c r="BC244" s="1174"/>
      <c r="BD244" s="1174"/>
      <c r="BE244" s="1174"/>
      <c r="BG244" s="49"/>
    </row>
    <row r="245" spans="49:59" ht="12" customHeight="1">
      <c r="AW245" s="1174"/>
      <c r="AX245" s="1174"/>
      <c r="AY245" s="1174"/>
      <c r="AZ245" s="1174"/>
      <c r="BA245" s="1174"/>
      <c r="BB245" s="1174"/>
      <c r="BC245" s="1174"/>
      <c r="BD245" s="1174"/>
      <c r="BE245" s="1174"/>
      <c r="BG245" s="49"/>
    </row>
    <row r="246" spans="49:59" ht="12" customHeight="1">
      <c r="AW246" s="1174"/>
      <c r="AX246" s="1174"/>
      <c r="AY246" s="1174"/>
      <c r="AZ246" s="1174"/>
      <c r="BA246" s="1174"/>
      <c r="BB246" s="1174"/>
      <c r="BC246" s="1174"/>
      <c r="BD246" s="1174"/>
      <c r="BE246" s="1174"/>
      <c r="BG246" s="49"/>
    </row>
    <row r="247" spans="49:59" ht="12" customHeight="1">
      <c r="AW247" s="1174"/>
      <c r="AX247" s="1174"/>
      <c r="AY247" s="1174"/>
      <c r="AZ247" s="1174"/>
      <c r="BA247" s="1174"/>
      <c r="BB247" s="1174"/>
      <c r="BC247" s="1174"/>
      <c r="BD247" s="1174"/>
      <c r="BE247" s="1174"/>
      <c r="BG247" s="49"/>
    </row>
    <row r="248" spans="49:59" ht="12" customHeight="1">
      <c r="AW248" s="1174"/>
      <c r="AX248" s="1174"/>
      <c r="AY248" s="1174"/>
      <c r="AZ248" s="1174"/>
      <c r="BA248" s="1174"/>
      <c r="BB248" s="1174"/>
      <c r="BC248" s="1174"/>
      <c r="BD248" s="1174"/>
      <c r="BE248" s="1174"/>
      <c r="BG248" s="49"/>
    </row>
    <row r="249" spans="49:59" ht="12" customHeight="1">
      <c r="AW249" s="1174"/>
      <c r="AX249" s="1174"/>
      <c r="AY249" s="1174"/>
      <c r="AZ249" s="1174"/>
      <c r="BA249" s="1174"/>
      <c r="BB249" s="1174"/>
      <c r="BC249" s="1174"/>
      <c r="BD249" s="1174"/>
      <c r="BE249" s="1174"/>
      <c r="BG249" s="49"/>
    </row>
    <row r="250" spans="49:59" ht="12" customHeight="1">
      <c r="AW250" s="1174"/>
      <c r="AX250" s="1174"/>
      <c r="AY250" s="1174"/>
      <c r="AZ250" s="1174"/>
      <c r="BA250" s="1174"/>
      <c r="BB250" s="1174"/>
      <c r="BC250" s="1174"/>
      <c r="BD250" s="1174"/>
      <c r="BE250" s="1174"/>
      <c r="BG250" s="49"/>
    </row>
    <row r="251" spans="49:59" ht="12" customHeight="1">
      <c r="AW251" s="1174"/>
      <c r="AX251" s="1174"/>
      <c r="AY251" s="1174"/>
      <c r="AZ251" s="1174"/>
      <c r="BA251" s="1174"/>
      <c r="BB251" s="1174"/>
      <c r="BC251" s="1174"/>
      <c r="BD251" s="1174"/>
      <c r="BE251" s="1174"/>
      <c r="BG251" s="49"/>
    </row>
    <row r="252" spans="49:59" ht="12" customHeight="1">
      <c r="AW252" s="1174"/>
      <c r="AX252" s="1174"/>
      <c r="AY252" s="1174"/>
      <c r="AZ252" s="1174"/>
      <c r="BA252" s="1174"/>
      <c r="BB252" s="1174"/>
      <c r="BC252" s="1174"/>
      <c r="BD252" s="1174"/>
      <c r="BE252" s="1174"/>
      <c r="BG252" s="49"/>
    </row>
    <row r="253" spans="49:59" ht="12" customHeight="1">
      <c r="AW253" s="1174"/>
      <c r="AX253" s="1174"/>
      <c r="AY253" s="1174"/>
      <c r="AZ253" s="1174"/>
      <c r="BA253" s="1174"/>
      <c r="BB253" s="1174"/>
      <c r="BC253" s="1174"/>
      <c r="BD253" s="1174"/>
      <c r="BE253" s="1174"/>
      <c r="BG253" s="49"/>
    </row>
    <row r="254" spans="49:59" ht="12" customHeight="1">
      <c r="AW254" s="1174"/>
      <c r="AX254" s="1174"/>
      <c r="AY254" s="1174"/>
      <c r="AZ254" s="1174"/>
      <c r="BA254" s="1174"/>
      <c r="BB254" s="1174"/>
      <c r="BC254" s="1174"/>
      <c r="BD254" s="1174"/>
      <c r="BE254" s="1174"/>
      <c r="BG254" s="49"/>
    </row>
    <row r="255" spans="49:59" ht="12" customHeight="1">
      <c r="AW255" s="1174"/>
      <c r="AX255" s="1174"/>
      <c r="AY255" s="1174"/>
      <c r="AZ255" s="1174"/>
      <c r="BA255" s="1174"/>
      <c r="BB255" s="1174"/>
      <c r="BC255" s="1174"/>
      <c r="BD255" s="1174"/>
      <c r="BE255" s="1174"/>
      <c r="BG255" s="49"/>
    </row>
    <row r="256" spans="49:59" ht="12" customHeight="1">
      <c r="AW256" s="1174"/>
      <c r="AX256" s="1174"/>
      <c r="AY256" s="1174"/>
      <c r="AZ256" s="1174"/>
      <c r="BA256" s="1174"/>
      <c r="BB256" s="1174"/>
      <c r="BC256" s="1174"/>
      <c r="BD256" s="1174"/>
      <c r="BE256" s="1174"/>
      <c r="BG256" s="49"/>
    </row>
    <row r="257" spans="49:59" ht="12" customHeight="1">
      <c r="AW257" s="1174"/>
      <c r="AX257" s="1174"/>
      <c r="AY257" s="1174"/>
      <c r="AZ257" s="1174"/>
      <c r="BA257" s="1174"/>
      <c r="BB257" s="1174"/>
      <c r="BC257" s="1174"/>
      <c r="BD257" s="1174"/>
      <c r="BE257" s="1174"/>
      <c r="BG257" s="49"/>
    </row>
    <row r="258" spans="49:59" ht="12" customHeight="1">
      <c r="AW258" s="1174"/>
      <c r="AX258" s="1174"/>
      <c r="AY258" s="1174"/>
      <c r="AZ258" s="1174"/>
      <c r="BA258" s="1174"/>
      <c r="BB258" s="1174"/>
      <c r="BC258" s="1174"/>
      <c r="BD258" s="1174"/>
      <c r="BE258" s="1174"/>
      <c r="BG258" s="49"/>
    </row>
    <row r="259" spans="49:59" ht="12" customHeight="1">
      <c r="AW259" s="1174"/>
      <c r="AX259" s="1174"/>
      <c r="AY259" s="1174"/>
      <c r="AZ259" s="1174"/>
      <c r="BA259" s="1174"/>
      <c r="BB259" s="1174"/>
      <c r="BC259" s="1174"/>
      <c r="BD259" s="1174"/>
      <c r="BE259" s="1174"/>
      <c r="BG259" s="49"/>
    </row>
    <row r="260" spans="49:59" ht="12" customHeight="1">
      <c r="AW260" s="1174"/>
      <c r="AX260" s="1174"/>
      <c r="AY260" s="1174"/>
      <c r="AZ260" s="1174"/>
      <c r="BA260" s="1174"/>
      <c r="BB260" s="1174"/>
      <c r="BC260" s="1174"/>
      <c r="BD260" s="1174"/>
      <c r="BE260" s="1174"/>
      <c r="BG260" s="49"/>
    </row>
    <row r="261" spans="49:59" ht="12" customHeight="1">
      <c r="AW261" s="1174"/>
      <c r="AX261" s="1174"/>
      <c r="AY261" s="1174"/>
      <c r="AZ261" s="1174"/>
      <c r="BA261" s="1174"/>
      <c r="BB261" s="1174"/>
      <c r="BC261" s="1174"/>
      <c r="BD261" s="1174"/>
      <c r="BE261" s="1174"/>
      <c r="BG261" s="49"/>
    </row>
    <row r="262" spans="49:59" ht="12" customHeight="1">
      <c r="AW262" s="1174"/>
      <c r="AX262" s="1174"/>
      <c r="AY262" s="1174"/>
      <c r="AZ262" s="1174"/>
      <c r="BA262" s="1174"/>
      <c r="BB262" s="1174"/>
      <c r="BC262" s="1174"/>
      <c r="BD262" s="1174"/>
      <c r="BE262" s="1174"/>
      <c r="BG262" s="49"/>
    </row>
    <row r="263" spans="49:59" ht="12" customHeight="1">
      <c r="AW263" s="1174"/>
      <c r="AX263" s="1174"/>
      <c r="AY263" s="1174"/>
      <c r="AZ263" s="1174"/>
      <c r="BA263" s="1174"/>
      <c r="BB263" s="1174"/>
      <c r="BC263" s="1174"/>
      <c r="BD263" s="1174"/>
      <c r="BE263" s="1174"/>
      <c r="BG263" s="49"/>
    </row>
    <row r="264" spans="49:59" ht="12" customHeight="1">
      <c r="AW264" s="1174"/>
      <c r="AX264" s="1174"/>
      <c r="AY264" s="1174"/>
      <c r="AZ264" s="1174"/>
      <c r="BA264" s="1174"/>
      <c r="BB264" s="1174"/>
      <c r="BC264" s="1174"/>
      <c r="BD264" s="1174"/>
      <c r="BE264" s="1174"/>
      <c r="BG264" s="49"/>
    </row>
    <row r="265" spans="49:59" ht="12" customHeight="1">
      <c r="AW265" s="1174"/>
      <c r="AX265" s="1174"/>
      <c r="AY265" s="1174"/>
      <c r="AZ265" s="1174"/>
      <c r="BA265" s="1174"/>
      <c r="BB265" s="1174"/>
      <c r="BC265" s="1174"/>
      <c r="BD265" s="1174"/>
      <c r="BE265" s="1174"/>
      <c r="BG265" s="49"/>
    </row>
    <row r="266" spans="49:59" ht="12" customHeight="1">
      <c r="AW266" s="1174"/>
      <c r="AX266" s="1174"/>
      <c r="AY266" s="1174"/>
      <c r="AZ266" s="1174"/>
      <c r="BA266" s="1174"/>
      <c r="BB266" s="1174"/>
      <c r="BC266" s="1174"/>
      <c r="BD266" s="1174"/>
      <c r="BE266" s="1174"/>
      <c r="BG266" s="49"/>
    </row>
    <row r="267" spans="49:59" ht="12" customHeight="1">
      <c r="AW267" s="1174"/>
      <c r="AX267" s="1174"/>
      <c r="AY267" s="1174"/>
      <c r="AZ267" s="1174"/>
      <c r="BA267" s="1174"/>
      <c r="BB267" s="1174"/>
      <c r="BC267" s="1174"/>
      <c r="BD267" s="1174"/>
      <c r="BE267" s="1174"/>
      <c r="BG267" s="49"/>
    </row>
    <row r="268" spans="49:59" ht="12" customHeight="1">
      <c r="AW268" s="1174"/>
      <c r="AX268" s="1174"/>
      <c r="AY268" s="1174"/>
      <c r="AZ268" s="1174"/>
      <c r="BA268" s="1174"/>
      <c r="BB268" s="1174"/>
      <c r="BC268" s="1174"/>
      <c r="BD268" s="1174"/>
      <c r="BE268" s="1174"/>
      <c r="BG268" s="49"/>
    </row>
    <row r="269" spans="49:59" ht="12" customHeight="1">
      <c r="AW269" s="1174"/>
      <c r="AX269" s="1174"/>
      <c r="AY269" s="1174"/>
      <c r="AZ269" s="1174"/>
      <c r="BA269" s="1174"/>
      <c r="BB269" s="1174"/>
      <c r="BC269" s="1174"/>
      <c r="BD269" s="1174"/>
      <c r="BE269" s="1174"/>
      <c r="BG269" s="49"/>
    </row>
    <row r="270" spans="49:59" ht="12" customHeight="1">
      <c r="AW270" s="1174"/>
      <c r="AX270" s="1174"/>
      <c r="AY270" s="1174"/>
      <c r="AZ270" s="1174"/>
      <c r="BA270" s="1174"/>
      <c r="BB270" s="1174"/>
      <c r="BC270" s="1174"/>
      <c r="BD270" s="1174"/>
      <c r="BE270" s="1174"/>
      <c r="BG270" s="49"/>
    </row>
    <row r="271" spans="49:59" ht="12" customHeight="1">
      <c r="AW271" s="1174"/>
      <c r="AX271" s="1174"/>
      <c r="AY271" s="1174"/>
      <c r="AZ271" s="1174"/>
      <c r="BA271" s="1174"/>
      <c r="BB271" s="1174"/>
      <c r="BC271" s="1174"/>
      <c r="BD271" s="1174"/>
      <c r="BE271" s="1174"/>
      <c r="BG271" s="49"/>
    </row>
    <row r="272" spans="49:59" ht="12" customHeight="1">
      <c r="AW272" s="1174"/>
      <c r="AX272" s="1174"/>
      <c r="AY272" s="1174"/>
      <c r="AZ272" s="1174"/>
      <c r="BA272" s="1174"/>
      <c r="BB272" s="1174"/>
      <c r="BC272" s="1174"/>
      <c r="BD272" s="1174"/>
      <c r="BE272" s="1174"/>
      <c r="BG272" s="49"/>
    </row>
    <row r="273" spans="49:59" ht="12" customHeight="1">
      <c r="AW273" s="1174"/>
      <c r="AX273" s="1174"/>
      <c r="AY273" s="1174"/>
      <c r="AZ273" s="1174"/>
      <c r="BA273" s="1174"/>
      <c r="BB273" s="1174"/>
      <c r="BC273" s="1174"/>
      <c r="BD273" s="1174"/>
      <c r="BE273" s="1174"/>
      <c r="BG273" s="49"/>
    </row>
    <row r="274" spans="49:59" ht="12" customHeight="1">
      <c r="AW274" s="1174"/>
      <c r="AX274" s="1174"/>
      <c r="AY274" s="1174"/>
      <c r="AZ274" s="1174"/>
      <c r="BA274" s="1174"/>
      <c r="BB274" s="1174"/>
      <c r="BC274" s="1174"/>
      <c r="BD274" s="1174"/>
      <c r="BE274" s="1174"/>
      <c r="BG274" s="49"/>
    </row>
    <row r="275" spans="49:59" ht="12" customHeight="1">
      <c r="AW275" s="1174"/>
      <c r="AX275" s="1174"/>
      <c r="AY275" s="1174"/>
      <c r="AZ275" s="1174"/>
      <c r="BA275" s="1174"/>
      <c r="BB275" s="1174"/>
      <c r="BC275" s="1174"/>
      <c r="BD275" s="1174"/>
      <c r="BE275" s="1174"/>
      <c r="BG275" s="49"/>
    </row>
    <row r="276" spans="49:59" ht="12" customHeight="1">
      <c r="AW276" s="1174"/>
      <c r="AX276" s="1174"/>
      <c r="AY276" s="1174"/>
      <c r="AZ276" s="1174"/>
      <c r="BA276" s="1174"/>
      <c r="BB276" s="1174"/>
      <c r="BC276" s="1174"/>
      <c r="BD276" s="1174"/>
      <c r="BE276" s="1174"/>
      <c r="BG276" s="49"/>
    </row>
    <row r="277" spans="49:59" ht="12" customHeight="1">
      <c r="AW277" s="1174"/>
      <c r="AX277" s="1174"/>
      <c r="AY277" s="1174"/>
      <c r="AZ277" s="1174"/>
      <c r="BA277" s="1174"/>
      <c r="BB277" s="1174"/>
      <c r="BC277" s="1174"/>
      <c r="BD277" s="1174"/>
      <c r="BE277" s="1174"/>
      <c r="BG277" s="49"/>
    </row>
    <row r="278" spans="49:59" ht="12" customHeight="1">
      <c r="AW278" s="1174"/>
      <c r="AX278" s="1174"/>
      <c r="AY278" s="1174"/>
      <c r="AZ278" s="1174"/>
      <c r="BA278" s="1174"/>
      <c r="BB278" s="1174"/>
      <c r="BC278" s="1174"/>
      <c r="BD278" s="1174"/>
      <c r="BE278" s="1174"/>
      <c r="BG278" s="49"/>
    </row>
    <row r="279" spans="49:59" ht="12" customHeight="1">
      <c r="AW279" s="1174"/>
      <c r="AX279" s="1174"/>
      <c r="AY279" s="1174"/>
      <c r="AZ279" s="1174"/>
      <c r="BA279" s="1174"/>
      <c r="BB279" s="1174"/>
      <c r="BC279" s="1174"/>
      <c r="BD279" s="1174"/>
      <c r="BE279" s="1174"/>
      <c r="BG279" s="49"/>
    </row>
    <row r="280" spans="49:59" ht="12" customHeight="1">
      <c r="AW280" s="1174"/>
      <c r="AX280" s="1174"/>
      <c r="AY280" s="1174"/>
      <c r="AZ280" s="1174"/>
      <c r="BA280" s="1174"/>
      <c r="BB280" s="1174"/>
      <c r="BC280" s="1174"/>
      <c r="BD280" s="1174"/>
      <c r="BE280" s="1174"/>
      <c r="BG280" s="49"/>
    </row>
    <row r="281" spans="49:59" ht="12" customHeight="1">
      <c r="AW281" s="1174"/>
      <c r="AX281" s="1174"/>
      <c r="AY281" s="1174"/>
      <c r="AZ281" s="1174"/>
      <c r="BA281" s="1174"/>
      <c r="BB281" s="1174"/>
      <c r="BC281" s="1174"/>
      <c r="BD281" s="1174"/>
      <c r="BE281" s="1174"/>
      <c r="BG281" s="49"/>
    </row>
    <row r="282" spans="49:59" ht="12" customHeight="1">
      <c r="AW282" s="1174"/>
      <c r="AX282" s="1174"/>
      <c r="AY282" s="1174"/>
      <c r="AZ282" s="1174"/>
      <c r="BA282" s="1174"/>
      <c r="BB282" s="1174"/>
      <c r="BC282" s="1174"/>
      <c r="BD282" s="1174"/>
      <c r="BE282" s="1174"/>
      <c r="BG282" s="49"/>
    </row>
    <row r="283" spans="49:59" ht="12" customHeight="1">
      <c r="AW283" s="1174"/>
      <c r="AX283" s="1174"/>
      <c r="AY283" s="1174"/>
      <c r="AZ283" s="1174"/>
      <c r="BA283" s="1174"/>
      <c r="BB283" s="1174"/>
      <c r="BC283" s="1174"/>
      <c r="BD283" s="1174"/>
      <c r="BE283" s="1174"/>
      <c r="BG283" s="49"/>
    </row>
    <row r="284" spans="49:59" ht="12" customHeight="1">
      <c r="AW284" s="1174"/>
      <c r="AX284" s="1174"/>
      <c r="AY284" s="1174"/>
      <c r="AZ284" s="1174"/>
      <c r="BA284" s="1174"/>
      <c r="BB284" s="1174"/>
      <c r="BC284" s="1174"/>
      <c r="BD284" s="1174"/>
      <c r="BE284" s="1174"/>
      <c r="BG284" s="49"/>
    </row>
    <row r="285" spans="49:59" ht="12" customHeight="1">
      <c r="AW285" s="1174"/>
      <c r="AX285" s="1174"/>
      <c r="AY285" s="1174"/>
      <c r="AZ285" s="1174"/>
      <c r="BA285" s="1174"/>
      <c r="BB285" s="1174"/>
      <c r="BC285" s="1174"/>
      <c r="BD285" s="1174"/>
      <c r="BE285" s="1174"/>
      <c r="BG285" s="49"/>
    </row>
    <row r="286" spans="49:59" ht="12" customHeight="1">
      <c r="AW286" s="1174"/>
      <c r="AX286" s="1174"/>
      <c r="AY286" s="1174"/>
      <c r="AZ286" s="1174"/>
      <c r="BA286" s="1174"/>
      <c r="BB286" s="1174"/>
      <c r="BC286" s="1174"/>
      <c r="BD286" s="1174"/>
      <c r="BE286" s="1174"/>
      <c r="BG286" s="49"/>
    </row>
    <row r="287" spans="49:59" ht="12" customHeight="1">
      <c r="AW287" s="1174"/>
      <c r="AX287" s="1174"/>
      <c r="AY287" s="1174"/>
      <c r="AZ287" s="1174"/>
      <c r="BA287" s="1174"/>
      <c r="BB287" s="1174"/>
      <c r="BC287" s="1174"/>
      <c r="BD287" s="1174"/>
      <c r="BE287" s="1174"/>
      <c r="BG287" s="49"/>
    </row>
    <row r="288" spans="49:59" ht="12" customHeight="1">
      <c r="AW288" s="1174"/>
      <c r="AX288" s="1174"/>
      <c r="AY288" s="1174"/>
      <c r="AZ288" s="1174"/>
      <c r="BA288" s="1174"/>
      <c r="BB288" s="1174"/>
      <c r="BC288" s="1174"/>
      <c r="BD288" s="1174"/>
      <c r="BE288" s="1174"/>
      <c r="BG288" s="49"/>
    </row>
    <row r="289" spans="49:59" ht="12" customHeight="1">
      <c r="AW289" s="1174"/>
      <c r="AX289" s="1174"/>
      <c r="AY289" s="1174"/>
      <c r="AZ289" s="1174"/>
      <c r="BA289" s="1174"/>
      <c r="BB289" s="1174"/>
      <c r="BC289" s="1174"/>
      <c r="BD289" s="1174"/>
      <c r="BE289" s="1174"/>
      <c r="BG289" s="49"/>
    </row>
    <row r="290" spans="49:59" ht="12" customHeight="1">
      <c r="AW290" s="1174"/>
      <c r="AX290" s="1174"/>
      <c r="AY290" s="1174"/>
      <c r="AZ290" s="1174"/>
      <c r="BA290" s="1174"/>
      <c r="BB290" s="1174"/>
      <c r="BC290" s="1174"/>
      <c r="BD290" s="1174"/>
      <c r="BE290" s="1174"/>
      <c r="BG290" s="49"/>
    </row>
    <row r="291" spans="49:59" ht="12" customHeight="1">
      <c r="AW291" s="1174"/>
      <c r="AX291" s="1174"/>
      <c r="AY291" s="1174"/>
      <c r="AZ291" s="1174"/>
      <c r="BA291" s="1174"/>
      <c r="BB291" s="1174"/>
      <c r="BC291" s="1174"/>
      <c r="BD291" s="1174"/>
      <c r="BE291" s="1174"/>
      <c r="BG291" s="49"/>
    </row>
    <row r="292" spans="49:59" ht="12" customHeight="1">
      <c r="AW292" s="1174"/>
      <c r="AX292" s="1174"/>
      <c r="AY292" s="1174"/>
      <c r="AZ292" s="1174"/>
      <c r="BA292" s="1174"/>
      <c r="BB292" s="1174"/>
      <c r="BC292" s="1174"/>
      <c r="BD292" s="1174"/>
      <c r="BE292" s="1174"/>
      <c r="BG292" s="49"/>
    </row>
    <row r="293" spans="49:59" ht="12" customHeight="1">
      <c r="AW293" s="1174"/>
      <c r="AX293" s="1174"/>
      <c r="AY293" s="1174"/>
      <c r="AZ293" s="1174"/>
      <c r="BA293" s="1174"/>
      <c r="BB293" s="1174"/>
      <c r="BC293" s="1174"/>
      <c r="BD293" s="1174"/>
      <c r="BE293" s="1174"/>
      <c r="BG293" s="49"/>
    </row>
    <row r="294" spans="49:59" ht="12" customHeight="1">
      <c r="AW294" s="1174"/>
      <c r="AX294" s="1174"/>
      <c r="AY294" s="1174"/>
      <c r="AZ294" s="1174"/>
      <c r="BA294" s="1174"/>
      <c r="BB294" s="1174"/>
      <c r="BC294" s="1174"/>
      <c r="BD294" s="1174"/>
      <c r="BE294" s="1174"/>
      <c r="BG294" s="49"/>
    </row>
    <row r="295" spans="49:59" ht="12" customHeight="1">
      <c r="AW295" s="1174"/>
      <c r="AX295" s="1174"/>
      <c r="AY295" s="1174"/>
      <c r="AZ295" s="1174"/>
      <c r="BA295" s="1174"/>
      <c r="BB295" s="1174"/>
      <c r="BC295" s="1174"/>
      <c r="BD295" s="1174"/>
      <c r="BE295" s="1174"/>
      <c r="BG295" s="49"/>
    </row>
    <row r="296" spans="49:59" ht="12" customHeight="1">
      <c r="AW296" s="1174"/>
      <c r="AX296" s="1174"/>
      <c r="AY296" s="1174"/>
      <c r="AZ296" s="1174"/>
      <c r="BA296" s="1174"/>
      <c r="BB296" s="1174"/>
      <c r="BC296" s="1174"/>
      <c r="BD296" s="1174"/>
      <c r="BE296" s="1174"/>
      <c r="BG296" s="49"/>
    </row>
    <row r="297" spans="49:59" ht="12" customHeight="1">
      <c r="AW297" s="1174"/>
      <c r="AX297" s="1174"/>
      <c r="AY297" s="1174"/>
      <c r="AZ297" s="1174"/>
      <c r="BA297" s="1174"/>
      <c r="BB297" s="1174"/>
      <c r="BC297" s="1174"/>
      <c r="BD297" s="1174"/>
      <c r="BE297" s="1174"/>
      <c r="BG297" s="49"/>
    </row>
    <row r="298" spans="49:59" ht="12" customHeight="1">
      <c r="AW298" s="1174"/>
      <c r="AX298" s="1174"/>
      <c r="AY298" s="1174"/>
      <c r="AZ298" s="1174"/>
      <c r="BA298" s="1174"/>
      <c r="BB298" s="1174"/>
      <c r="BC298" s="1174"/>
      <c r="BD298" s="1174"/>
      <c r="BE298" s="1174"/>
      <c r="BG298" s="49"/>
    </row>
    <row r="299" spans="49:59" ht="12" customHeight="1">
      <c r="AW299" s="1174"/>
      <c r="AX299" s="1174"/>
      <c r="AY299" s="1174"/>
      <c r="AZ299" s="1174"/>
      <c r="BA299" s="1174"/>
      <c r="BB299" s="1174"/>
      <c r="BC299" s="1174"/>
      <c r="BD299" s="1174"/>
      <c r="BE299" s="1174"/>
      <c r="BG299" s="49"/>
    </row>
    <row r="300" spans="49:59" ht="12" customHeight="1">
      <c r="AW300" s="1174"/>
      <c r="AX300" s="1174"/>
      <c r="AY300" s="1174"/>
      <c r="AZ300" s="1174"/>
      <c r="BA300" s="1174"/>
      <c r="BB300" s="1174"/>
      <c r="BC300" s="1174"/>
      <c r="BD300" s="1174"/>
      <c r="BE300" s="1174"/>
      <c r="BG300" s="49"/>
    </row>
    <row r="301" spans="49:59" ht="12" customHeight="1">
      <c r="AW301" s="1174"/>
      <c r="AX301" s="1174"/>
      <c r="AY301" s="1174"/>
      <c r="AZ301" s="1174"/>
      <c r="BA301" s="1174"/>
      <c r="BB301" s="1174"/>
      <c r="BC301" s="1174"/>
      <c r="BD301" s="1174"/>
      <c r="BE301" s="1174"/>
      <c r="BG301" s="49"/>
    </row>
    <row r="302" spans="49:59" ht="12" customHeight="1">
      <c r="AW302" s="1174"/>
      <c r="AX302" s="1174"/>
      <c r="AY302" s="1174"/>
      <c r="AZ302" s="1174"/>
      <c r="BA302" s="1174"/>
      <c r="BB302" s="1174"/>
      <c r="BC302" s="1174"/>
      <c r="BD302" s="1174"/>
      <c r="BE302" s="1174"/>
      <c r="BG302" s="49"/>
    </row>
    <row r="303" spans="49:59" ht="12" customHeight="1">
      <c r="AW303" s="1174"/>
      <c r="AX303" s="1174"/>
      <c r="AY303" s="1174"/>
      <c r="AZ303" s="1174"/>
      <c r="BA303" s="1174"/>
      <c r="BB303" s="1174"/>
      <c r="BC303" s="1174"/>
      <c r="BD303" s="1174"/>
      <c r="BE303" s="1174"/>
      <c r="BG303" s="49"/>
    </row>
    <row r="304" spans="49:59" ht="12" customHeight="1">
      <c r="AW304" s="1174"/>
      <c r="AX304" s="1174"/>
      <c r="AY304" s="1174"/>
      <c r="AZ304" s="1174"/>
      <c r="BA304" s="1174"/>
      <c r="BB304" s="1174"/>
      <c r="BC304" s="1174"/>
      <c r="BD304" s="1174"/>
      <c r="BE304" s="1174"/>
      <c r="BG304" s="49"/>
    </row>
    <row r="305" spans="49:59" ht="12" customHeight="1">
      <c r="AW305" s="1174"/>
      <c r="AX305" s="1174"/>
      <c r="AY305" s="1174"/>
      <c r="AZ305" s="1174"/>
      <c r="BA305" s="1174"/>
      <c r="BB305" s="1174"/>
      <c r="BC305" s="1174"/>
      <c r="BD305" s="1174"/>
      <c r="BE305" s="1174"/>
      <c r="BG305" s="49"/>
    </row>
    <row r="306" spans="49:59" ht="12" customHeight="1">
      <c r="AW306" s="1174"/>
      <c r="AX306" s="1174"/>
      <c r="AY306" s="1174"/>
      <c r="AZ306" s="1174"/>
      <c r="BA306" s="1174"/>
      <c r="BB306" s="1174"/>
      <c r="BC306" s="1174"/>
      <c r="BD306" s="1174"/>
      <c r="BE306" s="1174"/>
      <c r="BG306" s="49"/>
    </row>
    <row r="307" spans="49:59" ht="12" customHeight="1">
      <c r="AW307" s="1174"/>
      <c r="AX307" s="1174"/>
      <c r="AY307" s="1174"/>
      <c r="AZ307" s="1174"/>
      <c r="BA307" s="1174"/>
      <c r="BB307" s="1174"/>
      <c r="BC307" s="1174"/>
      <c r="BD307" s="1174"/>
      <c r="BE307" s="1174"/>
      <c r="BG307" s="49"/>
    </row>
    <row r="308" spans="49:59" ht="12" customHeight="1">
      <c r="AW308" s="1174"/>
      <c r="AX308" s="1174"/>
      <c r="AY308" s="1174"/>
      <c r="AZ308" s="1174"/>
      <c r="BA308" s="1174"/>
      <c r="BB308" s="1174"/>
      <c r="BC308" s="1174"/>
      <c r="BD308" s="1174"/>
      <c r="BE308" s="1174"/>
      <c r="BG308" s="49"/>
    </row>
    <row r="309" spans="49:59" ht="12" customHeight="1">
      <c r="AW309" s="1174"/>
      <c r="AX309" s="1174"/>
      <c r="AY309" s="1174"/>
      <c r="AZ309" s="1174"/>
      <c r="BA309" s="1174"/>
      <c r="BB309" s="1174"/>
      <c r="BC309" s="1174"/>
      <c r="BD309" s="1174"/>
      <c r="BE309" s="1174"/>
      <c r="BG309" s="49"/>
    </row>
    <row r="310" spans="49:59" ht="12" customHeight="1">
      <c r="AW310" s="1174"/>
      <c r="AX310" s="1174"/>
      <c r="AY310" s="1174"/>
      <c r="AZ310" s="1174"/>
      <c r="BA310" s="1174"/>
      <c r="BB310" s="1174"/>
      <c r="BC310" s="1174"/>
      <c r="BD310" s="1174"/>
      <c r="BE310" s="1174"/>
      <c r="BG310" s="49"/>
    </row>
    <row r="311" spans="49:59" ht="12" customHeight="1">
      <c r="AW311" s="1174"/>
      <c r="AX311" s="1174"/>
      <c r="AY311" s="1174"/>
      <c r="AZ311" s="1174"/>
      <c r="BA311" s="1174"/>
      <c r="BB311" s="1174"/>
      <c r="BC311" s="1174"/>
      <c r="BD311" s="1174"/>
      <c r="BE311" s="1174"/>
      <c r="BG311" s="49"/>
    </row>
    <row r="312" spans="49:59" ht="12" customHeight="1">
      <c r="AW312" s="1174"/>
      <c r="AX312" s="1174"/>
      <c r="AY312" s="1174"/>
      <c r="AZ312" s="1174"/>
      <c r="BA312" s="1174"/>
      <c r="BB312" s="1174"/>
      <c r="BC312" s="1174"/>
      <c r="BD312" s="1174"/>
      <c r="BE312" s="1174"/>
      <c r="BG312" s="49"/>
    </row>
    <row r="313" spans="49:59" ht="12" customHeight="1">
      <c r="AW313" s="1174"/>
      <c r="AX313" s="1174"/>
      <c r="AY313" s="1174"/>
      <c r="AZ313" s="1174"/>
      <c r="BA313" s="1174"/>
      <c r="BB313" s="1174"/>
      <c r="BC313" s="1174"/>
      <c r="BD313" s="1174"/>
      <c r="BE313" s="1174"/>
      <c r="BG313" s="49"/>
    </row>
    <row r="314" spans="49:59" ht="12" customHeight="1">
      <c r="AW314" s="1174"/>
      <c r="AX314" s="1174"/>
      <c r="AY314" s="1174"/>
      <c r="AZ314" s="1174"/>
      <c r="BA314" s="1174"/>
      <c r="BB314" s="1174"/>
      <c r="BC314" s="1174"/>
      <c r="BD314" s="1174"/>
      <c r="BE314" s="1174"/>
      <c r="BG314" s="49"/>
    </row>
    <row r="315" spans="49:59" ht="12" customHeight="1">
      <c r="AW315" s="1174"/>
      <c r="AX315" s="1174"/>
      <c r="AY315" s="1174"/>
      <c r="AZ315" s="1174"/>
      <c r="BA315" s="1174"/>
      <c r="BB315" s="1174"/>
      <c r="BC315" s="1174"/>
      <c r="BD315" s="1174"/>
      <c r="BE315" s="1174"/>
      <c r="BG315" s="49"/>
    </row>
    <row r="316" spans="49:59" ht="12" customHeight="1">
      <c r="AW316" s="1174"/>
      <c r="AX316" s="1174"/>
      <c r="AY316" s="1174"/>
      <c r="AZ316" s="1174"/>
      <c r="BA316" s="1174"/>
      <c r="BB316" s="1174"/>
      <c r="BC316" s="1174"/>
      <c r="BD316" s="1174"/>
      <c r="BE316" s="1174"/>
      <c r="BG316" s="49"/>
    </row>
    <row r="317" spans="49:59" ht="12" customHeight="1">
      <c r="AW317" s="1174"/>
      <c r="AX317" s="1174"/>
      <c r="AY317" s="1174"/>
      <c r="AZ317" s="1174"/>
      <c r="BA317" s="1174"/>
      <c r="BB317" s="1174"/>
      <c r="BC317" s="1174"/>
      <c r="BD317" s="1174"/>
      <c r="BE317" s="1174"/>
      <c r="BG317" s="49"/>
    </row>
    <row r="318" spans="49:59" ht="12" customHeight="1">
      <c r="AW318" s="1174"/>
      <c r="AX318" s="1174"/>
      <c r="AY318" s="1174"/>
      <c r="AZ318" s="1174"/>
      <c r="BA318" s="1174"/>
      <c r="BB318" s="1174"/>
      <c r="BC318" s="1174"/>
      <c r="BD318" s="1174"/>
      <c r="BE318" s="1174"/>
      <c r="BG318" s="49"/>
    </row>
    <row r="319" spans="49:59" ht="12" customHeight="1">
      <c r="AW319" s="1174"/>
      <c r="AX319" s="1174"/>
      <c r="AY319" s="1174"/>
      <c r="AZ319" s="1174"/>
      <c r="BA319" s="1174"/>
      <c r="BB319" s="1174"/>
      <c r="BC319" s="1174"/>
      <c r="BD319" s="1174"/>
      <c r="BE319" s="1174"/>
      <c r="BG319" s="49"/>
    </row>
    <row r="320" spans="49:59" ht="12" customHeight="1">
      <c r="AW320" s="1174"/>
      <c r="AX320" s="1174"/>
      <c r="AY320" s="1174"/>
      <c r="AZ320" s="1174"/>
      <c r="BA320" s="1174"/>
      <c r="BB320" s="1174"/>
      <c r="BC320" s="1174"/>
      <c r="BD320" s="1174"/>
      <c r="BE320" s="1174"/>
      <c r="BG320" s="49"/>
    </row>
    <row r="321" spans="49:59" ht="12" customHeight="1">
      <c r="AW321" s="1174"/>
      <c r="AX321" s="1174"/>
      <c r="AY321" s="1174"/>
      <c r="AZ321" s="1174"/>
      <c r="BA321" s="1174"/>
      <c r="BB321" s="1174"/>
      <c r="BC321" s="1174"/>
      <c r="BD321" s="1174"/>
      <c r="BE321" s="1174"/>
      <c r="BG321" s="49"/>
    </row>
    <row r="322" spans="49:59" ht="12" customHeight="1">
      <c r="AW322" s="1174"/>
      <c r="AX322" s="1174"/>
      <c r="AY322" s="1174"/>
      <c r="AZ322" s="1174"/>
      <c r="BA322" s="1174"/>
      <c r="BB322" s="1174"/>
      <c r="BC322" s="1174"/>
      <c r="BD322" s="1174"/>
      <c r="BE322" s="1174"/>
      <c r="BG322" s="49"/>
    </row>
    <row r="323" spans="49:59" ht="12" customHeight="1">
      <c r="AW323" s="1174"/>
      <c r="AX323" s="1174"/>
      <c r="AY323" s="1174"/>
      <c r="AZ323" s="1174"/>
      <c r="BA323" s="1174"/>
      <c r="BB323" s="1174"/>
      <c r="BC323" s="1174"/>
      <c r="BD323" s="1174"/>
      <c r="BE323" s="1174"/>
      <c r="BG323" s="49"/>
    </row>
    <row r="324" spans="49:59" ht="12" customHeight="1">
      <c r="AW324" s="1174"/>
      <c r="AX324" s="1174"/>
      <c r="AY324" s="1174"/>
      <c r="AZ324" s="1174"/>
      <c r="BA324" s="1174"/>
      <c r="BB324" s="1174"/>
      <c r="BC324" s="1174"/>
      <c r="BD324" s="1174"/>
      <c r="BE324" s="1174"/>
      <c r="BG324" s="49"/>
    </row>
    <row r="325" spans="49:59" ht="12" customHeight="1">
      <c r="AW325" s="1174"/>
      <c r="AX325" s="1174"/>
      <c r="AY325" s="1174"/>
      <c r="AZ325" s="1174"/>
      <c r="BA325" s="1174"/>
      <c r="BB325" s="1174"/>
      <c r="BC325" s="1174"/>
      <c r="BD325" s="1174"/>
      <c r="BE325" s="1174"/>
      <c r="BG325" s="49"/>
    </row>
    <row r="326" spans="49:59" ht="12" customHeight="1">
      <c r="AW326" s="1174"/>
      <c r="AX326" s="1174"/>
      <c r="AY326" s="1174"/>
      <c r="AZ326" s="1174"/>
      <c r="BA326" s="1174"/>
      <c r="BB326" s="1174"/>
      <c r="BC326" s="1174"/>
      <c r="BD326" s="1174"/>
      <c r="BE326" s="1174"/>
      <c r="BG326" s="49"/>
    </row>
    <row r="327" spans="49:59" ht="12" customHeight="1">
      <c r="AW327" s="1174"/>
      <c r="AX327" s="1174"/>
      <c r="AY327" s="1174"/>
      <c r="AZ327" s="1174"/>
      <c r="BA327" s="1174"/>
      <c r="BB327" s="1174"/>
      <c r="BC327" s="1174"/>
      <c r="BD327" s="1174"/>
      <c r="BE327" s="1174"/>
      <c r="BG327" s="49"/>
    </row>
    <row r="328" spans="49:59" ht="12" customHeight="1">
      <c r="AW328" s="1174"/>
      <c r="AX328" s="1174"/>
      <c r="AY328" s="1174"/>
      <c r="AZ328" s="1174"/>
      <c r="BA328" s="1174"/>
      <c r="BB328" s="1174"/>
      <c r="BC328" s="1174"/>
      <c r="BD328" s="1174"/>
      <c r="BE328" s="1174"/>
      <c r="BG328" s="49"/>
    </row>
    <row r="329" spans="49:59" ht="12" customHeight="1">
      <c r="AW329" s="1174"/>
      <c r="AX329" s="1174"/>
      <c r="AY329" s="1174"/>
      <c r="AZ329" s="1174"/>
      <c r="BA329" s="1174"/>
      <c r="BB329" s="1174"/>
      <c r="BC329" s="1174"/>
      <c r="BD329" s="1174"/>
      <c r="BE329" s="1174"/>
      <c r="BG329" s="49"/>
    </row>
    <row r="330" spans="49:59" ht="12" customHeight="1">
      <c r="AW330" s="1174"/>
      <c r="AX330" s="1174"/>
      <c r="AY330" s="1174"/>
      <c r="AZ330" s="1174"/>
      <c r="BA330" s="1174"/>
      <c r="BB330" s="1174"/>
      <c r="BC330" s="1174"/>
      <c r="BD330" s="1174"/>
      <c r="BE330" s="1174"/>
      <c r="BG330" s="49"/>
    </row>
    <row r="331" spans="49:59" ht="12" customHeight="1">
      <c r="AW331" s="1174"/>
      <c r="AX331" s="1174"/>
      <c r="AY331" s="1174"/>
      <c r="AZ331" s="1174"/>
      <c r="BA331" s="1174"/>
      <c r="BB331" s="1174"/>
      <c r="BC331" s="1174"/>
      <c r="BD331" s="1174"/>
      <c r="BE331" s="1174"/>
      <c r="BG331" s="49"/>
    </row>
    <row r="332" spans="49:59" ht="12" customHeight="1">
      <c r="AW332" s="1174"/>
      <c r="AX332" s="1174"/>
      <c r="AY332" s="1174"/>
      <c r="AZ332" s="1174"/>
      <c r="BA332" s="1174"/>
      <c r="BB332" s="1174"/>
      <c r="BC332" s="1174"/>
      <c r="BD332" s="1174"/>
      <c r="BE332" s="1174"/>
      <c r="BG332" s="49"/>
    </row>
    <row r="333" spans="49:59" ht="12" customHeight="1">
      <c r="AW333" s="1174"/>
      <c r="AX333" s="1174"/>
      <c r="AY333" s="1174"/>
      <c r="AZ333" s="1174"/>
      <c r="BA333" s="1174"/>
      <c r="BB333" s="1174"/>
      <c r="BC333" s="1174"/>
      <c r="BD333" s="1174"/>
      <c r="BE333" s="1174"/>
      <c r="BG333" s="49"/>
    </row>
    <row r="334" spans="49:59" ht="12" customHeight="1">
      <c r="AW334" s="1174"/>
      <c r="AX334" s="1174"/>
      <c r="AY334" s="1174"/>
      <c r="AZ334" s="1174"/>
      <c r="BA334" s="1174"/>
      <c r="BB334" s="1174"/>
      <c r="BC334" s="1174"/>
      <c r="BD334" s="1174"/>
      <c r="BE334" s="1174"/>
      <c r="BG334" s="49"/>
    </row>
    <row r="335" spans="49:59" ht="12" customHeight="1">
      <c r="AW335" s="1174"/>
      <c r="AX335" s="1174"/>
      <c r="AY335" s="1174"/>
      <c r="AZ335" s="1174"/>
      <c r="BA335" s="1174"/>
      <c r="BB335" s="1174"/>
      <c r="BC335" s="1174"/>
      <c r="BD335" s="1174"/>
      <c r="BE335" s="1174"/>
      <c r="BG335" s="49"/>
    </row>
    <row r="336" spans="49:59" ht="12" customHeight="1">
      <c r="AW336" s="1174"/>
      <c r="AX336" s="1174"/>
      <c r="AY336" s="1174"/>
      <c r="AZ336" s="1174"/>
      <c r="BA336" s="1174"/>
      <c r="BB336" s="1174"/>
      <c r="BC336" s="1174"/>
      <c r="BD336" s="1174"/>
      <c r="BE336" s="1174"/>
      <c r="BG336" s="49"/>
    </row>
    <row r="337" spans="49:59" ht="12" customHeight="1">
      <c r="AW337" s="1174"/>
      <c r="AX337" s="1174"/>
      <c r="AY337" s="1174"/>
      <c r="AZ337" s="1174"/>
      <c r="BA337" s="1174"/>
      <c r="BB337" s="1174"/>
      <c r="BC337" s="1174"/>
      <c r="BD337" s="1174"/>
      <c r="BE337" s="1174"/>
      <c r="BG337" s="49"/>
    </row>
    <row r="338" spans="49:59" ht="12" customHeight="1">
      <c r="AW338" s="1174"/>
      <c r="AX338" s="1174"/>
      <c r="AY338" s="1174"/>
      <c r="AZ338" s="1174"/>
      <c r="BA338" s="1174"/>
      <c r="BB338" s="1174"/>
      <c r="BC338" s="1174"/>
      <c r="BD338" s="1174"/>
      <c r="BE338" s="1174"/>
      <c r="BG338" s="49"/>
    </row>
    <row r="339" spans="49:59" ht="12" customHeight="1">
      <c r="AW339" s="1174"/>
      <c r="AX339" s="1174"/>
      <c r="AY339" s="1174"/>
      <c r="AZ339" s="1174"/>
      <c r="BA339" s="1174"/>
      <c r="BB339" s="1174"/>
      <c r="BC339" s="1174"/>
      <c r="BD339" s="1174"/>
      <c r="BE339" s="1174"/>
      <c r="BG339" s="49"/>
    </row>
    <row r="340" spans="49:59" ht="12" customHeight="1">
      <c r="AW340" s="1174"/>
      <c r="AX340" s="1174"/>
      <c r="AY340" s="1174"/>
      <c r="AZ340" s="1174"/>
      <c r="BA340" s="1174"/>
      <c r="BB340" s="1174"/>
      <c r="BC340" s="1174"/>
      <c r="BD340" s="1174"/>
      <c r="BE340" s="1174"/>
      <c r="BG340" s="49"/>
    </row>
    <row r="341" spans="49:59" ht="12" customHeight="1">
      <c r="AW341" s="1174"/>
      <c r="AX341" s="1174"/>
      <c r="AY341" s="1174"/>
      <c r="AZ341" s="1174"/>
      <c r="BA341" s="1174"/>
      <c r="BB341" s="1174"/>
      <c r="BC341" s="1174"/>
      <c r="BD341" s="1174"/>
      <c r="BE341" s="1174"/>
      <c r="BG341" s="49"/>
    </row>
    <row r="342" spans="49:59" ht="12" customHeight="1">
      <c r="AW342" s="1174"/>
      <c r="AX342" s="1174"/>
      <c r="AY342" s="1174"/>
      <c r="AZ342" s="1174"/>
      <c r="BA342" s="1174"/>
      <c r="BB342" s="1174"/>
      <c r="BC342" s="1174"/>
      <c r="BD342" s="1174"/>
      <c r="BE342" s="1174"/>
      <c r="BG342" s="49"/>
    </row>
    <row r="343" spans="49:59" ht="12" customHeight="1">
      <c r="AW343" s="1174"/>
      <c r="AX343" s="1174"/>
      <c r="AY343" s="1174"/>
      <c r="AZ343" s="1174"/>
      <c r="BA343" s="1174"/>
      <c r="BB343" s="1174"/>
      <c r="BC343" s="1174"/>
      <c r="BD343" s="1174"/>
      <c r="BE343" s="1174"/>
      <c r="BG343" s="49"/>
    </row>
    <row r="344" spans="49:59" ht="12" customHeight="1">
      <c r="AW344" s="1174"/>
      <c r="AX344" s="1174"/>
      <c r="AY344" s="1174"/>
      <c r="AZ344" s="1174"/>
      <c r="BA344" s="1174"/>
      <c r="BB344" s="1174"/>
      <c r="BC344" s="1174"/>
      <c r="BD344" s="1174"/>
      <c r="BE344" s="1174"/>
      <c r="BG344" s="49"/>
    </row>
    <row r="345" spans="49:59" ht="12" customHeight="1">
      <c r="AW345" s="1174"/>
      <c r="AX345" s="1174"/>
      <c r="AY345" s="1174"/>
      <c r="AZ345" s="1174"/>
      <c r="BA345" s="1174"/>
      <c r="BB345" s="1174"/>
      <c r="BC345" s="1174"/>
      <c r="BD345" s="1174"/>
      <c r="BE345" s="1174"/>
      <c r="BG345" s="49"/>
    </row>
    <row r="346" spans="49:59" ht="12" customHeight="1">
      <c r="AW346" s="1174"/>
      <c r="AX346" s="1174"/>
      <c r="AY346" s="1174"/>
      <c r="AZ346" s="1174"/>
      <c r="BA346" s="1174"/>
      <c r="BB346" s="1174"/>
      <c r="BC346" s="1174"/>
      <c r="BD346" s="1174"/>
      <c r="BE346" s="1174"/>
      <c r="BG346" s="49"/>
    </row>
    <row r="347" spans="49:59" ht="12" customHeight="1">
      <c r="AW347" s="1174"/>
      <c r="AX347" s="1174"/>
      <c r="AY347" s="1174"/>
      <c r="AZ347" s="1174"/>
      <c r="BA347" s="1174"/>
      <c r="BB347" s="1174"/>
      <c r="BC347" s="1174"/>
      <c r="BD347" s="1174"/>
      <c r="BE347" s="1174"/>
      <c r="BG347" s="49"/>
    </row>
    <row r="348" spans="49:59" ht="12" customHeight="1">
      <c r="AW348" s="1174"/>
      <c r="AX348" s="1174"/>
      <c r="AY348" s="1174"/>
      <c r="AZ348" s="1174"/>
      <c r="BA348" s="1174"/>
      <c r="BB348" s="1174"/>
      <c r="BC348" s="1174"/>
      <c r="BD348" s="1174"/>
      <c r="BE348" s="1174"/>
      <c r="BG348" s="49"/>
    </row>
    <row r="349" spans="49:59" ht="12" customHeight="1">
      <c r="AW349" s="1174"/>
      <c r="AX349" s="1174"/>
      <c r="AY349" s="1174"/>
      <c r="AZ349" s="1174"/>
      <c r="BA349" s="1174"/>
      <c r="BB349" s="1174"/>
      <c r="BC349" s="1174"/>
      <c r="BD349" s="1174"/>
      <c r="BE349" s="1174"/>
      <c r="BG349" s="49"/>
    </row>
    <row r="350" spans="49:59" ht="12" customHeight="1">
      <c r="AW350" s="1174"/>
      <c r="AX350" s="1174"/>
      <c r="AY350" s="1174"/>
      <c r="AZ350" s="1174"/>
      <c r="BA350" s="1174"/>
      <c r="BB350" s="1174"/>
      <c r="BC350" s="1174"/>
      <c r="BD350" s="1174"/>
      <c r="BE350" s="1174"/>
      <c r="BG350" s="49"/>
    </row>
    <row r="351" spans="49:59" ht="12" customHeight="1">
      <c r="AW351" s="1174"/>
      <c r="AX351" s="1174"/>
      <c r="AY351" s="1174"/>
      <c r="AZ351" s="1174"/>
      <c r="BA351" s="1174"/>
      <c r="BB351" s="1174"/>
      <c r="BC351" s="1174"/>
      <c r="BD351" s="1174"/>
      <c r="BE351" s="1174"/>
      <c r="BG351" s="49"/>
    </row>
    <row r="352" spans="49:59" ht="12" customHeight="1">
      <c r="AW352" s="1174"/>
      <c r="AX352" s="1174"/>
      <c r="AY352" s="1174"/>
      <c r="AZ352" s="1174"/>
      <c r="BA352" s="1174"/>
      <c r="BB352" s="1174"/>
      <c r="BC352" s="1174"/>
      <c r="BD352" s="1174"/>
      <c r="BE352" s="1174"/>
      <c r="BG352" s="49"/>
    </row>
    <row r="353" spans="49:59" ht="12" customHeight="1">
      <c r="AW353" s="1174"/>
      <c r="AX353" s="1174"/>
      <c r="AY353" s="1174"/>
      <c r="AZ353" s="1174"/>
      <c r="BA353" s="1174"/>
      <c r="BB353" s="1174"/>
      <c r="BC353" s="1174"/>
      <c r="BD353" s="1174"/>
      <c r="BE353" s="1174"/>
      <c r="BG353" s="49"/>
    </row>
    <row r="354" spans="49:59" ht="12" customHeight="1">
      <c r="AW354" s="1174"/>
      <c r="AX354" s="1174"/>
      <c r="AY354" s="1174"/>
      <c r="AZ354" s="1174"/>
      <c r="BA354" s="1174"/>
      <c r="BB354" s="1174"/>
      <c r="BC354" s="1174"/>
      <c r="BD354" s="1174"/>
      <c r="BE354" s="1174"/>
      <c r="BG354" s="49"/>
    </row>
    <row r="355" spans="49:59" ht="12" customHeight="1">
      <c r="AW355" s="1174"/>
      <c r="AX355" s="1174"/>
      <c r="AY355" s="1174"/>
      <c r="AZ355" s="1174"/>
      <c r="BA355" s="1174"/>
      <c r="BB355" s="1174"/>
      <c r="BC355" s="1174"/>
      <c r="BD355" s="1174"/>
      <c r="BE355" s="1174"/>
      <c r="BG355" s="49"/>
    </row>
    <row r="356" spans="49:59" ht="12" customHeight="1">
      <c r="AW356" s="1174"/>
      <c r="AX356" s="1174"/>
      <c r="AY356" s="1174"/>
      <c r="AZ356" s="1174"/>
      <c r="BA356" s="1174"/>
      <c r="BB356" s="1174"/>
      <c r="BC356" s="1174"/>
      <c r="BD356" s="1174"/>
      <c r="BE356" s="1174"/>
      <c r="BG356" s="49"/>
    </row>
    <row r="357" spans="49:59" ht="12" customHeight="1">
      <c r="AW357" s="1174"/>
      <c r="AX357" s="1174"/>
      <c r="AY357" s="1174"/>
      <c r="AZ357" s="1174"/>
      <c r="BA357" s="1174"/>
      <c r="BB357" s="1174"/>
      <c r="BC357" s="1174"/>
      <c r="BD357" s="1174"/>
      <c r="BE357" s="1174"/>
      <c r="BG357" s="49"/>
    </row>
    <row r="358" spans="49:59" ht="12" customHeight="1">
      <c r="AW358" s="1174"/>
      <c r="AX358" s="1174"/>
      <c r="AY358" s="1174"/>
      <c r="AZ358" s="1174"/>
      <c r="BA358" s="1174"/>
      <c r="BB358" s="1174"/>
      <c r="BC358" s="1174"/>
      <c r="BD358" s="1174"/>
      <c r="BE358" s="1174"/>
      <c r="BG358" s="49"/>
    </row>
    <row r="359" spans="49:59" ht="12" customHeight="1">
      <c r="AW359" s="1174"/>
      <c r="AX359" s="1174"/>
      <c r="AY359" s="1174"/>
      <c r="AZ359" s="1174"/>
      <c r="BA359" s="1174"/>
      <c r="BB359" s="1174"/>
      <c r="BC359" s="1174"/>
      <c r="BD359" s="1174"/>
      <c r="BE359" s="1174"/>
      <c r="BG359" s="49"/>
    </row>
    <row r="360" spans="49:59" ht="12" customHeight="1">
      <c r="AW360" s="1174"/>
      <c r="AX360" s="1174"/>
      <c r="AY360" s="1174"/>
      <c r="AZ360" s="1174"/>
      <c r="BA360" s="1174"/>
      <c r="BB360" s="1174"/>
      <c r="BC360" s="1174"/>
      <c r="BD360" s="1174"/>
      <c r="BE360" s="1174"/>
      <c r="BG360" s="49"/>
    </row>
    <row r="361" spans="49:59" ht="12" customHeight="1">
      <c r="AW361" s="1174"/>
      <c r="AX361" s="1174"/>
      <c r="AY361" s="1174"/>
      <c r="AZ361" s="1174"/>
      <c r="BA361" s="1174"/>
      <c r="BB361" s="1174"/>
      <c r="BC361" s="1174"/>
      <c r="BD361" s="1174"/>
      <c r="BE361" s="1174"/>
      <c r="BG361" s="49"/>
    </row>
    <row r="362" spans="49:59" ht="12" customHeight="1">
      <c r="AW362" s="1174"/>
      <c r="AX362" s="1174"/>
      <c r="AY362" s="1174"/>
      <c r="AZ362" s="1174"/>
      <c r="BA362" s="1174"/>
      <c r="BB362" s="1174"/>
      <c r="BC362" s="1174"/>
      <c r="BD362" s="1174"/>
      <c r="BE362" s="1174"/>
      <c r="BG362" s="49"/>
    </row>
    <row r="363" spans="49:59" ht="12" customHeight="1">
      <c r="AW363" s="1174"/>
      <c r="AX363" s="1174"/>
      <c r="AY363" s="1174"/>
      <c r="AZ363" s="1174"/>
      <c r="BA363" s="1174"/>
      <c r="BB363" s="1174"/>
      <c r="BC363" s="1174"/>
      <c r="BD363" s="1174"/>
      <c r="BE363" s="1174"/>
      <c r="BG363" s="49"/>
    </row>
    <row r="364" spans="49:59" ht="12" customHeight="1">
      <c r="AW364" s="1174"/>
      <c r="AX364" s="1174"/>
      <c r="AY364" s="1174"/>
      <c r="AZ364" s="1174"/>
      <c r="BA364" s="1174"/>
      <c r="BB364" s="1174"/>
      <c r="BC364" s="1174"/>
      <c r="BD364" s="1174"/>
      <c r="BE364" s="1174"/>
      <c r="BG364" s="49"/>
    </row>
    <row r="365" spans="49:59" ht="12" customHeight="1">
      <c r="AW365" s="1174"/>
      <c r="AX365" s="1174"/>
      <c r="AY365" s="1174"/>
      <c r="AZ365" s="1174"/>
      <c r="BA365" s="1174"/>
      <c r="BB365" s="1174"/>
      <c r="BC365" s="1174"/>
      <c r="BD365" s="1174"/>
      <c r="BE365" s="1174"/>
      <c r="BG365" s="49"/>
    </row>
    <row r="366" spans="49:59" ht="12" customHeight="1">
      <c r="AW366" s="1174"/>
      <c r="AX366" s="1174"/>
      <c r="AY366" s="1174"/>
      <c r="AZ366" s="1174"/>
      <c r="BA366" s="1174"/>
      <c r="BB366" s="1174"/>
      <c r="BC366" s="1174"/>
      <c r="BD366" s="1174"/>
      <c r="BE366" s="1174"/>
      <c r="BG366" s="49"/>
    </row>
    <row r="367" spans="49:59" ht="12" customHeight="1">
      <c r="AW367" s="1174"/>
      <c r="AX367" s="1174"/>
      <c r="AY367" s="1174"/>
      <c r="AZ367" s="1174"/>
      <c r="BA367" s="1174"/>
      <c r="BB367" s="1174"/>
      <c r="BC367" s="1174"/>
      <c r="BD367" s="1174"/>
      <c r="BE367" s="1174"/>
      <c r="BG367" s="49"/>
    </row>
    <row r="368" spans="49:59" ht="12" customHeight="1">
      <c r="AW368" s="1174"/>
      <c r="AX368" s="1174"/>
      <c r="AY368" s="1174"/>
      <c r="AZ368" s="1174"/>
      <c r="BA368" s="1174"/>
      <c r="BB368" s="1174"/>
      <c r="BC368" s="1174"/>
      <c r="BD368" s="1174"/>
      <c r="BE368" s="1174"/>
      <c r="BG368" s="49"/>
    </row>
    <row r="369" spans="49:59" ht="12" customHeight="1">
      <c r="AW369" s="1174"/>
      <c r="AX369" s="1174"/>
      <c r="AY369" s="1174"/>
      <c r="AZ369" s="1174"/>
      <c r="BA369" s="1174"/>
      <c r="BB369" s="1174"/>
      <c r="BC369" s="1174"/>
      <c r="BD369" s="1174"/>
      <c r="BE369" s="1174"/>
      <c r="BG369" s="49"/>
    </row>
    <row r="370" spans="49:59" ht="12" customHeight="1">
      <c r="AW370" s="1174"/>
      <c r="AX370" s="1174"/>
      <c r="AY370" s="1174"/>
      <c r="AZ370" s="1174"/>
      <c r="BA370" s="1174"/>
      <c r="BB370" s="1174"/>
      <c r="BC370" s="1174"/>
      <c r="BD370" s="1174"/>
      <c r="BE370" s="1174"/>
      <c r="BG370" s="49"/>
    </row>
    <row r="371" spans="49:59" ht="12" customHeight="1">
      <c r="AW371" s="1174"/>
      <c r="AX371" s="1174"/>
      <c r="AY371" s="1174"/>
      <c r="AZ371" s="1174"/>
      <c r="BA371" s="1174"/>
      <c r="BB371" s="1174"/>
      <c r="BC371" s="1174"/>
      <c r="BD371" s="1174"/>
      <c r="BE371" s="1174"/>
      <c r="BG371" s="49"/>
    </row>
    <row r="372" spans="49:59" ht="12" customHeight="1">
      <c r="AW372" s="1174"/>
      <c r="AX372" s="1174"/>
      <c r="AY372" s="1174"/>
      <c r="AZ372" s="1174"/>
      <c r="BA372" s="1174"/>
      <c r="BB372" s="1174"/>
      <c r="BC372" s="1174"/>
      <c r="BD372" s="1174"/>
      <c r="BE372" s="1174"/>
      <c r="BG372" s="49"/>
    </row>
    <row r="373" spans="49:59" ht="12" customHeight="1">
      <c r="AW373" s="1174"/>
      <c r="AX373" s="1174"/>
      <c r="AY373" s="1174"/>
      <c r="AZ373" s="1174"/>
      <c r="BA373" s="1174"/>
      <c r="BB373" s="1174"/>
      <c r="BC373" s="1174"/>
      <c r="BD373" s="1174"/>
      <c r="BE373" s="1174"/>
      <c r="BG373" s="49"/>
    </row>
    <row r="374" spans="49:59" ht="12" customHeight="1">
      <c r="AW374" s="1174"/>
      <c r="AX374" s="1174"/>
      <c r="AY374" s="1174"/>
      <c r="AZ374" s="1174"/>
      <c r="BA374" s="1174"/>
      <c r="BB374" s="1174"/>
      <c r="BC374" s="1174"/>
      <c r="BD374" s="1174"/>
      <c r="BE374" s="1174"/>
      <c r="BG374" s="49"/>
    </row>
    <row r="375" spans="49:59" ht="12" customHeight="1">
      <c r="AW375" s="1174"/>
      <c r="AX375" s="1174"/>
      <c r="AY375" s="1174"/>
      <c r="AZ375" s="1174"/>
      <c r="BA375" s="1174"/>
      <c r="BB375" s="1174"/>
      <c r="BC375" s="1174"/>
      <c r="BD375" s="1174"/>
      <c r="BE375" s="1174"/>
      <c r="BG375" s="49"/>
    </row>
    <row r="376" spans="49:59" ht="12" customHeight="1">
      <c r="AW376" s="1174"/>
      <c r="AX376" s="1174"/>
      <c r="AY376" s="1174"/>
      <c r="AZ376" s="1174"/>
      <c r="BA376" s="1174"/>
      <c r="BB376" s="1174"/>
      <c r="BC376" s="1174"/>
      <c r="BD376" s="1174"/>
      <c r="BE376" s="1174"/>
      <c r="BG376" s="49"/>
    </row>
    <row r="377" spans="49:59" ht="12" customHeight="1">
      <c r="AW377" s="1174"/>
      <c r="AX377" s="1174"/>
      <c r="AY377" s="1174"/>
      <c r="AZ377" s="1174"/>
      <c r="BA377" s="1174"/>
      <c r="BB377" s="1174"/>
      <c r="BC377" s="1174"/>
      <c r="BD377" s="1174"/>
      <c r="BE377" s="1174"/>
      <c r="BG377" s="49"/>
    </row>
    <row r="378" spans="49:59" ht="12" customHeight="1">
      <c r="AW378" s="1174"/>
      <c r="AX378" s="1174"/>
      <c r="AY378" s="1174"/>
      <c r="AZ378" s="1174"/>
      <c r="BA378" s="1174"/>
      <c r="BB378" s="1174"/>
      <c r="BC378" s="1174"/>
      <c r="BD378" s="1174"/>
      <c r="BE378" s="1174"/>
      <c r="BG378" s="49"/>
    </row>
    <row r="379" spans="49:59" ht="12" customHeight="1">
      <c r="AW379" s="1174"/>
      <c r="AX379" s="1174"/>
      <c r="AY379" s="1174"/>
      <c r="AZ379" s="1174"/>
      <c r="BA379" s="1174"/>
      <c r="BB379" s="1174"/>
      <c r="BC379" s="1174"/>
      <c r="BD379" s="1174"/>
      <c r="BE379" s="1174"/>
      <c r="BG379" s="49"/>
    </row>
    <row r="380" spans="49:59" ht="12" customHeight="1">
      <c r="AW380" s="1174"/>
      <c r="AX380" s="1174"/>
      <c r="AY380" s="1174"/>
      <c r="AZ380" s="1174"/>
      <c r="BA380" s="1174"/>
      <c r="BB380" s="1174"/>
      <c r="BC380" s="1174"/>
      <c r="BD380" s="1174"/>
      <c r="BE380" s="1174"/>
      <c r="BG380" s="49"/>
    </row>
    <row r="381" spans="49:59" ht="12" customHeight="1">
      <c r="AW381" s="1174"/>
      <c r="AX381" s="1174"/>
      <c r="AY381" s="1174"/>
      <c r="AZ381" s="1174"/>
      <c r="BA381" s="1174"/>
      <c r="BB381" s="1174"/>
      <c r="BC381" s="1174"/>
      <c r="BD381" s="1174"/>
      <c r="BE381" s="1174"/>
      <c r="BG381" s="49"/>
    </row>
    <row r="382" spans="49:59" ht="12" customHeight="1">
      <c r="AW382" s="1174"/>
      <c r="AX382" s="1174"/>
      <c r="AY382" s="1174"/>
      <c r="AZ382" s="1174"/>
      <c r="BA382" s="1174"/>
      <c r="BB382" s="1174"/>
      <c r="BC382" s="1174"/>
      <c r="BD382" s="1174"/>
      <c r="BE382" s="1174"/>
      <c r="BG382" s="49"/>
    </row>
    <row r="383" spans="49:59" ht="12" customHeight="1">
      <c r="AW383" s="1174"/>
      <c r="AX383" s="1174"/>
      <c r="AY383" s="1174"/>
      <c r="AZ383" s="1174"/>
      <c r="BA383" s="1174"/>
      <c r="BB383" s="1174"/>
      <c r="BC383" s="1174"/>
      <c r="BD383" s="1174"/>
      <c r="BE383" s="1174"/>
      <c r="BG383" s="49"/>
    </row>
    <row r="384" spans="49:59" ht="12" customHeight="1">
      <c r="AW384" s="1174"/>
      <c r="AX384" s="1174"/>
      <c r="AY384" s="1174"/>
      <c r="AZ384" s="1174"/>
      <c r="BA384" s="1174"/>
      <c r="BB384" s="1174"/>
      <c r="BC384" s="1174"/>
      <c r="BD384" s="1174"/>
      <c r="BE384" s="1174"/>
      <c r="BG384" s="49"/>
    </row>
    <row r="385" spans="49:59" ht="12" customHeight="1">
      <c r="AW385" s="1174"/>
      <c r="AX385" s="1174"/>
      <c r="AY385" s="1174"/>
      <c r="AZ385" s="1174"/>
      <c r="BA385" s="1174"/>
      <c r="BB385" s="1174"/>
      <c r="BC385" s="1174"/>
      <c r="BD385" s="1174"/>
      <c r="BE385" s="1174"/>
      <c r="BG385" s="49"/>
    </row>
    <row r="386" spans="49:59" ht="12" customHeight="1">
      <c r="AW386" s="1174"/>
      <c r="AX386" s="1174"/>
      <c r="AY386" s="1174"/>
      <c r="AZ386" s="1174"/>
      <c r="BA386" s="1174"/>
      <c r="BB386" s="1174"/>
      <c r="BC386" s="1174"/>
      <c r="BD386" s="1174"/>
      <c r="BE386" s="1174"/>
      <c r="BG386" s="49"/>
    </row>
    <row r="387" spans="49:59" ht="12" customHeight="1">
      <c r="AW387" s="1174"/>
      <c r="AX387" s="1174"/>
      <c r="AY387" s="1174"/>
      <c r="AZ387" s="1174"/>
      <c r="BA387" s="1174"/>
      <c r="BB387" s="1174"/>
      <c r="BC387" s="1174"/>
      <c r="BD387" s="1174"/>
      <c r="BE387" s="1174"/>
      <c r="BG387" s="49"/>
    </row>
    <row r="388" spans="49:59" ht="12" customHeight="1">
      <c r="AW388" s="1174"/>
      <c r="AX388" s="1174"/>
      <c r="AY388" s="1174"/>
      <c r="AZ388" s="1174"/>
      <c r="BA388" s="1174"/>
      <c r="BB388" s="1174"/>
      <c r="BC388" s="1174"/>
      <c r="BD388" s="1174"/>
      <c r="BE388" s="1174"/>
      <c r="BG388" s="49"/>
    </row>
    <row r="389" spans="49:59" ht="12" customHeight="1">
      <c r="AW389" s="1174"/>
      <c r="AX389" s="1174"/>
      <c r="AY389" s="1174"/>
      <c r="AZ389" s="1174"/>
      <c r="BA389" s="1174"/>
      <c r="BB389" s="1174"/>
      <c r="BC389" s="1174"/>
      <c r="BD389" s="1174"/>
      <c r="BE389" s="1174"/>
      <c r="BG389" s="49"/>
    </row>
    <row r="390" spans="49:59" ht="12" customHeight="1">
      <c r="AW390" s="1174"/>
      <c r="AX390" s="1174"/>
      <c r="AY390" s="1174"/>
      <c r="AZ390" s="1174"/>
      <c r="BA390" s="1174"/>
      <c r="BB390" s="1174"/>
      <c r="BC390" s="1174"/>
      <c r="BD390" s="1174"/>
      <c r="BE390" s="1174"/>
      <c r="BG390" s="49"/>
    </row>
    <row r="391" spans="49:59" ht="12" customHeight="1">
      <c r="AW391" s="1174"/>
      <c r="AX391" s="1174"/>
      <c r="AY391" s="1174"/>
      <c r="AZ391" s="1174"/>
      <c r="BA391" s="1174"/>
      <c r="BB391" s="1174"/>
      <c r="BC391" s="1174"/>
      <c r="BD391" s="1174"/>
      <c r="BE391" s="1174"/>
      <c r="BG391" s="49"/>
    </row>
    <row r="392" spans="49:59" ht="12" customHeight="1">
      <c r="AW392" s="1174"/>
      <c r="AX392" s="1174"/>
      <c r="AY392" s="1174"/>
      <c r="AZ392" s="1174"/>
      <c r="BA392" s="1174"/>
      <c r="BB392" s="1174"/>
      <c r="BC392" s="1174"/>
      <c r="BD392" s="1174"/>
      <c r="BE392" s="1174"/>
      <c r="BG392" s="49"/>
    </row>
    <row r="393" spans="49:59" ht="12" customHeight="1">
      <c r="AW393" s="1174"/>
      <c r="AX393" s="1174"/>
      <c r="AY393" s="1174"/>
      <c r="AZ393" s="1174"/>
      <c r="BA393" s="1174"/>
      <c r="BB393" s="1174"/>
      <c r="BC393" s="1174"/>
      <c r="BD393" s="1174"/>
      <c r="BE393" s="1174"/>
      <c r="BG393" s="49"/>
    </row>
    <row r="394" spans="49:59" ht="12" customHeight="1">
      <c r="AW394" s="1174"/>
      <c r="AX394" s="1174"/>
      <c r="AY394" s="1174"/>
      <c r="AZ394" s="1174"/>
      <c r="BA394" s="1174"/>
      <c r="BB394" s="1174"/>
      <c r="BC394" s="1174"/>
      <c r="BD394" s="1174"/>
      <c r="BE394" s="1174"/>
      <c r="BG394" s="49"/>
    </row>
    <row r="395" spans="49:59" ht="12" customHeight="1">
      <c r="AW395" s="1174"/>
      <c r="AX395" s="1174"/>
      <c r="AY395" s="1174"/>
      <c r="AZ395" s="1174"/>
      <c r="BA395" s="1174"/>
      <c r="BB395" s="1174"/>
      <c r="BC395" s="1174"/>
      <c r="BD395" s="1174"/>
      <c r="BE395" s="1174"/>
      <c r="BG395" s="49"/>
    </row>
    <row r="396" spans="49:59" ht="12" customHeight="1">
      <c r="AW396" s="1174"/>
      <c r="AX396" s="1174"/>
      <c r="AY396" s="1174"/>
      <c r="AZ396" s="1174"/>
      <c r="BA396" s="1174"/>
      <c r="BB396" s="1174"/>
      <c r="BC396" s="1174"/>
      <c r="BD396" s="1174"/>
      <c r="BE396" s="1174"/>
      <c r="BG396" s="49"/>
    </row>
    <row r="397" spans="49:59" ht="12" customHeight="1">
      <c r="AW397" s="1174"/>
      <c r="AX397" s="1174"/>
      <c r="AY397" s="1174"/>
      <c r="AZ397" s="1174"/>
      <c r="BA397" s="1174"/>
      <c r="BB397" s="1174"/>
      <c r="BC397" s="1174"/>
      <c r="BD397" s="1174"/>
      <c r="BE397" s="1174"/>
      <c r="BG397" s="49"/>
    </row>
    <row r="398" spans="49:59" ht="12" customHeight="1">
      <c r="AW398" s="1174"/>
      <c r="AX398" s="1174"/>
      <c r="AY398" s="1174"/>
      <c r="AZ398" s="1174"/>
      <c r="BA398" s="1174"/>
      <c r="BB398" s="1174"/>
      <c r="BC398" s="1174"/>
      <c r="BD398" s="1174"/>
      <c r="BE398" s="1174"/>
      <c r="BG398" s="49"/>
    </row>
    <row r="399" spans="49:59" ht="12" customHeight="1">
      <c r="AW399" s="1174"/>
      <c r="AX399" s="1174"/>
      <c r="AY399" s="1174"/>
      <c r="AZ399" s="1174"/>
      <c r="BA399" s="1174"/>
      <c r="BB399" s="1174"/>
      <c r="BC399" s="1174"/>
      <c r="BD399" s="1174"/>
      <c r="BE399" s="1174"/>
      <c r="BG399" s="49"/>
    </row>
    <row r="400" spans="49:59" ht="12" customHeight="1">
      <c r="AW400" s="1174"/>
      <c r="AX400" s="1174"/>
      <c r="AY400" s="1174"/>
      <c r="AZ400" s="1174"/>
      <c r="BA400" s="1174"/>
      <c r="BB400" s="1174"/>
      <c r="BC400" s="1174"/>
      <c r="BD400" s="1174"/>
      <c r="BE400" s="1174"/>
      <c r="BG400" s="49"/>
    </row>
    <row r="401" spans="49:59" ht="12" customHeight="1">
      <c r="AW401" s="1174"/>
      <c r="AX401" s="1174"/>
      <c r="AY401" s="1174"/>
      <c r="AZ401" s="1174"/>
      <c r="BA401" s="1174"/>
      <c r="BB401" s="1174"/>
      <c r="BC401" s="1174"/>
      <c r="BD401" s="1174"/>
      <c r="BE401" s="1174"/>
      <c r="BG401" s="49"/>
    </row>
    <row r="402" spans="49:59" ht="12" customHeight="1">
      <c r="AW402" s="1174"/>
      <c r="AX402" s="1174"/>
      <c r="AY402" s="1174"/>
      <c r="AZ402" s="1174"/>
      <c r="BA402" s="1174"/>
      <c r="BB402" s="1174"/>
      <c r="BC402" s="1174"/>
      <c r="BD402" s="1174"/>
      <c r="BE402" s="1174"/>
      <c r="BG402" s="49"/>
    </row>
    <row r="403" spans="49:59" ht="12" customHeight="1">
      <c r="AW403" s="1174"/>
      <c r="AX403" s="1174"/>
      <c r="AY403" s="1174"/>
      <c r="AZ403" s="1174"/>
      <c r="BA403" s="1174"/>
      <c r="BB403" s="1174"/>
      <c r="BC403" s="1174"/>
      <c r="BD403" s="1174"/>
      <c r="BE403" s="1174"/>
      <c r="BG403" s="49"/>
    </row>
    <row r="404" spans="49:59" ht="12" customHeight="1">
      <c r="AW404" s="1174"/>
      <c r="AX404" s="1174"/>
      <c r="AY404" s="1174"/>
      <c r="AZ404" s="1174"/>
      <c r="BA404" s="1174"/>
      <c r="BB404" s="1174"/>
      <c r="BC404" s="1174"/>
      <c r="BD404" s="1174"/>
      <c r="BE404" s="1174"/>
      <c r="BG404" s="49"/>
    </row>
    <row r="405" spans="49:59" ht="12" customHeight="1">
      <c r="AW405" s="1174"/>
      <c r="AX405" s="1174"/>
      <c r="AY405" s="1174"/>
      <c r="AZ405" s="1174"/>
      <c r="BA405" s="1174"/>
      <c r="BB405" s="1174"/>
      <c r="BC405" s="1174"/>
      <c r="BD405" s="1174"/>
      <c r="BE405" s="1174"/>
      <c r="BG405" s="49"/>
    </row>
    <row r="406" spans="49:59" ht="12" customHeight="1">
      <c r="AW406" s="1174"/>
      <c r="AX406" s="1174"/>
      <c r="AY406" s="1174"/>
      <c r="AZ406" s="1174"/>
      <c r="BA406" s="1174"/>
      <c r="BB406" s="1174"/>
      <c r="BC406" s="1174"/>
      <c r="BD406" s="1174"/>
      <c r="BE406" s="1174"/>
      <c r="BG406" s="49"/>
    </row>
    <row r="407" spans="49:59" ht="12" customHeight="1">
      <c r="AW407" s="1174"/>
      <c r="AX407" s="1174"/>
      <c r="AY407" s="1174"/>
      <c r="AZ407" s="1174"/>
      <c r="BA407" s="1174"/>
      <c r="BB407" s="1174"/>
      <c r="BC407" s="1174"/>
      <c r="BD407" s="1174"/>
      <c r="BE407" s="1174"/>
      <c r="BG407" s="49"/>
    </row>
    <row r="408" spans="49:59" ht="12" customHeight="1">
      <c r="AW408" s="1174"/>
      <c r="AX408" s="1174"/>
      <c r="AY408" s="1174"/>
      <c r="AZ408" s="1174"/>
      <c r="BA408" s="1174"/>
      <c r="BB408" s="1174"/>
      <c r="BC408" s="1174"/>
      <c r="BD408" s="1174"/>
      <c r="BE408" s="1174"/>
      <c r="BG408" s="49"/>
    </row>
    <row r="409" spans="49:59" ht="12" customHeight="1">
      <c r="AW409" s="1174"/>
      <c r="AX409" s="1174"/>
      <c r="AY409" s="1174"/>
      <c r="AZ409" s="1174"/>
      <c r="BA409" s="1174"/>
      <c r="BB409" s="1174"/>
      <c r="BC409" s="1174"/>
      <c r="BD409" s="1174"/>
      <c r="BE409" s="1174"/>
      <c r="BG409" s="49"/>
    </row>
    <row r="410" spans="49:59" ht="12" customHeight="1">
      <c r="AW410" s="1174"/>
      <c r="AX410" s="1174"/>
      <c r="AY410" s="1174"/>
      <c r="AZ410" s="1174"/>
      <c r="BA410" s="1174"/>
      <c r="BB410" s="1174"/>
      <c r="BC410" s="1174"/>
      <c r="BD410" s="1174"/>
      <c r="BE410" s="1174"/>
      <c r="BG410" s="49"/>
    </row>
    <row r="411" spans="49:59" ht="12" customHeight="1">
      <c r="AW411" s="1174"/>
      <c r="AX411" s="1174"/>
      <c r="AY411" s="1174"/>
      <c r="AZ411" s="1174"/>
      <c r="BA411" s="1174"/>
      <c r="BB411" s="1174"/>
      <c r="BC411" s="1174"/>
      <c r="BD411" s="1174"/>
      <c r="BE411" s="1174"/>
      <c r="BG411" s="49"/>
    </row>
    <row r="412" spans="49:59" ht="12" customHeight="1">
      <c r="AW412" s="1174"/>
      <c r="AX412" s="1174"/>
      <c r="AY412" s="1174"/>
      <c r="AZ412" s="1174"/>
      <c r="BA412" s="1174"/>
      <c r="BB412" s="1174"/>
      <c r="BC412" s="1174"/>
      <c r="BD412" s="1174"/>
      <c r="BE412" s="1174"/>
      <c r="BG412" s="49"/>
    </row>
    <row r="413" spans="49:59" ht="12" customHeight="1">
      <c r="AW413" s="1174"/>
      <c r="AX413" s="1174"/>
      <c r="AY413" s="1174"/>
      <c r="AZ413" s="1174"/>
      <c r="BA413" s="1174"/>
      <c r="BB413" s="1174"/>
      <c r="BC413" s="1174"/>
      <c r="BD413" s="1174"/>
      <c r="BE413" s="1174"/>
      <c r="BG413" s="49"/>
    </row>
    <row r="414" spans="49:59" ht="12" customHeight="1">
      <c r="AW414" s="1174"/>
      <c r="AX414" s="1174"/>
      <c r="AY414" s="1174"/>
      <c r="AZ414" s="1174"/>
      <c r="BA414" s="1174"/>
      <c r="BB414" s="1174"/>
      <c r="BC414" s="1174"/>
      <c r="BD414" s="1174"/>
      <c r="BE414" s="1174"/>
      <c r="BG414" s="49"/>
    </row>
    <row r="415" spans="49:59" ht="12" customHeight="1">
      <c r="AW415" s="1174"/>
      <c r="AX415" s="1174"/>
      <c r="AY415" s="1174"/>
      <c r="AZ415" s="1174"/>
      <c r="BA415" s="1174"/>
      <c r="BB415" s="1174"/>
      <c r="BC415" s="1174"/>
      <c r="BD415" s="1174"/>
      <c r="BE415" s="1174"/>
      <c r="BG415" s="49"/>
    </row>
    <row r="416" spans="49:59" ht="12" customHeight="1">
      <c r="AW416" s="1174"/>
      <c r="AX416" s="1174"/>
      <c r="AY416" s="1174"/>
      <c r="AZ416" s="1174"/>
      <c r="BA416" s="1174"/>
      <c r="BB416" s="1174"/>
      <c r="BC416" s="1174"/>
      <c r="BD416" s="1174"/>
      <c r="BE416" s="1174"/>
      <c r="BG416" s="49"/>
    </row>
    <row r="417" spans="49:59" ht="12" customHeight="1">
      <c r="AW417" s="1174"/>
      <c r="AX417" s="1174"/>
      <c r="AY417" s="1174"/>
      <c r="AZ417" s="1174"/>
      <c r="BA417" s="1174"/>
      <c r="BB417" s="1174"/>
      <c r="BC417" s="1174"/>
      <c r="BD417" s="1174"/>
      <c r="BE417" s="1174"/>
      <c r="BG417" s="49"/>
    </row>
    <row r="418" spans="49:59" ht="12" customHeight="1">
      <c r="AW418" s="1174"/>
      <c r="AX418" s="1174"/>
      <c r="AY418" s="1174"/>
      <c r="AZ418" s="1174"/>
      <c r="BA418" s="1174"/>
      <c r="BB418" s="1174"/>
      <c r="BC418" s="1174"/>
      <c r="BD418" s="1174"/>
      <c r="BE418" s="1174"/>
      <c r="BG418" s="49"/>
    </row>
    <row r="419" spans="49:59" ht="12" customHeight="1">
      <c r="AW419" s="1174"/>
      <c r="AX419" s="1174"/>
      <c r="AY419" s="1174"/>
      <c r="AZ419" s="1174"/>
      <c r="BA419" s="1174"/>
      <c r="BB419" s="1174"/>
      <c r="BC419" s="1174"/>
      <c r="BD419" s="1174"/>
      <c r="BE419" s="1174"/>
      <c r="BG419" s="49"/>
    </row>
    <row r="420" spans="49:59" ht="12" customHeight="1">
      <c r="AW420" s="1174"/>
      <c r="AX420" s="1174"/>
      <c r="AY420" s="1174"/>
      <c r="AZ420" s="1174"/>
      <c r="BA420" s="1174"/>
      <c r="BB420" s="1174"/>
      <c r="BC420" s="1174"/>
      <c r="BD420" s="1174"/>
      <c r="BE420" s="1174"/>
      <c r="BG420" s="49"/>
    </row>
    <row r="421" spans="49:59" ht="12" customHeight="1">
      <c r="AW421" s="1174"/>
      <c r="AX421" s="1174"/>
      <c r="AY421" s="1174"/>
      <c r="AZ421" s="1174"/>
      <c r="BA421" s="1174"/>
      <c r="BB421" s="1174"/>
      <c r="BC421" s="1174"/>
      <c r="BD421" s="1174"/>
      <c r="BE421" s="1174"/>
      <c r="BG421" s="49"/>
    </row>
    <row r="422" spans="49:59" ht="12" customHeight="1">
      <c r="AW422" s="1174"/>
      <c r="AX422" s="1174"/>
      <c r="AY422" s="1174"/>
      <c r="AZ422" s="1174"/>
      <c r="BA422" s="1174"/>
      <c r="BB422" s="1174"/>
      <c r="BC422" s="1174"/>
      <c r="BD422" s="1174"/>
      <c r="BE422" s="1174"/>
      <c r="BG422" s="49"/>
    </row>
    <row r="423" spans="49:59" ht="12" customHeight="1">
      <c r="AW423" s="1174"/>
      <c r="AX423" s="1174"/>
      <c r="AY423" s="1174"/>
      <c r="AZ423" s="1174"/>
      <c r="BA423" s="1174"/>
      <c r="BB423" s="1174"/>
      <c r="BC423" s="1174"/>
      <c r="BD423" s="1174"/>
      <c r="BE423" s="1174"/>
      <c r="BG423" s="49"/>
    </row>
    <row r="424" spans="49:59" ht="12" customHeight="1">
      <c r="AW424" s="1174"/>
      <c r="AX424" s="1174"/>
      <c r="AY424" s="1174"/>
      <c r="AZ424" s="1174"/>
      <c r="BA424" s="1174"/>
      <c r="BB424" s="1174"/>
      <c r="BC424" s="1174"/>
      <c r="BD424" s="1174"/>
      <c r="BE424" s="1174"/>
      <c r="BG424" s="49"/>
    </row>
    <row r="425" spans="49:59" ht="12" customHeight="1">
      <c r="AW425" s="1174"/>
      <c r="AX425" s="1174"/>
      <c r="AY425" s="1174"/>
      <c r="AZ425" s="1174"/>
      <c r="BA425" s="1174"/>
      <c r="BB425" s="1174"/>
      <c r="BC425" s="1174"/>
      <c r="BD425" s="1174"/>
      <c r="BE425" s="1174"/>
      <c r="BG425" s="49"/>
    </row>
    <row r="426" spans="49:59" ht="12" customHeight="1">
      <c r="AW426" s="1174"/>
      <c r="AX426" s="1174"/>
      <c r="AY426" s="1174"/>
      <c r="AZ426" s="1174"/>
      <c r="BA426" s="1174"/>
      <c r="BB426" s="1174"/>
      <c r="BC426" s="1174"/>
      <c r="BD426" s="1174"/>
      <c r="BE426" s="1174"/>
      <c r="BG426" s="49"/>
    </row>
    <row r="427" spans="49:59" ht="12" customHeight="1">
      <c r="AW427" s="1174"/>
      <c r="AX427" s="1174"/>
      <c r="AY427" s="1174"/>
      <c r="AZ427" s="1174"/>
      <c r="BA427" s="1174"/>
      <c r="BB427" s="1174"/>
      <c r="BC427" s="1174"/>
      <c r="BD427" s="1174"/>
      <c r="BE427" s="1174"/>
      <c r="BG427" s="49"/>
    </row>
    <row r="428" spans="49:59" ht="12" customHeight="1">
      <c r="AW428" s="1174"/>
      <c r="AX428" s="1174"/>
      <c r="AY428" s="1174"/>
      <c r="AZ428" s="1174"/>
      <c r="BA428" s="1174"/>
      <c r="BB428" s="1174"/>
      <c r="BC428" s="1174"/>
      <c r="BD428" s="1174"/>
      <c r="BE428" s="1174"/>
      <c r="BG428" s="49"/>
    </row>
    <row r="429" spans="49:59" ht="12" customHeight="1">
      <c r="AW429" s="1174"/>
      <c r="AX429" s="1174"/>
      <c r="AY429" s="1174"/>
      <c r="AZ429" s="1174"/>
      <c r="BA429" s="1174"/>
      <c r="BB429" s="1174"/>
      <c r="BC429" s="1174"/>
      <c r="BD429" s="1174"/>
      <c r="BE429" s="1174"/>
      <c r="BG429" s="49"/>
    </row>
    <row r="430" spans="49:59" ht="12" customHeight="1">
      <c r="AW430" s="1174"/>
      <c r="AX430" s="1174"/>
      <c r="AY430" s="1174"/>
      <c r="AZ430" s="1174"/>
      <c r="BA430" s="1174"/>
      <c r="BB430" s="1174"/>
      <c r="BC430" s="1174"/>
      <c r="BD430" s="1174"/>
      <c r="BE430" s="1174"/>
      <c r="BG430" s="49"/>
    </row>
    <row r="431" spans="49:59" ht="12" customHeight="1">
      <c r="AW431" s="1174"/>
      <c r="AX431" s="1174"/>
      <c r="AY431" s="1174"/>
      <c r="AZ431" s="1174"/>
      <c r="BA431" s="1174"/>
      <c r="BB431" s="1174"/>
      <c r="BC431" s="1174"/>
      <c r="BD431" s="1174"/>
      <c r="BE431" s="1174"/>
      <c r="BG431" s="49"/>
    </row>
    <row r="432" spans="49:59" ht="12" customHeight="1">
      <c r="AW432" s="1174"/>
      <c r="AX432" s="1174"/>
      <c r="AY432" s="1174"/>
      <c r="AZ432" s="1174"/>
      <c r="BA432" s="1174"/>
      <c r="BB432" s="1174"/>
      <c r="BC432" s="1174"/>
      <c r="BD432" s="1174"/>
      <c r="BE432" s="1174"/>
      <c r="BG432" s="49"/>
    </row>
    <row r="433" spans="49:59" ht="12" customHeight="1">
      <c r="AW433" s="1174"/>
      <c r="AX433" s="1174"/>
      <c r="AY433" s="1174"/>
      <c r="AZ433" s="1174"/>
      <c r="BA433" s="1174"/>
      <c r="BB433" s="1174"/>
      <c r="BC433" s="1174"/>
      <c r="BD433" s="1174"/>
      <c r="BE433" s="1174"/>
      <c r="BG433" s="49"/>
    </row>
    <row r="434" spans="49:59" ht="12" customHeight="1">
      <c r="AW434" s="1174"/>
      <c r="AX434" s="1174"/>
      <c r="AY434" s="1174"/>
      <c r="AZ434" s="1174"/>
      <c r="BA434" s="1174"/>
      <c r="BB434" s="1174"/>
      <c r="BC434" s="1174"/>
      <c r="BD434" s="1174"/>
      <c r="BE434" s="1174"/>
      <c r="BG434" s="49"/>
    </row>
    <row r="435" spans="49:59" ht="12" customHeight="1">
      <c r="AW435" s="1174"/>
      <c r="AX435" s="1174"/>
      <c r="AY435" s="1174"/>
      <c r="AZ435" s="1174"/>
      <c r="BA435" s="1174"/>
      <c r="BB435" s="1174"/>
      <c r="BC435" s="1174"/>
      <c r="BD435" s="1174"/>
      <c r="BE435" s="1174"/>
      <c r="BG435" s="49"/>
    </row>
    <row r="436" spans="49:59" ht="12" customHeight="1">
      <c r="AW436" s="1174"/>
      <c r="AX436" s="1174"/>
      <c r="AY436" s="1174"/>
      <c r="AZ436" s="1174"/>
      <c r="BA436" s="1174"/>
      <c r="BB436" s="1174"/>
      <c r="BC436" s="1174"/>
      <c r="BD436" s="1174"/>
      <c r="BE436" s="1174"/>
      <c r="BG436" s="49"/>
    </row>
    <row r="437" spans="49:59" ht="12" customHeight="1">
      <c r="AW437" s="1174"/>
      <c r="AX437" s="1174"/>
      <c r="AY437" s="1174"/>
      <c r="AZ437" s="1174"/>
      <c r="BA437" s="1174"/>
      <c r="BB437" s="1174"/>
      <c r="BC437" s="1174"/>
      <c r="BD437" s="1174"/>
      <c r="BE437" s="1174"/>
      <c r="BG437" s="49"/>
    </row>
    <row r="438" spans="49:59" ht="12" customHeight="1">
      <c r="AW438" s="1174"/>
      <c r="AX438" s="1174"/>
      <c r="AY438" s="1174"/>
      <c r="AZ438" s="1174"/>
      <c r="BA438" s="1174"/>
      <c r="BB438" s="1174"/>
      <c r="BC438" s="1174"/>
      <c r="BD438" s="1174"/>
      <c r="BE438" s="1174"/>
      <c r="BG438" s="49"/>
    </row>
    <row r="439" spans="49:59" ht="12" customHeight="1">
      <c r="AW439" s="1174"/>
      <c r="AX439" s="1174"/>
      <c r="AY439" s="1174"/>
      <c r="AZ439" s="1174"/>
      <c r="BA439" s="1174"/>
      <c r="BB439" s="1174"/>
      <c r="BC439" s="1174"/>
      <c r="BD439" s="1174"/>
      <c r="BE439" s="1174"/>
      <c r="BG439" s="49"/>
    </row>
    <row r="440" spans="49:59" ht="12" customHeight="1">
      <c r="AW440" s="1174"/>
      <c r="AX440" s="1174"/>
      <c r="AY440" s="1174"/>
      <c r="AZ440" s="1174"/>
      <c r="BA440" s="1174"/>
      <c r="BB440" s="1174"/>
      <c r="BC440" s="1174"/>
      <c r="BD440" s="1174"/>
      <c r="BE440" s="1174"/>
      <c r="BG440" s="49"/>
    </row>
    <row r="441" spans="49:59" ht="12" customHeight="1">
      <c r="AW441" s="1174"/>
      <c r="AX441" s="1174"/>
      <c r="AY441" s="1174"/>
      <c r="AZ441" s="1174"/>
      <c r="BA441" s="1174"/>
      <c r="BB441" s="1174"/>
      <c r="BC441" s="1174"/>
      <c r="BD441" s="1174"/>
      <c r="BE441" s="1174"/>
      <c r="BG441" s="49"/>
    </row>
    <row r="442" spans="49:59" ht="12" customHeight="1">
      <c r="AW442" s="1174"/>
      <c r="AX442" s="1174"/>
      <c r="AY442" s="1174"/>
      <c r="AZ442" s="1174"/>
      <c r="BA442" s="1174"/>
      <c r="BB442" s="1174"/>
      <c r="BC442" s="1174"/>
      <c r="BD442" s="1174"/>
      <c r="BE442" s="1174"/>
      <c r="BG442" s="49"/>
    </row>
    <row r="443" spans="49:59" ht="12" customHeight="1">
      <c r="AW443" s="1174"/>
      <c r="AX443" s="1174"/>
      <c r="AY443" s="1174"/>
      <c r="AZ443" s="1174"/>
      <c r="BA443" s="1174"/>
      <c r="BB443" s="1174"/>
      <c r="BC443" s="1174"/>
      <c r="BD443" s="1174"/>
      <c r="BE443" s="1174"/>
      <c r="BG443" s="49"/>
    </row>
    <row r="444" spans="49:59" ht="12" customHeight="1">
      <c r="AW444" s="1174"/>
      <c r="AX444" s="1174"/>
      <c r="AY444" s="1174"/>
      <c r="AZ444" s="1174"/>
      <c r="BA444" s="1174"/>
      <c r="BB444" s="1174"/>
      <c r="BC444" s="1174"/>
      <c r="BD444" s="1174"/>
      <c r="BE444" s="1174"/>
      <c r="BG444" s="49"/>
    </row>
    <row r="445" spans="49:59" ht="12" customHeight="1">
      <c r="AW445" s="1174"/>
      <c r="AX445" s="1174"/>
      <c r="AY445" s="1174"/>
      <c r="AZ445" s="1174"/>
      <c r="BA445" s="1174"/>
      <c r="BB445" s="1174"/>
      <c r="BC445" s="1174"/>
      <c r="BD445" s="1174"/>
      <c r="BE445" s="1174"/>
      <c r="BG445" s="49"/>
    </row>
    <row r="446" spans="49:59" ht="12" customHeight="1">
      <c r="AW446" s="1174"/>
      <c r="AX446" s="1174"/>
      <c r="AY446" s="1174"/>
      <c r="AZ446" s="1174"/>
      <c r="BA446" s="1174"/>
      <c r="BB446" s="1174"/>
      <c r="BC446" s="1174"/>
      <c r="BD446" s="1174"/>
      <c r="BE446" s="1174"/>
      <c r="BG446" s="49"/>
    </row>
    <row r="447" spans="49:59" ht="12" customHeight="1">
      <c r="AW447" s="1174"/>
      <c r="AX447" s="1174"/>
      <c r="AY447" s="1174"/>
      <c r="AZ447" s="1174"/>
      <c r="BA447" s="1174"/>
      <c r="BB447" s="1174"/>
      <c r="BC447" s="1174"/>
      <c r="BD447" s="1174"/>
      <c r="BE447" s="1174"/>
      <c r="BG447" s="49"/>
    </row>
    <row r="448" spans="49:59" ht="12" customHeight="1">
      <c r="AW448" s="1174"/>
      <c r="AX448" s="1174"/>
      <c r="AY448" s="1174"/>
      <c r="AZ448" s="1174"/>
      <c r="BA448" s="1174"/>
      <c r="BB448" s="1174"/>
      <c r="BC448" s="1174"/>
      <c r="BD448" s="1174"/>
      <c r="BE448" s="1174"/>
      <c r="BG448" s="49"/>
    </row>
    <row r="449" spans="49:59" ht="12" customHeight="1">
      <c r="AW449" s="1174"/>
      <c r="AX449" s="1174"/>
      <c r="AY449" s="1174"/>
      <c r="AZ449" s="1174"/>
      <c r="BA449" s="1174"/>
      <c r="BB449" s="1174"/>
      <c r="BC449" s="1174"/>
      <c r="BD449" s="1174"/>
      <c r="BE449" s="1174"/>
      <c r="BG449" s="49"/>
    </row>
    <row r="450" spans="49:59" ht="12" customHeight="1">
      <c r="AW450" s="1174"/>
      <c r="AX450" s="1174"/>
      <c r="AY450" s="1174"/>
      <c r="AZ450" s="1174"/>
      <c r="BA450" s="1174"/>
      <c r="BB450" s="1174"/>
      <c r="BC450" s="1174"/>
      <c r="BD450" s="1174"/>
      <c r="BE450" s="1174"/>
      <c r="BG450" s="49"/>
    </row>
    <row r="451" spans="49:59" ht="12" customHeight="1">
      <c r="AW451" s="1174"/>
      <c r="AX451" s="1174"/>
      <c r="AY451" s="1174"/>
      <c r="AZ451" s="1174"/>
      <c r="BA451" s="1174"/>
      <c r="BB451" s="1174"/>
      <c r="BC451" s="1174"/>
      <c r="BD451" s="1174"/>
      <c r="BE451" s="1174"/>
      <c r="BG451" s="49"/>
    </row>
    <row r="452" spans="49:59" ht="12" customHeight="1">
      <c r="AW452" s="1174"/>
      <c r="AX452" s="1174"/>
      <c r="AY452" s="1174"/>
      <c r="AZ452" s="1174"/>
      <c r="BA452" s="1174"/>
      <c r="BB452" s="1174"/>
      <c r="BC452" s="1174"/>
      <c r="BD452" s="1174"/>
      <c r="BE452" s="1174"/>
      <c r="BG452" s="49"/>
    </row>
    <row r="453" spans="49:59" ht="12" customHeight="1">
      <c r="AW453" s="1174"/>
      <c r="AX453" s="1174"/>
      <c r="AY453" s="1174"/>
      <c r="AZ453" s="1174"/>
      <c r="BA453" s="1174"/>
      <c r="BB453" s="1174"/>
      <c r="BC453" s="1174"/>
      <c r="BD453" s="1174"/>
      <c r="BE453" s="1174"/>
      <c r="BG453" s="49"/>
    </row>
    <row r="454" spans="49:59" ht="12" customHeight="1">
      <c r="AW454" s="1174"/>
      <c r="AX454" s="1174"/>
      <c r="AY454" s="1174"/>
      <c r="AZ454" s="1174"/>
      <c r="BA454" s="1174"/>
      <c r="BB454" s="1174"/>
      <c r="BC454" s="1174"/>
      <c r="BD454" s="1174"/>
      <c r="BE454" s="1174"/>
      <c r="BG454" s="49"/>
    </row>
    <row r="455" spans="49:59" ht="12" customHeight="1">
      <c r="AW455" s="1174"/>
      <c r="AX455" s="1174"/>
      <c r="AY455" s="1174"/>
      <c r="AZ455" s="1174"/>
      <c r="BA455" s="1174"/>
      <c r="BB455" s="1174"/>
      <c r="BC455" s="1174"/>
      <c r="BD455" s="1174"/>
      <c r="BE455" s="1174"/>
      <c r="BG455" s="49"/>
    </row>
    <row r="456" spans="49:59" ht="12" customHeight="1">
      <c r="AW456" s="1174"/>
      <c r="AX456" s="1174"/>
      <c r="AY456" s="1174"/>
      <c r="AZ456" s="1174"/>
      <c r="BA456" s="1174"/>
      <c r="BB456" s="1174"/>
      <c r="BC456" s="1174"/>
      <c r="BD456" s="1174"/>
      <c r="BE456" s="1174"/>
      <c r="BG456" s="49"/>
    </row>
    <row r="457" spans="49:59" ht="12" customHeight="1">
      <c r="AW457" s="1174"/>
      <c r="AX457" s="1174"/>
      <c r="AY457" s="1174"/>
      <c r="AZ457" s="1174"/>
      <c r="BA457" s="1174"/>
      <c r="BB457" s="1174"/>
      <c r="BC457" s="1174"/>
      <c r="BD457" s="1174"/>
      <c r="BE457" s="1174"/>
      <c r="BG457" s="49"/>
    </row>
    <row r="458" spans="49:59" ht="12" customHeight="1">
      <c r="AW458" s="1174"/>
      <c r="AX458" s="1174"/>
      <c r="AY458" s="1174"/>
      <c r="AZ458" s="1174"/>
      <c r="BA458" s="1174"/>
      <c r="BB458" s="1174"/>
      <c r="BC458" s="1174"/>
      <c r="BD458" s="1174"/>
      <c r="BE458" s="1174"/>
      <c r="BG458" s="49"/>
    </row>
    <row r="459" spans="49:59" ht="12" customHeight="1">
      <c r="AW459" s="1174"/>
      <c r="AX459" s="1174"/>
      <c r="AY459" s="1174"/>
      <c r="AZ459" s="1174"/>
      <c r="BA459" s="1174"/>
      <c r="BB459" s="1174"/>
      <c r="BC459" s="1174"/>
      <c r="BD459" s="1174"/>
      <c r="BE459" s="1174"/>
      <c r="BG459" s="49"/>
    </row>
    <row r="460" spans="49:59" ht="12" customHeight="1">
      <c r="AW460" s="1174"/>
      <c r="AX460" s="1174"/>
      <c r="AY460" s="1174"/>
      <c r="AZ460" s="1174"/>
      <c r="BA460" s="1174"/>
      <c r="BB460" s="1174"/>
      <c r="BC460" s="1174"/>
      <c r="BD460" s="1174"/>
      <c r="BE460" s="1174"/>
      <c r="BG460" s="49"/>
    </row>
    <row r="461" spans="49:59" ht="12" customHeight="1">
      <c r="AW461" s="1174"/>
      <c r="AX461" s="1174"/>
      <c r="AY461" s="1174"/>
      <c r="AZ461" s="1174"/>
      <c r="BA461" s="1174"/>
      <c r="BB461" s="1174"/>
      <c r="BC461" s="1174"/>
      <c r="BD461" s="1174"/>
      <c r="BE461" s="1174"/>
      <c r="BG461" s="49"/>
    </row>
    <row r="462" spans="49:59" ht="12" customHeight="1">
      <c r="AW462" s="1174"/>
      <c r="AX462" s="1174"/>
      <c r="AY462" s="1174"/>
      <c r="AZ462" s="1174"/>
      <c r="BA462" s="1174"/>
      <c r="BB462" s="1174"/>
      <c r="BC462" s="1174"/>
      <c r="BD462" s="1174"/>
      <c r="BE462" s="1174"/>
      <c r="BG462" s="49"/>
    </row>
    <row r="463" spans="49:59" ht="12" customHeight="1">
      <c r="AW463" s="1174"/>
      <c r="AX463" s="1174"/>
      <c r="AY463" s="1174"/>
      <c r="AZ463" s="1174"/>
      <c r="BA463" s="1174"/>
      <c r="BB463" s="1174"/>
      <c r="BC463" s="1174"/>
      <c r="BD463" s="1174"/>
      <c r="BE463" s="1174"/>
      <c r="BG463" s="49"/>
    </row>
    <row r="464" spans="49:59" ht="12" customHeight="1">
      <c r="AW464" s="1174"/>
      <c r="AX464" s="1174"/>
      <c r="AY464" s="1174"/>
      <c r="AZ464" s="1174"/>
      <c r="BA464" s="1174"/>
      <c r="BB464" s="1174"/>
      <c r="BC464" s="1174"/>
      <c r="BD464" s="1174"/>
      <c r="BE464" s="1174"/>
      <c r="BG464" s="49"/>
    </row>
    <row r="465" spans="49:59" ht="12" customHeight="1">
      <c r="AW465" s="1174"/>
      <c r="AX465" s="1174"/>
      <c r="AY465" s="1174"/>
      <c r="AZ465" s="1174"/>
      <c r="BA465" s="1174"/>
      <c r="BB465" s="1174"/>
      <c r="BC465" s="1174"/>
      <c r="BD465" s="1174"/>
      <c r="BE465" s="1174"/>
      <c r="BG465" s="49"/>
    </row>
    <row r="466" spans="49:59" ht="12" customHeight="1">
      <c r="AW466" s="1174"/>
      <c r="AX466" s="1174"/>
      <c r="AY466" s="1174"/>
      <c r="AZ466" s="1174"/>
      <c r="BA466" s="1174"/>
      <c r="BB466" s="1174"/>
      <c r="BC466" s="1174"/>
      <c r="BD466" s="1174"/>
      <c r="BE466" s="1174"/>
      <c r="BG466" s="49"/>
    </row>
    <row r="467" spans="49:59" ht="12" customHeight="1">
      <c r="AW467" s="1174"/>
      <c r="AX467" s="1174"/>
      <c r="AY467" s="1174"/>
      <c r="AZ467" s="1174"/>
      <c r="BA467" s="1174"/>
      <c r="BB467" s="1174"/>
      <c r="BC467" s="1174"/>
      <c r="BD467" s="1174"/>
      <c r="BE467" s="1174"/>
      <c r="BG467" s="49"/>
    </row>
    <row r="468" spans="49:59" ht="12" customHeight="1">
      <c r="AW468" s="1174"/>
      <c r="AX468" s="1174"/>
      <c r="AY468" s="1174"/>
      <c r="AZ468" s="1174"/>
      <c r="BA468" s="1174"/>
      <c r="BB468" s="1174"/>
      <c r="BC468" s="1174"/>
      <c r="BD468" s="1174"/>
      <c r="BE468" s="1174"/>
      <c r="BG468" s="49"/>
    </row>
    <row r="469" spans="49:59" ht="12" customHeight="1">
      <c r="AW469" s="1174"/>
      <c r="AX469" s="1174"/>
      <c r="AY469" s="1174"/>
      <c r="AZ469" s="1174"/>
      <c r="BA469" s="1174"/>
      <c r="BB469" s="1174"/>
      <c r="BC469" s="1174"/>
      <c r="BD469" s="1174"/>
      <c r="BE469" s="1174"/>
      <c r="BG469" s="49"/>
    </row>
    <row r="470" spans="49:59" ht="12" customHeight="1">
      <c r="AW470" s="1174"/>
      <c r="AX470" s="1174"/>
      <c r="AY470" s="1174"/>
      <c r="AZ470" s="1174"/>
      <c r="BA470" s="1174"/>
      <c r="BB470" s="1174"/>
      <c r="BC470" s="1174"/>
      <c r="BD470" s="1174"/>
      <c r="BE470" s="1174"/>
      <c r="BG470" s="49"/>
    </row>
    <row r="471" spans="49:59" ht="12" customHeight="1">
      <c r="AW471" s="1174"/>
      <c r="AX471" s="1174"/>
      <c r="AY471" s="1174"/>
      <c r="AZ471" s="1174"/>
      <c r="BA471" s="1174"/>
      <c r="BB471" s="1174"/>
      <c r="BC471" s="1174"/>
      <c r="BD471" s="1174"/>
      <c r="BE471" s="1174"/>
      <c r="BG471" s="49"/>
    </row>
    <row r="472" spans="49:59" ht="12" customHeight="1">
      <c r="AW472" s="1174"/>
      <c r="AX472" s="1174"/>
      <c r="AY472" s="1174"/>
      <c r="AZ472" s="1174"/>
      <c r="BA472" s="1174"/>
      <c r="BB472" s="1174"/>
      <c r="BC472" s="1174"/>
      <c r="BD472" s="1174"/>
      <c r="BE472" s="1174"/>
      <c r="BG472" s="49"/>
    </row>
    <row r="473" spans="49:59" ht="12" customHeight="1">
      <c r="AW473" s="1174"/>
      <c r="AX473" s="1174"/>
      <c r="AY473" s="1174"/>
      <c r="AZ473" s="1174"/>
      <c r="BA473" s="1174"/>
      <c r="BB473" s="1174"/>
      <c r="BC473" s="1174"/>
      <c r="BD473" s="1174"/>
      <c r="BE473" s="1174"/>
      <c r="BG473" s="49"/>
    </row>
    <row r="474" spans="49:59" ht="12" customHeight="1">
      <c r="AW474" s="1174"/>
      <c r="AX474" s="1174"/>
      <c r="AY474" s="1174"/>
      <c r="AZ474" s="1174"/>
      <c r="BA474" s="1174"/>
      <c r="BB474" s="1174"/>
      <c r="BC474" s="1174"/>
      <c r="BD474" s="1174"/>
      <c r="BE474" s="1174"/>
      <c r="BG474" s="49"/>
    </row>
    <row r="475" spans="49:59" ht="12" customHeight="1">
      <c r="AW475" s="1174"/>
      <c r="AX475" s="1174"/>
      <c r="AY475" s="1174"/>
      <c r="AZ475" s="1174"/>
      <c r="BA475" s="1174"/>
      <c r="BB475" s="1174"/>
      <c r="BC475" s="1174"/>
      <c r="BD475" s="1174"/>
      <c r="BE475" s="1174"/>
      <c r="BG475" s="49"/>
    </row>
    <row r="476" spans="49:59" ht="12" customHeight="1">
      <c r="AW476" s="1174"/>
      <c r="AX476" s="1174"/>
      <c r="AY476" s="1174"/>
      <c r="AZ476" s="1174"/>
      <c r="BA476" s="1174"/>
      <c r="BB476" s="1174"/>
      <c r="BC476" s="1174"/>
      <c r="BD476" s="1174"/>
      <c r="BE476" s="1174"/>
      <c r="BG476" s="49"/>
    </row>
    <row r="477" spans="49:59" ht="12" customHeight="1">
      <c r="AW477" s="1174"/>
      <c r="AX477" s="1174"/>
      <c r="AY477" s="1174"/>
      <c r="AZ477" s="1174"/>
      <c r="BA477" s="1174"/>
      <c r="BB477" s="1174"/>
      <c r="BC477" s="1174"/>
      <c r="BD477" s="1174"/>
      <c r="BE477" s="1174"/>
      <c r="BG477" s="49"/>
    </row>
    <row r="478" spans="49:59" ht="12" customHeight="1">
      <c r="AW478" s="1174"/>
      <c r="AX478" s="1174"/>
      <c r="AY478" s="1174"/>
      <c r="AZ478" s="1174"/>
      <c r="BA478" s="1174"/>
      <c r="BB478" s="1174"/>
      <c r="BC478" s="1174"/>
      <c r="BD478" s="1174"/>
      <c r="BE478" s="1174"/>
      <c r="BG478" s="49"/>
    </row>
    <row r="479" spans="49:59" ht="12" customHeight="1">
      <c r="AW479" s="1174"/>
      <c r="AX479" s="1174"/>
      <c r="AY479" s="1174"/>
      <c r="AZ479" s="1174"/>
      <c r="BA479" s="1174"/>
      <c r="BB479" s="1174"/>
      <c r="BC479" s="1174"/>
      <c r="BD479" s="1174"/>
      <c r="BE479" s="1174"/>
      <c r="BG479" s="49"/>
    </row>
    <row r="480" spans="49:59" ht="12" customHeight="1">
      <c r="AW480" s="1174"/>
      <c r="AX480" s="1174"/>
      <c r="AY480" s="1174"/>
      <c r="AZ480" s="1174"/>
      <c r="BA480" s="1174"/>
      <c r="BB480" s="1174"/>
      <c r="BC480" s="1174"/>
      <c r="BD480" s="1174"/>
      <c r="BE480" s="1174"/>
      <c r="BG480" s="49"/>
    </row>
    <row r="481" spans="49:59" ht="12" customHeight="1">
      <c r="AW481" s="1174"/>
      <c r="AX481" s="1174"/>
      <c r="AY481" s="1174"/>
      <c r="AZ481" s="1174"/>
      <c r="BA481" s="1174"/>
      <c r="BB481" s="1174"/>
      <c r="BC481" s="1174"/>
      <c r="BD481" s="1174"/>
      <c r="BE481" s="1174"/>
      <c r="BG481" s="49"/>
    </row>
    <row r="482" spans="49:59" ht="12" customHeight="1">
      <c r="AW482" s="1174"/>
      <c r="AX482" s="1174"/>
      <c r="AY482" s="1174"/>
      <c r="AZ482" s="1174"/>
      <c r="BA482" s="1174"/>
      <c r="BB482" s="1174"/>
      <c r="BC482" s="1174"/>
      <c r="BD482" s="1174"/>
      <c r="BE482" s="1174"/>
      <c r="BG482" s="49"/>
    </row>
    <row r="483" spans="49:59" ht="12" customHeight="1">
      <c r="AW483" s="1174"/>
      <c r="AX483" s="1174"/>
      <c r="AY483" s="1174"/>
      <c r="AZ483" s="1174"/>
      <c r="BA483" s="1174"/>
      <c r="BB483" s="1174"/>
      <c r="BC483" s="1174"/>
      <c r="BD483" s="1174"/>
      <c r="BE483" s="1174"/>
      <c r="BG483" s="49"/>
    </row>
    <row r="484" spans="49:59" ht="12" customHeight="1">
      <c r="AW484" s="1174"/>
      <c r="AX484" s="1174"/>
      <c r="AY484" s="1174"/>
      <c r="AZ484" s="1174"/>
      <c r="BA484" s="1174"/>
      <c r="BB484" s="1174"/>
      <c r="BC484" s="1174"/>
      <c r="BD484" s="1174"/>
      <c r="BE484" s="1174"/>
      <c r="BG484" s="49"/>
    </row>
    <row r="485" spans="49:59" ht="12" customHeight="1">
      <c r="AW485" s="1174"/>
      <c r="AX485" s="1174"/>
      <c r="AY485" s="1174"/>
      <c r="AZ485" s="1174"/>
      <c r="BA485" s="1174"/>
      <c r="BB485" s="1174"/>
      <c r="BC485" s="1174"/>
      <c r="BD485" s="1174"/>
      <c r="BE485" s="1174"/>
      <c r="BG485" s="49"/>
    </row>
    <row r="486" spans="49:59" ht="12" customHeight="1">
      <c r="AW486" s="1174"/>
      <c r="AX486" s="1174"/>
      <c r="AY486" s="1174"/>
      <c r="AZ486" s="1174"/>
      <c r="BA486" s="1174"/>
      <c r="BB486" s="1174"/>
      <c r="BC486" s="1174"/>
      <c r="BD486" s="1174"/>
      <c r="BE486" s="1174"/>
      <c r="BG486" s="49"/>
    </row>
    <row r="487" spans="49:59" ht="12" customHeight="1">
      <c r="AW487" s="1174"/>
      <c r="AX487" s="1174"/>
      <c r="AY487" s="1174"/>
      <c r="AZ487" s="1174"/>
      <c r="BA487" s="1174"/>
      <c r="BB487" s="1174"/>
      <c r="BC487" s="1174"/>
      <c r="BD487" s="1174"/>
      <c r="BE487" s="1174"/>
      <c r="BG487" s="49"/>
    </row>
    <row r="488" spans="49:59" ht="12" customHeight="1">
      <c r="AW488" s="1174"/>
      <c r="AX488" s="1174"/>
      <c r="AY488" s="1174"/>
      <c r="AZ488" s="1174"/>
      <c r="BA488" s="1174"/>
      <c r="BB488" s="1174"/>
      <c r="BC488" s="1174"/>
      <c r="BD488" s="1174"/>
      <c r="BE488" s="1174"/>
      <c r="BG488" s="49"/>
    </row>
    <row r="489" spans="49:59" ht="12" customHeight="1">
      <c r="AW489" s="1174"/>
      <c r="AX489" s="1174"/>
      <c r="AY489" s="1174"/>
      <c r="AZ489" s="1174"/>
      <c r="BA489" s="1174"/>
      <c r="BB489" s="1174"/>
      <c r="BC489" s="1174"/>
      <c r="BD489" s="1174"/>
      <c r="BE489" s="1174"/>
      <c r="BG489" s="49"/>
    </row>
    <row r="490" spans="49:59" ht="12" customHeight="1">
      <c r="AW490" s="1174"/>
      <c r="AX490" s="1174"/>
      <c r="AY490" s="1174"/>
      <c r="AZ490" s="1174"/>
      <c r="BA490" s="1174"/>
      <c r="BB490" s="1174"/>
      <c r="BC490" s="1174"/>
      <c r="BD490" s="1174"/>
      <c r="BE490" s="1174"/>
      <c r="BG490" s="49"/>
    </row>
    <row r="491" spans="49:59" ht="12" customHeight="1">
      <c r="AW491" s="1174"/>
      <c r="AX491" s="1174"/>
      <c r="AY491" s="1174"/>
      <c r="AZ491" s="1174"/>
      <c r="BA491" s="1174"/>
      <c r="BB491" s="1174"/>
      <c r="BC491" s="1174"/>
      <c r="BD491" s="1174"/>
      <c r="BE491" s="1174"/>
      <c r="BG491" s="49"/>
    </row>
    <row r="492" spans="49:59" ht="12" customHeight="1">
      <c r="AW492" s="1174"/>
      <c r="AX492" s="1174"/>
      <c r="AY492" s="1174"/>
      <c r="AZ492" s="1174"/>
      <c r="BA492" s="1174"/>
      <c r="BB492" s="1174"/>
      <c r="BC492" s="1174"/>
      <c r="BD492" s="1174"/>
      <c r="BE492" s="1174"/>
      <c r="BG492" s="49"/>
    </row>
    <row r="493" spans="49:59" ht="12" customHeight="1">
      <c r="AW493" s="1174"/>
      <c r="AX493" s="1174"/>
      <c r="AY493" s="1174"/>
      <c r="AZ493" s="1174"/>
      <c r="BA493" s="1174"/>
      <c r="BB493" s="1174"/>
      <c r="BC493" s="1174"/>
      <c r="BD493" s="1174"/>
      <c r="BE493" s="1174"/>
      <c r="BG493" s="49"/>
    </row>
    <row r="494" spans="49:59" ht="12" customHeight="1">
      <c r="AW494" s="1174"/>
      <c r="AX494" s="1174"/>
      <c r="AY494" s="1174"/>
      <c r="AZ494" s="1174"/>
      <c r="BA494" s="1174"/>
      <c r="BB494" s="1174"/>
      <c r="BC494" s="1174"/>
      <c r="BD494" s="1174"/>
      <c r="BE494" s="1174"/>
      <c r="BG494" s="49"/>
    </row>
    <row r="495" spans="49:59" ht="12" customHeight="1">
      <c r="AW495" s="1174"/>
      <c r="AX495" s="1174"/>
      <c r="AY495" s="1174"/>
      <c r="AZ495" s="1174"/>
      <c r="BA495" s="1174"/>
      <c r="BB495" s="1174"/>
      <c r="BC495" s="1174"/>
      <c r="BD495" s="1174"/>
      <c r="BE495" s="1174"/>
      <c r="BG495" s="49"/>
    </row>
    <row r="496" spans="49:59" ht="12" customHeight="1">
      <c r="AW496" s="1174"/>
      <c r="AX496" s="1174"/>
      <c r="AY496" s="1174"/>
      <c r="AZ496" s="1174"/>
      <c r="BA496" s="1174"/>
      <c r="BB496" s="1174"/>
      <c r="BC496" s="1174"/>
      <c r="BD496" s="1174"/>
      <c r="BE496" s="1174"/>
      <c r="BG496" s="49"/>
    </row>
    <row r="497" spans="49:59" ht="12" customHeight="1">
      <c r="AW497" s="1174"/>
      <c r="AX497" s="1174"/>
      <c r="AY497" s="1174"/>
      <c r="AZ497" s="1174"/>
      <c r="BA497" s="1174"/>
      <c r="BB497" s="1174"/>
      <c r="BC497" s="1174"/>
      <c r="BD497" s="1174"/>
      <c r="BE497" s="1174"/>
      <c r="BG497" s="49"/>
    </row>
    <row r="498" spans="49:59" ht="12" customHeight="1">
      <c r="AW498" s="1174"/>
      <c r="AX498" s="1174"/>
      <c r="AY498" s="1174"/>
      <c r="AZ498" s="1174"/>
      <c r="BA498" s="1174"/>
      <c r="BB498" s="1174"/>
      <c r="BC498" s="1174"/>
      <c r="BD498" s="1174"/>
      <c r="BE498" s="1174"/>
      <c r="BG498" s="49"/>
    </row>
    <row r="499" spans="49:59" ht="12" customHeight="1">
      <c r="AW499" s="1174"/>
      <c r="AX499" s="1174"/>
      <c r="AY499" s="1174"/>
      <c r="AZ499" s="1174"/>
      <c r="BA499" s="1174"/>
      <c r="BB499" s="1174"/>
      <c r="BC499" s="1174"/>
      <c r="BD499" s="1174"/>
      <c r="BE499" s="1174"/>
      <c r="BG499" s="49"/>
    </row>
    <row r="500" spans="49:59" ht="12" customHeight="1">
      <c r="AW500" s="1174"/>
      <c r="AX500" s="1174"/>
      <c r="AY500" s="1174"/>
      <c r="AZ500" s="1174"/>
      <c r="BA500" s="1174"/>
      <c r="BB500" s="1174"/>
      <c r="BC500" s="1174"/>
      <c r="BD500" s="1174"/>
      <c r="BE500" s="1174"/>
      <c r="BG500" s="49"/>
    </row>
    <row r="501" spans="49:59" ht="12" customHeight="1">
      <c r="AW501" s="1174"/>
      <c r="AX501" s="1174"/>
      <c r="AY501" s="1174"/>
      <c r="AZ501" s="1174"/>
      <c r="BA501" s="1174"/>
      <c r="BB501" s="1174"/>
      <c r="BC501" s="1174"/>
      <c r="BD501" s="1174"/>
      <c r="BE501" s="1174"/>
      <c r="BG501" s="49"/>
    </row>
    <row r="502" spans="49:59" ht="12" customHeight="1">
      <c r="AW502" s="1174"/>
      <c r="AX502" s="1174"/>
      <c r="AY502" s="1174"/>
      <c r="AZ502" s="1174"/>
      <c r="BA502" s="1174"/>
      <c r="BB502" s="1174"/>
      <c r="BC502" s="1174"/>
      <c r="BD502" s="1174"/>
      <c r="BE502" s="1174"/>
      <c r="BG502" s="49"/>
    </row>
    <row r="503" spans="49:59" ht="12" customHeight="1">
      <c r="AW503" s="1174"/>
      <c r="AX503" s="1174"/>
      <c r="AY503" s="1174"/>
      <c r="AZ503" s="1174"/>
      <c r="BA503" s="1174"/>
      <c r="BB503" s="1174"/>
      <c r="BC503" s="1174"/>
      <c r="BD503" s="1174"/>
      <c r="BE503" s="1174"/>
      <c r="BG503" s="49"/>
    </row>
    <row r="504" spans="49:59" ht="12" customHeight="1">
      <c r="AW504" s="1174"/>
      <c r="AX504" s="1174"/>
      <c r="AY504" s="1174"/>
      <c r="AZ504" s="1174"/>
      <c r="BA504" s="1174"/>
      <c r="BB504" s="1174"/>
      <c r="BC504" s="1174"/>
      <c r="BD504" s="1174"/>
      <c r="BE504" s="1174"/>
      <c r="BG504" s="49"/>
    </row>
    <row r="505" spans="49:59" ht="12" customHeight="1">
      <c r="AW505" s="1174"/>
      <c r="AX505" s="1174"/>
      <c r="AY505" s="1174"/>
      <c r="AZ505" s="1174"/>
      <c r="BA505" s="1174"/>
      <c r="BB505" s="1174"/>
      <c r="BC505" s="1174"/>
      <c r="BD505" s="1174"/>
      <c r="BE505" s="1174"/>
      <c r="BG505" s="49"/>
    </row>
    <row r="506" spans="49:59" ht="12" customHeight="1">
      <c r="AW506" s="1174"/>
      <c r="AX506" s="1174"/>
      <c r="AY506" s="1174"/>
      <c r="AZ506" s="1174"/>
      <c r="BA506" s="1174"/>
      <c r="BB506" s="1174"/>
      <c r="BC506" s="1174"/>
      <c r="BD506" s="1174"/>
      <c r="BE506" s="1174"/>
      <c r="BG506" s="49"/>
    </row>
    <row r="507" spans="49:59" ht="12" customHeight="1">
      <c r="AW507" s="1174"/>
      <c r="AX507" s="1174"/>
      <c r="AY507" s="1174"/>
      <c r="AZ507" s="1174"/>
      <c r="BA507" s="1174"/>
      <c r="BB507" s="1174"/>
      <c r="BC507" s="1174"/>
      <c r="BD507" s="1174"/>
      <c r="BE507" s="1174"/>
      <c r="BG507" s="49"/>
    </row>
    <row r="508" spans="49:59" ht="12" customHeight="1">
      <c r="AW508" s="1174"/>
      <c r="AX508" s="1174"/>
      <c r="AY508" s="1174"/>
      <c r="AZ508" s="1174"/>
      <c r="BA508" s="1174"/>
      <c r="BB508" s="1174"/>
      <c r="BC508" s="1174"/>
      <c r="BD508" s="1174"/>
      <c r="BE508" s="1174"/>
      <c r="BG508" s="49"/>
    </row>
    <row r="509" spans="49:59" ht="12" customHeight="1">
      <c r="AW509" s="1174"/>
      <c r="AX509" s="1174"/>
      <c r="AY509" s="1174"/>
      <c r="AZ509" s="1174"/>
      <c r="BA509" s="1174"/>
      <c r="BB509" s="1174"/>
      <c r="BC509" s="1174"/>
      <c r="BD509" s="1174"/>
      <c r="BE509" s="1174"/>
      <c r="BG509" s="49"/>
    </row>
    <row r="510" spans="49:59" ht="12" customHeight="1">
      <c r="AW510" s="1174"/>
      <c r="AX510" s="1174"/>
      <c r="AY510" s="1174"/>
      <c r="AZ510" s="1174"/>
      <c r="BA510" s="1174"/>
      <c r="BB510" s="1174"/>
      <c r="BC510" s="1174"/>
      <c r="BD510" s="1174"/>
      <c r="BE510" s="1174"/>
      <c r="BG510" s="49"/>
    </row>
    <row r="511" spans="49:59" ht="12" customHeight="1">
      <c r="AW511" s="1174"/>
      <c r="AX511" s="1174"/>
      <c r="AY511" s="1174"/>
      <c r="AZ511" s="1174"/>
      <c r="BA511" s="1174"/>
      <c r="BB511" s="1174"/>
      <c r="BC511" s="1174"/>
      <c r="BD511" s="1174"/>
      <c r="BE511" s="1174"/>
      <c r="BG511" s="49"/>
    </row>
    <row r="512" spans="49:59" ht="12" customHeight="1">
      <c r="AW512" s="1174"/>
      <c r="AX512" s="1174"/>
      <c r="AY512" s="1174"/>
      <c r="AZ512" s="1174"/>
      <c r="BA512" s="1174"/>
      <c r="BB512" s="1174"/>
      <c r="BC512" s="1174"/>
      <c r="BD512" s="1174"/>
      <c r="BE512" s="1174"/>
      <c r="BG512" s="49"/>
    </row>
    <row r="513" spans="49:59" ht="12" customHeight="1">
      <c r="AW513" s="1174"/>
      <c r="AX513" s="1174"/>
      <c r="AY513" s="1174"/>
      <c r="AZ513" s="1174"/>
      <c r="BA513" s="1174"/>
      <c r="BB513" s="1174"/>
      <c r="BC513" s="1174"/>
      <c r="BD513" s="1174"/>
      <c r="BE513" s="1174"/>
      <c r="BG513" s="49"/>
    </row>
    <row r="514" spans="49:59" ht="12" customHeight="1">
      <c r="AW514" s="1174"/>
      <c r="AX514" s="1174"/>
      <c r="AY514" s="1174"/>
      <c r="AZ514" s="1174"/>
      <c r="BA514" s="1174"/>
      <c r="BB514" s="1174"/>
      <c r="BC514" s="1174"/>
      <c r="BD514" s="1174"/>
      <c r="BE514" s="1174"/>
      <c r="BG514" s="49"/>
    </row>
    <row r="515" spans="49:59" ht="12" customHeight="1">
      <c r="AW515" s="1174"/>
      <c r="AX515" s="1174"/>
      <c r="AY515" s="1174"/>
      <c r="AZ515" s="1174"/>
      <c r="BA515" s="1174"/>
      <c r="BB515" s="1174"/>
      <c r="BC515" s="1174"/>
      <c r="BD515" s="1174"/>
      <c r="BE515" s="1174"/>
      <c r="BG515" s="49"/>
    </row>
    <row r="516" spans="49:59" ht="12" customHeight="1">
      <c r="AW516" s="1174"/>
      <c r="AX516" s="1174"/>
      <c r="AY516" s="1174"/>
      <c r="AZ516" s="1174"/>
      <c r="BA516" s="1174"/>
      <c r="BB516" s="1174"/>
      <c r="BC516" s="1174"/>
      <c r="BD516" s="1174"/>
      <c r="BE516" s="1174"/>
      <c r="BG516" s="49"/>
    </row>
    <row r="517" spans="49:59" ht="12" customHeight="1">
      <c r="AW517" s="1174"/>
      <c r="AX517" s="1174"/>
      <c r="AY517" s="1174"/>
      <c r="AZ517" s="1174"/>
      <c r="BA517" s="1174"/>
      <c r="BB517" s="1174"/>
      <c r="BC517" s="1174"/>
      <c r="BD517" s="1174"/>
      <c r="BE517" s="1174"/>
      <c r="BG517" s="49"/>
    </row>
    <row r="518" spans="49:59" ht="12" customHeight="1">
      <c r="AW518" s="1174"/>
      <c r="AX518" s="1174"/>
      <c r="AY518" s="1174"/>
      <c r="AZ518" s="1174"/>
      <c r="BA518" s="1174"/>
      <c r="BB518" s="1174"/>
      <c r="BC518" s="1174"/>
      <c r="BD518" s="1174"/>
      <c r="BE518" s="1174"/>
      <c r="BG518" s="49"/>
    </row>
    <row r="519" spans="49:59" ht="12" customHeight="1">
      <c r="AW519" s="1174"/>
      <c r="AX519" s="1174"/>
      <c r="AY519" s="1174"/>
      <c r="AZ519" s="1174"/>
      <c r="BA519" s="1174"/>
      <c r="BB519" s="1174"/>
      <c r="BC519" s="1174"/>
      <c r="BD519" s="1174"/>
      <c r="BE519" s="1174"/>
      <c r="BG519" s="49"/>
    </row>
    <row r="520" spans="49:59" ht="12" customHeight="1">
      <c r="AW520" s="1174"/>
      <c r="AX520" s="1174"/>
      <c r="AY520" s="1174"/>
      <c r="AZ520" s="1174"/>
      <c r="BA520" s="1174"/>
      <c r="BB520" s="1174"/>
      <c r="BC520" s="1174"/>
      <c r="BD520" s="1174"/>
      <c r="BE520" s="1174"/>
      <c r="BG520" s="49"/>
    </row>
    <row r="521" spans="49:59" ht="12" customHeight="1">
      <c r="AW521" s="1174"/>
      <c r="AX521" s="1174"/>
      <c r="AY521" s="1174"/>
      <c r="AZ521" s="1174"/>
      <c r="BA521" s="1174"/>
      <c r="BB521" s="1174"/>
      <c r="BC521" s="1174"/>
      <c r="BD521" s="1174"/>
      <c r="BE521" s="1174"/>
      <c r="BG521" s="49"/>
    </row>
    <row r="522" spans="49:59" ht="12" customHeight="1">
      <c r="AW522" s="1174"/>
      <c r="AX522" s="1174"/>
      <c r="AY522" s="1174"/>
      <c r="AZ522" s="1174"/>
      <c r="BA522" s="1174"/>
      <c r="BB522" s="1174"/>
      <c r="BC522" s="1174"/>
      <c r="BD522" s="1174"/>
      <c r="BE522" s="1174"/>
      <c r="BG522" s="49"/>
    </row>
    <row r="523" spans="49:59" ht="12" customHeight="1">
      <c r="AW523" s="1174"/>
      <c r="AX523" s="1174"/>
      <c r="AY523" s="1174"/>
      <c r="AZ523" s="1174"/>
      <c r="BA523" s="1174"/>
      <c r="BB523" s="1174"/>
      <c r="BC523" s="1174"/>
      <c r="BD523" s="1174"/>
      <c r="BE523" s="1174"/>
      <c r="BG523" s="49"/>
    </row>
    <row r="524" spans="49:59" ht="12" customHeight="1">
      <c r="AW524" s="1174"/>
      <c r="AX524" s="1174"/>
      <c r="AY524" s="1174"/>
      <c r="AZ524" s="1174"/>
      <c r="BA524" s="1174"/>
      <c r="BB524" s="1174"/>
      <c r="BC524" s="1174"/>
      <c r="BD524" s="1174"/>
      <c r="BE524" s="1174"/>
      <c r="BG524" s="49"/>
    </row>
    <row r="525" spans="49:59" ht="12" customHeight="1">
      <c r="AW525" s="1174"/>
      <c r="AX525" s="1174"/>
      <c r="AY525" s="1174"/>
      <c r="AZ525" s="1174"/>
      <c r="BA525" s="1174"/>
      <c r="BB525" s="1174"/>
      <c r="BC525" s="1174"/>
      <c r="BD525" s="1174"/>
      <c r="BE525" s="1174"/>
      <c r="BG525" s="49"/>
    </row>
    <row r="526" spans="49:59" ht="12" customHeight="1">
      <c r="AW526" s="1174"/>
      <c r="AX526" s="1174"/>
      <c r="AY526" s="1174"/>
      <c r="AZ526" s="1174"/>
      <c r="BA526" s="1174"/>
      <c r="BB526" s="1174"/>
      <c r="BC526" s="1174"/>
      <c r="BD526" s="1174"/>
      <c r="BE526" s="1174"/>
      <c r="BG526" s="49"/>
    </row>
    <row r="527" spans="49:59" ht="12" customHeight="1">
      <c r="AW527" s="1174"/>
      <c r="AX527" s="1174"/>
      <c r="AY527" s="1174"/>
      <c r="AZ527" s="1174"/>
      <c r="BA527" s="1174"/>
      <c r="BB527" s="1174"/>
      <c r="BC527" s="1174"/>
      <c r="BD527" s="1174"/>
      <c r="BE527" s="1174"/>
      <c r="BG527" s="49"/>
    </row>
    <row r="528" spans="49:59" ht="12" customHeight="1">
      <c r="AW528" s="1174"/>
      <c r="AX528" s="1174"/>
      <c r="AY528" s="1174"/>
      <c r="AZ528" s="1174"/>
      <c r="BA528" s="1174"/>
      <c r="BB528" s="1174"/>
      <c r="BC528" s="1174"/>
      <c r="BD528" s="1174"/>
      <c r="BE528" s="1174"/>
      <c r="BG528" s="49"/>
    </row>
    <row r="529" spans="49:59" ht="12" customHeight="1">
      <c r="AW529" s="1174"/>
      <c r="AX529" s="1174"/>
      <c r="AY529" s="1174"/>
      <c r="AZ529" s="1174"/>
      <c r="BA529" s="1174"/>
      <c r="BB529" s="1174"/>
      <c r="BC529" s="1174"/>
      <c r="BD529" s="1174"/>
      <c r="BE529" s="1174"/>
      <c r="BG529" s="49"/>
    </row>
    <row r="530" spans="49:59" ht="12" customHeight="1">
      <c r="AW530" s="1174"/>
      <c r="AX530" s="1174"/>
      <c r="AY530" s="1174"/>
      <c r="AZ530" s="1174"/>
      <c r="BA530" s="1174"/>
      <c r="BB530" s="1174"/>
      <c r="BC530" s="1174"/>
      <c r="BD530" s="1174"/>
      <c r="BE530" s="1174"/>
      <c r="BG530" s="49"/>
    </row>
    <row r="531" spans="49:59" ht="12" customHeight="1">
      <c r="AW531" s="1174"/>
      <c r="AX531" s="1174"/>
      <c r="AY531" s="1174"/>
      <c r="AZ531" s="1174"/>
      <c r="BA531" s="1174"/>
      <c r="BB531" s="1174"/>
      <c r="BC531" s="1174"/>
      <c r="BD531" s="1174"/>
      <c r="BE531" s="1174"/>
      <c r="BG531" s="49"/>
    </row>
    <row r="532" spans="49:59" ht="12" customHeight="1">
      <c r="AW532" s="1174"/>
      <c r="AX532" s="1174"/>
      <c r="AY532" s="1174"/>
      <c r="AZ532" s="1174"/>
      <c r="BA532" s="1174"/>
      <c r="BB532" s="1174"/>
      <c r="BC532" s="1174"/>
      <c r="BD532" s="1174"/>
      <c r="BE532" s="1174"/>
      <c r="BG532" s="49"/>
    </row>
    <row r="533" spans="49:59" ht="12" customHeight="1">
      <c r="AW533" s="1174"/>
      <c r="AX533" s="1174"/>
      <c r="AY533" s="1174"/>
      <c r="AZ533" s="1174"/>
      <c r="BA533" s="1174"/>
      <c r="BB533" s="1174"/>
      <c r="BC533" s="1174"/>
      <c r="BD533" s="1174"/>
      <c r="BE533" s="1174"/>
      <c r="BG533" s="49"/>
    </row>
    <row r="534" spans="49:59" ht="12" customHeight="1">
      <c r="AW534" s="1174"/>
      <c r="AX534" s="1174"/>
      <c r="AY534" s="1174"/>
      <c r="AZ534" s="1174"/>
      <c r="BA534" s="1174"/>
      <c r="BB534" s="1174"/>
      <c r="BC534" s="1174"/>
      <c r="BD534" s="1174"/>
      <c r="BE534" s="1174"/>
      <c r="BG534" s="49"/>
    </row>
    <row r="535" spans="49:59" ht="12" customHeight="1">
      <c r="AW535" s="1174"/>
      <c r="AX535" s="1174"/>
      <c r="AY535" s="1174"/>
      <c r="AZ535" s="1174"/>
      <c r="BA535" s="1174"/>
      <c r="BB535" s="1174"/>
      <c r="BC535" s="1174"/>
      <c r="BD535" s="1174"/>
      <c r="BE535" s="1174"/>
      <c r="BG535" s="49"/>
    </row>
    <row r="536" spans="49:59" ht="12" customHeight="1">
      <c r="AW536" s="1174"/>
      <c r="AX536" s="1174"/>
      <c r="AY536" s="1174"/>
      <c r="AZ536" s="1174"/>
      <c r="BA536" s="1174"/>
      <c r="BB536" s="1174"/>
      <c r="BC536" s="1174"/>
      <c r="BD536" s="1174"/>
      <c r="BE536" s="1174"/>
      <c r="BG536" s="49"/>
    </row>
    <row r="537" spans="49:59" ht="12" customHeight="1">
      <c r="AW537" s="1174"/>
      <c r="AX537" s="1174"/>
      <c r="AY537" s="1174"/>
      <c r="AZ537" s="1174"/>
      <c r="BA537" s="1174"/>
      <c r="BB537" s="1174"/>
      <c r="BC537" s="1174"/>
      <c r="BD537" s="1174"/>
      <c r="BE537" s="1174"/>
      <c r="BG537" s="49"/>
    </row>
    <row r="538" spans="49:59" ht="12" customHeight="1">
      <c r="AW538" s="1174"/>
      <c r="AX538" s="1174"/>
      <c r="AY538" s="1174"/>
      <c r="AZ538" s="1174"/>
      <c r="BA538" s="1174"/>
      <c r="BB538" s="1174"/>
      <c r="BC538" s="1174"/>
      <c r="BD538" s="1174"/>
      <c r="BE538" s="1174"/>
      <c r="BG538" s="49"/>
    </row>
    <row r="539" spans="49:59" ht="12" customHeight="1">
      <c r="AW539" s="1174"/>
      <c r="AX539" s="1174"/>
      <c r="AY539" s="1174"/>
      <c r="AZ539" s="1174"/>
      <c r="BA539" s="1174"/>
      <c r="BB539" s="1174"/>
      <c r="BC539" s="1174"/>
      <c r="BD539" s="1174"/>
      <c r="BE539" s="1174"/>
      <c r="BG539" s="49"/>
    </row>
    <row r="540" spans="49:59" ht="12" customHeight="1">
      <c r="AW540" s="1174"/>
      <c r="AX540" s="1174"/>
      <c r="AY540" s="1174"/>
      <c r="AZ540" s="1174"/>
      <c r="BA540" s="1174"/>
      <c r="BB540" s="1174"/>
      <c r="BC540" s="1174"/>
      <c r="BD540" s="1174"/>
      <c r="BE540" s="1174"/>
      <c r="BG540" s="49"/>
    </row>
    <row r="541" spans="49:59" ht="12" customHeight="1">
      <c r="AW541" s="1174"/>
      <c r="AX541" s="1174"/>
      <c r="AY541" s="1174"/>
      <c r="AZ541" s="1174"/>
      <c r="BA541" s="1174"/>
      <c r="BB541" s="1174"/>
      <c r="BC541" s="1174"/>
      <c r="BD541" s="1174"/>
      <c r="BE541" s="1174"/>
      <c r="BG541" s="49"/>
    </row>
    <row r="542" spans="49:59" ht="12" customHeight="1">
      <c r="AW542" s="1174"/>
      <c r="AX542" s="1174"/>
      <c r="AY542" s="1174"/>
      <c r="AZ542" s="1174"/>
      <c r="BA542" s="1174"/>
      <c r="BB542" s="1174"/>
      <c r="BC542" s="1174"/>
      <c r="BD542" s="1174"/>
      <c r="BE542" s="1174"/>
      <c r="BG542" s="49"/>
    </row>
    <row r="543" spans="49:59" ht="12" customHeight="1">
      <c r="AW543" s="1174"/>
      <c r="AX543" s="1174"/>
      <c r="AY543" s="1174"/>
      <c r="AZ543" s="1174"/>
      <c r="BA543" s="1174"/>
      <c r="BB543" s="1174"/>
      <c r="BC543" s="1174"/>
      <c r="BD543" s="1174"/>
      <c r="BE543" s="1174"/>
      <c r="BG543" s="49"/>
    </row>
    <row r="544" spans="49:59" ht="12" customHeight="1">
      <c r="AW544" s="1174"/>
      <c r="AX544" s="1174"/>
      <c r="AY544" s="1174"/>
      <c r="AZ544" s="1174"/>
      <c r="BA544" s="1174"/>
      <c r="BB544" s="1174"/>
      <c r="BC544" s="1174"/>
      <c r="BD544" s="1174"/>
      <c r="BE544" s="1174"/>
      <c r="BG544" s="49"/>
    </row>
    <row r="545" spans="49:59" ht="12" customHeight="1">
      <c r="AW545" s="1174"/>
      <c r="AX545" s="1174"/>
      <c r="AY545" s="1174"/>
      <c r="AZ545" s="1174"/>
      <c r="BA545" s="1174"/>
      <c r="BB545" s="1174"/>
      <c r="BC545" s="1174"/>
      <c r="BD545" s="1174"/>
      <c r="BE545" s="1174"/>
      <c r="BG545" s="49"/>
    </row>
    <row r="546" spans="49:59" ht="12" customHeight="1">
      <c r="AW546" s="1174"/>
      <c r="AX546" s="1174"/>
      <c r="AY546" s="1174"/>
      <c r="AZ546" s="1174"/>
      <c r="BA546" s="1174"/>
      <c r="BB546" s="1174"/>
      <c r="BC546" s="1174"/>
      <c r="BD546" s="1174"/>
      <c r="BE546" s="1174"/>
      <c r="BG546" s="49"/>
    </row>
    <row r="547" spans="49:59" ht="12" customHeight="1">
      <c r="AW547" s="1174"/>
      <c r="AX547" s="1174"/>
      <c r="AY547" s="1174"/>
      <c r="AZ547" s="1174"/>
      <c r="BA547" s="1174"/>
      <c r="BB547" s="1174"/>
      <c r="BC547" s="1174"/>
      <c r="BD547" s="1174"/>
      <c r="BE547" s="1174"/>
      <c r="BG547" s="49"/>
    </row>
    <row r="548" spans="49:59" ht="12" customHeight="1">
      <c r="AW548" s="1174"/>
      <c r="AX548" s="1174"/>
      <c r="AY548" s="1174"/>
      <c r="AZ548" s="1174"/>
      <c r="BA548" s="1174"/>
      <c r="BB548" s="1174"/>
      <c r="BC548" s="1174"/>
      <c r="BD548" s="1174"/>
      <c r="BE548" s="1174"/>
      <c r="BG548" s="49"/>
    </row>
    <row r="549" spans="49:59" ht="12" customHeight="1">
      <c r="AW549" s="1174"/>
      <c r="AX549" s="1174"/>
      <c r="AY549" s="1174"/>
      <c r="AZ549" s="1174"/>
      <c r="BA549" s="1174"/>
      <c r="BB549" s="1174"/>
      <c r="BC549" s="1174"/>
      <c r="BD549" s="1174"/>
      <c r="BE549" s="1174"/>
      <c r="BG549" s="49"/>
    </row>
    <row r="550" spans="49:59" ht="12" customHeight="1">
      <c r="AW550" s="1174"/>
      <c r="AX550" s="1174"/>
      <c r="AY550" s="1174"/>
      <c r="AZ550" s="1174"/>
      <c r="BA550" s="1174"/>
      <c r="BB550" s="1174"/>
      <c r="BC550" s="1174"/>
      <c r="BD550" s="1174"/>
      <c r="BE550" s="1174"/>
      <c r="BG550" s="49"/>
    </row>
    <row r="551" spans="49:59" ht="12" customHeight="1">
      <c r="AW551" s="1174"/>
      <c r="AX551" s="1174"/>
      <c r="AY551" s="1174"/>
      <c r="AZ551" s="1174"/>
      <c r="BA551" s="1174"/>
      <c r="BB551" s="1174"/>
      <c r="BC551" s="1174"/>
      <c r="BD551" s="1174"/>
      <c r="BE551" s="1174"/>
      <c r="BG551" s="49"/>
    </row>
    <row r="552" spans="49:59" ht="12" customHeight="1">
      <c r="AW552" s="1174"/>
      <c r="AX552" s="1174"/>
      <c r="AY552" s="1174"/>
      <c r="AZ552" s="1174"/>
      <c r="BA552" s="1174"/>
      <c r="BB552" s="1174"/>
      <c r="BC552" s="1174"/>
      <c r="BD552" s="1174"/>
      <c r="BE552" s="1174"/>
      <c r="BG552" s="49"/>
    </row>
    <row r="553" spans="49:59" ht="12" customHeight="1">
      <c r="AW553" s="1174"/>
      <c r="AX553" s="1174"/>
      <c r="AY553" s="1174"/>
      <c r="AZ553" s="1174"/>
      <c r="BA553" s="1174"/>
      <c r="BB553" s="1174"/>
      <c r="BC553" s="1174"/>
      <c r="BD553" s="1174"/>
      <c r="BE553" s="1174"/>
      <c r="BG553" s="49"/>
    </row>
    <row r="554" spans="49:59" ht="12" customHeight="1">
      <c r="AW554" s="1174"/>
      <c r="AX554" s="1174"/>
      <c r="AY554" s="1174"/>
      <c r="AZ554" s="1174"/>
      <c r="BA554" s="1174"/>
      <c r="BB554" s="1174"/>
      <c r="BC554" s="1174"/>
      <c r="BD554" s="1174"/>
      <c r="BE554" s="1174"/>
      <c r="BG554" s="49"/>
    </row>
    <row r="555" spans="49:59" ht="12" customHeight="1">
      <c r="AW555" s="1174"/>
      <c r="AX555" s="1174"/>
      <c r="AY555" s="1174"/>
      <c r="AZ555" s="1174"/>
      <c r="BA555" s="1174"/>
      <c r="BB555" s="1174"/>
      <c r="BC555" s="1174"/>
      <c r="BD555" s="1174"/>
      <c r="BE555" s="1174"/>
      <c r="BG555" s="49"/>
    </row>
    <row r="556" spans="49:59" ht="12" customHeight="1">
      <c r="AW556" s="1174"/>
      <c r="AX556" s="1174"/>
      <c r="AY556" s="1174"/>
      <c r="AZ556" s="1174"/>
      <c r="BA556" s="1174"/>
      <c r="BB556" s="1174"/>
      <c r="BC556" s="1174"/>
      <c r="BD556" s="1174"/>
      <c r="BE556" s="1174"/>
      <c r="BG556" s="49"/>
    </row>
    <row r="557" spans="49:59" ht="12" customHeight="1">
      <c r="AW557" s="1174"/>
      <c r="AX557" s="1174"/>
      <c r="AY557" s="1174"/>
      <c r="AZ557" s="1174"/>
      <c r="BA557" s="1174"/>
      <c r="BB557" s="1174"/>
      <c r="BC557" s="1174"/>
      <c r="BD557" s="1174"/>
      <c r="BE557" s="1174"/>
      <c r="BG557" s="49"/>
    </row>
    <row r="558" spans="49:59" ht="12" customHeight="1">
      <c r="AW558" s="1174"/>
      <c r="AX558" s="1174"/>
      <c r="AY558" s="1174"/>
      <c r="AZ558" s="1174"/>
      <c r="BA558" s="1174"/>
      <c r="BB558" s="1174"/>
      <c r="BC558" s="1174"/>
      <c r="BD558" s="1174"/>
      <c r="BE558" s="1174"/>
      <c r="BG558" s="49"/>
    </row>
    <row r="559" spans="49:59" ht="12" customHeight="1">
      <c r="AW559" s="1174"/>
      <c r="AX559" s="1174"/>
      <c r="AY559" s="1174"/>
      <c r="AZ559" s="1174"/>
      <c r="BA559" s="1174"/>
      <c r="BB559" s="1174"/>
      <c r="BC559" s="1174"/>
      <c r="BD559" s="1174"/>
      <c r="BE559" s="1174"/>
      <c r="BG559" s="49"/>
    </row>
    <row r="560" spans="49:59" ht="12" customHeight="1">
      <c r="AW560" s="1174"/>
      <c r="AX560" s="1174"/>
      <c r="AY560" s="1174"/>
      <c r="AZ560" s="1174"/>
      <c r="BA560" s="1174"/>
      <c r="BB560" s="1174"/>
      <c r="BC560" s="1174"/>
      <c r="BD560" s="1174"/>
      <c r="BE560" s="1174"/>
      <c r="BG560" s="49"/>
    </row>
    <row r="561" spans="49:59" ht="12" customHeight="1">
      <c r="AW561" s="1174"/>
      <c r="AX561" s="1174"/>
      <c r="AY561" s="1174"/>
      <c r="AZ561" s="1174"/>
      <c r="BA561" s="1174"/>
      <c r="BB561" s="1174"/>
      <c r="BC561" s="1174"/>
      <c r="BD561" s="1174"/>
      <c r="BE561" s="1174"/>
      <c r="BG561" s="49"/>
    </row>
    <row r="562" spans="49:59" ht="12" customHeight="1">
      <c r="AW562" s="1174"/>
      <c r="AX562" s="1174"/>
      <c r="AY562" s="1174"/>
      <c r="AZ562" s="1174"/>
      <c r="BA562" s="1174"/>
      <c r="BB562" s="1174"/>
      <c r="BC562" s="1174"/>
      <c r="BD562" s="1174"/>
      <c r="BE562" s="1174"/>
      <c r="BG562" s="49"/>
    </row>
    <row r="563" spans="49:59" ht="12" customHeight="1">
      <c r="AW563" s="1174"/>
      <c r="AX563" s="1174"/>
      <c r="AY563" s="1174"/>
      <c r="AZ563" s="1174"/>
      <c r="BA563" s="1174"/>
      <c r="BB563" s="1174"/>
      <c r="BC563" s="1174"/>
      <c r="BD563" s="1174"/>
      <c r="BE563" s="1174"/>
      <c r="BG563" s="49"/>
    </row>
    <row r="564" spans="49:59" ht="12" customHeight="1">
      <c r="AW564" s="1174"/>
      <c r="AX564" s="1174"/>
      <c r="AY564" s="1174"/>
      <c r="AZ564" s="1174"/>
      <c r="BA564" s="1174"/>
      <c r="BB564" s="1174"/>
      <c r="BC564" s="1174"/>
      <c r="BD564" s="1174"/>
      <c r="BE564" s="1174"/>
      <c r="BG564" s="49"/>
    </row>
    <row r="565" spans="49:59" ht="12" customHeight="1">
      <c r="AW565" s="1174"/>
      <c r="AX565" s="1174"/>
      <c r="AY565" s="1174"/>
      <c r="AZ565" s="1174"/>
      <c r="BA565" s="1174"/>
      <c r="BB565" s="1174"/>
      <c r="BC565" s="1174"/>
      <c r="BD565" s="1174"/>
      <c r="BE565" s="1174"/>
      <c r="BG565" s="49"/>
    </row>
    <row r="566" spans="49:59" ht="12" customHeight="1">
      <c r="AW566" s="1174"/>
      <c r="AX566" s="1174"/>
      <c r="AY566" s="1174"/>
      <c r="AZ566" s="1174"/>
      <c r="BA566" s="1174"/>
      <c r="BB566" s="1174"/>
      <c r="BC566" s="1174"/>
      <c r="BD566" s="1174"/>
      <c r="BE566" s="1174"/>
      <c r="BG566" s="49"/>
    </row>
    <row r="567" spans="49:59" ht="12" customHeight="1">
      <c r="AW567" s="1174"/>
      <c r="AX567" s="1174"/>
      <c r="AY567" s="1174"/>
      <c r="AZ567" s="1174"/>
      <c r="BA567" s="1174"/>
      <c r="BB567" s="1174"/>
      <c r="BC567" s="1174"/>
      <c r="BD567" s="1174"/>
      <c r="BE567" s="1174"/>
      <c r="BG567" s="49"/>
    </row>
    <row r="568" spans="49:59" ht="12" customHeight="1">
      <c r="AW568" s="1174"/>
      <c r="AX568" s="1174"/>
      <c r="AY568" s="1174"/>
      <c r="AZ568" s="1174"/>
      <c r="BA568" s="1174"/>
      <c r="BB568" s="1174"/>
      <c r="BC568" s="1174"/>
      <c r="BD568" s="1174"/>
      <c r="BE568" s="1174"/>
      <c r="BG568" s="49"/>
    </row>
    <row r="569" spans="49:59" ht="12" customHeight="1">
      <c r="AW569" s="1174"/>
      <c r="AX569" s="1174"/>
      <c r="AY569" s="1174"/>
      <c r="AZ569" s="1174"/>
      <c r="BA569" s="1174"/>
      <c r="BB569" s="1174"/>
      <c r="BC569" s="1174"/>
      <c r="BD569" s="1174"/>
      <c r="BE569" s="1174"/>
      <c r="BG569" s="49"/>
    </row>
    <row r="570" spans="49:59" ht="12" customHeight="1">
      <c r="AW570" s="1174"/>
      <c r="AX570" s="1174"/>
      <c r="AY570" s="1174"/>
      <c r="AZ570" s="1174"/>
      <c r="BA570" s="1174"/>
      <c r="BB570" s="1174"/>
      <c r="BC570" s="1174"/>
      <c r="BD570" s="1174"/>
      <c r="BE570" s="1174"/>
      <c r="BG570" s="49"/>
    </row>
    <row r="571" spans="49:59" ht="12" customHeight="1">
      <c r="AW571" s="1174"/>
      <c r="AX571" s="1174"/>
      <c r="AY571" s="1174"/>
      <c r="AZ571" s="1174"/>
      <c r="BA571" s="1174"/>
      <c r="BB571" s="1174"/>
      <c r="BC571" s="1174"/>
      <c r="BD571" s="1174"/>
      <c r="BE571" s="1174"/>
      <c r="BG571" s="49"/>
    </row>
    <row r="572" spans="49:59" ht="12" customHeight="1">
      <c r="AW572" s="1174"/>
      <c r="AX572" s="1174"/>
      <c r="AY572" s="1174"/>
      <c r="AZ572" s="1174"/>
      <c r="BA572" s="1174"/>
      <c r="BB572" s="1174"/>
      <c r="BC572" s="1174"/>
      <c r="BD572" s="1174"/>
      <c r="BE572" s="1174"/>
      <c r="BG572" s="49"/>
    </row>
    <row r="573" spans="49:59" ht="12" customHeight="1">
      <c r="AW573" s="1174"/>
      <c r="AX573" s="1174"/>
      <c r="AY573" s="1174"/>
      <c r="AZ573" s="1174"/>
      <c r="BA573" s="1174"/>
      <c r="BB573" s="1174"/>
      <c r="BC573" s="1174"/>
      <c r="BD573" s="1174"/>
      <c r="BE573" s="1174"/>
      <c r="BG573" s="49"/>
    </row>
    <row r="574" spans="49:59" ht="12" customHeight="1">
      <c r="AW574" s="1174"/>
      <c r="AX574" s="1174"/>
      <c r="AY574" s="1174"/>
      <c r="AZ574" s="1174"/>
      <c r="BA574" s="1174"/>
      <c r="BB574" s="1174"/>
      <c r="BC574" s="1174"/>
      <c r="BD574" s="1174"/>
      <c r="BE574" s="1174"/>
      <c r="BG574" s="49"/>
    </row>
    <row r="575" spans="49:59" ht="12" customHeight="1">
      <c r="AW575" s="1174"/>
      <c r="AX575" s="1174"/>
      <c r="AY575" s="1174"/>
      <c r="AZ575" s="1174"/>
      <c r="BA575" s="1174"/>
      <c r="BB575" s="1174"/>
      <c r="BC575" s="1174"/>
      <c r="BD575" s="1174"/>
      <c r="BE575" s="1174"/>
      <c r="BG575" s="49"/>
    </row>
    <row r="576" spans="49:59" ht="12" customHeight="1">
      <c r="AW576" s="1174"/>
      <c r="AX576" s="1174"/>
      <c r="AY576" s="1174"/>
      <c r="AZ576" s="1174"/>
      <c r="BA576" s="1174"/>
      <c r="BB576" s="1174"/>
      <c r="BC576" s="1174"/>
      <c r="BD576" s="1174"/>
      <c r="BE576" s="1174"/>
      <c r="BG576" s="49"/>
    </row>
    <row r="577" spans="49:59" ht="12" customHeight="1">
      <c r="AW577" s="1174"/>
      <c r="AX577" s="1174"/>
      <c r="AY577" s="1174"/>
      <c r="AZ577" s="1174"/>
      <c r="BA577" s="1174"/>
      <c r="BB577" s="1174"/>
      <c r="BC577" s="1174"/>
      <c r="BD577" s="1174"/>
      <c r="BE577" s="1174"/>
      <c r="BG577" s="49"/>
    </row>
    <row r="578" spans="49:59" ht="12" customHeight="1">
      <c r="AW578" s="1174"/>
      <c r="AX578" s="1174"/>
      <c r="AY578" s="1174"/>
      <c r="AZ578" s="1174"/>
      <c r="BA578" s="1174"/>
      <c r="BB578" s="1174"/>
      <c r="BC578" s="1174"/>
      <c r="BD578" s="1174"/>
      <c r="BE578" s="1174"/>
      <c r="BG578" s="49"/>
    </row>
    <row r="579" spans="49:59" ht="12" customHeight="1">
      <c r="AW579" s="1174"/>
      <c r="AX579" s="1174"/>
      <c r="AY579" s="1174"/>
      <c r="AZ579" s="1174"/>
      <c r="BA579" s="1174"/>
      <c r="BB579" s="1174"/>
      <c r="BC579" s="1174"/>
      <c r="BD579" s="1174"/>
      <c r="BE579" s="1174"/>
      <c r="BG579" s="49"/>
    </row>
    <row r="580" spans="49:59" ht="12" customHeight="1">
      <c r="AW580" s="1174"/>
      <c r="AX580" s="1174"/>
      <c r="AY580" s="1174"/>
      <c r="AZ580" s="1174"/>
      <c r="BA580" s="1174"/>
      <c r="BB580" s="1174"/>
      <c r="BC580" s="1174"/>
      <c r="BD580" s="1174"/>
      <c r="BE580" s="1174"/>
      <c r="BG580" s="49"/>
    </row>
    <row r="581" spans="49:59" ht="12" customHeight="1">
      <c r="AW581" s="1174"/>
      <c r="AX581" s="1174"/>
      <c r="AY581" s="1174"/>
      <c r="AZ581" s="1174"/>
      <c r="BA581" s="1174"/>
      <c r="BB581" s="1174"/>
      <c r="BC581" s="1174"/>
      <c r="BD581" s="1174"/>
      <c r="BE581" s="1174"/>
      <c r="BG581" s="49"/>
    </row>
    <row r="582" spans="49:59" ht="12" customHeight="1">
      <c r="AW582" s="1174"/>
      <c r="AX582" s="1174"/>
      <c r="AY582" s="1174"/>
      <c r="AZ582" s="1174"/>
      <c r="BA582" s="1174"/>
      <c r="BB582" s="1174"/>
      <c r="BC582" s="1174"/>
      <c r="BD582" s="1174"/>
      <c r="BE582" s="1174"/>
      <c r="BG582" s="49"/>
    </row>
    <row r="583" spans="49:59" ht="12" customHeight="1">
      <c r="AW583" s="1174"/>
      <c r="AX583" s="1174"/>
      <c r="AY583" s="1174"/>
      <c r="AZ583" s="1174"/>
      <c r="BA583" s="1174"/>
      <c r="BB583" s="1174"/>
      <c r="BC583" s="1174"/>
      <c r="BD583" s="1174"/>
      <c r="BE583" s="1174"/>
      <c r="BG583" s="49"/>
    </row>
    <row r="584" spans="49:59" ht="12" customHeight="1">
      <c r="AW584" s="1174"/>
      <c r="AX584" s="1174"/>
      <c r="AY584" s="1174"/>
      <c r="AZ584" s="1174"/>
      <c r="BA584" s="1174"/>
      <c r="BB584" s="1174"/>
      <c r="BC584" s="1174"/>
      <c r="BD584" s="1174"/>
      <c r="BE584" s="1174"/>
      <c r="BG584" s="49"/>
    </row>
    <row r="585" spans="49:59" ht="12" customHeight="1">
      <c r="AW585" s="1174"/>
      <c r="AX585" s="1174"/>
      <c r="AY585" s="1174"/>
      <c r="AZ585" s="1174"/>
      <c r="BA585" s="1174"/>
      <c r="BB585" s="1174"/>
      <c r="BC585" s="1174"/>
      <c r="BD585" s="1174"/>
      <c r="BE585" s="1174"/>
      <c r="BG585" s="49"/>
    </row>
    <row r="586" spans="49:59" ht="12" customHeight="1">
      <c r="AW586" s="1174"/>
      <c r="AX586" s="1174"/>
      <c r="AY586" s="1174"/>
      <c r="AZ586" s="1174"/>
      <c r="BA586" s="1174"/>
      <c r="BB586" s="1174"/>
      <c r="BC586" s="1174"/>
      <c r="BD586" s="1174"/>
      <c r="BE586" s="1174"/>
      <c r="BG586" s="49"/>
    </row>
    <row r="587" spans="49:59" ht="12" customHeight="1">
      <c r="AW587" s="1174"/>
      <c r="AX587" s="1174"/>
      <c r="AY587" s="1174"/>
      <c r="AZ587" s="1174"/>
      <c r="BA587" s="1174"/>
      <c r="BB587" s="1174"/>
      <c r="BC587" s="1174"/>
      <c r="BD587" s="1174"/>
      <c r="BE587" s="1174"/>
      <c r="BG587" s="49"/>
    </row>
    <row r="588" spans="49:59" ht="12" customHeight="1">
      <c r="AW588" s="1174"/>
      <c r="AX588" s="1174"/>
      <c r="AY588" s="1174"/>
      <c r="AZ588" s="1174"/>
      <c r="BA588" s="1174"/>
      <c r="BB588" s="1174"/>
      <c r="BC588" s="1174"/>
      <c r="BD588" s="1174"/>
      <c r="BE588" s="1174"/>
      <c r="BG588" s="49"/>
    </row>
    <row r="589" spans="49:59" ht="12" customHeight="1">
      <c r="AW589" s="1174"/>
      <c r="AX589" s="1174"/>
      <c r="AY589" s="1174"/>
      <c r="AZ589" s="1174"/>
      <c r="BA589" s="1174"/>
      <c r="BB589" s="1174"/>
      <c r="BC589" s="1174"/>
      <c r="BD589" s="1174"/>
      <c r="BE589" s="1174"/>
      <c r="BG589" s="49"/>
    </row>
    <row r="590" spans="49:59" ht="12" customHeight="1">
      <c r="AW590" s="1174"/>
      <c r="AX590" s="1174"/>
      <c r="AY590" s="1174"/>
      <c r="AZ590" s="1174"/>
      <c r="BA590" s="1174"/>
      <c r="BB590" s="1174"/>
      <c r="BC590" s="1174"/>
      <c r="BD590" s="1174"/>
      <c r="BE590" s="1174"/>
      <c r="BG590" s="49"/>
    </row>
    <row r="591" spans="49:59" ht="12" customHeight="1">
      <c r="AW591" s="1174"/>
      <c r="AX591" s="1174"/>
      <c r="AY591" s="1174"/>
      <c r="AZ591" s="1174"/>
      <c r="BA591" s="1174"/>
      <c r="BB591" s="1174"/>
      <c r="BC591" s="1174"/>
      <c r="BD591" s="1174"/>
      <c r="BE591" s="1174"/>
      <c r="BG591" s="49"/>
    </row>
    <row r="592" spans="49:59" ht="12" customHeight="1">
      <c r="AW592" s="1174"/>
      <c r="AX592" s="1174"/>
      <c r="AY592" s="1174"/>
      <c r="AZ592" s="1174"/>
      <c r="BA592" s="1174"/>
      <c r="BB592" s="1174"/>
      <c r="BC592" s="1174"/>
      <c r="BD592" s="1174"/>
      <c r="BE592" s="1174"/>
      <c r="BG592" s="49"/>
    </row>
    <row r="593" spans="49:59" ht="12" customHeight="1">
      <c r="AW593" s="1174"/>
      <c r="AX593" s="1174"/>
      <c r="AY593" s="1174"/>
      <c r="AZ593" s="1174"/>
      <c r="BA593" s="1174"/>
      <c r="BB593" s="1174"/>
      <c r="BC593" s="1174"/>
      <c r="BD593" s="1174"/>
      <c r="BE593" s="1174"/>
      <c r="BG593" s="49"/>
    </row>
    <row r="594" spans="49:59" ht="12" customHeight="1">
      <c r="AW594" s="1174"/>
      <c r="AX594" s="1174"/>
      <c r="AY594" s="1174"/>
      <c r="AZ594" s="1174"/>
      <c r="BA594" s="1174"/>
      <c r="BB594" s="1174"/>
      <c r="BC594" s="1174"/>
      <c r="BD594" s="1174"/>
      <c r="BE594" s="1174"/>
      <c r="BG594" s="49"/>
    </row>
    <row r="595" spans="49:59" ht="12" customHeight="1">
      <c r="AW595" s="1174"/>
      <c r="AX595" s="1174"/>
      <c r="AY595" s="1174"/>
      <c r="AZ595" s="1174"/>
      <c r="BA595" s="1174"/>
      <c r="BB595" s="1174"/>
      <c r="BC595" s="1174"/>
      <c r="BD595" s="1174"/>
      <c r="BE595" s="1174"/>
      <c r="BG595" s="49"/>
    </row>
    <row r="596" spans="49:59" ht="12" customHeight="1">
      <c r="AW596" s="1174"/>
      <c r="AX596" s="1174"/>
      <c r="AY596" s="1174"/>
      <c r="AZ596" s="1174"/>
      <c r="BA596" s="1174"/>
      <c r="BB596" s="1174"/>
      <c r="BC596" s="1174"/>
      <c r="BD596" s="1174"/>
      <c r="BE596" s="1174"/>
      <c r="BG596" s="49"/>
    </row>
    <row r="597" spans="49:59" ht="12" customHeight="1">
      <c r="AW597" s="1174"/>
      <c r="AX597" s="1174"/>
      <c r="AY597" s="1174"/>
      <c r="AZ597" s="1174"/>
      <c r="BA597" s="1174"/>
      <c r="BB597" s="1174"/>
      <c r="BC597" s="1174"/>
      <c r="BD597" s="1174"/>
      <c r="BE597" s="1174"/>
      <c r="BG597" s="49"/>
    </row>
    <row r="598" spans="49:59" ht="12" customHeight="1">
      <c r="AW598" s="1174"/>
      <c r="AX598" s="1174"/>
      <c r="AY598" s="1174"/>
      <c r="AZ598" s="1174"/>
      <c r="BA598" s="1174"/>
      <c r="BB598" s="1174"/>
      <c r="BC598" s="1174"/>
      <c r="BD598" s="1174"/>
      <c r="BE598" s="1174"/>
      <c r="BG598" s="49"/>
    </row>
    <row r="599" spans="49:59" ht="12" customHeight="1">
      <c r="AW599" s="1174"/>
      <c r="AX599" s="1174"/>
      <c r="AY599" s="1174"/>
      <c r="AZ599" s="1174"/>
      <c r="BA599" s="1174"/>
      <c r="BB599" s="1174"/>
      <c r="BC599" s="1174"/>
      <c r="BD599" s="1174"/>
      <c r="BE599" s="1174"/>
      <c r="BG599" s="49"/>
    </row>
    <row r="600" spans="49:59" ht="12" customHeight="1">
      <c r="AW600" s="1174"/>
      <c r="AX600" s="1174"/>
      <c r="AY600" s="1174"/>
      <c r="AZ600" s="1174"/>
      <c r="BA600" s="1174"/>
      <c r="BB600" s="1174"/>
      <c r="BC600" s="1174"/>
      <c r="BD600" s="1174"/>
      <c r="BE600" s="1174"/>
      <c r="BG600" s="49"/>
    </row>
    <row r="601" spans="49:59" ht="12" customHeight="1">
      <c r="AW601" s="1174"/>
      <c r="AX601" s="1174"/>
      <c r="AY601" s="1174"/>
      <c r="AZ601" s="1174"/>
      <c r="BA601" s="1174"/>
      <c r="BB601" s="1174"/>
      <c r="BC601" s="1174"/>
      <c r="BD601" s="1174"/>
      <c r="BE601" s="1174"/>
      <c r="BG601" s="49"/>
    </row>
    <row r="602" spans="49:59" ht="12" customHeight="1">
      <c r="AW602" s="1174"/>
      <c r="AX602" s="1174"/>
      <c r="AY602" s="1174"/>
      <c r="AZ602" s="1174"/>
      <c r="BA602" s="1174"/>
      <c r="BB602" s="1174"/>
      <c r="BC602" s="1174"/>
      <c r="BD602" s="1174"/>
      <c r="BE602" s="1174"/>
      <c r="BG602" s="49"/>
    </row>
    <row r="603" spans="49:59" ht="12" customHeight="1">
      <c r="AW603" s="1174"/>
      <c r="AX603" s="1174"/>
      <c r="AY603" s="1174"/>
      <c r="AZ603" s="1174"/>
      <c r="BA603" s="1174"/>
      <c r="BB603" s="1174"/>
      <c r="BC603" s="1174"/>
      <c r="BD603" s="1174"/>
      <c r="BE603" s="1174"/>
      <c r="BG603" s="49"/>
    </row>
    <row r="604" spans="49:59" ht="12" customHeight="1">
      <c r="AW604" s="1174"/>
      <c r="AX604" s="1174"/>
      <c r="AY604" s="1174"/>
      <c r="AZ604" s="1174"/>
      <c r="BA604" s="1174"/>
      <c r="BB604" s="1174"/>
      <c r="BC604" s="1174"/>
      <c r="BD604" s="1174"/>
      <c r="BE604" s="1174"/>
      <c r="BG604" s="49"/>
    </row>
    <row r="605" spans="49:59" ht="12" customHeight="1">
      <c r="AW605" s="1174"/>
      <c r="AX605" s="1174"/>
      <c r="AY605" s="1174"/>
      <c r="AZ605" s="1174"/>
      <c r="BA605" s="1174"/>
      <c r="BB605" s="1174"/>
      <c r="BC605" s="1174"/>
      <c r="BD605" s="1174"/>
      <c r="BE605" s="1174"/>
      <c r="BG605" s="49"/>
    </row>
    <row r="606" spans="49:59" ht="12" customHeight="1">
      <c r="AW606" s="1174"/>
      <c r="AX606" s="1174"/>
      <c r="AY606" s="1174"/>
      <c r="AZ606" s="1174"/>
      <c r="BA606" s="1174"/>
      <c r="BB606" s="1174"/>
      <c r="BC606" s="1174"/>
      <c r="BD606" s="1174"/>
      <c r="BE606" s="1174"/>
      <c r="BG606" s="49"/>
    </row>
    <row r="607" spans="49:59" ht="12" customHeight="1">
      <c r="AW607" s="1174"/>
      <c r="AX607" s="1174"/>
      <c r="AY607" s="1174"/>
      <c r="AZ607" s="1174"/>
      <c r="BA607" s="1174"/>
      <c r="BB607" s="1174"/>
      <c r="BC607" s="1174"/>
      <c r="BD607" s="1174"/>
      <c r="BE607" s="1174"/>
      <c r="BG607" s="49"/>
    </row>
    <row r="608" spans="49:59" ht="12" customHeight="1">
      <c r="AW608" s="1174"/>
      <c r="AX608" s="1174"/>
      <c r="AY608" s="1174"/>
      <c r="AZ608" s="1174"/>
      <c r="BA608" s="1174"/>
      <c r="BB608" s="1174"/>
      <c r="BC608" s="1174"/>
      <c r="BD608" s="1174"/>
      <c r="BE608" s="1174"/>
      <c r="BG608" s="49"/>
    </row>
    <row r="609" spans="49:59" ht="12" customHeight="1">
      <c r="AW609" s="1174"/>
      <c r="AX609" s="1174"/>
      <c r="AY609" s="1174"/>
      <c r="AZ609" s="1174"/>
      <c r="BA609" s="1174"/>
      <c r="BB609" s="1174"/>
      <c r="BC609" s="1174"/>
      <c r="BD609" s="1174"/>
      <c r="BE609" s="1174"/>
      <c r="BG609" s="49"/>
    </row>
    <row r="610" spans="49:59" ht="12" customHeight="1">
      <c r="AW610" s="1174"/>
      <c r="AX610" s="1174"/>
      <c r="AY610" s="1174"/>
      <c r="AZ610" s="1174"/>
      <c r="BA610" s="1174"/>
      <c r="BB610" s="1174"/>
      <c r="BC610" s="1174"/>
      <c r="BD610" s="1174"/>
      <c r="BE610" s="1174"/>
      <c r="BG610" s="49"/>
    </row>
    <row r="611" spans="49:59" ht="12" customHeight="1">
      <c r="AW611" s="1174"/>
      <c r="AX611" s="1174"/>
      <c r="AY611" s="1174"/>
      <c r="AZ611" s="1174"/>
      <c r="BA611" s="1174"/>
      <c r="BB611" s="1174"/>
      <c r="BC611" s="1174"/>
      <c r="BD611" s="1174"/>
      <c r="BE611" s="1174"/>
      <c r="BG611" s="49"/>
    </row>
    <row r="612" spans="49:59" ht="12" customHeight="1">
      <c r="AW612" s="1174"/>
      <c r="AX612" s="1174"/>
      <c r="AY612" s="1174"/>
      <c r="AZ612" s="1174"/>
      <c r="BA612" s="1174"/>
      <c r="BB612" s="1174"/>
      <c r="BC612" s="1174"/>
      <c r="BD612" s="1174"/>
      <c r="BE612" s="1174"/>
      <c r="BG612" s="49"/>
    </row>
    <row r="613" spans="49:59" ht="12" customHeight="1">
      <c r="AW613" s="1174"/>
      <c r="AX613" s="1174"/>
      <c r="AY613" s="1174"/>
      <c r="AZ613" s="1174"/>
      <c r="BA613" s="1174"/>
      <c r="BB613" s="1174"/>
      <c r="BC613" s="1174"/>
      <c r="BD613" s="1174"/>
      <c r="BE613" s="1174"/>
      <c r="BG613" s="49"/>
    </row>
    <row r="614" spans="49:59" ht="12" customHeight="1">
      <c r="AW614" s="1174"/>
      <c r="AX614" s="1174"/>
      <c r="AY614" s="1174"/>
      <c r="AZ614" s="1174"/>
      <c r="BA614" s="1174"/>
      <c r="BB614" s="1174"/>
      <c r="BC614" s="1174"/>
      <c r="BD614" s="1174"/>
      <c r="BE614" s="1174"/>
      <c r="BG614" s="49"/>
    </row>
    <row r="615" spans="49:59" ht="12" customHeight="1">
      <c r="AW615" s="1174"/>
      <c r="AX615" s="1174"/>
      <c r="AY615" s="1174"/>
      <c r="AZ615" s="1174"/>
      <c r="BA615" s="1174"/>
      <c r="BB615" s="1174"/>
      <c r="BC615" s="1174"/>
      <c r="BD615" s="1174"/>
      <c r="BE615" s="1174"/>
      <c r="BG615" s="49"/>
    </row>
    <row r="616" spans="49:59" ht="12" customHeight="1">
      <c r="AW616" s="1174"/>
      <c r="AX616" s="1174"/>
      <c r="AY616" s="1174"/>
      <c r="AZ616" s="1174"/>
      <c r="BA616" s="1174"/>
      <c r="BB616" s="1174"/>
      <c r="BC616" s="1174"/>
      <c r="BD616" s="1174"/>
      <c r="BE616" s="1174"/>
      <c r="BG616" s="49"/>
    </row>
    <row r="617" spans="49:59" ht="12" customHeight="1">
      <c r="AW617" s="1174"/>
      <c r="AX617" s="1174"/>
      <c r="AY617" s="1174"/>
      <c r="AZ617" s="1174"/>
      <c r="BA617" s="1174"/>
      <c r="BB617" s="1174"/>
      <c r="BC617" s="1174"/>
      <c r="BD617" s="1174"/>
      <c r="BE617" s="1174"/>
      <c r="BG617" s="49"/>
    </row>
    <row r="618" spans="49:59" ht="12" customHeight="1">
      <c r="AW618" s="1174"/>
      <c r="AX618" s="1174"/>
      <c r="AY618" s="1174"/>
      <c r="AZ618" s="1174"/>
      <c r="BA618" s="1174"/>
      <c r="BB618" s="1174"/>
      <c r="BC618" s="1174"/>
      <c r="BD618" s="1174"/>
      <c r="BE618" s="1174"/>
      <c r="BG618" s="49"/>
    </row>
    <row r="619" spans="49:59" ht="12" customHeight="1">
      <c r="AW619" s="1174"/>
      <c r="AX619" s="1174"/>
      <c r="AY619" s="1174"/>
      <c r="AZ619" s="1174"/>
      <c r="BA619" s="1174"/>
      <c r="BB619" s="1174"/>
      <c r="BC619" s="1174"/>
      <c r="BD619" s="1174"/>
      <c r="BE619" s="1174"/>
      <c r="BG619" s="49"/>
    </row>
    <row r="620" spans="49:59" ht="12" customHeight="1">
      <c r="AW620" s="1174"/>
      <c r="AX620" s="1174"/>
      <c r="AY620" s="1174"/>
      <c r="AZ620" s="1174"/>
      <c r="BA620" s="1174"/>
      <c r="BB620" s="1174"/>
      <c r="BC620" s="1174"/>
      <c r="BD620" s="1174"/>
      <c r="BE620" s="1174"/>
      <c r="BG620" s="49"/>
    </row>
    <row r="621" spans="49:59" ht="12" customHeight="1">
      <c r="AW621" s="1174"/>
      <c r="AX621" s="1174"/>
      <c r="AY621" s="1174"/>
      <c r="AZ621" s="1174"/>
      <c r="BA621" s="1174"/>
      <c r="BB621" s="1174"/>
      <c r="BC621" s="1174"/>
      <c r="BD621" s="1174"/>
      <c r="BE621" s="1174"/>
      <c r="BG621" s="49"/>
    </row>
    <row r="622" spans="49:59" ht="12" customHeight="1">
      <c r="AW622" s="1174"/>
      <c r="AX622" s="1174"/>
      <c r="AY622" s="1174"/>
      <c r="AZ622" s="1174"/>
      <c r="BA622" s="1174"/>
      <c r="BB622" s="1174"/>
      <c r="BC622" s="1174"/>
      <c r="BD622" s="1174"/>
      <c r="BE622" s="1174"/>
      <c r="BG622" s="49"/>
    </row>
    <row r="623" spans="49:59" ht="12" customHeight="1">
      <c r="AW623" s="1174"/>
      <c r="AX623" s="1174"/>
      <c r="AY623" s="1174"/>
      <c r="AZ623" s="1174"/>
      <c r="BA623" s="1174"/>
      <c r="BB623" s="1174"/>
      <c r="BC623" s="1174"/>
      <c r="BD623" s="1174"/>
      <c r="BE623" s="1174"/>
      <c r="BG623" s="49"/>
    </row>
    <row r="624" spans="49:59" ht="12" customHeight="1">
      <c r="AW624" s="1174"/>
      <c r="AX624" s="1174"/>
      <c r="AY624" s="1174"/>
      <c r="AZ624" s="1174"/>
      <c r="BA624" s="1174"/>
      <c r="BB624" s="1174"/>
      <c r="BC624" s="1174"/>
      <c r="BD624" s="1174"/>
      <c r="BE624" s="1174"/>
      <c r="BG624" s="49"/>
    </row>
    <row r="625" spans="49:59" ht="12" customHeight="1">
      <c r="AW625" s="1174"/>
      <c r="AX625" s="1174"/>
      <c r="AY625" s="1174"/>
      <c r="AZ625" s="1174"/>
      <c r="BA625" s="1174"/>
      <c r="BB625" s="1174"/>
      <c r="BC625" s="1174"/>
      <c r="BD625" s="1174"/>
      <c r="BE625" s="1174"/>
      <c r="BG625" s="49"/>
    </row>
    <row r="626" spans="49:59" ht="12" customHeight="1">
      <c r="AW626" s="1174"/>
      <c r="AX626" s="1174"/>
      <c r="AY626" s="1174"/>
      <c r="AZ626" s="1174"/>
      <c r="BA626" s="1174"/>
      <c r="BB626" s="1174"/>
      <c r="BC626" s="1174"/>
      <c r="BD626" s="1174"/>
      <c r="BE626" s="1174"/>
      <c r="BG626" s="49"/>
    </row>
    <row r="627" spans="49:59" ht="12" customHeight="1">
      <c r="AW627" s="1174"/>
      <c r="AX627" s="1174"/>
      <c r="AY627" s="1174"/>
      <c r="AZ627" s="1174"/>
      <c r="BA627" s="1174"/>
      <c r="BB627" s="1174"/>
      <c r="BC627" s="1174"/>
      <c r="BD627" s="1174"/>
      <c r="BE627" s="1174"/>
      <c r="BG627" s="49"/>
    </row>
    <row r="628" spans="49:59" ht="12" customHeight="1">
      <c r="AW628" s="1174"/>
      <c r="AX628" s="1174"/>
      <c r="AY628" s="1174"/>
      <c r="AZ628" s="1174"/>
      <c r="BA628" s="1174"/>
      <c r="BB628" s="1174"/>
      <c r="BC628" s="1174"/>
      <c r="BD628" s="1174"/>
      <c r="BE628" s="1174"/>
      <c r="BG628" s="49"/>
    </row>
    <row r="629" spans="49:59" ht="12" customHeight="1">
      <c r="AW629" s="1174"/>
      <c r="AX629" s="1174"/>
      <c r="AY629" s="1174"/>
      <c r="AZ629" s="1174"/>
      <c r="BA629" s="1174"/>
      <c r="BB629" s="1174"/>
      <c r="BC629" s="1174"/>
      <c r="BD629" s="1174"/>
      <c r="BE629" s="1174"/>
      <c r="BG629" s="49"/>
    </row>
    <row r="630" spans="49:59" ht="12" customHeight="1">
      <c r="AW630" s="1174"/>
      <c r="AX630" s="1174"/>
      <c r="AY630" s="1174"/>
      <c r="AZ630" s="1174"/>
      <c r="BA630" s="1174"/>
      <c r="BB630" s="1174"/>
      <c r="BC630" s="1174"/>
      <c r="BD630" s="1174"/>
      <c r="BE630" s="1174"/>
      <c r="BG630" s="49"/>
    </row>
    <row r="631" spans="49:59" ht="12" customHeight="1">
      <c r="AW631" s="1174"/>
      <c r="AX631" s="1174"/>
      <c r="AY631" s="1174"/>
      <c r="AZ631" s="1174"/>
      <c r="BA631" s="1174"/>
      <c r="BB631" s="1174"/>
      <c r="BC631" s="1174"/>
      <c r="BD631" s="1174"/>
      <c r="BE631" s="1174"/>
      <c r="BG631" s="49"/>
    </row>
    <row r="632" spans="49:59" ht="12" customHeight="1">
      <c r="AW632" s="1174"/>
      <c r="AX632" s="1174"/>
      <c r="AY632" s="1174"/>
      <c r="AZ632" s="1174"/>
      <c r="BA632" s="1174"/>
      <c r="BB632" s="1174"/>
      <c r="BC632" s="1174"/>
      <c r="BD632" s="1174"/>
      <c r="BE632" s="1174"/>
      <c r="BG632" s="49"/>
    </row>
    <row r="633" spans="49:59" ht="12" customHeight="1">
      <c r="AW633" s="1174"/>
      <c r="AX633" s="1174"/>
      <c r="AY633" s="1174"/>
      <c r="AZ633" s="1174"/>
      <c r="BA633" s="1174"/>
      <c r="BB633" s="1174"/>
      <c r="BC633" s="1174"/>
      <c r="BD633" s="1174"/>
      <c r="BE633" s="1174"/>
      <c r="BG633" s="49"/>
    </row>
    <row r="634" spans="49:59" ht="12" customHeight="1">
      <c r="AW634" s="1174"/>
      <c r="AX634" s="1174"/>
      <c r="AY634" s="1174"/>
      <c r="AZ634" s="1174"/>
      <c r="BA634" s="1174"/>
      <c r="BB634" s="1174"/>
      <c r="BC634" s="1174"/>
      <c r="BD634" s="1174"/>
      <c r="BE634" s="1174"/>
      <c r="BG634" s="49"/>
    </row>
    <row r="635" spans="49:59" ht="12" customHeight="1">
      <c r="AW635" s="1174"/>
      <c r="AX635" s="1174"/>
      <c r="AY635" s="1174"/>
      <c r="AZ635" s="1174"/>
      <c r="BA635" s="1174"/>
      <c r="BB635" s="1174"/>
      <c r="BC635" s="1174"/>
      <c r="BD635" s="1174"/>
      <c r="BE635" s="1174"/>
      <c r="BG635" s="49"/>
    </row>
    <row r="636" spans="49:59" ht="12" customHeight="1">
      <c r="AW636" s="1174"/>
      <c r="AX636" s="1174"/>
      <c r="AY636" s="1174"/>
      <c r="AZ636" s="1174"/>
      <c r="BA636" s="1174"/>
      <c r="BB636" s="1174"/>
      <c r="BC636" s="1174"/>
      <c r="BD636" s="1174"/>
      <c r="BE636" s="1174"/>
      <c r="BG636" s="49"/>
    </row>
    <row r="637" spans="49:59" ht="12" customHeight="1">
      <c r="AW637" s="1174"/>
      <c r="AX637" s="1174"/>
      <c r="AY637" s="1174"/>
      <c r="AZ637" s="1174"/>
      <c r="BA637" s="1174"/>
      <c r="BB637" s="1174"/>
      <c r="BC637" s="1174"/>
      <c r="BD637" s="1174"/>
      <c r="BE637" s="1174"/>
      <c r="BG637" s="49"/>
    </row>
    <row r="638" spans="49:59" ht="12" customHeight="1">
      <c r="AW638" s="1174"/>
      <c r="AX638" s="1174"/>
      <c r="AY638" s="1174"/>
      <c r="AZ638" s="1174"/>
      <c r="BA638" s="1174"/>
      <c r="BB638" s="1174"/>
      <c r="BC638" s="1174"/>
      <c r="BD638" s="1174"/>
      <c r="BE638" s="1174"/>
      <c r="BG638" s="49"/>
    </row>
    <row r="639" spans="49:59" ht="12" customHeight="1">
      <c r="AW639" s="1174"/>
      <c r="AX639" s="1174"/>
      <c r="AY639" s="1174"/>
      <c r="AZ639" s="1174"/>
      <c r="BA639" s="1174"/>
      <c r="BB639" s="1174"/>
      <c r="BC639" s="1174"/>
      <c r="BD639" s="1174"/>
      <c r="BE639" s="1174"/>
      <c r="BG639" s="49"/>
    </row>
    <row r="640" spans="49:59" ht="12" customHeight="1">
      <c r="AW640" s="1174"/>
      <c r="AX640" s="1174"/>
      <c r="AY640" s="1174"/>
      <c r="AZ640" s="1174"/>
      <c r="BA640" s="1174"/>
      <c r="BB640" s="1174"/>
      <c r="BC640" s="1174"/>
      <c r="BD640" s="1174"/>
      <c r="BE640" s="1174"/>
      <c r="BG640" s="49"/>
    </row>
    <row r="641" spans="49:59" ht="12" customHeight="1">
      <c r="AW641" s="1174"/>
      <c r="AX641" s="1174"/>
      <c r="AY641" s="1174"/>
      <c r="AZ641" s="1174"/>
      <c r="BA641" s="1174"/>
      <c r="BB641" s="1174"/>
      <c r="BC641" s="1174"/>
      <c r="BD641" s="1174"/>
      <c r="BE641" s="1174"/>
      <c r="BG641" s="49"/>
    </row>
    <row r="642" spans="49:59" ht="12" customHeight="1">
      <c r="AW642" s="1174"/>
      <c r="AX642" s="1174"/>
      <c r="AY642" s="1174"/>
      <c r="AZ642" s="1174"/>
      <c r="BA642" s="1174"/>
      <c r="BB642" s="1174"/>
      <c r="BC642" s="1174"/>
      <c r="BD642" s="1174"/>
      <c r="BE642" s="1174"/>
      <c r="BG642" s="49"/>
    </row>
    <row r="643" spans="49:59" ht="12" customHeight="1">
      <c r="AW643" s="1174"/>
      <c r="AX643" s="1174"/>
      <c r="AY643" s="1174"/>
      <c r="AZ643" s="1174"/>
      <c r="BA643" s="1174"/>
      <c r="BB643" s="1174"/>
      <c r="BC643" s="1174"/>
      <c r="BD643" s="1174"/>
      <c r="BE643" s="1174"/>
      <c r="BG643" s="49"/>
    </row>
    <row r="644" spans="49:59" ht="12" customHeight="1">
      <c r="AW644" s="1174"/>
      <c r="AX644" s="1174"/>
      <c r="AY644" s="1174"/>
      <c r="AZ644" s="1174"/>
      <c r="BA644" s="1174"/>
      <c r="BB644" s="1174"/>
      <c r="BC644" s="1174"/>
      <c r="BD644" s="1174"/>
      <c r="BE644" s="1174"/>
      <c r="BG644" s="49"/>
    </row>
    <row r="645" spans="49:59" ht="12" customHeight="1">
      <c r="AW645" s="1174"/>
      <c r="AX645" s="1174"/>
      <c r="AY645" s="1174"/>
      <c r="AZ645" s="1174"/>
      <c r="BA645" s="1174"/>
      <c r="BB645" s="1174"/>
      <c r="BC645" s="1174"/>
      <c r="BD645" s="1174"/>
      <c r="BE645" s="1174"/>
      <c r="BG645" s="49"/>
    </row>
    <row r="646" spans="49:59" ht="12" customHeight="1">
      <c r="AW646" s="1174"/>
      <c r="AX646" s="1174"/>
      <c r="AY646" s="1174"/>
      <c r="AZ646" s="1174"/>
      <c r="BA646" s="1174"/>
      <c r="BB646" s="1174"/>
      <c r="BC646" s="1174"/>
      <c r="BD646" s="1174"/>
      <c r="BE646" s="1174"/>
      <c r="BG646" s="49"/>
    </row>
    <row r="647" spans="49:59" ht="12" customHeight="1">
      <c r="AW647" s="1174"/>
      <c r="AX647" s="1174"/>
      <c r="AY647" s="1174"/>
      <c r="AZ647" s="1174"/>
      <c r="BA647" s="1174"/>
      <c r="BB647" s="1174"/>
      <c r="BC647" s="1174"/>
      <c r="BD647" s="1174"/>
      <c r="BE647" s="1174"/>
      <c r="BG647" s="49"/>
    </row>
    <row r="648" spans="49:59" ht="12" customHeight="1">
      <c r="AW648" s="1174"/>
      <c r="AX648" s="1174"/>
      <c r="AY648" s="1174"/>
      <c r="AZ648" s="1174"/>
      <c r="BA648" s="1174"/>
      <c r="BB648" s="1174"/>
      <c r="BC648" s="1174"/>
      <c r="BD648" s="1174"/>
      <c r="BE648" s="1174"/>
      <c r="BG648" s="49"/>
    </row>
    <row r="649" spans="49:59" ht="12" customHeight="1">
      <c r="AW649" s="1174"/>
      <c r="AX649" s="1174"/>
      <c r="AY649" s="1174"/>
      <c r="AZ649" s="1174"/>
      <c r="BA649" s="1174"/>
      <c r="BB649" s="1174"/>
      <c r="BC649" s="1174"/>
      <c r="BD649" s="1174"/>
      <c r="BE649" s="1174"/>
      <c r="BG649" s="49"/>
    </row>
    <row r="650" spans="49:59" ht="12" customHeight="1">
      <c r="AW650" s="1174"/>
      <c r="AX650" s="1174"/>
      <c r="AY650" s="1174"/>
      <c r="AZ650" s="1174"/>
      <c r="BA650" s="1174"/>
      <c r="BB650" s="1174"/>
      <c r="BC650" s="1174"/>
      <c r="BD650" s="1174"/>
      <c r="BE650" s="1174"/>
      <c r="BG650" s="49"/>
    </row>
    <row r="651" spans="49:59" ht="12" customHeight="1">
      <c r="AW651" s="1174"/>
      <c r="AX651" s="1174"/>
      <c r="AY651" s="1174"/>
      <c r="AZ651" s="1174"/>
      <c r="BA651" s="1174"/>
      <c r="BB651" s="1174"/>
      <c r="BC651" s="1174"/>
      <c r="BD651" s="1174"/>
      <c r="BE651" s="1174"/>
      <c r="BG651" s="49"/>
    </row>
    <row r="652" spans="49:59" ht="12" customHeight="1">
      <c r="AW652" s="1174"/>
      <c r="AX652" s="1174"/>
      <c r="AY652" s="1174"/>
      <c r="AZ652" s="1174"/>
      <c r="BA652" s="1174"/>
      <c r="BB652" s="1174"/>
      <c r="BC652" s="1174"/>
      <c r="BD652" s="1174"/>
      <c r="BE652" s="1174"/>
      <c r="BG652" s="49"/>
    </row>
    <row r="653" spans="49:59" ht="12" customHeight="1">
      <c r="AW653" s="1174"/>
      <c r="AX653" s="1174"/>
      <c r="AY653" s="1174"/>
      <c r="AZ653" s="1174"/>
      <c r="BA653" s="1174"/>
      <c r="BB653" s="1174"/>
      <c r="BC653" s="1174"/>
      <c r="BD653" s="1174"/>
      <c r="BE653" s="1174"/>
      <c r="BG653" s="49"/>
    </row>
    <row r="654" spans="49:59" ht="12" customHeight="1">
      <c r="AW654" s="1174"/>
      <c r="AX654" s="1174"/>
      <c r="AY654" s="1174"/>
      <c r="AZ654" s="1174"/>
      <c r="BA654" s="1174"/>
      <c r="BB654" s="1174"/>
      <c r="BC654" s="1174"/>
      <c r="BD654" s="1174"/>
      <c r="BE654" s="1174"/>
      <c r="BG654" s="49"/>
    </row>
    <row r="655" spans="49:59" ht="12" customHeight="1">
      <c r="AW655" s="1174"/>
      <c r="AX655" s="1174"/>
      <c r="AY655" s="1174"/>
      <c r="AZ655" s="1174"/>
      <c r="BA655" s="1174"/>
      <c r="BB655" s="1174"/>
      <c r="BC655" s="1174"/>
      <c r="BD655" s="1174"/>
      <c r="BE655" s="1174"/>
      <c r="BG655" s="49"/>
    </row>
    <row r="656" spans="49:59" ht="12" customHeight="1">
      <c r="AW656" s="1174"/>
      <c r="AX656" s="1174"/>
      <c r="AY656" s="1174"/>
      <c r="AZ656" s="1174"/>
      <c r="BA656" s="1174"/>
      <c r="BB656" s="1174"/>
      <c r="BC656" s="1174"/>
      <c r="BD656" s="1174"/>
      <c r="BE656" s="1174"/>
      <c r="BG656" s="49"/>
    </row>
    <row r="657" spans="49:59" ht="12" customHeight="1">
      <c r="AW657" s="1174"/>
      <c r="AX657" s="1174"/>
      <c r="AY657" s="1174"/>
      <c r="AZ657" s="1174"/>
      <c r="BA657" s="1174"/>
      <c r="BB657" s="1174"/>
      <c r="BC657" s="1174"/>
      <c r="BD657" s="1174"/>
      <c r="BE657" s="1174"/>
      <c r="BG657" s="49"/>
    </row>
    <row r="658" spans="49:59" ht="12" customHeight="1">
      <c r="AW658" s="1174"/>
      <c r="AX658" s="1174"/>
      <c r="AY658" s="1174"/>
      <c r="AZ658" s="1174"/>
      <c r="BA658" s="1174"/>
      <c r="BB658" s="1174"/>
      <c r="BC658" s="1174"/>
      <c r="BD658" s="1174"/>
      <c r="BE658" s="1174"/>
      <c r="BG658" s="49"/>
    </row>
    <row r="659" spans="49:59" ht="12" customHeight="1">
      <c r="AW659" s="1174"/>
      <c r="AX659" s="1174"/>
      <c r="AY659" s="1174"/>
      <c r="AZ659" s="1174"/>
      <c r="BA659" s="1174"/>
      <c r="BB659" s="1174"/>
      <c r="BC659" s="1174"/>
      <c r="BD659" s="1174"/>
      <c r="BE659" s="1174"/>
      <c r="BG659" s="49"/>
    </row>
    <row r="660" spans="49:59" ht="12" customHeight="1">
      <c r="AW660" s="1174"/>
      <c r="AX660" s="1174"/>
      <c r="AY660" s="1174"/>
      <c r="AZ660" s="1174"/>
      <c r="BA660" s="1174"/>
      <c r="BB660" s="1174"/>
      <c r="BC660" s="1174"/>
      <c r="BD660" s="1174"/>
      <c r="BE660" s="1174"/>
      <c r="BG660" s="49"/>
    </row>
    <row r="661" spans="49:59" ht="12" customHeight="1">
      <c r="AW661" s="1174"/>
      <c r="AX661" s="1174"/>
      <c r="AY661" s="1174"/>
      <c r="AZ661" s="1174"/>
      <c r="BA661" s="1174"/>
      <c r="BB661" s="1174"/>
      <c r="BC661" s="1174"/>
      <c r="BD661" s="1174"/>
      <c r="BE661" s="1174"/>
      <c r="BG661" s="49"/>
    </row>
    <row r="662" spans="49:59" ht="12" customHeight="1">
      <c r="AW662" s="1174"/>
      <c r="AX662" s="1174"/>
      <c r="AY662" s="1174"/>
      <c r="AZ662" s="1174"/>
      <c r="BA662" s="1174"/>
      <c r="BB662" s="1174"/>
      <c r="BC662" s="1174"/>
      <c r="BD662" s="1174"/>
      <c r="BE662" s="1174"/>
      <c r="BG662" s="49"/>
    </row>
    <row r="663" spans="49:59" ht="12" customHeight="1">
      <c r="AW663" s="1174"/>
      <c r="AX663" s="1174"/>
      <c r="AY663" s="1174"/>
      <c r="AZ663" s="1174"/>
      <c r="BA663" s="1174"/>
      <c r="BB663" s="1174"/>
      <c r="BC663" s="1174"/>
      <c r="BD663" s="1174"/>
      <c r="BE663" s="1174"/>
      <c r="BG663" s="49"/>
    </row>
    <row r="664" spans="49:59" ht="12" customHeight="1">
      <c r="AW664" s="1174"/>
      <c r="AX664" s="1174"/>
      <c r="AY664" s="1174"/>
      <c r="AZ664" s="1174"/>
      <c r="BA664" s="1174"/>
      <c r="BB664" s="1174"/>
      <c r="BC664" s="1174"/>
      <c r="BD664" s="1174"/>
      <c r="BE664" s="1174"/>
      <c r="BG664" s="49"/>
    </row>
    <row r="665" spans="49:59" ht="12" customHeight="1">
      <c r="AW665" s="1174"/>
      <c r="AX665" s="1174"/>
      <c r="AY665" s="1174"/>
      <c r="AZ665" s="1174"/>
      <c r="BA665" s="1174"/>
      <c r="BB665" s="1174"/>
      <c r="BC665" s="1174"/>
      <c r="BD665" s="1174"/>
      <c r="BE665" s="1174"/>
      <c r="BG665" s="49"/>
    </row>
    <row r="666" spans="49:59" ht="12" customHeight="1">
      <c r="AW666" s="1174"/>
      <c r="AX666" s="1174"/>
      <c r="AY666" s="1174"/>
      <c r="AZ666" s="1174"/>
      <c r="BA666" s="1174"/>
      <c r="BB666" s="1174"/>
      <c r="BC666" s="1174"/>
      <c r="BD666" s="1174"/>
      <c r="BE666" s="1174"/>
      <c r="BG666" s="49"/>
    </row>
    <row r="667" spans="49:59" ht="12" customHeight="1">
      <c r="AW667" s="1174"/>
      <c r="AX667" s="1174"/>
      <c r="AY667" s="1174"/>
      <c r="AZ667" s="1174"/>
      <c r="BA667" s="1174"/>
      <c r="BB667" s="1174"/>
      <c r="BC667" s="1174"/>
      <c r="BD667" s="1174"/>
      <c r="BE667" s="1174"/>
      <c r="BG667" s="49"/>
    </row>
    <row r="668" spans="49:59" ht="12" customHeight="1">
      <c r="AW668" s="1174"/>
      <c r="AX668" s="1174"/>
      <c r="AY668" s="1174"/>
      <c r="AZ668" s="1174"/>
      <c r="BA668" s="1174"/>
      <c r="BB668" s="1174"/>
      <c r="BC668" s="1174"/>
      <c r="BD668" s="1174"/>
      <c r="BE668" s="1174"/>
      <c r="BG668" s="49"/>
    </row>
    <row r="669" spans="49:59" ht="12" customHeight="1">
      <c r="AW669" s="1174"/>
      <c r="AX669" s="1174"/>
      <c r="AY669" s="1174"/>
      <c r="AZ669" s="1174"/>
      <c r="BA669" s="1174"/>
      <c r="BB669" s="1174"/>
      <c r="BC669" s="1174"/>
      <c r="BD669" s="1174"/>
      <c r="BE669" s="1174"/>
      <c r="BG669" s="49"/>
    </row>
    <row r="670" spans="49:59" ht="12" customHeight="1">
      <c r="AW670" s="1174"/>
      <c r="AX670" s="1174"/>
      <c r="AY670" s="1174"/>
      <c r="AZ670" s="1174"/>
      <c r="BA670" s="1174"/>
      <c r="BB670" s="1174"/>
      <c r="BC670" s="1174"/>
      <c r="BD670" s="1174"/>
      <c r="BE670" s="1174"/>
      <c r="BG670" s="49"/>
    </row>
    <row r="671" spans="49:59" ht="12" customHeight="1">
      <c r="AW671" s="1174"/>
      <c r="AX671" s="1174"/>
      <c r="AY671" s="1174"/>
      <c r="AZ671" s="1174"/>
      <c r="BA671" s="1174"/>
      <c r="BB671" s="1174"/>
      <c r="BC671" s="1174"/>
      <c r="BD671" s="1174"/>
      <c r="BE671" s="1174"/>
      <c r="BG671" s="49"/>
    </row>
    <row r="672" spans="49:59" ht="12" customHeight="1">
      <c r="AW672" s="1174"/>
      <c r="AX672" s="1174"/>
      <c r="AY672" s="1174"/>
      <c r="AZ672" s="1174"/>
      <c r="BA672" s="1174"/>
      <c r="BB672" s="1174"/>
      <c r="BC672" s="1174"/>
      <c r="BD672" s="1174"/>
      <c r="BE672" s="1174"/>
      <c r="BG672" s="49"/>
    </row>
    <row r="673" spans="49:59" ht="12" customHeight="1">
      <c r="AW673" s="1174"/>
      <c r="AX673" s="1174"/>
      <c r="AY673" s="1174"/>
      <c r="AZ673" s="1174"/>
      <c r="BA673" s="1174"/>
      <c r="BB673" s="1174"/>
      <c r="BC673" s="1174"/>
      <c r="BD673" s="1174"/>
      <c r="BE673" s="1174"/>
      <c r="BG673" s="49"/>
    </row>
    <row r="674" spans="49:59" ht="12" customHeight="1">
      <c r="AW674" s="1174"/>
      <c r="AX674" s="1174"/>
      <c r="AY674" s="1174"/>
      <c r="AZ674" s="1174"/>
      <c r="BA674" s="1174"/>
      <c r="BB674" s="1174"/>
      <c r="BC674" s="1174"/>
      <c r="BD674" s="1174"/>
      <c r="BE674" s="1174"/>
      <c r="BG674" s="49"/>
    </row>
    <row r="675" spans="49:59" ht="12" customHeight="1">
      <c r="AW675" s="1174"/>
      <c r="AX675" s="1174"/>
      <c r="AY675" s="1174"/>
      <c r="AZ675" s="1174"/>
      <c r="BA675" s="1174"/>
      <c r="BB675" s="1174"/>
      <c r="BC675" s="1174"/>
      <c r="BD675" s="1174"/>
      <c r="BE675" s="1174"/>
      <c r="BG675" s="49"/>
    </row>
    <row r="676" spans="49:59" ht="12" customHeight="1">
      <c r="AW676" s="1174"/>
      <c r="AX676" s="1174"/>
      <c r="AY676" s="1174"/>
      <c r="AZ676" s="1174"/>
      <c r="BA676" s="1174"/>
      <c r="BB676" s="1174"/>
      <c r="BC676" s="1174"/>
      <c r="BD676" s="1174"/>
      <c r="BE676" s="1174"/>
      <c r="BG676" s="49"/>
    </row>
    <row r="677" spans="49:59" ht="12" customHeight="1">
      <c r="AW677" s="1174"/>
      <c r="AX677" s="1174"/>
      <c r="AY677" s="1174"/>
      <c r="AZ677" s="1174"/>
      <c r="BA677" s="1174"/>
      <c r="BB677" s="1174"/>
      <c r="BC677" s="1174"/>
      <c r="BD677" s="1174"/>
      <c r="BE677" s="1174"/>
      <c r="BG677" s="49"/>
    </row>
    <row r="678" spans="49:59" ht="12" customHeight="1">
      <c r="AW678" s="1174"/>
      <c r="AX678" s="1174"/>
      <c r="AY678" s="1174"/>
      <c r="AZ678" s="1174"/>
      <c r="BA678" s="1174"/>
      <c r="BB678" s="1174"/>
      <c r="BC678" s="1174"/>
      <c r="BD678" s="1174"/>
      <c r="BE678" s="1174"/>
      <c r="BG678" s="49"/>
    </row>
    <row r="679" spans="49:59" ht="12" customHeight="1">
      <c r="AW679" s="1174"/>
      <c r="AX679" s="1174"/>
      <c r="AY679" s="1174"/>
      <c r="AZ679" s="1174"/>
      <c r="BA679" s="1174"/>
      <c r="BB679" s="1174"/>
      <c r="BC679" s="1174"/>
      <c r="BD679" s="1174"/>
      <c r="BE679" s="1174"/>
      <c r="BG679" s="49"/>
    </row>
    <row r="680" spans="49:59" ht="12" customHeight="1">
      <c r="AW680" s="1174"/>
      <c r="AX680" s="1174"/>
      <c r="AY680" s="1174"/>
      <c r="AZ680" s="1174"/>
      <c r="BA680" s="1174"/>
      <c r="BB680" s="1174"/>
      <c r="BC680" s="1174"/>
      <c r="BD680" s="1174"/>
      <c r="BE680" s="1174"/>
      <c r="BG680" s="49"/>
    </row>
    <row r="681" spans="49:59" ht="12" customHeight="1">
      <c r="AW681" s="1174"/>
      <c r="AX681" s="1174"/>
      <c r="AY681" s="1174"/>
      <c r="AZ681" s="1174"/>
      <c r="BA681" s="1174"/>
      <c r="BB681" s="1174"/>
      <c r="BC681" s="1174"/>
      <c r="BD681" s="1174"/>
      <c r="BE681" s="1174"/>
      <c r="BG681" s="49"/>
    </row>
    <row r="682" spans="49:59" ht="12" customHeight="1">
      <c r="AW682" s="1174"/>
      <c r="AX682" s="1174"/>
      <c r="AY682" s="1174"/>
      <c r="AZ682" s="1174"/>
      <c r="BA682" s="1174"/>
      <c r="BB682" s="1174"/>
      <c r="BC682" s="1174"/>
      <c r="BD682" s="1174"/>
      <c r="BE682" s="1174"/>
      <c r="BG682" s="49"/>
    </row>
    <row r="683" spans="49:59" ht="12" customHeight="1">
      <c r="AW683" s="1174"/>
      <c r="AX683" s="1174"/>
      <c r="AY683" s="1174"/>
      <c r="AZ683" s="1174"/>
      <c r="BA683" s="1174"/>
      <c r="BB683" s="1174"/>
      <c r="BC683" s="1174"/>
      <c r="BD683" s="1174"/>
      <c r="BE683" s="1174"/>
      <c r="BG683" s="49"/>
    </row>
    <row r="684" spans="49:59" ht="12" customHeight="1">
      <c r="AW684" s="1174"/>
      <c r="AX684" s="1174"/>
      <c r="AY684" s="1174"/>
      <c r="AZ684" s="1174"/>
      <c r="BA684" s="1174"/>
      <c r="BB684" s="1174"/>
      <c r="BC684" s="1174"/>
      <c r="BD684" s="1174"/>
      <c r="BE684" s="1174"/>
      <c r="BG684" s="49"/>
    </row>
    <row r="685" spans="49:59" ht="12" customHeight="1">
      <c r="AW685" s="1174"/>
      <c r="AX685" s="1174"/>
      <c r="AY685" s="1174"/>
      <c r="AZ685" s="1174"/>
      <c r="BA685" s="1174"/>
      <c r="BB685" s="1174"/>
      <c r="BC685" s="1174"/>
      <c r="BD685" s="1174"/>
      <c r="BE685" s="1174"/>
      <c r="BG685" s="49"/>
    </row>
    <row r="686" spans="49:59" ht="12" customHeight="1">
      <c r="AW686" s="1174"/>
      <c r="AX686" s="1174"/>
      <c r="AY686" s="1174"/>
      <c r="AZ686" s="1174"/>
      <c r="BA686" s="1174"/>
      <c r="BB686" s="1174"/>
      <c r="BC686" s="1174"/>
      <c r="BD686" s="1174"/>
      <c r="BE686" s="1174"/>
      <c r="BG686" s="49"/>
    </row>
    <row r="687" spans="49:59" ht="12" customHeight="1">
      <c r="AW687" s="1174"/>
      <c r="AX687" s="1174"/>
      <c r="AY687" s="1174"/>
      <c r="AZ687" s="1174"/>
      <c r="BA687" s="1174"/>
      <c r="BB687" s="1174"/>
      <c r="BC687" s="1174"/>
      <c r="BD687" s="1174"/>
      <c r="BE687" s="1174"/>
      <c r="BG687" s="49"/>
    </row>
    <row r="688" spans="49:59" ht="12" customHeight="1">
      <c r="AW688" s="1174"/>
      <c r="AX688" s="1174"/>
      <c r="AY688" s="1174"/>
      <c r="AZ688" s="1174"/>
      <c r="BA688" s="1174"/>
      <c r="BB688" s="1174"/>
      <c r="BC688" s="1174"/>
      <c r="BD688" s="1174"/>
      <c r="BE688" s="1174"/>
      <c r="BG688" s="49"/>
    </row>
    <row r="689" spans="49:59" ht="12" customHeight="1">
      <c r="AW689" s="1174"/>
      <c r="AX689" s="1174"/>
      <c r="AY689" s="1174"/>
      <c r="AZ689" s="1174"/>
      <c r="BA689" s="1174"/>
      <c r="BB689" s="1174"/>
      <c r="BC689" s="1174"/>
      <c r="BD689" s="1174"/>
      <c r="BE689" s="1174"/>
      <c r="BG689" s="49"/>
    </row>
    <row r="690" spans="49:59" ht="12" customHeight="1">
      <c r="AW690" s="1174"/>
      <c r="AX690" s="1174"/>
      <c r="AY690" s="1174"/>
      <c r="AZ690" s="1174"/>
      <c r="BA690" s="1174"/>
      <c r="BB690" s="1174"/>
      <c r="BC690" s="1174"/>
      <c r="BD690" s="1174"/>
      <c r="BE690" s="1174"/>
      <c r="BG690" s="49"/>
    </row>
    <row r="691" spans="49:59" ht="12" customHeight="1">
      <c r="AW691" s="1174"/>
      <c r="AX691" s="1174"/>
      <c r="AY691" s="1174"/>
      <c r="AZ691" s="1174"/>
      <c r="BA691" s="1174"/>
      <c r="BB691" s="1174"/>
      <c r="BC691" s="1174"/>
      <c r="BD691" s="1174"/>
      <c r="BE691" s="1174"/>
      <c r="BG691" s="49"/>
    </row>
    <row r="692" spans="49:59" ht="12" customHeight="1">
      <c r="AW692" s="1174"/>
      <c r="AX692" s="1174"/>
      <c r="AY692" s="1174"/>
      <c r="AZ692" s="1174"/>
      <c r="BA692" s="1174"/>
      <c r="BB692" s="1174"/>
      <c r="BC692" s="1174"/>
      <c r="BD692" s="1174"/>
      <c r="BE692" s="1174"/>
      <c r="BG692" s="49"/>
    </row>
    <row r="693" spans="49:59" ht="12" customHeight="1">
      <c r="AW693" s="1174"/>
      <c r="AX693" s="1174"/>
      <c r="AY693" s="1174"/>
      <c r="AZ693" s="1174"/>
      <c r="BA693" s="1174"/>
      <c r="BB693" s="1174"/>
      <c r="BC693" s="1174"/>
      <c r="BD693" s="1174"/>
      <c r="BE693" s="1174"/>
      <c r="BG693" s="49"/>
    </row>
    <row r="694" spans="49:59" ht="12" customHeight="1">
      <c r="AW694" s="1174"/>
      <c r="AX694" s="1174"/>
      <c r="AY694" s="1174"/>
      <c r="AZ694" s="1174"/>
      <c r="BA694" s="1174"/>
      <c r="BB694" s="1174"/>
      <c r="BC694" s="1174"/>
      <c r="BD694" s="1174"/>
      <c r="BE694" s="1174"/>
      <c r="BG694" s="49"/>
    </row>
    <row r="695" spans="49:59" ht="12" customHeight="1">
      <c r="AW695" s="1174"/>
      <c r="AX695" s="1174"/>
      <c r="AY695" s="1174"/>
      <c r="AZ695" s="1174"/>
      <c r="BA695" s="1174"/>
      <c r="BB695" s="1174"/>
      <c r="BC695" s="1174"/>
      <c r="BD695" s="1174"/>
      <c r="BE695" s="1174"/>
      <c r="BG695" s="49"/>
    </row>
    <row r="696" spans="49:59" ht="12" customHeight="1">
      <c r="AW696" s="1174"/>
      <c r="AX696" s="1174"/>
      <c r="AY696" s="1174"/>
      <c r="AZ696" s="1174"/>
      <c r="BA696" s="1174"/>
      <c r="BB696" s="1174"/>
      <c r="BC696" s="1174"/>
      <c r="BD696" s="1174"/>
      <c r="BE696" s="1174"/>
      <c r="BG696" s="49"/>
    </row>
    <row r="697" spans="49:59" ht="12" customHeight="1">
      <c r="AW697" s="1174"/>
      <c r="AX697" s="1174"/>
      <c r="AY697" s="1174"/>
      <c r="AZ697" s="1174"/>
      <c r="BA697" s="1174"/>
      <c r="BB697" s="1174"/>
      <c r="BC697" s="1174"/>
      <c r="BD697" s="1174"/>
      <c r="BE697" s="1174"/>
      <c r="BG697" s="49"/>
    </row>
    <row r="698" spans="49:59" ht="12" customHeight="1">
      <c r="AW698" s="1174"/>
      <c r="AX698" s="1174"/>
      <c r="AY698" s="1174"/>
      <c r="AZ698" s="1174"/>
      <c r="BA698" s="1174"/>
      <c r="BB698" s="1174"/>
      <c r="BC698" s="1174"/>
      <c r="BD698" s="1174"/>
      <c r="BE698" s="1174"/>
      <c r="BG698" s="49"/>
    </row>
    <row r="699" spans="49:59" ht="12" customHeight="1">
      <c r="AW699" s="1174"/>
      <c r="AX699" s="1174"/>
      <c r="AY699" s="1174"/>
      <c r="AZ699" s="1174"/>
      <c r="BA699" s="1174"/>
      <c r="BB699" s="1174"/>
      <c r="BC699" s="1174"/>
      <c r="BD699" s="1174"/>
      <c r="BE699" s="1174"/>
      <c r="BG699" s="49"/>
    </row>
    <row r="700" spans="49:59" ht="12" customHeight="1">
      <c r="AW700" s="1174"/>
      <c r="AX700" s="1174"/>
      <c r="AY700" s="1174"/>
      <c r="AZ700" s="1174"/>
      <c r="BA700" s="1174"/>
      <c r="BB700" s="1174"/>
      <c r="BC700" s="1174"/>
      <c r="BD700" s="1174"/>
      <c r="BE700" s="1174"/>
      <c r="BG700" s="49"/>
    </row>
    <row r="701" spans="49:59" ht="12" customHeight="1">
      <c r="AW701" s="1174"/>
      <c r="AX701" s="1174"/>
      <c r="AY701" s="1174"/>
      <c r="AZ701" s="1174"/>
      <c r="BA701" s="1174"/>
      <c r="BB701" s="1174"/>
      <c r="BC701" s="1174"/>
      <c r="BD701" s="1174"/>
      <c r="BE701" s="1174"/>
      <c r="BG701" s="49"/>
    </row>
    <row r="702" spans="49:59" ht="12" customHeight="1">
      <c r="AW702" s="1174"/>
      <c r="AX702" s="1174"/>
      <c r="AY702" s="1174"/>
      <c r="AZ702" s="1174"/>
      <c r="BA702" s="1174"/>
      <c r="BB702" s="1174"/>
      <c r="BC702" s="1174"/>
      <c r="BD702" s="1174"/>
      <c r="BE702" s="1174"/>
      <c r="BG702" s="49"/>
    </row>
    <row r="703" spans="49:59" ht="12" customHeight="1">
      <c r="AW703" s="1174"/>
      <c r="AX703" s="1174"/>
      <c r="AY703" s="1174"/>
      <c r="AZ703" s="1174"/>
      <c r="BA703" s="1174"/>
      <c r="BB703" s="1174"/>
      <c r="BC703" s="1174"/>
      <c r="BD703" s="1174"/>
      <c r="BE703" s="1174"/>
      <c r="BG703" s="49"/>
    </row>
    <row r="704" spans="49:59" ht="12" customHeight="1">
      <c r="AW704" s="1174"/>
      <c r="AX704" s="1174"/>
      <c r="AY704" s="1174"/>
      <c r="AZ704" s="1174"/>
      <c r="BA704" s="1174"/>
      <c r="BB704" s="1174"/>
      <c r="BC704" s="1174"/>
      <c r="BD704" s="1174"/>
      <c r="BE704" s="1174"/>
      <c r="BG704" s="49"/>
    </row>
    <row r="705" spans="49:59" ht="12" customHeight="1">
      <c r="AW705" s="1174"/>
      <c r="AX705" s="1174"/>
      <c r="AY705" s="1174"/>
      <c r="AZ705" s="1174"/>
      <c r="BA705" s="1174"/>
      <c r="BB705" s="1174"/>
      <c r="BC705" s="1174"/>
      <c r="BD705" s="1174"/>
      <c r="BE705" s="1174"/>
      <c r="BG705" s="49"/>
    </row>
    <row r="706" spans="49:59" ht="12" customHeight="1">
      <c r="AW706" s="1174"/>
      <c r="AX706" s="1174"/>
      <c r="AY706" s="1174"/>
      <c r="AZ706" s="1174"/>
      <c r="BA706" s="1174"/>
      <c r="BB706" s="1174"/>
      <c r="BC706" s="1174"/>
      <c r="BD706" s="1174"/>
      <c r="BE706" s="1174"/>
      <c r="BG706" s="49"/>
    </row>
    <row r="707" spans="49:59" ht="12" customHeight="1">
      <c r="AW707" s="1174"/>
      <c r="AX707" s="1174"/>
      <c r="AY707" s="1174"/>
      <c r="AZ707" s="1174"/>
      <c r="BA707" s="1174"/>
      <c r="BB707" s="1174"/>
      <c r="BC707" s="1174"/>
      <c r="BD707" s="1174"/>
      <c r="BE707" s="1174"/>
      <c r="BG707" s="49"/>
    </row>
    <row r="708" spans="49:59" ht="12" customHeight="1">
      <c r="AW708" s="1174"/>
      <c r="AX708" s="1174"/>
      <c r="AY708" s="1174"/>
      <c r="AZ708" s="1174"/>
      <c r="BA708" s="1174"/>
      <c r="BB708" s="1174"/>
      <c r="BC708" s="1174"/>
      <c r="BD708" s="1174"/>
      <c r="BE708" s="1174"/>
      <c r="BG708" s="49"/>
    </row>
    <row r="709" spans="49:59" ht="12" customHeight="1">
      <c r="AW709" s="1174"/>
      <c r="AX709" s="1174"/>
      <c r="AY709" s="1174"/>
      <c r="AZ709" s="1174"/>
      <c r="BA709" s="1174"/>
      <c r="BB709" s="1174"/>
      <c r="BC709" s="1174"/>
      <c r="BD709" s="1174"/>
      <c r="BE709" s="1174"/>
      <c r="BG709" s="49"/>
    </row>
    <row r="710" spans="49:59" ht="12" customHeight="1">
      <c r="AW710" s="1174"/>
      <c r="AX710" s="1174"/>
      <c r="AY710" s="1174"/>
      <c r="AZ710" s="1174"/>
      <c r="BA710" s="1174"/>
      <c r="BB710" s="1174"/>
      <c r="BC710" s="1174"/>
      <c r="BD710" s="1174"/>
      <c r="BE710" s="1174"/>
      <c r="BG710" s="49"/>
    </row>
    <row r="711" spans="49:59" ht="12" customHeight="1">
      <c r="AW711" s="1174"/>
      <c r="AX711" s="1174"/>
      <c r="AY711" s="1174"/>
      <c r="AZ711" s="1174"/>
      <c r="BA711" s="1174"/>
      <c r="BB711" s="1174"/>
      <c r="BC711" s="1174"/>
      <c r="BD711" s="1174"/>
      <c r="BE711" s="1174"/>
      <c r="BG711" s="49"/>
    </row>
    <row r="712" spans="49:59" ht="12" customHeight="1">
      <c r="AW712" s="1174"/>
      <c r="AX712" s="1174"/>
      <c r="AY712" s="1174"/>
      <c r="AZ712" s="1174"/>
      <c r="BA712" s="1174"/>
      <c r="BB712" s="1174"/>
      <c r="BC712" s="1174"/>
      <c r="BD712" s="1174"/>
      <c r="BE712" s="1174"/>
      <c r="BG712" s="49"/>
    </row>
    <row r="713" spans="49:59" ht="12" customHeight="1">
      <c r="AW713" s="1174"/>
      <c r="AX713" s="1174"/>
      <c r="AY713" s="1174"/>
      <c r="AZ713" s="1174"/>
      <c r="BA713" s="1174"/>
      <c r="BB713" s="1174"/>
      <c r="BC713" s="1174"/>
      <c r="BD713" s="1174"/>
      <c r="BE713" s="1174"/>
      <c r="BG713" s="49"/>
    </row>
    <row r="714" spans="49:59" ht="12" customHeight="1">
      <c r="AW714" s="1174"/>
      <c r="AX714" s="1174"/>
      <c r="AY714" s="1174"/>
      <c r="AZ714" s="1174"/>
      <c r="BA714" s="1174"/>
      <c r="BB714" s="1174"/>
      <c r="BC714" s="1174"/>
      <c r="BD714" s="1174"/>
      <c r="BE714" s="1174"/>
      <c r="BG714" s="49"/>
    </row>
    <row r="715" spans="49:59" ht="12" customHeight="1">
      <c r="AW715" s="1174"/>
      <c r="AX715" s="1174"/>
      <c r="AY715" s="1174"/>
      <c r="AZ715" s="1174"/>
      <c r="BA715" s="1174"/>
      <c r="BB715" s="1174"/>
      <c r="BC715" s="1174"/>
      <c r="BD715" s="1174"/>
      <c r="BE715" s="1174"/>
      <c r="BG715" s="49"/>
    </row>
    <row r="716" spans="49:59" ht="12" customHeight="1">
      <c r="AW716" s="1174"/>
      <c r="AX716" s="1174"/>
      <c r="AY716" s="1174"/>
      <c r="AZ716" s="1174"/>
      <c r="BA716" s="1174"/>
      <c r="BB716" s="1174"/>
      <c r="BC716" s="1174"/>
      <c r="BD716" s="1174"/>
      <c r="BE716" s="1174"/>
      <c r="BG716" s="49"/>
    </row>
    <row r="717" spans="49:59" ht="12" customHeight="1">
      <c r="AW717" s="1174"/>
      <c r="AX717" s="1174"/>
      <c r="AY717" s="1174"/>
      <c r="AZ717" s="1174"/>
      <c r="BA717" s="1174"/>
      <c r="BB717" s="1174"/>
      <c r="BC717" s="1174"/>
      <c r="BD717" s="1174"/>
      <c r="BE717" s="1174"/>
      <c r="BG717" s="49"/>
    </row>
    <row r="718" spans="49:59" ht="12" customHeight="1">
      <c r="AW718" s="1174"/>
      <c r="AX718" s="1174"/>
      <c r="AY718" s="1174"/>
      <c r="AZ718" s="1174"/>
      <c r="BA718" s="1174"/>
      <c r="BB718" s="1174"/>
      <c r="BC718" s="1174"/>
      <c r="BD718" s="1174"/>
      <c r="BE718" s="1174"/>
      <c r="BG718" s="49"/>
    </row>
    <row r="719" spans="49:59" ht="12" customHeight="1">
      <c r="AW719" s="1174"/>
      <c r="AX719" s="1174"/>
      <c r="AY719" s="1174"/>
      <c r="AZ719" s="1174"/>
      <c r="BA719" s="1174"/>
      <c r="BB719" s="1174"/>
      <c r="BC719" s="1174"/>
      <c r="BD719" s="1174"/>
      <c r="BE719" s="1174"/>
      <c r="BG719" s="49"/>
    </row>
    <row r="720" spans="49:59" ht="12" customHeight="1">
      <c r="AW720" s="1174"/>
      <c r="AX720" s="1174"/>
      <c r="AY720" s="1174"/>
      <c r="AZ720" s="1174"/>
      <c r="BA720" s="1174"/>
      <c r="BB720" s="1174"/>
      <c r="BC720" s="1174"/>
      <c r="BD720" s="1174"/>
      <c r="BE720" s="1174"/>
      <c r="BG720" s="49"/>
    </row>
    <row r="721" spans="49:59" ht="12" customHeight="1">
      <c r="AW721" s="1174"/>
      <c r="AX721" s="1174"/>
      <c r="AY721" s="1174"/>
      <c r="AZ721" s="1174"/>
      <c r="BA721" s="1174"/>
      <c r="BB721" s="1174"/>
      <c r="BC721" s="1174"/>
      <c r="BD721" s="1174"/>
      <c r="BE721" s="1174"/>
      <c r="BG721" s="49"/>
    </row>
    <row r="722" spans="49:59" ht="12" customHeight="1">
      <c r="AW722" s="1174"/>
      <c r="AX722" s="1174"/>
      <c r="AY722" s="1174"/>
      <c r="AZ722" s="1174"/>
      <c r="BA722" s="1174"/>
      <c r="BB722" s="1174"/>
      <c r="BC722" s="1174"/>
      <c r="BD722" s="1174"/>
      <c r="BE722" s="1174"/>
      <c r="BG722" s="49"/>
    </row>
    <row r="723" spans="49:59" ht="12" customHeight="1">
      <c r="AW723" s="1174"/>
      <c r="AX723" s="1174"/>
      <c r="AY723" s="1174"/>
      <c r="AZ723" s="1174"/>
      <c r="BA723" s="1174"/>
      <c r="BB723" s="1174"/>
      <c r="BC723" s="1174"/>
      <c r="BD723" s="1174"/>
      <c r="BE723" s="1174"/>
      <c r="BG723" s="49"/>
    </row>
    <row r="724" spans="49:59" ht="12" customHeight="1">
      <c r="AW724" s="1174"/>
      <c r="AX724" s="1174"/>
      <c r="AY724" s="1174"/>
      <c r="AZ724" s="1174"/>
      <c r="BA724" s="1174"/>
      <c r="BB724" s="1174"/>
      <c r="BC724" s="1174"/>
      <c r="BD724" s="1174"/>
      <c r="BE724" s="1174"/>
      <c r="BG724" s="49"/>
    </row>
    <row r="725" spans="49:59" ht="12" customHeight="1">
      <c r="AW725" s="1174"/>
      <c r="AX725" s="1174"/>
      <c r="AY725" s="1174"/>
      <c r="AZ725" s="1174"/>
      <c r="BA725" s="1174"/>
      <c r="BB725" s="1174"/>
      <c r="BC725" s="1174"/>
      <c r="BD725" s="1174"/>
      <c r="BE725" s="1174"/>
      <c r="BG725" s="49"/>
    </row>
    <row r="726" spans="49:59" ht="12" customHeight="1">
      <c r="AW726" s="1174"/>
      <c r="AX726" s="1174"/>
      <c r="AY726" s="1174"/>
      <c r="AZ726" s="1174"/>
      <c r="BA726" s="1174"/>
      <c r="BB726" s="1174"/>
      <c r="BC726" s="1174"/>
      <c r="BD726" s="1174"/>
      <c r="BE726" s="1174"/>
      <c r="BG726" s="49"/>
    </row>
    <row r="727" spans="49:59" ht="12" customHeight="1">
      <c r="AW727" s="1174"/>
      <c r="AX727" s="1174"/>
      <c r="AY727" s="1174"/>
      <c r="AZ727" s="1174"/>
      <c r="BA727" s="1174"/>
      <c r="BB727" s="1174"/>
      <c r="BC727" s="1174"/>
      <c r="BD727" s="1174"/>
      <c r="BE727" s="1174"/>
      <c r="BG727" s="49"/>
    </row>
    <row r="728" spans="49:59" ht="12" customHeight="1">
      <c r="AW728" s="1174"/>
      <c r="AX728" s="1174"/>
      <c r="AY728" s="1174"/>
      <c r="AZ728" s="1174"/>
      <c r="BA728" s="1174"/>
      <c r="BB728" s="1174"/>
      <c r="BC728" s="1174"/>
      <c r="BD728" s="1174"/>
      <c r="BE728" s="1174"/>
      <c r="BG728" s="49"/>
    </row>
    <row r="729" spans="49:59" ht="12" customHeight="1">
      <c r="AW729" s="1174"/>
      <c r="AX729" s="1174"/>
      <c r="AY729" s="1174"/>
      <c r="AZ729" s="1174"/>
      <c r="BA729" s="1174"/>
      <c r="BB729" s="1174"/>
      <c r="BC729" s="1174"/>
      <c r="BD729" s="1174"/>
      <c r="BE729" s="1174"/>
      <c r="BG729" s="49"/>
    </row>
    <row r="730" spans="49:59" ht="12" customHeight="1">
      <c r="AW730" s="1174"/>
      <c r="AX730" s="1174"/>
      <c r="AY730" s="1174"/>
      <c r="AZ730" s="1174"/>
      <c r="BA730" s="1174"/>
      <c r="BB730" s="1174"/>
      <c r="BC730" s="1174"/>
      <c r="BD730" s="1174"/>
      <c r="BE730" s="1174"/>
      <c r="BG730" s="49"/>
    </row>
    <row r="731" spans="49:59" ht="12" customHeight="1">
      <c r="AW731" s="1174"/>
      <c r="AX731" s="1174"/>
      <c r="AY731" s="1174"/>
      <c r="AZ731" s="1174"/>
      <c r="BA731" s="1174"/>
      <c r="BB731" s="1174"/>
      <c r="BC731" s="1174"/>
      <c r="BD731" s="1174"/>
      <c r="BE731" s="1174"/>
      <c r="BG731" s="49"/>
    </row>
    <row r="732" spans="49:59" ht="12" customHeight="1">
      <c r="AW732" s="1174"/>
      <c r="AX732" s="1174"/>
      <c r="AY732" s="1174"/>
      <c r="AZ732" s="1174"/>
      <c r="BA732" s="1174"/>
      <c r="BB732" s="1174"/>
      <c r="BC732" s="1174"/>
      <c r="BD732" s="1174"/>
      <c r="BE732" s="1174"/>
      <c r="BG732" s="49"/>
    </row>
    <row r="733" spans="49:59" ht="12" customHeight="1">
      <c r="AW733" s="1174"/>
      <c r="AX733" s="1174"/>
      <c r="AY733" s="1174"/>
      <c r="AZ733" s="1174"/>
      <c r="BA733" s="1174"/>
      <c r="BB733" s="1174"/>
      <c r="BC733" s="1174"/>
      <c r="BD733" s="1174"/>
      <c r="BE733" s="1174"/>
      <c r="BG733" s="49"/>
    </row>
    <row r="734" spans="49:59" ht="12" customHeight="1">
      <c r="AW734" s="1174"/>
      <c r="AX734" s="1174"/>
      <c r="AY734" s="1174"/>
      <c r="AZ734" s="1174"/>
      <c r="BA734" s="1174"/>
      <c r="BB734" s="1174"/>
      <c r="BC734" s="1174"/>
      <c r="BD734" s="1174"/>
      <c r="BE734" s="1174"/>
      <c r="BG734" s="49"/>
    </row>
    <row r="735" spans="49:59" ht="12" customHeight="1">
      <c r="AW735" s="1174"/>
      <c r="AX735" s="1174"/>
      <c r="AY735" s="1174"/>
      <c r="AZ735" s="1174"/>
      <c r="BA735" s="1174"/>
      <c r="BB735" s="1174"/>
      <c r="BC735" s="1174"/>
      <c r="BD735" s="1174"/>
      <c r="BE735" s="1174"/>
      <c r="BG735" s="49"/>
    </row>
    <row r="736" spans="49:59" ht="12" customHeight="1">
      <c r="AW736" s="1174"/>
      <c r="AX736" s="1174"/>
      <c r="AY736" s="1174"/>
      <c r="AZ736" s="1174"/>
      <c r="BA736" s="1174"/>
      <c r="BB736" s="1174"/>
      <c r="BC736" s="1174"/>
      <c r="BD736" s="1174"/>
      <c r="BE736" s="1174"/>
      <c r="BG736" s="49"/>
    </row>
    <row r="737" spans="49:59" ht="12" customHeight="1">
      <c r="AW737" s="1174"/>
      <c r="AX737" s="1174"/>
      <c r="AY737" s="1174"/>
      <c r="AZ737" s="1174"/>
      <c r="BA737" s="1174"/>
      <c r="BB737" s="1174"/>
      <c r="BC737" s="1174"/>
      <c r="BD737" s="1174"/>
      <c r="BE737" s="1174"/>
      <c r="BG737" s="49"/>
    </row>
    <row r="738" spans="49:59" ht="12" customHeight="1">
      <c r="AW738" s="1174"/>
      <c r="AX738" s="1174"/>
      <c r="AY738" s="1174"/>
      <c r="AZ738" s="1174"/>
      <c r="BA738" s="1174"/>
      <c r="BB738" s="1174"/>
      <c r="BC738" s="1174"/>
      <c r="BD738" s="1174"/>
      <c r="BE738" s="1174"/>
      <c r="BG738" s="49"/>
    </row>
    <row r="739" spans="49:59" ht="12" customHeight="1">
      <c r="AW739" s="1174"/>
      <c r="AX739" s="1174"/>
      <c r="AY739" s="1174"/>
      <c r="AZ739" s="1174"/>
      <c r="BA739" s="1174"/>
      <c r="BB739" s="1174"/>
      <c r="BC739" s="1174"/>
      <c r="BD739" s="1174"/>
      <c r="BE739" s="1174"/>
      <c r="BG739" s="49"/>
    </row>
    <row r="740" spans="49:59" ht="12" customHeight="1">
      <c r="AW740" s="1174"/>
      <c r="AX740" s="1174"/>
      <c r="AY740" s="1174"/>
      <c r="AZ740" s="1174"/>
      <c r="BA740" s="1174"/>
      <c r="BB740" s="1174"/>
      <c r="BC740" s="1174"/>
      <c r="BD740" s="1174"/>
      <c r="BE740" s="1174"/>
      <c r="BG740" s="49"/>
    </row>
    <row r="741" spans="49:59" ht="12" customHeight="1">
      <c r="AW741" s="1174"/>
      <c r="AX741" s="1174"/>
      <c r="AY741" s="1174"/>
      <c r="AZ741" s="1174"/>
      <c r="BA741" s="1174"/>
      <c r="BB741" s="1174"/>
      <c r="BC741" s="1174"/>
      <c r="BD741" s="1174"/>
      <c r="BE741" s="1174"/>
      <c r="BG741" s="49"/>
    </row>
    <row r="742" spans="49:59" ht="12" customHeight="1">
      <c r="AW742" s="1174"/>
      <c r="AX742" s="1174"/>
      <c r="AY742" s="1174"/>
      <c r="AZ742" s="1174"/>
      <c r="BA742" s="1174"/>
      <c r="BB742" s="1174"/>
      <c r="BC742" s="1174"/>
      <c r="BD742" s="1174"/>
      <c r="BE742" s="1174"/>
      <c r="BG742" s="49"/>
    </row>
    <row r="743" spans="49:59" ht="12" customHeight="1">
      <c r="AW743" s="1174"/>
      <c r="AX743" s="1174"/>
      <c r="AY743" s="1174"/>
      <c r="AZ743" s="1174"/>
      <c r="BA743" s="1174"/>
      <c r="BB743" s="1174"/>
      <c r="BC743" s="1174"/>
      <c r="BD743" s="1174"/>
      <c r="BE743" s="1174"/>
      <c r="BG743" s="49"/>
    </row>
    <row r="744" spans="49:59" ht="12" customHeight="1">
      <c r="AW744" s="1174"/>
      <c r="AX744" s="1174"/>
      <c r="AY744" s="1174"/>
      <c r="AZ744" s="1174"/>
      <c r="BA744" s="1174"/>
      <c r="BB744" s="1174"/>
      <c r="BC744" s="1174"/>
      <c r="BD744" s="1174"/>
      <c r="BE744" s="1174"/>
      <c r="BG744" s="49"/>
    </row>
    <row r="745" spans="49:59" ht="12" customHeight="1">
      <c r="AW745" s="1174"/>
      <c r="AX745" s="1174"/>
      <c r="AY745" s="1174"/>
      <c r="AZ745" s="1174"/>
      <c r="BA745" s="1174"/>
      <c r="BB745" s="1174"/>
      <c r="BC745" s="1174"/>
      <c r="BD745" s="1174"/>
      <c r="BE745" s="1174"/>
      <c r="BG745" s="49"/>
    </row>
    <row r="746" spans="49:59" ht="12" customHeight="1">
      <c r="AW746" s="1174"/>
      <c r="AX746" s="1174"/>
      <c r="AY746" s="1174"/>
      <c r="AZ746" s="1174"/>
      <c r="BA746" s="1174"/>
      <c r="BB746" s="1174"/>
      <c r="BC746" s="1174"/>
      <c r="BD746" s="1174"/>
      <c r="BE746" s="1174"/>
      <c r="BG746" s="49"/>
    </row>
    <row r="747" spans="49:59" ht="12" customHeight="1">
      <c r="AW747" s="1174"/>
      <c r="AX747" s="1174"/>
      <c r="AY747" s="1174"/>
      <c r="AZ747" s="1174"/>
      <c r="BA747" s="1174"/>
      <c r="BB747" s="1174"/>
      <c r="BC747" s="1174"/>
      <c r="BD747" s="1174"/>
      <c r="BE747" s="1174"/>
      <c r="BG747" s="49"/>
    </row>
    <row r="748" spans="49:59" ht="12" customHeight="1">
      <c r="AW748" s="1174"/>
      <c r="AX748" s="1174"/>
      <c r="AY748" s="1174"/>
      <c r="AZ748" s="1174"/>
      <c r="BA748" s="1174"/>
      <c r="BB748" s="1174"/>
      <c r="BC748" s="1174"/>
      <c r="BD748" s="1174"/>
      <c r="BE748" s="1174"/>
      <c r="BG748" s="49"/>
    </row>
    <row r="749" spans="49:59" ht="12" customHeight="1">
      <c r="AW749" s="1174"/>
      <c r="AX749" s="1174"/>
      <c r="AY749" s="1174"/>
      <c r="AZ749" s="1174"/>
      <c r="BA749" s="1174"/>
      <c r="BB749" s="1174"/>
      <c r="BC749" s="1174"/>
      <c r="BD749" s="1174"/>
      <c r="BE749" s="1174"/>
      <c r="BG749" s="49"/>
    </row>
    <row r="750" spans="49:59" ht="12" customHeight="1">
      <c r="AW750" s="1174"/>
      <c r="AX750" s="1174"/>
      <c r="AY750" s="1174"/>
      <c r="AZ750" s="1174"/>
      <c r="BA750" s="1174"/>
      <c r="BB750" s="1174"/>
      <c r="BC750" s="1174"/>
      <c r="BD750" s="1174"/>
      <c r="BE750" s="1174"/>
      <c r="BG750" s="49"/>
    </row>
    <row r="751" spans="49:59" ht="12" customHeight="1">
      <c r="AW751" s="1174"/>
      <c r="AX751" s="1174"/>
      <c r="AY751" s="1174"/>
      <c r="AZ751" s="1174"/>
      <c r="BA751" s="1174"/>
      <c r="BB751" s="1174"/>
      <c r="BC751" s="1174"/>
      <c r="BD751" s="1174"/>
      <c r="BE751" s="1174"/>
      <c r="BG751" s="49"/>
    </row>
    <row r="752" spans="49:59" ht="12" customHeight="1">
      <c r="AW752" s="1174"/>
      <c r="AX752" s="1174"/>
      <c r="AY752" s="1174"/>
      <c r="AZ752" s="1174"/>
      <c r="BA752" s="1174"/>
      <c r="BB752" s="1174"/>
      <c r="BC752" s="1174"/>
      <c r="BD752" s="1174"/>
      <c r="BE752" s="1174"/>
      <c r="BG752" s="49"/>
    </row>
    <row r="753" spans="49:59" ht="12" customHeight="1">
      <c r="AW753" s="1174"/>
      <c r="AX753" s="1174"/>
      <c r="AY753" s="1174"/>
      <c r="AZ753" s="1174"/>
      <c r="BA753" s="1174"/>
      <c r="BB753" s="1174"/>
      <c r="BC753" s="1174"/>
      <c r="BD753" s="1174"/>
      <c r="BE753" s="1174"/>
      <c r="BG753" s="49"/>
    </row>
    <row r="754" spans="49:59" ht="12" customHeight="1">
      <c r="AW754" s="1174"/>
      <c r="AX754" s="1174"/>
      <c r="AY754" s="1174"/>
      <c r="AZ754" s="1174"/>
      <c r="BA754" s="1174"/>
      <c r="BB754" s="1174"/>
      <c r="BC754" s="1174"/>
      <c r="BD754" s="1174"/>
      <c r="BE754" s="1174"/>
      <c r="BG754" s="49"/>
    </row>
    <row r="755" spans="49:59" ht="12" customHeight="1">
      <c r="AW755" s="1174"/>
      <c r="AX755" s="1174"/>
      <c r="AY755" s="1174"/>
      <c r="AZ755" s="1174"/>
      <c r="BA755" s="1174"/>
      <c r="BB755" s="1174"/>
      <c r="BC755" s="1174"/>
      <c r="BD755" s="1174"/>
      <c r="BE755" s="1174"/>
      <c r="BG755" s="49"/>
    </row>
    <row r="756" spans="49:59" ht="12" customHeight="1">
      <c r="AW756" s="1174"/>
      <c r="AX756" s="1174"/>
      <c r="AY756" s="1174"/>
      <c r="AZ756" s="1174"/>
      <c r="BA756" s="1174"/>
      <c r="BB756" s="1174"/>
      <c r="BC756" s="1174"/>
      <c r="BD756" s="1174"/>
      <c r="BE756" s="1174"/>
      <c r="BG756" s="49"/>
    </row>
    <row r="757" spans="49:59" ht="12" customHeight="1">
      <c r="AW757" s="1174"/>
      <c r="AX757" s="1174"/>
      <c r="AY757" s="1174"/>
      <c r="AZ757" s="1174"/>
      <c r="BA757" s="1174"/>
      <c r="BB757" s="1174"/>
      <c r="BC757" s="1174"/>
      <c r="BD757" s="1174"/>
      <c r="BE757" s="1174"/>
      <c r="BG757" s="49"/>
    </row>
    <row r="758" spans="49:59" ht="12" customHeight="1">
      <c r="AW758" s="1174"/>
      <c r="AX758" s="1174"/>
      <c r="AY758" s="1174"/>
      <c r="AZ758" s="1174"/>
      <c r="BA758" s="1174"/>
      <c r="BB758" s="1174"/>
      <c r="BC758" s="1174"/>
      <c r="BD758" s="1174"/>
      <c r="BE758" s="1174"/>
      <c r="BG758" s="49"/>
    </row>
    <row r="759" spans="49:59" ht="12" customHeight="1">
      <c r="AW759" s="1174"/>
      <c r="AX759" s="1174"/>
      <c r="AY759" s="1174"/>
      <c r="AZ759" s="1174"/>
      <c r="BA759" s="1174"/>
      <c r="BB759" s="1174"/>
      <c r="BC759" s="1174"/>
      <c r="BD759" s="1174"/>
      <c r="BE759" s="1174"/>
      <c r="BG759" s="49"/>
    </row>
    <row r="760" spans="49:59" ht="12" customHeight="1">
      <c r="AW760" s="1174"/>
      <c r="AX760" s="1174"/>
      <c r="AY760" s="1174"/>
      <c r="AZ760" s="1174"/>
      <c r="BA760" s="1174"/>
      <c r="BB760" s="1174"/>
      <c r="BC760" s="1174"/>
      <c r="BD760" s="1174"/>
      <c r="BE760" s="1174"/>
      <c r="BG760" s="49"/>
    </row>
    <row r="761" spans="49:59" ht="12" customHeight="1">
      <c r="AW761" s="1174"/>
      <c r="AX761" s="1174"/>
      <c r="AY761" s="1174"/>
      <c r="AZ761" s="1174"/>
      <c r="BA761" s="1174"/>
      <c r="BB761" s="1174"/>
      <c r="BC761" s="1174"/>
      <c r="BD761" s="1174"/>
      <c r="BE761" s="1174"/>
      <c r="BG761" s="49"/>
    </row>
    <row r="762" spans="49:59" ht="12" customHeight="1">
      <c r="AW762" s="1174"/>
      <c r="AX762" s="1174"/>
      <c r="AY762" s="1174"/>
      <c r="AZ762" s="1174"/>
      <c r="BA762" s="1174"/>
      <c r="BB762" s="1174"/>
      <c r="BC762" s="1174"/>
      <c r="BD762" s="1174"/>
      <c r="BE762" s="1174"/>
      <c r="BG762" s="49"/>
    </row>
    <row r="763" spans="49:59" ht="12" customHeight="1">
      <c r="AW763" s="1174"/>
      <c r="AX763" s="1174"/>
      <c r="AY763" s="1174"/>
      <c r="AZ763" s="1174"/>
      <c r="BA763" s="1174"/>
      <c r="BB763" s="1174"/>
      <c r="BC763" s="1174"/>
      <c r="BD763" s="1174"/>
      <c r="BE763" s="1174"/>
      <c r="BG763" s="49"/>
    </row>
    <row r="764" spans="49:59" ht="12" customHeight="1">
      <c r="AW764" s="1174"/>
      <c r="AX764" s="1174"/>
      <c r="AY764" s="1174"/>
      <c r="AZ764" s="1174"/>
      <c r="BA764" s="1174"/>
      <c r="BB764" s="1174"/>
      <c r="BC764" s="1174"/>
      <c r="BD764" s="1174"/>
      <c r="BE764" s="1174"/>
      <c r="BG764" s="49"/>
    </row>
    <row r="765" spans="49:59" ht="12" customHeight="1">
      <c r="AW765" s="1174"/>
      <c r="AX765" s="1174"/>
      <c r="AY765" s="1174"/>
      <c r="AZ765" s="1174"/>
      <c r="BA765" s="1174"/>
      <c r="BB765" s="1174"/>
      <c r="BC765" s="1174"/>
      <c r="BD765" s="1174"/>
      <c r="BE765" s="1174"/>
      <c r="BG765" s="49"/>
    </row>
    <row r="766" spans="49:59" ht="12" customHeight="1">
      <c r="AW766" s="1174"/>
      <c r="AX766" s="1174"/>
      <c r="AY766" s="1174"/>
      <c r="AZ766" s="1174"/>
      <c r="BA766" s="1174"/>
      <c r="BB766" s="1174"/>
      <c r="BC766" s="1174"/>
      <c r="BD766" s="1174"/>
      <c r="BE766" s="1174"/>
      <c r="BG766" s="49"/>
    </row>
    <row r="767" spans="49:59" ht="12" customHeight="1">
      <c r="AW767" s="1174"/>
      <c r="AX767" s="1174"/>
      <c r="AY767" s="1174"/>
      <c r="AZ767" s="1174"/>
      <c r="BA767" s="1174"/>
      <c r="BB767" s="1174"/>
      <c r="BC767" s="1174"/>
      <c r="BD767" s="1174"/>
      <c r="BE767" s="1174"/>
      <c r="BG767" s="49"/>
    </row>
    <row r="768" spans="49:59" ht="12" customHeight="1">
      <c r="AW768" s="1174"/>
      <c r="AX768" s="1174"/>
      <c r="AY768" s="1174"/>
      <c r="AZ768" s="1174"/>
      <c r="BA768" s="1174"/>
      <c r="BB768" s="1174"/>
      <c r="BC768" s="1174"/>
      <c r="BD768" s="1174"/>
      <c r="BE768" s="1174"/>
      <c r="BG768" s="49"/>
    </row>
    <row r="769" spans="49:59" ht="12" customHeight="1">
      <c r="AW769" s="1174"/>
      <c r="AX769" s="1174"/>
      <c r="AY769" s="1174"/>
      <c r="AZ769" s="1174"/>
      <c r="BA769" s="1174"/>
      <c r="BB769" s="1174"/>
      <c r="BC769" s="1174"/>
      <c r="BD769" s="1174"/>
      <c r="BE769" s="1174"/>
      <c r="BG769" s="49"/>
    </row>
    <row r="770" spans="49:59" ht="12" customHeight="1">
      <c r="AW770" s="1174"/>
      <c r="AX770" s="1174"/>
      <c r="AY770" s="1174"/>
      <c r="AZ770" s="1174"/>
      <c r="BA770" s="1174"/>
      <c r="BB770" s="1174"/>
      <c r="BC770" s="1174"/>
      <c r="BD770" s="1174"/>
      <c r="BE770" s="1174"/>
      <c r="BG770" s="49"/>
    </row>
    <row r="771" spans="49:59" ht="12" customHeight="1">
      <c r="AW771" s="1174"/>
      <c r="AX771" s="1174"/>
      <c r="AY771" s="1174"/>
      <c r="AZ771" s="1174"/>
      <c r="BA771" s="1174"/>
      <c r="BB771" s="1174"/>
      <c r="BC771" s="1174"/>
      <c r="BD771" s="1174"/>
      <c r="BE771" s="1174"/>
      <c r="BG771" s="49"/>
    </row>
    <row r="772" spans="49:59" ht="12" customHeight="1">
      <c r="AW772" s="1174"/>
      <c r="AX772" s="1174"/>
      <c r="AY772" s="1174"/>
      <c r="AZ772" s="1174"/>
      <c r="BA772" s="1174"/>
      <c r="BB772" s="1174"/>
      <c r="BC772" s="1174"/>
      <c r="BD772" s="1174"/>
      <c r="BE772" s="1174"/>
      <c r="BG772" s="49"/>
    </row>
    <row r="773" spans="49:59" ht="12" customHeight="1">
      <c r="AW773" s="1174"/>
      <c r="AX773" s="1174"/>
      <c r="AY773" s="1174"/>
      <c r="AZ773" s="1174"/>
      <c r="BA773" s="1174"/>
      <c r="BB773" s="1174"/>
      <c r="BC773" s="1174"/>
      <c r="BD773" s="1174"/>
      <c r="BE773" s="1174"/>
      <c r="BG773" s="49"/>
    </row>
    <row r="774" spans="49:59" ht="12" customHeight="1">
      <c r="AW774" s="1174"/>
      <c r="AX774" s="1174"/>
      <c r="AY774" s="1174"/>
      <c r="AZ774" s="1174"/>
      <c r="BA774" s="1174"/>
      <c r="BB774" s="1174"/>
      <c r="BC774" s="1174"/>
      <c r="BD774" s="1174"/>
      <c r="BE774" s="1174"/>
      <c r="BG774" s="49"/>
    </row>
    <row r="775" spans="49:59" ht="12" customHeight="1">
      <c r="AW775" s="1174"/>
      <c r="AX775" s="1174"/>
      <c r="AY775" s="1174"/>
      <c r="AZ775" s="1174"/>
      <c r="BA775" s="1174"/>
      <c r="BB775" s="1174"/>
      <c r="BC775" s="1174"/>
      <c r="BD775" s="1174"/>
      <c r="BE775" s="1174"/>
      <c r="BG775" s="49"/>
    </row>
    <row r="776" spans="49:59" ht="12" customHeight="1">
      <c r="AW776" s="1174"/>
      <c r="AX776" s="1174"/>
      <c r="AY776" s="1174"/>
      <c r="AZ776" s="1174"/>
      <c r="BA776" s="1174"/>
      <c r="BB776" s="1174"/>
      <c r="BC776" s="1174"/>
      <c r="BD776" s="1174"/>
      <c r="BE776" s="1174"/>
      <c r="BG776" s="49"/>
    </row>
    <row r="777" spans="49:59" ht="12" customHeight="1">
      <c r="AW777" s="1174"/>
      <c r="AX777" s="1174"/>
      <c r="AY777" s="1174"/>
      <c r="AZ777" s="1174"/>
      <c r="BA777" s="1174"/>
      <c r="BB777" s="1174"/>
      <c r="BC777" s="1174"/>
      <c r="BD777" s="1174"/>
      <c r="BE777" s="1174"/>
      <c r="BG777" s="49"/>
    </row>
    <row r="778" spans="49:59" ht="12" customHeight="1">
      <c r="AW778" s="1174"/>
      <c r="AX778" s="1174"/>
      <c r="AY778" s="1174"/>
      <c r="AZ778" s="1174"/>
      <c r="BA778" s="1174"/>
      <c r="BB778" s="1174"/>
      <c r="BC778" s="1174"/>
      <c r="BD778" s="1174"/>
      <c r="BE778" s="1174"/>
      <c r="BG778" s="49"/>
    </row>
    <row r="779" spans="49:59" ht="12" customHeight="1">
      <c r="AW779" s="1174"/>
      <c r="AX779" s="1174"/>
      <c r="AY779" s="1174"/>
      <c r="AZ779" s="1174"/>
      <c r="BA779" s="1174"/>
      <c r="BB779" s="1174"/>
      <c r="BC779" s="1174"/>
      <c r="BD779" s="1174"/>
      <c r="BE779" s="1174"/>
      <c r="BG779" s="49"/>
    </row>
    <row r="780" spans="49:59" ht="12" customHeight="1">
      <c r="AW780" s="1174"/>
      <c r="AX780" s="1174"/>
      <c r="AY780" s="1174"/>
      <c r="AZ780" s="1174"/>
      <c r="BA780" s="1174"/>
      <c r="BB780" s="1174"/>
      <c r="BC780" s="1174"/>
      <c r="BD780" s="1174"/>
      <c r="BE780" s="1174"/>
      <c r="BG780" s="49"/>
    </row>
    <row r="781" spans="49:59" ht="12" customHeight="1">
      <c r="AW781" s="1174"/>
      <c r="AX781" s="1174"/>
      <c r="AY781" s="1174"/>
      <c r="AZ781" s="1174"/>
      <c r="BA781" s="1174"/>
      <c r="BB781" s="1174"/>
      <c r="BC781" s="1174"/>
      <c r="BD781" s="1174"/>
      <c r="BE781" s="1174"/>
      <c r="BG781" s="49"/>
    </row>
    <row r="782" spans="49:59" ht="12" customHeight="1">
      <c r="AW782" s="1174"/>
      <c r="AX782" s="1174"/>
      <c r="AY782" s="1174"/>
      <c r="AZ782" s="1174"/>
      <c r="BA782" s="1174"/>
      <c r="BB782" s="1174"/>
      <c r="BC782" s="1174"/>
      <c r="BD782" s="1174"/>
      <c r="BE782" s="1174"/>
      <c r="BG782" s="49"/>
    </row>
    <row r="783" spans="49:59" ht="12" customHeight="1">
      <c r="AW783" s="1174"/>
      <c r="AX783" s="1174"/>
      <c r="AY783" s="1174"/>
      <c r="AZ783" s="1174"/>
      <c r="BA783" s="1174"/>
      <c r="BB783" s="1174"/>
      <c r="BC783" s="1174"/>
      <c r="BD783" s="1174"/>
      <c r="BE783" s="1174"/>
      <c r="BG783" s="49"/>
    </row>
    <row r="784" spans="49:59" ht="12" customHeight="1">
      <c r="AW784" s="1174"/>
      <c r="AX784" s="1174"/>
      <c r="AY784" s="1174"/>
      <c r="AZ784" s="1174"/>
      <c r="BA784" s="1174"/>
      <c r="BB784" s="1174"/>
      <c r="BC784" s="1174"/>
      <c r="BD784" s="1174"/>
      <c r="BE784" s="1174"/>
      <c r="BG784" s="49"/>
    </row>
    <row r="785" spans="49:59" ht="12" customHeight="1">
      <c r="AW785" s="1174"/>
      <c r="AX785" s="1174"/>
      <c r="AY785" s="1174"/>
      <c r="AZ785" s="1174"/>
      <c r="BA785" s="1174"/>
      <c r="BB785" s="1174"/>
      <c r="BC785" s="1174"/>
      <c r="BD785" s="1174"/>
      <c r="BE785" s="1174"/>
      <c r="BG785" s="49"/>
    </row>
    <row r="786" spans="49:59" ht="12" customHeight="1">
      <c r="AW786" s="1174"/>
      <c r="AX786" s="1174"/>
      <c r="AY786" s="1174"/>
      <c r="AZ786" s="1174"/>
      <c r="BA786" s="1174"/>
      <c r="BB786" s="1174"/>
      <c r="BC786" s="1174"/>
      <c r="BD786" s="1174"/>
      <c r="BE786" s="1174"/>
      <c r="BG786" s="49"/>
    </row>
    <row r="787" spans="49:59" ht="12" customHeight="1">
      <c r="AW787" s="1174"/>
      <c r="AX787" s="1174"/>
      <c r="AY787" s="1174"/>
      <c r="AZ787" s="1174"/>
      <c r="BA787" s="1174"/>
      <c r="BB787" s="1174"/>
      <c r="BC787" s="1174"/>
      <c r="BD787" s="1174"/>
      <c r="BE787" s="1174"/>
      <c r="BG787" s="49"/>
    </row>
    <row r="788" spans="49:59" ht="12" customHeight="1">
      <c r="AW788" s="1174"/>
      <c r="AX788" s="1174"/>
      <c r="AY788" s="1174"/>
      <c r="AZ788" s="1174"/>
      <c r="BA788" s="1174"/>
      <c r="BB788" s="1174"/>
      <c r="BC788" s="1174"/>
      <c r="BD788" s="1174"/>
      <c r="BE788" s="1174"/>
      <c r="BG788" s="49"/>
    </row>
    <row r="789" spans="49:59" ht="12" customHeight="1">
      <c r="AW789" s="1174"/>
      <c r="AX789" s="1174"/>
      <c r="AY789" s="1174"/>
      <c r="AZ789" s="1174"/>
      <c r="BA789" s="1174"/>
      <c r="BB789" s="1174"/>
      <c r="BC789" s="1174"/>
      <c r="BD789" s="1174"/>
      <c r="BE789" s="1174"/>
      <c r="BG789" s="49"/>
    </row>
    <row r="790" spans="49:59" ht="12" customHeight="1">
      <c r="AW790" s="1174"/>
      <c r="AX790" s="1174"/>
      <c r="AY790" s="1174"/>
      <c r="AZ790" s="1174"/>
      <c r="BA790" s="1174"/>
      <c r="BB790" s="1174"/>
      <c r="BC790" s="1174"/>
      <c r="BD790" s="1174"/>
      <c r="BE790" s="1174"/>
      <c r="BG790" s="49"/>
    </row>
    <row r="791" spans="49:59" ht="12" customHeight="1">
      <c r="AW791" s="1174"/>
      <c r="AX791" s="1174"/>
      <c r="AY791" s="1174"/>
      <c r="AZ791" s="1174"/>
      <c r="BA791" s="1174"/>
      <c r="BB791" s="1174"/>
      <c r="BC791" s="1174"/>
      <c r="BD791" s="1174"/>
      <c r="BE791" s="1174"/>
      <c r="BG791" s="49"/>
    </row>
    <row r="792" spans="49:59" ht="12" customHeight="1">
      <c r="AW792" s="1174"/>
      <c r="AX792" s="1174"/>
      <c r="AY792" s="1174"/>
      <c r="AZ792" s="1174"/>
      <c r="BA792" s="1174"/>
      <c r="BB792" s="1174"/>
      <c r="BC792" s="1174"/>
      <c r="BD792" s="1174"/>
      <c r="BE792" s="1174"/>
      <c r="BG792" s="49"/>
    </row>
    <row r="793" spans="49:59" ht="12" customHeight="1">
      <c r="AW793" s="1174"/>
      <c r="AX793" s="1174"/>
      <c r="AY793" s="1174"/>
      <c r="AZ793" s="1174"/>
      <c r="BA793" s="1174"/>
      <c r="BB793" s="1174"/>
      <c r="BC793" s="1174"/>
      <c r="BD793" s="1174"/>
      <c r="BE793" s="1174"/>
      <c r="BG793" s="49"/>
    </row>
    <row r="794" spans="49:59" ht="12" customHeight="1">
      <c r="AW794" s="1174"/>
      <c r="AX794" s="1174"/>
      <c r="AY794" s="1174"/>
      <c r="AZ794" s="1174"/>
      <c r="BA794" s="1174"/>
      <c r="BB794" s="1174"/>
      <c r="BC794" s="1174"/>
      <c r="BD794" s="1174"/>
      <c r="BE794" s="1174"/>
      <c r="BG794" s="49"/>
    </row>
    <row r="795" spans="49:59" ht="12" customHeight="1">
      <c r="AW795" s="1174"/>
      <c r="AX795" s="1174"/>
      <c r="AY795" s="1174"/>
      <c r="AZ795" s="1174"/>
      <c r="BA795" s="1174"/>
      <c r="BB795" s="1174"/>
      <c r="BC795" s="1174"/>
      <c r="BD795" s="1174"/>
      <c r="BE795" s="1174"/>
      <c r="BG795" s="49"/>
    </row>
    <row r="796" spans="49:59" ht="12" customHeight="1">
      <c r="AW796" s="1174"/>
      <c r="AX796" s="1174"/>
      <c r="AY796" s="1174"/>
      <c r="AZ796" s="1174"/>
      <c r="BA796" s="1174"/>
      <c r="BB796" s="1174"/>
      <c r="BC796" s="1174"/>
      <c r="BD796" s="1174"/>
      <c r="BE796" s="1174"/>
      <c r="BG796" s="49"/>
    </row>
    <row r="797" spans="49:59" ht="12" customHeight="1">
      <c r="AW797" s="1174"/>
      <c r="AX797" s="1174"/>
      <c r="AY797" s="1174"/>
      <c r="AZ797" s="1174"/>
      <c r="BA797" s="1174"/>
      <c r="BB797" s="1174"/>
      <c r="BC797" s="1174"/>
      <c r="BD797" s="1174"/>
      <c r="BE797" s="1174"/>
      <c r="BG797" s="49"/>
    </row>
    <row r="798" spans="49:59" ht="12" customHeight="1">
      <c r="AW798" s="1174"/>
      <c r="AX798" s="1174"/>
      <c r="AY798" s="1174"/>
      <c r="AZ798" s="1174"/>
      <c r="BA798" s="1174"/>
      <c r="BB798" s="1174"/>
      <c r="BC798" s="1174"/>
      <c r="BD798" s="1174"/>
      <c r="BE798" s="1174"/>
      <c r="BG798" s="49"/>
    </row>
    <row r="799" spans="49:59" ht="12" customHeight="1">
      <c r="AW799" s="1174"/>
      <c r="AX799" s="1174"/>
      <c r="AY799" s="1174"/>
      <c r="AZ799" s="1174"/>
      <c r="BA799" s="1174"/>
      <c r="BB799" s="1174"/>
      <c r="BC799" s="1174"/>
      <c r="BD799" s="1174"/>
      <c r="BE799" s="1174"/>
      <c r="BG799" s="49"/>
    </row>
    <row r="800" spans="49:59" ht="12" customHeight="1">
      <c r="AW800" s="1174"/>
      <c r="AX800" s="1174"/>
      <c r="AY800" s="1174"/>
      <c r="AZ800" s="1174"/>
      <c r="BA800" s="1174"/>
      <c r="BB800" s="1174"/>
      <c r="BC800" s="1174"/>
      <c r="BD800" s="1174"/>
      <c r="BE800" s="1174"/>
      <c r="BG800" s="49"/>
    </row>
    <row r="801" spans="49:59" ht="12" customHeight="1">
      <c r="AW801" s="1174"/>
      <c r="AX801" s="1174"/>
      <c r="AY801" s="1174"/>
      <c r="AZ801" s="1174"/>
      <c r="BA801" s="1174"/>
      <c r="BB801" s="1174"/>
      <c r="BC801" s="1174"/>
      <c r="BD801" s="1174"/>
      <c r="BE801" s="1174"/>
      <c r="BG801" s="49"/>
    </row>
    <row r="802" spans="49:59" ht="12" customHeight="1">
      <c r="AW802" s="1174"/>
      <c r="AX802" s="1174"/>
      <c r="AY802" s="1174"/>
      <c r="AZ802" s="1174"/>
      <c r="BA802" s="1174"/>
      <c r="BB802" s="1174"/>
      <c r="BC802" s="1174"/>
      <c r="BD802" s="1174"/>
      <c r="BE802" s="1174"/>
      <c r="BG802" s="49"/>
    </row>
    <row r="803" spans="49:59" ht="12" customHeight="1">
      <c r="AW803" s="1174"/>
      <c r="AX803" s="1174"/>
      <c r="AY803" s="1174"/>
      <c r="AZ803" s="1174"/>
      <c r="BA803" s="1174"/>
      <c r="BB803" s="1174"/>
      <c r="BC803" s="1174"/>
      <c r="BD803" s="1174"/>
      <c r="BE803" s="1174"/>
      <c r="BG803" s="49"/>
    </row>
    <row r="804" spans="49:59" ht="12" customHeight="1">
      <c r="AW804" s="1174"/>
      <c r="AX804" s="1174"/>
      <c r="AY804" s="1174"/>
      <c r="AZ804" s="1174"/>
      <c r="BA804" s="1174"/>
      <c r="BB804" s="1174"/>
      <c r="BC804" s="1174"/>
      <c r="BD804" s="1174"/>
      <c r="BE804" s="1174"/>
      <c r="BG804" s="49"/>
    </row>
    <row r="805" spans="49:59" ht="12" customHeight="1">
      <c r="AW805" s="1174"/>
      <c r="AX805" s="1174"/>
      <c r="AY805" s="1174"/>
      <c r="AZ805" s="1174"/>
      <c r="BA805" s="1174"/>
      <c r="BB805" s="1174"/>
      <c r="BC805" s="1174"/>
      <c r="BD805" s="1174"/>
      <c r="BE805" s="1174"/>
      <c r="BG805" s="49"/>
    </row>
    <row r="806" spans="49:59" ht="12" customHeight="1">
      <c r="AW806" s="1174"/>
      <c r="AX806" s="1174"/>
      <c r="AY806" s="1174"/>
      <c r="AZ806" s="1174"/>
      <c r="BA806" s="1174"/>
      <c r="BB806" s="1174"/>
      <c r="BC806" s="1174"/>
      <c r="BD806" s="1174"/>
      <c r="BE806" s="1174"/>
      <c r="BG806" s="49"/>
    </row>
    <row r="807" spans="49:59" ht="12" customHeight="1">
      <c r="AW807" s="1174"/>
      <c r="AX807" s="1174"/>
      <c r="AY807" s="1174"/>
      <c r="AZ807" s="1174"/>
      <c r="BA807" s="1174"/>
      <c r="BB807" s="1174"/>
      <c r="BC807" s="1174"/>
      <c r="BD807" s="1174"/>
      <c r="BE807" s="1174"/>
      <c r="BG807" s="49"/>
    </row>
    <row r="808" spans="49:59" ht="12" customHeight="1">
      <c r="AW808" s="1174"/>
      <c r="AX808" s="1174"/>
      <c r="AY808" s="1174"/>
      <c r="AZ808" s="1174"/>
      <c r="BA808" s="1174"/>
      <c r="BB808" s="1174"/>
      <c r="BC808" s="1174"/>
      <c r="BD808" s="1174"/>
      <c r="BE808" s="1174"/>
      <c r="BG808" s="49"/>
    </row>
    <row r="809" spans="49:59" ht="12" customHeight="1">
      <c r="AW809" s="1174"/>
      <c r="AX809" s="1174"/>
      <c r="AY809" s="1174"/>
      <c r="AZ809" s="1174"/>
      <c r="BA809" s="1174"/>
      <c r="BB809" s="1174"/>
      <c r="BC809" s="1174"/>
      <c r="BD809" s="1174"/>
      <c r="BE809" s="1174"/>
      <c r="BG809" s="49"/>
    </row>
    <row r="810" spans="49:59" ht="12" customHeight="1">
      <c r="AW810" s="1174"/>
      <c r="AX810" s="1174"/>
      <c r="AY810" s="1174"/>
      <c r="AZ810" s="1174"/>
      <c r="BA810" s="1174"/>
      <c r="BB810" s="1174"/>
      <c r="BC810" s="1174"/>
      <c r="BD810" s="1174"/>
      <c r="BE810" s="1174"/>
      <c r="BG810" s="49"/>
    </row>
    <row r="811" spans="49:59" ht="12" customHeight="1">
      <c r="AW811" s="1174"/>
      <c r="AX811" s="1174"/>
      <c r="AY811" s="1174"/>
      <c r="AZ811" s="1174"/>
      <c r="BA811" s="1174"/>
      <c r="BB811" s="1174"/>
      <c r="BC811" s="1174"/>
      <c r="BD811" s="1174"/>
      <c r="BE811" s="1174"/>
      <c r="BG811" s="49"/>
    </row>
    <row r="812" spans="49:59" ht="12" customHeight="1">
      <c r="AW812" s="1174"/>
      <c r="AX812" s="1174"/>
      <c r="AY812" s="1174"/>
      <c r="AZ812" s="1174"/>
      <c r="BA812" s="1174"/>
      <c r="BB812" s="1174"/>
      <c r="BC812" s="1174"/>
      <c r="BD812" s="1174"/>
      <c r="BE812" s="1174"/>
      <c r="BG812" s="49"/>
    </row>
    <row r="813" spans="49:59" ht="12" customHeight="1">
      <c r="AW813" s="1174"/>
      <c r="AX813" s="1174"/>
      <c r="AY813" s="1174"/>
      <c r="AZ813" s="1174"/>
      <c r="BA813" s="1174"/>
      <c r="BB813" s="1174"/>
      <c r="BC813" s="1174"/>
      <c r="BD813" s="1174"/>
      <c r="BE813" s="1174"/>
      <c r="BG813" s="49"/>
    </row>
    <row r="814" spans="49:59" ht="12" customHeight="1">
      <c r="AW814" s="1174"/>
      <c r="AX814" s="1174"/>
      <c r="AY814" s="1174"/>
      <c r="AZ814" s="1174"/>
      <c r="BA814" s="1174"/>
      <c r="BB814" s="1174"/>
      <c r="BC814" s="1174"/>
      <c r="BD814" s="1174"/>
      <c r="BE814" s="1174"/>
      <c r="BG814" s="49"/>
    </row>
    <row r="815" spans="49:59" ht="12" customHeight="1">
      <c r="AW815" s="1174"/>
      <c r="AX815" s="1174"/>
      <c r="AY815" s="1174"/>
      <c r="AZ815" s="1174"/>
      <c r="BA815" s="1174"/>
      <c r="BB815" s="1174"/>
      <c r="BC815" s="1174"/>
      <c r="BD815" s="1174"/>
      <c r="BE815" s="1174"/>
      <c r="BG815" s="49"/>
    </row>
    <row r="816" spans="49:59" ht="12" customHeight="1">
      <c r="AW816" s="1174"/>
      <c r="AX816" s="1174"/>
      <c r="AY816" s="1174"/>
      <c r="AZ816" s="1174"/>
      <c r="BA816" s="1174"/>
      <c r="BB816" s="1174"/>
      <c r="BC816" s="1174"/>
      <c r="BD816" s="1174"/>
      <c r="BE816" s="1174"/>
      <c r="BG816" s="49"/>
    </row>
    <row r="817" spans="49:59" ht="12" customHeight="1">
      <c r="AW817" s="1174"/>
      <c r="AX817" s="1174"/>
      <c r="AY817" s="1174"/>
      <c r="AZ817" s="1174"/>
      <c r="BA817" s="1174"/>
      <c r="BB817" s="1174"/>
      <c r="BC817" s="1174"/>
      <c r="BD817" s="1174"/>
      <c r="BE817" s="1174"/>
      <c r="BG817" s="49"/>
    </row>
    <row r="818" spans="49:59" ht="12" customHeight="1">
      <c r="AW818" s="1174"/>
      <c r="AX818" s="1174"/>
      <c r="AY818" s="1174"/>
      <c r="AZ818" s="1174"/>
      <c r="BA818" s="1174"/>
      <c r="BB818" s="1174"/>
      <c r="BC818" s="1174"/>
      <c r="BD818" s="1174"/>
      <c r="BE818" s="1174"/>
      <c r="BG818" s="49"/>
    </row>
    <row r="819" spans="49:59" ht="12" customHeight="1">
      <c r="AW819" s="1174"/>
      <c r="AX819" s="1174"/>
      <c r="AY819" s="1174"/>
      <c r="AZ819" s="1174"/>
      <c r="BA819" s="1174"/>
      <c r="BB819" s="1174"/>
      <c r="BC819" s="1174"/>
      <c r="BD819" s="1174"/>
      <c r="BE819" s="1174"/>
      <c r="BG819" s="49"/>
    </row>
    <row r="820" spans="49:59" ht="12" customHeight="1">
      <c r="AW820" s="1174"/>
      <c r="AX820" s="1174"/>
      <c r="AY820" s="1174"/>
      <c r="AZ820" s="1174"/>
      <c r="BA820" s="1174"/>
      <c r="BB820" s="1174"/>
      <c r="BC820" s="1174"/>
      <c r="BD820" s="1174"/>
      <c r="BE820" s="1174"/>
      <c r="BG820" s="49"/>
    </row>
    <row r="821" spans="49:59" ht="12" customHeight="1">
      <c r="AW821" s="1174"/>
      <c r="AX821" s="1174"/>
      <c r="AY821" s="1174"/>
      <c r="AZ821" s="1174"/>
      <c r="BA821" s="1174"/>
      <c r="BB821" s="1174"/>
      <c r="BC821" s="1174"/>
      <c r="BD821" s="1174"/>
      <c r="BE821" s="1174"/>
      <c r="BG821" s="49"/>
    </row>
    <row r="822" spans="49:59" ht="12" customHeight="1">
      <c r="AW822" s="1174"/>
      <c r="AX822" s="1174"/>
      <c r="AY822" s="1174"/>
      <c r="AZ822" s="1174"/>
      <c r="BA822" s="1174"/>
      <c r="BB822" s="1174"/>
      <c r="BC822" s="1174"/>
      <c r="BD822" s="1174"/>
      <c r="BE822" s="1174"/>
      <c r="BG822" s="49"/>
    </row>
    <row r="823" spans="49:59" ht="12" customHeight="1">
      <c r="AW823" s="1174"/>
      <c r="AX823" s="1174"/>
      <c r="AY823" s="1174"/>
      <c r="AZ823" s="1174"/>
      <c r="BA823" s="1174"/>
      <c r="BB823" s="1174"/>
      <c r="BC823" s="1174"/>
      <c r="BD823" s="1174"/>
      <c r="BE823" s="1174"/>
      <c r="BG823" s="49"/>
    </row>
    <row r="824" spans="49:59" ht="12" customHeight="1">
      <c r="AW824" s="1174"/>
      <c r="AX824" s="1174"/>
      <c r="AY824" s="1174"/>
      <c r="AZ824" s="1174"/>
      <c r="BA824" s="1174"/>
      <c r="BB824" s="1174"/>
      <c r="BC824" s="1174"/>
      <c r="BD824" s="1174"/>
      <c r="BE824" s="1174"/>
      <c r="BG824" s="49"/>
    </row>
    <row r="825" spans="49:59" ht="12" customHeight="1">
      <c r="AW825" s="1174"/>
      <c r="AX825" s="1174"/>
      <c r="AY825" s="1174"/>
      <c r="AZ825" s="1174"/>
      <c r="BA825" s="1174"/>
      <c r="BB825" s="1174"/>
      <c r="BC825" s="1174"/>
      <c r="BD825" s="1174"/>
      <c r="BE825" s="1174"/>
      <c r="BG825" s="49"/>
    </row>
    <row r="826" spans="49:59" ht="12" customHeight="1">
      <c r="AW826" s="1174"/>
      <c r="AX826" s="1174"/>
      <c r="AY826" s="1174"/>
      <c r="AZ826" s="1174"/>
      <c r="BA826" s="1174"/>
      <c r="BB826" s="1174"/>
      <c r="BC826" s="1174"/>
      <c r="BD826" s="1174"/>
      <c r="BE826" s="1174"/>
      <c r="BG826" s="49"/>
    </row>
    <row r="827" spans="49:59" ht="12" customHeight="1">
      <c r="AW827" s="1174"/>
      <c r="AX827" s="1174"/>
      <c r="AY827" s="1174"/>
      <c r="AZ827" s="1174"/>
      <c r="BA827" s="1174"/>
      <c r="BB827" s="1174"/>
      <c r="BC827" s="1174"/>
      <c r="BD827" s="1174"/>
      <c r="BE827" s="1174"/>
      <c r="BG827" s="49"/>
    </row>
    <row r="828" spans="49:59" ht="12" customHeight="1">
      <c r="AW828" s="1174"/>
      <c r="AX828" s="1174"/>
      <c r="AY828" s="1174"/>
      <c r="AZ828" s="1174"/>
      <c r="BA828" s="1174"/>
      <c r="BB828" s="1174"/>
      <c r="BC828" s="1174"/>
      <c r="BD828" s="1174"/>
      <c r="BE828" s="1174"/>
      <c r="BG828" s="49"/>
    </row>
    <row r="829" spans="49:59" ht="12" customHeight="1">
      <c r="AW829" s="1174"/>
      <c r="AX829" s="1174"/>
      <c r="AY829" s="1174"/>
      <c r="AZ829" s="1174"/>
      <c r="BA829" s="1174"/>
      <c r="BB829" s="1174"/>
      <c r="BC829" s="1174"/>
      <c r="BD829" s="1174"/>
      <c r="BE829" s="1174"/>
      <c r="BG829" s="49"/>
    </row>
    <row r="830" spans="49:59" ht="12" customHeight="1">
      <c r="AW830" s="1174"/>
      <c r="AX830" s="1174"/>
      <c r="AY830" s="1174"/>
      <c r="AZ830" s="1174"/>
      <c r="BA830" s="1174"/>
      <c r="BB830" s="1174"/>
      <c r="BC830" s="1174"/>
      <c r="BD830" s="1174"/>
      <c r="BE830" s="1174"/>
      <c r="BG830" s="49"/>
    </row>
    <row r="831" spans="49:59" ht="12" customHeight="1">
      <c r="AW831" s="1174"/>
      <c r="AX831" s="1174"/>
      <c r="AY831" s="1174"/>
      <c r="AZ831" s="1174"/>
      <c r="BA831" s="1174"/>
      <c r="BB831" s="1174"/>
      <c r="BC831" s="1174"/>
      <c r="BD831" s="1174"/>
      <c r="BE831" s="1174"/>
      <c r="BG831" s="49"/>
    </row>
    <row r="832" spans="49:59" ht="12" customHeight="1">
      <c r="AW832" s="1174"/>
      <c r="AX832" s="1174"/>
      <c r="AY832" s="1174"/>
      <c r="AZ832" s="1174"/>
      <c r="BA832" s="1174"/>
      <c r="BB832" s="1174"/>
      <c r="BC832" s="1174"/>
      <c r="BD832" s="1174"/>
      <c r="BE832" s="1174"/>
      <c r="BG832" s="49"/>
    </row>
    <row r="833" spans="49:59" ht="12" customHeight="1">
      <c r="AW833" s="1174"/>
      <c r="AX833" s="1174"/>
      <c r="AY833" s="1174"/>
      <c r="AZ833" s="1174"/>
      <c r="BA833" s="1174"/>
      <c r="BB833" s="1174"/>
      <c r="BC833" s="1174"/>
      <c r="BD833" s="1174"/>
      <c r="BE833" s="1174"/>
      <c r="BG833" s="49"/>
    </row>
    <row r="834" spans="49:59" ht="12" customHeight="1">
      <c r="AW834" s="1174"/>
      <c r="AX834" s="1174"/>
      <c r="AY834" s="1174"/>
      <c r="AZ834" s="1174"/>
      <c r="BA834" s="1174"/>
      <c r="BB834" s="1174"/>
      <c r="BC834" s="1174"/>
      <c r="BD834" s="1174"/>
      <c r="BE834" s="1174"/>
      <c r="BG834" s="49"/>
    </row>
    <row r="835" spans="49:59" ht="12" customHeight="1">
      <c r="AW835" s="1174"/>
      <c r="AX835" s="1174"/>
      <c r="AY835" s="1174"/>
      <c r="AZ835" s="1174"/>
      <c r="BA835" s="1174"/>
      <c r="BB835" s="1174"/>
      <c r="BC835" s="1174"/>
      <c r="BD835" s="1174"/>
      <c r="BE835" s="1174"/>
      <c r="BG835" s="49"/>
    </row>
    <row r="836" spans="49:59" ht="12" customHeight="1">
      <c r="AW836" s="1174"/>
      <c r="AX836" s="1174"/>
      <c r="AY836" s="1174"/>
      <c r="AZ836" s="1174"/>
      <c r="BA836" s="1174"/>
      <c r="BB836" s="1174"/>
      <c r="BC836" s="1174"/>
      <c r="BD836" s="1174"/>
      <c r="BE836" s="1174"/>
      <c r="BG836" s="49"/>
    </row>
    <row r="837" spans="49:59" ht="12" customHeight="1">
      <c r="AW837" s="1174"/>
      <c r="AX837" s="1174"/>
      <c r="AY837" s="1174"/>
      <c r="AZ837" s="1174"/>
      <c r="BA837" s="1174"/>
      <c r="BB837" s="1174"/>
      <c r="BC837" s="1174"/>
      <c r="BD837" s="1174"/>
      <c r="BE837" s="1174"/>
      <c r="BG837" s="49"/>
    </row>
    <row r="838" spans="49:59" ht="12" customHeight="1">
      <c r="AW838" s="1174"/>
      <c r="AX838" s="1174"/>
      <c r="AY838" s="1174"/>
      <c r="AZ838" s="1174"/>
      <c r="BA838" s="1174"/>
      <c r="BB838" s="1174"/>
      <c r="BC838" s="1174"/>
      <c r="BD838" s="1174"/>
      <c r="BE838" s="1174"/>
      <c r="BG838" s="49"/>
    </row>
    <row r="839" spans="49:59" ht="12" customHeight="1">
      <c r="AW839" s="1174"/>
      <c r="AX839" s="1174"/>
      <c r="AY839" s="1174"/>
      <c r="AZ839" s="1174"/>
      <c r="BA839" s="1174"/>
      <c r="BB839" s="1174"/>
      <c r="BC839" s="1174"/>
      <c r="BD839" s="1174"/>
      <c r="BE839" s="1174"/>
      <c r="BG839" s="49"/>
    </row>
    <row r="840" spans="49:59" ht="12" customHeight="1">
      <c r="AW840" s="1174"/>
      <c r="AX840" s="1174"/>
      <c r="AY840" s="1174"/>
      <c r="AZ840" s="1174"/>
      <c r="BA840" s="1174"/>
      <c r="BB840" s="1174"/>
      <c r="BC840" s="1174"/>
      <c r="BD840" s="1174"/>
      <c r="BE840" s="1174"/>
      <c r="BG840" s="49"/>
    </row>
    <row r="841" spans="49:59" ht="12" customHeight="1">
      <c r="AW841" s="1174"/>
      <c r="AX841" s="1174"/>
      <c r="AY841" s="1174"/>
      <c r="AZ841" s="1174"/>
      <c r="BA841" s="1174"/>
      <c r="BB841" s="1174"/>
      <c r="BC841" s="1174"/>
      <c r="BD841" s="1174"/>
      <c r="BE841" s="1174"/>
      <c r="BG841" s="49"/>
    </row>
    <row r="842" spans="49:59" ht="12" customHeight="1">
      <c r="AW842" s="1174"/>
      <c r="AX842" s="1174"/>
      <c r="AY842" s="1174"/>
      <c r="AZ842" s="1174"/>
      <c r="BA842" s="1174"/>
      <c r="BB842" s="1174"/>
      <c r="BC842" s="1174"/>
      <c r="BD842" s="1174"/>
      <c r="BE842" s="1174"/>
      <c r="BG842" s="49"/>
    </row>
    <row r="843" spans="49:59" ht="12" customHeight="1">
      <c r="AW843" s="1174"/>
      <c r="AX843" s="1174"/>
      <c r="AY843" s="1174"/>
      <c r="AZ843" s="1174"/>
      <c r="BA843" s="1174"/>
      <c r="BB843" s="1174"/>
      <c r="BC843" s="1174"/>
      <c r="BD843" s="1174"/>
      <c r="BE843" s="1174"/>
      <c r="BG843" s="49"/>
    </row>
    <row r="844" spans="49:59" ht="12" customHeight="1">
      <c r="AW844" s="1174"/>
      <c r="AX844" s="1174"/>
      <c r="AY844" s="1174"/>
      <c r="AZ844" s="1174"/>
      <c r="BA844" s="1174"/>
      <c r="BB844" s="1174"/>
      <c r="BC844" s="1174"/>
      <c r="BD844" s="1174"/>
      <c r="BE844" s="1174"/>
      <c r="BG844" s="49"/>
    </row>
    <row r="845" spans="49:59" ht="12" customHeight="1">
      <c r="AW845" s="1174"/>
      <c r="AX845" s="1174"/>
      <c r="AY845" s="1174"/>
      <c r="AZ845" s="1174"/>
      <c r="BA845" s="1174"/>
      <c r="BB845" s="1174"/>
      <c r="BC845" s="1174"/>
      <c r="BD845" s="1174"/>
      <c r="BE845" s="1174"/>
      <c r="BG845" s="49"/>
    </row>
    <row r="846" spans="49:59" ht="12" customHeight="1">
      <c r="AW846" s="1174"/>
      <c r="AX846" s="1174"/>
      <c r="AY846" s="1174"/>
      <c r="AZ846" s="1174"/>
      <c r="BA846" s="1174"/>
      <c r="BB846" s="1174"/>
      <c r="BC846" s="1174"/>
      <c r="BD846" s="1174"/>
      <c r="BE846" s="1174"/>
      <c r="BG846" s="49"/>
    </row>
    <row r="847" spans="49:59" ht="12" customHeight="1">
      <c r="AW847" s="1174"/>
      <c r="AX847" s="1174"/>
      <c r="AY847" s="1174"/>
      <c r="AZ847" s="1174"/>
      <c r="BA847" s="1174"/>
      <c r="BB847" s="1174"/>
      <c r="BC847" s="1174"/>
      <c r="BD847" s="1174"/>
      <c r="BE847" s="1174"/>
      <c r="BG847" s="49"/>
    </row>
    <row r="848" spans="49:59" ht="12" customHeight="1">
      <c r="AW848" s="1174"/>
      <c r="AX848" s="1174"/>
      <c r="AY848" s="1174"/>
      <c r="AZ848" s="1174"/>
      <c r="BA848" s="1174"/>
      <c r="BB848" s="1174"/>
      <c r="BC848" s="1174"/>
      <c r="BD848" s="1174"/>
      <c r="BE848" s="1174"/>
      <c r="BG848" s="49"/>
    </row>
    <row r="849" spans="49:59" ht="12" customHeight="1">
      <c r="AW849" s="1174"/>
      <c r="AX849" s="1174"/>
      <c r="AY849" s="1174"/>
      <c r="AZ849" s="1174"/>
      <c r="BA849" s="1174"/>
      <c r="BB849" s="1174"/>
      <c r="BC849" s="1174"/>
      <c r="BD849" s="1174"/>
      <c r="BE849" s="1174"/>
      <c r="BG849" s="49"/>
    </row>
    <row r="850" spans="49:59" ht="12" customHeight="1">
      <c r="AW850" s="1174"/>
      <c r="AX850" s="1174"/>
      <c r="AY850" s="1174"/>
      <c r="AZ850" s="1174"/>
      <c r="BA850" s="1174"/>
      <c r="BB850" s="1174"/>
      <c r="BC850" s="1174"/>
      <c r="BD850" s="1174"/>
      <c r="BE850" s="1174"/>
      <c r="BG850" s="49"/>
    </row>
    <row r="851" spans="49:59" ht="12" customHeight="1">
      <c r="AW851" s="1174"/>
      <c r="AX851" s="1174"/>
      <c r="AY851" s="1174"/>
      <c r="AZ851" s="1174"/>
      <c r="BA851" s="1174"/>
      <c r="BB851" s="1174"/>
      <c r="BC851" s="1174"/>
      <c r="BD851" s="1174"/>
      <c r="BE851" s="1174"/>
      <c r="BG851" s="49"/>
    </row>
    <row r="852" spans="49:59" ht="12" customHeight="1">
      <c r="AW852" s="1174"/>
      <c r="AX852" s="1174"/>
      <c r="AY852" s="1174"/>
      <c r="AZ852" s="1174"/>
      <c r="BA852" s="1174"/>
      <c r="BB852" s="1174"/>
      <c r="BC852" s="1174"/>
      <c r="BD852" s="1174"/>
      <c r="BE852" s="1174"/>
      <c r="BG852" s="49"/>
    </row>
    <row r="853" spans="49:59" ht="12" customHeight="1">
      <c r="AW853" s="1174"/>
      <c r="AX853" s="1174"/>
      <c r="AY853" s="1174"/>
      <c r="AZ853" s="1174"/>
      <c r="BA853" s="1174"/>
      <c r="BB853" s="1174"/>
      <c r="BC853" s="1174"/>
      <c r="BD853" s="1174"/>
      <c r="BE853" s="1174"/>
      <c r="BG853" s="49"/>
    </row>
    <row r="854" spans="49:59" ht="12" customHeight="1">
      <c r="AW854" s="1174"/>
      <c r="AX854" s="1174"/>
      <c r="AY854" s="1174"/>
      <c r="AZ854" s="1174"/>
      <c r="BA854" s="1174"/>
      <c r="BB854" s="1174"/>
      <c r="BC854" s="1174"/>
      <c r="BD854" s="1174"/>
      <c r="BE854" s="1174"/>
      <c r="BG854" s="49"/>
    </row>
    <row r="855" spans="49:59" ht="12" customHeight="1">
      <c r="AW855" s="1174"/>
      <c r="AX855" s="1174"/>
      <c r="AY855" s="1174"/>
      <c r="AZ855" s="1174"/>
      <c r="BA855" s="1174"/>
      <c r="BB855" s="1174"/>
      <c r="BC855" s="1174"/>
      <c r="BD855" s="1174"/>
      <c r="BE855" s="1174"/>
      <c r="BG855" s="49"/>
    </row>
    <row r="856" spans="49:59" ht="12" customHeight="1">
      <c r="AW856" s="1174"/>
      <c r="AX856" s="1174"/>
      <c r="AY856" s="1174"/>
      <c r="AZ856" s="1174"/>
      <c r="BA856" s="1174"/>
      <c r="BB856" s="1174"/>
      <c r="BC856" s="1174"/>
      <c r="BD856" s="1174"/>
      <c r="BE856" s="1174"/>
      <c r="BG856" s="49"/>
    </row>
    <row r="857" spans="49:59" ht="12" customHeight="1">
      <c r="AW857" s="1174"/>
      <c r="AX857" s="1174"/>
      <c r="AY857" s="1174"/>
      <c r="AZ857" s="1174"/>
      <c r="BA857" s="1174"/>
      <c r="BB857" s="1174"/>
      <c r="BC857" s="1174"/>
      <c r="BD857" s="1174"/>
      <c r="BE857" s="1174"/>
      <c r="BG857" s="49"/>
    </row>
    <row r="858" spans="49:59" ht="12" customHeight="1">
      <c r="AW858" s="1174"/>
      <c r="AX858" s="1174"/>
      <c r="AY858" s="1174"/>
      <c r="AZ858" s="1174"/>
      <c r="BA858" s="1174"/>
      <c r="BB858" s="1174"/>
      <c r="BC858" s="1174"/>
      <c r="BD858" s="1174"/>
      <c r="BE858" s="1174"/>
      <c r="BG858" s="49"/>
    </row>
    <row r="859" spans="49:59" ht="12" customHeight="1">
      <c r="AW859" s="1174"/>
      <c r="AX859" s="1174"/>
      <c r="AY859" s="1174"/>
      <c r="AZ859" s="1174"/>
      <c r="BA859" s="1174"/>
      <c r="BB859" s="1174"/>
      <c r="BC859" s="1174"/>
      <c r="BD859" s="1174"/>
      <c r="BE859" s="1174"/>
      <c r="BG859" s="49"/>
    </row>
    <row r="860" spans="49:59" ht="12" customHeight="1">
      <c r="AW860" s="1174"/>
      <c r="AX860" s="1174"/>
      <c r="AY860" s="1174"/>
      <c r="AZ860" s="1174"/>
      <c r="BA860" s="1174"/>
      <c r="BB860" s="1174"/>
      <c r="BC860" s="1174"/>
      <c r="BD860" s="1174"/>
      <c r="BE860" s="1174"/>
      <c r="BG860" s="49"/>
    </row>
    <row r="861" spans="49:59" ht="12" customHeight="1">
      <c r="AW861" s="1174"/>
      <c r="AX861" s="1174"/>
      <c r="AY861" s="1174"/>
      <c r="AZ861" s="1174"/>
      <c r="BA861" s="1174"/>
      <c r="BB861" s="1174"/>
      <c r="BC861" s="1174"/>
      <c r="BD861" s="1174"/>
      <c r="BE861" s="1174"/>
      <c r="BG861" s="49"/>
    </row>
    <row r="862" spans="49:59" ht="12" customHeight="1">
      <c r="AW862" s="1174"/>
      <c r="AX862" s="1174"/>
      <c r="AY862" s="1174"/>
      <c r="AZ862" s="1174"/>
      <c r="BA862" s="1174"/>
      <c r="BB862" s="1174"/>
      <c r="BC862" s="1174"/>
      <c r="BD862" s="1174"/>
      <c r="BE862" s="1174"/>
      <c r="BG862" s="49"/>
    </row>
    <row r="863" spans="49:59" ht="12" customHeight="1">
      <c r="AW863" s="1174"/>
      <c r="AX863" s="1174"/>
      <c r="AY863" s="1174"/>
      <c r="AZ863" s="1174"/>
      <c r="BA863" s="1174"/>
      <c r="BB863" s="1174"/>
      <c r="BC863" s="1174"/>
      <c r="BD863" s="1174"/>
      <c r="BE863" s="1174"/>
      <c r="BG863" s="49"/>
    </row>
    <row r="864" spans="49:59" ht="12" customHeight="1">
      <c r="AW864" s="1174"/>
      <c r="AX864" s="1174"/>
      <c r="AY864" s="1174"/>
      <c r="AZ864" s="1174"/>
      <c r="BA864" s="1174"/>
      <c r="BB864" s="1174"/>
      <c r="BC864" s="1174"/>
      <c r="BD864" s="1174"/>
      <c r="BE864" s="1174"/>
      <c r="BG864" s="49"/>
    </row>
    <row r="865" spans="49:59" ht="12" customHeight="1">
      <c r="AW865" s="1174"/>
      <c r="AX865" s="1174"/>
      <c r="AY865" s="1174"/>
      <c r="AZ865" s="1174"/>
      <c r="BA865" s="1174"/>
      <c r="BB865" s="1174"/>
      <c r="BC865" s="1174"/>
      <c r="BD865" s="1174"/>
      <c r="BE865" s="1174"/>
      <c r="BG865" s="49"/>
    </row>
    <row r="866" spans="49:59" ht="12" customHeight="1">
      <c r="AW866" s="1174"/>
      <c r="AX866" s="1174"/>
      <c r="AY866" s="1174"/>
      <c r="AZ866" s="1174"/>
      <c r="BA866" s="1174"/>
      <c r="BB866" s="1174"/>
      <c r="BC866" s="1174"/>
      <c r="BD866" s="1174"/>
      <c r="BE866" s="1174"/>
      <c r="BG866" s="49"/>
    </row>
    <row r="867" spans="49:59" ht="12" customHeight="1">
      <c r="AW867" s="1174"/>
      <c r="AX867" s="1174"/>
      <c r="AY867" s="1174"/>
      <c r="AZ867" s="1174"/>
      <c r="BA867" s="1174"/>
      <c r="BB867" s="1174"/>
      <c r="BC867" s="1174"/>
      <c r="BD867" s="1174"/>
      <c r="BE867" s="1174"/>
      <c r="BG867" s="49"/>
    </row>
    <row r="868" spans="49:59" ht="12" customHeight="1">
      <c r="AW868" s="1174"/>
      <c r="AX868" s="1174"/>
      <c r="AY868" s="1174"/>
      <c r="AZ868" s="1174"/>
      <c r="BA868" s="1174"/>
      <c r="BB868" s="1174"/>
      <c r="BC868" s="1174"/>
      <c r="BD868" s="1174"/>
      <c r="BE868" s="1174"/>
      <c r="BG868" s="49"/>
    </row>
    <row r="869" spans="49:59" ht="12" customHeight="1">
      <c r="AW869" s="1174"/>
      <c r="AX869" s="1174"/>
      <c r="AY869" s="1174"/>
      <c r="AZ869" s="1174"/>
      <c r="BA869" s="1174"/>
      <c r="BB869" s="1174"/>
      <c r="BC869" s="1174"/>
      <c r="BD869" s="1174"/>
      <c r="BE869" s="1174"/>
      <c r="BG869" s="49"/>
    </row>
    <row r="870" spans="49:59" ht="12" customHeight="1">
      <c r="AW870" s="1174"/>
      <c r="AX870" s="1174"/>
      <c r="AY870" s="1174"/>
      <c r="AZ870" s="1174"/>
      <c r="BA870" s="1174"/>
      <c r="BB870" s="1174"/>
      <c r="BC870" s="1174"/>
      <c r="BD870" s="1174"/>
      <c r="BE870" s="1174"/>
      <c r="BG870" s="49"/>
    </row>
    <row r="871" spans="49:59" ht="12" customHeight="1">
      <c r="AW871" s="1174"/>
      <c r="AX871" s="1174"/>
      <c r="AY871" s="1174"/>
      <c r="AZ871" s="1174"/>
      <c r="BA871" s="1174"/>
      <c r="BB871" s="1174"/>
      <c r="BC871" s="1174"/>
      <c r="BD871" s="1174"/>
      <c r="BE871" s="1174"/>
      <c r="BG871" s="49"/>
    </row>
    <row r="872" spans="49:59" ht="12" customHeight="1">
      <c r="AW872" s="1174"/>
      <c r="AX872" s="1174"/>
      <c r="AY872" s="1174"/>
      <c r="AZ872" s="1174"/>
      <c r="BA872" s="1174"/>
      <c r="BB872" s="1174"/>
      <c r="BC872" s="1174"/>
      <c r="BD872" s="1174"/>
      <c r="BE872" s="1174"/>
      <c r="BG872" s="49"/>
    </row>
    <row r="873" spans="49:59" ht="12" customHeight="1">
      <c r="AW873" s="1174"/>
      <c r="AX873" s="1174"/>
      <c r="AY873" s="1174"/>
      <c r="AZ873" s="1174"/>
      <c r="BA873" s="1174"/>
      <c r="BB873" s="1174"/>
      <c r="BC873" s="1174"/>
      <c r="BD873" s="1174"/>
      <c r="BE873" s="1174"/>
      <c r="BG873" s="49"/>
    </row>
    <row r="874" spans="49:59" ht="12" customHeight="1">
      <c r="AW874" s="1174"/>
      <c r="AX874" s="1174"/>
      <c r="AY874" s="1174"/>
      <c r="AZ874" s="1174"/>
      <c r="BA874" s="1174"/>
      <c r="BB874" s="1174"/>
      <c r="BC874" s="1174"/>
      <c r="BD874" s="1174"/>
      <c r="BE874" s="1174"/>
      <c r="BG874" s="49"/>
    </row>
    <row r="875" spans="49:59" ht="12" customHeight="1">
      <c r="AW875" s="1174"/>
      <c r="AX875" s="1174"/>
      <c r="AY875" s="1174"/>
      <c r="AZ875" s="1174"/>
      <c r="BA875" s="1174"/>
      <c r="BB875" s="1174"/>
      <c r="BC875" s="1174"/>
      <c r="BD875" s="1174"/>
      <c r="BE875" s="1174"/>
      <c r="BG875" s="49"/>
    </row>
    <row r="876" spans="49:59" ht="12" customHeight="1">
      <c r="AW876" s="1174"/>
      <c r="AX876" s="1174"/>
      <c r="AY876" s="1174"/>
      <c r="AZ876" s="1174"/>
      <c r="BA876" s="1174"/>
      <c r="BB876" s="1174"/>
      <c r="BC876" s="1174"/>
      <c r="BD876" s="1174"/>
      <c r="BE876" s="1174"/>
      <c r="BG876" s="49"/>
    </row>
    <row r="877" spans="49:59" ht="12" customHeight="1">
      <c r="AW877" s="1174"/>
      <c r="AX877" s="1174"/>
      <c r="AY877" s="1174"/>
      <c r="AZ877" s="1174"/>
      <c r="BA877" s="1174"/>
      <c r="BB877" s="1174"/>
      <c r="BC877" s="1174"/>
      <c r="BD877" s="1174"/>
      <c r="BE877" s="1174"/>
      <c r="BG877" s="49"/>
    </row>
    <row r="878" spans="49:59" ht="12" customHeight="1">
      <c r="AW878" s="1174"/>
      <c r="AX878" s="1174"/>
      <c r="AY878" s="1174"/>
      <c r="AZ878" s="1174"/>
      <c r="BA878" s="1174"/>
      <c r="BB878" s="1174"/>
      <c r="BC878" s="1174"/>
      <c r="BD878" s="1174"/>
      <c r="BE878" s="1174"/>
      <c r="BG878" s="49"/>
    </row>
    <row r="879" spans="49:59" ht="12" customHeight="1">
      <c r="AW879" s="1174"/>
      <c r="AX879" s="1174"/>
      <c r="AY879" s="1174"/>
      <c r="AZ879" s="1174"/>
      <c r="BA879" s="1174"/>
      <c r="BB879" s="1174"/>
      <c r="BC879" s="1174"/>
      <c r="BD879" s="1174"/>
      <c r="BE879" s="1174"/>
      <c r="BG879" s="49"/>
    </row>
    <row r="880" spans="49:59" ht="12" customHeight="1">
      <c r="AW880" s="1174"/>
      <c r="AX880" s="1174"/>
      <c r="AY880" s="1174"/>
      <c r="AZ880" s="1174"/>
      <c r="BA880" s="1174"/>
      <c r="BB880" s="1174"/>
      <c r="BC880" s="1174"/>
      <c r="BD880" s="1174"/>
      <c r="BE880" s="1174"/>
      <c r="BG880" s="49"/>
    </row>
    <row r="881" spans="49:59" ht="12" customHeight="1">
      <c r="AW881" s="1174"/>
      <c r="AX881" s="1174"/>
      <c r="AY881" s="1174"/>
      <c r="AZ881" s="1174"/>
      <c r="BA881" s="1174"/>
      <c r="BB881" s="1174"/>
      <c r="BC881" s="1174"/>
      <c r="BD881" s="1174"/>
      <c r="BE881" s="1174"/>
      <c r="BG881" s="49"/>
    </row>
    <row r="882" spans="49:59" ht="12" customHeight="1">
      <c r="AW882" s="1174"/>
      <c r="AX882" s="1174"/>
      <c r="AY882" s="1174"/>
      <c r="AZ882" s="1174"/>
      <c r="BA882" s="1174"/>
      <c r="BB882" s="1174"/>
      <c r="BC882" s="1174"/>
      <c r="BD882" s="1174"/>
      <c r="BE882" s="1174"/>
      <c r="BG882" s="49"/>
    </row>
    <row r="883" spans="49:59" ht="12" customHeight="1">
      <c r="AW883" s="1174"/>
      <c r="AX883" s="1174"/>
      <c r="AY883" s="1174"/>
      <c r="AZ883" s="1174"/>
      <c r="BA883" s="1174"/>
      <c r="BB883" s="1174"/>
      <c r="BC883" s="1174"/>
      <c r="BD883" s="1174"/>
      <c r="BE883" s="1174"/>
      <c r="BG883" s="49"/>
    </row>
    <row r="884" spans="49:59" ht="12" customHeight="1">
      <c r="AW884" s="1174"/>
      <c r="AX884" s="1174"/>
      <c r="AY884" s="1174"/>
      <c r="AZ884" s="1174"/>
      <c r="BA884" s="1174"/>
      <c r="BB884" s="1174"/>
      <c r="BC884" s="1174"/>
      <c r="BD884" s="1174"/>
      <c r="BE884" s="1174"/>
      <c r="BG884" s="49"/>
    </row>
    <row r="885" spans="49:59" ht="12" customHeight="1">
      <c r="AW885" s="1174"/>
      <c r="AX885" s="1174"/>
      <c r="AY885" s="1174"/>
      <c r="AZ885" s="1174"/>
      <c r="BA885" s="1174"/>
      <c r="BB885" s="1174"/>
      <c r="BC885" s="1174"/>
      <c r="BD885" s="1174"/>
      <c r="BE885" s="1174"/>
      <c r="BG885" s="49"/>
    </row>
    <row r="886" spans="49:59" ht="12" customHeight="1">
      <c r="AW886" s="1174"/>
      <c r="AX886" s="1174"/>
      <c r="AY886" s="1174"/>
      <c r="AZ886" s="1174"/>
      <c r="BA886" s="1174"/>
      <c r="BB886" s="1174"/>
      <c r="BC886" s="1174"/>
      <c r="BD886" s="1174"/>
      <c r="BE886" s="1174"/>
      <c r="BG886" s="49"/>
    </row>
    <row r="887" spans="49:59" ht="12" customHeight="1">
      <c r="AW887" s="1174"/>
      <c r="AX887" s="1174"/>
      <c r="AY887" s="1174"/>
      <c r="AZ887" s="1174"/>
      <c r="BA887" s="1174"/>
      <c r="BB887" s="1174"/>
      <c r="BC887" s="1174"/>
      <c r="BD887" s="1174"/>
      <c r="BE887" s="1174"/>
      <c r="BG887" s="49"/>
    </row>
    <row r="888" spans="49:59" ht="12" customHeight="1">
      <c r="AW888" s="1174"/>
      <c r="AX888" s="1174"/>
      <c r="AY888" s="1174"/>
      <c r="AZ888" s="1174"/>
      <c r="BA888" s="1174"/>
      <c r="BB888" s="1174"/>
      <c r="BC888" s="1174"/>
      <c r="BD888" s="1174"/>
      <c r="BE888" s="1174"/>
      <c r="BG888" s="49"/>
    </row>
    <row r="889" spans="49:59" ht="12" customHeight="1">
      <c r="AW889" s="1174"/>
      <c r="AX889" s="1174"/>
      <c r="AY889" s="1174"/>
      <c r="AZ889" s="1174"/>
      <c r="BA889" s="1174"/>
      <c r="BB889" s="1174"/>
      <c r="BC889" s="1174"/>
      <c r="BD889" s="1174"/>
      <c r="BE889" s="1174"/>
      <c r="BG889" s="49"/>
    </row>
    <row r="890" spans="49:59" ht="12" customHeight="1">
      <c r="AW890" s="1174"/>
      <c r="AX890" s="1174"/>
      <c r="AY890" s="1174"/>
      <c r="AZ890" s="1174"/>
      <c r="BA890" s="1174"/>
      <c r="BB890" s="1174"/>
      <c r="BC890" s="1174"/>
      <c r="BD890" s="1174"/>
      <c r="BE890" s="1174"/>
      <c r="BG890" s="49"/>
    </row>
    <row r="891" spans="49:59" ht="12" customHeight="1">
      <c r="AW891" s="1174"/>
      <c r="AX891" s="1174"/>
      <c r="AY891" s="1174"/>
      <c r="AZ891" s="1174"/>
      <c r="BA891" s="1174"/>
      <c r="BB891" s="1174"/>
      <c r="BC891" s="1174"/>
      <c r="BD891" s="1174"/>
      <c r="BE891" s="1174"/>
      <c r="BG891" s="49"/>
    </row>
    <row r="892" spans="49:59" ht="12" customHeight="1">
      <c r="AW892" s="1174"/>
      <c r="AX892" s="1174"/>
      <c r="AY892" s="1174"/>
      <c r="AZ892" s="1174"/>
      <c r="BA892" s="1174"/>
      <c r="BB892" s="1174"/>
      <c r="BC892" s="1174"/>
      <c r="BD892" s="1174"/>
      <c r="BE892" s="1174"/>
      <c r="BG892" s="49"/>
    </row>
    <row r="893" spans="49:59" ht="12" customHeight="1">
      <c r="AW893" s="1174"/>
      <c r="AX893" s="1174"/>
      <c r="AY893" s="1174"/>
      <c r="AZ893" s="1174"/>
      <c r="BA893" s="1174"/>
      <c r="BB893" s="1174"/>
      <c r="BC893" s="1174"/>
      <c r="BD893" s="1174"/>
      <c r="BE893" s="1174"/>
      <c r="BG893" s="49"/>
    </row>
    <row r="894" spans="49:59" ht="12" customHeight="1">
      <c r="AW894" s="1174"/>
      <c r="AX894" s="1174"/>
      <c r="AY894" s="1174"/>
      <c r="AZ894" s="1174"/>
      <c r="BA894" s="1174"/>
      <c r="BB894" s="1174"/>
      <c r="BC894" s="1174"/>
      <c r="BD894" s="1174"/>
      <c r="BE894" s="1174"/>
      <c r="BG894" s="49"/>
    </row>
    <row r="895" spans="49:59" ht="12" customHeight="1">
      <c r="AW895" s="1174"/>
      <c r="AX895" s="1174"/>
      <c r="AY895" s="1174"/>
      <c r="AZ895" s="1174"/>
      <c r="BA895" s="1174"/>
      <c r="BB895" s="1174"/>
      <c r="BC895" s="1174"/>
      <c r="BD895" s="1174"/>
      <c r="BE895" s="1174"/>
      <c r="BG895" s="49"/>
    </row>
    <row r="896" spans="49:59" ht="12" customHeight="1">
      <c r="AW896" s="1174"/>
      <c r="AX896" s="1174"/>
      <c r="AY896" s="1174"/>
      <c r="AZ896" s="1174"/>
      <c r="BA896" s="1174"/>
      <c r="BB896" s="1174"/>
      <c r="BC896" s="1174"/>
      <c r="BD896" s="1174"/>
      <c r="BE896" s="1174"/>
      <c r="BG896" s="49"/>
    </row>
    <row r="897" spans="49:59" ht="12" customHeight="1">
      <c r="AW897" s="1174"/>
      <c r="AX897" s="1174"/>
      <c r="AY897" s="1174"/>
      <c r="AZ897" s="1174"/>
      <c r="BA897" s="1174"/>
      <c r="BB897" s="1174"/>
      <c r="BC897" s="1174"/>
      <c r="BD897" s="1174"/>
      <c r="BE897" s="1174"/>
      <c r="BG897" s="49"/>
    </row>
    <row r="898" spans="49:59" ht="12" customHeight="1">
      <c r="AW898" s="1174"/>
      <c r="AX898" s="1174"/>
      <c r="AY898" s="1174"/>
      <c r="AZ898" s="1174"/>
      <c r="BA898" s="1174"/>
      <c r="BB898" s="1174"/>
      <c r="BC898" s="1174"/>
      <c r="BD898" s="1174"/>
      <c r="BE898" s="1174"/>
      <c r="BG898" s="49"/>
    </row>
    <row r="899" spans="49:59" ht="12" customHeight="1">
      <c r="AW899" s="1174"/>
      <c r="AX899" s="1174"/>
      <c r="AY899" s="1174"/>
      <c r="AZ899" s="1174"/>
      <c r="BA899" s="1174"/>
      <c r="BB899" s="1174"/>
      <c r="BC899" s="1174"/>
      <c r="BD899" s="1174"/>
      <c r="BE899" s="1174"/>
      <c r="BG899" s="49"/>
    </row>
    <row r="900" spans="49:59" ht="12" customHeight="1">
      <c r="AW900" s="1174"/>
      <c r="AX900" s="1174"/>
      <c r="AY900" s="1174"/>
      <c r="AZ900" s="1174"/>
      <c r="BA900" s="1174"/>
      <c r="BB900" s="1174"/>
      <c r="BC900" s="1174"/>
      <c r="BD900" s="1174"/>
      <c r="BE900" s="1174"/>
      <c r="BG900" s="49"/>
    </row>
    <row r="901" spans="49:59" ht="12" customHeight="1">
      <c r="AW901" s="1174"/>
      <c r="AX901" s="1174"/>
      <c r="AY901" s="1174"/>
      <c r="AZ901" s="1174"/>
      <c r="BA901" s="1174"/>
      <c r="BB901" s="1174"/>
      <c r="BC901" s="1174"/>
      <c r="BD901" s="1174"/>
      <c r="BE901" s="1174"/>
      <c r="BG901" s="49"/>
    </row>
    <row r="902" spans="49:59" ht="12" customHeight="1">
      <c r="AW902" s="1174"/>
      <c r="AX902" s="1174"/>
      <c r="AY902" s="1174"/>
      <c r="AZ902" s="1174"/>
      <c r="BA902" s="1174"/>
      <c r="BB902" s="1174"/>
      <c r="BC902" s="1174"/>
      <c r="BD902" s="1174"/>
      <c r="BE902" s="1174"/>
      <c r="BG902" s="49"/>
    </row>
    <row r="903" spans="49:59" ht="12" customHeight="1">
      <c r="AW903" s="1174"/>
      <c r="AX903" s="1174"/>
      <c r="AY903" s="1174"/>
      <c r="AZ903" s="1174"/>
      <c r="BA903" s="1174"/>
      <c r="BB903" s="1174"/>
      <c r="BC903" s="1174"/>
      <c r="BD903" s="1174"/>
      <c r="BE903" s="1174"/>
      <c r="BG903" s="49"/>
    </row>
    <row r="904" spans="49:59" ht="12" customHeight="1">
      <c r="AW904" s="1174"/>
      <c r="AX904" s="1174"/>
      <c r="AY904" s="1174"/>
      <c r="AZ904" s="1174"/>
      <c r="BA904" s="1174"/>
      <c r="BB904" s="1174"/>
      <c r="BC904" s="1174"/>
      <c r="BD904" s="1174"/>
      <c r="BE904" s="1174"/>
      <c r="BG904" s="49"/>
    </row>
    <row r="905" spans="49:59" ht="12" customHeight="1">
      <c r="AW905" s="1174"/>
      <c r="AX905" s="1174"/>
      <c r="AY905" s="1174"/>
      <c r="AZ905" s="1174"/>
      <c r="BA905" s="1174"/>
      <c r="BB905" s="1174"/>
      <c r="BC905" s="1174"/>
      <c r="BD905" s="1174"/>
      <c r="BE905" s="1174"/>
      <c r="BG905" s="49"/>
    </row>
    <row r="906" spans="49:59" ht="12" customHeight="1">
      <c r="AW906" s="1174"/>
      <c r="AX906" s="1174"/>
      <c r="AY906" s="1174"/>
      <c r="AZ906" s="1174"/>
      <c r="BA906" s="1174"/>
      <c r="BB906" s="1174"/>
      <c r="BC906" s="1174"/>
      <c r="BD906" s="1174"/>
      <c r="BE906" s="1174"/>
      <c r="BG906" s="49"/>
    </row>
    <row r="907" spans="49:59" ht="12" customHeight="1">
      <c r="AW907" s="1174"/>
      <c r="AX907" s="1174"/>
      <c r="AY907" s="1174"/>
      <c r="AZ907" s="1174"/>
      <c r="BA907" s="1174"/>
      <c r="BB907" s="1174"/>
      <c r="BC907" s="1174"/>
      <c r="BD907" s="1174"/>
      <c r="BE907" s="1174"/>
      <c r="BG907" s="49"/>
    </row>
    <row r="908" spans="49:59" ht="12" customHeight="1">
      <c r="AW908" s="1174"/>
      <c r="AX908" s="1174"/>
      <c r="AY908" s="1174"/>
      <c r="AZ908" s="1174"/>
      <c r="BA908" s="1174"/>
      <c r="BB908" s="1174"/>
      <c r="BC908" s="1174"/>
      <c r="BD908" s="1174"/>
      <c r="BE908" s="1174"/>
      <c r="BG908" s="49"/>
    </row>
    <row r="909" spans="49:59" ht="12" customHeight="1">
      <c r="AW909" s="1174"/>
      <c r="AX909" s="1174"/>
      <c r="AY909" s="1174"/>
      <c r="AZ909" s="1174"/>
      <c r="BA909" s="1174"/>
      <c r="BB909" s="1174"/>
      <c r="BC909" s="1174"/>
      <c r="BD909" s="1174"/>
      <c r="BE909" s="1174"/>
      <c r="BG909" s="49"/>
    </row>
    <row r="910" spans="49:59" ht="12" customHeight="1">
      <c r="AW910" s="1174"/>
      <c r="AX910" s="1174"/>
      <c r="AY910" s="1174"/>
      <c r="AZ910" s="1174"/>
      <c r="BA910" s="1174"/>
      <c r="BB910" s="1174"/>
      <c r="BC910" s="1174"/>
      <c r="BD910" s="1174"/>
      <c r="BE910" s="1174"/>
      <c r="BG910" s="49"/>
    </row>
    <row r="911" spans="49:59" ht="12" customHeight="1">
      <c r="AW911" s="1174"/>
      <c r="AX911" s="1174"/>
      <c r="AY911" s="1174"/>
      <c r="AZ911" s="1174"/>
      <c r="BA911" s="1174"/>
      <c r="BB911" s="1174"/>
      <c r="BC911" s="1174"/>
      <c r="BD911" s="1174"/>
      <c r="BE911" s="1174"/>
      <c r="BG911" s="49"/>
    </row>
    <row r="912" spans="49:59" ht="12" customHeight="1">
      <c r="AW912" s="1174"/>
      <c r="AX912" s="1174"/>
      <c r="AY912" s="1174"/>
      <c r="AZ912" s="1174"/>
      <c r="BA912" s="1174"/>
      <c r="BB912" s="1174"/>
      <c r="BC912" s="1174"/>
      <c r="BD912" s="1174"/>
      <c r="BE912" s="1174"/>
      <c r="BG912" s="49"/>
    </row>
    <row r="913" spans="49:59" ht="12" customHeight="1">
      <c r="AW913" s="1174"/>
      <c r="AX913" s="1174"/>
      <c r="AY913" s="1174"/>
      <c r="AZ913" s="1174"/>
      <c r="BA913" s="1174"/>
      <c r="BB913" s="1174"/>
      <c r="BC913" s="1174"/>
      <c r="BD913" s="1174"/>
      <c r="BE913" s="1174"/>
      <c r="BG913" s="49"/>
    </row>
    <row r="914" spans="49:59" ht="12" customHeight="1">
      <c r="AW914" s="1174"/>
      <c r="AX914" s="1174"/>
      <c r="AY914" s="1174"/>
      <c r="AZ914" s="1174"/>
      <c r="BA914" s="1174"/>
      <c r="BB914" s="1174"/>
      <c r="BC914" s="1174"/>
      <c r="BD914" s="1174"/>
      <c r="BE914" s="1174"/>
      <c r="BG914" s="49"/>
    </row>
    <row r="915" spans="49:59" ht="12" customHeight="1">
      <c r="AW915" s="1174"/>
      <c r="AX915" s="1174"/>
      <c r="AY915" s="1174"/>
      <c r="AZ915" s="1174"/>
      <c r="BA915" s="1174"/>
      <c r="BB915" s="1174"/>
      <c r="BC915" s="1174"/>
      <c r="BD915" s="1174"/>
      <c r="BE915" s="1174"/>
      <c r="BG915" s="49"/>
    </row>
    <row r="916" spans="49:59" ht="12" customHeight="1">
      <c r="AW916" s="1174"/>
      <c r="AX916" s="1174"/>
      <c r="AY916" s="1174"/>
      <c r="AZ916" s="1174"/>
      <c r="BA916" s="1174"/>
      <c r="BB916" s="1174"/>
      <c r="BC916" s="1174"/>
      <c r="BD916" s="1174"/>
      <c r="BE916" s="1174"/>
      <c r="BG916" s="49"/>
    </row>
    <row r="917" spans="49:59" ht="12" customHeight="1">
      <c r="AW917" s="1174"/>
      <c r="AX917" s="1174"/>
      <c r="AY917" s="1174"/>
      <c r="AZ917" s="1174"/>
      <c r="BA917" s="1174"/>
      <c r="BB917" s="1174"/>
      <c r="BC917" s="1174"/>
      <c r="BD917" s="1174"/>
      <c r="BE917" s="1174"/>
      <c r="BG917" s="49"/>
    </row>
    <row r="918" spans="49:59" ht="12" customHeight="1">
      <c r="AW918" s="1174"/>
      <c r="AX918" s="1174"/>
      <c r="AY918" s="1174"/>
      <c r="AZ918" s="1174"/>
      <c r="BA918" s="1174"/>
      <c r="BB918" s="1174"/>
      <c r="BC918" s="1174"/>
      <c r="BD918" s="1174"/>
      <c r="BE918" s="1174"/>
      <c r="BG918" s="49"/>
    </row>
    <row r="919" spans="49:59" ht="12" customHeight="1">
      <c r="AW919" s="1174"/>
      <c r="AX919" s="1174"/>
      <c r="AY919" s="1174"/>
      <c r="AZ919" s="1174"/>
      <c r="BA919" s="1174"/>
      <c r="BB919" s="1174"/>
      <c r="BC919" s="1174"/>
      <c r="BD919" s="1174"/>
      <c r="BE919" s="1174"/>
      <c r="BG919" s="49"/>
    </row>
    <row r="920" spans="49:59" ht="12" customHeight="1">
      <c r="AW920" s="1174"/>
      <c r="AX920" s="1174"/>
      <c r="AY920" s="1174"/>
      <c r="AZ920" s="1174"/>
      <c r="BA920" s="1174"/>
      <c r="BB920" s="1174"/>
      <c r="BC920" s="1174"/>
      <c r="BD920" s="1174"/>
      <c r="BE920" s="1174"/>
      <c r="BG920" s="49"/>
    </row>
    <row r="921" spans="49:59" ht="12" customHeight="1">
      <c r="AW921" s="1174"/>
      <c r="AX921" s="1174"/>
      <c r="AY921" s="1174"/>
      <c r="AZ921" s="1174"/>
      <c r="BA921" s="1174"/>
      <c r="BB921" s="1174"/>
      <c r="BC921" s="1174"/>
      <c r="BD921" s="1174"/>
      <c r="BE921" s="1174"/>
      <c r="BG921" s="49"/>
    </row>
    <row r="922" spans="49:59" ht="12" customHeight="1">
      <c r="AW922" s="1174"/>
      <c r="AX922" s="1174"/>
      <c r="AY922" s="1174"/>
      <c r="AZ922" s="1174"/>
      <c r="BA922" s="1174"/>
      <c r="BB922" s="1174"/>
      <c r="BC922" s="1174"/>
      <c r="BD922" s="1174"/>
      <c r="BE922" s="1174"/>
      <c r="BG922" s="49"/>
    </row>
    <row r="923" spans="49:59" ht="12" customHeight="1">
      <c r="AW923" s="1174"/>
      <c r="AX923" s="1174"/>
      <c r="AY923" s="1174"/>
      <c r="AZ923" s="1174"/>
      <c r="BA923" s="1174"/>
      <c r="BB923" s="1174"/>
      <c r="BC923" s="1174"/>
      <c r="BD923" s="1174"/>
      <c r="BE923" s="1174"/>
      <c r="BG923" s="49"/>
    </row>
    <row r="924" spans="49:59" ht="12" customHeight="1">
      <c r="AW924" s="1174"/>
      <c r="AX924" s="1174"/>
      <c r="AY924" s="1174"/>
      <c r="AZ924" s="1174"/>
      <c r="BA924" s="1174"/>
      <c r="BB924" s="1174"/>
      <c r="BC924" s="1174"/>
      <c r="BD924" s="1174"/>
      <c r="BE924" s="1174"/>
      <c r="BG924" s="49"/>
    </row>
    <row r="925" spans="49:59" ht="12" customHeight="1">
      <c r="AW925" s="1174"/>
      <c r="AX925" s="1174"/>
      <c r="AY925" s="1174"/>
      <c r="AZ925" s="1174"/>
      <c r="BA925" s="1174"/>
      <c r="BB925" s="1174"/>
      <c r="BC925" s="1174"/>
      <c r="BD925" s="1174"/>
      <c r="BE925" s="1174"/>
      <c r="BG925" s="49"/>
    </row>
    <row r="926" spans="49:59" ht="12" customHeight="1">
      <c r="AW926" s="1174"/>
      <c r="AX926" s="1174"/>
      <c r="AY926" s="1174"/>
      <c r="AZ926" s="1174"/>
      <c r="BA926" s="1174"/>
      <c r="BB926" s="1174"/>
      <c r="BC926" s="1174"/>
      <c r="BD926" s="1174"/>
      <c r="BE926" s="1174"/>
      <c r="BG926" s="49"/>
    </row>
    <row r="927" spans="49:59" ht="12" customHeight="1">
      <c r="AW927" s="1174"/>
      <c r="AX927" s="1174"/>
      <c r="AY927" s="1174"/>
      <c r="AZ927" s="1174"/>
      <c r="BA927" s="1174"/>
      <c r="BB927" s="1174"/>
      <c r="BC927" s="1174"/>
      <c r="BD927" s="1174"/>
      <c r="BE927" s="1174"/>
      <c r="BG927" s="49"/>
    </row>
    <row r="928" spans="49:59" ht="12" customHeight="1">
      <c r="AW928" s="1174"/>
      <c r="AX928" s="1174"/>
      <c r="AY928" s="1174"/>
      <c r="AZ928" s="1174"/>
      <c r="BA928" s="1174"/>
      <c r="BB928" s="1174"/>
      <c r="BC928" s="1174"/>
      <c r="BD928" s="1174"/>
      <c r="BE928" s="1174"/>
      <c r="BG928" s="49"/>
    </row>
    <row r="929" spans="49:59" ht="12" customHeight="1">
      <c r="AW929" s="1174"/>
      <c r="AX929" s="1174"/>
      <c r="AY929" s="1174"/>
      <c r="AZ929" s="1174"/>
      <c r="BA929" s="1174"/>
      <c r="BB929" s="1174"/>
      <c r="BC929" s="1174"/>
      <c r="BD929" s="1174"/>
      <c r="BE929" s="1174"/>
      <c r="BG929" s="49"/>
    </row>
    <row r="930" spans="49:59" ht="12" customHeight="1">
      <c r="AW930" s="1174"/>
      <c r="AX930" s="1174"/>
      <c r="AY930" s="1174"/>
      <c r="AZ930" s="1174"/>
      <c r="BA930" s="1174"/>
      <c r="BB930" s="1174"/>
      <c r="BC930" s="1174"/>
      <c r="BD930" s="1174"/>
      <c r="BE930" s="1174"/>
      <c r="BG930" s="49"/>
    </row>
    <row r="931" spans="49:59" ht="12" customHeight="1">
      <c r="AW931" s="1174"/>
      <c r="AX931" s="1174"/>
      <c r="AY931" s="1174"/>
      <c r="AZ931" s="1174"/>
      <c r="BA931" s="1174"/>
      <c r="BB931" s="1174"/>
      <c r="BC931" s="1174"/>
      <c r="BD931" s="1174"/>
      <c r="BE931" s="1174"/>
      <c r="BG931" s="49"/>
    </row>
    <row r="932" spans="49:59" ht="12" customHeight="1">
      <c r="AW932" s="1174"/>
      <c r="AX932" s="1174"/>
      <c r="AY932" s="1174"/>
      <c r="AZ932" s="1174"/>
      <c r="BA932" s="1174"/>
      <c r="BB932" s="1174"/>
      <c r="BC932" s="1174"/>
      <c r="BD932" s="1174"/>
      <c r="BE932" s="1174"/>
      <c r="BG932" s="49"/>
    </row>
    <row r="933" spans="49:59" ht="12" customHeight="1">
      <c r="AW933" s="1174"/>
      <c r="AX933" s="1174"/>
      <c r="AY933" s="1174"/>
      <c r="AZ933" s="1174"/>
      <c r="BA933" s="1174"/>
      <c r="BB933" s="1174"/>
      <c r="BC933" s="1174"/>
      <c r="BD933" s="1174"/>
      <c r="BE933" s="1174"/>
      <c r="BG933" s="49"/>
    </row>
    <row r="934" spans="49:59" ht="12" customHeight="1">
      <c r="AW934" s="1174"/>
      <c r="AX934" s="1174"/>
      <c r="AY934" s="1174"/>
      <c r="AZ934" s="1174"/>
      <c r="BA934" s="1174"/>
      <c r="BB934" s="1174"/>
      <c r="BC934" s="1174"/>
      <c r="BD934" s="1174"/>
      <c r="BE934" s="1174"/>
      <c r="BG934" s="49"/>
    </row>
    <row r="935" spans="49:59" ht="12" customHeight="1">
      <c r="AW935" s="1174"/>
      <c r="AX935" s="1174"/>
      <c r="AY935" s="1174"/>
      <c r="AZ935" s="1174"/>
      <c r="BA935" s="1174"/>
      <c r="BB935" s="1174"/>
      <c r="BC935" s="1174"/>
      <c r="BD935" s="1174"/>
      <c r="BE935" s="1174"/>
      <c r="BG935" s="49"/>
    </row>
    <row r="936" spans="49:59" ht="12" customHeight="1">
      <c r="AW936" s="1174"/>
      <c r="AX936" s="1174"/>
      <c r="AY936" s="1174"/>
      <c r="AZ936" s="1174"/>
      <c r="BA936" s="1174"/>
      <c r="BB936" s="1174"/>
      <c r="BC936" s="1174"/>
      <c r="BD936" s="1174"/>
      <c r="BE936" s="1174"/>
      <c r="BG936" s="49"/>
    </row>
    <row r="937" spans="49:59" ht="12" customHeight="1">
      <c r="AW937" s="1174"/>
      <c r="AX937" s="1174"/>
      <c r="AY937" s="1174"/>
      <c r="AZ937" s="1174"/>
      <c r="BA937" s="1174"/>
      <c r="BB937" s="1174"/>
      <c r="BC937" s="1174"/>
      <c r="BD937" s="1174"/>
      <c r="BE937" s="1174"/>
      <c r="BG937" s="49"/>
    </row>
    <row r="938" spans="49:59" ht="12" customHeight="1">
      <c r="AW938" s="1174"/>
      <c r="AX938" s="1174"/>
      <c r="AY938" s="1174"/>
      <c r="AZ938" s="1174"/>
      <c r="BA938" s="1174"/>
      <c r="BB938" s="1174"/>
      <c r="BC938" s="1174"/>
      <c r="BD938" s="1174"/>
      <c r="BE938" s="1174"/>
      <c r="BG938" s="49"/>
    </row>
    <row r="939" spans="49:59" ht="12" customHeight="1">
      <c r="AW939" s="1174"/>
      <c r="AX939" s="1174"/>
      <c r="AY939" s="1174"/>
      <c r="AZ939" s="1174"/>
      <c r="BA939" s="1174"/>
      <c r="BB939" s="1174"/>
      <c r="BC939" s="1174"/>
      <c r="BD939" s="1174"/>
      <c r="BE939" s="1174"/>
      <c r="BG939" s="49"/>
    </row>
    <row r="940" spans="49:59" ht="12" customHeight="1">
      <c r="AW940" s="1174"/>
      <c r="AX940" s="1174"/>
      <c r="AY940" s="1174"/>
      <c r="AZ940" s="1174"/>
      <c r="BA940" s="1174"/>
      <c r="BB940" s="1174"/>
      <c r="BC940" s="1174"/>
      <c r="BD940" s="1174"/>
      <c r="BE940" s="1174"/>
      <c r="BG940" s="49"/>
    </row>
    <row r="941" spans="49:59" ht="12" customHeight="1">
      <c r="AW941" s="1174"/>
      <c r="AX941" s="1174"/>
      <c r="AY941" s="1174"/>
      <c r="AZ941" s="1174"/>
      <c r="BA941" s="1174"/>
      <c r="BB941" s="1174"/>
      <c r="BC941" s="1174"/>
      <c r="BD941" s="1174"/>
      <c r="BE941" s="1174"/>
      <c r="BG941" s="49"/>
    </row>
    <row r="942" spans="49:59" ht="12" customHeight="1">
      <c r="AW942" s="1174"/>
      <c r="AX942" s="1174"/>
      <c r="AY942" s="1174"/>
      <c r="AZ942" s="1174"/>
      <c r="BA942" s="1174"/>
      <c r="BB942" s="1174"/>
      <c r="BC942" s="1174"/>
      <c r="BD942" s="1174"/>
      <c r="BE942" s="1174"/>
      <c r="BG942" s="49"/>
    </row>
    <row r="943" spans="49:59" ht="12" customHeight="1">
      <c r="AW943" s="1174"/>
      <c r="AX943" s="1174"/>
      <c r="AY943" s="1174"/>
      <c r="AZ943" s="1174"/>
      <c r="BA943" s="1174"/>
      <c r="BB943" s="1174"/>
      <c r="BC943" s="1174"/>
      <c r="BD943" s="1174"/>
      <c r="BE943" s="1174"/>
      <c r="BG943" s="49"/>
    </row>
    <row r="944" spans="49:59" ht="12" customHeight="1">
      <c r="AW944" s="1174"/>
      <c r="AX944" s="1174"/>
      <c r="AY944" s="1174"/>
      <c r="AZ944" s="1174"/>
      <c r="BA944" s="1174"/>
      <c r="BB944" s="1174"/>
      <c r="BC944" s="1174"/>
      <c r="BD944" s="1174"/>
      <c r="BE944" s="1174"/>
      <c r="BG944" s="49"/>
    </row>
    <row r="945" spans="49:59" ht="12" customHeight="1">
      <c r="AW945" s="1174"/>
      <c r="AX945" s="1174"/>
      <c r="AY945" s="1174"/>
      <c r="AZ945" s="1174"/>
      <c r="BA945" s="1174"/>
      <c r="BB945" s="1174"/>
      <c r="BC945" s="1174"/>
      <c r="BD945" s="1174"/>
      <c r="BE945" s="1174"/>
      <c r="BG945" s="49"/>
    </row>
    <row r="946" spans="49:59" ht="12" customHeight="1">
      <c r="AW946" s="1174"/>
      <c r="AX946" s="1174"/>
      <c r="AY946" s="1174"/>
      <c r="AZ946" s="1174"/>
      <c r="BA946" s="1174"/>
      <c r="BB946" s="1174"/>
      <c r="BC946" s="1174"/>
      <c r="BD946" s="1174"/>
      <c r="BE946" s="1174"/>
      <c r="BG946" s="49"/>
    </row>
    <row r="947" spans="49:59" ht="12" customHeight="1">
      <c r="AW947" s="1174"/>
      <c r="AX947" s="1174"/>
      <c r="AY947" s="1174"/>
      <c r="AZ947" s="1174"/>
      <c r="BA947" s="1174"/>
      <c r="BB947" s="1174"/>
      <c r="BC947" s="1174"/>
      <c r="BD947" s="1174"/>
      <c r="BE947" s="1174"/>
      <c r="BG947" s="49"/>
    </row>
    <row r="948" spans="49:59" ht="12" customHeight="1">
      <c r="AW948" s="1174"/>
      <c r="AX948" s="1174"/>
      <c r="AY948" s="1174"/>
      <c r="AZ948" s="1174"/>
      <c r="BA948" s="1174"/>
      <c r="BB948" s="1174"/>
      <c r="BC948" s="1174"/>
      <c r="BD948" s="1174"/>
      <c r="BE948" s="1174"/>
      <c r="BG948" s="49"/>
    </row>
    <row r="949" spans="49:59" ht="12" customHeight="1">
      <c r="AW949" s="1174"/>
      <c r="AX949" s="1174"/>
      <c r="AY949" s="1174"/>
      <c r="AZ949" s="1174"/>
      <c r="BA949" s="1174"/>
      <c r="BB949" s="1174"/>
      <c r="BC949" s="1174"/>
      <c r="BD949" s="1174"/>
      <c r="BE949" s="1174"/>
      <c r="BG949" s="49"/>
    </row>
    <row r="950" spans="49:59" ht="12" customHeight="1">
      <c r="AW950" s="1174"/>
      <c r="AX950" s="1174"/>
      <c r="AY950" s="1174"/>
      <c r="AZ950" s="1174"/>
      <c r="BA950" s="1174"/>
      <c r="BB950" s="1174"/>
      <c r="BC950" s="1174"/>
      <c r="BD950" s="1174"/>
      <c r="BE950" s="1174"/>
      <c r="BG950" s="49"/>
    </row>
    <row r="951" spans="49:59" ht="12" customHeight="1">
      <c r="AW951" s="1174"/>
      <c r="AX951" s="1174"/>
      <c r="AY951" s="1174"/>
      <c r="AZ951" s="1174"/>
      <c r="BA951" s="1174"/>
      <c r="BB951" s="1174"/>
      <c r="BC951" s="1174"/>
      <c r="BD951" s="1174"/>
      <c r="BE951" s="1174"/>
      <c r="BG951" s="49"/>
    </row>
    <row r="952" spans="49:59" ht="12" customHeight="1">
      <c r="AW952" s="1174"/>
      <c r="AX952" s="1174"/>
      <c r="AY952" s="1174"/>
      <c r="AZ952" s="1174"/>
      <c r="BA952" s="1174"/>
      <c r="BB952" s="1174"/>
      <c r="BC952" s="1174"/>
      <c r="BD952" s="1174"/>
      <c r="BE952" s="1174"/>
      <c r="BG952" s="49"/>
    </row>
    <row r="953" spans="49:59" ht="12" customHeight="1">
      <c r="AW953" s="1174"/>
      <c r="AX953" s="1174"/>
      <c r="AY953" s="1174"/>
      <c r="AZ953" s="1174"/>
      <c r="BA953" s="1174"/>
      <c r="BB953" s="1174"/>
      <c r="BC953" s="1174"/>
      <c r="BD953" s="1174"/>
      <c r="BE953" s="1174"/>
      <c r="BG953" s="49"/>
    </row>
    <row r="954" spans="49:59" ht="12" customHeight="1">
      <c r="AW954" s="1174"/>
      <c r="AX954" s="1174"/>
      <c r="AY954" s="1174"/>
      <c r="AZ954" s="1174"/>
      <c r="BA954" s="1174"/>
      <c r="BB954" s="1174"/>
      <c r="BC954" s="1174"/>
      <c r="BD954" s="1174"/>
      <c r="BE954" s="1174"/>
      <c r="BG954" s="49"/>
    </row>
    <row r="955" spans="49:59" ht="12" customHeight="1">
      <c r="AW955" s="1174"/>
      <c r="AX955" s="1174"/>
      <c r="AY955" s="1174"/>
      <c r="AZ955" s="1174"/>
      <c r="BA955" s="1174"/>
      <c r="BB955" s="1174"/>
      <c r="BC955" s="1174"/>
      <c r="BD955" s="1174"/>
      <c r="BE955" s="1174"/>
      <c r="BG955" s="49"/>
    </row>
    <row r="956" spans="49:59" ht="12" customHeight="1">
      <c r="AW956" s="1174"/>
      <c r="AX956" s="1174"/>
      <c r="AY956" s="1174"/>
      <c r="AZ956" s="1174"/>
      <c r="BA956" s="1174"/>
      <c r="BB956" s="1174"/>
      <c r="BC956" s="1174"/>
      <c r="BD956" s="1174"/>
      <c r="BE956" s="1174"/>
      <c r="BG956" s="49"/>
    </row>
    <row r="957" spans="49:59" ht="12" customHeight="1">
      <c r="AW957" s="1174"/>
      <c r="AX957" s="1174"/>
      <c r="AY957" s="1174"/>
      <c r="AZ957" s="1174"/>
      <c r="BA957" s="1174"/>
      <c r="BB957" s="1174"/>
      <c r="BC957" s="1174"/>
      <c r="BD957" s="1174"/>
      <c r="BE957" s="1174"/>
      <c r="BG957" s="49"/>
    </row>
    <row r="958" spans="49:59" ht="12" customHeight="1">
      <c r="AW958" s="1174"/>
      <c r="AX958" s="1174"/>
      <c r="AY958" s="1174"/>
      <c r="AZ958" s="1174"/>
      <c r="BA958" s="1174"/>
      <c r="BB958" s="1174"/>
      <c r="BC958" s="1174"/>
      <c r="BD958" s="1174"/>
      <c r="BE958" s="1174"/>
      <c r="BG958" s="49"/>
    </row>
    <row r="959" spans="49:59" ht="12" customHeight="1">
      <c r="AW959" s="1174"/>
      <c r="AX959" s="1174"/>
      <c r="AY959" s="1174"/>
      <c r="AZ959" s="1174"/>
      <c r="BA959" s="1174"/>
      <c r="BB959" s="1174"/>
      <c r="BC959" s="1174"/>
      <c r="BD959" s="1174"/>
      <c r="BE959" s="1174"/>
      <c r="BG959" s="49"/>
    </row>
    <row r="960" spans="49:59" ht="12" customHeight="1">
      <c r="AW960" s="1174"/>
      <c r="AX960" s="1174"/>
      <c r="AY960" s="1174"/>
      <c r="AZ960" s="1174"/>
      <c r="BA960" s="1174"/>
      <c r="BB960" s="1174"/>
      <c r="BC960" s="1174"/>
      <c r="BD960" s="1174"/>
      <c r="BE960" s="1174"/>
      <c r="BG960" s="49"/>
    </row>
    <row r="961" spans="49:59" ht="12" customHeight="1">
      <c r="AW961" s="1174"/>
      <c r="AX961" s="1174"/>
      <c r="AY961" s="1174"/>
      <c r="AZ961" s="1174"/>
      <c r="BA961" s="1174"/>
      <c r="BB961" s="1174"/>
      <c r="BC961" s="1174"/>
      <c r="BD961" s="1174"/>
      <c r="BE961" s="1174"/>
      <c r="BG961" s="49"/>
    </row>
    <row r="962" spans="49:59" ht="12" customHeight="1">
      <c r="AW962" s="1174"/>
      <c r="AX962" s="1174"/>
      <c r="AY962" s="1174"/>
      <c r="AZ962" s="1174"/>
      <c r="BA962" s="1174"/>
      <c r="BB962" s="1174"/>
      <c r="BC962" s="1174"/>
      <c r="BD962" s="1174"/>
      <c r="BE962" s="1174"/>
      <c r="BG962" s="49"/>
    </row>
    <row r="963" spans="49:59" ht="12" customHeight="1">
      <c r="AW963" s="1174"/>
      <c r="AX963" s="1174"/>
      <c r="AY963" s="1174"/>
      <c r="AZ963" s="1174"/>
      <c r="BA963" s="1174"/>
      <c r="BB963" s="1174"/>
      <c r="BC963" s="1174"/>
      <c r="BD963" s="1174"/>
      <c r="BE963" s="1174"/>
      <c r="BG963" s="49"/>
    </row>
    <row r="964" spans="49:59" ht="12" customHeight="1">
      <c r="AW964" s="1174"/>
      <c r="AX964" s="1174"/>
      <c r="AY964" s="1174"/>
      <c r="AZ964" s="1174"/>
      <c r="BA964" s="1174"/>
      <c r="BB964" s="1174"/>
      <c r="BC964" s="1174"/>
      <c r="BD964" s="1174"/>
      <c r="BE964" s="1174"/>
      <c r="BG964" s="49"/>
    </row>
    <row r="965" spans="49:59" ht="12" customHeight="1">
      <c r="AW965" s="1174"/>
      <c r="AX965" s="1174"/>
      <c r="AY965" s="1174"/>
      <c r="AZ965" s="1174"/>
      <c r="BA965" s="1174"/>
      <c r="BB965" s="1174"/>
      <c r="BC965" s="1174"/>
      <c r="BD965" s="1174"/>
      <c r="BE965" s="1174"/>
      <c r="BG965" s="49"/>
    </row>
    <row r="966" spans="49:59" ht="12" customHeight="1">
      <c r="AW966" s="1174"/>
      <c r="AX966" s="1174"/>
      <c r="AY966" s="1174"/>
      <c r="AZ966" s="1174"/>
      <c r="BA966" s="1174"/>
      <c r="BB966" s="1174"/>
      <c r="BC966" s="1174"/>
      <c r="BD966" s="1174"/>
      <c r="BE966" s="1174"/>
      <c r="BG966" s="49"/>
    </row>
    <row r="967" spans="49:59" ht="12" customHeight="1">
      <c r="AW967" s="1174"/>
      <c r="AX967" s="1174"/>
      <c r="AY967" s="1174"/>
      <c r="AZ967" s="1174"/>
      <c r="BA967" s="1174"/>
      <c r="BB967" s="1174"/>
      <c r="BC967" s="1174"/>
      <c r="BD967" s="1174"/>
      <c r="BE967" s="1174"/>
      <c r="BG967" s="49"/>
    </row>
    <row r="968" spans="49:59" ht="12" customHeight="1">
      <c r="AW968" s="1174"/>
      <c r="AX968" s="1174"/>
      <c r="AY968" s="1174"/>
      <c r="AZ968" s="1174"/>
      <c r="BA968" s="1174"/>
      <c r="BB968" s="1174"/>
      <c r="BC968" s="1174"/>
      <c r="BD968" s="1174"/>
      <c r="BE968" s="1174"/>
      <c r="BG968" s="49"/>
    </row>
    <row r="969" spans="49:59" ht="12" customHeight="1">
      <c r="AW969" s="1174"/>
      <c r="AX969" s="1174"/>
      <c r="AY969" s="1174"/>
      <c r="AZ969" s="1174"/>
      <c r="BA969" s="1174"/>
      <c r="BB969" s="1174"/>
      <c r="BC969" s="1174"/>
      <c r="BD969" s="1174"/>
      <c r="BE969" s="1174"/>
      <c r="BG969" s="49"/>
    </row>
    <row r="970" spans="49:59" ht="12" customHeight="1">
      <c r="AW970" s="1174"/>
      <c r="AX970" s="1174"/>
      <c r="AY970" s="1174"/>
      <c r="AZ970" s="1174"/>
      <c r="BA970" s="1174"/>
      <c r="BB970" s="1174"/>
      <c r="BC970" s="1174"/>
      <c r="BD970" s="1174"/>
      <c r="BE970" s="1174"/>
      <c r="BG970" s="49"/>
    </row>
    <row r="971" spans="49:59" ht="12" customHeight="1">
      <c r="AW971" s="1174"/>
      <c r="AX971" s="1174"/>
      <c r="AY971" s="1174"/>
      <c r="AZ971" s="1174"/>
      <c r="BA971" s="1174"/>
      <c r="BB971" s="1174"/>
      <c r="BC971" s="1174"/>
      <c r="BD971" s="1174"/>
      <c r="BE971" s="1174"/>
      <c r="BG971" s="49"/>
    </row>
    <row r="972" spans="49:59" ht="12" customHeight="1">
      <c r="AW972" s="1174"/>
      <c r="AX972" s="1174"/>
      <c r="AY972" s="1174"/>
      <c r="AZ972" s="1174"/>
      <c r="BA972" s="1174"/>
      <c r="BB972" s="1174"/>
      <c r="BC972" s="1174"/>
      <c r="BD972" s="1174"/>
      <c r="BE972" s="1174"/>
      <c r="BG972" s="49"/>
    </row>
    <row r="973" spans="49:59" ht="12" customHeight="1">
      <c r="AW973" s="1174"/>
      <c r="AX973" s="1174"/>
      <c r="AY973" s="1174"/>
      <c r="AZ973" s="1174"/>
      <c r="BA973" s="1174"/>
      <c r="BB973" s="1174"/>
      <c r="BC973" s="1174"/>
      <c r="BD973" s="1174"/>
      <c r="BE973" s="1174"/>
      <c r="BG973" s="49"/>
    </row>
    <row r="974" spans="49:59" ht="12" customHeight="1">
      <c r="AW974" s="1174"/>
      <c r="AX974" s="1174"/>
      <c r="AY974" s="1174"/>
      <c r="AZ974" s="1174"/>
      <c r="BA974" s="1174"/>
      <c r="BB974" s="1174"/>
      <c r="BC974" s="1174"/>
      <c r="BD974" s="1174"/>
      <c r="BE974" s="1174"/>
      <c r="BG974" s="49"/>
    </row>
    <row r="975" spans="49:59" ht="12" customHeight="1">
      <c r="AW975" s="1174"/>
      <c r="AX975" s="1174"/>
      <c r="AY975" s="1174"/>
      <c r="AZ975" s="1174"/>
      <c r="BA975" s="1174"/>
      <c r="BB975" s="1174"/>
      <c r="BC975" s="1174"/>
      <c r="BD975" s="1174"/>
      <c r="BE975" s="1174"/>
      <c r="BG975" s="49"/>
    </row>
    <row r="976" spans="49:59" ht="12" customHeight="1">
      <c r="AW976" s="1174"/>
      <c r="AX976" s="1174"/>
      <c r="AY976" s="1174"/>
      <c r="AZ976" s="1174"/>
      <c r="BA976" s="1174"/>
      <c r="BB976" s="1174"/>
      <c r="BC976" s="1174"/>
      <c r="BD976" s="1174"/>
      <c r="BE976" s="1174"/>
      <c r="BG976" s="49"/>
    </row>
    <row r="977" spans="49:59" ht="12" customHeight="1">
      <c r="AW977" s="1174"/>
      <c r="AX977" s="1174"/>
      <c r="AY977" s="1174"/>
      <c r="AZ977" s="1174"/>
      <c r="BA977" s="1174"/>
      <c r="BB977" s="1174"/>
      <c r="BC977" s="1174"/>
      <c r="BD977" s="1174"/>
      <c r="BE977" s="1174"/>
      <c r="BG977" s="49"/>
    </row>
    <row r="978" spans="49:59" ht="12" customHeight="1">
      <c r="AW978" s="1174"/>
      <c r="AX978" s="1174"/>
      <c r="AY978" s="1174"/>
      <c r="AZ978" s="1174"/>
      <c r="BA978" s="1174"/>
      <c r="BB978" s="1174"/>
      <c r="BC978" s="1174"/>
      <c r="BD978" s="1174"/>
      <c r="BE978" s="1174"/>
      <c r="BG978" s="49"/>
    </row>
    <row r="979" spans="49:59" ht="12" customHeight="1">
      <c r="AW979" s="1174"/>
      <c r="AX979" s="1174"/>
      <c r="AY979" s="1174"/>
      <c r="AZ979" s="1174"/>
      <c r="BA979" s="1174"/>
      <c r="BB979" s="1174"/>
      <c r="BC979" s="1174"/>
      <c r="BD979" s="1174"/>
      <c r="BE979" s="1174"/>
      <c r="BG979" s="49"/>
    </row>
    <row r="980" spans="49:59" ht="12" customHeight="1">
      <c r="AW980" s="1174"/>
      <c r="AX980" s="1174"/>
      <c r="AY980" s="1174"/>
      <c r="AZ980" s="1174"/>
      <c r="BA980" s="1174"/>
      <c r="BB980" s="1174"/>
      <c r="BC980" s="1174"/>
      <c r="BD980" s="1174"/>
      <c r="BE980" s="1174"/>
      <c r="BG980" s="49"/>
    </row>
    <row r="981" spans="49:59" ht="12" customHeight="1">
      <c r="AW981" s="1174"/>
      <c r="AX981" s="1174"/>
      <c r="AY981" s="1174"/>
      <c r="AZ981" s="1174"/>
      <c r="BA981" s="1174"/>
      <c r="BB981" s="1174"/>
      <c r="BC981" s="1174"/>
      <c r="BD981" s="1174"/>
      <c r="BE981" s="1174"/>
      <c r="BG981" s="49"/>
    </row>
    <row r="982" spans="49:59" ht="12" customHeight="1">
      <c r="AW982" s="1174"/>
      <c r="AX982" s="1174"/>
      <c r="AY982" s="1174"/>
      <c r="AZ982" s="1174"/>
      <c r="BA982" s="1174"/>
      <c r="BB982" s="1174"/>
      <c r="BC982" s="1174"/>
      <c r="BD982" s="1174"/>
      <c r="BE982" s="1174"/>
      <c r="BG982" s="49"/>
    </row>
    <row r="983" spans="49:59" ht="12" customHeight="1">
      <c r="AW983" s="1174"/>
      <c r="AX983" s="1174"/>
      <c r="AY983" s="1174"/>
      <c r="AZ983" s="1174"/>
      <c r="BA983" s="1174"/>
      <c r="BB983" s="1174"/>
      <c r="BC983" s="1174"/>
      <c r="BD983" s="1174"/>
      <c r="BE983" s="1174"/>
      <c r="BG983" s="49"/>
    </row>
    <row r="984" spans="49:59" ht="12" customHeight="1">
      <c r="AW984" s="1174"/>
      <c r="AX984" s="1174"/>
      <c r="AY984" s="1174"/>
      <c r="AZ984" s="1174"/>
      <c r="BA984" s="1174"/>
      <c r="BB984" s="1174"/>
      <c r="BC984" s="1174"/>
      <c r="BD984" s="1174"/>
      <c r="BE984" s="1174"/>
      <c r="BG984" s="49"/>
    </row>
    <row r="985" spans="49:59" ht="12" customHeight="1">
      <c r="AW985" s="1174"/>
      <c r="AX985" s="1174"/>
      <c r="AY985" s="1174"/>
      <c r="AZ985" s="1174"/>
      <c r="BA985" s="1174"/>
      <c r="BB985" s="1174"/>
      <c r="BC985" s="1174"/>
      <c r="BD985" s="1174"/>
      <c r="BE985" s="1174"/>
      <c r="BG985" s="49"/>
    </row>
    <row r="986" spans="49:59" ht="12" customHeight="1">
      <c r="AW986" s="1174"/>
      <c r="AX986" s="1174"/>
      <c r="AY986" s="1174"/>
      <c r="AZ986" s="1174"/>
      <c r="BA986" s="1174"/>
      <c r="BB986" s="1174"/>
      <c r="BC986" s="1174"/>
      <c r="BD986" s="1174"/>
      <c r="BE986" s="1174"/>
      <c r="BG986" s="49"/>
    </row>
    <row r="987" spans="49:59" ht="12" customHeight="1">
      <c r="AW987" s="1174"/>
      <c r="AX987" s="1174"/>
      <c r="AY987" s="1174"/>
      <c r="AZ987" s="1174"/>
      <c r="BA987" s="1174"/>
      <c r="BB987" s="1174"/>
      <c r="BC987" s="1174"/>
      <c r="BD987" s="1174"/>
      <c r="BE987" s="1174"/>
      <c r="BG987" s="49"/>
    </row>
    <row r="988" spans="49:59" ht="12" customHeight="1">
      <c r="AW988" s="1174"/>
      <c r="AX988" s="1174"/>
      <c r="AY988" s="1174"/>
      <c r="AZ988" s="1174"/>
      <c r="BA988" s="1174"/>
      <c r="BB988" s="1174"/>
      <c r="BC988" s="1174"/>
      <c r="BD988" s="1174"/>
      <c r="BE988" s="1174"/>
      <c r="BG988" s="49"/>
    </row>
    <row r="989" spans="49:59" ht="12" customHeight="1">
      <c r="AW989" s="1174"/>
      <c r="AX989" s="1174"/>
      <c r="AY989" s="1174"/>
      <c r="AZ989" s="1174"/>
      <c r="BA989" s="1174"/>
      <c r="BB989" s="1174"/>
      <c r="BC989" s="1174"/>
      <c r="BD989" s="1174"/>
      <c r="BE989" s="1174"/>
      <c r="BG989" s="49"/>
    </row>
    <row r="990" spans="49:59" ht="12" customHeight="1">
      <c r="AW990" s="1174"/>
      <c r="AX990" s="1174"/>
      <c r="AY990" s="1174"/>
      <c r="AZ990" s="1174"/>
      <c r="BA990" s="1174"/>
      <c r="BB990" s="1174"/>
      <c r="BC990" s="1174"/>
      <c r="BD990" s="1174"/>
      <c r="BE990" s="1174"/>
      <c r="BG990" s="49"/>
    </row>
    <row r="991" spans="49:59" ht="12" customHeight="1">
      <c r="AW991" s="1174"/>
      <c r="AX991" s="1174"/>
      <c r="AY991" s="1174"/>
      <c r="AZ991" s="1174"/>
      <c r="BA991" s="1174"/>
      <c r="BB991" s="1174"/>
      <c r="BC991" s="1174"/>
      <c r="BD991" s="1174"/>
      <c r="BE991" s="1174"/>
      <c r="BG991" s="49"/>
    </row>
    <row r="992" spans="49:59" ht="12" customHeight="1">
      <c r="AW992" s="1174"/>
      <c r="AX992" s="1174"/>
      <c r="AY992" s="1174"/>
      <c r="AZ992" s="1174"/>
      <c r="BA992" s="1174"/>
      <c r="BB992" s="1174"/>
      <c r="BC992" s="1174"/>
      <c r="BD992" s="1174"/>
      <c r="BE992" s="1174"/>
      <c r="BG992" s="49"/>
    </row>
    <row r="993" spans="49:59" ht="12" customHeight="1">
      <c r="AW993" s="1174"/>
      <c r="AX993" s="1174"/>
      <c r="AY993" s="1174"/>
      <c r="AZ993" s="1174"/>
      <c r="BA993" s="1174"/>
      <c r="BB993" s="1174"/>
      <c r="BC993" s="1174"/>
      <c r="BD993" s="1174"/>
      <c r="BE993" s="1174"/>
      <c r="BG993" s="49"/>
    </row>
    <row r="994" spans="49:59" ht="12" customHeight="1">
      <c r="AW994" s="1174"/>
      <c r="AX994" s="1174"/>
      <c r="AY994" s="1174"/>
      <c r="AZ994" s="1174"/>
      <c r="BA994" s="1174"/>
      <c r="BB994" s="1174"/>
      <c r="BC994" s="1174"/>
      <c r="BD994" s="1174"/>
      <c r="BE994" s="1174"/>
      <c r="BG994" s="49"/>
    </row>
    <row r="995" spans="49:59" ht="12" customHeight="1">
      <c r="AW995" s="1174"/>
      <c r="AX995" s="1174"/>
      <c r="AY995" s="1174"/>
      <c r="AZ995" s="1174"/>
      <c r="BA995" s="1174"/>
      <c r="BB995" s="1174"/>
      <c r="BC995" s="1174"/>
      <c r="BD995" s="1174"/>
      <c r="BE995" s="1174"/>
      <c r="BG995" s="49"/>
    </row>
    <row r="996" spans="49:59" ht="12" customHeight="1">
      <c r="AW996" s="1174"/>
      <c r="AX996" s="1174"/>
      <c r="AY996" s="1174"/>
      <c r="AZ996" s="1174"/>
      <c r="BA996" s="1174"/>
      <c r="BB996" s="1174"/>
      <c r="BC996" s="1174"/>
      <c r="BD996" s="1174"/>
      <c r="BE996" s="1174"/>
      <c r="BG996" s="49"/>
    </row>
    <row r="997" spans="49:59" ht="12" customHeight="1">
      <c r="AW997" s="1174"/>
      <c r="AX997" s="1174"/>
      <c r="AY997" s="1174"/>
      <c r="AZ997" s="1174"/>
      <c r="BA997" s="1174"/>
      <c r="BB997" s="1174"/>
      <c r="BC997" s="1174"/>
      <c r="BD997" s="1174"/>
      <c r="BE997" s="1174"/>
      <c r="BG997" s="49"/>
    </row>
    <row r="998" spans="49:59" ht="12" customHeight="1">
      <c r="AW998" s="1174"/>
      <c r="AX998" s="1174"/>
      <c r="AY998" s="1174"/>
      <c r="AZ998" s="1174"/>
      <c r="BA998" s="1174"/>
      <c r="BB998" s="1174"/>
      <c r="BC998" s="1174"/>
      <c r="BD998" s="1174"/>
      <c r="BE998" s="1174"/>
      <c r="BG998" s="49"/>
    </row>
    <row r="999" spans="49:59" ht="12" customHeight="1">
      <c r="AW999" s="1174"/>
      <c r="AX999" s="1174"/>
      <c r="AY999" s="1174"/>
      <c r="AZ999" s="1174"/>
      <c r="BA999" s="1174"/>
      <c r="BB999" s="1174"/>
      <c r="BC999" s="1174"/>
      <c r="BD999" s="1174"/>
      <c r="BE999" s="1174"/>
      <c r="BG999" s="49"/>
    </row>
    <row r="1000" spans="49:59" ht="12" customHeight="1">
      <c r="AW1000" s="1174"/>
      <c r="AX1000" s="1174"/>
      <c r="AY1000" s="1174"/>
      <c r="AZ1000" s="1174"/>
      <c r="BA1000" s="1174"/>
      <c r="BB1000" s="1174"/>
      <c r="BC1000" s="1174"/>
      <c r="BD1000" s="1174"/>
      <c r="BE1000" s="1174"/>
      <c r="BG1000" s="49"/>
    </row>
    <row r="1001" spans="49:59" ht="12" customHeight="1">
      <c r="AW1001" s="1174"/>
      <c r="AX1001" s="1174"/>
      <c r="AY1001" s="1174"/>
      <c r="AZ1001" s="1174"/>
      <c r="BA1001" s="1174"/>
      <c r="BB1001" s="1174"/>
      <c r="BC1001" s="1174"/>
      <c r="BD1001" s="1174"/>
      <c r="BE1001" s="1174"/>
      <c r="BG1001" s="49"/>
    </row>
    <row r="1002" spans="49:59" ht="12" customHeight="1">
      <c r="AW1002" s="1174"/>
      <c r="AX1002" s="1174"/>
      <c r="AY1002" s="1174"/>
      <c r="AZ1002" s="1174"/>
      <c r="BA1002" s="1174"/>
      <c r="BB1002" s="1174"/>
      <c r="BC1002" s="1174"/>
      <c r="BD1002" s="1174"/>
      <c r="BE1002" s="1174"/>
      <c r="BG1002" s="49"/>
    </row>
    <row r="1003" spans="49:59" ht="12" customHeight="1">
      <c r="AW1003" s="1174"/>
      <c r="AX1003" s="1174"/>
      <c r="AY1003" s="1174"/>
      <c r="AZ1003" s="1174"/>
      <c r="BA1003" s="1174"/>
      <c r="BB1003" s="1174"/>
      <c r="BC1003" s="1174"/>
      <c r="BD1003" s="1174"/>
      <c r="BE1003" s="1174"/>
      <c r="BG1003" s="49"/>
    </row>
    <row r="1004" spans="49:59" ht="12" customHeight="1">
      <c r="AW1004" s="1174"/>
      <c r="AX1004" s="1174"/>
      <c r="AY1004" s="1174"/>
      <c r="AZ1004" s="1174"/>
      <c r="BA1004" s="1174"/>
      <c r="BB1004" s="1174"/>
      <c r="BC1004" s="1174"/>
      <c r="BD1004" s="1174"/>
      <c r="BE1004" s="1174"/>
      <c r="BG1004" s="49"/>
    </row>
    <row r="1005" spans="49:59" ht="12" customHeight="1">
      <c r="AW1005" s="1174"/>
      <c r="AX1005" s="1174"/>
      <c r="AY1005" s="1174"/>
      <c r="AZ1005" s="1174"/>
      <c r="BA1005" s="1174"/>
      <c r="BB1005" s="1174"/>
      <c r="BC1005" s="1174"/>
      <c r="BD1005" s="1174"/>
      <c r="BE1005" s="1174"/>
      <c r="BG1005" s="49"/>
    </row>
    <row r="1006" spans="49:59" ht="12" customHeight="1">
      <c r="AW1006" s="1174"/>
      <c r="AX1006" s="1174"/>
      <c r="AY1006" s="1174"/>
      <c r="AZ1006" s="1174"/>
      <c r="BA1006" s="1174"/>
      <c r="BB1006" s="1174"/>
      <c r="BC1006" s="1174"/>
      <c r="BD1006" s="1174"/>
      <c r="BE1006" s="1174"/>
      <c r="BG1006" s="49"/>
    </row>
    <row r="1007" spans="49:59" ht="12" customHeight="1">
      <c r="AW1007" s="1174"/>
      <c r="AX1007" s="1174"/>
      <c r="AY1007" s="1174"/>
      <c r="AZ1007" s="1174"/>
      <c r="BA1007" s="1174"/>
      <c r="BB1007" s="1174"/>
      <c r="BC1007" s="1174"/>
      <c r="BD1007" s="1174"/>
      <c r="BE1007" s="1174"/>
      <c r="BG1007" s="49"/>
    </row>
    <row r="1008" spans="49:59" ht="12" customHeight="1">
      <c r="AW1008" s="1174"/>
      <c r="AX1008" s="1174"/>
      <c r="AY1008" s="1174"/>
      <c r="AZ1008" s="1174"/>
      <c r="BA1008" s="1174"/>
      <c r="BB1008" s="1174"/>
      <c r="BC1008" s="1174"/>
      <c r="BD1008" s="1174"/>
      <c r="BE1008" s="1174"/>
      <c r="BG1008" s="49"/>
    </row>
    <row r="1009" spans="59:59" ht="12" customHeight="1">
      <c r="BG1009" s="49"/>
    </row>
    <row r="1010" spans="59:59" ht="12" customHeight="1">
      <c r="BG1010" s="49"/>
    </row>
    <row r="1011" spans="59:59" ht="12" customHeight="1">
      <c r="BG1011" s="49"/>
    </row>
    <row r="1012" spans="59:59" ht="12" customHeight="1">
      <c r="BG1012" s="49"/>
    </row>
    <row r="1013" spans="59:59" ht="12" customHeight="1">
      <c r="BG1013" s="49"/>
    </row>
    <row r="1014" spans="59:59" ht="12" customHeight="1">
      <c r="BG1014" s="49"/>
    </row>
    <row r="1015" spans="59:59" ht="12" customHeight="1">
      <c r="BG1015" s="49"/>
    </row>
    <row r="1016" spans="59:59" ht="12" customHeight="1">
      <c r="BG1016" s="49"/>
    </row>
    <row r="1017" spans="59:59" ht="12" customHeight="1">
      <c r="BG1017" s="49"/>
    </row>
    <row r="1018" spans="59:59" ht="12" customHeight="1">
      <c r="BG1018" s="49"/>
    </row>
    <row r="1019" spans="59:59" ht="12" customHeight="1">
      <c r="BG1019" s="49"/>
    </row>
    <row r="1020" spans="59:59" ht="12" customHeight="1">
      <c r="BG1020" s="49"/>
    </row>
    <row r="1021" spans="59:59" ht="12" customHeight="1">
      <c r="BG1021" s="49"/>
    </row>
    <row r="1022" spans="59:59" ht="12" customHeight="1">
      <c r="BG1022" s="49"/>
    </row>
    <row r="1023" spans="59:59" ht="12" customHeight="1">
      <c r="BG1023" s="49"/>
    </row>
    <row r="1024" spans="59:59" ht="12" customHeight="1">
      <c r="BG1024" s="49"/>
    </row>
    <row r="1025" spans="59:59" ht="12" customHeight="1">
      <c r="BG1025" s="49"/>
    </row>
    <row r="1026" spans="59:59" ht="12" customHeight="1">
      <c r="BG1026" s="49"/>
    </row>
    <row r="1027" spans="59:59" ht="12" customHeight="1">
      <c r="BG1027" s="49"/>
    </row>
    <row r="1028" spans="59:59" ht="12" customHeight="1">
      <c r="BG1028" s="49"/>
    </row>
    <row r="1029" spans="59:59" ht="12" customHeight="1">
      <c r="BG1029" s="49"/>
    </row>
    <row r="1030" spans="59:59" ht="12" customHeight="1">
      <c r="BG1030" s="49"/>
    </row>
    <row r="1031" spans="59:59" ht="12" customHeight="1">
      <c r="BG1031" s="49"/>
    </row>
    <row r="1032" spans="59:59" ht="12" customHeight="1">
      <c r="BG1032" s="49"/>
    </row>
    <row r="1033" spans="59:59" ht="12" customHeight="1">
      <c r="BG1033" s="49"/>
    </row>
    <row r="1034" spans="59:59" ht="12" customHeight="1">
      <c r="BG1034" s="49"/>
    </row>
    <row r="1035" spans="59:59" ht="12" customHeight="1">
      <c r="BG1035" s="49"/>
    </row>
    <row r="1036" spans="59:59" ht="12" customHeight="1">
      <c r="BG1036" s="49"/>
    </row>
    <row r="1037" spans="59:59" ht="12" customHeight="1">
      <c r="BG1037" s="49"/>
    </row>
    <row r="1038" spans="59:59" ht="12" customHeight="1">
      <c r="BG1038" s="49"/>
    </row>
    <row r="1039" spans="59:59" ht="12" customHeight="1">
      <c r="BG1039" s="49"/>
    </row>
    <row r="1040" spans="59:59" ht="12" customHeight="1">
      <c r="BG1040" s="49"/>
    </row>
    <row r="1041" spans="59:59" ht="12" customHeight="1">
      <c r="BG1041" s="49"/>
    </row>
    <row r="1042" spans="59:59" ht="12" customHeight="1">
      <c r="BG1042" s="49"/>
    </row>
    <row r="1043" spans="59:59" ht="12" customHeight="1">
      <c r="BG1043" s="49"/>
    </row>
    <row r="1044" spans="59:59" ht="12" customHeight="1">
      <c r="BG1044" s="49"/>
    </row>
    <row r="1045" spans="59:59" ht="12" customHeight="1">
      <c r="BG1045" s="49"/>
    </row>
    <row r="1046" spans="59:59" ht="12" customHeight="1">
      <c r="BG1046" s="49"/>
    </row>
    <row r="1047" spans="59:59" ht="12" customHeight="1">
      <c r="BG1047" s="49"/>
    </row>
    <row r="1048" spans="59:59" ht="12" customHeight="1">
      <c r="BG1048" s="49"/>
    </row>
    <row r="1049" spans="59:59" ht="12" customHeight="1">
      <c r="BG1049" s="49"/>
    </row>
    <row r="1050" spans="59:59" ht="12" customHeight="1">
      <c r="BG1050" s="49"/>
    </row>
    <row r="1051" spans="59:59" ht="12" customHeight="1">
      <c r="BG1051" s="49"/>
    </row>
    <row r="1052" spans="59:59" ht="12" customHeight="1">
      <c r="BG1052" s="49"/>
    </row>
    <row r="1053" spans="59:59" ht="12" customHeight="1">
      <c r="BG1053" s="49"/>
    </row>
    <row r="1054" spans="59:59" ht="12" customHeight="1">
      <c r="BG1054" s="49"/>
    </row>
    <row r="1055" spans="59:59" ht="12" customHeight="1">
      <c r="BG1055" s="49"/>
    </row>
    <row r="1056" spans="59:59" ht="12" customHeight="1">
      <c r="BG1056" s="49"/>
    </row>
    <row r="1057" spans="59:59" ht="12" customHeight="1">
      <c r="BG1057" s="49"/>
    </row>
    <row r="1058" spans="59:59" ht="12" customHeight="1">
      <c r="BG1058" s="49"/>
    </row>
    <row r="1059" spans="59:59" ht="12" customHeight="1">
      <c r="BG1059" s="49"/>
    </row>
    <row r="1060" spans="59:59" ht="12" customHeight="1">
      <c r="BG1060" s="49"/>
    </row>
    <row r="1061" spans="59:59" ht="12" customHeight="1">
      <c r="BG1061" s="49"/>
    </row>
    <row r="1062" spans="59:59" ht="12" customHeight="1">
      <c r="BG1062" s="49"/>
    </row>
    <row r="1063" spans="59:59" ht="12" customHeight="1">
      <c r="BG1063" s="49"/>
    </row>
    <row r="1064" spans="59:59" ht="12" customHeight="1">
      <c r="BG1064" s="49"/>
    </row>
    <row r="1065" spans="59:59" ht="12" customHeight="1">
      <c r="BG1065" s="49"/>
    </row>
    <row r="1066" spans="59:59" ht="12" customHeight="1">
      <c r="BG1066" s="49"/>
    </row>
    <row r="1067" spans="59:59" ht="12" customHeight="1">
      <c r="BG1067" s="49"/>
    </row>
    <row r="1068" spans="59:59" ht="12" customHeight="1">
      <c r="BG1068" s="49"/>
    </row>
    <row r="1069" spans="59:59" ht="12" customHeight="1">
      <c r="BG1069" s="49"/>
    </row>
    <row r="1070" spans="59:59" ht="12" customHeight="1">
      <c r="BG1070" s="49"/>
    </row>
    <row r="1071" spans="59:59" ht="12" customHeight="1">
      <c r="BG1071" s="49"/>
    </row>
    <row r="1072" spans="59:59" ht="12" customHeight="1">
      <c r="BG1072" s="49"/>
    </row>
    <row r="1073" spans="59:59" ht="12" customHeight="1">
      <c r="BG1073" s="49"/>
    </row>
    <row r="1074" spans="59:59" ht="12" customHeight="1">
      <c r="BG1074" s="49"/>
    </row>
    <row r="1075" spans="59:59" ht="12" customHeight="1">
      <c r="BG1075" s="49"/>
    </row>
    <row r="1076" spans="59:59" ht="12" customHeight="1">
      <c r="BG1076" s="49"/>
    </row>
    <row r="1077" spans="59:59" ht="12" customHeight="1">
      <c r="BG1077" s="49"/>
    </row>
    <row r="1078" spans="59:59" ht="12" customHeight="1">
      <c r="BG1078" s="49"/>
    </row>
    <row r="1079" spans="59:59" ht="12" customHeight="1">
      <c r="BG1079" s="49"/>
    </row>
    <row r="1080" spans="59:59" ht="12" customHeight="1">
      <c r="BG1080" s="49"/>
    </row>
    <row r="1081" spans="59:59" ht="12" customHeight="1">
      <c r="BG1081" s="49"/>
    </row>
    <row r="1082" spans="59:59" ht="12" customHeight="1">
      <c r="BG1082" s="49"/>
    </row>
    <row r="1083" spans="59:59" ht="12" customHeight="1">
      <c r="BG1083" s="49"/>
    </row>
    <row r="1084" spans="59:59" ht="12" customHeight="1">
      <c r="BG1084" s="49"/>
    </row>
    <row r="1085" spans="59:59" ht="12" customHeight="1">
      <c r="BG1085" s="49"/>
    </row>
    <row r="1086" spans="59:59" ht="12" customHeight="1">
      <c r="BG1086" s="49"/>
    </row>
    <row r="1087" spans="59:59" ht="12" customHeight="1">
      <c r="BG1087" s="49"/>
    </row>
    <row r="1088" spans="59:59" ht="12" customHeight="1">
      <c r="BG1088" s="49"/>
    </row>
    <row r="1089" spans="59:59" ht="12" customHeight="1">
      <c r="BG1089" s="49"/>
    </row>
    <row r="1090" spans="59:59" ht="12" customHeight="1">
      <c r="BG1090" s="49"/>
    </row>
    <row r="1091" spans="59:59" ht="12" customHeight="1">
      <c r="BG1091" s="49"/>
    </row>
    <row r="1092" spans="59:59" ht="12" customHeight="1">
      <c r="BG1092" s="49"/>
    </row>
    <row r="1093" spans="59:59" ht="12" customHeight="1">
      <c r="BG1093" s="49"/>
    </row>
    <row r="1094" spans="59:59" ht="12" customHeight="1">
      <c r="BG1094" s="49"/>
    </row>
    <row r="1095" spans="59:59" ht="12" customHeight="1">
      <c r="BG1095" s="49"/>
    </row>
    <row r="1096" spans="59:59" ht="12" customHeight="1">
      <c r="BG1096" s="49"/>
    </row>
    <row r="1097" spans="59:59" ht="12" customHeight="1">
      <c r="BG1097" s="49"/>
    </row>
    <row r="1098" spans="59:59" ht="12" customHeight="1">
      <c r="BG1098" s="49"/>
    </row>
    <row r="1099" spans="59:59" ht="12" customHeight="1">
      <c r="BG1099" s="49"/>
    </row>
    <row r="1100" spans="59:59" ht="12" customHeight="1">
      <c r="BG1100" s="49"/>
    </row>
    <row r="1101" spans="59:59" ht="12" customHeight="1">
      <c r="BG1101" s="49"/>
    </row>
    <row r="1102" spans="59:59" ht="12" customHeight="1">
      <c r="BG1102" s="49"/>
    </row>
    <row r="1103" spans="59:59" ht="12" customHeight="1">
      <c r="BG1103" s="49"/>
    </row>
    <row r="1104" spans="59:59" ht="12" customHeight="1">
      <c r="BG1104" s="49"/>
    </row>
    <row r="1105" spans="59:59" ht="12" customHeight="1">
      <c r="BG1105" s="49"/>
    </row>
    <row r="1106" spans="59:59" ht="12" customHeight="1">
      <c r="BG1106" s="49"/>
    </row>
    <row r="1107" spans="59:59" ht="12" customHeight="1">
      <c r="BG1107" s="49"/>
    </row>
    <row r="1108" spans="59:59" ht="12" customHeight="1">
      <c r="BG1108" s="49"/>
    </row>
    <row r="1109" spans="59:59" ht="12" customHeight="1">
      <c r="BG1109" s="49"/>
    </row>
    <row r="1110" spans="59:59" ht="12" customHeight="1">
      <c r="BG1110" s="49"/>
    </row>
    <row r="1111" spans="59:59" ht="12" customHeight="1">
      <c r="BG1111" s="49"/>
    </row>
    <row r="1112" spans="59:59" ht="12" customHeight="1">
      <c r="BG1112" s="49"/>
    </row>
    <row r="1113" spans="59:59" ht="12" customHeight="1">
      <c r="BG1113" s="49"/>
    </row>
    <row r="1114" spans="59:59" ht="12" customHeight="1">
      <c r="BG1114" s="49"/>
    </row>
    <row r="1115" spans="59:59" ht="12" customHeight="1">
      <c r="BG1115" s="49"/>
    </row>
    <row r="1116" spans="59:59" ht="12" customHeight="1">
      <c r="BG1116" s="49"/>
    </row>
    <row r="1117" spans="59:59" ht="12" customHeight="1">
      <c r="BG1117" s="49"/>
    </row>
    <row r="1118" spans="59:59" ht="12" customHeight="1">
      <c r="BG1118" s="49"/>
    </row>
    <row r="1119" spans="59:59" ht="12" customHeight="1">
      <c r="BG1119" s="49"/>
    </row>
    <row r="1120" spans="59:59" ht="12" customHeight="1">
      <c r="BG1120" s="49"/>
    </row>
    <row r="1121" spans="59:59" ht="12" customHeight="1">
      <c r="BG1121" s="49"/>
    </row>
    <row r="1122" spans="59:59" ht="12" customHeight="1">
      <c r="BG1122" s="49"/>
    </row>
    <row r="1123" spans="59:59" ht="12" customHeight="1">
      <c r="BG1123" s="49"/>
    </row>
    <row r="1124" spans="59:59" ht="12" customHeight="1">
      <c r="BG1124" s="49"/>
    </row>
    <row r="1125" spans="59:59" ht="12" customHeight="1">
      <c r="BG1125" s="49"/>
    </row>
    <row r="1126" spans="59:59" ht="12" customHeight="1">
      <c r="BG1126" s="49"/>
    </row>
    <row r="1127" spans="59:59" ht="12" customHeight="1">
      <c r="BG1127" s="49"/>
    </row>
    <row r="1128" spans="59:59" ht="12" customHeight="1">
      <c r="BG1128" s="49"/>
    </row>
    <row r="1129" spans="59:59" ht="12" customHeight="1">
      <c r="BG1129" s="49"/>
    </row>
    <row r="1130" spans="59:59" ht="12" customHeight="1">
      <c r="BG1130" s="49"/>
    </row>
    <row r="1131" spans="59:59" ht="12" customHeight="1">
      <c r="BG1131" s="49"/>
    </row>
    <row r="1132" spans="59:59" ht="12" customHeight="1">
      <c r="BG1132" s="49"/>
    </row>
    <row r="1133" spans="59:59" ht="12" customHeight="1">
      <c r="BG1133" s="49"/>
    </row>
    <row r="1134" spans="59:59" ht="12" customHeight="1">
      <c r="BG1134" s="49"/>
    </row>
    <row r="1135" spans="59:59" ht="12" customHeight="1">
      <c r="BG1135" s="49"/>
    </row>
    <row r="1136" spans="59:59" ht="12" customHeight="1">
      <c r="BG1136" s="49"/>
    </row>
    <row r="1137" spans="59:59" ht="12" customHeight="1">
      <c r="BG1137" s="49"/>
    </row>
    <row r="1138" spans="59:59" ht="12" customHeight="1">
      <c r="BG1138" s="49"/>
    </row>
    <row r="1139" spans="59:59" ht="12" customHeight="1">
      <c r="BG1139" s="49"/>
    </row>
    <row r="1140" spans="59:59" ht="12" customHeight="1">
      <c r="BG1140" s="49"/>
    </row>
    <row r="1141" spans="59:59" ht="12" customHeight="1">
      <c r="BG1141" s="49"/>
    </row>
    <row r="1142" spans="59:59" ht="12" customHeight="1">
      <c r="BG1142" s="49"/>
    </row>
    <row r="1143" spans="59:59" ht="12" customHeight="1">
      <c r="BG1143" s="49"/>
    </row>
    <row r="1144" spans="59:59" ht="12" customHeight="1">
      <c r="BG1144" s="49"/>
    </row>
    <row r="1145" spans="59:59" ht="12" customHeight="1">
      <c r="BG1145" s="49"/>
    </row>
    <row r="1146" spans="59:59" ht="12" customHeight="1">
      <c r="BG1146" s="49"/>
    </row>
    <row r="1147" spans="59:59" ht="12" customHeight="1">
      <c r="BG1147" s="49"/>
    </row>
    <row r="1148" spans="59:59" ht="12" customHeight="1">
      <c r="BG1148" s="49"/>
    </row>
    <row r="1149" spans="59:59" ht="12" customHeight="1">
      <c r="BG1149" s="49"/>
    </row>
    <row r="1150" spans="59:59" ht="12" customHeight="1">
      <c r="BG1150" s="49"/>
    </row>
    <row r="1151" spans="59:59" ht="12" customHeight="1">
      <c r="BG1151" s="49"/>
    </row>
    <row r="1152" spans="59:59" ht="12" customHeight="1">
      <c r="BG1152" s="49"/>
    </row>
    <row r="1153" spans="59:59" ht="12" customHeight="1">
      <c r="BG1153" s="49"/>
    </row>
    <row r="1154" spans="59:59" ht="12" customHeight="1">
      <c r="BG1154" s="49"/>
    </row>
    <row r="1155" spans="59:59" ht="12" customHeight="1">
      <c r="BG1155" s="49"/>
    </row>
    <row r="1156" spans="59:59" ht="12" customHeight="1">
      <c r="BG1156" s="49"/>
    </row>
    <row r="1157" spans="59:59" ht="12" customHeight="1">
      <c r="BG1157" s="49"/>
    </row>
    <row r="1158" spans="59:59" ht="12" customHeight="1">
      <c r="BG1158" s="49"/>
    </row>
    <row r="1159" spans="59:59" ht="12" customHeight="1">
      <c r="BG1159" s="49"/>
    </row>
    <row r="1160" spans="59:59" ht="12" customHeight="1">
      <c r="BG1160" s="49"/>
    </row>
    <row r="1161" spans="59:59" ht="12" customHeight="1">
      <c r="BG1161" s="49"/>
    </row>
    <row r="1162" spans="59:59" ht="12" customHeight="1">
      <c r="BG1162" s="49"/>
    </row>
    <row r="1163" spans="59:59" ht="12" customHeight="1">
      <c r="BG1163" s="49"/>
    </row>
    <row r="1164" spans="59:59" ht="12" customHeight="1">
      <c r="BG1164" s="49"/>
    </row>
    <row r="1165" spans="59:59" ht="12" customHeight="1">
      <c r="BG1165" s="49"/>
    </row>
    <row r="1166" spans="59:59" ht="12" customHeight="1">
      <c r="BG1166" s="49"/>
    </row>
    <row r="1167" spans="59:59" ht="12" customHeight="1">
      <c r="BG1167" s="49"/>
    </row>
    <row r="1168" spans="59:59" ht="12" customHeight="1">
      <c r="BG1168" s="49"/>
    </row>
    <row r="1169" spans="59:59" ht="12" customHeight="1">
      <c r="BG1169" s="49"/>
    </row>
    <row r="1170" spans="59:59" ht="12" customHeight="1">
      <c r="BG1170" s="49"/>
    </row>
    <row r="1171" spans="59:59" ht="12" customHeight="1">
      <c r="BG1171" s="49"/>
    </row>
    <row r="1172" spans="59:59" ht="12" customHeight="1">
      <c r="BG1172" s="49"/>
    </row>
    <row r="1173" spans="59:59" ht="12" customHeight="1">
      <c r="BG1173" s="49"/>
    </row>
    <row r="1174" spans="59:59" ht="12" customHeight="1">
      <c r="BG1174" s="49"/>
    </row>
    <row r="1175" spans="59:59" ht="12" customHeight="1">
      <c r="BG1175" s="49"/>
    </row>
    <row r="1176" spans="59:59" ht="12" customHeight="1">
      <c r="BG1176" s="49"/>
    </row>
    <row r="1177" spans="59:59" ht="12" customHeight="1">
      <c r="BG1177" s="49"/>
    </row>
    <row r="1178" spans="59:59" ht="12" customHeight="1">
      <c r="BG1178" s="49"/>
    </row>
    <row r="1179" spans="59:59" ht="12" customHeight="1">
      <c r="BG1179" s="49"/>
    </row>
    <row r="1180" spans="59:59" ht="12" customHeight="1">
      <c r="BG1180" s="49"/>
    </row>
    <row r="1181" spans="59:59" ht="12" customHeight="1">
      <c r="BG1181" s="49"/>
    </row>
    <row r="1182" spans="59:59" ht="12" customHeight="1">
      <c r="BG1182" s="49"/>
    </row>
    <row r="1183" spans="59:59" ht="12" customHeight="1">
      <c r="BG1183" s="49"/>
    </row>
    <row r="1184" spans="59:59" ht="12" customHeight="1">
      <c r="BG1184" s="49"/>
    </row>
    <row r="1185" spans="59:59" ht="12" customHeight="1">
      <c r="BG1185" s="49"/>
    </row>
    <row r="1186" spans="59:59" ht="12" customHeight="1">
      <c r="BG1186" s="49"/>
    </row>
    <row r="1187" spans="59:59" ht="12" customHeight="1">
      <c r="BG1187" s="49"/>
    </row>
    <row r="1188" spans="59:59" ht="12" customHeight="1">
      <c r="BG1188" s="49"/>
    </row>
    <row r="1189" spans="59:59" ht="12" customHeight="1">
      <c r="BG1189" s="49"/>
    </row>
    <row r="1190" spans="59:59" ht="12" customHeight="1">
      <c r="BG1190" s="49"/>
    </row>
    <row r="1191" spans="59:59" ht="12" customHeight="1">
      <c r="BG1191" s="49"/>
    </row>
    <row r="1192" spans="59:59" ht="12" customHeight="1">
      <c r="BG1192" s="49"/>
    </row>
    <row r="1193" spans="59:59" ht="12" customHeight="1">
      <c r="BG1193" s="49"/>
    </row>
    <row r="1194" spans="59:59" ht="12" customHeight="1">
      <c r="BG1194" s="49"/>
    </row>
    <row r="1195" spans="59:59" ht="12" customHeight="1">
      <c r="BG1195" s="49"/>
    </row>
    <row r="1196" spans="59:59" ht="12" customHeight="1">
      <c r="BG1196" s="49"/>
    </row>
    <row r="1197" spans="59:59" ht="12" customHeight="1">
      <c r="BG1197" s="49"/>
    </row>
    <row r="1198" spans="59:59" ht="12" customHeight="1">
      <c r="BG1198" s="49"/>
    </row>
    <row r="1199" spans="59:59" ht="12" customHeight="1">
      <c r="BG1199" s="49"/>
    </row>
    <row r="1200" spans="59:59" ht="12" customHeight="1">
      <c r="BG1200" s="49"/>
    </row>
    <row r="1201" spans="59:59" ht="12" customHeight="1">
      <c r="BG1201" s="49"/>
    </row>
    <row r="1202" spans="59:59" ht="12" customHeight="1">
      <c r="BG1202" s="49"/>
    </row>
    <row r="1203" spans="59:59" ht="12" customHeight="1">
      <c r="BG1203" s="49"/>
    </row>
    <row r="1204" spans="59:59" ht="12" customHeight="1">
      <c r="BG1204" s="49"/>
    </row>
    <row r="1205" spans="59:59" ht="12" customHeight="1">
      <c r="BG1205" s="49"/>
    </row>
    <row r="1206" spans="59:59" ht="12" customHeight="1">
      <c r="BG1206" s="49"/>
    </row>
    <row r="1207" spans="59:59" ht="12" customHeight="1">
      <c r="BG1207" s="49"/>
    </row>
    <row r="1208" spans="59:59" ht="12" customHeight="1">
      <c r="BG1208" s="49"/>
    </row>
    <row r="1209" spans="59:59" ht="12" customHeight="1">
      <c r="BG1209" s="49"/>
    </row>
    <row r="1210" spans="59:59" ht="12" customHeight="1">
      <c r="BG1210" s="49"/>
    </row>
    <row r="1211" spans="59:59" ht="12" customHeight="1">
      <c r="BG1211" s="49"/>
    </row>
    <row r="1212" spans="59:59" ht="12" customHeight="1">
      <c r="BG1212" s="49"/>
    </row>
    <row r="1213" spans="59:59" ht="12" customHeight="1">
      <c r="BG1213" s="49"/>
    </row>
    <row r="1214" spans="59:59" ht="12" customHeight="1">
      <c r="BG1214" s="49"/>
    </row>
    <row r="1215" spans="59:59" ht="12" customHeight="1">
      <c r="BG1215" s="49"/>
    </row>
    <row r="1216" spans="59:59" ht="12" customHeight="1">
      <c r="BG1216" s="49"/>
    </row>
    <row r="1217" spans="59:59" ht="12" customHeight="1">
      <c r="BG1217" s="49"/>
    </row>
    <row r="1218" spans="59:59" ht="12" customHeight="1">
      <c r="BG1218" s="49"/>
    </row>
    <row r="1219" spans="59:59" ht="12" customHeight="1">
      <c r="BG1219" s="49"/>
    </row>
    <row r="1220" spans="59:59" ht="12" customHeight="1">
      <c r="BG1220" s="49"/>
    </row>
    <row r="1221" spans="59:59" ht="12" customHeight="1">
      <c r="BG1221" s="49"/>
    </row>
    <row r="1222" spans="59:59" ht="12" customHeight="1">
      <c r="BG1222" s="49"/>
    </row>
    <row r="1223" spans="59:59" ht="12" customHeight="1">
      <c r="BG1223" s="49"/>
    </row>
    <row r="1224" spans="59:59" ht="12" customHeight="1">
      <c r="BG1224" s="49"/>
    </row>
    <row r="1225" spans="59:59" ht="12" customHeight="1">
      <c r="BG1225" s="49"/>
    </row>
    <row r="1226" spans="59:59" ht="12" customHeight="1">
      <c r="BG1226" s="49"/>
    </row>
    <row r="1227" spans="59:59" ht="12" customHeight="1">
      <c r="BG1227" s="49"/>
    </row>
    <row r="1228" spans="59:59" ht="12" customHeight="1">
      <c r="BG1228" s="49"/>
    </row>
    <row r="1229" spans="59:59" ht="12" customHeight="1">
      <c r="BG1229" s="49"/>
    </row>
    <row r="1230" spans="59:59" ht="12" customHeight="1">
      <c r="BG1230" s="49"/>
    </row>
    <row r="1231" spans="59:59" ht="12" customHeight="1">
      <c r="BG1231" s="49"/>
    </row>
    <row r="1232" spans="59:59" ht="12" customHeight="1">
      <c r="BG1232" s="49"/>
    </row>
    <row r="1233" spans="59:59" ht="12" customHeight="1">
      <c r="BG1233" s="49"/>
    </row>
    <row r="1234" spans="59:59" ht="12" customHeight="1">
      <c r="BG1234" s="49"/>
    </row>
    <row r="1235" spans="59:59" ht="12" customHeight="1">
      <c r="BG1235" s="49"/>
    </row>
    <row r="1236" spans="59:59" ht="12" customHeight="1">
      <c r="BG1236" s="49"/>
    </row>
    <row r="1237" spans="59:59" ht="12" customHeight="1">
      <c r="BG1237" s="49"/>
    </row>
    <row r="1238" spans="59:59" ht="12" customHeight="1">
      <c r="BG1238" s="49"/>
    </row>
    <row r="1239" spans="59:59" ht="12" customHeight="1">
      <c r="BG1239" s="49"/>
    </row>
    <row r="1240" spans="59:59" ht="12" customHeight="1">
      <c r="BG1240" s="49"/>
    </row>
    <row r="1241" spans="59:59" ht="12" customHeight="1">
      <c r="BG1241" s="49"/>
    </row>
    <row r="1242" spans="59:59" ht="12" customHeight="1">
      <c r="BG1242" s="49"/>
    </row>
    <row r="1243" spans="59:59" ht="12" customHeight="1">
      <c r="BG1243" s="49"/>
    </row>
    <row r="1244" spans="59:59" ht="12" customHeight="1">
      <c r="BG1244" s="49"/>
    </row>
    <row r="1245" spans="59:59" ht="12" customHeight="1">
      <c r="BG1245" s="49"/>
    </row>
    <row r="1246" spans="59:59" ht="12" customHeight="1">
      <c r="BG1246" s="49"/>
    </row>
    <row r="1247" spans="59:59" ht="12" customHeight="1">
      <c r="BG1247" s="49"/>
    </row>
    <row r="1248" spans="59:59" ht="12" customHeight="1">
      <c r="BG1248" s="49"/>
    </row>
    <row r="1249" spans="59:59" ht="12" customHeight="1">
      <c r="BG1249" s="49"/>
    </row>
    <row r="1250" spans="59:59" ht="12" customHeight="1">
      <c r="BG1250" s="49"/>
    </row>
    <row r="1251" spans="59:59" ht="12" customHeight="1">
      <c r="BG1251" s="49"/>
    </row>
    <row r="1252" spans="59:59" ht="12" customHeight="1">
      <c r="BG1252" s="49"/>
    </row>
    <row r="1253" spans="59:59" ht="12" customHeight="1">
      <c r="BG1253" s="49"/>
    </row>
    <row r="1254" spans="59:59" ht="12" customHeight="1">
      <c r="BG1254" s="49"/>
    </row>
    <row r="1255" spans="59:59" ht="12" customHeight="1">
      <c r="BG1255" s="49"/>
    </row>
    <row r="1256" spans="59:59" ht="12" customHeight="1">
      <c r="BG1256" s="49"/>
    </row>
    <row r="1257" spans="59:59" ht="12" customHeight="1">
      <c r="BG1257" s="49"/>
    </row>
    <row r="1258" spans="59:59" ht="12" customHeight="1">
      <c r="BG1258" s="49"/>
    </row>
    <row r="1259" spans="59:59" ht="12" customHeight="1">
      <c r="BG1259" s="49"/>
    </row>
    <row r="1260" spans="59:59" ht="12" customHeight="1">
      <c r="BG1260" s="49"/>
    </row>
    <row r="1261" spans="59:59" ht="12" customHeight="1">
      <c r="BG1261" s="49"/>
    </row>
    <row r="1262" spans="59:59" ht="12" customHeight="1">
      <c r="BG1262" s="49"/>
    </row>
    <row r="1263" spans="59:59" ht="12" customHeight="1">
      <c r="BG1263" s="49"/>
    </row>
    <row r="1264" spans="59:59" ht="12" customHeight="1">
      <c r="BG1264" s="49"/>
    </row>
    <row r="1265" spans="59:59" ht="12" customHeight="1">
      <c r="BG1265" s="49"/>
    </row>
    <row r="1266" spans="59:59" ht="12" customHeight="1">
      <c r="BG1266" s="49"/>
    </row>
    <row r="1267" spans="59:59" ht="12" customHeight="1">
      <c r="BG1267" s="49"/>
    </row>
    <row r="1268" spans="59:59" ht="12" customHeight="1">
      <c r="BG1268" s="49"/>
    </row>
    <row r="1269" spans="59:59" ht="12" customHeight="1">
      <c r="BG1269" s="49"/>
    </row>
    <row r="1270" spans="59:59" ht="12" customHeight="1">
      <c r="BG1270" s="49"/>
    </row>
    <row r="1271" spans="59:59" ht="12" customHeight="1">
      <c r="BG1271" s="49"/>
    </row>
    <row r="1272" spans="59:59" ht="12" customHeight="1">
      <c r="BG1272" s="49"/>
    </row>
    <row r="1273" spans="59:59" ht="12" customHeight="1">
      <c r="BG1273" s="49"/>
    </row>
    <row r="1274" spans="59:59" ht="12" customHeight="1">
      <c r="BG1274" s="49"/>
    </row>
    <row r="1275" spans="59:59" ht="12" customHeight="1">
      <c r="BG1275" s="49"/>
    </row>
    <row r="1276" spans="59:59" ht="12" customHeight="1">
      <c r="BG1276" s="49"/>
    </row>
    <row r="1277" spans="59:59" ht="12" customHeight="1">
      <c r="BG1277" s="49"/>
    </row>
    <row r="1278" spans="59:59" ht="12" customHeight="1">
      <c r="BG1278" s="49"/>
    </row>
    <row r="1279" spans="59:59" ht="12" customHeight="1">
      <c r="BG1279" s="49"/>
    </row>
    <row r="1280" spans="59:59" ht="12" customHeight="1">
      <c r="BG1280" s="49"/>
    </row>
    <row r="1281" spans="59:59" ht="12" customHeight="1">
      <c r="BG1281" s="49"/>
    </row>
    <row r="1282" spans="59:59" ht="12" customHeight="1">
      <c r="BG1282" s="49"/>
    </row>
    <row r="1283" spans="59:59" ht="12" customHeight="1">
      <c r="BG1283" s="49"/>
    </row>
    <row r="1284" spans="59:59" ht="12" customHeight="1">
      <c r="BG1284" s="49"/>
    </row>
    <row r="1285" spans="59:59" ht="12" customHeight="1">
      <c r="BG1285" s="49"/>
    </row>
    <row r="1286" spans="59:59" ht="12" customHeight="1">
      <c r="BG1286" s="49"/>
    </row>
    <row r="1287" spans="59:59" ht="12" customHeight="1">
      <c r="BG1287" s="49"/>
    </row>
    <row r="1288" spans="59:59" ht="12" customHeight="1">
      <c r="BG1288" s="49"/>
    </row>
    <row r="1289" spans="59:59" ht="12" customHeight="1">
      <c r="BG1289" s="49"/>
    </row>
    <row r="1290" spans="59:59" ht="12" customHeight="1">
      <c r="BG1290" s="49"/>
    </row>
    <row r="1291" spans="59:59" ht="12" customHeight="1">
      <c r="BG1291" s="49"/>
    </row>
    <row r="1292" spans="59:59" ht="12" customHeight="1">
      <c r="BG1292" s="49"/>
    </row>
    <row r="1293" spans="59:59" ht="12" customHeight="1">
      <c r="BG1293" s="49"/>
    </row>
    <row r="1294" spans="59:59" ht="12" customHeight="1">
      <c r="BG1294" s="49"/>
    </row>
    <row r="1295" spans="59:59" ht="12" customHeight="1">
      <c r="BG1295" s="49"/>
    </row>
    <row r="1296" spans="59:59" ht="12" customHeight="1">
      <c r="BG1296" s="49"/>
    </row>
    <row r="1297" spans="59:59" ht="12" customHeight="1">
      <c r="BG1297" s="49"/>
    </row>
    <row r="1298" spans="59:59" ht="12" customHeight="1">
      <c r="BG1298" s="49"/>
    </row>
    <row r="1299" spans="59:59" ht="12" customHeight="1">
      <c r="BG1299" s="49"/>
    </row>
    <row r="1300" spans="59:59" ht="12" customHeight="1">
      <c r="BG1300" s="49"/>
    </row>
    <row r="1301" spans="59:59" ht="12" customHeight="1">
      <c r="BG1301" s="49"/>
    </row>
    <row r="1302" spans="59:59" ht="12" customHeight="1">
      <c r="BG1302" s="49"/>
    </row>
    <row r="1303" spans="59:59" ht="12" customHeight="1">
      <c r="BG1303" s="49"/>
    </row>
    <row r="1304" spans="59:59" ht="12" customHeight="1">
      <c r="BG1304" s="49"/>
    </row>
    <row r="1305" spans="59:59" ht="12" customHeight="1">
      <c r="BG1305" s="49"/>
    </row>
    <row r="1306" spans="59:59" ht="12" customHeight="1">
      <c r="BG1306" s="49"/>
    </row>
    <row r="1307" spans="59:59" ht="12" customHeight="1">
      <c r="BG1307" s="49"/>
    </row>
    <row r="1308" spans="59:59" ht="12" customHeight="1">
      <c r="BG1308" s="49"/>
    </row>
    <row r="1309" spans="59:59" ht="12" customHeight="1">
      <c r="BG1309" s="49"/>
    </row>
    <row r="1310" spans="59:59" ht="12" customHeight="1">
      <c r="BG1310" s="49"/>
    </row>
    <row r="1311" spans="59:59" ht="12" customHeight="1">
      <c r="BG1311" s="49"/>
    </row>
    <row r="1312" spans="59:59" ht="12" customHeight="1">
      <c r="BG1312" s="49"/>
    </row>
    <row r="1313" spans="59:59" ht="12" customHeight="1">
      <c r="BG1313" s="49"/>
    </row>
    <row r="1314" spans="59:59" ht="12" customHeight="1">
      <c r="BG1314" s="49"/>
    </row>
    <row r="1315" spans="59:59" ht="12" customHeight="1">
      <c r="BG1315" s="49"/>
    </row>
    <row r="1316" spans="59:59" ht="12" customHeight="1">
      <c r="BG1316" s="49"/>
    </row>
    <row r="1317" spans="59:59" ht="12" customHeight="1">
      <c r="BG1317" s="49"/>
    </row>
    <row r="1318" spans="59:59" ht="12" customHeight="1">
      <c r="BG1318" s="49"/>
    </row>
    <row r="1319" spans="59:59" ht="12" customHeight="1">
      <c r="BG1319" s="49"/>
    </row>
    <row r="1320" spans="59:59" ht="12" customHeight="1">
      <c r="BG1320" s="49"/>
    </row>
    <row r="1321" spans="59:59" ht="12" customHeight="1">
      <c r="BG1321" s="49"/>
    </row>
    <row r="1322" spans="59:59" ht="12" customHeight="1">
      <c r="BG1322" s="49"/>
    </row>
    <row r="1323" spans="59:59" ht="12" customHeight="1">
      <c r="BG1323" s="49"/>
    </row>
    <row r="1324" spans="59:59" ht="12" customHeight="1">
      <c r="BG1324" s="49"/>
    </row>
    <row r="1325" spans="59:59" ht="12" customHeight="1">
      <c r="BG1325" s="49"/>
    </row>
    <row r="1326" spans="59:59" ht="12" customHeight="1">
      <c r="BG1326" s="49"/>
    </row>
    <row r="1327" spans="59:59" ht="12" customHeight="1">
      <c r="BG1327" s="49"/>
    </row>
    <row r="1328" spans="59:59" ht="12" customHeight="1">
      <c r="BG1328" s="49"/>
    </row>
    <row r="1329" spans="59:59" ht="12" customHeight="1">
      <c r="BG1329" s="49"/>
    </row>
    <row r="1330" spans="59:59" ht="12" customHeight="1">
      <c r="BG1330" s="49"/>
    </row>
    <row r="1331" spans="59:59" ht="12" customHeight="1">
      <c r="BG1331" s="49"/>
    </row>
    <row r="1332" spans="59:59" ht="12" customHeight="1">
      <c r="BG1332" s="49"/>
    </row>
    <row r="1333" spans="59:59" ht="12" customHeight="1">
      <c r="BG1333" s="49"/>
    </row>
    <row r="1334" spans="59:59" ht="12" customHeight="1">
      <c r="BG1334" s="49"/>
    </row>
    <row r="1335" spans="59:59" ht="12" customHeight="1">
      <c r="BG1335" s="49"/>
    </row>
    <row r="1336" spans="59:59" ht="12" customHeight="1">
      <c r="BG1336" s="49"/>
    </row>
    <row r="1337" spans="59:59" ht="12" customHeight="1">
      <c r="BG1337" s="49"/>
    </row>
    <row r="1338" spans="59:59" ht="12" customHeight="1">
      <c r="BG1338" s="49"/>
    </row>
    <row r="1339" spans="59:59" ht="12" customHeight="1">
      <c r="BG1339" s="49"/>
    </row>
    <row r="1340" spans="59:59" ht="12" customHeight="1">
      <c r="BG1340" s="49"/>
    </row>
    <row r="1341" spans="59:59" ht="12" customHeight="1">
      <c r="BG1341" s="49"/>
    </row>
    <row r="1342" spans="59:59" ht="12" customHeight="1">
      <c r="BG1342" s="49"/>
    </row>
    <row r="1343" spans="59:59" ht="12" customHeight="1">
      <c r="BG1343" s="49"/>
    </row>
    <row r="1344" spans="59:59" ht="12" customHeight="1">
      <c r="BG1344" s="49"/>
    </row>
    <row r="1345" spans="59:59" ht="12" customHeight="1">
      <c r="BG1345" s="49"/>
    </row>
    <row r="1346" spans="59:59" ht="12" customHeight="1">
      <c r="BG1346" s="49"/>
    </row>
    <row r="1347" spans="59:59" ht="12" customHeight="1">
      <c r="BG1347" s="49"/>
    </row>
    <row r="1348" spans="59:59" ht="12" customHeight="1">
      <c r="BG1348" s="49"/>
    </row>
    <row r="1349" spans="59:59" ht="12" customHeight="1">
      <c r="BG1349" s="49"/>
    </row>
    <row r="1350" spans="59:59" ht="12" customHeight="1">
      <c r="BG1350" s="49"/>
    </row>
    <row r="1351" spans="59:59" ht="12" customHeight="1">
      <c r="BG1351" s="49"/>
    </row>
    <row r="1352" spans="59:59" ht="12" customHeight="1">
      <c r="BG1352" s="49"/>
    </row>
    <row r="1353" spans="59:59" ht="12" customHeight="1">
      <c r="BG1353" s="49"/>
    </row>
    <row r="1354" spans="59:59" ht="12" customHeight="1">
      <c r="BG1354" s="49"/>
    </row>
    <row r="1355" spans="59:59" ht="12" customHeight="1">
      <c r="BG1355" s="49"/>
    </row>
    <row r="1356" spans="59:59" ht="12" customHeight="1">
      <c r="BG1356" s="49"/>
    </row>
    <row r="1357" spans="59:59" ht="12" customHeight="1">
      <c r="BG1357" s="49"/>
    </row>
    <row r="1358" spans="59:59" ht="12" customHeight="1">
      <c r="BG1358" s="49"/>
    </row>
    <row r="1359" spans="59:59" ht="12" customHeight="1">
      <c r="BG1359" s="49"/>
    </row>
    <row r="1360" spans="59:59" ht="12" customHeight="1">
      <c r="BG1360" s="49"/>
    </row>
    <row r="1361" spans="59:59" ht="12" customHeight="1">
      <c r="BG1361" s="49"/>
    </row>
    <row r="1362" spans="59:59" ht="12" customHeight="1">
      <c r="BG1362" s="49"/>
    </row>
    <row r="1363" spans="59:59" ht="12" customHeight="1">
      <c r="BG1363" s="49"/>
    </row>
    <row r="1364" spans="59:59" ht="12" customHeight="1">
      <c r="BG1364" s="49"/>
    </row>
    <row r="1365" spans="59:59" ht="12" customHeight="1">
      <c r="BG1365" s="49"/>
    </row>
    <row r="1366" spans="59:59" ht="12" customHeight="1">
      <c r="BG1366" s="49"/>
    </row>
    <row r="1367" spans="59:59" ht="12" customHeight="1">
      <c r="BG1367" s="49"/>
    </row>
    <row r="1368" spans="59:59" ht="12" customHeight="1">
      <c r="BG1368" s="49"/>
    </row>
    <row r="1369" spans="59:59" ht="12" customHeight="1">
      <c r="BG1369" s="49"/>
    </row>
    <row r="1370" spans="59:59" ht="12" customHeight="1">
      <c r="BG1370" s="49"/>
    </row>
    <row r="1371" spans="59:59" ht="12" customHeight="1">
      <c r="BG1371" s="49"/>
    </row>
    <row r="1372" spans="59:59" ht="12" customHeight="1">
      <c r="BG1372" s="49"/>
    </row>
    <row r="1373" spans="59:59" ht="12" customHeight="1">
      <c r="BG1373" s="49"/>
    </row>
    <row r="1374" spans="59:59" ht="12" customHeight="1">
      <c r="BG1374" s="49"/>
    </row>
    <row r="1375" spans="59:59" ht="12" customHeight="1">
      <c r="BG1375" s="49"/>
    </row>
    <row r="1376" spans="59:59" ht="12" customHeight="1">
      <c r="BG1376" s="49"/>
    </row>
    <row r="1377" spans="59:59" ht="12" customHeight="1">
      <c r="BG1377" s="49"/>
    </row>
    <row r="1378" spans="59:59" ht="12" customHeight="1">
      <c r="BG1378" s="49"/>
    </row>
    <row r="1379" spans="59:59" ht="12" customHeight="1">
      <c r="BG1379" s="49"/>
    </row>
    <row r="1380" spans="59:59" ht="12" customHeight="1">
      <c r="BG1380" s="49"/>
    </row>
    <row r="1381" spans="59:59" ht="12" customHeight="1">
      <c r="BG1381" s="49"/>
    </row>
    <row r="1382" spans="59:59" ht="12" customHeight="1">
      <c r="BG1382" s="49"/>
    </row>
    <row r="1383" spans="59:59" ht="12" customHeight="1">
      <c r="BG1383" s="49"/>
    </row>
    <row r="1384" spans="59:59" ht="12" customHeight="1">
      <c r="BG1384" s="49"/>
    </row>
    <row r="1385" spans="59:59" ht="12" customHeight="1">
      <c r="BG1385" s="49"/>
    </row>
    <row r="1386" spans="59:59" ht="12" customHeight="1">
      <c r="BG1386" s="49"/>
    </row>
    <row r="1387" spans="59:59" ht="12" customHeight="1">
      <c r="BG1387" s="49"/>
    </row>
    <row r="1388" spans="59:59" ht="12" customHeight="1">
      <c r="BG1388" s="49"/>
    </row>
    <row r="1389" spans="59:59" ht="12" customHeight="1">
      <c r="BG1389" s="49"/>
    </row>
    <row r="1390" spans="59:59" ht="12" customHeight="1">
      <c r="BG1390" s="49"/>
    </row>
    <row r="1391" spans="59:59" ht="12" customHeight="1">
      <c r="BG1391" s="49"/>
    </row>
    <row r="1392" spans="59:59" ht="12" customHeight="1">
      <c r="BG1392" s="49"/>
    </row>
    <row r="1393" spans="59:59" ht="12" customHeight="1">
      <c r="BG1393" s="49"/>
    </row>
    <row r="1394" spans="59:59" ht="12" customHeight="1">
      <c r="BG1394" s="49"/>
    </row>
    <row r="1395" spans="59:59" ht="12" customHeight="1">
      <c r="BG1395" s="49"/>
    </row>
    <row r="1396" spans="59:59" ht="12" customHeight="1">
      <c r="BG1396" s="49"/>
    </row>
    <row r="1397" spans="59:59" ht="12" customHeight="1">
      <c r="BG1397" s="49"/>
    </row>
    <row r="1398" spans="59:59" ht="12" customHeight="1">
      <c r="BG1398" s="49"/>
    </row>
    <row r="1399" spans="59:59" ht="12" customHeight="1">
      <c r="BG1399" s="49"/>
    </row>
    <row r="1400" spans="59:59" ht="12" customHeight="1">
      <c r="BG1400" s="49"/>
    </row>
    <row r="1401" spans="59:59" ht="12" customHeight="1">
      <c r="BG1401" s="49"/>
    </row>
    <row r="1402" spans="59:59" ht="12" customHeight="1">
      <c r="BG1402" s="49"/>
    </row>
    <row r="1403" spans="59:59" ht="12" customHeight="1">
      <c r="BG1403" s="49"/>
    </row>
    <row r="1404" spans="59:59" ht="12" customHeight="1">
      <c r="BG1404" s="49"/>
    </row>
    <row r="1405" spans="59:59" ht="12" customHeight="1">
      <c r="BG1405" s="49"/>
    </row>
    <row r="1406" spans="59:59" ht="12" customHeight="1">
      <c r="BG1406" s="49"/>
    </row>
    <row r="1407" spans="59:59" ht="12" customHeight="1">
      <c r="BG1407" s="49"/>
    </row>
    <row r="1408" spans="59:59" ht="12" customHeight="1">
      <c r="BG1408" s="49"/>
    </row>
    <row r="1409" spans="59:59" ht="12" customHeight="1">
      <c r="BG1409" s="49"/>
    </row>
    <row r="1410" spans="59:59" ht="12" customHeight="1">
      <c r="BG1410" s="49"/>
    </row>
    <row r="1411" spans="59:59" ht="12" customHeight="1">
      <c r="BG1411" s="49"/>
    </row>
    <row r="1412" spans="59:59" ht="12" customHeight="1">
      <c r="BG1412" s="49"/>
    </row>
    <row r="1413" spans="59:59" ht="12" customHeight="1">
      <c r="BG1413" s="49"/>
    </row>
    <row r="1414" spans="59:59" ht="12" customHeight="1">
      <c r="BG1414" s="49"/>
    </row>
    <row r="1415" spans="59:59" ht="12" customHeight="1">
      <c r="BG1415" s="49"/>
    </row>
    <row r="1416" spans="59:59" ht="12" customHeight="1">
      <c r="BG1416" s="49"/>
    </row>
    <row r="1417" spans="59:59" ht="12" customHeight="1">
      <c r="BG1417" s="49"/>
    </row>
    <row r="1418" spans="59:59" ht="12" customHeight="1">
      <c r="BG1418" s="49"/>
    </row>
    <row r="1419" spans="59:59" ht="12" customHeight="1">
      <c r="BG1419" s="49"/>
    </row>
    <row r="1420" spans="59:59" ht="12" customHeight="1">
      <c r="BG1420" s="49"/>
    </row>
    <row r="1421" spans="59:59" ht="12" customHeight="1">
      <c r="BG1421" s="49"/>
    </row>
    <row r="1422" spans="59:59" ht="12" customHeight="1">
      <c r="BG1422" s="49"/>
    </row>
    <row r="1423" spans="59:59" ht="12" customHeight="1">
      <c r="BG1423" s="49"/>
    </row>
    <row r="1424" spans="59:59" ht="12" customHeight="1">
      <c r="BG1424" s="49"/>
    </row>
    <row r="1425" spans="59:59" ht="12" customHeight="1">
      <c r="BG1425" s="49"/>
    </row>
    <row r="1426" spans="59:59" ht="12" customHeight="1">
      <c r="BG1426" s="49"/>
    </row>
    <row r="1427" spans="59:59" ht="12" customHeight="1">
      <c r="BG1427" s="49"/>
    </row>
    <row r="1428" spans="59:59" ht="12" customHeight="1">
      <c r="BG1428" s="49"/>
    </row>
    <row r="1429" spans="59:59" ht="12" customHeight="1">
      <c r="BG1429" s="49"/>
    </row>
    <row r="1430" spans="59:59" ht="12" customHeight="1">
      <c r="BG1430" s="49"/>
    </row>
    <row r="1431" spans="59:59" ht="12" customHeight="1">
      <c r="BG1431" s="49"/>
    </row>
    <row r="1432" spans="59:59" ht="12" customHeight="1">
      <c r="BG1432" s="49"/>
    </row>
    <row r="1433" spans="59:59" ht="12" customHeight="1">
      <c r="BG1433" s="49"/>
    </row>
    <row r="1434" spans="59:59" ht="12" customHeight="1">
      <c r="BG1434" s="49"/>
    </row>
    <row r="1435" spans="59:59" ht="12" customHeight="1">
      <c r="BG1435" s="49"/>
    </row>
    <row r="1436" spans="59:59" ht="12" customHeight="1">
      <c r="BG1436" s="49"/>
    </row>
    <row r="1437" spans="59:59" ht="12" customHeight="1">
      <c r="BG1437" s="49"/>
    </row>
    <row r="1438" spans="59:59" ht="12" customHeight="1">
      <c r="BG1438" s="49"/>
    </row>
    <row r="1439" spans="59:59" ht="12" customHeight="1">
      <c r="BG1439" s="49"/>
    </row>
    <row r="1440" spans="59:59" ht="12" customHeight="1">
      <c r="BG1440" s="49"/>
    </row>
    <row r="1441" spans="59:59" ht="12" customHeight="1">
      <c r="BG1441" s="49"/>
    </row>
    <row r="1442" spans="59:59" ht="12" customHeight="1">
      <c r="BG1442" s="49"/>
    </row>
    <row r="1443" spans="59:59" ht="12" customHeight="1">
      <c r="BG1443" s="49"/>
    </row>
    <row r="1444" spans="59:59" ht="12" customHeight="1">
      <c r="BG1444" s="49"/>
    </row>
    <row r="1445" spans="59:59" ht="12" customHeight="1">
      <c r="BG1445" s="49"/>
    </row>
    <row r="1446" spans="59:59" ht="12" customHeight="1">
      <c r="BG1446" s="49"/>
    </row>
    <row r="1447" spans="59:59" ht="12" customHeight="1">
      <c r="BG1447" s="49"/>
    </row>
    <row r="1448" spans="59:59" ht="12" customHeight="1">
      <c r="BG1448" s="49"/>
    </row>
    <row r="1449" spans="59:59" ht="12" customHeight="1">
      <c r="BG1449" s="49"/>
    </row>
    <row r="1450" spans="59:59" ht="12" customHeight="1">
      <c r="BG1450" s="49"/>
    </row>
    <row r="1451" spans="59:59" ht="12" customHeight="1">
      <c r="BG1451" s="49"/>
    </row>
    <row r="1452" spans="59:59" ht="12" customHeight="1">
      <c r="BG1452" s="49"/>
    </row>
    <row r="1453" spans="59:59" ht="12" customHeight="1">
      <c r="BG1453" s="49"/>
    </row>
    <row r="1454" spans="59:59" ht="12" customHeight="1">
      <c r="BG1454" s="49"/>
    </row>
    <row r="1455" spans="59:59" ht="12" customHeight="1">
      <c r="BG1455" s="49"/>
    </row>
    <row r="1456" spans="59:59" ht="12" customHeight="1">
      <c r="BG1456" s="49"/>
    </row>
    <row r="1457" spans="59:59" ht="12" customHeight="1">
      <c r="BG1457" s="49"/>
    </row>
    <row r="1458" spans="59:59" ht="12" customHeight="1">
      <c r="BG1458" s="49"/>
    </row>
    <row r="1459" spans="59:59" ht="12" customHeight="1">
      <c r="BG1459" s="49"/>
    </row>
    <row r="1460" spans="59:59" ht="12" customHeight="1">
      <c r="BG1460" s="49"/>
    </row>
    <row r="1461" spans="59:59" ht="12" customHeight="1">
      <c r="BG1461" s="49"/>
    </row>
    <row r="1462" spans="59:59" ht="12" customHeight="1">
      <c r="BG1462" s="49"/>
    </row>
    <row r="1463" spans="59:59" ht="12" customHeight="1">
      <c r="BG1463" s="49"/>
    </row>
    <row r="1464" spans="59:59" ht="12" customHeight="1">
      <c r="BG1464" s="49"/>
    </row>
    <row r="1465" spans="59:59" ht="12" customHeight="1">
      <c r="BG1465" s="49"/>
    </row>
    <row r="1466" spans="59:59" ht="12" customHeight="1">
      <c r="BG1466" s="49"/>
    </row>
    <row r="1467" spans="59:59" ht="12" customHeight="1">
      <c r="BG1467" s="49"/>
    </row>
    <row r="1468" spans="59:59" ht="12" customHeight="1">
      <c r="BG1468" s="49"/>
    </row>
    <row r="1469" spans="59:59" ht="12" customHeight="1">
      <c r="BG1469" s="49"/>
    </row>
    <row r="1470" spans="59:59" ht="12" customHeight="1">
      <c r="BG1470" s="49"/>
    </row>
    <row r="1471" spans="59:59" ht="12" customHeight="1">
      <c r="BG1471" s="49"/>
    </row>
    <row r="1472" spans="59:59" ht="12" customHeight="1">
      <c r="BG1472" s="49"/>
    </row>
    <row r="1473" spans="59:59" ht="12" customHeight="1">
      <c r="BG1473" s="49"/>
    </row>
    <row r="1474" spans="59:59" ht="12" customHeight="1">
      <c r="BG1474" s="49"/>
    </row>
    <row r="1475" spans="59:59" ht="12" customHeight="1">
      <c r="BG1475" s="49"/>
    </row>
    <row r="1476" spans="59:59" ht="12" customHeight="1">
      <c r="BG1476" s="49"/>
    </row>
    <row r="1477" spans="59:59" ht="12" customHeight="1">
      <c r="BG1477" s="49"/>
    </row>
    <row r="1478" spans="59:59" ht="12" customHeight="1">
      <c r="BG1478" s="49"/>
    </row>
    <row r="1479" spans="59:59" ht="12" customHeight="1">
      <c r="BG1479" s="49"/>
    </row>
    <row r="1480" spans="59:59" ht="12" customHeight="1">
      <c r="BG1480" s="49"/>
    </row>
    <row r="1481" spans="59:59" ht="12" customHeight="1">
      <c r="BG1481" s="49"/>
    </row>
    <row r="1482" spans="59:59" ht="12" customHeight="1">
      <c r="BG1482" s="49"/>
    </row>
    <row r="1483" spans="59:59" ht="12" customHeight="1">
      <c r="BG1483" s="49"/>
    </row>
    <row r="1484" spans="59:59" ht="12" customHeight="1">
      <c r="BG1484" s="49"/>
    </row>
    <row r="1485" spans="59:59" ht="12" customHeight="1">
      <c r="BG1485" s="49"/>
    </row>
    <row r="1486" spans="59:59" ht="12" customHeight="1">
      <c r="BG1486" s="49"/>
    </row>
    <row r="1487" spans="59:59" ht="12" customHeight="1">
      <c r="BG1487" s="49"/>
    </row>
    <row r="1488" spans="59:59" ht="12" customHeight="1">
      <c r="BG1488" s="49"/>
    </row>
    <row r="1489" spans="59:59" ht="12" customHeight="1">
      <c r="BG1489" s="49"/>
    </row>
    <row r="1490" spans="59:59" ht="12" customHeight="1">
      <c r="BG1490" s="49"/>
    </row>
    <row r="1491" spans="59:59" ht="12" customHeight="1">
      <c r="BG1491" s="49"/>
    </row>
    <row r="1492" spans="59:59" ht="12" customHeight="1">
      <c r="BG1492" s="49"/>
    </row>
    <row r="1493" spans="59:59" ht="12" customHeight="1">
      <c r="BG1493" s="49"/>
    </row>
    <row r="1494" spans="59:59" ht="12" customHeight="1">
      <c r="BG1494" s="49"/>
    </row>
    <row r="1495" spans="59:59" ht="12" customHeight="1">
      <c r="BG1495" s="49"/>
    </row>
    <row r="1496" spans="59:59" ht="12" customHeight="1">
      <c r="BG1496" s="49"/>
    </row>
    <row r="1497" spans="59:59" ht="12" customHeight="1">
      <c r="BG1497" s="49"/>
    </row>
    <row r="1498" spans="59:59" ht="12" customHeight="1">
      <c r="BG1498" s="49"/>
    </row>
    <row r="1499" spans="59:59" ht="12" customHeight="1">
      <c r="BG1499" s="49"/>
    </row>
    <row r="1500" spans="59:59" ht="12" customHeight="1">
      <c r="BG1500" s="49"/>
    </row>
    <row r="1501" spans="59:59" ht="12" customHeight="1">
      <c r="BG1501" s="49"/>
    </row>
    <row r="1502" spans="59:59" ht="12" customHeight="1">
      <c r="BG1502" s="49"/>
    </row>
    <row r="1503" spans="59:59" ht="12" customHeight="1">
      <c r="BG1503" s="49"/>
    </row>
    <row r="1504" spans="59:59" ht="12" customHeight="1">
      <c r="BG1504" s="49"/>
    </row>
    <row r="1505" spans="59:59" ht="12" customHeight="1">
      <c r="BG1505" s="49"/>
    </row>
    <row r="1506" spans="59:59" ht="12" customHeight="1">
      <c r="BG1506" s="49"/>
    </row>
    <row r="1507" spans="59:59" ht="12" customHeight="1">
      <c r="BG1507" s="49"/>
    </row>
    <row r="1508" spans="59:59" ht="12" customHeight="1">
      <c r="BG1508" s="49"/>
    </row>
    <row r="1509" spans="59:59" ht="12" customHeight="1">
      <c r="BG1509" s="49"/>
    </row>
    <row r="1510" spans="59:59" ht="12" customHeight="1">
      <c r="BG1510" s="49"/>
    </row>
    <row r="1511" spans="59:59" ht="12" customHeight="1">
      <c r="BG1511" s="49"/>
    </row>
    <row r="1512" spans="59:59" ht="12" customHeight="1">
      <c r="BG1512" s="49"/>
    </row>
    <row r="1513" spans="59:59" ht="12" customHeight="1">
      <c r="BG1513" s="49"/>
    </row>
    <row r="1514" spans="59:59" ht="12" customHeight="1">
      <c r="BG1514" s="49"/>
    </row>
    <row r="1515" spans="59:59" ht="12" customHeight="1">
      <c r="BG1515" s="49"/>
    </row>
    <row r="1516" spans="59:59" ht="12" customHeight="1">
      <c r="BG1516" s="49"/>
    </row>
    <row r="1517" spans="59:59" ht="12" customHeight="1">
      <c r="BG1517" s="49"/>
    </row>
    <row r="1518" spans="59:59" ht="12" customHeight="1">
      <c r="BG1518" s="49"/>
    </row>
    <row r="1519" spans="59:59" ht="12" customHeight="1">
      <c r="BG1519" s="49"/>
    </row>
    <row r="1520" spans="59:59" ht="12" customHeight="1">
      <c r="BG1520" s="49"/>
    </row>
    <row r="1521" spans="59:59" ht="12" customHeight="1">
      <c r="BG1521" s="49"/>
    </row>
    <row r="1522" spans="59:59" ht="12" customHeight="1">
      <c r="BG1522" s="49"/>
    </row>
    <row r="1523" spans="59:59" ht="12" customHeight="1">
      <c r="BG1523" s="49"/>
    </row>
    <row r="1524" spans="59:59" ht="12" customHeight="1">
      <c r="BG1524" s="49"/>
    </row>
    <row r="1525" spans="59:59" ht="12" customHeight="1">
      <c r="BG1525" s="49"/>
    </row>
    <row r="1526" spans="59:59" ht="12" customHeight="1">
      <c r="BG1526" s="49"/>
    </row>
    <row r="1527" spans="59:59" ht="12" customHeight="1">
      <c r="BG1527" s="49"/>
    </row>
    <row r="1528" spans="59:59" ht="12" customHeight="1">
      <c r="BG1528" s="49"/>
    </row>
    <row r="1529" spans="59:59" ht="12" customHeight="1">
      <c r="BG1529" s="49"/>
    </row>
    <row r="1530" spans="59:59" ht="12" customHeight="1">
      <c r="BG1530" s="49"/>
    </row>
    <row r="1531" spans="59:59" ht="12" customHeight="1">
      <c r="BG1531" s="49"/>
    </row>
    <row r="1532" spans="59:59" ht="12" customHeight="1">
      <c r="BG1532" s="49"/>
    </row>
    <row r="1533" spans="59:59" ht="12" customHeight="1">
      <c r="BG1533" s="49"/>
    </row>
    <row r="1534" spans="59:59" ht="12" customHeight="1">
      <c r="BG1534" s="49"/>
    </row>
    <row r="1535" spans="59:59" ht="12" customHeight="1">
      <c r="BG1535" s="49"/>
    </row>
    <row r="1536" spans="59:59" ht="12" customHeight="1">
      <c r="BG1536" s="49"/>
    </row>
    <row r="1537" spans="59:59" ht="12" customHeight="1">
      <c r="BG1537" s="49"/>
    </row>
    <row r="1538" spans="59:59" ht="12" customHeight="1">
      <c r="BG1538" s="49"/>
    </row>
    <row r="1539" spans="59:59" ht="12" customHeight="1">
      <c r="BG1539" s="49"/>
    </row>
    <row r="1540" spans="59:59" ht="12" customHeight="1">
      <c r="BG1540" s="49"/>
    </row>
    <row r="1541" spans="59:59" ht="12" customHeight="1">
      <c r="BG1541" s="49"/>
    </row>
    <row r="1542" spans="59:59" ht="12" customHeight="1">
      <c r="BG1542" s="49"/>
    </row>
    <row r="1543" spans="59:59" ht="12" customHeight="1">
      <c r="BG1543" s="49"/>
    </row>
    <row r="1544" spans="59:59" ht="12" customHeight="1">
      <c r="BG1544" s="49"/>
    </row>
    <row r="1545" spans="59:59" ht="12" customHeight="1">
      <c r="BG1545" s="49"/>
    </row>
    <row r="1546" spans="59:59" ht="12" customHeight="1">
      <c r="BG1546" s="49"/>
    </row>
    <row r="1547" spans="59:59" ht="12" customHeight="1">
      <c r="BG1547" s="49"/>
    </row>
    <row r="1548" spans="59:59" ht="12" customHeight="1">
      <c r="BG1548" s="49"/>
    </row>
    <row r="1549" spans="59:59" ht="12" customHeight="1">
      <c r="BG1549" s="49"/>
    </row>
    <row r="1550" spans="59:59" ht="12" customHeight="1">
      <c r="BG1550" s="49"/>
    </row>
    <row r="1551" spans="59:59" ht="12" customHeight="1">
      <c r="BG1551" s="49"/>
    </row>
    <row r="1552" spans="59:59" ht="12" customHeight="1">
      <c r="BG1552" s="49"/>
    </row>
    <row r="1553" spans="59:59" ht="12" customHeight="1">
      <c r="BG1553" s="49"/>
    </row>
    <row r="1554" spans="59:59" ht="12" customHeight="1">
      <c r="BG1554" s="49"/>
    </row>
    <row r="1555" spans="59:59" ht="12" customHeight="1">
      <c r="BG1555" s="49"/>
    </row>
    <row r="1556" spans="59:59" ht="12" customHeight="1">
      <c r="BG1556" s="49"/>
    </row>
    <row r="1557" spans="59:59" ht="12" customHeight="1">
      <c r="BG1557" s="49"/>
    </row>
    <row r="1558" spans="59:59" ht="12" customHeight="1">
      <c r="BG1558" s="49"/>
    </row>
    <row r="1559" spans="59:59" ht="12" customHeight="1">
      <c r="BG1559" s="49"/>
    </row>
    <row r="1560" spans="59:59" ht="12" customHeight="1">
      <c r="BG1560" s="49"/>
    </row>
    <row r="1561" spans="59:59" ht="12" customHeight="1">
      <c r="BG1561" s="49"/>
    </row>
    <row r="1562" spans="59:59" ht="12" customHeight="1">
      <c r="BG1562" s="49"/>
    </row>
    <row r="1563" spans="59:59" ht="12" customHeight="1">
      <c r="BG1563" s="49"/>
    </row>
    <row r="1564" spans="59:59" ht="12" customHeight="1">
      <c r="BG1564" s="49"/>
    </row>
    <row r="1565" spans="59:59" ht="12" customHeight="1">
      <c r="BG1565" s="49"/>
    </row>
    <row r="1566" spans="59:59" ht="12" customHeight="1">
      <c r="BG1566" s="49"/>
    </row>
    <row r="1567" spans="59:59" ht="12" customHeight="1">
      <c r="BG1567" s="49"/>
    </row>
    <row r="1568" spans="59:59" ht="12" customHeight="1">
      <c r="BG1568" s="49"/>
    </row>
    <row r="1569" spans="59:59" ht="12" customHeight="1">
      <c r="BG1569" s="49"/>
    </row>
    <row r="1570" spans="59:59" ht="12" customHeight="1">
      <c r="BG1570" s="49"/>
    </row>
    <row r="1571" spans="59:59" ht="12" customHeight="1">
      <c r="BG1571" s="49"/>
    </row>
    <row r="1572" spans="59:59" ht="12" customHeight="1">
      <c r="BG1572" s="49"/>
    </row>
    <row r="1573" spans="59:59" ht="12" customHeight="1">
      <c r="BG1573" s="49"/>
    </row>
    <row r="1574" spans="59:59" ht="12" customHeight="1">
      <c r="BG1574" s="49"/>
    </row>
    <row r="1575" spans="59:59" ht="12" customHeight="1">
      <c r="BG1575" s="49"/>
    </row>
    <row r="1576" spans="59:59" ht="12" customHeight="1">
      <c r="BG1576" s="49"/>
    </row>
    <row r="1577" spans="59:59" ht="12" customHeight="1">
      <c r="BG1577" s="49"/>
    </row>
    <row r="1578" spans="59:59" ht="12" customHeight="1">
      <c r="BG1578" s="49"/>
    </row>
    <row r="1579" spans="59:59" ht="12" customHeight="1">
      <c r="BG1579" s="49"/>
    </row>
    <row r="1580" spans="59:59" ht="12" customHeight="1">
      <c r="BG1580" s="49"/>
    </row>
    <row r="1581" spans="59:59" ht="12" customHeight="1">
      <c r="BG1581" s="49"/>
    </row>
    <row r="1582" spans="59:59" ht="12" customHeight="1">
      <c r="BG1582" s="49"/>
    </row>
    <row r="1583" spans="59:59" ht="12" customHeight="1">
      <c r="BG1583" s="49"/>
    </row>
    <row r="1584" spans="59:59" ht="12" customHeight="1">
      <c r="BG1584" s="49"/>
    </row>
    <row r="1585" spans="59:59" ht="12" customHeight="1">
      <c r="BG1585" s="49"/>
    </row>
    <row r="1586" spans="59:59" ht="12" customHeight="1">
      <c r="BG1586" s="49"/>
    </row>
    <row r="1587" spans="59:59" ht="12" customHeight="1">
      <c r="BG1587" s="49"/>
    </row>
    <row r="1588" spans="59:59" ht="12" customHeight="1">
      <c r="BG1588" s="49"/>
    </row>
    <row r="1589" spans="59:59" ht="12" customHeight="1">
      <c r="BG1589" s="49"/>
    </row>
    <row r="1590" spans="59:59" ht="12" customHeight="1">
      <c r="BG1590" s="49"/>
    </row>
    <row r="1591" spans="59:59" ht="12" customHeight="1">
      <c r="BG1591" s="49"/>
    </row>
    <row r="1592" spans="59:59" ht="12" customHeight="1">
      <c r="BG1592" s="49"/>
    </row>
    <row r="1593" spans="59:59" ht="12" customHeight="1">
      <c r="BG1593" s="49"/>
    </row>
    <row r="1594" spans="59:59" ht="12" customHeight="1">
      <c r="BG1594" s="49"/>
    </row>
    <row r="1595" spans="59:59" ht="12" customHeight="1">
      <c r="BG1595" s="49"/>
    </row>
    <row r="1596" spans="59:59" ht="12" customHeight="1">
      <c r="BG1596" s="49"/>
    </row>
    <row r="1597" spans="59:59" ht="12" customHeight="1">
      <c r="BG1597" s="49"/>
    </row>
    <row r="1598" spans="59:59" ht="12" customHeight="1">
      <c r="BG1598" s="49"/>
    </row>
    <row r="1599" spans="59:59" ht="12" customHeight="1">
      <c r="BG1599" s="49"/>
    </row>
    <row r="1600" spans="59:59" ht="12" customHeight="1">
      <c r="BG1600" s="49"/>
    </row>
    <row r="1601" spans="59:59" ht="12" customHeight="1">
      <c r="BG1601" s="49"/>
    </row>
    <row r="1602" spans="59:59" ht="12" customHeight="1">
      <c r="BG1602" s="49"/>
    </row>
    <row r="1603" spans="59:59" ht="12" customHeight="1">
      <c r="BG1603" s="49"/>
    </row>
    <row r="1604" spans="59:59" ht="12" customHeight="1">
      <c r="BG1604" s="49"/>
    </row>
    <row r="1605" spans="59:59" ht="12" customHeight="1">
      <c r="BG1605" s="49"/>
    </row>
    <row r="1606" spans="59:59" ht="12" customHeight="1">
      <c r="BG1606" s="49"/>
    </row>
    <row r="1607" spans="59:59" ht="12" customHeight="1">
      <c r="BG1607" s="49"/>
    </row>
    <row r="1608" spans="59:59" ht="12" customHeight="1">
      <c r="BG1608" s="49"/>
    </row>
    <row r="1609" spans="59:59" ht="12" customHeight="1">
      <c r="BG1609" s="49"/>
    </row>
    <row r="1610" spans="59:59" ht="12" customHeight="1">
      <c r="BG1610" s="49"/>
    </row>
    <row r="1611" spans="59:59" ht="12" customHeight="1">
      <c r="BG1611" s="49"/>
    </row>
    <row r="1612" spans="59:59" ht="12" customHeight="1">
      <c r="BG1612" s="49"/>
    </row>
    <row r="1613" spans="59:59" ht="12" customHeight="1">
      <c r="BG1613" s="49"/>
    </row>
    <row r="1614" spans="59:59" ht="12" customHeight="1">
      <c r="BG1614" s="49"/>
    </row>
    <row r="1615" spans="59:59" ht="12" customHeight="1">
      <c r="BG1615" s="49"/>
    </row>
    <row r="1616" spans="59:59" ht="12" customHeight="1">
      <c r="BG1616" s="49"/>
    </row>
    <row r="1617" spans="59:59" ht="12" customHeight="1">
      <c r="BG1617" s="49"/>
    </row>
    <row r="1618" spans="59:59" ht="12" customHeight="1">
      <c r="BG1618" s="49"/>
    </row>
    <row r="1619" spans="59:59" ht="12" customHeight="1">
      <c r="BG1619" s="49"/>
    </row>
    <row r="1620" spans="59:59" ht="12" customHeight="1">
      <c r="BG1620" s="49"/>
    </row>
    <row r="1621" spans="59:59" ht="12" customHeight="1">
      <c r="BG1621" s="49"/>
    </row>
    <row r="1622" spans="59:59" ht="12" customHeight="1">
      <c r="BG1622" s="49"/>
    </row>
    <row r="1623" spans="59:59" ht="12" customHeight="1">
      <c r="BG1623" s="49"/>
    </row>
    <row r="1624" spans="59:59" ht="12" customHeight="1">
      <c r="BG1624" s="49"/>
    </row>
    <row r="1625" spans="59:59" ht="12" customHeight="1">
      <c r="BG1625" s="49"/>
    </row>
    <row r="1626" spans="59:59" ht="12" customHeight="1">
      <c r="BG1626" s="49"/>
    </row>
    <row r="1627" spans="59:59" ht="12" customHeight="1">
      <c r="BG1627" s="49"/>
    </row>
    <row r="1628" spans="59:59" ht="12" customHeight="1">
      <c r="BG1628" s="49"/>
    </row>
    <row r="1629" spans="59:59" ht="12" customHeight="1">
      <c r="BG1629" s="49"/>
    </row>
    <row r="1630" spans="59:59" ht="12" customHeight="1">
      <c r="BG1630" s="49"/>
    </row>
    <row r="1631" spans="59:59" ht="12" customHeight="1">
      <c r="BG1631" s="49"/>
    </row>
    <row r="1632" spans="59:59" ht="12" customHeight="1">
      <c r="BG1632" s="49"/>
    </row>
    <row r="1633" spans="59:59" ht="12" customHeight="1">
      <c r="BG1633" s="49"/>
    </row>
    <row r="1634" spans="59:59" ht="12" customHeight="1">
      <c r="BG1634" s="49"/>
    </row>
    <row r="1635" spans="59:59" ht="12" customHeight="1">
      <c r="BG1635" s="49"/>
    </row>
    <row r="1636" spans="59:59" ht="12" customHeight="1">
      <c r="BG1636" s="49"/>
    </row>
    <row r="1637" spans="59:59" ht="12" customHeight="1">
      <c r="BG1637" s="49"/>
    </row>
    <row r="1638" spans="59:59" ht="12" customHeight="1">
      <c r="BG1638" s="49"/>
    </row>
    <row r="1639" spans="59:59" ht="12" customHeight="1">
      <c r="BG1639" s="49"/>
    </row>
    <row r="1640" spans="59:59" ht="12" customHeight="1">
      <c r="BG1640" s="49"/>
    </row>
    <row r="1641" spans="59:59" ht="12" customHeight="1">
      <c r="BG1641" s="49"/>
    </row>
    <row r="1642" spans="59:59" ht="12" customHeight="1">
      <c r="BG1642" s="49"/>
    </row>
    <row r="1643" spans="59:59" ht="12" customHeight="1">
      <c r="BG1643" s="49"/>
    </row>
    <row r="1644" spans="59:59" ht="12" customHeight="1">
      <c r="BG1644" s="49"/>
    </row>
    <row r="1645" spans="59:59" ht="12" customHeight="1">
      <c r="BG1645" s="49"/>
    </row>
    <row r="1646" spans="59:59" ht="12" customHeight="1">
      <c r="BG1646" s="49"/>
    </row>
    <row r="1647" spans="59:59" ht="12" customHeight="1">
      <c r="BG1647" s="49"/>
    </row>
    <row r="1648" spans="59:59" ht="12" customHeight="1">
      <c r="BG1648" s="49"/>
    </row>
    <row r="1649" spans="59:59" ht="12" customHeight="1">
      <c r="BG1649" s="49"/>
    </row>
    <row r="1650" spans="59:59" ht="12" customHeight="1">
      <c r="BG1650" s="49"/>
    </row>
    <row r="1651" spans="59:59" ht="12" customHeight="1">
      <c r="BG1651" s="49"/>
    </row>
    <row r="1652" spans="59:59" ht="12" customHeight="1">
      <c r="BG1652" s="49"/>
    </row>
    <row r="1653" spans="59:59" ht="12" customHeight="1">
      <c r="BG1653" s="49"/>
    </row>
    <row r="1654" spans="59:59" ht="12" customHeight="1">
      <c r="BG1654" s="49"/>
    </row>
    <row r="1655" spans="59:59" ht="12" customHeight="1">
      <c r="BG1655" s="49"/>
    </row>
    <row r="1656" spans="59:59" ht="12" customHeight="1">
      <c r="BG1656" s="49"/>
    </row>
    <row r="1657" spans="59:59" ht="12" customHeight="1">
      <c r="BG1657" s="49"/>
    </row>
    <row r="1658" spans="59:59" ht="12" customHeight="1">
      <c r="BG1658" s="49"/>
    </row>
    <row r="1659" spans="59:59" ht="12" customHeight="1">
      <c r="BG1659" s="49"/>
    </row>
    <row r="1660" spans="59:59" ht="12" customHeight="1">
      <c r="BG1660" s="49"/>
    </row>
    <row r="1661" spans="59:59" ht="12" customHeight="1">
      <c r="BG1661" s="49"/>
    </row>
    <row r="1662" spans="59:59" ht="12" customHeight="1">
      <c r="BG1662" s="49"/>
    </row>
    <row r="1663" spans="59:59" ht="12" customHeight="1">
      <c r="BG1663" s="49"/>
    </row>
    <row r="1664" spans="59:59" ht="12" customHeight="1">
      <c r="BG1664" s="49"/>
    </row>
    <row r="1665" spans="59:59" ht="12" customHeight="1">
      <c r="BG1665" s="49"/>
    </row>
    <row r="1666" spans="59:59" ht="12" customHeight="1">
      <c r="BG1666" s="49"/>
    </row>
    <row r="1667" spans="59:59" ht="12" customHeight="1">
      <c r="BG1667" s="49"/>
    </row>
    <row r="1668" spans="59:59" ht="12" customHeight="1">
      <c r="BG1668" s="49"/>
    </row>
    <row r="1669" spans="59:59" ht="12" customHeight="1">
      <c r="BG1669" s="49"/>
    </row>
    <row r="1670" spans="59:59" ht="12" customHeight="1">
      <c r="BG1670" s="49"/>
    </row>
    <row r="1671" spans="59:59" ht="12" customHeight="1">
      <c r="BG1671" s="49"/>
    </row>
    <row r="1672" spans="59:59" ht="12" customHeight="1">
      <c r="BG1672" s="49"/>
    </row>
    <row r="1673" spans="59:59" ht="12" customHeight="1">
      <c r="BG1673" s="49"/>
    </row>
    <row r="1674" spans="59:59" ht="12" customHeight="1">
      <c r="BG1674" s="49"/>
    </row>
    <row r="1675" spans="59:59" ht="12" customHeight="1">
      <c r="BG1675" s="49"/>
    </row>
    <row r="1676" spans="59:59" ht="12" customHeight="1">
      <c r="BG1676" s="49"/>
    </row>
    <row r="1677" spans="59:59" ht="12" customHeight="1">
      <c r="BG1677" s="49"/>
    </row>
    <row r="1678" spans="59:59" ht="12" customHeight="1">
      <c r="BG1678" s="49"/>
    </row>
    <row r="1679" spans="59:59" ht="12" customHeight="1">
      <c r="BG1679" s="49"/>
    </row>
    <row r="1680" spans="59:59" ht="12" customHeight="1">
      <c r="BG1680" s="49"/>
    </row>
    <row r="1681" spans="59:59" ht="12" customHeight="1">
      <c r="BG1681" s="49"/>
    </row>
    <row r="1682" spans="59:59" ht="12" customHeight="1">
      <c r="BG1682" s="49"/>
    </row>
    <row r="1683" spans="59:59" ht="12" customHeight="1">
      <c r="BG1683" s="49"/>
    </row>
    <row r="1684" spans="59:59" ht="12" customHeight="1">
      <c r="BG1684" s="49"/>
    </row>
    <row r="1685" spans="59:59" ht="12" customHeight="1">
      <c r="BG1685" s="49"/>
    </row>
    <row r="1686" spans="59:59" ht="12" customHeight="1">
      <c r="BG1686" s="49"/>
    </row>
    <row r="1687" spans="59:59" ht="12" customHeight="1">
      <c r="BG1687" s="49"/>
    </row>
    <row r="1688" spans="59:59" ht="12" customHeight="1">
      <c r="BG1688" s="49"/>
    </row>
    <row r="1689" spans="59:59" ht="12" customHeight="1">
      <c r="BG1689" s="49"/>
    </row>
    <row r="1690" spans="59:59" ht="12" customHeight="1">
      <c r="BG1690" s="49"/>
    </row>
    <row r="1691" spans="59:59" ht="12" customHeight="1">
      <c r="BG1691" s="49"/>
    </row>
    <row r="1692" spans="59:59" ht="12" customHeight="1">
      <c r="BG1692" s="49"/>
    </row>
    <row r="1693" spans="59:59" ht="12" customHeight="1">
      <c r="BG1693" s="49"/>
    </row>
    <row r="1694" spans="59:59" ht="12" customHeight="1">
      <c r="BG1694" s="49"/>
    </row>
    <row r="1695" spans="59:59" ht="12" customHeight="1">
      <c r="BG1695" s="49"/>
    </row>
    <row r="1696" spans="59:59" ht="12" customHeight="1">
      <c r="BG1696" s="49"/>
    </row>
    <row r="1697" spans="59:59" ht="12" customHeight="1">
      <c r="BG1697" s="49"/>
    </row>
    <row r="1698" spans="59:59" ht="12" customHeight="1">
      <c r="BG1698" s="49"/>
    </row>
    <row r="1699" spans="59:59" ht="12" customHeight="1">
      <c r="BG1699" s="49"/>
    </row>
    <row r="1700" spans="59:59" ht="12" customHeight="1">
      <c r="BG1700" s="49"/>
    </row>
    <row r="1701" spans="59:59" ht="12" customHeight="1">
      <c r="BG1701" s="49"/>
    </row>
    <row r="1702" spans="59:59" ht="12" customHeight="1">
      <c r="BG1702" s="49"/>
    </row>
    <row r="1703" spans="59:59" ht="12" customHeight="1">
      <c r="BG1703" s="49"/>
    </row>
    <row r="1704" spans="59:59" ht="12" customHeight="1">
      <c r="BG1704" s="49"/>
    </row>
    <row r="1705" spans="59:59" ht="12" customHeight="1">
      <c r="BG1705" s="49"/>
    </row>
    <row r="1706" spans="59:59" ht="12" customHeight="1">
      <c r="BG1706" s="49"/>
    </row>
    <row r="1707" spans="59:59" ht="12" customHeight="1">
      <c r="BG1707" s="49"/>
    </row>
    <row r="1708" spans="59:59" ht="12" customHeight="1">
      <c r="BG1708" s="49"/>
    </row>
    <row r="1709" spans="59:59" ht="12" customHeight="1">
      <c r="BG1709" s="49"/>
    </row>
    <row r="1710" spans="59:59" ht="12" customHeight="1">
      <c r="BG1710" s="49"/>
    </row>
    <row r="1711" spans="59:59" ht="12" customHeight="1">
      <c r="BG1711" s="49"/>
    </row>
    <row r="1712" spans="59:59" ht="12" customHeight="1">
      <c r="BG1712" s="49"/>
    </row>
    <row r="1713" spans="59:59" ht="12" customHeight="1">
      <c r="BG1713" s="49"/>
    </row>
    <row r="1714" spans="59:59" ht="12" customHeight="1">
      <c r="BG1714" s="49"/>
    </row>
    <row r="1715" spans="59:59" ht="12" customHeight="1">
      <c r="BG1715" s="49"/>
    </row>
    <row r="1716" spans="59:59" ht="12" customHeight="1">
      <c r="BG1716" s="49"/>
    </row>
    <row r="1717" spans="59:59" ht="12" customHeight="1">
      <c r="BG1717" s="49"/>
    </row>
    <row r="1718" spans="59:59" ht="12" customHeight="1">
      <c r="BG1718" s="49"/>
    </row>
    <row r="1719" spans="59:59" ht="12" customHeight="1">
      <c r="BG1719" s="49"/>
    </row>
    <row r="1720" spans="59:59" ht="12" customHeight="1">
      <c r="BG1720" s="49"/>
    </row>
    <row r="1721" spans="59:59" ht="12" customHeight="1">
      <c r="BG1721" s="49"/>
    </row>
    <row r="1722" spans="59:59" ht="12" customHeight="1">
      <c r="BG1722" s="49"/>
    </row>
    <row r="1723" spans="59:59" ht="12" customHeight="1">
      <c r="BG1723" s="49"/>
    </row>
    <row r="1724" spans="59:59" ht="12" customHeight="1">
      <c r="BG1724" s="49"/>
    </row>
    <row r="1725" spans="59:59" ht="12" customHeight="1">
      <c r="BG1725" s="49"/>
    </row>
    <row r="1726" spans="59:59" ht="12" customHeight="1">
      <c r="BG1726" s="49"/>
    </row>
    <row r="1727" spans="59:59" ht="12" customHeight="1">
      <c r="BG1727" s="49"/>
    </row>
    <row r="1728" spans="59:59" ht="12" customHeight="1">
      <c r="BG1728" s="49"/>
    </row>
    <row r="1729" spans="59:59" ht="12" customHeight="1">
      <c r="BG1729" s="49"/>
    </row>
    <row r="1730" spans="59:59" ht="12" customHeight="1">
      <c r="BG1730" s="49"/>
    </row>
    <row r="1731" spans="59:59" ht="12" customHeight="1">
      <c r="BG1731" s="49"/>
    </row>
    <row r="1732" spans="59:59" ht="12" customHeight="1">
      <c r="BG1732" s="49"/>
    </row>
    <row r="1733" spans="59:59" ht="12" customHeight="1">
      <c r="BG1733" s="49"/>
    </row>
    <row r="1734" spans="59:59" ht="12" customHeight="1">
      <c r="BG1734" s="49"/>
    </row>
    <row r="1735" spans="59:59" ht="12" customHeight="1">
      <c r="BG1735" s="49"/>
    </row>
    <row r="1736" spans="59:59" ht="12" customHeight="1">
      <c r="BG1736" s="49"/>
    </row>
    <row r="1737" spans="59:59" ht="12" customHeight="1">
      <c r="BG1737" s="49"/>
    </row>
    <row r="1738" spans="59:59" ht="12" customHeight="1">
      <c r="BG1738" s="49"/>
    </row>
    <row r="1739" spans="59:59" ht="12" customHeight="1">
      <c r="BG1739" s="49"/>
    </row>
    <row r="1740" spans="59:59" ht="12" customHeight="1">
      <c r="BG1740" s="49"/>
    </row>
    <row r="1741" spans="59:59" ht="12" customHeight="1">
      <c r="BG1741" s="49"/>
    </row>
    <row r="1742" spans="59:59" ht="12" customHeight="1">
      <c r="BG1742" s="49"/>
    </row>
    <row r="1743" spans="59:59" ht="12" customHeight="1">
      <c r="BG1743" s="49"/>
    </row>
    <row r="1744" spans="59:59" ht="12" customHeight="1">
      <c r="BG1744" s="49"/>
    </row>
    <row r="1745" spans="59:59" ht="12" customHeight="1">
      <c r="BG1745" s="49"/>
    </row>
    <row r="1746" spans="59:59" ht="12" customHeight="1">
      <c r="BG1746" s="49"/>
    </row>
    <row r="1747" spans="59:59" ht="12" customHeight="1">
      <c r="BG1747" s="49"/>
    </row>
    <row r="1748" spans="59:59" ht="12" customHeight="1">
      <c r="BG1748" s="49"/>
    </row>
    <row r="1749" spans="59:59" ht="12" customHeight="1">
      <c r="BG1749" s="49"/>
    </row>
    <row r="1750" spans="59:59" ht="12" customHeight="1">
      <c r="BG1750" s="49"/>
    </row>
    <row r="1751" spans="59:59" ht="12" customHeight="1">
      <c r="BG1751" s="49"/>
    </row>
    <row r="1752" spans="59:59" ht="12" customHeight="1">
      <c r="BG1752" s="49"/>
    </row>
    <row r="1753" spans="59:59" ht="12" customHeight="1">
      <c r="BG1753" s="49"/>
    </row>
    <row r="1754" spans="59:59" ht="12" customHeight="1">
      <c r="BG1754" s="49"/>
    </row>
    <row r="1755" spans="59:59" ht="12" customHeight="1">
      <c r="BG1755" s="49"/>
    </row>
    <row r="1756" spans="59:59" ht="12" customHeight="1">
      <c r="BG1756" s="49"/>
    </row>
    <row r="1757" spans="59:59" ht="12" customHeight="1">
      <c r="BG1757" s="49"/>
    </row>
    <row r="1758" spans="59:59" ht="12" customHeight="1">
      <c r="BG1758" s="49"/>
    </row>
    <row r="1759" spans="59:59" ht="12" customHeight="1">
      <c r="BG1759" s="49"/>
    </row>
    <row r="1760" spans="59:59" ht="12" customHeight="1">
      <c r="BG1760" s="49"/>
    </row>
    <row r="1761" spans="59:59" ht="12" customHeight="1">
      <c r="BG1761" s="49"/>
    </row>
    <row r="1762" spans="59:59" ht="12" customHeight="1">
      <c r="BG1762" s="49"/>
    </row>
    <row r="1763" spans="59:59" ht="12" customHeight="1">
      <c r="BG1763" s="49"/>
    </row>
    <row r="1764" spans="59:59" ht="12" customHeight="1">
      <c r="BG1764" s="49"/>
    </row>
    <row r="1765" spans="59:59" ht="12" customHeight="1">
      <c r="BG1765" s="49"/>
    </row>
    <row r="1766" spans="59:59" ht="12" customHeight="1">
      <c r="BG1766" s="49"/>
    </row>
    <row r="1767" spans="59:59" ht="12" customHeight="1">
      <c r="BG1767" s="49"/>
    </row>
    <row r="1768" spans="59:59" ht="12" customHeight="1">
      <c r="BG1768" s="49"/>
    </row>
    <row r="1769" spans="59:59" ht="12" customHeight="1">
      <c r="BG1769" s="49"/>
    </row>
    <row r="1770" spans="59:59" ht="12" customHeight="1">
      <c r="BG1770" s="49"/>
    </row>
    <row r="1771" spans="59:59" ht="12" customHeight="1">
      <c r="BG1771" s="49"/>
    </row>
    <row r="1772" spans="59:59" ht="12" customHeight="1">
      <c r="BG1772" s="49"/>
    </row>
    <row r="1773" spans="59:59" ht="12" customHeight="1">
      <c r="BG1773" s="49"/>
    </row>
    <row r="1774" spans="59:59" ht="12" customHeight="1">
      <c r="BG1774" s="49"/>
    </row>
    <row r="1775" spans="59:59" ht="12" customHeight="1">
      <c r="BG1775" s="49"/>
    </row>
    <row r="1776" spans="59:59" ht="12" customHeight="1">
      <c r="BG1776" s="49"/>
    </row>
    <row r="1777" spans="59:59" ht="12" customHeight="1">
      <c r="BG1777" s="49"/>
    </row>
    <row r="1778" spans="59:59" ht="12" customHeight="1">
      <c r="BG1778" s="49"/>
    </row>
    <row r="1779" spans="59:59" ht="12" customHeight="1">
      <c r="BG1779" s="49"/>
    </row>
    <row r="1780" spans="59:59" ht="12" customHeight="1">
      <c r="BG1780" s="49"/>
    </row>
    <row r="1781" spans="59:59" ht="12" customHeight="1">
      <c r="BG1781" s="49"/>
    </row>
    <row r="1782" spans="59:59" ht="12" customHeight="1">
      <c r="BG1782" s="49"/>
    </row>
    <row r="1783" spans="59:59" ht="12" customHeight="1">
      <c r="BG1783" s="49"/>
    </row>
    <row r="1784" spans="59:59" ht="12" customHeight="1">
      <c r="BG1784" s="49"/>
    </row>
    <row r="1785" spans="59:59" ht="12" customHeight="1">
      <c r="BG1785" s="49"/>
    </row>
    <row r="1786" spans="59:59" ht="12" customHeight="1">
      <c r="BG1786" s="49"/>
    </row>
    <row r="1787" spans="59:59" ht="12" customHeight="1">
      <c r="BG1787" s="49"/>
    </row>
    <row r="1788" spans="59:59" ht="12" customHeight="1">
      <c r="BG1788" s="49"/>
    </row>
    <row r="1789" spans="59:59" ht="12" customHeight="1">
      <c r="BG1789" s="49"/>
    </row>
    <row r="1790" spans="59:59" ht="12" customHeight="1">
      <c r="BG1790" s="49"/>
    </row>
    <row r="1791" spans="59:59" ht="12" customHeight="1">
      <c r="BG1791" s="49"/>
    </row>
    <row r="1792" spans="59:59" ht="12" customHeight="1">
      <c r="BG1792" s="49"/>
    </row>
    <row r="1793" spans="59:59" ht="12" customHeight="1">
      <c r="BG1793" s="49"/>
    </row>
    <row r="1794" spans="59:59" ht="12" customHeight="1">
      <c r="BG1794" s="49"/>
    </row>
    <row r="1795" spans="59:59" ht="12" customHeight="1">
      <c r="BG1795" s="49"/>
    </row>
    <row r="1796" spans="59:59" ht="12" customHeight="1">
      <c r="BG1796" s="49"/>
    </row>
    <row r="1797" spans="59:59" ht="12" customHeight="1">
      <c r="BG1797" s="49"/>
    </row>
    <row r="1798" spans="59:59" ht="12" customHeight="1">
      <c r="BG1798" s="49"/>
    </row>
    <row r="1799" spans="59:59" ht="12" customHeight="1">
      <c r="BG1799" s="49"/>
    </row>
    <row r="1800" spans="59:59" ht="12" customHeight="1">
      <c r="BG1800" s="49"/>
    </row>
    <row r="1801" spans="59:59" ht="12" customHeight="1">
      <c r="BG1801" s="49"/>
    </row>
    <row r="1802" spans="59:59" ht="12" customHeight="1">
      <c r="BG1802" s="49"/>
    </row>
    <row r="1803" spans="59:59" ht="12" customHeight="1">
      <c r="BG1803" s="49"/>
    </row>
    <row r="1804" spans="59:59" ht="12" customHeight="1">
      <c r="BG1804" s="49"/>
    </row>
    <row r="1805" spans="59:59" ht="12" customHeight="1">
      <c r="BG1805" s="49"/>
    </row>
    <row r="1806" spans="59:59" ht="12" customHeight="1">
      <c r="BG1806" s="49"/>
    </row>
    <row r="1807" spans="59:59" ht="12" customHeight="1">
      <c r="BG1807" s="49"/>
    </row>
    <row r="1808" spans="59:59" ht="12" customHeight="1">
      <c r="BG1808" s="49"/>
    </row>
    <row r="1809" spans="59:59" ht="12" customHeight="1">
      <c r="BG1809" s="49"/>
    </row>
    <row r="1810" spans="59:59" ht="12" customHeight="1">
      <c r="BG1810" s="49"/>
    </row>
    <row r="1811" spans="59:59" ht="12" customHeight="1">
      <c r="BG1811" s="49"/>
    </row>
    <row r="1812" spans="59:59" ht="12" customHeight="1">
      <c r="BG1812" s="49"/>
    </row>
    <row r="1813" spans="59:59" ht="12" customHeight="1">
      <c r="BG1813" s="49"/>
    </row>
    <row r="1814" spans="59:59" ht="12" customHeight="1">
      <c r="BG1814" s="49"/>
    </row>
    <row r="1815" spans="59:59" ht="12" customHeight="1">
      <c r="BG1815" s="49"/>
    </row>
    <row r="1816" spans="59:59" ht="12" customHeight="1">
      <c r="BG1816" s="49"/>
    </row>
    <row r="1817" spans="59:59" ht="12" customHeight="1">
      <c r="BG1817" s="49"/>
    </row>
    <row r="1818" spans="59:59" ht="12" customHeight="1">
      <c r="BG1818" s="49"/>
    </row>
    <row r="1819" spans="59:59" ht="12" customHeight="1">
      <c r="BG1819" s="49"/>
    </row>
    <row r="1820" spans="59:59" ht="12" customHeight="1">
      <c r="BG1820" s="49"/>
    </row>
    <row r="1821" spans="59:59" ht="12" customHeight="1">
      <c r="BG1821" s="49"/>
    </row>
    <row r="1822" spans="59:59" ht="12" customHeight="1">
      <c r="BG1822" s="49"/>
    </row>
    <row r="1823" spans="59:59" ht="12" customHeight="1">
      <c r="BG1823" s="49"/>
    </row>
    <row r="1824" spans="59:59" ht="12" customHeight="1">
      <c r="BG1824" s="49"/>
    </row>
    <row r="1825" spans="59:59" ht="12" customHeight="1">
      <c r="BG1825" s="49"/>
    </row>
    <row r="1826" spans="59:59" ht="12" customHeight="1">
      <c r="BG1826" s="49"/>
    </row>
    <row r="1827" spans="59:59" ht="12" customHeight="1">
      <c r="BG1827" s="49"/>
    </row>
    <row r="1828" spans="59:59" ht="12" customHeight="1">
      <c r="BG1828" s="49"/>
    </row>
    <row r="1829" spans="59:59" ht="12" customHeight="1">
      <c r="BG1829" s="49"/>
    </row>
    <row r="1830" spans="59:59" ht="12" customHeight="1">
      <c r="BG1830" s="49"/>
    </row>
    <row r="1831" spans="59:59" ht="12" customHeight="1">
      <c r="BG1831" s="49"/>
    </row>
    <row r="1832" spans="59:59" ht="12" customHeight="1">
      <c r="BG1832" s="49"/>
    </row>
    <row r="1833" spans="59:59" ht="12" customHeight="1">
      <c r="BG1833" s="49"/>
    </row>
    <row r="1834" spans="59:59" ht="12" customHeight="1">
      <c r="BG1834" s="49"/>
    </row>
    <row r="1835" spans="59:59" ht="12" customHeight="1">
      <c r="BG1835" s="49"/>
    </row>
    <row r="1836" spans="59:59" ht="12" customHeight="1">
      <c r="BG1836" s="49"/>
    </row>
    <row r="1837" spans="59:59" ht="12" customHeight="1">
      <c r="BG1837" s="49"/>
    </row>
    <row r="1838" spans="59:59" ht="12" customHeight="1">
      <c r="BG1838" s="49"/>
    </row>
    <row r="1839" spans="59:59" ht="12" customHeight="1">
      <c r="BG1839" s="49"/>
    </row>
    <row r="1840" spans="59:59" ht="12" customHeight="1">
      <c r="BG1840" s="49"/>
    </row>
    <row r="1841" spans="59:59" ht="12" customHeight="1">
      <c r="BG1841" s="49"/>
    </row>
    <row r="1842" spans="59:59" ht="12" customHeight="1">
      <c r="BG1842" s="49"/>
    </row>
    <row r="1843" spans="59:59" ht="12" customHeight="1">
      <c r="BG1843" s="49"/>
    </row>
    <row r="1844" spans="59:59" ht="12" customHeight="1">
      <c r="BG1844" s="49"/>
    </row>
    <row r="1845" spans="59:59" ht="12" customHeight="1">
      <c r="BG1845" s="49"/>
    </row>
    <row r="1846" spans="59:59" ht="12" customHeight="1">
      <c r="BG1846" s="49"/>
    </row>
    <row r="1847" spans="59:59" ht="12" customHeight="1">
      <c r="BG1847" s="49"/>
    </row>
    <row r="1848" spans="59:59" ht="12" customHeight="1">
      <c r="BG1848" s="49"/>
    </row>
    <row r="1849" spans="59:59" ht="12" customHeight="1">
      <c r="BG1849" s="49"/>
    </row>
    <row r="1850" spans="59:59" ht="12" customHeight="1">
      <c r="BG1850" s="49"/>
    </row>
    <row r="1851" spans="59:59" ht="12" customHeight="1">
      <c r="BG1851" s="49"/>
    </row>
    <row r="1852" spans="59:59" ht="12" customHeight="1">
      <c r="BG1852" s="49"/>
    </row>
    <row r="1853" spans="59:59" ht="12" customHeight="1">
      <c r="BG1853" s="49"/>
    </row>
    <row r="1854" spans="59:59" ht="12" customHeight="1">
      <c r="BG1854" s="49"/>
    </row>
    <row r="1855" spans="59:59" ht="12" customHeight="1">
      <c r="BG1855" s="49"/>
    </row>
    <row r="1856" spans="59:59" ht="12" customHeight="1">
      <c r="BG1856" s="49"/>
    </row>
    <row r="1857" spans="59:59" ht="12" customHeight="1">
      <c r="BG1857" s="49"/>
    </row>
    <row r="1858" spans="59:59" ht="12" customHeight="1">
      <c r="BG1858" s="49"/>
    </row>
    <row r="1859" spans="59:59" ht="12" customHeight="1">
      <c r="BG1859" s="49"/>
    </row>
    <row r="1860" spans="59:59" ht="12" customHeight="1">
      <c r="BG1860" s="49"/>
    </row>
    <row r="1861" spans="59:59" ht="12" customHeight="1">
      <c r="BG1861" s="49"/>
    </row>
    <row r="1862" spans="59:59" ht="12" customHeight="1">
      <c r="BG1862" s="49"/>
    </row>
    <row r="1863" spans="59:59" ht="12" customHeight="1">
      <c r="BG1863" s="49"/>
    </row>
    <row r="1864" spans="59:59" ht="12" customHeight="1">
      <c r="BG1864" s="49"/>
    </row>
    <row r="1865" spans="59:59" ht="12" customHeight="1">
      <c r="BG1865" s="49"/>
    </row>
    <row r="1866" spans="59:59" ht="12" customHeight="1">
      <c r="BG1866" s="49"/>
    </row>
    <row r="1867" spans="59:59" ht="12" customHeight="1">
      <c r="BG1867" s="49"/>
    </row>
    <row r="1868" spans="59:59" ht="12" customHeight="1">
      <c r="BG1868" s="49"/>
    </row>
    <row r="1869" spans="59:59" ht="12" customHeight="1">
      <c r="BG1869" s="49"/>
    </row>
    <row r="1870" spans="59:59" ht="12" customHeight="1">
      <c r="BG1870" s="49"/>
    </row>
    <row r="1871" spans="59:59" ht="12" customHeight="1">
      <c r="BG1871" s="49"/>
    </row>
    <row r="1872" spans="59:59" ht="12" customHeight="1">
      <c r="BG1872" s="49"/>
    </row>
    <row r="1873" spans="59:59" ht="12" customHeight="1">
      <c r="BG1873" s="49"/>
    </row>
    <row r="1874" spans="59:59" ht="12" customHeight="1">
      <c r="BG1874" s="49"/>
    </row>
    <row r="1875" spans="59:59" ht="12" customHeight="1">
      <c r="BG1875" s="49"/>
    </row>
    <row r="1876" spans="59:59" ht="12" customHeight="1">
      <c r="BG1876" s="49"/>
    </row>
    <row r="1877" spans="59:59" ht="12" customHeight="1">
      <c r="BG1877" s="49"/>
    </row>
    <row r="1878" spans="59:59" ht="12" customHeight="1">
      <c r="BG1878" s="49"/>
    </row>
    <row r="1879" spans="59:59" ht="12" customHeight="1">
      <c r="BG1879" s="49"/>
    </row>
    <row r="1880" spans="59:59" ht="12" customHeight="1">
      <c r="BG1880" s="49"/>
    </row>
    <row r="1881" spans="59:59" ht="12" customHeight="1">
      <c r="BG1881" s="49"/>
    </row>
    <row r="1882" spans="59:59" ht="12" customHeight="1">
      <c r="BG1882" s="49"/>
    </row>
    <row r="1883" spans="59:59" ht="12" customHeight="1">
      <c r="BG1883" s="49"/>
    </row>
    <row r="1884" spans="59:59" ht="12" customHeight="1">
      <c r="BG1884" s="49"/>
    </row>
    <row r="1885" spans="59:59" ht="12" customHeight="1">
      <c r="BG1885" s="49"/>
    </row>
    <row r="1886" spans="59:59" ht="12" customHeight="1">
      <c r="BG1886" s="49"/>
    </row>
    <row r="1887" spans="59:59" ht="12" customHeight="1">
      <c r="BG1887" s="49"/>
    </row>
    <row r="1888" spans="59:59" ht="12" customHeight="1">
      <c r="BG1888" s="49"/>
    </row>
    <row r="1889" spans="59:59" ht="12" customHeight="1">
      <c r="BG1889" s="49"/>
    </row>
    <row r="1890" spans="59:59" ht="12" customHeight="1">
      <c r="BG1890" s="49"/>
    </row>
    <row r="1891" spans="59:59" ht="12" customHeight="1">
      <c r="BG1891" s="49"/>
    </row>
    <row r="1892" spans="59:59" ht="12" customHeight="1">
      <c r="BG1892" s="49"/>
    </row>
    <row r="1893" spans="59:59" ht="12" customHeight="1">
      <c r="BG1893" s="49"/>
    </row>
    <row r="1894" spans="59:59" ht="12" customHeight="1">
      <c r="BG1894" s="49"/>
    </row>
    <row r="1895" spans="59:59" ht="12" customHeight="1">
      <c r="BG1895" s="49"/>
    </row>
    <row r="1896" spans="59:59" ht="12" customHeight="1">
      <c r="BG1896" s="49"/>
    </row>
    <row r="1897" spans="59:59" ht="12" customHeight="1">
      <c r="BG1897" s="49"/>
    </row>
    <row r="1898" spans="59:59" ht="12" customHeight="1">
      <c r="BG1898" s="49"/>
    </row>
    <row r="1899" spans="59:59" ht="12" customHeight="1">
      <c r="BG1899" s="49"/>
    </row>
    <row r="1900" spans="59:59" ht="12" customHeight="1">
      <c r="BG1900" s="49"/>
    </row>
    <row r="1901" spans="59:59" ht="12" customHeight="1">
      <c r="BG1901" s="49"/>
    </row>
    <row r="1902" spans="59:59" ht="12" customHeight="1">
      <c r="BG1902" s="49"/>
    </row>
    <row r="1903" spans="59:59" ht="12" customHeight="1">
      <c r="BG1903" s="49"/>
    </row>
    <row r="1904" spans="59:59" ht="12" customHeight="1">
      <c r="BG1904" s="49"/>
    </row>
    <row r="1905" spans="59:59" ht="12" customHeight="1">
      <c r="BG1905" s="49"/>
    </row>
    <row r="1906" spans="59:59" ht="12" customHeight="1">
      <c r="BG1906" s="49"/>
    </row>
    <row r="1907" spans="59:59" ht="12" customHeight="1">
      <c r="BG1907" s="49"/>
    </row>
    <row r="1908" spans="59:59" ht="12" customHeight="1">
      <c r="BG1908" s="49"/>
    </row>
    <row r="1909" spans="59:59" ht="12" customHeight="1">
      <c r="BG1909" s="49"/>
    </row>
    <row r="1910" spans="59:59" ht="12" customHeight="1">
      <c r="BG1910" s="49"/>
    </row>
    <row r="1911" spans="59:59" ht="12" customHeight="1">
      <c r="BG1911" s="49"/>
    </row>
    <row r="1912" spans="59:59" ht="12" customHeight="1">
      <c r="BG1912" s="49"/>
    </row>
    <row r="1913" spans="59:59" ht="12" customHeight="1">
      <c r="BG1913" s="49"/>
    </row>
    <row r="1914" spans="59:59" ht="12" customHeight="1">
      <c r="BG1914" s="49"/>
    </row>
    <row r="1915" spans="59:59" ht="12" customHeight="1">
      <c r="BG1915" s="49"/>
    </row>
    <row r="1916" spans="59:59" ht="12" customHeight="1">
      <c r="BG1916" s="49"/>
    </row>
    <row r="1917" spans="59:59" ht="12" customHeight="1">
      <c r="BG1917" s="49"/>
    </row>
    <row r="1918" spans="59:59" ht="12" customHeight="1">
      <c r="BG1918" s="49"/>
    </row>
    <row r="1919" spans="59:59" ht="12" customHeight="1">
      <c r="BG1919" s="49"/>
    </row>
    <row r="1920" spans="59:59" ht="12" customHeight="1">
      <c r="BG1920" s="49"/>
    </row>
    <row r="1921" spans="59:59" ht="12" customHeight="1">
      <c r="BG1921" s="49"/>
    </row>
    <row r="1922" spans="59:59" ht="12" customHeight="1">
      <c r="BG1922" s="49"/>
    </row>
    <row r="1923" spans="59:59" ht="12" customHeight="1">
      <c r="BG1923" s="49"/>
    </row>
    <row r="1924" spans="59:59" ht="12" customHeight="1">
      <c r="BG1924" s="49"/>
    </row>
    <row r="1925" spans="59:59" ht="12" customHeight="1">
      <c r="BG1925" s="49"/>
    </row>
    <row r="1926" spans="59:59" ht="12" customHeight="1">
      <c r="BG1926" s="49"/>
    </row>
    <row r="1927" spans="59:59" ht="12" customHeight="1">
      <c r="BG1927" s="49"/>
    </row>
    <row r="1928" spans="59:59" ht="12" customHeight="1">
      <c r="BG1928" s="49"/>
    </row>
    <row r="1929" spans="59:59" ht="12" customHeight="1">
      <c r="BG1929" s="49"/>
    </row>
    <row r="1930" spans="59:59" ht="12" customHeight="1">
      <c r="BG1930" s="49"/>
    </row>
    <row r="1931" spans="59:59" ht="12" customHeight="1">
      <c r="BG1931" s="49"/>
    </row>
    <row r="1932" spans="59:59" ht="12" customHeight="1">
      <c r="BG1932" s="49"/>
    </row>
    <row r="1933" spans="59:59" ht="12" customHeight="1">
      <c r="BG1933" s="49"/>
    </row>
    <row r="1934" spans="59:59" ht="12" customHeight="1">
      <c r="BG1934" s="49"/>
    </row>
    <row r="1935" spans="59:59" ht="12" customHeight="1">
      <c r="BG1935" s="49"/>
    </row>
    <row r="1936" spans="59:59" ht="12" customHeight="1">
      <c r="BG1936" s="49"/>
    </row>
    <row r="1937" spans="59:59" ht="12" customHeight="1">
      <c r="BG1937" s="49"/>
    </row>
    <row r="1938" spans="59:59" ht="12" customHeight="1">
      <c r="BG1938" s="49"/>
    </row>
    <row r="1939" spans="59:59" ht="12" customHeight="1">
      <c r="BG1939" s="49"/>
    </row>
    <row r="1940" spans="59:59" ht="12" customHeight="1">
      <c r="BG1940" s="49"/>
    </row>
    <row r="1941" spans="59:59" ht="12" customHeight="1">
      <c r="BG1941" s="49"/>
    </row>
    <row r="1942" spans="59:59" ht="12" customHeight="1">
      <c r="BG1942" s="49"/>
    </row>
    <row r="1943" spans="59:59" ht="12" customHeight="1">
      <c r="BG1943" s="49"/>
    </row>
    <row r="1944" spans="59:59" ht="12" customHeight="1">
      <c r="BG1944" s="49"/>
    </row>
    <row r="1945" spans="59:59" ht="12" customHeight="1">
      <c r="BG1945" s="49"/>
    </row>
    <row r="1946" spans="59:59" ht="12" customHeight="1">
      <c r="BG1946" s="49"/>
    </row>
    <row r="1947" spans="59:59" ht="12" customHeight="1">
      <c r="BG1947" s="49"/>
    </row>
    <row r="1948" spans="59:59" ht="12" customHeight="1">
      <c r="BG1948" s="49"/>
    </row>
    <row r="1949" spans="59:59" ht="12" customHeight="1">
      <c r="BG1949" s="49"/>
    </row>
    <row r="1950" spans="59:59" ht="12" customHeight="1">
      <c r="BG1950" s="49"/>
    </row>
    <row r="1951" spans="59:59" ht="12" customHeight="1">
      <c r="BG1951" s="49"/>
    </row>
    <row r="1952" spans="59:59" ht="12" customHeight="1">
      <c r="BG1952" s="49"/>
    </row>
    <row r="1953" spans="59:59" ht="12" customHeight="1">
      <c r="BG1953" s="49"/>
    </row>
    <row r="1954" spans="59:59" ht="12" customHeight="1">
      <c r="BG1954" s="49"/>
    </row>
    <row r="1955" spans="59:59" ht="12" customHeight="1">
      <c r="BG1955" s="49"/>
    </row>
    <row r="1956" spans="59:59" ht="12" customHeight="1">
      <c r="BG1956" s="49"/>
    </row>
    <row r="1957" spans="59:59" ht="12" customHeight="1">
      <c r="BG1957" s="49"/>
    </row>
    <row r="1958" spans="59:59" ht="12" customHeight="1">
      <c r="BG1958" s="49"/>
    </row>
    <row r="1959" spans="59:59" ht="12" customHeight="1">
      <c r="BG1959" s="49"/>
    </row>
    <row r="1960" spans="59:59" ht="12" customHeight="1">
      <c r="BG1960" s="49"/>
    </row>
    <row r="1961" spans="59:59" ht="12" customHeight="1">
      <c r="BG1961" s="49"/>
    </row>
    <row r="1962" spans="59:59" ht="12" customHeight="1">
      <c r="BG1962" s="49"/>
    </row>
    <row r="1963" spans="59:59" ht="12" customHeight="1">
      <c r="BG1963" s="49"/>
    </row>
    <row r="1964" spans="59:59" ht="12" customHeight="1">
      <c r="BG1964" s="49"/>
    </row>
    <row r="1965" spans="59:59" ht="12" customHeight="1">
      <c r="BG1965" s="49"/>
    </row>
    <row r="1966" spans="59:59" ht="12" customHeight="1">
      <c r="BG1966" s="49"/>
    </row>
    <row r="1967" spans="59:59" ht="12" customHeight="1">
      <c r="BG1967" s="49"/>
    </row>
    <row r="1968" spans="59:59" ht="12" customHeight="1">
      <c r="BG1968" s="49"/>
    </row>
    <row r="1969" spans="59:59" ht="12" customHeight="1">
      <c r="BG1969" s="49"/>
    </row>
    <row r="1970" spans="59:59" ht="12" customHeight="1">
      <c r="BG1970" s="49"/>
    </row>
    <row r="1971" spans="59:59" ht="12" customHeight="1">
      <c r="BG1971" s="49"/>
    </row>
    <row r="1972" spans="59:59" ht="12" customHeight="1">
      <c r="BG1972" s="49"/>
    </row>
    <row r="1973" spans="59:59" ht="12" customHeight="1">
      <c r="BG1973" s="49"/>
    </row>
    <row r="1974" spans="59:59" ht="12" customHeight="1">
      <c r="BG1974" s="49"/>
    </row>
    <row r="1975" spans="59:59" ht="12" customHeight="1">
      <c r="BG1975" s="49"/>
    </row>
    <row r="1976" spans="59:59" ht="12" customHeight="1">
      <c r="BG1976" s="49"/>
    </row>
    <row r="1977" spans="59:59" ht="12" customHeight="1">
      <c r="BG1977" s="49"/>
    </row>
    <row r="1978" spans="59:59" ht="12" customHeight="1">
      <c r="BG1978" s="49"/>
    </row>
    <row r="1979" spans="59:59" ht="12" customHeight="1">
      <c r="BG1979" s="49"/>
    </row>
    <row r="1980" spans="59:59" ht="12" customHeight="1">
      <c r="BG1980" s="49"/>
    </row>
    <row r="1981" spans="59:59" ht="12" customHeight="1">
      <c r="BG1981" s="49"/>
    </row>
    <row r="1982" spans="59:59" ht="12" customHeight="1">
      <c r="BG1982" s="49"/>
    </row>
    <row r="1983" spans="59:59" ht="12" customHeight="1">
      <c r="BG1983" s="49"/>
    </row>
    <row r="1984" spans="59:59" ht="12" customHeight="1">
      <c r="BG1984" s="49"/>
    </row>
    <row r="1985" spans="59:59" ht="12" customHeight="1">
      <c r="BG1985" s="49"/>
    </row>
    <row r="1986" spans="59:59" ht="12" customHeight="1">
      <c r="BG1986" s="49"/>
    </row>
    <row r="1987" spans="59:59" ht="12" customHeight="1">
      <c r="BG1987" s="49"/>
    </row>
    <row r="1988" spans="59:59" ht="12" customHeight="1">
      <c r="BG1988" s="49"/>
    </row>
    <row r="1989" spans="59:59" ht="12" customHeight="1">
      <c r="BG1989" s="49"/>
    </row>
    <row r="1990" spans="59:59" ht="12" customHeight="1">
      <c r="BG1990" s="49"/>
    </row>
    <row r="1991" spans="59:59" ht="12" customHeight="1">
      <c r="BG1991" s="49"/>
    </row>
    <row r="1992" spans="59:59" ht="12" customHeight="1">
      <c r="BG1992" s="49"/>
    </row>
    <row r="1993" spans="59:59" ht="12" customHeight="1">
      <c r="BG1993" s="49"/>
    </row>
    <row r="1994" spans="59:59" ht="12" customHeight="1">
      <c r="BG1994" s="49"/>
    </row>
    <row r="1995" spans="59:59" ht="12" customHeight="1">
      <c r="BG1995" s="49"/>
    </row>
    <row r="1996" spans="59:59" ht="12" customHeight="1">
      <c r="BG1996" s="49"/>
    </row>
    <row r="1997" spans="59:59" ht="12" customHeight="1">
      <c r="BG1997" s="49"/>
    </row>
    <row r="1998" spans="59:59" ht="12" customHeight="1">
      <c r="BG1998" s="49"/>
    </row>
    <row r="1999" spans="59:59" ht="12" customHeight="1">
      <c r="BG1999" s="49"/>
    </row>
    <row r="2000" spans="59:59" ht="12" customHeight="1">
      <c r="BG2000" s="49"/>
    </row>
  </sheetData>
  <sheetProtection sheet="1" objects="1" scenarios="1" selectLockedCells="1"/>
  <phoneticPr fontId="2" type="noConversion"/>
  <dataValidations count="4">
    <dataValidation type="whole" allowBlank="1" showInputMessage="1" showErrorMessage="1" errorTitle="Size of dataset" error="Min 4, max 1000" sqref="B1 B3">
      <formula1>4</formula1>
      <formula2>1000</formula2>
    </dataValidation>
    <dataValidation type="decimal" allowBlank="1" showInputMessage="1" showErrorMessage="1" errorTitle="Confidence level" error="Min=1, max=99.9" sqref="F18">
      <formula1>1</formula1>
      <formula2>99.9</formula2>
    </dataValidation>
    <dataValidation type="whole" operator="greaterThanOrEqual" allowBlank="1" showInputMessage="1" showErrorMessage="1" errorTitle="X" error="Must be an integer_x000a_Min = 0, max = N" sqref="F8">
      <formula1>0</formula1>
    </dataValidation>
    <dataValidation type="whole" operator="greaterThanOrEqual" allowBlank="1" showInputMessage="1" showErrorMessage="1" errorTitle="N" error="Must be an integer_x000a_Min = 2" sqref="F10">
      <formula1>2</formula1>
    </dataValidation>
  </dataValidations>
  <pageMargins left="0.75" right="0.75" top="1" bottom="1" header="0.5" footer="0.5"/>
  <pageSetup paperSize="9" orientation="portrait" horizontalDpi="300" verticalDpi="300" r:id="rId1"/>
  <headerFooter alignWithMargins="0"/>
  <drawing r:id="rId2"/>
  <legacyDrawing r:id="rId3"/>
  <oleObjects>
    <oleObject progId="PBrush" shapeId="794646" r:id="rId4"/>
  </oleObjects>
</worksheet>
</file>

<file path=xl/worksheets/sheet9.xml><?xml version="1.0" encoding="utf-8"?>
<worksheet xmlns="http://schemas.openxmlformats.org/spreadsheetml/2006/main" xmlns:r="http://schemas.openxmlformats.org/officeDocument/2006/relationships">
  <sheetPr codeName="Sheet5"/>
  <dimension ref="A1:CJ2000"/>
  <sheetViews>
    <sheetView showGridLines="0" showRowColHeaders="0" topLeftCell="D1" zoomScale="120" workbookViewId="0">
      <selection activeCell="AB2" sqref="AB2"/>
    </sheetView>
  </sheetViews>
  <sheetFormatPr defaultRowHeight="12" customHeight="1"/>
  <cols>
    <col min="1" max="1" width="17" style="43" hidden="1" customWidth="1"/>
    <col min="2" max="3" width="7.42578125" style="43" hidden="1" customWidth="1"/>
    <col min="4" max="4" width="0.42578125" style="43" customWidth="1"/>
    <col min="5" max="5" width="2.85546875" style="43" customWidth="1"/>
    <col min="6" max="6" width="6.5703125" style="43" customWidth="1"/>
    <col min="7" max="7" width="4.28515625" style="43" customWidth="1"/>
    <col min="8" max="8" width="6.28515625" style="43" customWidth="1"/>
    <col min="9" max="9" width="1.42578125" style="43" customWidth="1"/>
    <col min="10" max="10" width="6.28515625" style="43" customWidth="1"/>
    <col min="11" max="11" width="2" style="43" customWidth="1"/>
    <col min="12" max="12" width="1.7109375" style="50" customWidth="1"/>
    <col min="13" max="13" width="2.5703125" style="50" customWidth="1"/>
    <col min="14" max="14" width="1.42578125" style="50" customWidth="1"/>
    <col min="15" max="16" width="6.28515625" style="50" customWidth="1"/>
    <col min="17" max="17" width="1.42578125" style="50" customWidth="1"/>
    <col min="18" max="18" width="6.28515625" style="50" customWidth="1"/>
    <col min="19" max="19" width="1.7109375" style="50" customWidth="1"/>
    <col min="20" max="20" width="2.5703125" style="50" customWidth="1"/>
    <col min="21" max="21" width="1.42578125" style="50" customWidth="1"/>
    <col min="22" max="23" width="6.28515625" style="50" customWidth="1"/>
    <col min="24" max="24" width="1.42578125" style="50" customWidth="1"/>
    <col min="25" max="25" width="6.28515625" style="50" customWidth="1"/>
    <col min="26" max="26" width="1.7109375" style="50" customWidth="1"/>
    <col min="27" max="27" width="6.28515625" style="43" customWidth="1"/>
    <col min="28" max="33" width="9.140625" style="43"/>
    <col min="34" max="34" width="7" style="43" customWidth="1"/>
    <col min="35" max="35" width="7.28515625" style="43" customWidth="1"/>
    <col min="36" max="59" width="6.28515625" style="43" customWidth="1"/>
    <col min="60" max="67" width="7.7109375" style="43" customWidth="1"/>
    <col min="68" max="76" width="6.28515625" style="43" customWidth="1"/>
    <col min="77" max="77" width="7.85546875" style="913" customWidth="1"/>
    <col min="78" max="86" width="6.28515625" style="43" customWidth="1"/>
    <col min="87" max="87" width="6.85546875" style="43" customWidth="1"/>
    <col min="88" max="95" width="6.28515625" style="43" customWidth="1"/>
    <col min="96" max="16384" width="9.140625" style="43"/>
  </cols>
  <sheetData>
    <row r="1" spans="1:88" ht="12" customHeight="1">
      <c r="G1" s="799" t="s">
        <v>819</v>
      </c>
      <c r="T1" s="898">
        <v>3</v>
      </c>
      <c r="U1" s="899" t="s">
        <v>766</v>
      </c>
      <c r="V1" s="900"/>
      <c r="W1" s="900"/>
      <c r="X1" s="897"/>
      <c r="AA1" s="83">
        <f>($R$9+$Y$9+$O$9+$V$9+$V$3+$O$11+$V$11)/1000000</f>
        <v>4.558095238095238E-4</v>
      </c>
      <c r="AB1" s="83">
        <f t="shared" ref="AB1:AI1" si="0">$AA$1</f>
        <v>4.558095238095238E-4</v>
      </c>
      <c r="AC1" s="83">
        <f t="shared" si="0"/>
        <v>4.558095238095238E-4</v>
      </c>
      <c r="AD1" s="83">
        <f t="shared" si="0"/>
        <v>4.558095238095238E-4</v>
      </c>
      <c r="AE1" s="83">
        <f t="shared" si="0"/>
        <v>4.558095238095238E-4</v>
      </c>
      <c r="AF1" s="83">
        <f t="shared" si="0"/>
        <v>4.558095238095238E-4</v>
      </c>
      <c r="AG1" s="83">
        <f t="shared" si="0"/>
        <v>4.558095238095238E-4</v>
      </c>
      <c r="AH1" s="83">
        <f t="shared" si="0"/>
        <v>4.558095238095238E-4</v>
      </c>
      <c r="AI1" s="802">
        <f t="shared" si="0"/>
        <v>4.558095238095238E-4</v>
      </c>
      <c r="AJ1" s="83"/>
      <c r="AK1" s="83"/>
      <c r="AL1" s="83"/>
      <c r="AM1" s="83"/>
      <c r="AN1" s="83"/>
      <c r="AO1" s="83"/>
      <c r="AP1" s="83"/>
      <c r="AQ1" s="83"/>
      <c r="AR1" s="83"/>
      <c r="AS1" s="83"/>
      <c r="AT1" s="83"/>
      <c r="AU1" s="83"/>
      <c r="AV1" s="83"/>
      <c r="AW1" s="83"/>
      <c r="AX1" s="83"/>
      <c r="AY1" s="83"/>
      <c r="AZ1" s="83"/>
      <c r="BA1" s="83"/>
      <c r="BB1" s="83"/>
      <c r="BC1" s="83"/>
      <c r="BD1" s="83"/>
      <c r="BE1" s="83"/>
      <c r="BF1" s="83"/>
      <c r="BG1" s="83"/>
      <c r="BH1" s="1183" t="s">
        <v>788</v>
      </c>
      <c r="BI1" s="1184"/>
      <c r="BJ1" s="83"/>
      <c r="BK1" s="83"/>
      <c r="BL1" s="823" t="s">
        <v>949</v>
      </c>
      <c r="BM1" s="221" t="b">
        <f>AND(BN1,xxandnn)</f>
        <v>1</v>
      </c>
      <c r="BN1" s="1222" t="b">
        <v>1</v>
      </c>
      <c r="BO1" s="83"/>
      <c r="BP1" s="791"/>
      <c r="BQ1" s="805" t="s">
        <v>1248</v>
      </c>
      <c r="BR1" s="805"/>
      <c r="BS1" s="459"/>
      <c r="BT1" s="83"/>
      <c r="BU1" s="83"/>
      <c r="BV1" s="83"/>
      <c r="BW1" s="83"/>
      <c r="BX1" s="83"/>
      <c r="BY1" s="802"/>
      <c r="CH1" s="49"/>
      <c r="CI1" s="49"/>
      <c r="CJ1" s="49"/>
    </row>
    <row r="2" spans="1:88" ht="12.75" customHeight="1">
      <c r="B2" s="61"/>
      <c r="C2" s="61"/>
      <c r="G2" s="1194" t="s">
        <v>126</v>
      </c>
      <c r="T2" s="903"/>
      <c r="U2" s="906"/>
      <c r="V2" s="906"/>
      <c r="W2" s="906"/>
      <c r="X2" s="897"/>
      <c r="AA2" s="83">
        <f t="shared" ref="AA2:AA37" si="1">$AA$1</f>
        <v>4.558095238095238E-4</v>
      </c>
      <c r="AD2" s="53"/>
      <c r="AI2" s="802">
        <f t="shared" ref="AI2:AI37" si="2">$AA$1</f>
        <v>4.558095238095238E-4</v>
      </c>
      <c r="AJ2" s="83"/>
      <c r="AK2" s="83"/>
      <c r="AL2" s="83"/>
      <c r="AM2" s="83"/>
      <c r="AN2" s="83"/>
      <c r="AO2" s="83"/>
      <c r="AP2" s="83"/>
      <c r="AQ2" s="83"/>
      <c r="AR2" s="83"/>
      <c r="AS2" s="83"/>
      <c r="AT2" s="83"/>
      <c r="AU2" s="83"/>
      <c r="AV2" s="83"/>
      <c r="AW2" s="83"/>
      <c r="AX2" s="83"/>
      <c r="AY2" s="83"/>
      <c r="AZ2" s="83"/>
      <c r="BA2" s="83"/>
      <c r="BB2" s="83"/>
      <c r="BC2" s="83"/>
      <c r="BD2" s="83"/>
      <c r="BE2" s="83"/>
      <c r="BF2" s="83"/>
      <c r="BG2" s="83"/>
      <c r="BH2" s="1187" t="s">
        <v>789</v>
      </c>
      <c r="BI2" s="1188">
        <f>NORMSINV(0.5+V3/200)</f>
        <v>1.959963984540054</v>
      </c>
      <c r="BJ2" s="791" t="s">
        <v>760</v>
      </c>
      <c r="BK2" s="792"/>
      <c r="BL2" s="1223"/>
      <c r="BM2" s="1224" t="s">
        <v>848</v>
      </c>
      <c r="BN2" s="50" t="b">
        <f>OR(AND(forxa=0,forxb=0),AND(forxa=forna,forxb=fornb))</f>
        <v>0</v>
      </c>
      <c r="BP2" s="92">
        <v>1.9</v>
      </c>
      <c r="BQ2" s="48">
        <v>3.3</v>
      </c>
      <c r="BR2" s="48" t="e">
        <f t="shared" ref="BR2:BR40" si="3">IF(xxandnn,IF(AND($BM$1,BS2&lt;=$BM$4,BS2&gt;=$BM$5),BS2,NA()),NA())</f>
        <v>#N/A</v>
      </c>
      <c r="BS2" s="792">
        <f t="shared" ref="BS2:BS40" si="4">IF(xxandnn,$R$9+BP2,NA())</f>
        <v>2.2095238095238097</v>
      </c>
      <c r="BY2" s="802"/>
      <c r="CI2" s="49"/>
    </row>
    <row r="3" spans="1:88" ht="12.75" customHeight="1">
      <c r="A3" s="53" t="s">
        <v>782</v>
      </c>
      <c r="B3" s="50"/>
      <c r="C3" s="50"/>
      <c r="G3" s="43" t="s">
        <v>127</v>
      </c>
      <c r="T3" s="903"/>
      <c r="U3" s="1225" t="s">
        <v>746</v>
      </c>
      <c r="V3" s="931">
        <v>95</v>
      </c>
      <c r="W3" s="906"/>
      <c r="X3" s="897"/>
      <c r="AA3" s="83">
        <f t="shared" si="1"/>
        <v>4.558095238095238E-4</v>
      </c>
      <c r="AD3" s="53"/>
      <c r="AI3" s="802">
        <f t="shared" si="2"/>
        <v>4.558095238095238E-4</v>
      </c>
      <c r="AJ3" s="83"/>
      <c r="AK3" s="83"/>
      <c r="AL3" s="83"/>
      <c r="AM3" s="83"/>
      <c r="AN3" s="83"/>
      <c r="AO3" s="83"/>
      <c r="AP3" s="83"/>
      <c r="AQ3" s="83"/>
      <c r="AR3" s="83"/>
      <c r="AS3" s="83"/>
      <c r="AT3" s="83"/>
      <c r="AU3" s="83"/>
      <c r="AV3" s="83"/>
      <c r="AW3" s="83"/>
      <c r="AX3" s="83"/>
      <c r="AY3" s="83"/>
      <c r="AZ3" s="83"/>
      <c r="BA3" s="83"/>
      <c r="BB3" s="83"/>
      <c r="BD3" s="83"/>
      <c r="BE3" s="83"/>
      <c r="BF3" s="83"/>
      <c r="BG3" s="83"/>
      <c r="BH3" s="805">
        <v>1</v>
      </c>
      <c r="BI3" s="459">
        <f>IF(xxandnn,R9,NA())</f>
        <v>0.30952380952380953</v>
      </c>
      <c r="BJ3" s="1226">
        <f>IF(xxandnn,R21,NA())</f>
        <v>5.9580076371916202E-2</v>
      </c>
      <c r="BK3" s="1227">
        <f>Y21</f>
        <v>0.2007019918017876</v>
      </c>
      <c r="BL3" s="1223" t="s">
        <v>876</v>
      </c>
      <c r="BM3" s="1228" t="b">
        <v>0</v>
      </c>
      <c r="BN3" s="83"/>
      <c r="BP3" s="92">
        <v>1.8</v>
      </c>
      <c r="BQ3" s="48">
        <f t="shared" ref="BQ3:BQ40" si="5">BQ2</f>
        <v>3.3</v>
      </c>
      <c r="BR3" s="48" t="e">
        <f t="shared" si="3"/>
        <v>#N/A</v>
      </c>
      <c r="BS3" s="792">
        <f t="shared" si="4"/>
        <v>2.1095238095238096</v>
      </c>
      <c r="BY3" s="802"/>
      <c r="CI3" s="49"/>
    </row>
    <row r="4" spans="1:88" ht="12.75" customHeight="1">
      <c r="A4" s="53" t="s">
        <v>784</v>
      </c>
      <c r="B4" s="47"/>
      <c r="C4" s="47"/>
      <c r="G4" s="43" t="s">
        <v>104</v>
      </c>
      <c r="T4" s="908"/>
      <c r="U4" s="910"/>
      <c r="V4" s="1229"/>
      <c r="W4" s="910"/>
      <c r="X4" s="897"/>
      <c r="AA4" s="83">
        <f t="shared" si="1"/>
        <v>4.558095238095238E-4</v>
      </c>
      <c r="AI4" s="802">
        <f t="shared" si="2"/>
        <v>4.558095238095238E-4</v>
      </c>
      <c r="AJ4" s="83"/>
      <c r="AK4" s="83"/>
      <c r="AL4" s="83"/>
      <c r="AM4" s="83"/>
      <c r="AN4" s="83"/>
      <c r="AO4" s="83"/>
      <c r="AP4" s="83"/>
      <c r="AQ4" s="83"/>
      <c r="AR4" s="83"/>
      <c r="AS4" s="83"/>
      <c r="AT4" s="83"/>
      <c r="AU4" s="83"/>
      <c r="AV4" s="83"/>
      <c r="AW4" s="83"/>
      <c r="AX4" s="83"/>
      <c r="AY4" s="83"/>
      <c r="AZ4" s="83"/>
      <c r="BA4" s="83"/>
      <c r="BB4" s="83"/>
      <c r="BD4" s="83"/>
      <c r="BE4" s="83"/>
      <c r="BF4" s="83"/>
      <c r="BG4" s="83"/>
      <c r="BH4" s="454">
        <v>2</v>
      </c>
      <c r="BI4" s="829">
        <f>IF(xxandnn,Y9,NA())</f>
        <v>0.5</v>
      </c>
      <c r="BJ4" s="1230">
        <f>IF(xxandnn,P21,NA())</f>
        <v>5.3860077389657479E-2</v>
      </c>
      <c r="BK4" s="1231">
        <f>W21</f>
        <v>0.20070199180178766</v>
      </c>
      <c r="BL4" s="791" t="s">
        <v>1114</v>
      </c>
      <c r="BM4" s="1232">
        <f>MAX(R9,R9+BO32)+0.2</f>
        <v>0.90780326621500618</v>
      </c>
      <c r="BN4" s="83"/>
      <c r="BP4" s="92">
        <v>1.7</v>
      </c>
      <c r="BQ4" s="48">
        <f t="shared" si="5"/>
        <v>3.3</v>
      </c>
      <c r="BR4" s="48" t="e">
        <f t="shared" si="3"/>
        <v>#N/A</v>
      </c>
      <c r="BS4" s="792">
        <f t="shared" si="4"/>
        <v>2.0095238095238095</v>
      </c>
      <c r="BY4" s="802"/>
      <c r="CI4" s="49"/>
    </row>
    <row r="5" spans="1:88" ht="12" customHeight="1">
      <c r="A5" s="53" t="s">
        <v>785</v>
      </c>
      <c r="B5" s="47"/>
      <c r="C5" s="47"/>
      <c r="S5" s="1233"/>
      <c r="V5" s="170"/>
      <c r="Z5" s="896"/>
      <c r="AA5" s="83">
        <f t="shared" si="1"/>
        <v>4.558095238095238E-4</v>
      </c>
      <c r="AI5" s="802">
        <f t="shared" si="2"/>
        <v>4.558095238095238E-4</v>
      </c>
      <c r="AJ5" s="83"/>
      <c r="AK5" s="83"/>
      <c r="AL5" s="83"/>
      <c r="AM5" s="83"/>
      <c r="AN5" s="83"/>
      <c r="AO5" s="83"/>
      <c r="AP5" s="83"/>
      <c r="AQ5" s="83"/>
      <c r="AR5" s="83"/>
      <c r="AS5" s="83"/>
      <c r="AT5" s="83"/>
      <c r="AU5" s="83"/>
      <c r="AV5" s="83"/>
      <c r="AW5" s="83"/>
      <c r="AX5" s="83"/>
      <c r="AY5" s="83"/>
      <c r="AZ5" s="83"/>
      <c r="BA5" s="83"/>
      <c r="BB5" s="83"/>
      <c r="BC5" s="83"/>
      <c r="BD5" s="83"/>
      <c r="BE5" s="83"/>
      <c r="BF5" s="83"/>
      <c r="BG5" s="83"/>
      <c r="BH5" s="826" t="s">
        <v>951</v>
      </c>
      <c r="BJ5" s="83"/>
      <c r="BK5" s="83"/>
      <c r="BL5" s="826" t="s">
        <v>1115</v>
      </c>
      <c r="BM5" s="1234">
        <f>MIN(R9,R9+BN32)-0.2</f>
        <v>9.0641276719387154E-2</v>
      </c>
      <c r="BN5" s="83"/>
      <c r="BP5" s="92">
        <v>1.6</v>
      </c>
      <c r="BQ5" s="48">
        <f t="shared" si="5"/>
        <v>3.3</v>
      </c>
      <c r="BR5" s="48" t="e">
        <f t="shared" si="3"/>
        <v>#N/A</v>
      </c>
      <c r="BS5" s="792">
        <f t="shared" si="4"/>
        <v>1.9095238095238096</v>
      </c>
      <c r="BY5" s="802"/>
      <c r="CI5" s="49"/>
    </row>
    <row r="6" spans="1:88" ht="12" customHeight="1">
      <c r="A6" s="53"/>
      <c r="B6" s="53"/>
      <c r="E6" s="833">
        <v>6</v>
      </c>
      <c r="F6" s="1235" t="s">
        <v>128</v>
      </c>
      <c r="G6" s="133"/>
      <c r="H6" s="133"/>
      <c r="I6" s="133"/>
      <c r="J6" s="133"/>
      <c r="K6" s="835"/>
      <c r="M6" s="1095">
        <v>1</v>
      </c>
      <c r="N6" s="1176" t="s">
        <v>129</v>
      </c>
      <c r="O6" s="1177"/>
      <c r="P6" s="1177"/>
      <c r="Q6" s="1177"/>
      <c r="R6" s="1177"/>
      <c r="S6" s="1236"/>
      <c r="T6" s="1237">
        <v>2</v>
      </c>
      <c r="U6" s="1176" t="s">
        <v>130</v>
      </c>
      <c r="V6" s="1238"/>
      <c r="W6" s="1177"/>
      <c r="X6" s="1177"/>
      <c r="Y6" s="1177"/>
      <c r="Z6" s="1236"/>
      <c r="AA6" s="83">
        <f t="shared" si="1"/>
        <v>4.558095238095238E-4</v>
      </c>
      <c r="AI6" s="802">
        <f t="shared" si="2"/>
        <v>4.558095238095238E-4</v>
      </c>
      <c r="AJ6" s="83"/>
      <c r="AK6" s="83"/>
      <c r="AL6" s="83"/>
      <c r="AM6" s="83"/>
      <c r="AN6" s="83"/>
      <c r="AO6" s="83"/>
      <c r="AP6" s="83"/>
      <c r="AQ6" s="83"/>
      <c r="AR6" s="83"/>
      <c r="AS6" s="83"/>
      <c r="AT6" s="83"/>
      <c r="AU6" s="83"/>
      <c r="AV6" s="83"/>
      <c r="AW6" s="83"/>
      <c r="AX6" s="83"/>
      <c r="AY6" s="83"/>
      <c r="AZ6" s="83"/>
      <c r="BA6" s="83"/>
      <c r="BB6" s="83"/>
      <c r="BC6" s="83"/>
      <c r="BD6" s="83"/>
      <c r="BE6" s="83"/>
      <c r="BF6" s="83"/>
      <c r="BG6" s="83"/>
      <c r="BH6" s="791">
        <f>BH3</f>
        <v>1</v>
      </c>
      <c r="BI6" s="459">
        <f>IF(BM1,R9,NA())</f>
        <v>0.30952380952380953</v>
      </c>
      <c r="BJ6" s="83"/>
      <c r="BK6" s="83"/>
      <c r="BL6" s="791" t="s">
        <v>952</v>
      </c>
      <c r="BM6" s="459"/>
      <c r="BN6" s="83"/>
      <c r="BP6" s="92">
        <v>1.5</v>
      </c>
      <c r="BQ6" s="48">
        <f t="shared" si="5"/>
        <v>3.3</v>
      </c>
      <c r="BR6" s="48" t="e">
        <f t="shared" si="3"/>
        <v>#N/A</v>
      </c>
      <c r="BS6" s="792">
        <f t="shared" si="4"/>
        <v>1.8095238095238095</v>
      </c>
      <c r="BY6" s="802"/>
      <c r="CI6" s="49"/>
    </row>
    <row r="7" spans="1:88" ht="16.5" customHeight="1">
      <c r="B7" s="53" t="s">
        <v>816</v>
      </c>
      <c r="C7" s="43" t="b">
        <f>AND(ISNUMBER(O9),ISNUMBER(O11),ISNUMBER(V9),ISNUMBER(V11),O9&gt;=0,V9&gt;=0,O11&gt;=2,V11&gt;=2,O9&lt;=O11,V9&lt;=V11)</f>
        <v>1</v>
      </c>
      <c r="E7" s="137"/>
      <c r="F7" s="383" t="s">
        <v>768</v>
      </c>
      <c r="G7" s="383"/>
      <c r="H7" s="383"/>
      <c r="I7" s="383"/>
      <c r="J7" s="383"/>
      <c r="K7" s="134"/>
      <c r="M7" s="1180"/>
      <c r="N7" s="1181"/>
      <c r="O7" s="1181"/>
      <c r="P7" s="1239" t="s">
        <v>131</v>
      </c>
      <c r="Q7" s="1181"/>
      <c r="R7" s="1181"/>
      <c r="S7" s="1178"/>
      <c r="T7" s="1181"/>
      <c r="U7" s="1181"/>
      <c r="V7" s="1137"/>
      <c r="W7" s="1239" t="s">
        <v>132</v>
      </c>
      <c r="X7" s="1181"/>
      <c r="Y7" s="1181"/>
      <c r="Z7" s="1178"/>
      <c r="AA7" s="83">
        <f t="shared" si="1"/>
        <v>4.558095238095238E-4</v>
      </c>
      <c r="AI7" s="802">
        <f t="shared" si="2"/>
        <v>4.558095238095238E-4</v>
      </c>
      <c r="AJ7" s="83"/>
      <c r="AK7" s="83"/>
      <c r="AL7" s="83"/>
      <c r="AM7" s="83"/>
      <c r="AN7" s="83"/>
      <c r="AO7" s="83"/>
      <c r="AP7" s="83"/>
      <c r="AQ7" s="83"/>
      <c r="AR7" s="83"/>
      <c r="AS7" s="83"/>
      <c r="AT7" s="83"/>
      <c r="AU7" s="83"/>
      <c r="AV7" s="83"/>
      <c r="AW7" s="83"/>
      <c r="AX7" s="83"/>
      <c r="AY7" s="83"/>
      <c r="AZ7" s="83"/>
      <c r="BA7" s="83"/>
      <c r="BB7" s="83"/>
      <c r="BC7" s="83"/>
      <c r="BD7" s="83"/>
      <c r="BE7" s="83"/>
      <c r="BF7" s="83"/>
      <c r="BG7" s="83"/>
      <c r="BH7" s="826">
        <f>BQ2</f>
        <v>3.3</v>
      </c>
      <c r="BI7" s="829">
        <f>IF($BM$1,R9,NA())</f>
        <v>0.30952380952380953</v>
      </c>
      <c r="BJ7" s="83"/>
      <c r="BK7" s="83"/>
      <c r="BL7" s="826">
        <v>3.65</v>
      </c>
      <c r="BM7" s="829">
        <f>IF($BM$1,R9,NA())</f>
        <v>0.30952380952380953</v>
      </c>
      <c r="BN7" s="83"/>
      <c r="BP7" s="92">
        <v>1.4</v>
      </c>
      <c r="BQ7" s="48">
        <f t="shared" si="5"/>
        <v>3.3</v>
      </c>
      <c r="BR7" s="48" t="e">
        <f t="shared" si="3"/>
        <v>#N/A</v>
      </c>
      <c r="BS7" s="792">
        <f t="shared" si="4"/>
        <v>1.7095238095238094</v>
      </c>
      <c r="BY7" s="802"/>
      <c r="CI7" s="49"/>
    </row>
    <row r="8" spans="1:88" ht="12.75" customHeight="1">
      <c r="A8" s="53"/>
      <c r="B8" s="53"/>
      <c r="E8" s="137"/>
      <c r="F8" s="383"/>
      <c r="G8" s="383"/>
      <c r="H8" s="383"/>
      <c r="I8" s="383"/>
      <c r="J8" s="383"/>
      <c r="K8" s="134"/>
      <c r="M8" s="1180"/>
      <c r="N8" s="1181"/>
      <c r="O8" s="1181"/>
      <c r="P8" s="1181"/>
      <c r="Q8" s="1181"/>
      <c r="R8" s="1181"/>
      <c r="S8" s="1178"/>
      <c r="T8" s="1181"/>
      <c r="U8" s="1181"/>
      <c r="V8" s="1181"/>
      <c r="W8" s="1181"/>
      <c r="X8" s="1181"/>
      <c r="Y8" s="1181"/>
      <c r="Z8" s="1181"/>
      <c r="AA8" s="83">
        <f t="shared" si="1"/>
        <v>4.558095238095238E-4</v>
      </c>
      <c r="AI8" s="802">
        <f t="shared" si="2"/>
        <v>4.558095238095238E-4</v>
      </c>
      <c r="AJ8" s="83"/>
      <c r="AK8" s="83"/>
      <c r="AL8" s="83"/>
      <c r="AM8" s="83"/>
      <c r="AN8" s="83"/>
      <c r="AO8" s="83"/>
      <c r="AP8" s="83"/>
      <c r="AQ8" s="83"/>
      <c r="AR8" s="83"/>
      <c r="AS8" s="83"/>
      <c r="AT8" s="83"/>
      <c r="AU8" s="83"/>
      <c r="AV8" s="83"/>
      <c r="AW8" s="83"/>
      <c r="AX8" s="83"/>
      <c r="AY8" s="83"/>
      <c r="AZ8" s="83"/>
      <c r="BA8" s="83"/>
      <c r="BB8" s="83"/>
      <c r="BC8" s="83"/>
      <c r="BD8" s="83"/>
      <c r="BE8" s="83"/>
      <c r="BF8" s="83"/>
      <c r="BG8" s="83"/>
      <c r="BH8" s="791">
        <f>BH4</f>
        <v>2</v>
      </c>
      <c r="BI8" s="459">
        <f>IF($BM$1,BI18,NA())</f>
        <v>0.5</v>
      </c>
      <c r="BJ8" s="83"/>
      <c r="BK8" s="83"/>
      <c r="BL8" s="791" t="s">
        <v>929</v>
      </c>
      <c r="BM8" s="805"/>
      <c r="BN8" s="83"/>
      <c r="BP8" s="92">
        <v>1.3</v>
      </c>
      <c r="BQ8" s="48">
        <f t="shared" si="5"/>
        <v>3.3</v>
      </c>
      <c r="BR8" s="48" t="e">
        <f t="shared" si="3"/>
        <v>#N/A</v>
      </c>
      <c r="BS8" s="792">
        <f t="shared" si="4"/>
        <v>1.6095238095238096</v>
      </c>
      <c r="BY8" s="802"/>
      <c r="CI8" s="49"/>
    </row>
    <row r="9" spans="1:88" ht="12" customHeight="1">
      <c r="B9" s="53" t="s">
        <v>813</v>
      </c>
      <c r="C9" s="1240" t="b">
        <v>0</v>
      </c>
      <c r="E9" s="137"/>
      <c r="F9" s="383"/>
      <c r="G9" s="1062" t="s">
        <v>156</v>
      </c>
      <c r="H9" s="1241">
        <f>IF(xxandnn,Y9-R9,"")</f>
        <v>0.19047619047619047</v>
      </c>
      <c r="I9" s="383"/>
      <c r="J9" s="383"/>
      <c r="K9" s="134"/>
      <c r="M9" s="1180"/>
      <c r="N9" s="1242" t="s">
        <v>133</v>
      </c>
      <c r="O9" s="931">
        <v>78</v>
      </c>
      <c r="P9" s="1181"/>
      <c r="Q9" s="1242" t="s">
        <v>134</v>
      </c>
      <c r="R9" s="928">
        <f>IF(xxandnn,O9/O11,"")</f>
        <v>0.30952380952380953</v>
      </c>
      <c r="S9" s="1178"/>
      <c r="T9" s="1181"/>
      <c r="U9" s="1242" t="s">
        <v>135</v>
      </c>
      <c r="V9" s="931">
        <v>10</v>
      </c>
      <c r="W9" s="1181"/>
      <c r="X9" s="1242" t="s">
        <v>136</v>
      </c>
      <c r="Y9" s="928">
        <f>IF(xxandnn,V9/V11,"")</f>
        <v>0.5</v>
      </c>
      <c r="Z9" s="1178"/>
      <c r="AA9" s="83">
        <f t="shared" si="1"/>
        <v>4.558095238095238E-4</v>
      </c>
      <c r="AI9" s="802">
        <f t="shared" si="2"/>
        <v>4.558095238095238E-4</v>
      </c>
      <c r="AJ9" s="83"/>
      <c r="AK9" s="83"/>
      <c r="AL9" s="83"/>
      <c r="AM9" s="83"/>
      <c r="AN9" s="83"/>
      <c r="AO9" s="83"/>
      <c r="AP9" s="83"/>
      <c r="AQ9" s="83"/>
      <c r="AR9" s="83"/>
      <c r="AS9" s="83"/>
      <c r="AT9" s="83"/>
      <c r="AU9" s="83"/>
      <c r="AV9" s="83"/>
      <c r="AW9" s="83"/>
      <c r="AX9" s="83"/>
      <c r="AY9" s="83"/>
      <c r="AZ9" s="83"/>
      <c r="BA9" s="83"/>
      <c r="BB9" s="83"/>
      <c r="BC9" s="83"/>
      <c r="BD9" s="83"/>
      <c r="BE9" s="83"/>
      <c r="BF9" s="83"/>
      <c r="BG9" s="83"/>
      <c r="BH9" s="826">
        <f>BH18</f>
        <v>2.9</v>
      </c>
      <c r="BI9" s="829">
        <f>IF($BM$1,BI18,NA())</f>
        <v>0.5</v>
      </c>
      <c r="BJ9" s="83"/>
      <c r="BK9" s="83"/>
      <c r="BL9" s="826">
        <f>IF(R9&gt;=Y9,9,-9)</f>
        <v>-9</v>
      </c>
      <c r="BM9" s="454"/>
      <c r="BN9" s="83"/>
      <c r="BP9" s="92">
        <v>1.2</v>
      </c>
      <c r="BQ9" s="48">
        <f t="shared" si="5"/>
        <v>3.3</v>
      </c>
      <c r="BR9" s="48" t="e">
        <f t="shared" si="3"/>
        <v>#N/A</v>
      </c>
      <c r="BS9" s="792">
        <f t="shared" si="4"/>
        <v>1.5095238095238095</v>
      </c>
      <c r="BY9" s="802"/>
      <c r="CI9" s="49"/>
    </row>
    <row r="10" spans="1:88" ht="12" customHeight="1">
      <c r="A10" s="53"/>
      <c r="B10" s="53"/>
      <c r="E10" s="137"/>
      <c r="F10" s="383"/>
      <c r="G10" s="383"/>
      <c r="H10" s="383"/>
      <c r="I10" s="383"/>
      <c r="J10" s="383"/>
      <c r="K10" s="134"/>
      <c r="M10" s="1180"/>
      <c r="N10" s="1181"/>
      <c r="O10" s="1181"/>
      <c r="P10" s="1181"/>
      <c r="Q10" s="1181"/>
      <c r="R10" s="1181"/>
      <c r="S10" s="1178"/>
      <c r="T10" s="1181"/>
      <c r="U10" s="1181"/>
      <c r="V10" s="1181"/>
      <c r="W10" s="1181"/>
      <c r="X10" s="1181"/>
      <c r="Y10" s="1181"/>
      <c r="Z10" s="1178"/>
      <c r="AA10" s="83">
        <f t="shared" si="1"/>
        <v>4.558095238095238E-4</v>
      </c>
      <c r="AI10" s="802">
        <f t="shared" si="2"/>
        <v>4.558095238095238E-4</v>
      </c>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791">
        <f>BH9</f>
        <v>2.9</v>
      </c>
      <c r="BI10" s="459">
        <f>IF($BM$1,BI18,NA())</f>
        <v>0.5</v>
      </c>
      <c r="BJ10" s="83"/>
      <c r="BK10" s="83"/>
      <c r="BL10" s="83"/>
      <c r="BM10" s="83"/>
      <c r="BN10" s="83"/>
      <c r="BP10" s="92">
        <v>1.1000000000000001</v>
      </c>
      <c r="BQ10" s="48">
        <f t="shared" si="5"/>
        <v>3.3</v>
      </c>
      <c r="BR10" s="48" t="e">
        <f t="shared" si="3"/>
        <v>#N/A</v>
      </c>
      <c r="BS10" s="792">
        <f t="shared" si="4"/>
        <v>1.4095238095238096</v>
      </c>
      <c r="BY10" s="802"/>
      <c r="CI10" s="49"/>
    </row>
    <row r="11" spans="1:88" ht="12" customHeight="1">
      <c r="B11" s="53" t="s">
        <v>792</v>
      </c>
      <c r="C11" s="43">
        <f>IF(R9=Y9,0,IF(Y9&gt;R9,H16/(Y9-R9),J16/(R9-Y9)))</f>
        <v>1.0991332972232175</v>
      </c>
      <c r="E11" s="137"/>
      <c r="F11" s="383"/>
      <c r="G11" s="383"/>
      <c r="H11" s="383"/>
      <c r="I11" s="1013" t="s">
        <v>137</v>
      </c>
      <c r="J11" s="383"/>
      <c r="K11" s="134"/>
      <c r="M11" s="1180"/>
      <c r="N11" s="1242" t="s">
        <v>138</v>
      </c>
      <c r="O11" s="931">
        <v>252</v>
      </c>
      <c r="P11" s="1181"/>
      <c r="Q11" s="1181"/>
      <c r="R11" s="1181"/>
      <c r="S11" s="1178"/>
      <c r="T11" s="1181"/>
      <c r="U11" s="1242" t="s">
        <v>139</v>
      </c>
      <c r="V11" s="931">
        <v>20</v>
      </c>
      <c r="W11" s="1181"/>
      <c r="X11" s="1181"/>
      <c r="Y11" s="1181"/>
      <c r="Z11" s="1178"/>
      <c r="AA11" s="83">
        <f t="shared" si="1"/>
        <v>4.558095238095238E-4</v>
      </c>
      <c r="AI11" s="802">
        <f t="shared" si="2"/>
        <v>4.558095238095238E-4</v>
      </c>
      <c r="AJ11" s="83"/>
      <c r="AK11" s="83"/>
      <c r="AL11" s="83"/>
      <c r="AM11" s="83"/>
      <c r="AN11" s="83"/>
      <c r="AO11" s="83"/>
      <c r="AP11" s="83"/>
      <c r="AQ11" s="83"/>
      <c r="AR11" s="83"/>
      <c r="AS11" s="83"/>
      <c r="AT11" s="83"/>
      <c r="AU11" s="83"/>
      <c r="AW11" s="83"/>
      <c r="AX11" s="83"/>
      <c r="AY11" s="83"/>
      <c r="AZ11" s="83"/>
      <c r="BA11" s="83"/>
      <c r="BB11" s="83"/>
      <c r="BC11" s="83"/>
      <c r="BD11" s="83"/>
      <c r="BE11" s="83"/>
      <c r="BF11" s="83"/>
      <c r="BG11" s="83"/>
      <c r="BH11" s="826">
        <f>BQ2</f>
        <v>3.3</v>
      </c>
      <c r="BI11" s="829">
        <f>IF($BM$1,BI18,NA())</f>
        <v>0.5</v>
      </c>
      <c r="BJ11" s="83"/>
      <c r="BK11" s="83"/>
      <c r="BL11" s="83"/>
      <c r="BM11" s="83"/>
      <c r="BN11" s="83"/>
      <c r="BP11" s="92">
        <v>1</v>
      </c>
      <c r="BQ11" s="48">
        <f t="shared" si="5"/>
        <v>3.3</v>
      </c>
      <c r="BR11" s="48" t="e">
        <f t="shared" si="3"/>
        <v>#N/A</v>
      </c>
      <c r="BS11" s="792">
        <f t="shared" si="4"/>
        <v>1.3095238095238095</v>
      </c>
      <c r="BY11" s="802"/>
      <c r="CI11" s="49"/>
    </row>
    <row r="12" spans="1:88" ht="12" customHeight="1">
      <c r="B12" s="53" t="s">
        <v>793</v>
      </c>
      <c r="C12" s="43">
        <f>IF(C11=0,0,BI2/C11)</f>
        <v>1.7831904369484448</v>
      </c>
      <c r="E12" s="137"/>
      <c r="F12" s="383"/>
      <c r="G12" s="1243" t="s">
        <v>52</v>
      </c>
      <c r="H12" s="1244">
        <f>IF(xxandnn,BN32,"")</f>
        <v>-1.8882532804422369E-2</v>
      </c>
      <c r="I12" s="781" t="s">
        <v>1535</v>
      </c>
      <c r="J12" s="1244">
        <f>IF(xxandnn,BO32,"")</f>
        <v>0.39827945669119658</v>
      </c>
      <c r="K12" s="1245" t="s">
        <v>1536</v>
      </c>
      <c r="M12" s="1180"/>
      <c r="N12" s="1181"/>
      <c r="O12" s="1181"/>
      <c r="P12" s="1181"/>
      <c r="Q12" s="1181"/>
      <c r="R12" s="1181"/>
      <c r="S12" s="1178"/>
      <c r="T12" s="1181"/>
      <c r="U12" s="1181"/>
      <c r="V12" s="1137"/>
      <c r="W12" s="1181"/>
      <c r="X12" s="1181"/>
      <c r="Y12" s="1181"/>
      <c r="Z12" s="1178"/>
      <c r="AA12" s="83">
        <f t="shared" si="1"/>
        <v>4.558095238095238E-4</v>
      </c>
      <c r="AI12" s="802">
        <f t="shared" si="2"/>
        <v>4.558095238095238E-4</v>
      </c>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791" t="s">
        <v>815</v>
      </c>
      <c r="BI12" s="805"/>
      <c r="BJ12" s="459" t="s">
        <v>1234</v>
      </c>
      <c r="BK12" s="83"/>
      <c r="BL12" s="83"/>
      <c r="BM12" s="83"/>
      <c r="BN12" s="83"/>
      <c r="BP12" s="92">
        <v>0.9</v>
      </c>
      <c r="BQ12" s="48">
        <f t="shared" si="5"/>
        <v>3.3</v>
      </c>
      <c r="BR12" s="48" t="e">
        <f t="shared" si="3"/>
        <v>#N/A</v>
      </c>
      <c r="BS12" s="792">
        <f t="shared" si="4"/>
        <v>1.2095238095238097</v>
      </c>
      <c r="BY12" s="802"/>
      <c r="CI12" s="49"/>
    </row>
    <row r="13" spans="1:88" ht="12" customHeight="1">
      <c r="B13" s="53" t="s">
        <v>794</v>
      </c>
      <c r="C13" s="43">
        <f>2*(1-NORMSDIST(C14))</f>
        <v>7.8818898560122364E-2</v>
      </c>
      <c r="E13" s="137"/>
      <c r="F13" s="383"/>
      <c r="G13" s="383"/>
      <c r="H13" s="1070"/>
      <c r="I13" s="1070"/>
      <c r="J13" s="1070"/>
      <c r="K13" s="1246"/>
      <c r="M13" s="1247"/>
      <c r="N13" s="1192"/>
      <c r="O13" s="1192"/>
      <c r="P13" s="1192"/>
      <c r="Q13" s="1192"/>
      <c r="R13" s="1192"/>
      <c r="S13" s="1248"/>
      <c r="T13" s="1192"/>
      <c r="U13" s="1192"/>
      <c r="V13" s="1106"/>
      <c r="W13" s="1192"/>
      <c r="X13" s="1192"/>
      <c r="Y13" s="1192"/>
      <c r="Z13" s="1248"/>
      <c r="AA13" s="83">
        <f t="shared" si="1"/>
        <v>4.558095238095238E-4</v>
      </c>
      <c r="AI13" s="802">
        <f t="shared" si="2"/>
        <v>4.558095238095238E-4</v>
      </c>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92">
        <v>0</v>
      </c>
      <c r="BI13" s="48">
        <v>0</v>
      </c>
      <c r="BJ13" s="792">
        <v>2.4</v>
      </c>
      <c r="BK13" s="83"/>
      <c r="BL13" s="83"/>
      <c r="BM13" s="83"/>
      <c r="BN13" s="83"/>
      <c r="BP13" s="92">
        <v>0.8</v>
      </c>
      <c r="BQ13" s="48">
        <f t="shared" si="5"/>
        <v>3.3</v>
      </c>
      <c r="BR13" s="48" t="e">
        <f t="shared" si="3"/>
        <v>#N/A</v>
      </c>
      <c r="BS13" s="792">
        <f t="shared" si="4"/>
        <v>1.1095238095238096</v>
      </c>
      <c r="BY13" s="802"/>
      <c r="CI13" s="49"/>
    </row>
    <row r="14" spans="1:88" ht="12" customHeight="1">
      <c r="B14" s="53" t="s">
        <v>796</v>
      </c>
      <c r="C14" s="1240">
        <v>1.7575805887860414</v>
      </c>
      <c r="E14" s="137"/>
      <c r="F14" s="383"/>
      <c r="G14" s="383"/>
      <c r="H14" s="1013" t="s">
        <v>747</v>
      </c>
      <c r="I14" s="383"/>
      <c r="J14" s="1013" t="s">
        <v>748</v>
      </c>
      <c r="K14" s="1246"/>
      <c r="V14" s="170"/>
      <c r="AA14" s="83">
        <f t="shared" si="1"/>
        <v>4.558095238095238E-4</v>
      </c>
      <c r="AB14" s="48"/>
      <c r="AC14" s="48"/>
      <c r="AD14" s="48"/>
      <c r="AE14" s="48"/>
      <c r="AF14" s="48"/>
      <c r="AG14" s="48"/>
      <c r="AH14" s="48"/>
      <c r="AI14" s="802">
        <f t="shared" si="2"/>
        <v>4.558095238095238E-4</v>
      </c>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26">
        <v>0</v>
      </c>
      <c r="BI14" s="454">
        <v>1</v>
      </c>
      <c r="BJ14" s="829"/>
      <c r="BK14" s="83"/>
      <c r="BL14" s="83"/>
      <c r="BM14" s="83"/>
      <c r="BN14" s="83"/>
      <c r="BP14" s="92">
        <v>0.7</v>
      </c>
      <c r="BQ14" s="48">
        <f t="shared" si="5"/>
        <v>3.3</v>
      </c>
      <c r="BR14" s="48" t="e">
        <f t="shared" si="3"/>
        <v>#N/A</v>
      </c>
      <c r="BS14" s="792">
        <f t="shared" si="4"/>
        <v>1.0095238095238095</v>
      </c>
      <c r="BY14" s="802"/>
      <c r="CI14" s="49"/>
    </row>
    <row r="15" spans="1:88" ht="12.75" customHeight="1">
      <c r="B15" s="53" t="s">
        <v>797</v>
      </c>
      <c r="C15" s="43">
        <f>10000*IF(R9=Y9,0,IF(Y9&gt;R9,BN38-(Y9-R9),BO38-(R9-Y9)))</f>
        <v>1.5378915640962276E-5</v>
      </c>
      <c r="E15" s="137"/>
      <c r="F15" s="383"/>
      <c r="G15" s="383"/>
      <c r="H15" s="1013" t="s">
        <v>1280</v>
      </c>
      <c r="I15" s="1013"/>
      <c r="J15" s="1013" t="s">
        <v>1280</v>
      </c>
      <c r="K15" s="134"/>
      <c r="M15" s="1107">
        <v>4</v>
      </c>
      <c r="N15" s="1196" t="s">
        <v>140</v>
      </c>
      <c r="O15" s="208"/>
      <c r="P15" s="208"/>
      <c r="Q15" s="208"/>
      <c r="R15" s="208"/>
      <c r="S15" s="1249"/>
      <c r="T15" s="1107">
        <v>5</v>
      </c>
      <c r="U15" s="1196" t="s">
        <v>141</v>
      </c>
      <c r="V15" s="1250"/>
      <c r="W15" s="208"/>
      <c r="X15" s="208"/>
      <c r="Y15" s="208"/>
      <c r="Z15" s="1249"/>
      <c r="AA15" s="83">
        <f t="shared" si="1"/>
        <v>4.558095238095238E-4</v>
      </c>
      <c r="AB15" s="48"/>
      <c r="AC15" s="48"/>
      <c r="AD15" s="48"/>
      <c r="AE15" s="48"/>
      <c r="AF15" s="48"/>
      <c r="AG15" s="48"/>
      <c r="AH15" s="48"/>
      <c r="AI15" s="802">
        <f t="shared" si="2"/>
        <v>4.558095238095238E-4</v>
      </c>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H15" s="791" t="s">
        <v>811</v>
      </c>
      <c r="BP15" s="92">
        <v>0.6</v>
      </c>
      <c r="BQ15" s="48">
        <f t="shared" si="5"/>
        <v>3.3</v>
      </c>
      <c r="BR15" s="48" t="e">
        <f t="shared" si="3"/>
        <v>#N/A</v>
      </c>
      <c r="BS15" s="792">
        <f t="shared" si="4"/>
        <v>0.90952380952380951</v>
      </c>
      <c r="BY15" s="802"/>
      <c r="CI15" s="49"/>
    </row>
    <row r="16" spans="1:88" ht="12" customHeight="1">
      <c r="E16" s="137"/>
      <c r="F16" s="383"/>
      <c r="G16" s="383"/>
      <c r="H16" s="1244">
        <f>IF(xxandnn,BJ19,"")</f>
        <v>0.20935872328061284</v>
      </c>
      <c r="I16" s="1070"/>
      <c r="J16" s="1244">
        <f>IF(xxandnn,BJ18,"")</f>
        <v>0.20780326621500611</v>
      </c>
      <c r="K16" s="1246"/>
      <c r="M16" s="884"/>
      <c r="N16" s="204"/>
      <c r="O16" s="204"/>
      <c r="P16" s="204"/>
      <c r="Q16" s="1251" t="s">
        <v>157</v>
      </c>
      <c r="R16" s="1205"/>
      <c r="S16" s="1252"/>
      <c r="T16" s="1253"/>
      <c r="U16" s="1205"/>
      <c r="V16" s="1205"/>
      <c r="W16" s="204"/>
      <c r="X16" s="1251" t="s">
        <v>158</v>
      </c>
      <c r="Y16" s="204"/>
      <c r="Z16" s="886"/>
      <c r="AA16" s="83">
        <f t="shared" si="1"/>
        <v>4.558095238095238E-4</v>
      </c>
      <c r="AB16" s="48"/>
      <c r="AC16" s="48"/>
      <c r="AD16" s="48"/>
      <c r="AE16" s="815"/>
      <c r="AF16" s="815"/>
      <c r="AG16" s="815"/>
      <c r="AH16" s="48"/>
      <c r="AI16" s="802">
        <f t="shared" si="2"/>
        <v>4.558095238095238E-4</v>
      </c>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H16" s="821" t="s">
        <v>812</v>
      </c>
      <c r="BI16" s="43">
        <f>Y9-R9</f>
        <v>0.19047619047619047</v>
      </c>
      <c r="BP16" s="92">
        <v>0.5</v>
      </c>
      <c r="BQ16" s="48">
        <f t="shared" si="5"/>
        <v>3.3</v>
      </c>
      <c r="BR16" s="48">
        <f t="shared" si="3"/>
        <v>0.80952380952380953</v>
      </c>
      <c r="BS16" s="792">
        <f t="shared" si="4"/>
        <v>0.80952380952380953</v>
      </c>
      <c r="BY16" s="802"/>
      <c r="CI16" s="49"/>
    </row>
    <row r="17" spans="2:87" ht="12" customHeight="1">
      <c r="E17" s="137"/>
      <c r="F17" s="838"/>
      <c r="G17" s="383"/>
      <c r="H17" s="1070"/>
      <c r="I17" s="1070"/>
      <c r="J17" s="1070"/>
      <c r="K17" s="1246"/>
      <c r="M17" s="884"/>
      <c r="N17" s="204"/>
      <c r="O17" s="1199" t="s">
        <v>52</v>
      </c>
      <c r="P17" s="928">
        <f>IF(xxandnn,BN27,"")</f>
        <v>0.25566373213415206</v>
      </c>
      <c r="Q17" s="1254" t="s">
        <v>1535</v>
      </c>
      <c r="R17" s="1255">
        <f>IF(xxandnn,BO27,"")</f>
        <v>0.36910388589572574</v>
      </c>
      <c r="S17" s="1256" t="s">
        <v>1536</v>
      </c>
      <c r="T17" s="1253"/>
      <c r="U17" s="1205"/>
      <c r="V17" s="1257" t="s">
        <v>52</v>
      </c>
      <c r="W17" s="1258">
        <f>IF(xxandnn,BN28,"")</f>
        <v>0.29929800819821234</v>
      </c>
      <c r="X17" s="1254" t="s">
        <v>1535</v>
      </c>
      <c r="Y17" s="928">
        <f>IF(xxandnn,BO28,"")</f>
        <v>0.7007019918017876</v>
      </c>
      <c r="Z17" s="890" t="s">
        <v>1536</v>
      </c>
      <c r="AA17" s="83">
        <f t="shared" si="1"/>
        <v>4.558095238095238E-4</v>
      </c>
      <c r="AB17" s="48"/>
      <c r="AC17" s="48"/>
      <c r="AD17" s="48"/>
      <c r="AE17" s="815"/>
      <c r="AF17" s="815"/>
      <c r="AG17" s="815"/>
      <c r="AH17" s="48"/>
      <c r="AI17" s="802">
        <f t="shared" si="2"/>
        <v>4.558095238095238E-4</v>
      </c>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H17" s="92" t="s">
        <v>950</v>
      </c>
      <c r="BJ17" s="43" t="s">
        <v>1275</v>
      </c>
      <c r="BP17" s="92">
        <v>0.4</v>
      </c>
      <c r="BQ17" s="48">
        <f t="shared" si="5"/>
        <v>3.3</v>
      </c>
      <c r="BR17" s="48">
        <f t="shared" si="3"/>
        <v>0.70952380952380956</v>
      </c>
      <c r="BS17" s="792">
        <f t="shared" si="4"/>
        <v>0.70952380952380956</v>
      </c>
      <c r="BY17" s="802"/>
      <c r="CI17" s="49"/>
    </row>
    <row r="18" spans="2:87" ht="12" customHeight="1">
      <c r="B18" s="95">
        <v>78</v>
      </c>
      <c r="C18" s="43">
        <f>O9</f>
        <v>78</v>
      </c>
      <c r="E18" s="137"/>
      <c r="F18" s="838"/>
      <c r="G18" s="383"/>
      <c r="H18" s="383"/>
      <c r="I18" s="1070" t="s">
        <v>116</v>
      </c>
      <c r="J18" s="1241">
        <f>IF(xxandnn,(J16+H16)/2,"")</f>
        <v>0.20858099474780947</v>
      </c>
      <c r="K18" s="1246"/>
      <c r="M18" s="884"/>
      <c r="N18" s="204"/>
      <c r="O18" s="204"/>
      <c r="P18" s="204"/>
      <c r="Q18" s="204"/>
      <c r="R18" s="204"/>
      <c r="S18" s="886"/>
      <c r="T18" s="884"/>
      <c r="U18" s="204"/>
      <c r="V18" s="204"/>
      <c r="W18" s="204"/>
      <c r="X18" s="204"/>
      <c r="Y18" s="204"/>
      <c r="Z18" s="886"/>
      <c r="AA18" s="83">
        <f t="shared" si="1"/>
        <v>4.558095238095238E-4</v>
      </c>
      <c r="AB18" s="48"/>
      <c r="AC18" s="48"/>
      <c r="AD18" s="48"/>
      <c r="AE18" s="48"/>
      <c r="AF18" s="48"/>
      <c r="AG18" s="48"/>
      <c r="AH18" s="48"/>
      <c r="AI18" s="802">
        <f t="shared" si="2"/>
        <v>4.558095238095238E-4</v>
      </c>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H18" s="92">
        <v>2.9</v>
      </c>
      <c r="BI18" s="43">
        <f>IF(BM1,Y9,NA())</f>
        <v>0.5</v>
      </c>
      <c r="BJ18" s="43">
        <f>BO34</f>
        <v>0.20780326621500611</v>
      </c>
      <c r="BP18" s="92">
        <v>0.3</v>
      </c>
      <c r="BQ18" s="48">
        <f t="shared" si="5"/>
        <v>3.3</v>
      </c>
      <c r="BR18" s="48">
        <f t="shared" si="3"/>
        <v>0.60952380952380958</v>
      </c>
      <c r="BS18" s="792">
        <f t="shared" si="4"/>
        <v>0.60952380952380958</v>
      </c>
      <c r="BY18" s="802"/>
      <c r="CI18" s="49"/>
    </row>
    <row r="19" spans="2:87" ht="12" customHeight="1">
      <c r="B19" s="95">
        <v>252</v>
      </c>
      <c r="C19" s="43">
        <f>O11</f>
        <v>252</v>
      </c>
      <c r="E19" s="90"/>
      <c r="F19" s="89"/>
      <c r="G19" s="89"/>
      <c r="H19" s="89"/>
      <c r="I19" s="89"/>
      <c r="J19" s="89"/>
      <c r="K19" s="1080"/>
      <c r="M19" s="884"/>
      <c r="N19" s="204"/>
      <c r="O19" s="204"/>
      <c r="P19" s="880" t="s">
        <v>747</v>
      </c>
      <c r="Q19" s="204"/>
      <c r="R19" s="880" t="s">
        <v>748</v>
      </c>
      <c r="S19" s="886"/>
      <c r="T19" s="884"/>
      <c r="U19" s="204"/>
      <c r="V19" s="204"/>
      <c r="W19" s="880" t="s">
        <v>747</v>
      </c>
      <c r="X19" s="204"/>
      <c r="Y19" s="880" t="s">
        <v>748</v>
      </c>
      <c r="Z19" s="886"/>
      <c r="AA19" s="83">
        <f t="shared" si="1"/>
        <v>4.558095238095238E-4</v>
      </c>
      <c r="AB19" s="48"/>
      <c r="AC19" s="48"/>
      <c r="AD19" s="48"/>
      <c r="AE19" s="48"/>
      <c r="AF19" s="48"/>
      <c r="AG19" s="48"/>
      <c r="AH19" s="48"/>
      <c r="AI19" s="802">
        <f t="shared" si="2"/>
        <v>4.558095238095238E-4</v>
      </c>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J19" s="43">
        <f>BN34</f>
        <v>0.20935872328061284</v>
      </c>
      <c r="BP19" s="92">
        <v>0.2</v>
      </c>
      <c r="BQ19" s="48">
        <f t="shared" si="5"/>
        <v>3.3</v>
      </c>
      <c r="BR19" s="48">
        <f t="shared" si="3"/>
        <v>0.50952380952380949</v>
      </c>
      <c r="BS19" s="792">
        <f t="shared" si="4"/>
        <v>0.50952380952380949</v>
      </c>
      <c r="BY19" s="802"/>
      <c r="CI19" s="49"/>
    </row>
    <row r="20" spans="2:87" ht="12.75" customHeight="1">
      <c r="B20" s="95">
        <v>10</v>
      </c>
      <c r="C20" s="43">
        <f>V9</f>
        <v>10</v>
      </c>
      <c r="E20" s="808">
        <v>7</v>
      </c>
      <c r="F20" s="1207" t="s">
        <v>117</v>
      </c>
      <c r="G20" s="810"/>
      <c r="H20" s="810"/>
      <c r="I20" s="810"/>
      <c r="J20" s="810"/>
      <c r="K20" s="811"/>
      <c r="M20" s="884"/>
      <c r="N20" s="204"/>
      <c r="O20" s="204"/>
      <c r="P20" s="880" t="s">
        <v>1280</v>
      </c>
      <c r="Q20" s="880"/>
      <c r="R20" s="880" t="s">
        <v>1280</v>
      </c>
      <c r="S20" s="886"/>
      <c r="T20" s="884"/>
      <c r="U20" s="204"/>
      <c r="V20" s="204"/>
      <c r="W20" s="880" t="s">
        <v>1280</v>
      </c>
      <c r="X20" s="880"/>
      <c r="Y20" s="880" t="s">
        <v>1280</v>
      </c>
      <c r="Z20" s="886"/>
      <c r="AA20" s="83">
        <f t="shared" si="1"/>
        <v>4.558095238095238E-4</v>
      </c>
      <c r="AB20" s="48"/>
      <c r="AC20" s="48"/>
      <c r="AD20" s="48"/>
      <c r="AE20" s="48"/>
      <c r="AF20" s="48"/>
      <c r="AG20" s="48"/>
      <c r="AH20" s="48"/>
      <c r="AI20" s="802">
        <f t="shared" si="2"/>
        <v>4.558095238095238E-4</v>
      </c>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H20" s="92"/>
      <c r="BI20" s="54" t="s">
        <v>917</v>
      </c>
      <c r="BJ20" s="881" t="s">
        <v>918</v>
      </c>
      <c r="BK20" s="815" t="s">
        <v>924</v>
      </c>
      <c r="BL20" s="805">
        <f>ABS(BI21-BJ21)</f>
        <v>0.22928746671105643</v>
      </c>
      <c r="BP20" s="92">
        <v>0.1</v>
      </c>
      <c r="BQ20" s="48">
        <f t="shared" si="5"/>
        <v>3.3</v>
      </c>
      <c r="BR20" s="48">
        <f t="shared" si="3"/>
        <v>0.40952380952380951</v>
      </c>
      <c r="BS20" s="792">
        <f t="shared" si="4"/>
        <v>0.40952380952380951</v>
      </c>
      <c r="BY20" s="802"/>
      <c r="CI20" s="49"/>
    </row>
    <row r="21" spans="2:87" ht="12" customHeight="1">
      <c r="B21" s="95">
        <v>20</v>
      </c>
      <c r="C21" s="43">
        <f>V11</f>
        <v>20</v>
      </c>
      <c r="E21" s="816"/>
      <c r="F21" s="1064" t="s">
        <v>118</v>
      </c>
      <c r="G21" s="817"/>
      <c r="H21" s="817"/>
      <c r="I21" s="817"/>
      <c r="J21" s="817"/>
      <c r="K21" s="818"/>
      <c r="M21" s="884"/>
      <c r="N21" s="204"/>
      <c r="O21" s="204"/>
      <c r="P21" s="928">
        <f>IF(xxandnn,R9-P17,"")</f>
        <v>5.3860077389657479E-2</v>
      </c>
      <c r="Q21" s="1205"/>
      <c r="R21" s="1255">
        <f>IF(xxandnn,R17-R9,"")</f>
        <v>5.9580076371916202E-2</v>
      </c>
      <c r="S21" s="1252"/>
      <c r="T21" s="1253"/>
      <c r="U21" s="1205"/>
      <c r="V21" s="1205"/>
      <c r="W21" s="1258">
        <f>IF(xxandnn,Y9-W17,"")</f>
        <v>0.20070199180178766</v>
      </c>
      <c r="X21" s="1205"/>
      <c r="Y21" s="928">
        <f>IF(xxandnn,Y17-Y9,"")</f>
        <v>0.2007019918017876</v>
      </c>
      <c r="Z21" s="886"/>
      <c r="AA21" s="83">
        <f t="shared" si="1"/>
        <v>4.558095238095238E-4</v>
      </c>
      <c r="AB21" s="48"/>
      <c r="AC21" s="48"/>
      <c r="AD21" s="48"/>
      <c r="AE21" s="48"/>
      <c r="AF21" s="48"/>
      <c r="AG21" s="48"/>
      <c r="AH21" s="48"/>
      <c r="AI21" s="802">
        <f t="shared" si="2"/>
        <v>4.558095238095238E-4</v>
      </c>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21" t="s">
        <v>717</v>
      </c>
      <c r="BI21" s="48">
        <f>0.5*LN((1+R9)/(1-R9))</f>
        <v>0.32001867762299846</v>
      </c>
      <c r="BJ21" s="792">
        <f>0.5*LN((1+Y9)/(1-Y9))</f>
        <v>0.54930614433405489</v>
      </c>
      <c r="BK21" s="815" t="s">
        <v>925</v>
      </c>
      <c r="BL21" s="48">
        <f>SQRT(1/(O9-3)+1/(V9-3))</f>
        <v>0.39520940802374149</v>
      </c>
      <c r="BM21" s="83"/>
      <c r="BN21" s="83"/>
      <c r="BP21" s="92">
        <v>0</v>
      </c>
      <c r="BQ21" s="48">
        <f t="shared" si="5"/>
        <v>3.3</v>
      </c>
      <c r="BR21" s="48">
        <f t="shared" si="3"/>
        <v>0.30952380952380953</v>
      </c>
      <c r="BS21" s="792">
        <f t="shared" si="4"/>
        <v>0.30952380952380953</v>
      </c>
      <c r="BY21" s="802"/>
      <c r="CI21" s="49"/>
    </row>
    <row r="22" spans="2:87" ht="12" customHeight="1">
      <c r="B22" s="53" t="s">
        <v>123</v>
      </c>
      <c r="C22" s="43" t="b">
        <f>AND(puttwoprop=C18,B19=C19,B20=C20,B21=C21)</f>
        <v>1</v>
      </c>
      <c r="E22" s="816"/>
      <c r="F22" s="817"/>
      <c r="G22" s="817"/>
      <c r="H22" s="817"/>
      <c r="I22" s="817"/>
      <c r="J22" s="817"/>
      <c r="K22" s="818"/>
      <c r="M22" s="884"/>
      <c r="N22" s="204"/>
      <c r="O22" s="204"/>
      <c r="P22" s="204"/>
      <c r="Q22" s="204"/>
      <c r="R22" s="204"/>
      <c r="S22" s="886"/>
      <c r="T22" s="884"/>
      <c r="U22" s="204"/>
      <c r="V22" s="204"/>
      <c r="W22" s="204"/>
      <c r="X22" s="204"/>
      <c r="Y22" s="204"/>
      <c r="Z22" s="886"/>
      <c r="AA22" s="83">
        <f t="shared" si="1"/>
        <v>4.558095238095238E-4</v>
      </c>
      <c r="AB22" s="48"/>
      <c r="AC22" s="48"/>
      <c r="AD22" s="48"/>
      <c r="AE22" s="48"/>
      <c r="AF22" s="48"/>
      <c r="AG22" s="48"/>
      <c r="AH22" s="48"/>
      <c r="AI22" s="802">
        <f t="shared" si="2"/>
        <v>4.558095238095238E-4</v>
      </c>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21" t="s">
        <v>920</v>
      </c>
      <c r="BI22" s="48">
        <f>1/SQRT(O9-3)</f>
        <v>0.11547005383792514</v>
      </c>
      <c r="BJ22" s="792">
        <f>1/SQRT(V9-3)</f>
        <v>0.3779644730092272</v>
      </c>
      <c r="BK22" s="814" t="s">
        <v>926</v>
      </c>
      <c r="BL22" s="454">
        <f>BL20/BL21</f>
        <v>0.58016702552101795</v>
      </c>
      <c r="BM22" s="83"/>
      <c r="BN22" s="83"/>
      <c r="BP22" s="92">
        <v>-0.1</v>
      </c>
      <c r="BQ22" s="48">
        <f t="shared" si="5"/>
        <v>3.3</v>
      </c>
      <c r="BR22" s="48">
        <f t="shared" si="3"/>
        <v>0.20952380952380953</v>
      </c>
      <c r="BS22" s="792">
        <f t="shared" si="4"/>
        <v>0.20952380952380953</v>
      </c>
      <c r="BY22" s="802"/>
      <c r="CI22" s="49"/>
    </row>
    <row r="23" spans="2:87" ht="12" customHeight="1">
      <c r="E23" s="816"/>
      <c r="F23" s="817"/>
      <c r="G23" s="817"/>
      <c r="H23" s="1011"/>
      <c r="I23" s="1011"/>
      <c r="J23" s="1011"/>
      <c r="K23" s="818"/>
      <c r="M23" s="884"/>
      <c r="N23" s="204"/>
      <c r="O23" s="204"/>
      <c r="P23" s="204"/>
      <c r="Q23" s="205" t="s">
        <v>116</v>
      </c>
      <c r="R23" s="1259">
        <f>IF(xxandnn,(R21+P21)/2,"")</f>
        <v>5.6720076880786841E-2</v>
      </c>
      <c r="S23" s="886"/>
      <c r="T23" s="884"/>
      <c r="U23" s="204"/>
      <c r="V23" s="204"/>
      <c r="W23" s="204"/>
      <c r="X23" s="205" t="s">
        <v>116</v>
      </c>
      <c r="Y23" s="1258">
        <f>IF(xxandnn,(Y21+W21)/2,"")</f>
        <v>0.20070199180178763</v>
      </c>
      <c r="Z23" s="886"/>
      <c r="AA23" s="83">
        <f t="shared" si="1"/>
        <v>4.558095238095238E-4</v>
      </c>
      <c r="AB23" s="48"/>
      <c r="AC23" s="48"/>
      <c r="AD23" s="48"/>
      <c r="AE23" s="48"/>
      <c r="AF23" s="48"/>
      <c r="AG23" s="48"/>
      <c r="AH23" s="48"/>
      <c r="AI23" s="802">
        <f t="shared" si="2"/>
        <v>4.558095238095238E-4</v>
      </c>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21" t="s">
        <v>921</v>
      </c>
      <c r="BI23" s="48">
        <f>BI21+$BI$2*BI22</f>
        <v>0.54633582443823281</v>
      </c>
      <c r="BJ23" s="48">
        <f>BJ21+$BI$2*BJ22</f>
        <v>1.2901028988678016</v>
      </c>
      <c r="BK23" s="823"/>
      <c r="BL23" s="1260"/>
      <c r="BM23" s="83"/>
      <c r="BN23" s="83"/>
      <c r="BP23" s="92">
        <v>-0.2</v>
      </c>
      <c r="BQ23" s="48">
        <f t="shared" si="5"/>
        <v>3.3</v>
      </c>
      <c r="BR23" s="48">
        <f t="shared" si="3"/>
        <v>0.10952380952380952</v>
      </c>
      <c r="BS23" s="792">
        <f t="shared" si="4"/>
        <v>0.10952380952380952</v>
      </c>
      <c r="BY23" s="802"/>
      <c r="CI23" s="49"/>
    </row>
    <row r="24" spans="2:87" ht="12" customHeight="1">
      <c r="E24" s="816"/>
      <c r="F24" s="817"/>
      <c r="G24" s="817"/>
      <c r="H24" s="817"/>
      <c r="I24" s="1261" t="s">
        <v>470</v>
      </c>
      <c r="J24" s="1262" t="str">
        <f>IF(AND(xxandnn,C22),IF(C9,C13,""),"")</f>
        <v/>
      </c>
      <c r="K24" s="818"/>
      <c r="M24" s="891"/>
      <c r="N24" s="892"/>
      <c r="O24" s="892"/>
      <c r="P24" s="892"/>
      <c r="Q24" s="892"/>
      <c r="R24" s="892"/>
      <c r="S24" s="893"/>
      <c r="T24" s="891"/>
      <c r="U24" s="892"/>
      <c r="V24" s="892"/>
      <c r="W24" s="892"/>
      <c r="X24" s="892"/>
      <c r="Y24" s="892"/>
      <c r="Z24" s="893"/>
      <c r="AA24" s="83">
        <f t="shared" si="1"/>
        <v>4.558095238095238E-4</v>
      </c>
      <c r="AB24" s="48"/>
      <c r="AC24" s="48"/>
      <c r="AD24" s="48"/>
      <c r="AE24" s="48"/>
      <c r="AF24" s="48"/>
      <c r="AG24" s="48"/>
      <c r="AH24" s="48"/>
      <c r="AI24" s="802">
        <f t="shared" si="2"/>
        <v>4.558095238095238E-4</v>
      </c>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H24" s="821" t="s">
        <v>922</v>
      </c>
      <c r="BI24" s="48">
        <f>BI21-$BI$2*BI22</f>
        <v>9.3701530807764138E-2</v>
      </c>
      <c r="BJ24" s="48">
        <f>BJ21-$BI$2*BJ22</f>
        <v>-0.19149061019969171</v>
      </c>
      <c r="BP24" s="92">
        <v>-0.3</v>
      </c>
      <c r="BQ24" s="48">
        <f t="shared" si="5"/>
        <v>3.3</v>
      </c>
      <c r="BR24" s="48" t="e">
        <f t="shared" si="3"/>
        <v>#N/A</v>
      </c>
      <c r="BS24" s="792">
        <f t="shared" si="4"/>
        <v>9.5238095238095455E-3</v>
      </c>
      <c r="BY24" s="802"/>
      <c r="CI24" s="49"/>
    </row>
    <row r="25" spans="2:87" ht="12" customHeight="1">
      <c r="E25" s="851"/>
      <c r="F25" s="852"/>
      <c r="G25" s="852"/>
      <c r="H25" s="852"/>
      <c r="I25" s="852"/>
      <c r="J25" s="852"/>
      <c r="K25" s="1057"/>
      <c r="AA25" s="83">
        <f t="shared" si="1"/>
        <v>4.558095238095238E-4</v>
      </c>
      <c r="AB25" s="815"/>
      <c r="AC25" s="48"/>
      <c r="AD25" s="48"/>
      <c r="AE25" s="48"/>
      <c r="AF25" s="48"/>
      <c r="AG25" s="48"/>
      <c r="AH25" s="48"/>
      <c r="AI25" s="802">
        <f t="shared" si="2"/>
        <v>4.558095238095238E-4</v>
      </c>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H25" s="826" t="s">
        <v>927</v>
      </c>
      <c r="BI25" s="454">
        <f>$BI$2*BI22</f>
        <v>0.22631714681523432</v>
      </c>
      <c r="BJ25" s="454"/>
      <c r="BP25" s="92">
        <v>-0.4</v>
      </c>
      <c r="BQ25" s="48">
        <f t="shared" si="5"/>
        <v>3.3</v>
      </c>
      <c r="BR25" s="48" t="e">
        <f t="shared" si="3"/>
        <v>#N/A</v>
      </c>
      <c r="BS25" s="792">
        <f t="shared" si="4"/>
        <v>-9.0476190476190488E-2</v>
      </c>
      <c r="BY25" s="802"/>
      <c r="CI25" s="49"/>
    </row>
    <row r="26" spans="2:87" ht="12" customHeight="1">
      <c r="E26" s="915">
        <v>8</v>
      </c>
      <c r="F26" s="50" t="s">
        <v>877</v>
      </c>
      <c r="G26" s="50"/>
      <c r="H26" s="50"/>
      <c r="I26" s="50"/>
      <c r="J26" s="50"/>
      <c r="K26" s="50"/>
      <c r="AA26" s="83">
        <f t="shared" si="1"/>
        <v>4.558095238095238E-4</v>
      </c>
      <c r="AB26" s="815"/>
      <c r="AC26" s="48"/>
      <c r="AD26" s="48"/>
      <c r="AE26" s="48"/>
      <c r="AF26" s="48"/>
      <c r="AG26" s="48"/>
      <c r="AH26" s="48"/>
      <c r="AI26" s="802">
        <f t="shared" si="2"/>
        <v>4.558095238095238E-4</v>
      </c>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I26" s="1195" t="s">
        <v>798</v>
      </c>
      <c r="BJ26" s="1195" t="s">
        <v>799</v>
      </c>
      <c r="BK26" s="1195" t="s">
        <v>800</v>
      </c>
      <c r="BL26" s="1195" t="s">
        <v>801</v>
      </c>
      <c r="BM26" s="1195" t="s">
        <v>244</v>
      </c>
      <c r="BN26" s="1195" t="s">
        <v>1538</v>
      </c>
      <c r="BO26" s="1195" t="s">
        <v>1537</v>
      </c>
      <c r="BP26" s="92">
        <v>-0.5</v>
      </c>
      <c r="BQ26" s="48">
        <f t="shared" si="5"/>
        <v>3.3</v>
      </c>
      <c r="BR26" s="48" t="e">
        <f t="shared" si="3"/>
        <v>#N/A</v>
      </c>
      <c r="BS26" s="792">
        <f t="shared" si="4"/>
        <v>-0.19047619047619047</v>
      </c>
      <c r="BY26" s="802"/>
      <c r="CI26" s="49"/>
    </row>
    <row r="27" spans="2:87" ht="14.25" customHeight="1">
      <c r="E27" s="1263" t="s">
        <v>142</v>
      </c>
      <c r="F27" s="900"/>
      <c r="G27" s="900"/>
      <c r="H27" s="900"/>
      <c r="I27" s="921"/>
      <c r="J27" s="1264"/>
      <c r="K27" s="900"/>
      <c r="L27" s="900"/>
      <c r="M27" s="900"/>
      <c r="N27" s="900"/>
      <c r="O27" s="1265"/>
      <c r="P27" s="900"/>
      <c r="Q27" s="900"/>
      <c r="R27" s="900"/>
      <c r="S27" s="902"/>
      <c r="AA27" s="83">
        <f t="shared" si="1"/>
        <v>4.558095238095238E-4</v>
      </c>
      <c r="AB27" s="1208"/>
      <c r="AC27" s="48"/>
      <c r="AD27" s="48"/>
      <c r="AE27" s="48"/>
      <c r="AF27" s="48"/>
      <c r="AG27" s="48"/>
      <c r="AH27" s="48"/>
      <c r="AI27" s="802">
        <f t="shared" si="2"/>
        <v>4.558095238095238E-4</v>
      </c>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H27" s="53" t="s">
        <v>817</v>
      </c>
      <c r="BI27" s="1266">
        <f>R9</f>
        <v>0.30952380952380953</v>
      </c>
      <c r="BJ27" s="1266">
        <f>1-BI27</f>
        <v>0.69047619047619047</v>
      </c>
      <c r="BK27" s="51">
        <f>2*O9+$BI$2^2</f>
        <v>159.84145882069413</v>
      </c>
      <c r="BL27" s="51">
        <f>$BI$2*SQRT($BI$2^2+4*O9*BJ27)</f>
        <v>29.022694427204872</v>
      </c>
      <c r="BM27" s="51">
        <f>2*(O11+$BI$2^2)</f>
        <v>511.68291764138826</v>
      </c>
      <c r="BN27" s="1198">
        <f>(BK27-BL27)/BM27</f>
        <v>0.25566373213415206</v>
      </c>
      <c r="BO27" s="1198">
        <f>(BK27+BL27)/BM27</f>
        <v>0.36910388589572574</v>
      </c>
      <c r="BP27" s="92">
        <v>-0.6</v>
      </c>
      <c r="BQ27" s="48">
        <f t="shared" si="5"/>
        <v>3.3</v>
      </c>
      <c r="BR27" s="48" t="e">
        <f t="shared" si="3"/>
        <v>#N/A</v>
      </c>
      <c r="BS27" s="792">
        <f t="shared" si="4"/>
        <v>-0.29047619047619044</v>
      </c>
      <c r="BY27" s="802"/>
      <c r="CI27" s="49"/>
    </row>
    <row r="28" spans="2:87" ht="12" customHeight="1">
      <c r="E28" s="903"/>
      <c r="F28" s="906"/>
      <c r="G28" s="906"/>
      <c r="H28" s="906"/>
      <c r="I28" s="906"/>
      <c r="J28" s="1267" t="s">
        <v>143</v>
      </c>
      <c r="K28" s="906"/>
      <c r="L28" s="906"/>
      <c r="M28" s="906"/>
      <c r="N28" s="906"/>
      <c r="O28" s="1267" t="s">
        <v>144</v>
      </c>
      <c r="P28" s="906"/>
      <c r="Q28" s="906"/>
      <c r="R28" s="906"/>
      <c r="S28" s="907"/>
      <c r="AA28" s="83">
        <f t="shared" si="1"/>
        <v>4.558095238095238E-4</v>
      </c>
      <c r="AB28" s="48"/>
      <c r="AC28" s="48"/>
      <c r="AD28" s="48"/>
      <c r="AE28" s="48"/>
      <c r="AF28" s="48"/>
      <c r="AG28" s="48"/>
      <c r="AH28" s="48"/>
      <c r="AI28" s="802">
        <f t="shared" si="2"/>
        <v>4.558095238095238E-4</v>
      </c>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H28" s="961" t="s">
        <v>818</v>
      </c>
      <c r="BI28" s="1268">
        <f>Y9</f>
        <v>0.5</v>
      </c>
      <c r="BJ28" s="1268">
        <f>1-BI28</f>
        <v>0.5</v>
      </c>
      <c r="BK28" s="1269">
        <f>2*V9+$BI$2^2</f>
        <v>23.841458820694125</v>
      </c>
      <c r="BL28" s="1269">
        <f>$BI$2*SQRT($BI$2^2+4*V9*BJ28)</f>
        <v>9.5700565455472208</v>
      </c>
      <c r="BM28" s="1269">
        <f>2*(V11+$BI$2^2)</f>
        <v>47.682917641388251</v>
      </c>
      <c r="BN28" s="1270">
        <f>(BK28-BL28)/BM28</f>
        <v>0.29929800819821234</v>
      </c>
      <c r="BO28" s="1270">
        <f>(BK28+BL28)/BM28</f>
        <v>0.7007019918017876</v>
      </c>
      <c r="BP28" s="92">
        <v>-0.7</v>
      </c>
      <c r="BQ28" s="48">
        <f t="shared" si="5"/>
        <v>3.3</v>
      </c>
      <c r="BR28" s="48" t="e">
        <f t="shared" si="3"/>
        <v>#N/A</v>
      </c>
      <c r="BS28" s="792">
        <f t="shared" si="4"/>
        <v>-0.39047619047619042</v>
      </c>
      <c r="BY28" s="802"/>
      <c r="CI28" s="49"/>
    </row>
    <row r="29" spans="2:87" ht="12" customHeight="1">
      <c r="E29" s="903"/>
      <c r="F29" s="906"/>
      <c r="G29" s="906"/>
      <c r="H29" s="906"/>
      <c r="I29" s="1271" t="s">
        <v>1189</v>
      </c>
      <c r="J29" s="1324" t="s">
        <v>873</v>
      </c>
      <c r="K29" s="1325"/>
      <c r="L29" s="1325"/>
      <c r="M29" s="1325"/>
      <c r="N29" s="1326"/>
      <c r="O29" s="1327" t="s">
        <v>874</v>
      </c>
      <c r="P29" s="1328"/>
      <c r="Q29" s="1329"/>
      <c r="R29" s="906"/>
      <c r="S29" s="907"/>
      <c r="AA29" s="83">
        <f t="shared" si="1"/>
        <v>4.558095238095238E-4</v>
      </c>
      <c r="AB29" s="48"/>
      <c r="AC29" s="48"/>
      <c r="AD29" s="48"/>
      <c r="AE29" s="48"/>
      <c r="AF29" s="48"/>
      <c r="AG29" s="48"/>
      <c r="AH29" s="48"/>
      <c r="AI29" s="802">
        <f t="shared" si="2"/>
        <v>4.558095238095238E-4</v>
      </c>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H29" s="53" t="s">
        <v>803</v>
      </c>
      <c r="BI29" s="1266">
        <f>R9</f>
        <v>0.30952380952380953</v>
      </c>
      <c r="BJ29" s="1266">
        <f>1-BI29</f>
        <v>0.69047619047619047</v>
      </c>
      <c r="BK29" s="51">
        <f>2*O9+ztwoprop^2</f>
        <v>159.08908952607749</v>
      </c>
      <c r="BL29" s="51">
        <f>ztwoprop*SQRT(ztwoprop^2+4*O9*BJ29)</f>
        <v>25.981158898670351</v>
      </c>
      <c r="BM29" s="51">
        <f>2*(O11+ztwoprop^2)</f>
        <v>510.17817905215497</v>
      </c>
      <c r="BN29" s="1198">
        <f>(BK29-BL29)/BM29</f>
        <v>0.26090478992007154</v>
      </c>
      <c r="BO29" s="1198">
        <f>(BK29+BL29)/BM29</f>
        <v>0.36275610369809308</v>
      </c>
      <c r="BP29" s="92">
        <v>-0.8</v>
      </c>
      <c r="BQ29" s="48">
        <f t="shared" si="5"/>
        <v>3.3</v>
      </c>
      <c r="BR29" s="48" t="e">
        <f t="shared" si="3"/>
        <v>#N/A</v>
      </c>
      <c r="BS29" s="792">
        <f t="shared" si="4"/>
        <v>-0.49047619047619051</v>
      </c>
      <c r="BY29" s="802"/>
      <c r="CI29" s="49"/>
    </row>
    <row r="30" spans="2:87" ht="12" customHeight="1">
      <c r="E30" s="903"/>
      <c r="F30" s="906"/>
      <c r="G30" s="906" t="s">
        <v>1189</v>
      </c>
      <c r="H30" s="1272"/>
      <c r="I30" s="906"/>
      <c r="J30" s="1273" t="s">
        <v>871</v>
      </c>
      <c r="K30" s="1333" t="s">
        <v>872</v>
      </c>
      <c r="L30" s="1334"/>
      <c r="M30" s="1334"/>
      <c r="N30" s="1335"/>
      <c r="O30" s="1274" t="s">
        <v>871</v>
      </c>
      <c r="P30" s="1333" t="s">
        <v>872</v>
      </c>
      <c r="Q30" s="1335"/>
      <c r="R30" s="1273" t="s">
        <v>875</v>
      </c>
      <c r="S30" s="907"/>
      <c r="AA30" s="83">
        <f t="shared" si="1"/>
        <v>4.558095238095238E-4</v>
      </c>
      <c r="AI30" s="802">
        <f t="shared" si="2"/>
        <v>4.558095238095238E-4</v>
      </c>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1266">
        <f>Y9</f>
        <v>0.5</v>
      </c>
      <c r="BJ30" s="1266">
        <f>1-BI30</f>
        <v>0.5</v>
      </c>
      <c r="BK30" s="1269">
        <f>2*V9+ztwoprop^2</f>
        <v>23.089089526077487</v>
      </c>
      <c r="BL30" s="1269">
        <f>ztwoprop*SQRT(ztwoprop^2+4*V9*BJ30)</f>
        <v>8.4453694188988209</v>
      </c>
      <c r="BM30" s="1269">
        <f>2*(V11+ztwoprop^2)</f>
        <v>46.178179052154974</v>
      </c>
      <c r="BN30" s="1270">
        <f>(BK30-BL30)/BM30</f>
        <v>0.31711341607124927</v>
      </c>
      <c r="BO30" s="1270">
        <f>(BK30+BL30)/BM30</f>
        <v>0.68288658392875079</v>
      </c>
      <c r="BP30" s="92">
        <v>-0.9</v>
      </c>
      <c r="BQ30" s="48">
        <f t="shared" si="5"/>
        <v>3.3</v>
      </c>
      <c r="BR30" s="48" t="e">
        <f t="shared" si="3"/>
        <v>#N/A</v>
      </c>
      <c r="BS30" s="792">
        <f t="shared" si="4"/>
        <v>-0.59047619047619049</v>
      </c>
      <c r="BY30" s="802"/>
      <c r="CI30" s="49"/>
    </row>
    <row r="31" spans="2:87" ht="12" customHeight="1">
      <c r="E31" s="903"/>
      <c r="F31" s="1275" t="s">
        <v>770</v>
      </c>
      <c r="G31" s="1324"/>
      <c r="H31" s="1325"/>
      <c r="I31" s="1326"/>
      <c r="J31" s="1276">
        <f>IF(xxandnn,O9,"")</f>
        <v>78</v>
      </c>
      <c r="K31" s="1330">
        <f>IF(xxandnn,R31*J35/R35,"")</f>
        <v>81.529411764705884</v>
      </c>
      <c r="L31" s="1331"/>
      <c r="M31" s="1331"/>
      <c r="N31" s="1332"/>
      <c r="O31" s="1277">
        <f>IF(xxandnn,V9,"")</f>
        <v>10</v>
      </c>
      <c r="P31" s="1330">
        <f>IF(xxandnn,R31*O35/R35,"")</f>
        <v>6.4705882352941178</v>
      </c>
      <c r="Q31" s="1332"/>
      <c r="R31" s="1278">
        <f>IF(xxandnn,J31+O31,"")</f>
        <v>88</v>
      </c>
      <c r="S31" s="907"/>
      <c r="AA31" s="83">
        <f t="shared" si="1"/>
        <v>4.558095238095238E-4</v>
      </c>
      <c r="AI31" s="802">
        <f t="shared" si="2"/>
        <v>4.558095238095238E-4</v>
      </c>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M31" s="53" t="s">
        <v>814</v>
      </c>
      <c r="BN31" s="1279" t="s">
        <v>809</v>
      </c>
      <c r="BO31" s="1279" t="s">
        <v>810</v>
      </c>
      <c r="BP31" s="92">
        <v>-1</v>
      </c>
      <c r="BQ31" s="48">
        <f t="shared" si="5"/>
        <v>3.3</v>
      </c>
      <c r="BR31" s="48" t="e">
        <f t="shared" si="3"/>
        <v>#N/A</v>
      </c>
      <c r="BS31" s="792">
        <f t="shared" si="4"/>
        <v>-0.69047619047619047</v>
      </c>
      <c r="BY31" s="802"/>
      <c r="CI31" s="49"/>
    </row>
    <row r="32" spans="2:87" ht="12" customHeight="1">
      <c r="E32" s="903"/>
      <c r="F32" s="1272"/>
      <c r="G32" s="906"/>
      <c r="H32" s="906"/>
      <c r="I32" s="906"/>
      <c r="J32" s="1280"/>
      <c r="K32" s="1281"/>
      <c r="L32" s="1281"/>
      <c r="M32" s="1281"/>
      <c r="N32" s="1282"/>
      <c r="O32" s="1280"/>
      <c r="P32" s="1281"/>
      <c r="Q32" s="1282"/>
      <c r="R32" s="906"/>
      <c r="S32" s="907"/>
      <c r="AA32" s="83">
        <f t="shared" si="1"/>
        <v>4.558095238095238E-4</v>
      </c>
      <c r="AI32" s="802">
        <f t="shared" si="2"/>
        <v>4.558095238095238E-4</v>
      </c>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1283" t="s">
        <v>879</v>
      </c>
      <c r="BI32" s="933"/>
      <c r="BN32" s="51">
        <f>$BI$16-SQRT((BI28-BN28)^2+(BO27-BI27)^2)</f>
        <v>-1.8882532804422369E-2</v>
      </c>
      <c r="BO32" s="51">
        <f>$BI$16+SQRT((BI27-BN27)^2+(BO28-BI28)^2)</f>
        <v>0.39827945669119658</v>
      </c>
      <c r="BP32" s="92">
        <v>-1.1000000000000001</v>
      </c>
      <c r="BQ32" s="48">
        <f t="shared" si="5"/>
        <v>3.3</v>
      </c>
      <c r="BR32" s="48" t="e">
        <f t="shared" si="3"/>
        <v>#N/A</v>
      </c>
      <c r="BS32" s="792">
        <f t="shared" si="4"/>
        <v>-0.79047619047619055</v>
      </c>
      <c r="BY32" s="802"/>
      <c r="CI32" s="49"/>
    </row>
    <row r="33" spans="5:87" s="1194" customFormat="1" ht="12" customHeight="1">
      <c r="E33" s="1284"/>
      <c r="F33" s="1285" t="s">
        <v>145</v>
      </c>
      <c r="G33" s="1324"/>
      <c r="H33" s="1325"/>
      <c r="I33" s="1326"/>
      <c r="J33" s="1286">
        <f>IF(xxandnn,J35-J31,"")</f>
        <v>174</v>
      </c>
      <c r="K33" s="1336">
        <f>IF(xxandnn,R33*J35/R35,"")</f>
        <v>170.47058823529412</v>
      </c>
      <c r="L33" s="1337"/>
      <c r="M33" s="1337"/>
      <c r="N33" s="1338"/>
      <c r="O33" s="1114">
        <f>IF(xxandnn,O35-O31,"")</f>
        <v>10</v>
      </c>
      <c r="P33" s="1336">
        <f>IF(xxandnn,R33*O35/R35,"")</f>
        <v>13.529411764705882</v>
      </c>
      <c r="Q33" s="1338"/>
      <c r="R33" s="1114">
        <f>IF(xxandnn,J33+O33,"")</f>
        <v>184</v>
      </c>
      <c r="S33" s="907"/>
      <c r="T33" s="1287"/>
      <c r="U33" s="1287"/>
      <c r="V33" s="1287"/>
      <c r="W33" s="1287"/>
      <c r="X33" s="1287"/>
      <c r="Y33" s="1287"/>
      <c r="Z33" s="1287"/>
      <c r="AA33" s="1288">
        <f t="shared" si="1"/>
        <v>4.558095238095238E-4</v>
      </c>
      <c r="AI33" s="802">
        <f t="shared" si="2"/>
        <v>4.558095238095238E-4</v>
      </c>
      <c r="AJ33" s="1288"/>
      <c r="AK33" s="1288"/>
      <c r="AL33" s="1288"/>
      <c r="AM33" s="1288"/>
      <c r="AN33" s="1288"/>
      <c r="AO33" s="1288"/>
      <c r="AP33" s="1288"/>
      <c r="AQ33" s="1288"/>
      <c r="AR33" s="1288"/>
      <c r="AS33" s="1288"/>
      <c r="AT33" s="1288"/>
      <c r="AU33" s="1288"/>
      <c r="AV33" s="1288"/>
      <c r="AW33" s="1288"/>
      <c r="AX33" s="1288"/>
      <c r="AY33" s="1288"/>
      <c r="AZ33" s="1288"/>
      <c r="BA33" s="1288"/>
      <c r="BB33" s="1288"/>
      <c r="BC33" s="1288"/>
      <c r="BD33" s="1288"/>
      <c r="BE33" s="1288"/>
      <c r="BF33" s="1288"/>
      <c r="BG33" s="1288"/>
      <c r="BH33" s="1289">
        <f>(J31-K31)^2/K31</f>
        <v>0.15278838808250586</v>
      </c>
      <c r="BI33" s="1290">
        <f>(O31-P31)^2/P31</f>
        <v>1.9251336898395721</v>
      </c>
      <c r="BN33" s="1174" t="s">
        <v>804</v>
      </c>
      <c r="BO33" s="1174" t="s">
        <v>805</v>
      </c>
      <c r="BP33" s="1291">
        <v>-1.2</v>
      </c>
      <c r="BQ33" s="1292">
        <f t="shared" si="5"/>
        <v>3.3</v>
      </c>
      <c r="BR33" s="48" t="e">
        <f t="shared" si="3"/>
        <v>#N/A</v>
      </c>
      <c r="BS33" s="792">
        <f t="shared" si="4"/>
        <v>-0.89047619047619042</v>
      </c>
      <c r="BY33" s="802"/>
      <c r="CI33" s="49"/>
    </row>
    <row r="34" spans="5:87" s="1194" customFormat="1" ht="12" customHeight="1">
      <c r="E34" s="1284"/>
      <c r="F34" s="1272"/>
      <c r="G34" s="1293"/>
      <c r="H34" s="1293"/>
      <c r="I34" s="1293"/>
      <c r="J34" s="1294"/>
      <c r="K34" s="1295"/>
      <c r="L34" s="1281"/>
      <c r="M34" s="1281"/>
      <c r="N34" s="1282"/>
      <c r="O34" s="1280"/>
      <c r="P34" s="1281"/>
      <c r="Q34" s="1282"/>
      <c r="R34" s="906"/>
      <c r="S34" s="907"/>
      <c r="T34" s="1287"/>
      <c r="U34" s="1287"/>
      <c r="V34" s="1287"/>
      <c r="W34" s="1287"/>
      <c r="X34" s="1287"/>
      <c r="Y34" s="1287"/>
      <c r="Z34" s="1287"/>
      <c r="AA34" s="1288">
        <f t="shared" si="1"/>
        <v>4.558095238095238E-4</v>
      </c>
      <c r="AI34" s="802">
        <f t="shared" si="2"/>
        <v>4.558095238095238E-4</v>
      </c>
      <c r="AJ34" s="1288"/>
      <c r="AK34" s="1288"/>
      <c r="AL34" s="1288"/>
      <c r="AM34" s="1288"/>
      <c r="AN34" s="1288"/>
      <c r="AO34" s="1288"/>
      <c r="AP34" s="1288"/>
      <c r="AQ34" s="1288"/>
      <c r="AR34" s="1288"/>
      <c r="AS34" s="1288"/>
      <c r="AT34" s="1288"/>
      <c r="AU34" s="1288"/>
      <c r="AV34" s="1288"/>
      <c r="AW34" s="1288"/>
      <c r="AX34" s="1288"/>
      <c r="AY34" s="1288"/>
      <c r="AZ34" s="1288"/>
      <c r="BA34" s="1288"/>
      <c r="BB34" s="1288"/>
      <c r="BC34" s="1288"/>
      <c r="BE34" s="1288"/>
      <c r="BF34" s="1288"/>
      <c r="BG34" s="1288"/>
      <c r="BH34" s="1289">
        <f>(J33-K33)^2/K33</f>
        <v>7.307270734380715E-2</v>
      </c>
      <c r="BI34" s="1290">
        <f>(O33-P33)^2/P33</f>
        <v>0.92071611253196928</v>
      </c>
      <c r="BJ34" s="1174"/>
      <c r="BK34" s="1174"/>
      <c r="BL34" s="1174"/>
      <c r="BM34" s="1174"/>
      <c r="BN34" s="1296">
        <f>$BI$16-BN32</f>
        <v>0.20935872328061284</v>
      </c>
      <c r="BO34" s="1296">
        <f>BO32-$BI$16</f>
        <v>0.20780326621500611</v>
      </c>
      <c r="BP34" s="1291">
        <v>-1.3</v>
      </c>
      <c r="BQ34" s="1292">
        <f t="shared" si="5"/>
        <v>3.3</v>
      </c>
      <c r="BR34" s="48" t="e">
        <f t="shared" si="3"/>
        <v>#N/A</v>
      </c>
      <c r="BS34" s="792">
        <f t="shared" si="4"/>
        <v>-0.99047619047619051</v>
      </c>
      <c r="BY34" s="802"/>
      <c r="CI34" s="49"/>
    </row>
    <row r="35" spans="5:87" ht="12" customHeight="1">
      <c r="E35" s="903"/>
      <c r="F35" s="1275" t="s">
        <v>1185</v>
      </c>
      <c r="G35" s="906"/>
      <c r="H35" s="1297"/>
      <c r="I35" s="1224" t="s">
        <v>875</v>
      </c>
      <c r="J35" s="1298">
        <f>IF(xxandnn,O11,"")</f>
        <v>252</v>
      </c>
      <c r="K35" s="1336">
        <f>IF(xxandnn,K31+K33,"")</f>
        <v>252</v>
      </c>
      <c r="L35" s="1337"/>
      <c r="M35" s="1337"/>
      <c r="N35" s="1338"/>
      <c r="O35" s="1299">
        <f>IF(xxandnn,V11,"")</f>
        <v>20</v>
      </c>
      <c r="P35" s="1336">
        <f>IF(xxandnn,P31+P33,"")</f>
        <v>20</v>
      </c>
      <c r="Q35" s="1338"/>
      <c r="R35" s="1300">
        <f>IF(xxandnn,J35+O35,"")</f>
        <v>272</v>
      </c>
      <c r="S35" s="1301"/>
      <c r="AA35" s="83">
        <f t="shared" si="1"/>
        <v>4.558095238095238E-4</v>
      </c>
      <c r="AI35" s="802">
        <f t="shared" si="2"/>
        <v>4.558095238095238E-4</v>
      </c>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797">
        <f>BH33+BH34+BI33+BI34</f>
        <v>3.0717108977978542</v>
      </c>
      <c r="BI35" s="798"/>
      <c r="BJ35" s="1174"/>
      <c r="BK35" s="1174"/>
      <c r="BL35" s="1174"/>
      <c r="BM35" s="53" t="s">
        <v>803</v>
      </c>
      <c r="BN35" s="1279" t="s">
        <v>809</v>
      </c>
      <c r="BO35" s="1279" t="s">
        <v>810</v>
      </c>
      <c r="BP35" s="92">
        <v>-1.4</v>
      </c>
      <c r="BQ35" s="48">
        <f t="shared" si="5"/>
        <v>3.3</v>
      </c>
      <c r="BR35" s="48" t="e">
        <f t="shared" si="3"/>
        <v>#N/A</v>
      </c>
      <c r="BS35" s="792">
        <f t="shared" si="4"/>
        <v>-1.0904761904761904</v>
      </c>
      <c r="BY35" s="802"/>
      <c r="CI35" s="49"/>
    </row>
    <row r="36" spans="5:87" ht="15" customHeight="1">
      <c r="E36" s="903"/>
      <c r="F36" s="906"/>
      <c r="G36" s="906"/>
      <c r="H36" s="906"/>
      <c r="I36" s="906"/>
      <c r="J36" s="906"/>
      <c r="K36" s="906"/>
      <c r="L36" s="1293"/>
      <c r="M36" s="1293"/>
      <c r="N36" s="1293"/>
      <c r="O36" s="1293"/>
      <c r="P36" s="1293"/>
      <c r="Q36" s="1293"/>
      <c r="R36" s="1293"/>
      <c r="S36" s="1301"/>
      <c r="AA36" s="83">
        <f t="shared" si="1"/>
        <v>4.558095238095238E-4</v>
      </c>
      <c r="AI36" s="802">
        <f t="shared" si="2"/>
        <v>4.558095238095238E-4</v>
      </c>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I36" s="1202"/>
      <c r="BJ36" s="1202"/>
      <c r="BK36" s="1202"/>
      <c r="BL36" s="1202"/>
      <c r="BM36" s="1202"/>
      <c r="BN36" s="51">
        <f>$BI$16-SQRT((BI30-BN30)^2+(BO29-BI29)^2)</f>
        <v>-1.5378915640962276E-9</v>
      </c>
      <c r="BO36" s="51">
        <f>$BI$16+SQRT((BI29-BN29)^2+(BO30-BI30)^2)</f>
        <v>0.37971495935919886</v>
      </c>
      <c r="BP36" s="92">
        <v>-1.5</v>
      </c>
      <c r="BQ36" s="48">
        <f t="shared" si="5"/>
        <v>3.3</v>
      </c>
      <c r="BR36" s="48" t="e">
        <f t="shared" si="3"/>
        <v>#N/A</v>
      </c>
      <c r="BS36" s="792">
        <f t="shared" si="4"/>
        <v>-1.1904761904761905</v>
      </c>
      <c r="BY36" s="802"/>
      <c r="CI36" s="49"/>
    </row>
    <row r="37" spans="5:87" ht="13.5" customHeight="1">
      <c r="E37" s="1302">
        <v>10</v>
      </c>
      <c r="F37" s="133"/>
      <c r="G37" s="1303" t="s">
        <v>878</v>
      </c>
      <c r="H37" s="133"/>
      <c r="I37" s="1304" t="s">
        <v>146</v>
      </c>
      <c r="J37" s="1305">
        <f>IF(xxandnn,IF(BN2,"",(J31-K31)^2/K31+(J33-K33)^2/K33+(O31-P31)^2/P31+(O33-P33)^2/P33),"")</f>
        <v>3.0717108977978542</v>
      </c>
      <c r="K37" s="133"/>
      <c r="L37" s="1306" t="s">
        <v>1187</v>
      </c>
      <c r="M37" s="1307">
        <v>1</v>
      </c>
      <c r="N37" s="133"/>
      <c r="O37" s="1306" t="s">
        <v>967</v>
      </c>
      <c r="P37" s="1308">
        <f>IF(xxandnn,IF(BN2,"",CHIDIST(J37,M37)),"")</f>
        <v>7.9665607302015759E-2</v>
      </c>
      <c r="Q37" s="133"/>
      <c r="R37" s="133"/>
      <c r="S37" s="835"/>
      <c r="AA37" s="83">
        <f t="shared" si="1"/>
        <v>4.558095238095238E-4</v>
      </c>
      <c r="AI37" s="802">
        <f t="shared" si="2"/>
        <v>4.558095238095238E-4</v>
      </c>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1174" t="s">
        <v>804</v>
      </c>
      <c r="BO37" s="1174" t="s">
        <v>805</v>
      </c>
      <c r="BP37" s="92">
        <v>-1.6</v>
      </c>
      <c r="BQ37" s="48">
        <f t="shared" si="5"/>
        <v>3.3</v>
      </c>
      <c r="BR37" s="48" t="e">
        <f t="shared" si="3"/>
        <v>#N/A</v>
      </c>
      <c r="BS37" s="792">
        <f t="shared" si="4"/>
        <v>-1.2904761904761906</v>
      </c>
      <c r="BY37" s="802"/>
      <c r="CI37" s="49"/>
    </row>
    <row r="38" spans="5:87" ht="12.75" customHeight="1">
      <c r="E38" s="137"/>
      <c r="F38" s="383"/>
      <c r="G38" s="383"/>
      <c r="H38" s="383"/>
      <c r="I38" s="383"/>
      <c r="J38" s="383"/>
      <c r="K38" s="383"/>
      <c r="L38" s="383"/>
      <c r="M38" s="383"/>
      <c r="N38" s="383"/>
      <c r="O38" s="383"/>
      <c r="P38" s="383"/>
      <c r="Q38" s="383"/>
      <c r="R38" s="383"/>
      <c r="S38" s="134"/>
      <c r="AA38" s="83"/>
      <c r="AI38" s="802"/>
      <c r="BN38" s="1296">
        <f>$BI$16-BN36</f>
        <v>0.19047619201408203</v>
      </c>
      <c r="BO38" s="1296">
        <f>BO36-$BI$16</f>
        <v>0.18923876888300839</v>
      </c>
      <c r="BP38" s="92">
        <v>-1.7</v>
      </c>
      <c r="BQ38" s="48">
        <f t="shared" si="5"/>
        <v>3.3</v>
      </c>
      <c r="BR38" s="48" t="e">
        <f t="shared" si="3"/>
        <v>#N/A</v>
      </c>
      <c r="BS38" s="792">
        <f t="shared" si="4"/>
        <v>-1.3904761904761904</v>
      </c>
      <c r="CI38" s="49"/>
    </row>
    <row r="39" spans="5:87" ht="12" customHeight="1">
      <c r="E39" s="90"/>
      <c r="F39" s="89"/>
      <c r="G39" s="89"/>
      <c r="H39" s="1309"/>
      <c r="I39" s="1079" t="s">
        <v>147</v>
      </c>
      <c r="J39" s="1310">
        <f>IF(xxandnn,IF(BN2,"",SQRT(J37/R35)),"")</f>
        <v>0.1062687854984503</v>
      </c>
      <c r="K39" s="89"/>
      <c r="L39" s="89"/>
      <c r="M39" s="89"/>
      <c r="N39" s="89"/>
      <c r="O39" s="89"/>
      <c r="P39" s="89"/>
      <c r="Q39" s="89"/>
      <c r="R39" s="89"/>
      <c r="S39" s="1080"/>
      <c r="AI39" s="802"/>
      <c r="BN39" s="502"/>
      <c r="BO39" s="502"/>
      <c r="BP39" s="92">
        <v>-1.8</v>
      </c>
      <c r="BQ39" s="48">
        <f t="shared" si="5"/>
        <v>3.3</v>
      </c>
      <c r="BR39" s="48" t="e">
        <f t="shared" si="3"/>
        <v>#N/A</v>
      </c>
      <c r="BS39" s="792">
        <f t="shared" si="4"/>
        <v>-1.4904761904761905</v>
      </c>
      <c r="CI39" s="49"/>
    </row>
    <row r="40" spans="5:87" ht="12" customHeight="1">
      <c r="F40" s="50"/>
      <c r="AB40" s="50"/>
      <c r="AC40" s="1311"/>
      <c r="AD40" s="50"/>
      <c r="AE40" s="50"/>
      <c r="BP40" s="826">
        <v>-1.9</v>
      </c>
      <c r="BQ40" s="454">
        <f t="shared" si="5"/>
        <v>3.3</v>
      </c>
      <c r="BR40" s="48" t="e">
        <f t="shared" si="3"/>
        <v>#N/A</v>
      </c>
      <c r="BS40" s="792">
        <f t="shared" si="4"/>
        <v>-1.5904761904761904</v>
      </c>
      <c r="CI40" s="49"/>
    </row>
    <row r="41" spans="5:87" ht="12" customHeight="1">
      <c r="AE41" s="50"/>
      <c r="CI41" s="49"/>
    </row>
    <row r="42" spans="5:87" ht="12" customHeight="1">
      <c r="AB42" s="1287"/>
      <c r="CI42" s="49"/>
    </row>
    <row r="43" spans="5:87" ht="12" customHeight="1">
      <c r="AB43" s="1312"/>
      <c r="AE43" s="50"/>
      <c r="CI43" s="49"/>
    </row>
    <row r="44" spans="5:87" ht="12" customHeight="1">
      <c r="AB44" s="50"/>
      <c r="CI44" s="49"/>
    </row>
    <row r="45" spans="5:87" ht="12" customHeight="1">
      <c r="AB45" s="50"/>
      <c r="AC45" s="50"/>
      <c r="AD45" s="50"/>
      <c r="AE45" s="50"/>
      <c r="CI45" s="49"/>
    </row>
    <row r="46" spans="5:87" ht="12" customHeight="1">
      <c r="AB46" s="50"/>
      <c r="AD46" s="50"/>
      <c r="AE46" s="50"/>
      <c r="CI46" s="49"/>
    </row>
    <row r="47" spans="5:87" ht="12" customHeight="1">
      <c r="CI47" s="49"/>
    </row>
    <row r="48" spans="5:87" ht="12" customHeight="1">
      <c r="CI48" s="49"/>
    </row>
    <row r="49" spans="87:87" ht="12" customHeight="1">
      <c r="CI49" s="49"/>
    </row>
    <row r="50" spans="87:87" ht="12" customHeight="1">
      <c r="CI50" s="49"/>
    </row>
    <row r="51" spans="87:87" ht="12" customHeight="1">
      <c r="CI51" s="49"/>
    </row>
    <row r="52" spans="87:87" ht="12" customHeight="1">
      <c r="CI52" s="49"/>
    </row>
    <row r="53" spans="87:87" ht="12" customHeight="1">
      <c r="CI53" s="49"/>
    </row>
    <row r="54" spans="87:87" ht="12" customHeight="1">
      <c r="CI54" s="49"/>
    </row>
    <row r="55" spans="87:87" ht="12" customHeight="1">
      <c r="CI55" s="49"/>
    </row>
    <row r="56" spans="87:87" ht="12" customHeight="1">
      <c r="CI56" s="49"/>
    </row>
    <row r="57" spans="87:87" ht="12" customHeight="1">
      <c r="CI57" s="49"/>
    </row>
    <row r="58" spans="87:87" ht="12" customHeight="1">
      <c r="CI58" s="49"/>
    </row>
    <row r="59" spans="87:87" ht="12" customHeight="1">
      <c r="CI59" s="49"/>
    </row>
    <row r="60" spans="87:87" ht="12" customHeight="1">
      <c r="CI60" s="49"/>
    </row>
    <row r="61" spans="87:87" ht="12" customHeight="1">
      <c r="CI61" s="49"/>
    </row>
    <row r="62" spans="87:87" ht="12" customHeight="1">
      <c r="CI62" s="49"/>
    </row>
    <row r="63" spans="87:87" ht="12" customHeight="1">
      <c r="CI63" s="49"/>
    </row>
    <row r="64" spans="87:87" ht="12" customHeight="1">
      <c r="CI64" s="49"/>
    </row>
    <row r="65" spans="87:87" ht="12" customHeight="1">
      <c r="CI65" s="49"/>
    </row>
    <row r="66" spans="87:87" ht="12" customHeight="1">
      <c r="CI66" s="49"/>
    </row>
    <row r="67" spans="87:87" ht="12" customHeight="1">
      <c r="CI67" s="49"/>
    </row>
    <row r="68" spans="87:87" ht="12" customHeight="1">
      <c r="CI68" s="49"/>
    </row>
    <row r="69" spans="87:87" ht="12" customHeight="1">
      <c r="CI69" s="49"/>
    </row>
    <row r="70" spans="87:87" ht="12" customHeight="1">
      <c r="CI70" s="49"/>
    </row>
    <row r="71" spans="87:87" ht="12" customHeight="1">
      <c r="CI71" s="49"/>
    </row>
    <row r="72" spans="87:87" ht="12" customHeight="1">
      <c r="CI72" s="49"/>
    </row>
    <row r="73" spans="87:87" ht="12" customHeight="1">
      <c r="CI73" s="49"/>
    </row>
    <row r="74" spans="87:87" ht="12" customHeight="1">
      <c r="CI74" s="49"/>
    </row>
    <row r="75" spans="87:87" ht="12" customHeight="1">
      <c r="CI75" s="49"/>
    </row>
    <row r="76" spans="87:87" ht="12" customHeight="1">
      <c r="CI76" s="49"/>
    </row>
    <row r="77" spans="87:87" ht="12" customHeight="1">
      <c r="CI77" s="49"/>
    </row>
    <row r="78" spans="87:87" ht="12" customHeight="1">
      <c r="CI78" s="49"/>
    </row>
    <row r="79" spans="87:87" ht="12" customHeight="1">
      <c r="CI79" s="49"/>
    </row>
    <row r="80" spans="87:87" ht="12" customHeight="1">
      <c r="CI80" s="49"/>
    </row>
    <row r="81" spans="87:87" ht="12" customHeight="1">
      <c r="CI81" s="49"/>
    </row>
    <row r="82" spans="87:87" ht="12" customHeight="1">
      <c r="CI82" s="49"/>
    </row>
    <row r="83" spans="87:87" ht="12" customHeight="1">
      <c r="CI83" s="49"/>
    </row>
    <row r="84" spans="87:87" ht="12" customHeight="1">
      <c r="CI84" s="49"/>
    </row>
    <row r="85" spans="87:87" ht="12" customHeight="1">
      <c r="CI85" s="49"/>
    </row>
    <row r="86" spans="87:87" ht="12" customHeight="1">
      <c r="CI86" s="49"/>
    </row>
    <row r="87" spans="87:87" ht="12" customHeight="1">
      <c r="CI87" s="49"/>
    </row>
    <row r="88" spans="87:87" ht="12" customHeight="1">
      <c r="CI88" s="49"/>
    </row>
    <row r="89" spans="87:87" ht="12" customHeight="1">
      <c r="CI89" s="49"/>
    </row>
    <row r="90" spans="87:87" ht="12" customHeight="1">
      <c r="CI90" s="49"/>
    </row>
    <row r="91" spans="87:87" ht="12" customHeight="1">
      <c r="CI91" s="49"/>
    </row>
    <row r="92" spans="87:87" ht="12" customHeight="1">
      <c r="CI92" s="49"/>
    </row>
    <row r="93" spans="87:87" ht="12" customHeight="1">
      <c r="CI93" s="49"/>
    </row>
    <row r="94" spans="87:87" ht="12" customHeight="1">
      <c r="CI94" s="49"/>
    </row>
    <row r="95" spans="87:87" ht="12" customHeight="1">
      <c r="CI95" s="49"/>
    </row>
    <row r="96" spans="87:87" ht="12" customHeight="1">
      <c r="CI96" s="49"/>
    </row>
    <row r="97" spans="87:87" ht="12" customHeight="1">
      <c r="CI97" s="49"/>
    </row>
    <row r="98" spans="87:87" ht="12" customHeight="1">
      <c r="CI98" s="49"/>
    </row>
    <row r="99" spans="87:87" ht="12" customHeight="1">
      <c r="CI99" s="49"/>
    </row>
    <row r="100" spans="87:87" ht="12" customHeight="1">
      <c r="CI100" s="49"/>
    </row>
    <row r="101" spans="87:87" ht="12" customHeight="1">
      <c r="CI101" s="49"/>
    </row>
    <row r="102" spans="87:87" ht="12" customHeight="1">
      <c r="CI102" s="49"/>
    </row>
    <row r="103" spans="87:87" ht="12" customHeight="1">
      <c r="CI103" s="49"/>
    </row>
    <row r="104" spans="87:87" ht="12" customHeight="1">
      <c r="CI104" s="49"/>
    </row>
    <row r="105" spans="87:87" ht="12" customHeight="1">
      <c r="CI105" s="49"/>
    </row>
    <row r="106" spans="87:87" ht="12" customHeight="1">
      <c r="CI106" s="49"/>
    </row>
    <row r="107" spans="87:87" ht="12" customHeight="1">
      <c r="CI107" s="49"/>
    </row>
    <row r="108" spans="87:87" ht="12" customHeight="1">
      <c r="CI108" s="49"/>
    </row>
    <row r="109" spans="87:87" ht="12" customHeight="1">
      <c r="CI109" s="49"/>
    </row>
    <row r="110" spans="87:87" ht="12" customHeight="1">
      <c r="CI110" s="49"/>
    </row>
    <row r="111" spans="87:87" ht="12" customHeight="1">
      <c r="CI111" s="49"/>
    </row>
    <row r="112" spans="87:87" ht="12" customHeight="1">
      <c r="CI112" s="49"/>
    </row>
    <row r="113" spans="87:87" ht="12" customHeight="1">
      <c r="CI113" s="49"/>
    </row>
    <row r="114" spans="87:87" ht="12" customHeight="1">
      <c r="CI114" s="49"/>
    </row>
    <row r="115" spans="87:87" ht="12" customHeight="1">
      <c r="CI115" s="49"/>
    </row>
    <row r="116" spans="87:87" ht="12" customHeight="1">
      <c r="CI116" s="49"/>
    </row>
    <row r="117" spans="87:87" ht="12" customHeight="1">
      <c r="CI117" s="49"/>
    </row>
    <row r="118" spans="87:87" ht="12" customHeight="1">
      <c r="CI118" s="49"/>
    </row>
    <row r="119" spans="87:87" ht="12" customHeight="1">
      <c r="CI119" s="49"/>
    </row>
    <row r="120" spans="87:87" ht="12" customHeight="1">
      <c r="CI120" s="49"/>
    </row>
    <row r="121" spans="87:87" ht="12" customHeight="1">
      <c r="CI121" s="49"/>
    </row>
    <row r="122" spans="87:87" ht="12" customHeight="1">
      <c r="CI122" s="49"/>
    </row>
    <row r="123" spans="87:87" ht="12" customHeight="1">
      <c r="CI123" s="49"/>
    </row>
    <row r="124" spans="87:87" ht="12" customHeight="1">
      <c r="CI124" s="49"/>
    </row>
    <row r="125" spans="87:87" ht="12" customHeight="1">
      <c r="CI125" s="49"/>
    </row>
    <row r="126" spans="87:87" ht="12" customHeight="1">
      <c r="CI126" s="49"/>
    </row>
    <row r="127" spans="87:87" ht="12" customHeight="1">
      <c r="CI127" s="49"/>
    </row>
    <row r="128" spans="87:87" ht="12" customHeight="1">
      <c r="CI128" s="49"/>
    </row>
    <row r="129" spans="87:87" ht="12" customHeight="1">
      <c r="CI129" s="49"/>
    </row>
    <row r="130" spans="87:87" ht="12" customHeight="1">
      <c r="CI130" s="49"/>
    </row>
    <row r="131" spans="87:87" ht="12" customHeight="1">
      <c r="CI131" s="49"/>
    </row>
    <row r="132" spans="87:87" ht="12" customHeight="1">
      <c r="CI132" s="49"/>
    </row>
    <row r="133" spans="87:87" ht="12" customHeight="1">
      <c r="CI133" s="49"/>
    </row>
    <row r="134" spans="87:87" ht="12" customHeight="1">
      <c r="CI134" s="49"/>
    </row>
    <row r="135" spans="87:87" ht="12" customHeight="1">
      <c r="CI135" s="49"/>
    </row>
    <row r="136" spans="87:87" ht="12" customHeight="1">
      <c r="CI136" s="49"/>
    </row>
    <row r="137" spans="87:87" ht="12" customHeight="1">
      <c r="CI137" s="49"/>
    </row>
    <row r="138" spans="87:87" ht="12" customHeight="1">
      <c r="CI138" s="49"/>
    </row>
    <row r="139" spans="87:87" ht="12" customHeight="1">
      <c r="CI139" s="49"/>
    </row>
    <row r="140" spans="87:87" ht="12" customHeight="1">
      <c r="CI140" s="49"/>
    </row>
    <row r="141" spans="87:87" ht="12" customHeight="1">
      <c r="CI141" s="49"/>
    </row>
    <row r="142" spans="87:87" ht="12" customHeight="1">
      <c r="CI142" s="49"/>
    </row>
    <row r="143" spans="87:87" ht="12" customHeight="1">
      <c r="CI143" s="49"/>
    </row>
    <row r="144" spans="87:87" ht="12" customHeight="1">
      <c r="CI144" s="49"/>
    </row>
    <row r="145" spans="87:87" ht="12" customHeight="1">
      <c r="CI145" s="49"/>
    </row>
    <row r="146" spans="87:87" ht="12" customHeight="1">
      <c r="CI146" s="49"/>
    </row>
    <row r="147" spans="87:87" ht="12" customHeight="1">
      <c r="CI147" s="49"/>
    </row>
    <row r="148" spans="87:87" ht="12" customHeight="1">
      <c r="CI148" s="49"/>
    </row>
    <row r="149" spans="87:87" ht="12" customHeight="1">
      <c r="CI149" s="49"/>
    </row>
    <row r="150" spans="87:87" ht="12" customHeight="1">
      <c r="CI150" s="49"/>
    </row>
    <row r="151" spans="87:87" ht="12" customHeight="1">
      <c r="CI151" s="49"/>
    </row>
    <row r="152" spans="87:87" ht="12" customHeight="1">
      <c r="CI152" s="49"/>
    </row>
    <row r="153" spans="87:87" ht="12" customHeight="1">
      <c r="CI153" s="49"/>
    </row>
    <row r="154" spans="87:87" ht="12" customHeight="1">
      <c r="CI154" s="49"/>
    </row>
    <row r="155" spans="87:87" ht="12" customHeight="1">
      <c r="CI155" s="49"/>
    </row>
    <row r="156" spans="87:87" ht="12" customHeight="1">
      <c r="CI156" s="49"/>
    </row>
    <row r="157" spans="87:87" ht="12" customHeight="1">
      <c r="CI157" s="49"/>
    </row>
    <row r="158" spans="87:87" ht="12" customHeight="1">
      <c r="CI158" s="49"/>
    </row>
    <row r="159" spans="87:87" ht="12" customHeight="1">
      <c r="CI159" s="49"/>
    </row>
    <row r="160" spans="87:87" ht="12" customHeight="1">
      <c r="CI160" s="49"/>
    </row>
    <row r="161" spans="87:87" ht="12" customHeight="1">
      <c r="CI161" s="49"/>
    </row>
    <row r="162" spans="87:87" ht="12" customHeight="1">
      <c r="CI162" s="49"/>
    </row>
    <row r="163" spans="87:87" ht="12" customHeight="1">
      <c r="CI163" s="49"/>
    </row>
    <row r="164" spans="87:87" ht="12" customHeight="1">
      <c r="CI164" s="49"/>
    </row>
    <row r="165" spans="87:87" ht="12" customHeight="1">
      <c r="CI165" s="49"/>
    </row>
    <row r="166" spans="87:87" ht="12" customHeight="1">
      <c r="CI166" s="49"/>
    </row>
    <row r="167" spans="87:87" ht="12" customHeight="1">
      <c r="CI167" s="49"/>
    </row>
    <row r="168" spans="87:87" ht="12" customHeight="1">
      <c r="CI168" s="49"/>
    </row>
    <row r="169" spans="87:87" ht="12" customHeight="1">
      <c r="CI169" s="49"/>
    </row>
    <row r="170" spans="87:87" ht="12" customHeight="1">
      <c r="CI170" s="49"/>
    </row>
    <row r="171" spans="87:87" ht="12" customHeight="1">
      <c r="CI171" s="49"/>
    </row>
    <row r="172" spans="87:87" ht="12" customHeight="1">
      <c r="CI172" s="49"/>
    </row>
    <row r="173" spans="87:87" ht="12" customHeight="1">
      <c r="CI173" s="49"/>
    </row>
    <row r="174" spans="87:87" ht="12" customHeight="1">
      <c r="CI174" s="49"/>
    </row>
    <row r="175" spans="87:87" ht="12" customHeight="1">
      <c r="CI175" s="49"/>
    </row>
    <row r="176" spans="87:87" ht="12" customHeight="1">
      <c r="CI176" s="49"/>
    </row>
    <row r="177" spans="87:87" ht="12" customHeight="1">
      <c r="CI177" s="49"/>
    </row>
    <row r="178" spans="87:87" ht="12" customHeight="1">
      <c r="CI178" s="49"/>
    </row>
    <row r="179" spans="87:87" ht="12" customHeight="1">
      <c r="CI179" s="49"/>
    </row>
    <row r="180" spans="87:87" ht="12" customHeight="1">
      <c r="CI180" s="49"/>
    </row>
    <row r="181" spans="87:87" ht="12" customHeight="1">
      <c r="CI181" s="49"/>
    </row>
    <row r="182" spans="87:87" ht="12" customHeight="1">
      <c r="CI182" s="49"/>
    </row>
    <row r="183" spans="87:87" ht="12" customHeight="1">
      <c r="CI183" s="49"/>
    </row>
    <row r="184" spans="87:87" ht="12" customHeight="1">
      <c r="CI184" s="49"/>
    </row>
    <row r="185" spans="87:87" ht="12" customHeight="1">
      <c r="CI185" s="49"/>
    </row>
    <row r="186" spans="87:87" ht="12" customHeight="1">
      <c r="CI186" s="49"/>
    </row>
    <row r="187" spans="87:87" ht="12" customHeight="1">
      <c r="CI187" s="49"/>
    </row>
    <row r="188" spans="87:87" ht="12" customHeight="1">
      <c r="CI188" s="49"/>
    </row>
    <row r="189" spans="87:87" ht="12" customHeight="1">
      <c r="CI189" s="49"/>
    </row>
    <row r="190" spans="87:87" ht="12" customHeight="1">
      <c r="CI190" s="49"/>
    </row>
    <row r="191" spans="87:87" ht="12" customHeight="1">
      <c r="CI191" s="49"/>
    </row>
    <row r="192" spans="87:87" ht="12" customHeight="1">
      <c r="CI192" s="49"/>
    </row>
    <row r="193" spans="85:87" ht="12" customHeight="1">
      <c r="CI193" s="49"/>
    </row>
    <row r="194" spans="85:87" ht="12" customHeight="1">
      <c r="CI194" s="49"/>
    </row>
    <row r="195" spans="85:87" ht="12" customHeight="1">
      <c r="CI195" s="49"/>
    </row>
    <row r="196" spans="85:87" ht="12" customHeight="1">
      <c r="CI196" s="49"/>
    </row>
    <row r="197" spans="85:87" ht="12" customHeight="1">
      <c r="CI197" s="49"/>
    </row>
    <row r="198" spans="85:87" ht="12" customHeight="1">
      <c r="CI198" s="49"/>
    </row>
    <row r="199" spans="85:87" ht="12" customHeight="1">
      <c r="CI199" s="49"/>
    </row>
    <row r="200" spans="85:87" ht="12" customHeight="1">
      <c r="CI200" s="49"/>
    </row>
    <row r="201" spans="85:87" ht="12" customHeight="1">
      <c r="CI201" s="49"/>
    </row>
    <row r="202" spans="85:87" ht="12" customHeight="1">
      <c r="CI202" s="49"/>
    </row>
    <row r="203" spans="85:87" ht="12" customHeight="1">
      <c r="CI203" s="49"/>
    </row>
    <row r="204" spans="85:87" ht="12" customHeight="1">
      <c r="CI204" s="49"/>
    </row>
    <row r="205" spans="85:87" ht="12" customHeight="1">
      <c r="CI205" s="49"/>
    </row>
    <row r="206" spans="85:87" ht="12" customHeight="1">
      <c r="CI206" s="49"/>
    </row>
    <row r="207" spans="85:87" ht="12" customHeight="1">
      <c r="CG207" s="49"/>
      <c r="CI207" s="49"/>
    </row>
    <row r="208" spans="85:87" ht="12" customHeight="1">
      <c r="CG208" s="49"/>
      <c r="CI208" s="49"/>
    </row>
    <row r="209" spans="85:87" ht="12" customHeight="1">
      <c r="CG209" s="49"/>
      <c r="CI209" s="49"/>
    </row>
    <row r="210" spans="85:87" ht="12" customHeight="1">
      <c r="CG210" s="49"/>
      <c r="CI210" s="49"/>
    </row>
    <row r="211" spans="85:87" ht="12" customHeight="1">
      <c r="CG211" s="49"/>
      <c r="CI211" s="49"/>
    </row>
    <row r="212" spans="85:87" ht="12" customHeight="1">
      <c r="CG212" s="49"/>
      <c r="CI212" s="49"/>
    </row>
    <row r="213" spans="85:87" ht="12" customHeight="1">
      <c r="CG213" s="49"/>
      <c r="CI213" s="49"/>
    </row>
    <row r="214" spans="85:87" ht="12" customHeight="1">
      <c r="CI214" s="49"/>
    </row>
    <row r="215" spans="85:87" ht="12" customHeight="1">
      <c r="CI215" s="49"/>
    </row>
    <row r="216" spans="85:87" ht="12" customHeight="1">
      <c r="CI216" s="49"/>
    </row>
    <row r="217" spans="85:87" ht="12" customHeight="1">
      <c r="CI217" s="49"/>
    </row>
    <row r="218" spans="85:87" ht="12" customHeight="1">
      <c r="CI218" s="49"/>
    </row>
    <row r="219" spans="85:87" ht="12" customHeight="1">
      <c r="CI219" s="49"/>
    </row>
    <row r="220" spans="85:87" ht="12" customHeight="1">
      <c r="CI220" s="49"/>
    </row>
    <row r="221" spans="85:87" ht="12" customHeight="1">
      <c r="CI221" s="49"/>
    </row>
    <row r="222" spans="85:87" ht="12" customHeight="1">
      <c r="CI222" s="49"/>
    </row>
    <row r="223" spans="85:87" ht="12" customHeight="1">
      <c r="CI223" s="49"/>
    </row>
    <row r="224" spans="85:87" ht="12" customHeight="1">
      <c r="CI224" s="49"/>
    </row>
    <row r="225" spans="87:87" ht="12" customHeight="1">
      <c r="CI225" s="49"/>
    </row>
    <row r="226" spans="87:87" ht="12" customHeight="1">
      <c r="CI226" s="49"/>
    </row>
    <row r="227" spans="87:87" ht="12" customHeight="1">
      <c r="CI227" s="49"/>
    </row>
    <row r="228" spans="87:87" ht="12" customHeight="1">
      <c r="CI228" s="49"/>
    </row>
    <row r="229" spans="87:87" ht="12" customHeight="1">
      <c r="CI229" s="49"/>
    </row>
    <row r="230" spans="87:87" ht="12" customHeight="1">
      <c r="CI230" s="49"/>
    </row>
    <row r="231" spans="87:87" ht="12" customHeight="1">
      <c r="CI231" s="49"/>
    </row>
    <row r="232" spans="87:87" ht="12" customHeight="1">
      <c r="CI232" s="49"/>
    </row>
    <row r="233" spans="87:87" ht="12" customHeight="1">
      <c r="CI233" s="49"/>
    </row>
    <row r="234" spans="87:87" ht="12" customHeight="1">
      <c r="CI234" s="49"/>
    </row>
    <row r="235" spans="87:87" ht="12" customHeight="1">
      <c r="CI235" s="49"/>
    </row>
    <row r="236" spans="87:87" ht="12" customHeight="1">
      <c r="CI236" s="49"/>
    </row>
    <row r="237" spans="87:87" ht="12" customHeight="1">
      <c r="CI237" s="49"/>
    </row>
    <row r="238" spans="87:87" ht="12" customHeight="1">
      <c r="CI238" s="49"/>
    </row>
    <row r="239" spans="87:87" ht="12" customHeight="1">
      <c r="CI239" s="49"/>
    </row>
    <row r="240" spans="87:87" ht="12" customHeight="1">
      <c r="CI240" s="49"/>
    </row>
    <row r="241" spans="87:87" ht="12" customHeight="1">
      <c r="CI241" s="49"/>
    </row>
    <row r="242" spans="87:87" ht="12" customHeight="1">
      <c r="CI242" s="49"/>
    </row>
    <row r="243" spans="87:87" ht="12" customHeight="1">
      <c r="CI243" s="49"/>
    </row>
    <row r="244" spans="87:87" ht="12" customHeight="1">
      <c r="CI244" s="49"/>
    </row>
    <row r="245" spans="87:87" ht="12" customHeight="1">
      <c r="CI245" s="49"/>
    </row>
    <row r="246" spans="87:87" ht="12" customHeight="1">
      <c r="CI246" s="49"/>
    </row>
    <row r="247" spans="87:87" ht="12" customHeight="1">
      <c r="CI247" s="49"/>
    </row>
    <row r="248" spans="87:87" ht="12" customHeight="1">
      <c r="CI248" s="49"/>
    </row>
    <row r="249" spans="87:87" ht="12" customHeight="1">
      <c r="CI249" s="49"/>
    </row>
    <row r="250" spans="87:87" ht="12" customHeight="1">
      <c r="CI250" s="49"/>
    </row>
    <row r="251" spans="87:87" ht="12" customHeight="1">
      <c r="CI251" s="49"/>
    </row>
    <row r="252" spans="87:87" ht="12" customHeight="1">
      <c r="CI252" s="49"/>
    </row>
    <row r="253" spans="87:87" ht="12" customHeight="1">
      <c r="CI253" s="49"/>
    </row>
    <row r="254" spans="87:87" ht="12" customHeight="1">
      <c r="CI254" s="49"/>
    </row>
    <row r="255" spans="87:87" ht="12" customHeight="1">
      <c r="CI255" s="49"/>
    </row>
    <row r="256" spans="87:87" ht="12" customHeight="1">
      <c r="CI256" s="49"/>
    </row>
    <row r="257" spans="87:87" ht="12" customHeight="1">
      <c r="CI257" s="49"/>
    </row>
    <row r="258" spans="87:87" ht="12" customHeight="1">
      <c r="CI258" s="49"/>
    </row>
    <row r="259" spans="87:87" ht="12" customHeight="1">
      <c r="CI259" s="49"/>
    </row>
    <row r="260" spans="87:87" ht="12" customHeight="1">
      <c r="CI260" s="49"/>
    </row>
    <row r="261" spans="87:87" ht="12" customHeight="1">
      <c r="CI261" s="49"/>
    </row>
    <row r="262" spans="87:87" ht="12" customHeight="1">
      <c r="CI262" s="49"/>
    </row>
    <row r="263" spans="87:87" ht="12" customHeight="1">
      <c r="CI263" s="49"/>
    </row>
    <row r="264" spans="87:87" ht="12" customHeight="1">
      <c r="CI264" s="49"/>
    </row>
    <row r="265" spans="87:87" ht="12" customHeight="1">
      <c r="CI265" s="49"/>
    </row>
    <row r="266" spans="87:87" ht="12" customHeight="1">
      <c r="CI266" s="49"/>
    </row>
    <row r="267" spans="87:87" ht="12" customHeight="1">
      <c r="CI267" s="49"/>
    </row>
    <row r="268" spans="87:87" ht="12" customHeight="1">
      <c r="CI268" s="49"/>
    </row>
    <row r="269" spans="87:87" ht="12" customHeight="1">
      <c r="CI269" s="49"/>
    </row>
    <row r="270" spans="87:87" ht="12" customHeight="1">
      <c r="CI270" s="49"/>
    </row>
    <row r="271" spans="87:87" ht="12" customHeight="1">
      <c r="CI271" s="49"/>
    </row>
    <row r="272" spans="87:87" ht="12" customHeight="1">
      <c r="CI272" s="49"/>
    </row>
    <row r="273" spans="87:87" ht="12" customHeight="1">
      <c r="CI273" s="49"/>
    </row>
    <row r="274" spans="87:87" ht="12" customHeight="1">
      <c r="CI274" s="49"/>
    </row>
    <row r="275" spans="87:87" ht="12" customHeight="1">
      <c r="CI275" s="49"/>
    </row>
    <row r="276" spans="87:87" ht="12" customHeight="1">
      <c r="CI276" s="49"/>
    </row>
    <row r="277" spans="87:87" ht="12" customHeight="1">
      <c r="CI277" s="49"/>
    </row>
    <row r="278" spans="87:87" ht="12" customHeight="1">
      <c r="CI278" s="49"/>
    </row>
    <row r="279" spans="87:87" ht="12" customHeight="1">
      <c r="CI279" s="49"/>
    </row>
    <row r="280" spans="87:87" ht="12" customHeight="1">
      <c r="CI280" s="49"/>
    </row>
    <row r="281" spans="87:87" ht="12" customHeight="1">
      <c r="CI281" s="49"/>
    </row>
    <row r="282" spans="87:87" ht="12" customHeight="1">
      <c r="CI282" s="49"/>
    </row>
    <row r="283" spans="87:87" ht="12" customHeight="1">
      <c r="CI283" s="49"/>
    </row>
    <row r="284" spans="87:87" ht="12" customHeight="1">
      <c r="CI284" s="49"/>
    </row>
    <row r="285" spans="87:87" ht="12" customHeight="1">
      <c r="CI285" s="49"/>
    </row>
    <row r="286" spans="87:87" ht="12" customHeight="1">
      <c r="CI286" s="49"/>
    </row>
    <row r="287" spans="87:87" ht="12" customHeight="1">
      <c r="CI287" s="49"/>
    </row>
    <row r="288" spans="87:87" ht="12" customHeight="1">
      <c r="CI288" s="49"/>
    </row>
    <row r="289" spans="87:87" ht="12" customHeight="1">
      <c r="CI289" s="49"/>
    </row>
    <row r="290" spans="87:87" ht="12" customHeight="1">
      <c r="CI290" s="49"/>
    </row>
    <row r="291" spans="87:87" ht="12" customHeight="1">
      <c r="CI291" s="49"/>
    </row>
    <row r="292" spans="87:87" ht="12" customHeight="1">
      <c r="CI292" s="49"/>
    </row>
    <row r="293" spans="87:87" ht="12" customHeight="1">
      <c r="CI293" s="49"/>
    </row>
    <row r="294" spans="87:87" ht="12" customHeight="1">
      <c r="CI294" s="49"/>
    </row>
    <row r="295" spans="87:87" ht="12" customHeight="1">
      <c r="CI295" s="49"/>
    </row>
    <row r="296" spans="87:87" ht="12" customHeight="1">
      <c r="CI296" s="49"/>
    </row>
    <row r="297" spans="87:87" ht="12" customHeight="1">
      <c r="CI297" s="49"/>
    </row>
    <row r="298" spans="87:87" ht="12" customHeight="1">
      <c r="CI298" s="49"/>
    </row>
    <row r="299" spans="87:87" ht="12" customHeight="1">
      <c r="CI299" s="49"/>
    </row>
    <row r="300" spans="87:87" ht="12" customHeight="1">
      <c r="CI300" s="49"/>
    </row>
    <row r="301" spans="87:87" ht="12" customHeight="1">
      <c r="CI301" s="49"/>
    </row>
    <row r="302" spans="87:87" ht="12" customHeight="1">
      <c r="CI302" s="49"/>
    </row>
    <row r="303" spans="87:87" ht="12" customHeight="1">
      <c r="CI303" s="49"/>
    </row>
    <row r="304" spans="87:87" ht="12" customHeight="1">
      <c r="CI304" s="49"/>
    </row>
    <row r="305" spans="87:87" ht="12" customHeight="1">
      <c r="CI305" s="49"/>
    </row>
    <row r="306" spans="87:87" ht="12" customHeight="1">
      <c r="CI306" s="49"/>
    </row>
    <row r="307" spans="87:87" ht="12" customHeight="1">
      <c r="CI307" s="49"/>
    </row>
    <row r="308" spans="87:87" ht="12" customHeight="1">
      <c r="CI308" s="49"/>
    </row>
    <row r="309" spans="87:87" ht="12" customHeight="1">
      <c r="CI309" s="49"/>
    </row>
    <row r="310" spans="87:87" ht="12" customHeight="1">
      <c r="CI310" s="49"/>
    </row>
    <row r="311" spans="87:87" ht="12" customHeight="1">
      <c r="CI311" s="49"/>
    </row>
    <row r="312" spans="87:87" ht="12" customHeight="1">
      <c r="CI312" s="49"/>
    </row>
    <row r="313" spans="87:87" ht="12" customHeight="1">
      <c r="CI313" s="49"/>
    </row>
    <row r="314" spans="87:87" ht="12" customHeight="1">
      <c r="CI314" s="49"/>
    </row>
    <row r="315" spans="87:87" ht="12" customHeight="1">
      <c r="CI315" s="49"/>
    </row>
    <row r="316" spans="87:87" ht="12" customHeight="1">
      <c r="CI316" s="49"/>
    </row>
    <row r="317" spans="87:87" ht="12" customHeight="1">
      <c r="CI317" s="49"/>
    </row>
    <row r="318" spans="87:87" ht="12" customHeight="1">
      <c r="CI318" s="49"/>
    </row>
    <row r="319" spans="87:87" ht="12" customHeight="1">
      <c r="CI319" s="49"/>
    </row>
    <row r="320" spans="87:87" ht="12" customHeight="1">
      <c r="CI320" s="49"/>
    </row>
    <row r="321" spans="87:87" ht="12" customHeight="1">
      <c r="CI321" s="49"/>
    </row>
    <row r="322" spans="87:87" ht="12" customHeight="1">
      <c r="CI322" s="49"/>
    </row>
    <row r="323" spans="87:87" ht="12" customHeight="1">
      <c r="CI323" s="49"/>
    </row>
    <row r="324" spans="87:87" ht="12" customHeight="1">
      <c r="CI324" s="49"/>
    </row>
    <row r="325" spans="87:87" ht="12" customHeight="1">
      <c r="CI325" s="49"/>
    </row>
    <row r="326" spans="87:87" ht="12" customHeight="1">
      <c r="CI326" s="49"/>
    </row>
    <row r="327" spans="87:87" ht="12" customHeight="1">
      <c r="CI327" s="49"/>
    </row>
    <row r="328" spans="87:87" ht="12" customHeight="1">
      <c r="CI328" s="49"/>
    </row>
    <row r="329" spans="87:87" ht="12" customHeight="1">
      <c r="CI329" s="49"/>
    </row>
    <row r="330" spans="87:87" ht="12" customHeight="1">
      <c r="CI330" s="49"/>
    </row>
    <row r="331" spans="87:87" ht="12" customHeight="1">
      <c r="CI331" s="49"/>
    </row>
    <row r="332" spans="87:87" ht="12" customHeight="1">
      <c r="CI332" s="49"/>
    </row>
    <row r="333" spans="87:87" ht="12" customHeight="1">
      <c r="CI333" s="49"/>
    </row>
    <row r="334" spans="87:87" ht="12" customHeight="1">
      <c r="CI334" s="49"/>
    </row>
    <row r="335" spans="87:87" ht="12" customHeight="1">
      <c r="CI335" s="49"/>
    </row>
    <row r="336" spans="87:87" ht="12" customHeight="1">
      <c r="CI336" s="49"/>
    </row>
    <row r="337" spans="87:87" ht="12" customHeight="1">
      <c r="CI337" s="49"/>
    </row>
    <row r="338" spans="87:87" ht="12" customHeight="1">
      <c r="CI338" s="49"/>
    </row>
    <row r="339" spans="87:87" ht="12" customHeight="1">
      <c r="CI339" s="49"/>
    </row>
    <row r="340" spans="87:87" ht="12" customHeight="1">
      <c r="CI340" s="49"/>
    </row>
    <row r="341" spans="87:87" ht="12" customHeight="1">
      <c r="CI341" s="49"/>
    </row>
    <row r="342" spans="87:87" ht="12" customHeight="1">
      <c r="CI342" s="49"/>
    </row>
    <row r="343" spans="87:87" ht="12" customHeight="1">
      <c r="CI343" s="49"/>
    </row>
    <row r="344" spans="87:87" ht="12" customHeight="1">
      <c r="CI344" s="49"/>
    </row>
    <row r="345" spans="87:87" ht="12" customHeight="1">
      <c r="CI345" s="49"/>
    </row>
    <row r="346" spans="87:87" ht="12" customHeight="1">
      <c r="CI346" s="49"/>
    </row>
    <row r="347" spans="87:87" ht="12" customHeight="1">
      <c r="CI347" s="49"/>
    </row>
    <row r="348" spans="87:87" ht="12" customHeight="1">
      <c r="CI348" s="49"/>
    </row>
    <row r="349" spans="87:87" ht="12" customHeight="1">
      <c r="CI349" s="49"/>
    </row>
    <row r="350" spans="87:87" ht="12" customHeight="1">
      <c r="CI350" s="49"/>
    </row>
    <row r="351" spans="87:87" ht="12" customHeight="1">
      <c r="CI351" s="49"/>
    </row>
    <row r="352" spans="87:87" ht="12" customHeight="1">
      <c r="CI352" s="49"/>
    </row>
    <row r="353" spans="87:87" ht="12" customHeight="1">
      <c r="CI353" s="49"/>
    </row>
    <row r="354" spans="87:87" ht="12" customHeight="1">
      <c r="CI354" s="49"/>
    </row>
    <row r="355" spans="87:87" ht="12" customHeight="1">
      <c r="CI355" s="49"/>
    </row>
    <row r="356" spans="87:87" ht="12" customHeight="1">
      <c r="CI356" s="49"/>
    </row>
    <row r="357" spans="87:87" ht="12" customHeight="1">
      <c r="CI357" s="49"/>
    </row>
    <row r="358" spans="87:87" ht="12" customHeight="1">
      <c r="CI358" s="49"/>
    </row>
    <row r="359" spans="87:87" ht="12" customHeight="1">
      <c r="CI359" s="49"/>
    </row>
    <row r="360" spans="87:87" ht="12" customHeight="1">
      <c r="CI360" s="49"/>
    </row>
    <row r="361" spans="87:87" ht="12" customHeight="1">
      <c r="CI361" s="49"/>
    </row>
    <row r="362" spans="87:87" ht="12" customHeight="1">
      <c r="CI362" s="49"/>
    </row>
    <row r="363" spans="87:87" ht="12" customHeight="1">
      <c r="CI363" s="49"/>
    </row>
    <row r="364" spans="87:87" ht="12" customHeight="1">
      <c r="CI364" s="49"/>
    </row>
    <row r="365" spans="87:87" ht="12" customHeight="1">
      <c r="CI365" s="49"/>
    </row>
    <row r="366" spans="87:87" ht="12" customHeight="1">
      <c r="CI366" s="49"/>
    </row>
    <row r="367" spans="87:87" ht="12" customHeight="1">
      <c r="CI367" s="49"/>
    </row>
    <row r="368" spans="87:87" ht="12" customHeight="1">
      <c r="CI368" s="49"/>
    </row>
    <row r="369" spans="87:87" ht="12" customHeight="1">
      <c r="CI369" s="49"/>
    </row>
    <row r="370" spans="87:87" ht="12" customHeight="1">
      <c r="CI370" s="49"/>
    </row>
    <row r="371" spans="87:87" ht="12" customHeight="1">
      <c r="CI371" s="49"/>
    </row>
    <row r="372" spans="87:87" ht="12" customHeight="1">
      <c r="CI372" s="49"/>
    </row>
    <row r="373" spans="87:87" ht="12" customHeight="1">
      <c r="CI373" s="49"/>
    </row>
    <row r="374" spans="87:87" ht="12" customHeight="1">
      <c r="CI374" s="49"/>
    </row>
    <row r="375" spans="87:87" ht="12" customHeight="1">
      <c r="CI375" s="49"/>
    </row>
    <row r="376" spans="87:87" ht="12" customHeight="1">
      <c r="CI376" s="49"/>
    </row>
    <row r="377" spans="87:87" ht="12" customHeight="1">
      <c r="CI377" s="49"/>
    </row>
    <row r="378" spans="87:87" ht="12" customHeight="1">
      <c r="CI378" s="49"/>
    </row>
    <row r="379" spans="87:87" ht="12" customHeight="1">
      <c r="CI379" s="49"/>
    </row>
    <row r="380" spans="87:87" ht="12" customHeight="1">
      <c r="CI380" s="49"/>
    </row>
    <row r="381" spans="87:87" ht="12" customHeight="1">
      <c r="CI381" s="49"/>
    </row>
    <row r="382" spans="87:87" ht="12" customHeight="1">
      <c r="CI382" s="49"/>
    </row>
    <row r="383" spans="87:87" ht="12" customHeight="1">
      <c r="CI383" s="49"/>
    </row>
    <row r="384" spans="87:87" ht="12" customHeight="1">
      <c r="CI384" s="49"/>
    </row>
    <row r="385" spans="87:87" ht="12" customHeight="1">
      <c r="CI385" s="49"/>
    </row>
    <row r="386" spans="87:87" ht="12" customHeight="1">
      <c r="CI386" s="49"/>
    </row>
    <row r="387" spans="87:87" ht="12" customHeight="1">
      <c r="CI387" s="49"/>
    </row>
    <row r="388" spans="87:87" ht="12" customHeight="1">
      <c r="CI388" s="49"/>
    </row>
    <row r="389" spans="87:87" ht="12" customHeight="1">
      <c r="CI389" s="49"/>
    </row>
    <row r="390" spans="87:87" ht="12" customHeight="1">
      <c r="CI390" s="49"/>
    </row>
    <row r="391" spans="87:87" ht="12" customHeight="1">
      <c r="CI391" s="49"/>
    </row>
    <row r="392" spans="87:87" ht="12" customHeight="1">
      <c r="CI392" s="49"/>
    </row>
    <row r="393" spans="87:87" ht="12" customHeight="1">
      <c r="CI393" s="49"/>
    </row>
    <row r="394" spans="87:87" ht="12" customHeight="1">
      <c r="CI394" s="49"/>
    </row>
    <row r="395" spans="87:87" ht="12" customHeight="1">
      <c r="CI395" s="49"/>
    </row>
    <row r="396" spans="87:87" ht="12" customHeight="1">
      <c r="CI396" s="49"/>
    </row>
    <row r="397" spans="87:87" ht="12" customHeight="1">
      <c r="CI397" s="49"/>
    </row>
    <row r="398" spans="87:87" ht="12" customHeight="1">
      <c r="CI398" s="49"/>
    </row>
    <row r="399" spans="87:87" ht="12" customHeight="1">
      <c r="CI399" s="49"/>
    </row>
    <row r="400" spans="87:87" ht="12" customHeight="1">
      <c r="CI400" s="49"/>
    </row>
    <row r="401" spans="87:87" ht="12" customHeight="1">
      <c r="CI401" s="49"/>
    </row>
    <row r="402" spans="87:87" ht="12" customHeight="1">
      <c r="CI402" s="49"/>
    </row>
    <row r="403" spans="87:87" ht="12" customHeight="1">
      <c r="CI403" s="49"/>
    </row>
    <row r="404" spans="87:87" ht="12" customHeight="1">
      <c r="CI404" s="49"/>
    </row>
    <row r="405" spans="87:87" ht="12" customHeight="1">
      <c r="CI405" s="49"/>
    </row>
    <row r="406" spans="87:87" ht="12" customHeight="1">
      <c r="CI406" s="49"/>
    </row>
    <row r="407" spans="87:87" ht="12" customHeight="1">
      <c r="CI407" s="49"/>
    </row>
    <row r="408" spans="87:87" ht="12" customHeight="1">
      <c r="CI408" s="49"/>
    </row>
    <row r="409" spans="87:87" ht="12" customHeight="1">
      <c r="CI409" s="49"/>
    </row>
    <row r="410" spans="87:87" ht="12" customHeight="1">
      <c r="CI410" s="49"/>
    </row>
    <row r="411" spans="87:87" ht="12" customHeight="1">
      <c r="CI411" s="49"/>
    </row>
    <row r="412" spans="87:87" ht="12" customHeight="1">
      <c r="CI412" s="49"/>
    </row>
    <row r="413" spans="87:87" ht="12" customHeight="1">
      <c r="CI413" s="49"/>
    </row>
    <row r="414" spans="87:87" ht="12" customHeight="1">
      <c r="CI414" s="49"/>
    </row>
    <row r="415" spans="87:87" ht="12" customHeight="1">
      <c r="CI415" s="49"/>
    </row>
    <row r="416" spans="87:87" ht="12" customHeight="1">
      <c r="CI416" s="49"/>
    </row>
    <row r="417" spans="87:87" ht="12" customHeight="1">
      <c r="CI417" s="49"/>
    </row>
    <row r="418" spans="87:87" ht="12" customHeight="1">
      <c r="CI418" s="49"/>
    </row>
    <row r="419" spans="87:87" ht="12" customHeight="1">
      <c r="CI419" s="49"/>
    </row>
    <row r="420" spans="87:87" ht="12" customHeight="1">
      <c r="CI420" s="49"/>
    </row>
    <row r="421" spans="87:87" ht="12" customHeight="1">
      <c r="CI421" s="49"/>
    </row>
    <row r="422" spans="87:87" ht="12" customHeight="1">
      <c r="CI422" s="49"/>
    </row>
    <row r="423" spans="87:87" ht="12" customHeight="1">
      <c r="CI423" s="49"/>
    </row>
    <row r="424" spans="87:87" ht="12" customHeight="1">
      <c r="CI424" s="49"/>
    </row>
    <row r="425" spans="87:87" ht="12" customHeight="1">
      <c r="CI425" s="49"/>
    </row>
    <row r="426" spans="87:87" ht="12" customHeight="1">
      <c r="CI426" s="49"/>
    </row>
    <row r="427" spans="87:87" ht="12" customHeight="1">
      <c r="CI427" s="49"/>
    </row>
    <row r="428" spans="87:87" ht="12" customHeight="1">
      <c r="CI428" s="49"/>
    </row>
    <row r="429" spans="87:87" ht="12" customHeight="1">
      <c r="CI429" s="49"/>
    </row>
    <row r="430" spans="87:87" ht="12" customHeight="1">
      <c r="CI430" s="49"/>
    </row>
    <row r="431" spans="87:87" ht="12" customHeight="1">
      <c r="CI431" s="49"/>
    </row>
    <row r="432" spans="87:87" ht="12" customHeight="1">
      <c r="CI432" s="49"/>
    </row>
    <row r="433" spans="87:87" ht="12" customHeight="1">
      <c r="CI433" s="49"/>
    </row>
    <row r="434" spans="87:87" ht="12" customHeight="1">
      <c r="CI434" s="49"/>
    </row>
    <row r="435" spans="87:87" ht="12" customHeight="1">
      <c r="CI435" s="49"/>
    </row>
    <row r="436" spans="87:87" ht="12" customHeight="1">
      <c r="CI436" s="49"/>
    </row>
    <row r="437" spans="87:87" ht="12" customHeight="1">
      <c r="CI437" s="49"/>
    </row>
    <row r="438" spans="87:87" ht="12" customHeight="1">
      <c r="CI438" s="49"/>
    </row>
    <row r="439" spans="87:87" ht="12" customHeight="1">
      <c r="CI439" s="49"/>
    </row>
    <row r="440" spans="87:87" ht="12" customHeight="1">
      <c r="CI440" s="49"/>
    </row>
    <row r="441" spans="87:87" ht="12" customHeight="1">
      <c r="CI441" s="49"/>
    </row>
    <row r="442" spans="87:87" ht="12" customHeight="1">
      <c r="CI442" s="49"/>
    </row>
    <row r="443" spans="87:87" ht="12" customHeight="1">
      <c r="CI443" s="49"/>
    </row>
    <row r="444" spans="87:87" ht="12" customHeight="1">
      <c r="CI444" s="49"/>
    </row>
    <row r="445" spans="87:87" ht="12" customHeight="1">
      <c r="CI445" s="49"/>
    </row>
    <row r="446" spans="87:87" ht="12" customHeight="1">
      <c r="CI446" s="49"/>
    </row>
    <row r="447" spans="87:87" ht="12" customHeight="1">
      <c r="CI447" s="49"/>
    </row>
    <row r="448" spans="87:87" ht="12" customHeight="1">
      <c r="CI448" s="49"/>
    </row>
    <row r="449" spans="87:87" ht="12" customHeight="1">
      <c r="CI449" s="49"/>
    </row>
    <row r="450" spans="87:87" ht="12" customHeight="1">
      <c r="CI450" s="49"/>
    </row>
    <row r="451" spans="87:87" ht="12" customHeight="1">
      <c r="CI451" s="49"/>
    </row>
    <row r="452" spans="87:87" ht="12" customHeight="1">
      <c r="CI452" s="49"/>
    </row>
    <row r="453" spans="87:87" ht="12" customHeight="1">
      <c r="CI453" s="49"/>
    </row>
    <row r="454" spans="87:87" ht="12" customHeight="1">
      <c r="CI454" s="49"/>
    </row>
    <row r="455" spans="87:87" ht="12" customHeight="1">
      <c r="CI455" s="49"/>
    </row>
    <row r="456" spans="87:87" ht="12" customHeight="1">
      <c r="CI456" s="49"/>
    </row>
    <row r="457" spans="87:87" ht="12" customHeight="1">
      <c r="CI457" s="49"/>
    </row>
    <row r="458" spans="87:87" ht="12" customHeight="1">
      <c r="CI458" s="49"/>
    </row>
    <row r="459" spans="87:87" ht="12" customHeight="1">
      <c r="CI459" s="49"/>
    </row>
    <row r="460" spans="87:87" ht="12" customHeight="1">
      <c r="CI460" s="49"/>
    </row>
    <row r="461" spans="87:87" ht="12" customHeight="1">
      <c r="CI461" s="49"/>
    </row>
    <row r="462" spans="87:87" ht="12" customHeight="1">
      <c r="CI462" s="49"/>
    </row>
    <row r="463" spans="87:87" ht="12" customHeight="1">
      <c r="CI463" s="49"/>
    </row>
    <row r="464" spans="87:87" ht="12" customHeight="1">
      <c r="CI464" s="49"/>
    </row>
    <row r="465" spans="87:87" ht="12" customHeight="1">
      <c r="CI465" s="49"/>
    </row>
    <row r="466" spans="87:87" ht="12" customHeight="1">
      <c r="CI466" s="49"/>
    </row>
    <row r="467" spans="87:87" ht="12" customHeight="1">
      <c r="CI467" s="49"/>
    </row>
    <row r="468" spans="87:87" ht="12" customHeight="1">
      <c r="CI468" s="49"/>
    </row>
    <row r="469" spans="87:87" ht="12" customHeight="1">
      <c r="CI469" s="49"/>
    </row>
    <row r="470" spans="87:87" ht="12" customHeight="1">
      <c r="CI470" s="49"/>
    </row>
    <row r="471" spans="87:87" ht="12" customHeight="1">
      <c r="CI471" s="49"/>
    </row>
    <row r="472" spans="87:87" ht="12" customHeight="1">
      <c r="CI472" s="49"/>
    </row>
    <row r="473" spans="87:87" ht="12" customHeight="1">
      <c r="CI473" s="49"/>
    </row>
    <row r="474" spans="87:87" ht="12" customHeight="1">
      <c r="CI474" s="49"/>
    </row>
    <row r="475" spans="87:87" ht="12" customHeight="1">
      <c r="CI475" s="49"/>
    </row>
    <row r="476" spans="87:87" ht="12" customHeight="1">
      <c r="CI476" s="49"/>
    </row>
    <row r="477" spans="87:87" ht="12" customHeight="1">
      <c r="CI477" s="49"/>
    </row>
    <row r="478" spans="87:87" ht="12" customHeight="1">
      <c r="CI478" s="49"/>
    </row>
    <row r="479" spans="87:87" ht="12" customHeight="1">
      <c r="CI479" s="49"/>
    </row>
    <row r="480" spans="87:87" ht="12" customHeight="1">
      <c r="CI480" s="49"/>
    </row>
    <row r="481" spans="87:87" ht="12" customHeight="1">
      <c r="CI481" s="49"/>
    </row>
    <row r="482" spans="87:87" ht="12" customHeight="1">
      <c r="CI482" s="49"/>
    </row>
    <row r="483" spans="87:87" ht="12" customHeight="1">
      <c r="CI483" s="49"/>
    </row>
    <row r="484" spans="87:87" ht="12" customHeight="1">
      <c r="CI484" s="49"/>
    </row>
    <row r="485" spans="87:87" ht="12" customHeight="1">
      <c r="CI485" s="49"/>
    </row>
    <row r="486" spans="87:87" ht="12" customHeight="1">
      <c r="CI486" s="49"/>
    </row>
    <row r="487" spans="87:87" ht="12" customHeight="1">
      <c r="CI487" s="49"/>
    </row>
    <row r="488" spans="87:87" ht="12" customHeight="1">
      <c r="CI488" s="49"/>
    </row>
    <row r="489" spans="87:87" ht="12" customHeight="1">
      <c r="CI489" s="49"/>
    </row>
    <row r="490" spans="87:87" ht="12" customHeight="1">
      <c r="CI490" s="49"/>
    </row>
    <row r="491" spans="87:87" ht="12" customHeight="1">
      <c r="CI491" s="49"/>
    </row>
    <row r="492" spans="87:87" ht="12" customHeight="1">
      <c r="CI492" s="49"/>
    </row>
    <row r="493" spans="87:87" ht="12" customHeight="1">
      <c r="CI493" s="49"/>
    </row>
    <row r="494" spans="87:87" ht="12" customHeight="1">
      <c r="CI494" s="49"/>
    </row>
    <row r="495" spans="87:87" ht="12" customHeight="1">
      <c r="CI495" s="49"/>
    </row>
    <row r="496" spans="87:87" ht="12" customHeight="1">
      <c r="CI496" s="49"/>
    </row>
    <row r="497" spans="87:87" ht="12" customHeight="1">
      <c r="CI497" s="49"/>
    </row>
    <row r="498" spans="87:87" ht="12" customHeight="1">
      <c r="CI498" s="49"/>
    </row>
    <row r="499" spans="87:87" ht="12" customHeight="1">
      <c r="CI499" s="49"/>
    </row>
    <row r="500" spans="87:87" ht="12" customHeight="1">
      <c r="CI500" s="49"/>
    </row>
    <row r="501" spans="87:87" ht="12" customHeight="1">
      <c r="CI501" s="49"/>
    </row>
    <row r="502" spans="87:87" ht="12" customHeight="1">
      <c r="CI502" s="49"/>
    </row>
    <row r="503" spans="87:87" ht="12" customHeight="1">
      <c r="CI503" s="49"/>
    </row>
    <row r="504" spans="87:87" ht="12" customHeight="1">
      <c r="CI504" s="49"/>
    </row>
    <row r="505" spans="87:87" ht="12" customHeight="1">
      <c r="CI505" s="49"/>
    </row>
    <row r="506" spans="87:87" ht="12" customHeight="1">
      <c r="CI506" s="49"/>
    </row>
    <row r="507" spans="87:87" ht="12" customHeight="1">
      <c r="CI507" s="49"/>
    </row>
    <row r="508" spans="87:87" ht="12" customHeight="1">
      <c r="CI508" s="49"/>
    </row>
    <row r="509" spans="87:87" ht="12" customHeight="1">
      <c r="CI509" s="49"/>
    </row>
    <row r="510" spans="87:87" ht="12" customHeight="1">
      <c r="CI510" s="49"/>
    </row>
    <row r="511" spans="87:87" ht="12" customHeight="1">
      <c r="CI511" s="49"/>
    </row>
    <row r="512" spans="87:87" ht="12" customHeight="1">
      <c r="CI512" s="49"/>
    </row>
    <row r="513" spans="87:87" ht="12" customHeight="1">
      <c r="CI513" s="49"/>
    </row>
    <row r="514" spans="87:87" ht="12" customHeight="1">
      <c r="CI514" s="49"/>
    </row>
    <row r="515" spans="87:87" ht="12" customHeight="1">
      <c r="CI515" s="49"/>
    </row>
    <row r="516" spans="87:87" ht="12" customHeight="1">
      <c r="CI516" s="49"/>
    </row>
    <row r="517" spans="87:87" ht="12" customHeight="1">
      <c r="CI517" s="49"/>
    </row>
    <row r="518" spans="87:87" ht="12" customHeight="1">
      <c r="CI518" s="49"/>
    </row>
    <row r="519" spans="87:87" ht="12" customHeight="1">
      <c r="CI519" s="49"/>
    </row>
    <row r="520" spans="87:87" ht="12" customHeight="1">
      <c r="CI520" s="49"/>
    </row>
    <row r="521" spans="87:87" ht="12" customHeight="1">
      <c r="CI521" s="49"/>
    </row>
    <row r="522" spans="87:87" ht="12" customHeight="1">
      <c r="CI522" s="49"/>
    </row>
    <row r="523" spans="87:87" ht="12" customHeight="1">
      <c r="CI523" s="49"/>
    </row>
    <row r="524" spans="87:87" ht="12" customHeight="1">
      <c r="CI524" s="49"/>
    </row>
    <row r="525" spans="87:87" ht="12" customHeight="1">
      <c r="CI525" s="49"/>
    </row>
    <row r="526" spans="87:87" ht="12" customHeight="1">
      <c r="CI526" s="49"/>
    </row>
    <row r="527" spans="87:87" ht="12" customHeight="1">
      <c r="CI527" s="49"/>
    </row>
    <row r="528" spans="87:87" ht="12" customHeight="1">
      <c r="CI528" s="49"/>
    </row>
    <row r="529" spans="87:87" ht="12" customHeight="1">
      <c r="CI529" s="49"/>
    </row>
    <row r="530" spans="87:87" ht="12" customHeight="1">
      <c r="CI530" s="49"/>
    </row>
    <row r="531" spans="87:87" ht="12" customHeight="1">
      <c r="CI531" s="49"/>
    </row>
    <row r="532" spans="87:87" ht="12" customHeight="1">
      <c r="CI532" s="49"/>
    </row>
    <row r="533" spans="87:87" ht="12" customHeight="1">
      <c r="CI533" s="49"/>
    </row>
    <row r="534" spans="87:87" ht="12" customHeight="1">
      <c r="CI534" s="49"/>
    </row>
    <row r="535" spans="87:87" ht="12" customHeight="1">
      <c r="CI535" s="49"/>
    </row>
    <row r="536" spans="87:87" ht="12" customHeight="1">
      <c r="CI536" s="49"/>
    </row>
    <row r="537" spans="87:87" ht="12" customHeight="1">
      <c r="CI537" s="49"/>
    </row>
    <row r="538" spans="87:87" ht="12" customHeight="1">
      <c r="CI538" s="49"/>
    </row>
    <row r="539" spans="87:87" ht="12" customHeight="1">
      <c r="CI539" s="49"/>
    </row>
    <row r="540" spans="87:87" ht="12" customHeight="1">
      <c r="CI540" s="49"/>
    </row>
    <row r="541" spans="87:87" ht="12" customHeight="1">
      <c r="CI541" s="49"/>
    </row>
    <row r="542" spans="87:87" ht="12" customHeight="1">
      <c r="CI542" s="49"/>
    </row>
    <row r="543" spans="87:87" ht="12" customHeight="1">
      <c r="CI543" s="49"/>
    </row>
    <row r="544" spans="87:87" ht="12" customHeight="1">
      <c r="CI544" s="49"/>
    </row>
    <row r="545" spans="87:87" ht="12" customHeight="1">
      <c r="CI545" s="49"/>
    </row>
    <row r="546" spans="87:87" ht="12" customHeight="1">
      <c r="CI546" s="49"/>
    </row>
    <row r="547" spans="87:87" ht="12" customHeight="1">
      <c r="CI547" s="49"/>
    </row>
    <row r="548" spans="87:87" ht="12" customHeight="1">
      <c r="CI548" s="49"/>
    </row>
    <row r="549" spans="87:87" ht="12" customHeight="1">
      <c r="CI549" s="49"/>
    </row>
    <row r="550" spans="87:87" ht="12" customHeight="1">
      <c r="CI550" s="49"/>
    </row>
    <row r="551" spans="87:87" ht="12" customHeight="1">
      <c r="CI551" s="49"/>
    </row>
    <row r="552" spans="87:87" ht="12" customHeight="1">
      <c r="CI552" s="49"/>
    </row>
    <row r="553" spans="87:87" ht="12" customHeight="1">
      <c r="CI553" s="49"/>
    </row>
    <row r="554" spans="87:87" ht="12" customHeight="1">
      <c r="CI554" s="49"/>
    </row>
    <row r="555" spans="87:87" ht="12" customHeight="1">
      <c r="CI555" s="49"/>
    </row>
    <row r="556" spans="87:87" ht="12" customHeight="1">
      <c r="CI556" s="49"/>
    </row>
    <row r="557" spans="87:87" ht="12" customHeight="1">
      <c r="CI557" s="49"/>
    </row>
    <row r="558" spans="87:87" ht="12" customHeight="1">
      <c r="CI558" s="49"/>
    </row>
    <row r="559" spans="87:87" ht="12" customHeight="1">
      <c r="CI559" s="49"/>
    </row>
    <row r="560" spans="87:87" ht="12" customHeight="1">
      <c r="CI560" s="49"/>
    </row>
    <row r="561" spans="87:87" ht="12" customHeight="1">
      <c r="CI561" s="49"/>
    </row>
    <row r="562" spans="87:87" ht="12" customHeight="1">
      <c r="CI562" s="49"/>
    </row>
    <row r="563" spans="87:87" ht="12" customHeight="1">
      <c r="CI563" s="49"/>
    </row>
    <row r="564" spans="87:87" ht="12" customHeight="1">
      <c r="CI564" s="49"/>
    </row>
    <row r="565" spans="87:87" ht="12" customHeight="1">
      <c r="CI565" s="49"/>
    </row>
    <row r="566" spans="87:87" ht="12" customHeight="1">
      <c r="CI566" s="49"/>
    </row>
    <row r="567" spans="87:87" ht="12" customHeight="1">
      <c r="CI567" s="49"/>
    </row>
    <row r="568" spans="87:87" ht="12" customHeight="1">
      <c r="CI568" s="49"/>
    </row>
    <row r="569" spans="87:87" ht="12" customHeight="1">
      <c r="CI569" s="49"/>
    </row>
    <row r="570" spans="87:87" ht="12" customHeight="1">
      <c r="CI570" s="49"/>
    </row>
    <row r="571" spans="87:87" ht="12" customHeight="1">
      <c r="CI571" s="49"/>
    </row>
    <row r="572" spans="87:87" ht="12" customHeight="1">
      <c r="CI572" s="49"/>
    </row>
    <row r="573" spans="87:87" ht="12" customHeight="1">
      <c r="CI573" s="49"/>
    </row>
    <row r="574" spans="87:87" ht="12" customHeight="1">
      <c r="CI574" s="49"/>
    </row>
    <row r="575" spans="87:87" ht="12" customHeight="1">
      <c r="CI575" s="49"/>
    </row>
    <row r="576" spans="87:87" ht="12" customHeight="1">
      <c r="CI576" s="49"/>
    </row>
    <row r="577" spans="87:87" ht="12" customHeight="1">
      <c r="CI577" s="49"/>
    </row>
    <row r="578" spans="87:87" ht="12" customHeight="1">
      <c r="CI578" s="49"/>
    </row>
    <row r="579" spans="87:87" ht="12" customHeight="1">
      <c r="CI579" s="49"/>
    </row>
    <row r="580" spans="87:87" ht="12" customHeight="1">
      <c r="CI580" s="49"/>
    </row>
    <row r="581" spans="87:87" ht="12" customHeight="1">
      <c r="CI581" s="49"/>
    </row>
    <row r="582" spans="87:87" ht="12" customHeight="1">
      <c r="CI582" s="49"/>
    </row>
    <row r="583" spans="87:87" ht="12" customHeight="1">
      <c r="CI583" s="49"/>
    </row>
    <row r="584" spans="87:87" ht="12" customHeight="1">
      <c r="CI584" s="49"/>
    </row>
    <row r="585" spans="87:87" ht="12" customHeight="1">
      <c r="CI585" s="49"/>
    </row>
    <row r="586" spans="87:87" ht="12" customHeight="1">
      <c r="CI586" s="49"/>
    </row>
    <row r="587" spans="87:87" ht="12" customHeight="1">
      <c r="CI587" s="49"/>
    </row>
    <row r="588" spans="87:87" ht="12" customHeight="1">
      <c r="CI588" s="49"/>
    </row>
    <row r="589" spans="87:87" ht="12" customHeight="1">
      <c r="CI589" s="49"/>
    </row>
    <row r="590" spans="87:87" ht="12" customHeight="1">
      <c r="CI590" s="49"/>
    </row>
    <row r="591" spans="87:87" ht="12" customHeight="1">
      <c r="CI591" s="49"/>
    </row>
    <row r="592" spans="87:87" ht="12" customHeight="1">
      <c r="CI592" s="49"/>
    </row>
    <row r="593" spans="87:87" ht="12" customHeight="1">
      <c r="CI593" s="49"/>
    </row>
    <row r="594" spans="87:87" ht="12" customHeight="1">
      <c r="CI594" s="49"/>
    </row>
    <row r="595" spans="87:87" ht="12" customHeight="1">
      <c r="CI595" s="49"/>
    </row>
    <row r="596" spans="87:87" ht="12" customHeight="1">
      <c r="CI596" s="49"/>
    </row>
    <row r="597" spans="87:87" ht="12" customHeight="1">
      <c r="CI597" s="49"/>
    </row>
    <row r="598" spans="87:87" ht="12" customHeight="1">
      <c r="CI598" s="49"/>
    </row>
    <row r="599" spans="87:87" ht="12" customHeight="1">
      <c r="CI599" s="49"/>
    </row>
    <row r="600" spans="87:87" ht="12" customHeight="1">
      <c r="CI600" s="49"/>
    </row>
    <row r="601" spans="87:87" ht="12" customHeight="1">
      <c r="CI601" s="49"/>
    </row>
    <row r="602" spans="87:87" ht="12" customHeight="1">
      <c r="CI602" s="49"/>
    </row>
    <row r="603" spans="87:87" ht="12" customHeight="1">
      <c r="CI603" s="49"/>
    </row>
    <row r="604" spans="87:87" ht="12" customHeight="1">
      <c r="CI604" s="49"/>
    </row>
    <row r="605" spans="87:87" ht="12" customHeight="1">
      <c r="CI605" s="49"/>
    </row>
    <row r="606" spans="87:87" ht="12" customHeight="1">
      <c r="CI606" s="49"/>
    </row>
    <row r="607" spans="87:87" ht="12" customHeight="1">
      <c r="CI607" s="49"/>
    </row>
    <row r="608" spans="87:87" ht="12" customHeight="1">
      <c r="CI608" s="49"/>
    </row>
    <row r="609" spans="87:87" ht="12" customHeight="1">
      <c r="CI609" s="49"/>
    </row>
    <row r="610" spans="87:87" ht="12" customHeight="1">
      <c r="CI610" s="49"/>
    </row>
    <row r="611" spans="87:87" ht="12" customHeight="1">
      <c r="CI611" s="49"/>
    </row>
    <row r="612" spans="87:87" ht="12" customHeight="1">
      <c r="CI612" s="49"/>
    </row>
    <row r="613" spans="87:87" ht="12" customHeight="1">
      <c r="CI613" s="49"/>
    </row>
    <row r="614" spans="87:87" ht="12" customHeight="1">
      <c r="CI614" s="49"/>
    </row>
    <row r="615" spans="87:87" ht="12" customHeight="1">
      <c r="CI615" s="49"/>
    </row>
    <row r="616" spans="87:87" ht="12" customHeight="1">
      <c r="CI616" s="49"/>
    </row>
    <row r="617" spans="87:87" ht="12" customHeight="1">
      <c r="CI617" s="49"/>
    </row>
    <row r="618" spans="87:87" ht="12" customHeight="1">
      <c r="CI618" s="49"/>
    </row>
    <row r="619" spans="87:87" ht="12" customHeight="1">
      <c r="CI619" s="49"/>
    </row>
    <row r="620" spans="87:87" ht="12" customHeight="1">
      <c r="CI620" s="49"/>
    </row>
    <row r="621" spans="87:87" ht="12" customHeight="1">
      <c r="CI621" s="49"/>
    </row>
    <row r="622" spans="87:87" ht="12" customHeight="1">
      <c r="CI622" s="49"/>
    </row>
    <row r="623" spans="87:87" ht="12" customHeight="1">
      <c r="CI623" s="49"/>
    </row>
    <row r="624" spans="87:87" ht="12" customHeight="1">
      <c r="CI624" s="49"/>
    </row>
    <row r="625" spans="87:87" ht="12" customHeight="1">
      <c r="CI625" s="49"/>
    </row>
    <row r="626" spans="87:87" ht="12" customHeight="1">
      <c r="CI626" s="49"/>
    </row>
    <row r="627" spans="87:87" ht="12" customHeight="1">
      <c r="CI627" s="49"/>
    </row>
    <row r="628" spans="87:87" ht="12" customHeight="1">
      <c r="CI628" s="49"/>
    </row>
    <row r="629" spans="87:87" ht="12" customHeight="1">
      <c r="CI629" s="49"/>
    </row>
    <row r="630" spans="87:87" ht="12" customHeight="1">
      <c r="CI630" s="49"/>
    </row>
    <row r="631" spans="87:87" ht="12" customHeight="1">
      <c r="CI631" s="49"/>
    </row>
    <row r="632" spans="87:87" ht="12" customHeight="1">
      <c r="CI632" s="49"/>
    </row>
    <row r="633" spans="87:87" ht="12" customHeight="1">
      <c r="CI633" s="49"/>
    </row>
    <row r="634" spans="87:87" ht="12" customHeight="1">
      <c r="CI634" s="49"/>
    </row>
    <row r="635" spans="87:87" ht="12" customHeight="1">
      <c r="CI635" s="49"/>
    </row>
    <row r="636" spans="87:87" ht="12" customHeight="1">
      <c r="CI636" s="49"/>
    </row>
    <row r="637" spans="87:87" ht="12" customHeight="1">
      <c r="CI637" s="49"/>
    </row>
    <row r="638" spans="87:87" ht="12" customHeight="1">
      <c r="CI638" s="49"/>
    </row>
    <row r="639" spans="87:87" ht="12" customHeight="1">
      <c r="CI639" s="49"/>
    </row>
    <row r="640" spans="87:87" ht="12" customHeight="1">
      <c r="CI640" s="49"/>
    </row>
    <row r="641" spans="87:87" ht="12" customHeight="1">
      <c r="CI641" s="49"/>
    </row>
    <row r="642" spans="87:87" ht="12" customHeight="1">
      <c r="CI642" s="49"/>
    </row>
    <row r="643" spans="87:87" ht="12" customHeight="1">
      <c r="CI643" s="49"/>
    </row>
    <row r="644" spans="87:87" ht="12" customHeight="1">
      <c r="CI644" s="49"/>
    </row>
    <row r="645" spans="87:87" ht="12" customHeight="1">
      <c r="CI645" s="49"/>
    </row>
    <row r="646" spans="87:87" ht="12" customHeight="1">
      <c r="CI646" s="49"/>
    </row>
    <row r="647" spans="87:87" ht="12" customHeight="1">
      <c r="CI647" s="49"/>
    </row>
    <row r="648" spans="87:87" ht="12" customHeight="1">
      <c r="CI648" s="49"/>
    </row>
    <row r="649" spans="87:87" ht="12" customHeight="1">
      <c r="CI649" s="49"/>
    </row>
    <row r="650" spans="87:87" ht="12" customHeight="1">
      <c r="CI650" s="49"/>
    </row>
    <row r="651" spans="87:87" ht="12" customHeight="1">
      <c r="CI651" s="49"/>
    </row>
    <row r="652" spans="87:87" ht="12" customHeight="1">
      <c r="CI652" s="49"/>
    </row>
    <row r="653" spans="87:87" ht="12" customHeight="1">
      <c r="CI653" s="49"/>
    </row>
    <row r="654" spans="87:87" ht="12" customHeight="1">
      <c r="CI654" s="49"/>
    </row>
    <row r="655" spans="87:87" ht="12" customHeight="1">
      <c r="CI655" s="49"/>
    </row>
    <row r="656" spans="87:87" ht="12" customHeight="1">
      <c r="CI656" s="49"/>
    </row>
    <row r="657" spans="87:87" ht="12" customHeight="1">
      <c r="CI657" s="49"/>
    </row>
    <row r="658" spans="87:87" ht="12" customHeight="1">
      <c r="CI658" s="49"/>
    </row>
    <row r="659" spans="87:87" ht="12" customHeight="1">
      <c r="CI659" s="49"/>
    </row>
    <row r="660" spans="87:87" ht="12" customHeight="1">
      <c r="CI660" s="49"/>
    </row>
    <row r="661" spans="87:87" ht="12" customHeight="1">
      <c r="CI661" s="49"/>
    </row>
    <row r="662" spans="87:87" ht="12" customHeight="1">
      <c r="CI662" s="49"/>
    </row>
    <row r="663" spans="87:87" ht="12" customHeight="1">
      <c r="CI663" s="49"/>
    </row>
    <row r="664" spans="87:87" ht="12" customHeight="1">
      <c r="CI664" s="49"/>
    </row>
    <row r="665" spans="87:87" ht="12" customHeight="1">
      <c r="CI665" s="49"/>
    </row>
    <row r="666" spans="87:87" ht="12" customHeight="1">
      <c r="CI666" s="49"/>
    </row>
    <row r="667" spans="87:87" ht="12" customHeight="1">
      <c r="CI667" s="49"/>
    </row>
    <row r="668" spans="87:87" ht="12" customHeight="1">
      <c r="CI668" s="49"/>
    </row>
    <row r="669" spans="87:87" ht="12" customHeight="1">
      <c r="CI669" s="49"/>
    </row>
    <row r="670" spans="87:87" ht="12" customHeight="1">
      <c r="CI670" s="49"/>
    </row>
    <row r="671" spans="87:87" ht="12" customHeight="1">
      <c r="CI671" s="49"/>
    </row>
    <row r="672" spans="87:87" ht="12" customHeight="1">
      <c r="CI672" s="49"/>
    </row>
    <row r="673" spans="87:87" ht="12" customHeight="1">
      <c r="CI673" s="49"/>
    </row>
    <row r="674" spans="87:87" ht="12" customHeight="1">
      <c r="CI674" s="49"/>
    </row>
    <row r="675" spans="87:87" ht="12" customHeight="1">
      <c r="CI675" s="49"/>
    </row>
    <row r="676" spans="87:87" ht="12" customHeight="1">
      <c r="CI676" s="49"/>
    </row>
    <row r="677" spans="87:87" ht="12" customHeight="1">
      <c r="CI677" s="49"/>
    </row>
    <row r="678" spans="87:87" ht="12" customHeight="1">
      <c r="CI678" s="49"/>
    </row>
    <row r="679" spans="87:87" ht="12" customHeight="1">
      <c r="CI679" s="49"/>
    </row>
    <row r="680" spans="87:87" ht="12" customHeight="1">
      <c r="CI680" s="49"/>
    </row>
    <row r="681" spans="87:87" ht="12" customHeight="1">
      <c r="CI681" s="49"/>
    </row>
    <row r="682" spans="87:87" ht="12" customHeight="1">
      <c r="CI682" s="49"/>
    </row>
    <row r="683" spans="87:87" ht="12" customHeight="1">
      <c r="CI683" s="49"/>
    </row>
    <row r="684" spans="87:87" ht="12" customHeight="1">
      <c r="CI684" s="49"/>
    </row>
    <row r="685" spans="87:87" ht="12" customHeight="1">
      <c r="CI685" s="49"/>
    </row>
    <row r="686" spans="87:87" ht="12" customHeight="1">
      <c r="CI686" s="49"/>
    </row>
    <row r="687" spans="87:87" ht="12" customHeight="1">
      <c r="CI687" s="49"/>
    </row>
    <row r="688" spans="87:87" ht="12" customHeight="1">
      <c r="CI688" s="49"/>
    </row>
    <row r="689" spans="87:87" ht="12" customHeight="1">
      <c r="CI689" s="49"/>
    </row>
    <row r="690" spans="87:87" ht="12" customHeight="1">
      <c r="CI690" s="49"/>
    </row>
    <row r="691" spans="87:87" ht="12" customHeight="1">
      <c r="CI691" s="49"/>
    </row>
    <row r="692" spans="87:87" ht="12" customHeight="1">
      <c r="CI692" s="49"/>
    </row>
    <row r="693" spans="87:87" ht="12" customHeight="1">
      <c r="CI693" s="49"/>
    </row>
    <row r="694" spans="87:87" ht="12" customHeight="1">
      <c r="CI694" s="49"/>
    </row>
    <row r="695" spans="87:87" ht="12" customHeight="1">
      <c r="CI695" s="49"/>
    </row>
    <row r="696" spans="87:87" ht="12" customHeight="1">
      <c r="CI696" s="49"/>
    </row>
    <row r="697" spans="87:87" ht="12" customHeight="1">
      <c r="CI697" s="49"/>
    </row>
    <row r="698" spans="87:87" ht="12" customHeight="1">
      <c r="CI698" s="49"/>
    </row>
    <row r="699" spans="87:87" ht="12" customHeight="1">
      <c r="CI699" s="49"/>
    </row>
    <row r="700" spans="87:87" ht="12" customHeight="1">
      <c r="CI700" s="49"/>
    </row>
    <row r="701" spans="87:87" ht="12" customHeight="1">
      <c r="CI701" s="49"/>
    </row>
    <row r="702" spans="87:87" ht="12" customHeight="1">
      <c r="CI702" s="49"/>
    </row>
    <row r="703" spans="87:87" ht="12" customHeight="1">
      <c r="CI703" s="49"/>
    </row>
    <row r="704" spans="87:87" ht="12" customHeight="1">
      <c r="CI704" s="49"/>
    </row>
    <row r="705" spans="87:87" ht="12" customHeight="1">
      <c r="CI705" s="49"/>
    </row>
    <row r="706" spans="87:87" ht="12" customHeight="1">
      <c r="CI706" s="49"/>
    </row>
    <row r="707" spans="87:87" ht="12" customHeight="1">
      <c r="CI707" s="49"/>
    </row>
    <row r="708" spans="87:87" ht="12" customHeight="1">
      <c r="CI708" s="49"/>
    </row>
    <row r="709" spans="87:87" ht="12" customHeight="1">
      <c r="CI709" s="49"/>
    </row>
    <row r="710" spans="87:87" ht="12" customHeight="1">
      <c r="CI710" s="49"/>
    </row>
    <row r="711" spans="87:87" ht="12" customHeight="1">
      <c r="CI711" s="49"/>
    </row>
    <row r="712" spans="87:87" ht="12" customHeight="1">
      <c r="CI712" s="49"/>
    </row>
    <row r="713" spans="87:87" ht="12" customHeight="1">
      <c r="CI713" s="49"/>
    </row>
    <row r="714" spans="87:87" ht="12" customHeight="1">
      <c r="CI714" s="49"/>
    </row>
    <row r="715" spans="87:87" ht="12" customHeight="1">
      <c r="CI715" s="49"/>
    </row>
    <row r="716" spans="87:87" ht="12" customHeight="1">
      <c r="CI716" s="49"/>
    </row>
    <row r="717" spans="87:87" ht="12" customHeight="1">
      <c r="CI717" s="49"/>
    </row>
    <row r="718" spans="87:87" ht="12" customHeight="1">
      <c r="CI718" s="49"/>
    </row>
    <row r="719" spans="87:87" ht="12" customHeight="1">
      <c r="CI719" s="49"/>
    </row>
    <row r="720" spans="87:87" ht="12" customHeight="1">
      <c r="CI720" s="49"/>
    </row>
    <row r="721" spans="87:87" ht="12" customHeight="1">
      <c r="CI721" s="49"/>
    </row>
    <row r="722" spans="87:87" ht="12" customHeight="1">
      <c r="CI722" s="49"/>
    </row>
    <row r="723" spans="87:87" ht="12" customHeight="1">
      <c r="CI723" s="49"/>
    </row>
    <row r="724" spans="87:87" ht="12" customHeight="1">
      <c r="CI724" s="49"/>
    </row>
    <row r="725" spans="87:87" ht="12" customHeight="1">
      <c r="CI725" s="49"/>
    </row>
    <row r="726" spans="87:87" ht="12" customHeight="1">
      <c r="CI726" s="49"/>
    </row>
    <row r="727" spans="87:87" ht="12" customHeight="1">
      <c r="CI727" s="49"/>
    </row>
    <row r="728" spans="87:87" ht="12" customHeight="1">
      <c r="CI728" s="49"/>
    </row>
    <row r="729" spans="87:87" ht="12" customHeight="1">
      <c r="CI729" s="49"/>
    </row>
    <row r="730" spans="87:87" ht="12" customHeight="1">
      <c r="CI730" s="49"/>
    </row>
    <row r="731" spans="87:87" ht="12" customHeight="1">
      <c r="CI731" s="49"/>
    </row>
    <row r="732" spans="87:87" ht="12" customHeight="1">
      <c r="CI732" s="49"/>
    </row>
    <row r="733" spans="87:87" ht="12" customHeight="1">
      <c r="CI733" s="49"/>
    </row>
    <row r="734" spans="87:87" ht="12" customHeight="1">
      <c r="CI734" s="49"/>
    </row>
    <row r="735" spans="87:87" ht="12" customHeight="1">
      <c r="CI735" s="49"/>
    </row>
    <row r="736" spans="87:87" ht="12" customHeight="1">
      <c r="CI736" s="49"/>
    </row>
    <row r="737" spans="87:87" ht="12" customHeight="1">
      <c r="CI737" s="49"/>
    </row>
    <row r="738" spans="87:87" ht="12" customHeight="1">
      <c r="CI738" s="49"/>
    </row>
    <row r="739" spans="87:87" ht="12" customHeight="1">
      <c r="CI739" s="49"/>
    </row>
    <row r="740" spans="87:87" ht="12" customHeight="1">
      <c r="CI740" s="49"/>
    </row>
    <row r="741" spans="87:87" ht="12" customHeight="1">
      <c r="CI741" s="49"/>
    </row>
    <row r="742" spans="87:87" ht="12" customHeight="1">
      <c r="CI742" s="49"/>
    </row>
    <row r="743" spans="87:87" ht="12" customHeight="1">
      <c r="CI743" s="49"/>
    </row>
    <row r="744" spans="87:87" ht="12" customHeight="1">
      <c r="CI744" s="49"/>
    </row>
    <row r="745" spans="87:87" ht="12" customHeight="1">
      <c r="CI745" s="49"/>
    </row>
    <row r="746" spans="87:87" ht="12" customHeight="1">
      <c r="CI746" s="49"/>
    </row>
    <row r="747" spans="87:87" ht="12" customHeight="1">
      <c r="CI747" s="49"/>
    </row>
    <row r="748" spans="87:87" ht="12" customHeight="1">
      <c r="CI748" s="49"/>
    </row>
    <row r="749" spans="87:87" ht="12" customHeight="1">
      <c r="CI749" s="49"/>
    </row>
    <row r="750" spans="87:87" ht="12" customHeight="1">
      <c r="CI750" s="49"/>
    </row>
    <row r="751" spans="87:87" ht="12" customHeight="1">
      <c r="CI751" s="49"/>
    </row>
    <row r="752" spans="87:87" ht="12" customHeight="1">
      <c r="CI752" s="49"/>
    </row>
    <row r="753" spans="87:87" ht="12" customHeight="1">
      <c r="CI753" s="49"/>
    </row>
    <row r="754" spans="87:87" ht="12" customHeight="1">
      <c r="CI754" s="49"/>
    </row>
    <row r="755" spans="87:87" ht="12" customHeight="1">
      <c r="CI755" s="49"/>
    </row>
    <row r="756" spans="87:87" ht="12" customHeight="1">
      <c r="CI756" s="49"/>
    </row>
    <row r="757" spans="87:87" ht="12" customHeight="1">
      <c r="CI757" s="49"/>
    </row>
    <row r="758" spans="87:87" ht="12" customHeight="1">
      <c r="CI758" s="49"/>
    </row>
    <row r="759" spans="87:87" ht="12" customHeight="1">
      <c r="CI759" s="49"/>
    </row>
    <row r="760" spans="87:87" ht="12" customHeight="1">
      <c r="CI760" s="49"/>
    </row>
    <row r="761" spans="87:87" ht="12" customHeight="1">
      <c r="CI761" s="49"/>
    </row>
    <row r="762" spans="87:87" ht="12" customHeight="1">
      <c r="CI762" s="49"/>
    </row>
    <row r="763" spans="87:87" ht="12" customHeight="1">
      <c r="CI763" s="49"/>
    </row>
    <row r="764" spans="87:87" ht="12" customHeight="1">
      <c r="CI764" s="49"/>
    </row>
    <row r="765" spans="87:87" ht="12" customHeight="1">
      <c r="CI765" s="49"/>
    </row>
    <row r="766" spans="87:87" ht="12" customHeight="1">
      <c r="CI766" s="49"/>
    </row>
    <row r="767" spans="87:87" ht="12" customHeight="1">
      <c r="CI767" s="49"/>
    </row>
    <row r="768" spans="87:87" ht="12" customHeight="1">
      <c r="CI768" s="49"/>
    </row>
    <row r="769" spans="87:87" ht="12" customHeight="1">
      <c r="CI769" s="49"/>
    </row>
    <row r="770" spans="87:87" ht="12" customHeight="1">
      <c r="CI770" s="49"/>
    </row>
    <row r="771" spans="87:87" ht="12" customHeight="1">
      <c r="CI771" s="49"/>
    </row>
    <row r="772" spans="87:87" ht="12" customHeight="1">
      <c r="CI772" s="49"/>
    </row>
    <row r="773" spans="87:87" ht="12" customHeight="1">
      <c r="CI773" s="49"/>
    </row>
    <row r="774" spans="87:87" ht="12" customHeight="1">
      <c r="CI774" s="49"/>
    </row>
    <row r="775" spans="87:87" ht="12" customHeight="1">
      <c r="CI775" s="49"/>
    </row>
    <row r="776" spans="87:87" ht="12" customHeight="1">
      <c r="CI776" s="49"/>
    </row>
    <row r="777" spans="87:87" ht="12" customHeight="1">
      <c r="CI777" s="49"/>
    </row>
    <row r="778" spans="87:87" ht="12" customHeight="1">
      <c r="CI778" s="49"/>
    </row>
    <row r="779" spans="87:87" ht="12" customHeight="1">
      <c r="CI779" s="49"/>
    </row>
    <row r="780" spans="87:87" ht="12" customHeight="1">
      <c r="CI780" s="49"/>
    </row>
    <row r="781" spans="87:87" ht="12" customHeight="1">
      <c r="CI781" s="49"/>
    </row>
    <row r="782" spans="87:87" ht="12" customHeight="1">
      <c r="CI782" s="49"/>
    </row>
    <row r="783" spans="87:87" ht="12" customHeight="1">
      <c r="CI783" s="49"/>
    </row>
    <row r="784" spans="87:87" ht="12" customHeight="1">
      <c r="CI784" s="49"/>
    </row>
    <row r="785" spans="87:87" ht="12" customHeight="1">
      <c r="CI785" s="49"/>
    </row>
    <row r="786" spans="87:87" ht="12" customHeight="1">
      <c r="CI786" s="49"/>
    </row>
    <row r="787" spans="87:87" ht="12" customHeight="1">
      <c r="CI787" s="49"/>
    </row>
    <row r="788" spans="87:87" ht="12" customHeight="1">
      <c r="CI788" s="49"/>
    </row>
    <row r="789" spans="87:87" ht="12" customHeight="1">
      <c r="CI789" s="49"/>
    </row>
    <row r="790" spans="87:87" ht="12" customHeight="1">
      <c r="CI790" s="49"/>
    </row>
    <row r="791" spans="87:87" ht="12" customHeight="1">
      <c r="CI791" s="49"/>
    </row>
    <row r="792" spans="87:87" ht="12" customHeight="1">
      <c r="CI792" s="49"/>
    </row>
    <row r="793" spans="87:87" ht="12" customHeight="1">
      <c r="CI793" s="49"/>
    </row>
    <row r="794" spans="87:87" ht="12" customHeight="1">
      <c r="CI794" s="49"/>
    </row>
    <row r="795" spans="87:87" ht="12" customHeight="1">
      <c r="CI795" s="49"/>
    </row>
    <row r="796" spans="87:87" ht="12" customHeight="1">
      <c r="CI796" s="49"/>
    </row>
    <row r="797" spans="87:87" ht="12" customHeight="1">
      <c r="CI797" s="49"/>
    </row>
    <row r="798" spans="87:87" ht="12" customHeight="1">
      <c r="CI798" s="49"/>
    </row>
    <row r="799" spans="87:87" ht="12" customHeight="1">
      <c r="CI799" s="49"/>
    </row>
    <row r="800" spans="87:87" ht="12" customHeight="1">
      <c r="CI800" s="49"/>
    </row>
    <row r="801" spans="87:87" ht="12" customHeight="1">
      <c r="CI801" s="49"/>
    </row>
    <row r="802" spans="87:87" ht="12" customHeight="1">
      <c r="CI802" s="49"/>
    </row>
    <row r="803" spans="87:87" ht="12" customHeight="1">
      <c r="CI803" s="49"/>
    </row>
    <row r="804" spans="87:87" ht="12" customHeight="1">
      <c r="CI804" s="49"/>
    </row>
    <row r="805" spans="87:87" ht="12" customHeight="1">
      <c r="CI805" s="49"/>
    </row>
    <row r="806" spans="87:87" ht="12" customHeight="1">
      <c r="CI806" s="49"/>
    </row>
    <row r="807" spans="87:87" ht="12" customHeight="1">
      <c r="CI807" s="49"/>
    </row>
    <row r="808" spans="87:87" ht="12" customHeight="1">
      <c r="CI808" s="49"/>
    </row>
    <row r="809" spans="87:87" ht="12" customHeight="1">
      <c r="CI809" s="49"/>
    </row>
    <row r="810" spans="87:87" ht="12" customHeight="1">
      <c r="CI810" s="49"/>
    </row>
    <row r="811" spans="87:87" ht="12" customHeight="1">
      <c r="CI811" s="49"/>
    </row>
    <row r="812" spans="87:87" ht="12" customHeight="1">
      <c r="CI812" s="49"/>
    </row>
    <row r="813" spans="87:87" ht="12" customHeight="1">
      <c r="CI813" s="49"/>
    </row>
    <row r="814" spans="87:87" ht="12" customHeight="1">
      <c r="CI814" s="49"/>
    </row>
    <row r="815" spans="87:87" ht="12" customHeight="1">
      <c r="CI815" s="49"/>
    </row>
    <row r="816" spans="87:87" ht="12" customHeight="1">
      <c r="CI816" s="49"/>
    </row>
    <row r="817" spans="87:87" ht="12" customHeight="1">
      <c r="CI817" s="49"/>
    </row>
    <row r="818" spans="87:87" ht="12" customHeight="1">
      <c r="CI818" s="49"/>
    </row>
    <row r="819" spans="87:87" ht="12" customHeight="1">
      <c r="CI819" s="49"/>
    </row>
    <row r="820" spans="87:87" ht="12" customHeight="1">
      <c r="CI820" s="49"/>
    </row>
    <row r="821" spans="87:87" ht="12" customHeight="1">
      <c r="CI821" s="49"/>
    </row>
    <row r="822" spans="87:87" ht="12" customHeight="1">
      <c r="CI822" s="49"/>
    </row>
    <row r="823" spans="87:87" ht="12" customHeight="1">
      <c r="CI823" s="49"/>
    </row>
    <row r="824" spans="87:87" ht="12" customHeight="1">
      <c r="CI824" s="49"/>
    </row>
    <row r="825" spans="87:87" ht="12" customHeight="1">
      <c r="CI825" s="49"/>
    </row>
    <row r="826" spans="87:87" ht="12" customHeight="1">
      <c r="CI826" s="49"/>
    </row>
    <row r="827" spans="87:87" ht="12" customHeight="1">
      <c r="CI827" s="49"/>
    </row>
    <row r="828" spans="87:87" ht="12" customHeight="1">
      <c r="CI828" s="49"/>
    </row>
    <row r="829" spans="87:87" ht="12" customHeight="1">
      <c r="CI829" s="49"/>
    </row>
    <row r="830" spans="87:87" ht="12" customHeight="1">
      <c r="CI830" s="49"/>
    </row>
    <row r="831" spans="87:87" ht="12" customHeight="1">
      <c r="CI831" s="49"/>
    </row>
    <row r="832" spans="87:87" ht="12" customHeight="1">
      <c r="CI832" s="49"/>
    </row>
    <row r="833" spans="87:87" ht="12" customHeight="1">
      <c r="CI833" s="49"/>
    </row>
    <row r="834" spans="87:87" ht="12" customHeight="1">
      <c r="CI834" s="49"/>
    </row>
    <row r="835" spans="87:87" ht="12" customHeight="1">
      <c r="CI835" s="49"/>
    </row>
    <row r="836" spans="87:87" ht="12" customHeight="1">
      <c r="CI836" s="49"/>
    </row>
    <row r="837" spans="87:87" ht="12" customHeight="1">
      <c r="CI837" s="49"/>
    </row>
    <row r="838" spans="87:87" ht="12" customHeight="1">
      <c r="CI838" s="49"/>
    </row>
    <row r="839" spans="87:87" ht="12" customHeight="1">
      <c r="CI839" s="49"/>
    </row>
    <row r="840" spans="87:87" ht="12" customHeight="1">
      <c r="CI840" s="49"/>
    </row>
    <row r="841" spans="87:87" ht="12" customHeight="1">
      <c r="CI841" s="49"/>
    </row>
    <row r="842" spans="87:87" ht="12" customHeight="1">
      <c r="CI842" s="49"/>
    </row>
    <row r="843" spans="87:87" ht="12" customHeight="1">
      <c r="CI843" s="49"/>
    </row>
    <row r="844" spans="87:87" ht="12" customHeight="1">
      <c r="CI844" s="49"/>
    </row>
    <row r="845" spans="87:87" ht="12" customHeight="1">
      <c r="CI845" s="49"/>
    </row>
    <row r="846" spans="87:87" ht="12" customHeight="1">
      <c r="CI846" s="49"/>
    </row>
    <row r="847" spans="87:87" ht="12" customHeight="1">
      <c r="CI847" s="49"/>
    </row>
    <row r="848" spans="87:87" ht="12" customHeight="1">
      <c r="CI848" s="49"/>
    </row>
    <row r="849" spans="87:87" ht="12" customHeight="1">
      <c r="CI849" s="49"/>
    </row>
    <row r="850" spans="87:87" ht="12" customHeight="1">
      <c r="CI850" s="49"/>
    </row>
    <row r="851" spans="87:87" ht="12" customHeight="1">
      <c r="CI851" s="49"/>
    </row>
    <row r="852" spans="87:87" ht="12" customHeight="1">
      <c r="CI852" s="49"/>
    </row>
    <row r="853" spans="87:87" ht="12" customHeight="1">
      <c r="CI853" s="49"/>
    </row>
    <row r="854" spans="87:87" ht="12" customHeight="1">
      <c r="CI854" s="49"/>
    </row>
    <row r="855" spans="87:87" ht="12" customHeight="1">
      <c r="CI855" s="49"/>
    </row>
    <row r="856" spans="87:87" ht="12" customHeight="1">
      <c r="CI856" s="49"/>
    </row>
    <row r="857" spans="87:87" ht="12" customHeight="1">
      <c r="CI857" s="49"/>
    </row>
    <row r="858" spans="87:87" ht="12" customHeight="1">
      <c r="CI858" s="49"/>
    </row>
    <row r="859" spans="87:87" ht="12" customHeight="1">
      <c r="CI859" s="49"/>
    </row>
    <row r="860" spans="87:87" ht="12" customHeight="1">
      <c r="CI860" s="49"/>
    </row>
    <row r="861" spans="87:87" ht="12" customHeight="1">
      <c r="CI861" s="49"/>
    </row>
    <row r="862" spans="87:87" ht="12" customHeight="1">
      <c r="CI862" s="49"/>
    </row>
    <row r="863" spans="87:87" ht="12" customHeight="1">
      <c r="CI863" s="49"/>
    </row>
    <row r="864" spans="87:87" ht="12" customHeight="1">
      <c r="CI864" s="49"/>
    </row>
    <row r="865" spans="87:87" ht="12" customHeight="1">
      <c r="CI865" s="49"/>
    </row>
    <row r="866" spans="87:87" ht="12" customHeight="1">
      <c r="CI866" s="49"/>
    </row>
    <row r="867" spans="87:87" ht="12" customHeight="1">
      <c r="CI867" s="49"/>
    </row>
    <row r="868" spans="87:87" ht="12" customHeight="1">
      <c r="CI868" s="49"/>
    </row>
    <row r="869" spans="87:87" ht="12" customHeight="1">
      <c r="CI869" s="49"/>
    </row>
    <row r="870" spans="87:87" ht="12" customHeight="1">
      <c r="CI870" s="49"/>
    </row>
    <row r="871" spans="87:87" ht="12" customHeight="1">
      <c r="CI871" s="49"/>
    </row>
    <row r="872" spans="87:87" ht="12" customHeight="1">
      <c r="CI872" s="49"/>
    </row>
    <row r="873" spans="87:87" ht="12" customHeight="1">
      <c r="CI873" s="49"/>
    </row>
    <row r="874" spans="87:87" ht="12" customHeight="1">
      <c r="CI874" s="49"/>
    </row>
    <row r="875" spans="87:87" ht="12" customHeight="1">
      <c r="CI875" s="49"/>
    </row>
    <row r="876" spans="87:87" ht="12" customHeight="1">
      <c r="CI876" s="49"/>
    </row>
    <row r="877" spans="87:87" ht="12" customHeight="1">
      <c r="CI877" s="49"/>
    </row>
    <row r="878" spans="87:87" ht="12" customHeight="1">
      <c r="CI878" s="49"/>
    </row>
    <row r="879" spans="87:87" ht="12" customHeight="1">
      <c r="CI879" s="49"/>
    </row>
    <row r="880" spans="87:87" ht="12" customHeight="1">
      <c r="CI880" s="49"/>
    </row>
    <row r="881" spans="87:87" ht="12" customHeight="1">
      <c r="CI881" s="49"/>
    </row>
    <row r="882" spans="87:87" ht="12" customHeight="1">
      <c r="CI882" s="49"/>
    </row>
    <row r="883" spans="87:87" ht="12" customHeight="1">
      <c r="CI883" s="49"/>
    </row>
    <row r="884" spans="87:87" ht="12" customHeight="1">
      <c r="CI884" s="49"/>
    </row>
    <row r="885" spans="87:87" ht="12" customHeight="1">
      <c r="CI885" s="49"/>
    </row>
    <row r="886" spans="87:87" ht="12" customHeight="1">
      <c r="CI886" s="49"/>
    </row>
    <row r="887" spans="87:87" ht="12" customHeight="1">
      <c r="CI887" s="49"/>
    </row>
    <row r="888" spans="87:87" ht="12" customHeight="1">
      <c r="CI888" s="49"/>
    </row>
    <row r="889" spans="87:87" ht="12" customHeight="1">
      <c r="CI889" s="49"/>
    </row>
    <row r="890" spans="87:87" ht="12" customHeight="1">
      <c r="CI890" s="49"/>
    </row>
    <row r="891" spans="87:87" ht="12" customHeight="1">
      <c r="CI891" s="49"/>
    </row>
    <row r="892" spans="87:87" ht="12" customHeight="1">
      <c r="CI892" s="49"/>
    </row>
    <row r="893" spans="87:87" ht="12" customHeight="1">
      <c r="CI893" s="49"/>
    </row>
    <row r="894" spans="87:87" ht="12" customHeight="1">
      <c r="CI894" s="49"/>
    </row>
    <row r="895" spans="87:87" ht="12" customHeight="1">
      <c r="CI895" s="49"/>
    </row>
    <row r="896" spans="87:87" ht="12" customHeight="1">
      <c r="CI896" s="49"/>
    </row>
    <row r="897" spans="87:87" ht="12" customHeight="1">
      <c r="CI897" s="49"/>
    </row>
    <row r="898" spans="87:87" ht="12" customHeight="1">
      <c r="CI898" s="49"/>
    </row>
    <row r="899" spans="87:87" ht="12" customHeight="1">
      <c r="CI899" s="49"/>
    </row>
    <row r="900" spans="87:87" ht="12" customHeight="1">
      <c r="CI900" s="49"/>
    </row>
    <row r="901" spans="87:87" ht="12" customHeight="1">
      <c r="CI901" s="49"/>
    </row>
    <row r="902" spans="87:87" ht="12" customHeight="1">
      <c r="CI902" s="49"/>
    </row>
    <row r="903" spans="87:87" ht="12" customHeight="1">
      <c r="CI903" s="49"/>
    </row>
    <row r="904" spans="87:87" ht="12" customHeight="1">
      <c r="CI904" s="49"/>
    </row>
    <row r="905" spans="87:87" ht="12" customHeight="1">
      <c r="CI905" s="49"/>
    </row>
    <row r="906" spans="87:87" ht="12" customHeight="1">
      <c r="CI906" s="49"/>
    </row>
    <row r="907" spans="87:87" ht="12" customHeight="1">
      <c r="CI907" s="49"/>
    </row>
    <row r="908" spans="87:87" ht="12" customHeight="1">
      <c r="CI908" s="49"/>
    </row>
    <row r="909" spans="87:87" ht="12" customHeight="1">
      <c r="CI909" s="49"/>
    </row>
    <row r="910" spans="87:87" ht="12" customHeight="1">
      <c r="CI910" s="49"/>
    </row>
    <row r="911" spans="87:87" ht="12" customHeight="1">
      <c r="CI911" s="49"/>
    </row>
    <row r="912" spans="87:87" ht="12" customHeight="1">
      <c r="CI912" s="49"/>
    </row>
    <row r="913" spans="87:87" ht="12" customHeight="1">
      <c r="CI913" s="49"/>
    </row>
    <row r="914" spans="87:87" ht="12" customHeight="1">
      <c r="CI914" s="49"/>
    </row>
    <row r="915" spans="87:87" ht="12" customHeight="1">
      <c r="CI915" s="49"/>
    </row>
    <row r="916" spans="87:87" ht="12" customHeight="1">
      <c r="CI916" s="49"/>
    </row>
    <row r="917" spans="87:87" ht="12" customHeight="1">
      <c r="CI917" s="49"/>
    </row>
    <row r="918" spans="87:87" ht="12" customHeight="1">
      <c r="CI918" s="49"/>
    </row>
    <row r="919" spans="87:87" ht="12" customHeight="1">
      <c r="CI919" s="49"/>
    </row>
    <row r="920" spans="87:87" ht="12" customHeight="1">
      <c r="CI920" s="49"/>
    </row>
    <row r="921" spans="87:87" ht="12" customHeight="1">
      <c r="CI921" s="49"/>
    </row>
    <row r="922" spans="87:87" ht="12" customHeight="1">
      <c r="CI922" s="49"/>
    </row>
    <row r="923" spans="87:87" ht="12" customHeight="1">
      <c r="CI923" s="49"/>
    </row>
    <row r="924" spans="87:87" ht="12" customHeight="1">
      <c r="CI924" s="49"/>
    </row>
    <row r="925" spans="87:87" ht="12" customHeight="1">
      <c r="CI925" s="49"/>
    </row>
    <row r="926" spans="87:87" ht="12" customHeight="1">
      <c r="CI926" s="49"/>
    </row>
    <row r="927" spans="87:87" ht="12" customHeight="1">
      <c r="CI927" s="49"/>
    </row>
    <row r="928" spans="87:87" ht="12" customHeight="1">
      <c r="CI928" s="49"/>
    </row>
    <row r="929" spans="87:87" ht="12" customHeight="1">
      <c r="CI929" s="49"/>
    </row>
    <row r="930" spans="87:87" ht="12" customHeight="1">
      <c r="CI930" s="49"/>
    </row>
    <row r="931" spans="87:87" ht="12" customHeight="1">
      <c r="CI931" s="49"/>
    </row>
    <row r="932" spans="87:87" ht="12" customHeight="1">
      <c r="CI932" s="49"/>
    </row>
    <row r="933" spans="87:87" ht="12" customHeight="1">
      <c r="CI933" s="49"/>
    </row>
    <row r="934" spans="87:87" ht="12" customHeight="1">
      <c r="CI934" s="49"/>
    </row>
    <row r="935" spans="87:87" ht="12" customHeight="1">
      <c r="CI935" s="49"/>
    </row>
    <row r="936" spans="87:87" ht="12" customHeight="1">
      <c r="CI936" s="49"/>
    </row>
    <row r="937" spans="87:87" ht="12" customHeight="1">
      <c r="CI937" s="49"/>
    </row>
    <row r="938" spans="87:87" ht="12" customHeight="1">
      <c r="CI938" s="49"/>
    </row>
    <row r="939" spans="87:87" ht="12" customHeight="1">
      <c r="CI939" s="49"/>
    </row>
    <row r="940" spans="87:87" ht="12" customHeight="1">
      <c r="CI940" s="49"/>
    </row>
    <row r="941" spans="87:87" ht="12" customHeight="1">
      <c r="CI941" s="49"/>
    </row>
    <row r="942" spans="87:87" ht="12" customHeight="1">
      <c r="CI942" s="49"/>
    </row>
    <row r="943" spans="87:87" ht="12" customHeight="1">
      <c r="CI943" s="49"/>
    </row>
    <row r="944" spans="87:87" ht="12" customHeight="1">
      <c r="CI944" s="49"/>
    </row>
    <row r="945" spans="87:87" ht="12" customHeight="1">
      <c r="CI945" s="49"/>
    </row>
    <row r="946" spans="87:87" ht="12" customHeight="1">
      <c r="CI946" s="49"/>
    </row>
    <row r="947" spans="87:87" ht="12" customHeight="1">
      <c r="CI947" s="49"/>
    </row>
    <row r="948" spans="87:87" ht="12" customHeight="1">
      <c r="CI948" s="49"/>
    </row>
    <row r="949" spans="87:87" ht="12" customHeight="1">
      <c r="CI949" s="49"/>
    </row>
    <row r="950" spans="87:87" ht="12" customHeight="1">
      <c r="CI950" s="49"/>
    </row>
    <row r="951" spans="87:87" ht="12" customHeight="1">
      <c r="CI951" s="49"/>
    </row>
    <row r="952" spans="87:87" ht="12" customHeight="1">
      <c r="CI952" s="49"/>
    </row>
    <row r="953" spans="87:87" ht="12" customHeight="1">
      <c r="CI953" s="49"/>
    </row>
    <row r="954" spans="87:87" ht="12" customHeight="1">
      <c r="CI954" s="49"/>
    </row>
    <row r="955" spans="87:87" ht="12" customHeight="1">
      <c r="CI955" s="49"/>
    </row>
    <row r="956" spans="87:87" ht="12" customHeight="1">
      <c r="CI956" s="49"/>
    </row>
    <row r="957" spans="87:87" ht="12" customHeight="1">
      <c r="CI957" s="49"/>
    </row>
    <row r="958" spans="87:87" ht="12" customHeight="1">
      <c r="CI958" s="49"/>
    </row>
    <row r="959" spans="87:87" ht="12" customHeight="1">
      <c r="CI959" s="49"/>
    </row>
    <row r="960" spans="87:87" ht="12" customHeight="1">
      <c r="CI960" s="49"/>
    </row>
    <row r="961" spans="87:87" ht="12" customHeight="1">
      <c r="CI961" s="49"/>
    </row>
    <row r="962" spans="87:87" ht="12" customHeight="1">
      <c r="CI962" s="49"/>
    </row>
    <row r="963" spans="87:87" ht="12" customHeight="1">
      <c r="CI963" s="49"/>
    </row>
    <row r="964" spans="87:87" ht="12" customHeight="1">
      <c r="CI964" s="49"/>
    </row>
    <row r="965" spans="87:87" ht="12" customHeight="1">
      <c r="CI965" s="49"/>
    </row>
    <row r="966" spans="87:87" ht="12" customHeight="1">
      <c r="CI966" s="49"/>
    </row>
    <row r="967" spans="87:87" ht="12" customHeight="1">
      <c r="CI967" s="49"/>
    </row>
    <row r="968" spans="87:87" ht="12" customHeight="1">
      <c r="CI968" s="49"/>
    </row>
    <row r="969" spans="87:87" ht="12" customHeight="1">
      <c r="CI969" s="49"/>
    </row>
    <row r="970" spans="87:87" ht="12" customHeight="1">
      <c r="CI970" s="49"/>
    </row>
    <row r="971" spans="87:87" ht="12" customHeight="1">
      <c r="CI971" s="49"/>
    </row>
    <row r="972" spans="87:87" ht="12" customHeight="1">
      <c r="CI972" s="49"/>
    </row>
    <row r="973" spans="87:87" ht="12" customHeight="1">
      <c r="CI973" s="49"/>
    </row>
    <row r="974" spans="87:87" ht="12" customHeight="1">
      <c r="CI974" s="49"/>
    </row>
    <row r="975" spans="87:87" ht="12" customHeight="1">
      <c r="CI975" s="49"/>
    </row>
    <row r="976" spans="87:87" ht="12" customHeight="1">
      <c r="CI976" s="49"/>
    </row>
    <row r="977" spans="87:87" ht="12" customHeight="1">
      <c r="CI977" s="49"/>
    </row>
    <row r="978" spans="87:87" ht="12" customHeight="1">
      <c r="CI978" s="49"/>
    </row>
    <row r="979" spans="87:87" ht="12" customHeight="1">
      <c r="CI979" s="49"/>
    </row>
    <row r="980" spans="87:87" ht="12" customHeight="1">
      <c r="CI980" s="49"/>
    </row>
    <row r="981" spans="87:87" ht="12" customHeight="1">
      <c r="CI981" s="49"/>
    </row>
    <row r="982" spans="87:87" ht="12" customHeight="1">
      <c r="CI982" s="49"/>
    </row>
    <row r="983" spans="87:87" ht="12" customHeight="1">
      <c r="CI983" s="49"/>
    </row>
    <row r="984" spans="87:87" ht="12" customHeight="1">
      <c r="CI984" s="49"/>
    </row>
    <row r="985" spans="87:87" ht="12" customHeight="1">
      <c r="CI985" s="49"/>
    </row>
    <row r="986" spans="87:87" ht="12" customHeight="1">
      <c r="CI986" s="49"/>
    </row>
    <row r="987" spans="87:87" ht="12" customHeight="1">
      <c r="CI987" s="49"/>
    </row>
    <row r="988" spans="87:87" ht="12" customHeight="1">
      <c r="CI988" s="49"/>
    </row>
    <row r="989" spans="87:87" ht="12" customHeight="1">
      <c r="CI989" s="49"/>
    </row>
    <row r="990" spans="87:87" ht="12" customHeight="1">
      <c r="CI990" s="49"/>
    </row>
    <row r="991" spans="87:87" ht="12" customHeight="1">
      <c r="CI991" s="49"/>
    </row>
    <row r="992" spans="87:87" ht="12" customHeight="1">
      <c r="CI992" s="49"/>
    </row>
    <row r="993" spans="87:87" ht="12" customHeight="1">
      <c r="CI993" s="49"/>
    </row>
    <row r="994" spans="87:87" ht="12" customHeight="1">
      <c r="CI994" s="49"/>
    </row>
    <row r="995" spans="87:87" ht="12" customHeight="1">
      <c r="CI995" s="49"/>
    </row>
    <row r="996" spans="87:87" ht="12" customHeight="1">
      <c r="CI996" s="49"/>
    </row>
    <row r="997" spans="87:87" ht="12" customHeight="1">
      <c r="CI997" s="49"/>
    </row>
    <row r="998" spans="87:87" ht="12" customHeight="1">
      <c r="CI998" s="49"/>
    </row>
    <row r="999" spans="87:87" ht="12" customHeight="1">
      <c r="CI999" s="49"/>
    </row>
    <row r="1000" spans="87:87" ht="12" customHeight="1">
      <c r="CI1000" s="49"/>
    </row>
    <row r="1001" spans="87:87" ht="12" customHeight="1">
      <c r="CI1001" s="49"/>
    </row>
    <row r="1002" spans="87:87" ht="12" customHeight="1">
      <c r="CI1002" s="49"/>
    </row>
    <row r="1003" spans="87:87" ht="12" customHeight="1">
      <c r="CI1003" s="49"/>
    </row>
    <row r="1004" spans="87:87" ht="12" customHeight="1">
      <c r="CI1004" s="49"/>
    </row>
    <row r="1005" spans="87:87" ht="12" customHeight="1">
      <c r="CI1005" s="49"/>
    </row>
    <row r="1006" spans="87:87" ht="12" customHeight="1">
      <c r="CI1006" s="49"/>
    </row>
    <row r="1007" spans="87:87" ht="12" customHeight="1">
      <c r="CI1007" s="49"/>
    </row>
    <row r="1008" spans="87:87" ht="12" customHeight="1">
      <c r="CI1008" s="49"/>
    </row>
    <row r="1009" spans="87:87" ht="12" customHeight="1">
      <c r="CI1009" s="49"/>
    </row>
    <row r="1010" spans="87:87" ht="12" customHeight="1">
      <c r="CI1010" s="49"/>
    </row>
    <row r="1011" spans="87:87" ht="12" customHeight="1">
      <c r="CI1011" s="49"/>
    </row>
    <row r="1012" spans="87:87" ht="12" customHeight="1">
      <c r="CI1012" s="49"/>
    </row>
    <row r="1013" spans="87:87" ht="12" customHeight="1">
      <c r="CI1013" s="49"/>
    </row>
    <row r="1014" spans="87:87" ht="12" customHeight="1">
      <c r="CI1014" s="49"/>
    </row>
    <row r="1015" spans="87:87" ht="12" customHeight="1">
      <c r="CI1015" s="49"/>
    </row>
    <row r="1016" spans="87:87" ht="12" customHeight="1">
      <c r="CI1016" s="49"/>
    </row>
    <row r="1017" spans="87:87" ht="12" customHeight="1">
      <c r="CI1017" s="49"/>
    </row>
    <row r="1018" spans="87:87" ht="12" customHeight="1">
      <c r="CI1018" s="49"/>
    </row>
    <row r="1019" spans="87:87" ht="12" customHeight="1">
      <c r="CI1019" s="49"/>
    </row>
    <row r="1020" spans="87:87" ht="12" customHeight="1">
      <c r="CI1020" s="49"/>
    </row>
    <row r="1021" spans="87:87" ht="12" customHeight="1">
      <c r="CI1021" s="49"/>
    </row>
    <row r="1022" spans="87:87" ht="12" customHeight="1">
      <c r="CI1022" s="49"/>
    </row>
    <row r="1023" spans="87:87" ht="12" customHeight="1">
      <c r="CI1023" s="49"/>
    </row>
    <row r="1024" spans="87:87" ht="12" customHeight="1">
      <c r="CI1024" s="49"/>
    </row>
    <row r="1025" spans="87:87" ht="12" customHeight="1">
      <c r="CI1025" s="49"/>
    </row>
    <row r="1026" spans="87:87" ht="12" customHeight="1">
      <c r="CI1026" s="49"/>
    </row>
    <row r="1027" spans="87:87" ht="12" customHeight="1">
      <c r="CI1027" s="49"/>
    </row>
    <row r="1028" spans="87:87" ht="12" customHeight="1">
      <c r="CI1028" s="49"/>
    </row>
    <row r="1029" spans="87:87" ht="12" customHeight="1">
      <c r="CI1029" s="49"/>
    </row>
    <row r="1030" spans="87:87" ht="12" customHeight="1">
      <c r="CI1030" s="49"/>
    </row>
    <row r="1031" spans="87:87" ht="12" customHeight="1">
      <c r="CI1031" s="49"/>
    </row>
    <row r="1032" spans="87:87" ht="12" customHeight="1">
      <c r="CI1032" s="49"/>
    </row>
    <row r="1033" spans="87:87" ht="12" customHeight="1">
      <c r="CI1033" s="49"/>
    </row>
    <row r="1034" spans="87:87" ht="12" customHeight="1">
      <c r="CI1034" s="49"/>
    </row>
    <row r="1035" spans="87:87" ht="12" customHeight="1">
      <c r="CI1035" s="49"/>
    </row>
    <row r="1036" spans="87:87" ht="12" customHeight="1">
      <c r="CI1036" s="49"/>
    </row>
    <row r="1037" spans="87:87" ht="12" customHeight="1">
      <c r="CI1037" s="49"/>
    </row>
    <row r="1038" spans="87:87" ht="12" customHeight="1">
      <c r="CI1038" s="49"/>
    </row>
    <row r="1039" spans="87:87" ht="12" customHeight="1">
      <c r="CI1039" s="49"/>
    </row>
    <row r="1040" spans="87:87" ht="12" customHeight="1">
      <c r="CI1040" s="49"/>
    </row>
    <row r="1041" spans="87:87" ht="12" customHeight="1">
      <c r="CI1041" s="49"/>
    </row>
    <row r="1042" spans="87:87" ht="12" customHeight="1">
      <c r="CI1042" s="49"/>
    </row>
    <row r="1043" spans="87:87" ht="12" customHeight="1">
      <c r="CI1043" s="49"/>
    </row>
    <row r="1044" spans="87:87" ht="12" customHeight="1">
      <c r="CI1044" s="49"/>
    </row>
    <row r="1045" spans="87:87" ht="12" customHeight="1">
      <c r="CI1045" s="49"/>
    </row>
    <row r="1046" spans="87:87" ht="12" customHeight="1">
      <c r="CI1046" s="49"/>
    </row>
    <row r="1047" spans="87:87" ht="12" customHeight="1">
      <c r="CI1047" s="49"/>
    </row>
    <row r="1048" spans="87:87" ht="12" customHeight="1">
      <c r="CI1048" s="49"/>
    </row>
    <row r="1049" spans="87:87" ht="12" customHeight="1">
      <c r="CI1049" s="49"/>
    </row>
    <row r="1050" spans="87:87" ht="12" customHeight="1">
      <c r="CI1050" s="49"/>
    </row>
    <row r="1051" spans="87:87" ht="12" customHeight="1">
      <c r="CI1051" s="49"/>
    </row>
    <row r="1052" spans="87:87" ht="12" customHeight="1">
      <c r="CI1052" s="49"/>
    </row>
    <row r="1053" spans="87:87" ht="12" customHeight="1">
      <c r="CI1053" s="49"/>
    </row>
    <row r="1054" spans="87:87" ht="12" customHeight="1">
      <c r="CI1054" s="49"/>
    </row>
    <row r="1055" spans="87:87" ht="12" customHeight="1">
      <c r="CI1055" s="49"/>
    </row>
    <row r="1056" spans="87:87" ht="12" customHeight="1">
      <c r="CI1056" s="49"/>
    </row>
    <row r="1057" spans="87:87" ht="12" customHeight="1">
      <c r="CI1057" s="49"/>
    </row>
    <row r="1058" spans="87:87" ht="12" customHeight="1">
      <c r="CI1058" s="49"/>
    </row>
    <row r="1059" spans="87:87" ht="12" customHeight="1">
      <c r="CI1059" s="49"/>
    </row>
    <row r="1060" spans="87:87" ht="12" customHeight="1">
      <c r="CI1060" s="49"/>
    </row>
    <row r="1061" spans="87:87" ht="12" customHeight="1">
      <c r="CI1061" s="49"/>
    </row>
    <row r="1062" spans="87:87" ht="12" customHeight="1">
      <c r="CI1062" s="49"/>
    </row>
    <row r="1063" spans="87:87" ht="12" customHeight="1">
      <c r="CI1063" s="49"/>
    </row>
    <row r="1064" spans="87:87" ht="12" customHeight="1">
      <c r="CI1064" s="49"/>
    </row>
    <row r="1065" spans="87:87" ht="12" customHeight="1">
      <c r="CI1065" s="49"/>
    </row>
    <row r="1066" spans="87:87" ht="12" customHeight="1">
      <c r="CI1066" s="49"/>
    </row>
    <row r="1067" spans="87:87" ht="12" customHeight="1">
      <c r="CI1067" s="49"/>
    </row>
    <row r="1068" spans="87:87" ht="12" customHeight="1">
      <c r="CI1068" s="49"/>
    </row>
    <row r="1069" spans="87:87" ht="12" customHeight="1">
      <c r="CI1069" s="49"/>
    </row>
    <row r="1070" spans="87:87" ht="12" customHeight="1">
      <c r="CI1070" s="49"/>
    </row>
    <row r="1071" spans="87:87" ht="12" customHeight="1">
      <c r="CI1071" s="49"/>
    </row>
    <row r="1072" spans="87:87" ht="12" customHeight="1">
      <c r="CI1072" s="49"/>
    </row>
    <row r="1073" spans="87:87" ht="12" customHeight="1">
      <c r="CI1073" s="49"/>
    </row>
    <row r="1074" spans="87:87" ht="12" customHeight="1">
      <c r="CI1074" s="49"/>
    </row>
    <row r="1075" spans="87:87" ht="12" customHeight="1">
      <c r="CI1075" s="49"/>
    </row>
    <row r="1076" spans="87:87" ht="12" customHeight="1">
      <c r="CI1076" s="49"/>
    </row>
    <row r="1077" spans="87:87" ht="12" customHeight="1">
      <c r="CI1077" s="49"/>
    </row>
    <row r="1078" spans="87:87" ht="12" customHeight="1">
      <c r="CI1078" s="49"/>
    </row>
    <row r="1079" spans="87:87" ht="12" customHeight="1">
      <c r="CI1079" s="49"/>
    </row>
    <row r="1080" spans="87:87" ht="12" customHeight="1">
      <c r="CI1080" s="49"/>
    </row>
    <row r="1081" spans="87:87" ht="12" customHeight="1">
      <c r="CI1081" s="49"/>
    </row>
    <row r="1082" spans="87:87" ht="12" customHeight="1">
      <c r="CI1082" s="49"/>
    </row>
    <row r="1083" spans="87:87" ht="12" customHeight="1">
      <c r="CI1083" s="49"/>
    </row>
    <row r="1084" spans="87:87" ht="12" customHeight="1">
      <c r="CI1084" s="49"/>
    </row>
    <row r="1085" spans="87:87" ht="12" customHeight="1">
      <c r="CI1085" s="49"/>
    </row>
    <row r="1086" spans="87:87" ht="12" customHeight="1">
      <c r="CI1086" s="49"/>
    </row>
    <row r="1087" spans="87:87" ht="12" customHeight="1">
      <c r="CI1087" s="49"/>
    </row>
    <row r="1088" spans="87:87" ht="12" customHeight="1">
      <c r="CI1088" s="49"/>
    </row>
    <row r="1089" spans="87:87" ht="12" customHeight="1">
      <c r="CI1089" s="49"/>
    </row>
    <row r="1090" spans="87:87" ht="12" customHeight="1">
      <c r="CI1090" s="49"/>
    </row>
    <row r="1091" spans="87:87" ht="12" customHeight="1">
      <c r="CI1091" s="49"/>
    </row>
    <row r="1092" spans="87:87" ht="12" customHeight="1">
      <c r="CI1092" s="49"/>
    </row>
    <row r="1093" spans="87:87" ht="12" customHeight="1">
      <c r="CI1093" s="49"/>
    </row>
    <row r="1094" spans="87:87" ht="12" customHeight="1">
      <c r="CI1094" s="49"/>
    </row>
    <row r="1095" spans="87:87" ht="12" customHeight="1">
      <c r="CI1095" s="49"/>
    </row>
    <row r="1096" spans="87:87" ht="12" customHeight="1">
      <c r="CI1096" s="49"/>
    </row>
    <row r="1097" spans="87:87" ht="12" customHeight="1">
      <c r="CI1097" s="49"/>
    </row>
    <row r="1098" spans="87:87" ht="12" customHeight="1">
      <c r="CI1098" s="49"/>
    </row>
    <row r="1099" spans="87:87" ht="12" customHeight="1">
      <c r="CI1099" s="49"/>
    </row>
    <row r="1100" spans="87:87" ht="12" customHeight="1">
      <c r="CI1100" s="49"/>
    </row>
    <row r="1101" spans="87:87" ht="12" customHeight="1">
      <c r="CI1101" s="49"/>
    </row>
    <row r="1102" spans="87:87" ht="12" customHeight="1">
      <c r="CI1102" s="49"/>
    </row>
    <row r="1103" spans="87:87" ht="12" customHeight="1">
      <c r="CI1103" s="49"/>
    </row>
    <row r="1104" spans="87:87" ht="12" customHeight="1">
      <c r="CI1104" s="49"/>
    </row>
    <row r="1105" spans="87:87" ht="12" customHeight="1">
      <c r="CI1105" s="49"/>
    </row>
    <row r="1106" spans="87:87" ht="12" customHeight="1">
      <c r="CI1106" s="49"/>
    </row>
    <row r="1107" spans="87:87" ht="12" customHeight="1">
      <c r="CI1107" s="49"/>
    </row>
    <row r="1108" spans="87:87" ht="12" customHeight="1">
      <c r="CI1108" s="49"/>
    </row>
    <row r="1109" spans="87:87" ht="12" customHeight="1">
      <c r="CI1109" s="49"/>
    </row>
    <row r="1110" spans="87:87" ht="12" customHeight="1">
      <c r="CI1110" s="49"/>
    </row>
    <row r="1111" spans="87:87" ht="12" customHeight="1">
      <c r="CI1111" s="49"/>
    </row>
    <row r="1112" spans="87:87" ht="12" customHeight="1">
      <c r="CI1112" s="49"/>
    </row>
    <row r="1113" spans="87:87" ht="12" customHeight="1">
      <c r="CI1113" s="49"/>
    </row>
    <row r="1114" spans="87:87" ht="12" customHeight="1">
      <c r="CI1114" s="49"/>
    </row>
    <row r="1115" spans="87:87" ht="12" customHeight="1">
      <c r="CI1115" s="49"/>
    </row>
    <row r="1116" spans="87:87" ht="12" customHeight="1">
      <c r="CI1116" s="49"/>
    </row>
    <row r="1117" spans="87:87" ht="12" customHeight="1">
      <c r="CI1117" s="49"/>
    </row>
    <row r="1118" spans="87:87" ht="12" customHeight="1">
      <c r="CI1118" s="49"/>
    </row>
    <row r="1119" spans="87:87" ht="12" customHeight="1">
      <c r="CI1119" s="49"/>
    </row>
    <row r="1120" spans="87:87" ht="12" customHeight="1">
      <c r="CI1120" s="49"/>
    </row>
    <row r="1121" spans="87:87" ht="12" customHeight="1">
      <c r="CI1121" s="49"/>
    </row>
    <row r="1122" spans="87:87" ht="12" customHeight="1">
      <c r="CI1122" s="49"/>
    </row>
    <row r="1123" spans="87:87" ht="12" customHeight="1">
      <c r="CI1123" s="49"/>
    </row>
    <row r="1124" spans="87:87" ht="12" customHeight="1">
      <c r="CI1124" s="49"/>
    </row>
    <row r="1125" spans="87:87" ht="12" customHeight="1">
      <c r="CI1125" s="49"/>
    </row>
    <row r="1126" spans="87:87" ht="12" customHeight="1">
      <c r="CI1126" s="49"/>
    </row>
    <row r="1127" spans="87:87" ht="12" customHeight="1">
      <c r="CI1127" s="49"/>
    </row>
    <row r="1128" spans="87:87" ht="12" customHeight="1">
      <c r="CI1128" s="49"/>
    </row>
    <row r="1129" spans="87:87" ht="12" customHeight="1">
      <c r="CI1129" s="49"/>
    </row>
    <row r="1130" spans="87:87" ht="12" customHeight="1">
      <c r="CI1130" s="49"/>
    </row>
    <row r="1131" spans="87:87" ht="12" customHeight="1">
      <c r="CI1131" s="49"/>
    </row>
    <row r="1132" spans="87:87" ht="12" customHeight="1">
      <c r="CI1132" s="49"/>
    </row>
    <row r="1133" spans="87:87" ht="12" customHeight="1">
      <c r="CI1133" s="49"/>
    </row>
    <row r="1134" spans="87:87" ht="12" customHeight="1">
      <c r="CI1134" s="49"/>
    </row>
    <row r="1135" spans="87:87" ht="12" customHeight="1">
      <c r="CI1135" s="49"/>
    </row>
    <row r="1136" spans="87:87" ht="12" customHeight="1">
      <c r="CI1136" s="49"/>
    </row>
    <row r="1137" spans="87:87" ht="12" customHeight="1">
      <c r="CI1137" s="49"/>
    </row>
    <row r="1138" spans="87:87" ht="12" customHeight="1">
      <c r="CI1138" s="49"/>
    </row>
    <row r="1139" spans="87:87" ht="12" customHeight="1">
      <c r="CI1139" s="49"/>
    </row>
    <row r="1140" spans="87:87" ht="12" customHeight="1">
      <c r="CI1140" s="49"/>
    </row>
    <row r="1141" spans="87:87" ht="12" customHeight="1">
      <c r="CI1141" s="49"/>
    </row>
    <row r="1142" spans="87:87" ht="12" customHeight="1">
      <c r="CI1142" s="49"/>
    </row>
    <row r="1143" spans="87:87" ht="12" customHeight="1">
      <c r="CI1143" s="49"/>
    </row>
    <row r="1144" spans="87:87" ht="12" customHeight="1">
      <c r="CI1144" s="49"/>
    </row>
    <row r="1145" spans="87:87" ht="12" customHeight="1">
      <c r="CI1145" s="49"/>
    </row>
    <row r="1146" spans="87:87" ht="12" customHeight="1">
      <c r="CI1146" s="49"/>
    </row>
    <row r="1147" spans="87:87" ht="12" customHeight="1">
      <c r="CI1147" s="49"/>
    </row>
    <row r="1148" spans="87:87" ht="12" customHeight="1">
      <c r="CI1148" s="49"/>
    </row>
    <row r="1149" spans="87:87" ht="12" customHeight="1">
      <c r="CI1149" s="49"/>
    </row>
    <row r="1150" spans="87:87" ht="12" customHeight="1">
      <c r="CI1150" s="49"/>
    </row>
    <row r="1151" spans="87:87" ht="12" customHeight="1">
      <c r="CI1151" s="49"/>
    </row>
    <row r="1152" spans="87:87" ht="12" customHeight="1">
      <c r="CI1152" s="49"/>
    </row>
    <row r="1153" spans="87:87" ht="12" customHeight="1">
      <c r="CI1153" s="49"/>
    </row>
    <row r="1154" spans="87:87" ht="12" customHeight="1">
      <c r="CI1154" s="49"/>
    </row>
    <row r="1155" spans="87:87" ht="12" customHeight="1">
      <c r="CI1155" s="49"/>
    </row>
    <row r="1156" spans="87:87" ht="12" customHeight="1">
      <c r="CI1156" s="49"/>
    </row>
    <row r="1157" spans="87:87" ht="12" customHeight="1">
      <c r="CI1157" s="49"/>
    </row>
    <row r="1158" spans="87:87" ht="12" customHeight="1">
      <c r="CI1158" s="49"/>
    </row>
    <row r="1159" spans="87:87" ht="12" customHeight="1">
      <c r="CI1159" s="49"/>
    </row>
    <row r="1160" spans="87:87" ht="12" customHeight="1">
      <c r="CI1160" s="49"/>
    </row>
    <row r="1161" spans="87:87" ht="12" customHeight="1">
      <c r="CI1161" s="49"/>
    </row>
    <row r="1162" spans="87:87" ht="12" customHeight="1">
      <c r="CI1162" s="49"/>
    </row>
    <row r="1163" spans="87:87" ht="12" customHeight="1">
      <c r="CI1163" s="49"/>
    </row>
    <row r="1164" spans="87:87" ht="12" customHeight="1">
      <c r="CI1164" s="49"/>
    </row>
    <row r="1165" spans="87:87" ht="12" customHeight="1">
      <c r="CI1165" s="49"/>
    </row>
    <row r="1166" spans="87:87" ht="12" customHeight="1">
      <c r="CI1166" s="49"/>
    </row>
    <row r="1167" spans="87:87" ht="12" customHeight="1">
      <c r="CI1167" s="49"/>
    </row>
    <row r="1168" spans="87:87" ht="12" customHeight="1">
      <c r="CI1168" s="49"/>
    </row>
    <row r="1169" spans="87:87" ht="12" customHeight="1">
      <c r="CI1169" s="49"/>
    </row>
    <row r="1170" spans="87:87" ht="12" customHeight="1">
      <c r="CI1170" s="49"/>
    </row>
    <row r="1171" spans="87:87" ht="12" customHeight="1">
      <c r="CI1171" s="49"/>
    </row>
    <row r="1172" spans="87:87" ht="12" customHeight="1">
      <c r="CI1172" s="49"/>
    </row>
    <row r="1173" spans="87:87" ht="12" customHeight="1">
      <c r="CI1173" s="49"/>
    </row>
    <row r="1174" spans="87:87" ht="12" customHeight="1">
      <c r="CI1174" s="49"/>
    </row>
    <row r="1175" spans="87:87" ht="12" customHeight="1">
      <c r="CI1175" s="49"/>
    </row>
    <row r="1176" spans="87:87" ht="12" customHeight="1">
      <c r="CI1176" s="49"/>
    </row>
    <row r="1177" spans="87:87" ht="12" customHeight="1">
      <c r="CI1177" s="49"/>
    </row>
    <row r="1178" spans="87:87" ht="12" customHeight="1">
      <c r="CI1178" s="49"/>
    </row>
    <row r="1179" spans="87:87" ht="12" customHeight="1">
      <c r="CI1179" s="49"/>
    </row>
    <row r="1180" spans="87:87" ht="12" customHeight="1">
      <c r="CI1180" s="49"/>
    </row>
    <row r="1181" spans="87:87" ht="12" customHeight="1">
      <c r="CI1181" s="49"/>
    </row>
    <row r="1182" spans="87:87" ht="12" customHeight="1">
      <c r="CI1182" s="49"/>
    </row>
    <row r="1183" spans="87:87" ht="12" customHeight="1">
      <c r="CI1183" s="49"/>
    </row>
    <row r="1184" spans="87:87" ht="12" customHeight="1">
      <c r="CI1184" s="49"/>
    </row>
    <row r="1185" spans="87:87" ht="12" customHeight="1">
      <c r="CI1185" s="49"/>
    </row>
    <row r="1186" spans="87:87" ht="12" customHeight="1">
      <c r="CI1186" s="49"/>
    </row>
    <row r="1187" spans="87:87" ht="12" customHeight="1">
      <c r="CI1187" s="49"/>
    </row>
    <row r="1188" spans="87:87" ht="12" customHeight="1">
      <c r="CI1188" s="49"/>
    </row>
    <row r="1189" spans="87:87" ht="12" customHeight="1">
      <c r="CI1189" s="49"/>
    </row>
    <row r="1190" spans="87:87" ht="12" customHeight="1">
      <c r="CI1190" s="49"/>
    </row>
    <row r="1191" spans="87:87" ht="12" customHeight="1">
      <c r="CI1191" s="49"/>
    </row>
    <row r="1192" spans="87:87" ht="12" customHeight="1">
      <c r="CI1192" s="49"/>
    </row>
    <row r="1193" spans="87:87" ht="12" customHeight="1">
      <c r="CI1193" s="49"/>
    </row>
    <row r="1194" spans="87:87" ht="12" customHeight="1">
      <c r="CI1194" s="49"/>
    </row>
    <row r="1195" spans="87:87" ht="12" customHeight="1">
      <c r="CI1195" s="49"/>
    </row>
    <row r="1196" spans="87:87" ht="12" customHeight="1">
      <c r="CI1196" s="49"/>
    </row>
    <row r="1197" spans="87:87" ht="12" customHeight="1">
      <c r="CI1197" s="49"/>
    </row>
    <row r="1198" spans="87:87" ht="12" customHeight="1">
      <c r="CI1198" s="49"/>
    </row>
    <row r="1199" spans="87:87" ht="12" customHeight="1">
      <c r="CI1199" s="49"/>
    </row>
    <row r="1200" spans="87:87" ht="12" customHeight="1">
      <c r="CI1200" s="49"/>
    </row>
    <row r="1201" spans="87:87" ht="12" customHeight="1">
      <c r="CI1201" s="49"/>
    </row>
    <row r="1202" spans="87:87" ht="12" customHeight="1">
      <c r="CI1202" s="49"/>
    </row>
    <row r="1203" spans="87:87" ht="12" customHeight="1">
      <c r="CI1203" s="49"/>
    </row>
    <row r="1204" spans="87:87" ht="12" customHeight="1">
      <c r="CI1204" s="49"/>
    </row>
    <row r="1205" spans="87:87" ht="12" customHeight="1">
      <c r="CI1205" s="49"/>
    </row>
    <row r="1206" spans="87:87" ht="12" customHeight="1">
      <c r="CI1206" s="49"/>
    </row>
    <row r="1207" spans="87:87" ht="12" customHeight="1">
      <c r="CI1207" s="49"/>
    </row>
    <row r="1208" spans="87:87" ht="12" customHeight="1">
      <c r="CI1208" s="49"/>
    </row>
    <row r="1209" spans="87:87" ht="12" customHeight="1">
      <c r="CI1209" s="49"/>
    </row>
    <row r="1210" spans="87:87" ht="12" customHeight="1">
      <c r="CI1210" s="49"/>
    </row>
    <row r="1211" spans="87:87" ht="12" customHeight="1">
      <c r="CI1211" s="49"/>
    </row>
    <row r="1212" spans="87:87" ht="12" customHeight="1">
      <c r="CI1212" s="49"/>
    </row>
    <row r="1213" spans="87:87" ht="12" customHeight="1">
      <c r="CI1213" s="49"/>
    </row>
    <row r="1214" spans="87:87" ht="12" customHeight="1">
      <c r="CI1214" s="49"/>
    </row>
    <row r="1215" spans="87:87" ht="12" customHeight="1">
      <c r="CI1215" s="49"/>
    </row>
    <row r="1216" spans="87:87" ht="12" customHeight="1">
      <c r="CI1216" s="49"/>
    </row>
    <row r="1217" spans="87:87" ht="12" customHeight="1">
      <c r="CI1217" s="49"/>
    </row>
    <row r="1218" spans="87:87" ht="12" customHeight="1">
      <c r="CI1218" s="49"/>
    </row>
    <row r="1219" spans="87:87" ht="12" customHeight="1">
      <c r="CI1219" s="49"/>
    </row>
    <row r="1220" spans="87:87" ht="12" customHeight="1">
      <c r="CI1220" s="49"/>
    </row>
    <row r="1221" spans="87:87" ht="12" customHeight="1">
      <c r="CI1221" s="49"/>
    </row>
    <row r="1222" spans="87:87" ht="12" customHeight="1">
      <c r="CI1222" s="49"/>
    </row>
    <row r="1223" spans="87:87" ht="12" customHeight="1">
      <c r="CI1223" s="49"/>
    </row>
    <row r="1224" spans="87:87" ht="12" customHeight="1">
      <c r="CI1224" s="49"/>
    </row>
    <row r="1225" spans="87:87" ht="12" customHeight="1">
      <c r="CI1225" s="49"/>
    </row>
    <row r="1226" spans="87:87" ht="12" customHeight="1">
      <c r="CI1226" s="49"/>
    </row>
    <row r="1227" spans="87:87" ht="12" customHeight="1">
      <c r="CI1227" s="49"/>
    </row>
    <row r="1228" spans="87:87" ht="12" customHeight="1">
      <c r="CI1228" s="49"/>
    </row>
    <row r="1229" spans="87:87" ht="12" customHeight="1">
      <c r="CI1229" s="49"/>
    </row>
    <row r="1230" spans="87:87" ht="12" customHeight="1">
      <c r="CI1230" s="49"/>
    </row>
    <row r="1231" spans="87:87" ht="12" customHeight="1">
      <c r="CI1231" s="49"/>
    </row>
    <row r="1232" spans="87:87" ht="12" customHeight="1">
      <c r="CI1232" s="49"/>
    </row>
    <row r="1233" spans="87:87" ht="12" customHeight="1">
      <c r="CI1233" s="49"/>
    </row>
    <row r="1234" spans="87:87" ht="12" customHeight="1">
      <c r="CI1234" s="49"/>
    </row>
    <row r="1235" spans="87:87" ht="12" customHeight="1">
      <c r="CI1235" s="49"/>
    </row>
    <row r="1236" spans="87:87" ht="12" customHeight="1">
      <c r="CI1236" s="49"/>
    </row>
    <row r="1237" spans="87:87" ht="12" customHeight="1">
      <c r="CI1237" s="49"/>
    </row>
    <row r="1238" spans="87:87" ht="12" customHeight="1">
      <c r="CI1238" s="49"/>
    </row>
    <row r="1239" spans="87:87" ht="12" customHeight="1">
      <c r="CI1239" s="49"/>
    </row>
    <row r="1240" spans="87:87" ht="12" customHeight="1">
      <c r="CI1240" s="49"/>
    </row>
    <row r="1241" spans="87:87" ht="12" customHeight="1">
      <c r="CI1241" s="49"/>
    </row>
    <row r="1242" spans="87:87" ht="12" customHeight="1">
      <c r="CI1242" s="49"/>
    </row>
    <row r="1243" spans="87:87" ht="12" customHeight="1">
      <c r="CI1243" s="49"/>
    </row>
    <row r="1244" spans="87:87" ht="12" customHeight="1">
      <c r="CI1244" s="49"/>
    </row>
    <row r="1245" spans="87:87" ht="12" customHeight="1">
      <c r="CI1245" s="49"/>
    </row>
    <row r="1246" spans="87:87" ht="12" customHeight="1">
      <c r="CI1246" s="49"/>
    </row>
    <row r="1247" spans="87:87" ht="12" customHeight="1">
      <c r="CI1247" s="49"/>
    </row>
    <row r="1248" spans="87:87" ht="12" customHeight="1">
      <c r="CI1248" s="49"/>
    </row>
    <row r="1249" spans="87:87" ht="12" customHeight="1">
      <c r="CI1249" s="49"/>
    </row>
    <row r="1250" spans="87:87" ht="12" customHeight="1">
      <c r="CI1250" s="49"/>
    </row>
    <row r="1251" spans="87:87" ht="12" customHeight="1">
      <c r="CI1251" s="49"/>
    </row>
    <row r="1252" spans="87:87" ht="12" customHeight="1">
      <c r="CI1252" s="49"/>
    </row>
    <row r="1253" spans="87:87" ht="12" customHeight="1">
      <c r="CI1253" s="49"/>
    </row>
    <row r="1254" spans="87:87" ht="12" customHeight="1">
      <c r="CI1254" s="49"/>
    </row>
    <row r="1255" spans="87:87" ht="12" customHeight="1">
      <c r="CI1255" s="49"/>
    </row>
    <row r="1256" spans="87:87" ht="12" customHeight="1">
      <c r="CI1256" s="49"/>
    </row>
    <row r="1257" spans="87:87" ht="12" customHeight="1">
      <c r="CI1257" s="49"/>
    </row>
    <row r="1258" spans="87:87" ht="12" customHeight="1">
      <c r="CI1258" s="49"/>
    </row>
    <row r="1259" spans="87:87" ht="12" customHeight="1">
      <c r="CI1259" s="49"/>
    </row>
    <row r="1260" spans="87:87" ht="12" customHeight="1">
      <c r="CI1260" s="49"/>
    </row>
    <row r="1261" spans="87:87" ht="12" customHeight="1">
      <c r="CI1261" s="49"/>
    </row>
    <row r="1262" spans="87:87" ht="12" customHeight="1">
      <c r="CI1262" s="49"/>
    </row>
    <row r="1263" spans="87:87" ht="12" customHeight="1">
      <c r="CI1263" s="49"/>
    </row>
    <row r="1264" spans="87:87" ht="12" customHeight="1">
      <c r="CI1264" s="49"/>
    </row>
    <row r="1265" spans="87:87" ht="12" customHeight="1">
      <c r="CI1265" s="49"/>
    </row>
    <row r="1266" spans="87:87" ht="12" customHeight="1">
      <c r="CI1266" s="49"/>
    </row>
    <row r="1267" spans="87:87" ht="12" customHeight="1">
      <c r="CI1267" s="49"/>
    </row>
    <row r="1268" spans="87:87" ht="12" customHeight="1">
      <c r="CI1268" s="49"/>
    </row>
    <row r="1269" spans="87:87" ht="12" customHeight="1">
      <c r="CI1269" s="49"/>
    </row>
    <row r="1270" spans="87:87" ht="12" customHeight="1">
      <c r="CI1270" s="49"/>
    </row>
    <row r="1271" spans="87:87" ht="12" customHeight="1">
      <c r="CI1271" s="49"/>
    </row>
    <row r="1272" spans="87:87" ht="12" customHeight="1">
      <c r="CI1272" s="49"/>
    </row>
    <row r="1273" spans="87:87" ht="12" customHeight="1">
      <c r="CI1273" s="49"/>
    </row>
    <row r="1274" spans="87:87" ht="12" customHeight="1">
      <c r="CI1274" s="49"/>
    </row>
    <row r="1275" spans="87:87" ht="12" customHeight="1">
      <c r="CI1275" s="49"/>
    </row>
    <row r="1276" spans="87:87" ht="12" customHeight="1">
      <c r="CI1276" s="49"/>
    </row>
    <row r="1277" spans="87:87" ht="12" customHeight="1">
      <c r="CI1277" s="49"/>
    </row>
    <row r="1278" spans="87:87" ht="12" customHeight="1">
      <c r="CI1278" s="49"/>
    </row>
    <row r="1279" spans="87:87" ht="12" customHeight="1">
      <c r="CI1279" s="49"/>
    </row>
    <row r="1280" spans="87:87" ht="12" customHeight="1">
      <c r="CI1280" s="49"/>
    </row>
    <row r="1281" spans="87:87" ht="12" customHeight="1">
      <c r="CI1281" s="49"/>
    </row>
    <row r="1282" spans="87:87" ht="12" customHeight="1">
      <c r="CI1282" s="49"/>
    </row>
    <row r="1283" spans="87:87" ht="12" customHeight="1">
      <c r="CI1283" s="49"/>
    </row>
    <row r="1284" spans="87:87" ht="12" customHeight="1">
      <c r="CI1284" s="49"/>
    </row>
    <row r="1285" spans="87:87" ht="12" customHeight="1">
      <c r="CI1285" s="49"/>
    </row>
    <row r="1286" spans="87:87" ht="12" customHeight="1">
      <c r="CI1286" s="49"/>
    </row>
    <row r="1287" spans="87:87" ht="12" customHeight="1">
      <c r="CI1287" s="49"/>
    </row>
    <row r="1288" spans="87:87" ht="12" customHeight="1">
      <c r="CI1288" s="49"/>
    </row>
    <row r="1289" spans="87:87" ht="12" customHeight="1">
      <c r="CI1289" s="49"/>
    </row>
    <row r="1290" spans="87:87" ht="12" customHeight="1">
      <c r="CI1290" s="49"/>
    </row>
    <row r="1291" spans="87:87" ht="12" customHeight="1">
      <c r="CI1291" s="49"/>
    </row>
    <row r="1292" spans="87:87" ht="12" customHeight="1">
      <c r="CI1292" s="49"/>
    </row>
    <row r="1293" spans="87:87" ht="12" customHeight="1">
      <c r="CI1293" s="49"/>
    </row>
    <row r="1294" spans="87:87" ht="12" customHeight="1">
      <c r="CI1294" s="49"/>
    </row>
    <row r="1295" spans="87:87" ht="12" customHeight="1">
      <c r="CI1295" s="49"/>
    </row>
    <row r="1296" spans="87:87" ht="12" customHeight="1">
      <c r="CI1296" s="49"/>
    </row>
    <row r="1297" spans="87:87" ht="12" customHeight="1">
      <c r="CI1297" s="49"/>
    </row>
    <row r="1298" spans="87:87" ht="12" customHeight="1">
      <c r="CI1298" s="49"/>
    </row>
    <row r="1299" spans="87:87" ht="12" customHeight="1">
      <c r="CI1299" s="49"/>
    </row>
    <row r="1300" spans="87:87" ht="12" customHeight="1">
      <c r="CI1300" s="49"/>
    </row>
    <row r="1301" spans="87:87" ht="12" customHeight="1">
      <c r="CI1301" s="49"/>
    </row>
    <row r="1302" spans="87:87" ht="12" customHeight="1">
      <c r="CI1302" s="49"/>
    </row>
    <row r="1303" spans="87:87" ht="12" customHeight="1">
      <c r="CI1303" s="49"/>
    </row>
    <row r="1304" spans="87:87" ht="12" customHeight="1">
      <c r="CI1304" s="49"/>
    </row>
    <row r="1305" spans="87:87" ht="12" customHeight="1">
      <c r="CI1305" s="49"/>
    </row>
    <row r="1306" spans="87:87" ht="12" customHeight="1">
      <c r="CI1306" s="49"/>
    </row>
    <row r="1307" spans="87:87" ht="12" customHeight="1">
      <c r="CI1307" s="49"/>
    </row>
    <row r="1308" spans="87:87" ht="12" customHeight="1">
      <c r="CI1308" s="49"/>
    </row>
    <row r="1309" spans="87:87" ht="12" customHeight="1">
      <c r="CI1309" s="49"/>
    </row>
    <row r="1310" spans="87:87" ht="12" customHeight="1">
      <c r="CI1310" s="49"/>
    </row>
    <row r="1311" spans="87:87" ht="12" customHeight="1">
      <c r="CI1311" s="49"/>
    </row>
    <row r="1312" spans="87:87" ht="12" customHeight="1">
      <c r="CI1312" s="49"/>
    </row>
    <row r="1313" spans="87:87" ht="12" customHeight="1">
      <c r="CI1313" s="49"/>
    </row>
    <row r="1314" spans="87:87" ht="12" customHeight="1">
      <c r="CI1314" s="49"/>
    </row>
    <row r="1315" spans="87:87" ht="12" customHeight="1">
      <c r="CI1315" s="49"/>
    </row>
    <row r="1316" spans="87:87" ht="12" customHeight="1">
      <c r="CI1316" s="49"/>
    </row>
    <row r="1317" spans="87:87" ht="12" customHeight="1">
      <c r="CI1317" s="49"/>
    </row>
    <row r="1318" spans="87:87" ht="12" customHeight="1">
      <c r="CI1318" s="49"/>
    </row>
    <row r="1319" spans="87:87" ht="12" customHeight="1">
      <c r="CI1319" s="49"/>
    </row>
    <row r="1320" spans="87:87" ht="12" customHeight="1">
      <c r="CI1320" s="49"/>
    </row>
    <row r="1321" spans="87:87" ht="12" customHeight="1">
      <c r="CI1321" s="49"/>
    </row>
    <row r="1322" spans="87:87" ht="12" customHeight="1">
      <c r="CI1322" s="49"/>
    </row>
    <row r="1323" spans="87:87" ht="12" customHeight="1">
      <c r="CI1323" s="49"/>
    </row>
    <row r="1324" spans="87:87" ht="12" customHeight="1">
      <c r="CI1324" s="49"/>
    </row>
    <row r="1325" spans="87:87" ht="12" customHeight="1">
      <c r="CI1325" s="49"/>
    </row>
    <row r="1326" spans="87:87" ht="12" customHeight="1">
      <c r="CI1326" s="49"/>
    </row>
    <row r="1327" spans="87:87" ht="12" customHeight="1">
      <c r="CI1327" s="49"/>
    </row>
    <row r="1328" spans="87:87" ht="12" customHeight="1">
      <c r="CI1328" s="49"/>
    </row>
    <row r="1329" spans="87:87" ht="12" customHeight="1">
      <c r="CI1329" s="49"/>
    </row>
    <row r="1330" spans="87:87" ht="12" customHeight="1">
      <c r="CI1330" s="49"/>
    </row>
    <row r="1331" spans="87:87" ht="12" customHeight="1">
      <c r="CI1331" s="49"/>
    </row>
    <row r="1332" spans="87:87" ht="12" customHeight="1">
      <c r="CI1332" s="49"/>
    </row>
    <row r="1333" spans="87:87" ht="12" customHeight="1">
      <c r="CI1333" s="49"/>
    </row>
    <row r="1334" spans="87:87" ht="12" customHeight="1">
      <c r="CI1334" s="49"/>
    </row>
    <row r="1335" spans="87:87" ht="12" customHeight="1">
      <c r="CI1335" s="49"/>
    </row>
    <row r="1336" spans="87:87" ht="12" customHeight="1">
      <c r="CI1336" s="49"/>
    </row>
    <row r="1337" spans="87:87" ht="12" customHeight="1">
      <c r="CI1337" s="49"/>
    </row>
    <row r="1338" spans="87:87" ht="12" customHeight="1">
      <c r="CI1338" s="49"/>
    </row>
    <row r="1339" spans="87:87" ht="12" customHeight="1">
      <c r="CI1339" s="49"/>
    </row>
    <row r="1340" spans="87:87" ht="12" customHeight="1">
      <c r="CI1340" s="49"/>
    </row>
    <row r="1341" spans="87:87" ht="12" customHeight="1">
      <c r="CI1341" s="49"/>
    </row>
    <row r="1342" spans="87:87" ht="12" customHeight="1">
      <c r="CI1342" s="49"/>
    </row>
    <row r="1343" spans="87:87" ht="12" customHeight="1">
      <c r="CI1343" s="49"/>
    </row>
    <row r="1344" spans="87:87" ht="12" customHeight="1">
      <c r="CI1344" s="49"/>
    </row>
    <row r="1345" spans="87:87" ht="12" customHeight="1">
      <c r="CI1345" s="49"/>
    </row>
    <row r="1346" spans="87:87" ht="12" customHeight="1">
      <c r="CI1346" s="49"/>
    </row>
    <row r="1347" spans="87:87" ht="12" customHeight="1">
      <c r="CI1347" s="49"/>
    </row>
    <row r="1348" spans="87:87" ht="12" customHeight="1">
      <c r="CI1348" s="49"/>
    </row>
    <row r="1349" spans="87:87" ht="12" customHeight="1">
      <c r="CI1349" s="49"/>
    </row>
    <row r="1350" spans="87:87" ht="12" customHeight="1">
      <c r="CI1350" s="49"/>
    </row>
    <row r="1351" spans="87:87" ht="12" customHeight="1">
      <c r="CI1351" s="49"/>
    </row>
    <row r="1352" spans="87:87" ht="12" customHeight="1">
      <c r="CI1352" s="49"/>
    </row>
    <row r="1353" spans="87:87" ht="12" customHeight="1">
      <c r="CI1353" s="49"/>
    </row>
    <row r="1354" spans="87:87" ht="12" customHeight="1">
      <c r="CI1354" s="49"/>
    </row>
    <row r="1355" spans="87:87" ht="12" customHeight="1">
      <c r="CI1355" s="49"/>
    </row>
    <row r="1356" spans="87:87" ht="12" customHeight="1">
      <c r="CI1356" s="49"/>
    </row>
    <row r="1357" spans="87:87" ht="12" customHeight="1">
      <c r="CI1357" s="49"/>
    </row>
    <row r="1358" spans="87:87" ht="12" customHeight="1">
      <c r="CI1358" s="49"/>
    </row>
    <row r="1359" spans="87:87" ht="12" customHeight="1">
      <c r="CI1359" s="49"/>
    </row>
    <row r="1360" spans="87:87" ht="12" customHeight="1">
      <c r="CI1360" s="49"/>
    </row>
    <row r="1361" spans="87:87" ht="12" customHeight="1">
      <c r="CI1361" s="49"/>
    </row>
    <row r="1362" spans="87:87" ht="12" customHeight="1">
      <c r="CI1362" s="49"/>
    </row>
    <row r="1363" spans="87:87" ht="12" customHeight="1">
      <c r="CI1363" s="49"/>
    </row>
    <row r="1364" spans="87:87" ht="12" customHeight="1">
      <c r="CI1364" s="49"/>
    </row>
    <row r="1365" spans="87:87" ht="12" customHeight="1">
      <c r="CI1365" s="49"/>
    </row>
    <row r="1366" spans="87:87" ht="12" customHeight="1">
      <c r="CI1366" s="49"/>
    </row>
    <row r="1367" spans="87:87" ht="12" customHeight="1">
      <c r="CI1367" s="49"/>
    </row>
    <row r="1368" spans="87:87" ht="12" customHeight="1">
      <c r="CI1368" s="49"/>
    </row>
    <row r="1369" spans="87:87" ht="12" customHeight="1">
      <c r="CI1369" s="49"/>
    </row>
    <row r="1370" spans="87:87" ht="12" customHeight="1">
      <c r="CI1370" s="49"/>
    </row>
    <row r="1371" spans="87:87" ht="12" customHeight="1">
      <c r="CI1371" s="49"/>
    </row>
    <row r="1372" spans="87:87" ht="12" customHeight="1">
      <c r="CI1372" s="49"/>
    </row>
    <row r="1373" spans="87:87" ht="12" customHeight="1">
      <c r="CI1373" s="49"/>
    </row>
    <row r="1374" spans="87:87" ht="12" customHeight="1">
      <c r="CI1374" s="49"/>
    </row>
    <row r="1375" spans="87:87" ht="12" customHeight="1">
      <c r="CI1375" s="49"/>
    </row>
    <row r="1376" spans="87:87" ht="12" customHeight="1">
      <c r="CI1376" s="49"/>
    </row>
    <row r="1377" spans="87:87" ht="12" customHeight="1">
      <c r="CI1377" s="49"/>
    </row>
    <row r="1378" spans="87:87" ht="12" customHeight="1">
      <c r="CI1378" s="49"/>
    </row>
    <row r="1379" spans="87:87" ht="12" customHeight="1">
      <c r="CI1379" s="49"/>
    </row>
    <row r="1380" spans="87:87" ht="12" customHeight="1">
      <c r="CI1380" s="49"/>
    </row>
    <row r="1381" spans="87:87" ht="12" customHeight="1">
      <c r="CI1381" s="49"/>
    </row>
    <row r="1382" spans="87:87" ht="12" customHeight="1">
      <c r="CI1382" s="49"/>
    </row>
    <row r="1383" spans="87:87" ht="12" customHeight="1">
      <c r="CI1383" s="49"/>
    </row>
    <row r="1384" spans="87:87" ht="12" customHeight="1">
      <c r="CI1384" s="49"/>
    </row>
    <row r="1385" spans="87:87" ht="12" customHeight="1">
      <c r="CI1385" s="49"/>
    </row>
    <row r="1386" spans="87:87" ht="12" customHeight="1">
      <c r="CI1386" s="49"/>
    </row>
    <row r="1387" spans="87:87" ht="12" customHeight="1">
      <c r="CI1387" s="49"/>
    </row>
    <row r="1388" spans="87:87" ht="12" customHeight="1">
      <c r="CI1388" s="49"/>
    </row>
    <row r="1389" spans="87:87" ht="12" customHeight="1">
      <c r="CI1389" s="49"/>
    </row>
    <row r="1390" spans="87:87" ht="12" customHeight="1">
      <c r="CI1390" s="49"/>
    </row>
    <row r="1391" spans="87:87" ht="12" customHeight="1">
      <c r="CI1391" s="49"/>
    </row>
    <row r="1392" spans="87:87" ht="12" customHeight="1">
      <c r="CI1392" s="49"/>
    </row>
    <row r="1393" spans="87:87" ht="12" customHeight="1">
      <c r="CI1393" s="49"/>
    </row>
    <row r="1394" spans="87:87" ht="12" customHeight="1">
      <c r="CI1394" s="49"/>
    </row>
    <row r="1395" spans="87:87" ht="12" customHeight="1">
      <c r="CI1395" s="49"/>
    </row>
    <row r="1396" spans="87:87" ht="12" customHeight="1">
      <c r="CI1396" s="49"/>
    </row>
    <row r="1397" spans="87:87" ht="12" customHeight="1">
      <c r="CI1397" s="49"/>
    </row>
    <row r="1398" spans="87:87" ht="12" customHeight="1">
      <c r="CI1398" s="49"/>
    </row>
    <row r="1399" spans="87:87" ht="12" customHeight="1">
      <c r="CI1399" s="49"/>
    </row>
    <row r="1400" spans="87:87" ht="12" customHeight="1">
      <c r="CI1400" s="49"/>
    </row>
    <row r="1401" spans="87:87" ht="12" customHeight="1">
      <c r="CI1401" s="49"/>
    </row>
    <row r="1402" spans="87:87" ht="12" customHeight="1">
      <c r="CI1402" s="49"/>
    </row>
    <row r="1403" spans="87:87" ht="12" customHeight="1">
      <c r="CI1403" s="49"/>
    </row>
    <row r="1404" spans="87:87" ht="12" customHeight="1">
      <c r="CI1404" s="49"/>
    </row>
    <row r="1405" spans="87:87" ht="12" customHeight="1">
      <c r="CI1405" s="49"/>
    </row>
    <row r="1406" spans="87:87" ht="12" customHeight="1">
      <c r="CI1406" s="49"/>
    </row>
    <row r="1407" spans="87:87" ht="12" customHeight="1">
      <c r="CI1407" s="49"/>
    </row>
    <row r="1408" spans="87:87" ht="12" customHeight="1">
      <c r="CI1408" s="49"/>
    </row>
    <row r="1409" spans="87:87" ht="12" customHeight="1">
      <c r="CI1409" s="49"/>
    </row>
    <row r="1410" spans="87:87" ht="12" customHeight="1">
      <c r="CI1410" s="49"/>
    </row>
    <row r="1411" spans="87:87" ht="12" customHeight="1">
      <c r="CI1411" s="49"/>
    </row>
    <row r="1412" spans="87:87" ht="12" customHeight="1">
      <c r="CI1412" s="49"/>
    </row>
    <row r="1413" spans="87:87" ht="12" customHeight="1">
      <c r="CI1413" s="49"/>
    </row>
    <row r="1414" spans="87:87" ht="12" customHeight="1">
      <c r="CI1414" s="49"/>
    </row>
    <row r="1415" spans="87:87" ht="12" customHeight="1">
      <c r="CI1415" s="49"/>
    </row>
    <row r="1416" spans="87:87" ht="12" customHeight="1">
      <c r="CI1416" s="49"/>
    </row>
    <row r="1417" spans="87:87" ht="12" customHeight="1">
      <c r="CI1417" s="49"/>
    </row>
    <row r="1418" spans="87:87" ht="12" customHeight="1">
      <c r="CI1418" s="49"/>
    </row>
    <row r="1419" spans="87:87" ht="12" customHeight="1">
      <c r="CI1419" s="49"/>
    </row>
    <row r="1420" spans="87:87" ht="12" customHeight="1">
      <c r="CI1420" s="49"/>
    </row>
    <row r="1421" spans="87:87" ht="12" customHeight="1">
      <c r="CI1421" s="49"/>
    </row>
    <row r="1422" spans="87:87" ht="12" customHeight="1">
      <c r="CI1422" s="49"/>
    </row>
    <row r="1423" spans="87:87" ht="12" customHeight="1">
      <c r="CI1423" s="49"/>
    </row>
    <row r="1424" spans="87:87" ht="12" customHeight="1">
      <c r="CI1424" s="49"/>
    </row>
    <row r="1425" spans="87:87" ht="12" customHeight="1">
      <c r="CI1425" s="49"/>
    </row>
    <row r="1426" spans="87:87" ht="12" customHeight="1">
      <c r="CI1426" s="49"/>
    </row>
    <row r="1427" spans="87:87" ht="12" customHeight="1">
      <c r="CI1427" s="49"/>
    </row>
    <row r="1428" spans="87:87" ht="12" customHeight="1">
      <c r="CI1428" s="49"/>
    </row>
    <row r="1429" spans="87:87" ht="12" customHeight="1">
      <c r="CI1429" s="49"/>
    </row>
    <row r="1430" spans="87:87" ht="12" customHeight="1">
      <c r="CI1430" s="49"/>
    </row>
    <row r="1431" spans="87:87" ht="12" customHeight="1">
      <c r="CI1431" s="49"/>
    </row>
    <row r="1432" spans="87:87" ht="12" customHeight="1">
      <c r="CI1432" s="49"/>
    </row>
    <row r="1433" spans="87:87" ht="12" customHeight="1">
      <c r="CI1433" s="49"/>
    </row>
    <row r="1434" spans="87:87" ht="12" customHeight="1">
      <c r="CI1434" s="49"/>
    </row>
    <row r="1435" spans="87:87" ht="12" customHeight="1">
      <c r="CI1435" s="49"/>
    </row>
    <row r="1436" spans="87:87" ht="12" customHeight="1">
      <c r="CI1436" s="49"/>
    </row>
    <row r="1437" spans="87:87" ht="12" customHeight="1">
      <c r="CI1437" s="49"/>
    </row>
    <row r="1438" spans="87:87" ht="12" customHeight="1">
      <c r="CI1438" s="49"/>
    </row>
    <row r="1439" spans="87:87" ht="12" customHeight="1">
      <c r="CI1439" s="49"/>
    </row>
    <row r="1440" spans="87:87" ht="12" customHeight="1">
      <c r="CI1440" s="49"/>
    </row>
    <row r="1441" spans="87:87" ht="12" customHeight="1">
      <c r="CI1441" s="49"/>
    </row>
    <row r="1442" spans="87:87" ht="12" customHeight="1">
      <c r="CI1442" s="49"/>
    </row>
    <row r="1443" spans="87:87" ht="12" customHeight="1">
      <c r="CI1443" s="49"/>
    </row>
    <row r="1444" spans="87:87" ht="12" customHeight="1">
      <c r="CI1444" s="49"/>
    </row>
    <row r="1445" spans="87:87" ht="12" customHeight="1">
      <c r="CI1445" s="49"/>
    </row>
    <row r="1446" spans="87:87" ht="12" customHeight="1">
      <c r="CI1446" s="49"/>
    </row>
    <row r="1447" spans="87:87" ht="12" customHeight="1">
      <c r="CI1447" s="49"/>
    </row>
    <row r="1448" spans="87:87" ht="12" customHeight="1">
      <c r="CI1448" s="49"/>
    </row>
    <row r="1449" spans="87:87" ht="12" customHeight="1">
      <c r="CI1449" s="49"/>
    </row>
    <row r="1450" spans="87:87" ht="12" customHeight="1">
      <c r="CI1450" s="49"/>
    </row>
    <row r="1451" spans="87:87" ht="12" customHeight="1">
      <c r="CI1451" s="49"/>
    </row>
    <row r="1452" spans="87:87" ht="12" customHeight="1">
      <c r="CI1452" s="49"/>
    </row>
    <row r="1453" spans="87:87" ht="12" customHeight="1">
      <c r="CI1453" s="49"/>
    </row>
    <row r="1454" spans="87:87" ht="12" customHeight="1">
      <c r="CI1454" s="49"/>
    </row>
    <row r="1455" spans="87:87" ht="12" customHeight="1">
      <c r="CI1455" s="49"/>
    </row>
    <row r="1456" spans="87:87" ht="12" customHeight="1">
      <c r="CI1456" s="49"/>
    </row>
    <row r="1457" spans="87:87" ht="12" customHeight="1">
      <c r="CI1457" s="49"/>
    </row>
    <row r="1458" spans="87:87" ht="12" customHeight="1">
      <c r="CI1458" s="49"/>
    </row>
    <row r="1459" spans="87:87" ht="12" customHeight="1">
      <c r="CI1459" s="49"/>
    </row>
    <row r="1460" spans="87:87" ht="12" customHeight="1">
      <c r="CI1460" s="49"/>
    </row>
    <row r="1461" spans="87:87" ht="12" customHeight="1">
      <c r="CI1461" s="49"/>
    </row>
    <row r="1462" spans="87:87" ht="12" customHeight="1">
      <c r="CI1462" s="49"/>
    </row>
    <row r="1463" spans="87:87" ht="12" customHeight="1">
      <c r="CI1463" s="49"/>
    </row>
    <row r="1464" spans="87:87" ht="12" customHeight="1">
      <c r="CI1464" s="49"/>
    </row>
    <row r="1465" spans="87:87" ht="12" customHeight="1">
      <c r="CI1465" s="49"/>
    </row>
    <row r="1466" spans="87:87" ht="12" customHeight="1">
      <c r="CI1466" s="49"/>
    </row>
    <row r="1467" spans="87:87" ht="12" customHeight="1">
      <c r="CI1467" s="49"/>
    </row>
    <row r="1468" spans="87:87" ht="12" customHeight="1">
      <c r="CI1468" s="49"/>
    </row>
    <row r="1469" spans="87:87" ht="12" customHeight="1">
      <c r="CI1469" s="49"/>
    </row>
    <row r="1470" spans="87:87" ht="12" customHeight="1">
      <c r="CI1470" s="49"/>
    </row>
    <row r="1471" spans="87:87" ht="12" customHeight="1">
      <c r="CI1471" s="49"/>
    </row>
    <row r="1472" spans="87:87" ht="12" customHeight="1">
      <c r="CI1472" s="49"/>
    </row>
    <row r="1473" spans="87:87" ht="12" customHeight="1">
      <c r="CI1473" s="49"/>
    </row>
    <row r="1474" spans="87:87" ht="12" customHeight="1">
      <c r="CI1474" s="49"/>
    </row>
    <row r="1475" spans="87:87" ht="12" customHeight="1">
      <c r="CI1475" s="49"/>
    </row>
    <row r="1476" spans="87:87" ht="12" customHeight="1">
      <c r="CI1476" s="49"/>
    </row>
    <row r="1477" spans="87:87" ht="12" customHeight="1">
      <c r="CI1477" s="49"/>
    </row>
    <row r="1478" spans="87:87" ht="12" customHeight="1">
      <c r="CI1478" s="49"/>
    </row>
    <row r="1479" spans="87:87" ht="12" customHeight="1">
      <c r="CI1479" s="49"/>
    </row>
    <row r="1480" spans="87:87" ht="12" customHeight="1">
      <c r="CI1480" s="49"/>
    </row>
    <row r="1481" spans="87:87" ht="12" customHeight="1">
      <c r="CI1481" s="49"/>
    </row>
    <row r="1482" spans="87:87" ht="12" customHeight="1">
      <c r="CI1482" s="49"/>
    </row>
    <row r="1483" spans="87:87" ht="12" customHeight="1">
      <c r="CI1483" s="49"/>
    </row>
    <row r="1484" spans="87:87" ht="12" customHeight="1">
      <c r="CI1484" s="49"/>
    </row>
    <row r="1485" spans="87:87" ht="12" customHeight="1">
      <c r="CI1485" s="49"/>
    </row>
    <row r="1486" spans="87:87" ht="12" customHeight="1">
      <c r="CI1486" s="49"/>
    </row>
    <row r="1487" spans="87:87" ht="12" customHeight="1">
      <c r="CI1487" s="49"/>
    </row>
    <row r="1488" spans="87:87" ht="12" customHeight="1">
      <c r="CI1488" s="49"/>
    </row>
    <row r="1489" spans="87:87" ht="12" customHeight="1">
      <c r="CI1489" s="49"/>
    </row>
    <row r="1490" spans="87:87" ht="12" customHeight="1">
      <c r="CI1490" s="49"/>
    </row>
    <row r="1491" spans="87:87" ht="12" customHeight="1">
      <c r="CI1491" s="49"/>
    </row>
    <row r="1492" spans="87:87" ht="12" customHeight="1">
      <c r="CI1492" s="49"/>
    </row>
    <row r="1493" spans="87:87" ht="12" customHeight="1">
      <c r="CI1493" s="49"/>
    </row>
    <row r="1494" spans="87:87" ht="12" customHeight="1">
      <c r="CI1494" s="49"/>
    </row>
    <row r="1495" spans="87:87" ht="12" customHeight="1">
      <c r="CI1495" s="49"/>
    </row>
    <row r="1496" spans="87:87" ht="12" customHeight="1">
      <c r="CI1496" s="49"/>
    </row>
    <row r="1497" spans="87:87" ht="12" customHeight="1">
      <c r="CI1497" s="49"/>
    </row>
    <row r="1498" spans="87:87" ht="12" customHeight="1">
      <c r="CI1498" s="49"/>
    </row>
    <row r="1499" spans="87:87" ht="12" customHeight="1">
      <c r="CI1499" s="49"/>
    </row>
    <row r="1500" spans="87:87" ht="12" customHeight="1">
      <c r="CI1500" s="49"/>
    </row>
    <row r="1501" spans="87:87" ht="12" customHeight="1">
      <c r="CI1501" s="49"/>
    </row>
    <row r="1502" spans="87:87" ht="12" customHeight="1">
      <c r="CI1502" s="49"/>
    </row>
    <row r="1503" spans="87:87" ht="12" customHeight="1">
      <c r="CI1503" s="49"/>
    </row>
    <row r="1504" spans="87:87" ht="12" customHeight="1">
      <c r="CI1504" s="49"/>
    </row>
    <row r="1505" spans="87:87" ht="12" customHeight="1">
      <c r="CI1505" s="49"/>
    </row>
    <row r="1506" spans="87:87" ht="12" customHeight="1">
      <c r="CI1506" s="49"/>
    </row>
    <row r="1507" spans="87:87" ht="12" customHeight="1">
      <c r="CI1507" s="49"/>
    </row>
    <row r="1508" spans="87:87" ht="12" customHeight="1">
      <c r="CI1508" s="49"/>
    </row>
    <row r="1509" spans="87:87" ht="12" customHeight="1">
      <c r="CI1509" s="49"/>
    </row>
    <row r="1510" spans="87:87" ht="12" customHeight="1">
      <c r="CI1510" s="49"/>
    </row>
    <row r="1511" spans="87:87" ht="12" customHeight="1">
      <c r="CI1511" s="49"/>
    </row>
    <row r="1512" spans="87:87" ht="12" customHeight="1">
      <c r="CI1512" s="49"/>
    </row>
    <row r="1513" spans="87:87" ht="12" customHeight="1">
      <c r="CI1513" s="49"/>
    </row>
    <row r="1514" spans="87:87" ht="12" customHeight="1">
      <c r="CI1514" s="49"/>
    </row>
    <row r="1515" spans="87:87" ht="12" customHeight="1">
      <c r="CI1515" s="49"/>
    </row>
    <row r="1516" spans="87:87" ht="12" customHeight="1">
      <c r="CI1516" s="49"/>
    </row>
    <row r="1517" spans="87:87" ht="12" customHeight="1">
      <c r="CI1517" s="49"/>
    </row>
    <row r="1518" spans="87:87" ht="12" customHeight="1">
      <c r="CI1518" s="49"/>
    </row>
    <row r="1519" spans="87:87" ht="12" customHeight="1">
      <c r="CI1519" s="49"/>
    </row>
    <row r="1520" spans="87:87" ht="12" customHeight="1">
      <c r="CI1520" s="49"/>
    </row>
    <row r="1521" spans="87:87" ht="12" customHeight="1">
      <c r="CI1521" s="49"/>
    </row>
    <row r="1522" spans="87:87" ht="12" customHeight="1">
      <c r="CI1522" s="49"/>
    </row>
    <row r="1523" spans="87:87" ht="12" customHeight="1">
      <c r="CI1523" s="49"/>
    </row>
    <row r="1524" spans="87:87" ht="12" customHeight="1">
      <c r="CI1524" s="49"/>
    </row>
    <row r="1525" spans="87:87" ht="12" customHeight="1">
      <c r="CI1525" s="49"/>
    </row>
    <row r="1526" spans="87:87" ht="12" customHeight="1">
      <c r="CI1526" s="49"/>
    </row>
    <row r="1527" spans="87:87" ht="12" customHeight="1">
      <c r="CI1527" s="49"/>
    </row>
    <row r="1528" spans="87:87" ht="12" customHeight="1">
      <c r="CI1528" s="49"/>
    </row>
    <row r="1529" spans="87:87" ht="12" customHeight="1">
      <c r="CI1529" s="49"/>
    </row>
    <row r="1530" spans="87:87" ht="12" customHeight="1">
      <c r="CI1530" s="49"/>
    </row>
    <row r="1531" spans="87:87" ht="12" customHeight="1">
      <c r="CI1531" s="49"/>
    </row>
    <row r="1532" spans="87:87" ht="12" customHeight="1">
      <c r="CI1532" s="49"/>
    </row>
    <row r="1533" spans="87:87" ht="12" customHeight="1">
      <c r="CI1533" s="49"/>
    </row>
    <row r="1534" spans="87:87" ht="12" customHeight="1">
      <c r="CI1534" s="49"/>
    </row>
    <row r="1535" spans="87:87" ht="12" customHeight="1">
      <c r="CI1535" s="49"/>
    </row>
    <row r="1536" spans="87:87" ht="12" customHeight="1">
      <c r="CI1536" s="49"/>
    </row>
    <row r="1537" spans="87:87" ht="12" customHeight="1">
      <c r="CI1537" s="49"/>
    </row>
    <row r="1538" spans="87:87" ht="12" customHeight="1">
      <c r="CI1538" s="49"/>
    </row>
    <row r="1539" spans="87:87" ht="12" customHeight="1">
      <c r="CI1539" s="49"/>
    </row>
    <row r="1540" spans="87:87" ht="12" customHeight="1">
      <c r="CI1540" s="49"/>
    </row>
    <row r="1541" spans="87:87" ht="12" customHeight="1">
      <c r="CI1541" s="49"/>
    </row>
    <row r="1542" spans="87:87" ht="12" customHeight="1">
      <c r="CI1542" s="49"/>
    </row>
    <row r="1543" spans="87:87" ht="12" customHeight="1">
      <c r="CI1543" s="49"/>
    </row>
    <row r="1544" spans="87:87" ht="12" customHeight="1">
      <c r="CI1544" s="49"/>
    </row>
    <row r="1545" spans="87:87" ht="12" customHeight="1">
      <c r="CI1545" s="49"/>
    </row>
    <row r="1546" spans="87:87" ht="12" customHeight="1">
      <c r="CI1546" s="49"/>
    </row>
    <row r="1547" spans="87:87" ht="12" customHeight="1">
      <c r="CI1547" s="49"/>
    </row>
    <row r="1548" spans="87:87" ht="12" customHeight="1">
      <c r="CI1548" s="49"/>
    </row>
    <row r="1549" spans="87:87" ht="12" customHeight="1">
      <c r="CI1549" s="49"/>
    </row>
    <row r="1550" spans="87:87" ht="12" customHeight="1">
      <c r="CI1550" s="49"/>
    </row>
    <row r="1551" spans="87:87" ht="12" customHeight="1">
      <c r="CI1551" s="49"/>
    </row>
    <row r="1552" spans="87:87" ht="12" customHeight="1">
      <c r="CI1552" s="49"/>
    </row>
    <row r="1553" spans="87:87" ht="12" customHeight="1">
      <c r="CI1553" s="49"/>
    </row>
    <row r="1554" spans="87:87" ht="12" customHeight="1">
      <c r="CI1554" s="49"/>
    </row>
    <row r="1555" spans="87:87" ht="12" customHeight="1">
      <c r="CI1555" s="49"/>
    </row>
    <row r="1556" spans="87:87" ht="12" customHeight="1">
      <c r="CI1556" s="49"/>
    </row>
    <row r="1557" spans="87:87" ht="12" customHeight="1">
      <c r="CI1557" s="49"/>
    </row>
    <row r="1558" spans="87:87" ht="12" customHeight="1">
      <c r="CI1558" s="49"/>
    </row>
    <row r="1559" spans="87:87" ht="12" customHeight="1">
      <c r="CI1559" s="49"/>
    </row>
    <row r="1560" spans="87:87" ht="12" customHeight="1">
      <c r="CI1560" s="49"/>
    </row>
    <row r="1561" spans="87:87" ht="12" customHeight="1">
      <c r="CI1561" s="49"/>
    </row>
    <row r="1562" spans="87:87" ht="12" customHeight="1">
      <c r="CI1562" s="49"/>
    </row>
    <row r="1563" spans="87:87" ht="12" customHeight="1">
      <c r="CI1563" s="49"/>
    </row>
    <row r="1564" spans="87:87" ht="12" customHeight="1">
      <c r="CI1564" s="49"/>
    </row>
    <row r="1565" spans="87:87" ht="12" customHeight="1">
      <c r="CI1565" s="49"/>
    </row>
    <row r="1566" spans="87:87" ht="12" customHeight="1">
      <c r="CI1566" s="49"/>
    </row>
    <row r="1567" spans="87:87" ht="12" customHeight="1">
      <c r="CI1567" s="49"/>
    </row>
    <row r="1568" spans="87:87" ht="12" customHeight="1">
      <c r="CI1568" s="49"/>
    </row>
    <row r="1569" spans="87:87" ht="12" customHeight="1">
      <c r="CI1569" s="49"/>
    </row>
    <row r="1570" spans="87:87" ht="12" customHeight="1">
      <c r="CI1570" s="49"/>
    </row>
    <row r="1571" spans="87:87" ht="12" customHeight="1">
      <c r="CI1571" s="49"/>
    </row>
    <row r="1572" spans="87:87" ht="12" customHeight="1">
      <c r="CI1572" s="49"/>
    </row>
    <row r="1573" spans="87:87" ht="12" customHeight="1">
      <c r="CI1573" s="49"/>
    </row>
    <row r="1574" spans="87:87" ht="12" customHeight="1">
      <c r="CI1574" s="49"/>
    </row>
    <row r="1575" spans="87:87" ht="12" customHeight="1">
      <c r="CI1575" s="49"/>
    </row>
    <row r="1576" spans="87:87" ht="12" customHeight="1">
      <c r="CI1576" s="49"/>
    </row>
    <row r="1577" spans="87:87" ht="12" customHeight="1">
      <c r="CI1577" s="49"/>
    </row>
    <row r="1578" spans="87:87" ht="12" customHeight="1">
      <c r="CI1578" s="49"/>
    </row>
    <row r="1579" spans="87:87" ht="12" customHeight="1">
      <c r="CI1579" s="49"/>
    </row>
    <row r="1580" spans="87:87" ht="12" customHeight="1">
      <c r="CI1580" s="49"/>
    </row>
    <row r="1581" spans="87:87" ht="12" customHeight="1">
      <c r="CI1581" s="49"/>
    </row>
    <row r="1582" spans="87:87" ht="12" customHeight="1">
      <c r="CI1582" s="49"/>
    </row>
    <row r="1583" spans="87:87" ht="12" customHeight="1">
      <c r="CI1583" s="49"/>
    </row>
    <row r="1584" spans="87:87" ht="12" customHeight="1">
      <c r="CI1584" s="49"/>
    </row>
    <row r="1585" spans="87:87" ht="12" customHeight="1">
      <c r="CI1585" s="49"/>
    </row>
    <row r="1586" spans="87:87" ht="12" customHeight="1">
      <c r="CI1586" s="49"/>
    </row>
    <row r="1587" spans="87:87" ht="12" customHeight="1">
      <c r="CI1587" s="49"/>
    </row>
    <row r="1588" spans="87:87" ht="12" customHeight="1">
      <c r="CI1588" s="49"/>
    </row>
    <row r="1589" spans="87:87" ht="12" customHeight="1">
      <c r="CI1589" s="49"/>
    </row>
    <row r="1590" spans="87:87" ht="12" customHeight="1">
      <c r="CI1590" s="49"/>
    </row>
    <row r="1591" spans="87:87" ht="12" customHeight="1">
      <c r="CI1591" s="49"/>
    </row>
    <row r="1592" spans="87:87" ht="12" customHeight="1">
      <c r="CI1592" s="49"/>
    </row>
    <row r="1593" spans="87:87" ht="12" customHeight="1">
      <c r="CI1593" s="49"/>
    </row>
    <row r="1594" spans="87:87" ht="12" customHeight="1">
      <c r="CI1594" s="49"/>
    </row>
    <row r="1595" spans="87:87" ht="12" customHeight="1">
      <c r="CI1595" s="49"/>
    </row>
    <row r="1596" spans="87:87" ht="12" customHeight="1">
      <c r="CI1596" s="49"/>
    </row>
    <row r="1597" spans="87:87" ht="12" customHeight="1">
      <c r="CI1597" s="49"/>
    </row>
    <row r="1598" spans="87:87" ht="12" customHeight="1">
      <c r="CI1598" s="49"/>
    </row>
    <row r="1599" spans="87:87" ht="12" customHeight="1">
      <c r="CI1599" s="49"/>
    </row>
    <row r="1600" spans="87:87" ht="12" customHeight="1">
      <c r="CI1600" s="49"/>
    </row>
    <row r="1601" spans="87:87" ht="12" customHeight="1">
      <c r="CI1601" s="49"/>
    </row>
    <row r="1602" spans="87:87" ht="12" customHeight="1">
      <c r="CI1602" s="49"/>
    </row>
    <row r="1603" spans="87:87" ht="12" customHeight="1">
      <c r="CI1603" s="49"/>
    </row>
    <row r="1604" spans="87:87" ht="12" customHeight="1">
      <c r="CI1604" s="49"/>
    </row>
    <row r="1605" spans="87:87" ht="12" customHeight="1">
      <c r="CI1605" s="49"/>
    </row>
    <row r="1606" spans="87:87" ht="12" customHeight="1">
      <c r="CI1606" s="49"/>
    </row>
    <row r="1607" spans="87:87" ht="12" customHeight="1">
      <c r="CI1607" s="49"/>
    </row>
    <row r="1608" spans="87:87" ht="12" customHeight="1">
      <c r="CI1608" s="49"/>
    </row>
    <row r="1609" spans="87:87" ht="12" customHeight="1">
      <c r="CI1609" s="49"/>
    </row>
    <row r="1610" spans="87:87" ht="12" customHeight="1">
      <c r="CI1610" s="49"/>
    </row>
    <row r="1611" spans="87:87" ht="12" customHeight="1">
      <c r="CI1611" s="49"/>
    </row>
    <row r="1612" spans="87:87" ht="12" customHeight="1">
      <c r="CI1612" s="49"/>
    </row>
    <row r="1613" spans="87:87" ht="12" customHeight="1">
      <c r="CI1613" s="49"/>
    </row>
    <row r="1614" spans="87:87" ht="12" customHeight="1">
      <c r="CI1614" s="49"/>
    </row>
    <row r="1615" spans="87:87" ht="12" customHeight="1">
      <c r="CI1615" s="49"/>
    </row>
    <row r="1616" spans="87:87" ht="12" customHeight="1">
      <c r="CI1616" s="49"/>
    </row>
    <row r="1617" spans="87:87" ht="12" customHeight="1">
      <c r="CI1617" s="49"/>
    </row>
    <row r="1618" spans="87:87" ht="12" customHeight="1">
      <c r="CI1618" s="49"/>
    </row>
    <row r="1619" spans="87:87" ht="12" customHeight="1">
      <c r="CI1619" s="49"/>
    </row>
    <row r="1620" spans="87:87" ht="12" customHeight="1">
      <c r="CI1620" s="49"/>
    </row>
    <row r="1621" spans="87:87" ht="12" customHeight="1">
      <c r="CI1621" s="49"/>
    </row>
    <row r="1622" spans="87:87" ht="12" customHeight="1">
      <c r="CI1622" s="49"/>
    </row>
    <row r="1623" spans="87:87" ht="12" customHeight="1">
      <c r="CI1623" s="49"/>
    </row>
    <row r="1624" spans="87:87" ht="12" customHeight="1">
      <c r="CI1624" s="49"/>
    </row>
    <row r="1625" spans="87:87" ht="12" customHeight="1">
      <c r="CI1625" s="49"/>
    </row>
    <row r="1626" spans="87:87" ht="12" customHeight="1">
      <c r="CI1626" s="49"/>
    </row>
    <row r="1627" spans="87:87" ht="12" customHeight="1">
      <c r="CI1627" s="49"/>
    </row>
    <row r="1628" spans="87:87" ht="12" customHeight="1">
      <c r="CI1628" s="49"/>
    </row>
    <row r="1629" spans="87:87" ht="12" customHeight="1">
      <c r="CI1629" s="49"/>
    </row>
    <row r="1630" spans="87:87" ht="12" customHeight="1">
      <c r="CI1630" s="49"/>
    </row>
    <row r="1631" spans="87:87" ht="12" customHeight="1">
      <c r="CI1631" s="49"/>
    </row>
    <row r="1632" spans="87:87" ht="12" customHeight="1">
      <c r="CI1632" s="49"/>
    </row>
    <row r="1633" spans="87:87" ht="12" customHeight="1">
      <c r="CI1633" s="49"/>
    </row>
    <row r="1634" spans="87:87" ht="12" customHeight="1">
      <c r="CI1634" s="49"/>
    </row>
    <row r="1635" spans="87:87" ht="12" customHeight="1">
      <c r="CI1635" s="49"/>
    </row>
    <row r="1636" spans="87:87" ht="12" customHeight="1">
      <c r="CI1636" s="49"/>
    </row>
    <row r="1637" spans="87:87" ht="12" customHeight="1">
      <c r="CI1637" s="49"/>
    </row>
    <row r="1638" spans="87:87" ht="12" customHeight="1">
      <c r="CI1638" s="49"/>
    </row>
    <row r="1639" spans="87:87" ht="12" customHeight="1">
      <c r="CI1639" s="49"/>
    </row>
    <row r="1640" spans="87:87" ht="12" customHeight="1">
      <c r="CI1640" s="49"/>
    </row>
    <row r="1641" spans="87:87" ht="12" customHeight="1">
      <c r="CI1641" s="49"/>
    </row>
    <row r="1642" spans="87:87" ht="12" customHeight="1">
      <c r="CI1642" s="49"/>
    </row>
    <row r="1643" spans="87:87" ht="12" customHeight="1">
      <c r="CI1643" s="49"/>
    </row>
    <row r="1644" spans="87:87" ht="12" customHeight="1">
      <c r="CI1644" s="49"/>
    </row>
    <row r="1645" spans="87:87" ht="12" customHeight="1">
      <c r="CI1645" s="49"/>
    </row>
    <row r="1646" spans="87:87" ht="12" customHeight="1">
      <c r="CI1646" s="49"/>
    </row>
    <row r="1647" spans="87:87" ht="12" customHeight="1">
      <c r="CI1647" s="49"/>
    </row>
    <row r="1648" spans="87:87" ht="12" customHeight="1">
      <c r="CI1648" s="49"/>
    </row>
    <row r="1649" spans="87:87" ht="12" customHeight="1">
      <c r="CI1649" s="49"/>
    </row>
    <row r="1650" spans="87:87" ht="12" customHeight="1">
      <c r="CI1650" s="49"/>
    </row>
    <row r="1651" spans="87:87" ht="12" customHeight="1">
      <c r="CI1651" s="49"/>
    </row>
    <row r="1652" spans="87:87" ht="12" customHeight="1">
      <c r="CI1652" s="49"/>
    </row>
    <row r="1653" spans="87:87" ht="12" customHeight="1">
      <c r="CI1653" s="49"/>
    </row>
    <row r="1654" spans="87:87" ht="12" customHeight="1">
      <c r="CI1654" s="49"/>
    </row>
    <row r="1655" spans="87:87" ht="12" customHeight="1">
      <c r="CI1655" s="49"/>
    </row>
    <row r="1656" spans="87:87" ht="12" customHeight="1">
      <c r="CI1656" s="49"/>
    </row>
    <row r="1657" spans="87:87" ht="12" customHeight="1">
      <c r="CI1657" s="49"/>
    </row>
    <row r="1658" spans="87:87" ht="12" customHeight="1">
      <c r="CI1658" s="49"/>
    </row>
    <row r="1659" spans="87:87" ht="12" customHeight="1">
      <c r="CI1659" s="49"/>
    </row>
    <row r="1660" spans="87:87" ht="12" customHeight="1">
      <c r="CI1660" s="49"/>
    </row>
    <row r="1661" spans="87:87" ht="12" customHeight="1">
      <c r="CI1661" s="49"/>
    </row>
    <row r="1662" spans="87:87" ht="12" customHeight="1">
      <c r="CI1662" s="49"/>
    </row>
    <row r="1663" spans="87:87" ht="12" customHeight="1">
      <c r="CI1663" s="49"/>
    </row>
    <row r="1664" spans="87:87" ht="12" customHeight="1">
      <c r="CI1664" s="49"/>
    </row>
    <row r="1665" spans="87:87" ht="12" customHeight="1">
      <c r="CI1665" s="49"/>
    </row>
    <row r="1666" spans="87:87" ht="12" customHeight="1">
      <c r="CI1666" s="49"/>
    </row>
    <row r="1667" spans="87:87" ht="12" customHeight="1">
      <c r="CI1667" s="49"/>
    </row>
    <row r="1668" spans="87:87" ht="12" customHeight="1">
      <c r="CI1668" s="49"/>
    </row>
    <row r="1669" spans="87:87" ht="12" customHeight="1">
      <c r="CI1669" s="49"/>
    </row>
    <row r="1670" spans="87:87" ht="12" customHeight="1">
      <c r="CI1670" s="49"/>
    </row>
    <row r="1671" spans="87:87" ht="12" customHeight="1">
      <c r="CI1671" s="49"/>
    </row>
    <row r="1672" spans="87:87" ht="12" customHeight="1">
      <c r="CI1672" s="49"/>
    </row>
    <row r="1673" spans="87:87" ht="12" customHeight="1">
      <c r="CI1673" s="49"/>
    </row>
    <row r="1674" spans="87:87" ht="12" customHeight="1">
      <c r="CI1674" s="49"/>
    </row>
    <row r="1675" spans="87:87" ht="12" customHeight="1">
      <c r="CI1675" s="49"/>
    </row>
    <row r="1676" spans="87:87" ht="12" customHeight="1">
      <c r="CI1676" s="49"/>
    </row>
    <row r="1677" spans="87:87" ht="12" customHeight="1">
      <c r="CI1677" s="49"/>
    </row>
    <row r="1678" spans="87:87" ht="12" customHeight="1">
      <c r="CI1678" s="49"/>
    </row>
    <row r="1679" spans="87:87" ht="12" customHeight="1">
      <c r="CI1679" s="49"/>
    </row>
    <row r="1680" spans="87:87" ht="12" customHeight="1">
      <c r="CI1680" s="49"/>
    </row>
    <row r="1681" spans="87:87" ht="12" customHeight="1">
      <c r="CI1681" s="49"/>
    </row>
    <row r="1682" spans="87:87" ht="12" customHeight="1">
      <c r="CI1682" s="49"/>
    </row>
    <row r="1683" spans="87:87" ht="12" customHeight="1">
      <c r="CI1683" s="49"/>
    </row>
    <row r="1684" spans="87:87" ht="12" customHeight="1">
      <c r="CI1684" s="49"/>
    </row>
    <row r="1685" spans="87:87" ht="12" customHeight="1">
      <c r="CI1685" s="49"/>
    </row>
    <row r="1686" spans="87:87" ht="12" customHeight="1">
      <c r="CI1686" s="49"/>
    </row>
    <row r="1687" spans="87:87" ht="12" customHeight="1">
      <c r="CI1687" s="49"/>
    </row>
    <row r="1688" spans="87:87" ht="12" customHeight="1">
      <c r="CI1688" s="49"/>
    </row>
    <row r="1689" spans="87:87" ht="12" customHeight="1">
      <c r="CI1689" s="49"/>
    </row>
    <row r="1690" spans="87:87" ht="12" customHeight="1">
      <c r="CI1690" s="49"/>
    </row>
    <row r="1691" spans="87:87" ht="12" customHeight="1">
      <c r="CI1691" s="49"/>
    </row>
    <row r="1692" spans="87:87" ht="12" customHeight="1">
      <c r="CI1692" s="49"/>
    </row>
    <row r="1693" spans="87:87" ht="12" customHeight="1">
      <c r="CI1693" s="49"/>
    </row>
    <row r="1694" spans="87:87" ht="12" customHeight="1">
      <c r="CI1694" s="49"/>
    </row>
    <row r="1695" spans="87:87" ht="12" customHeight="1">
      <c r="CI1695" s="49"/>
    </row>
    <row r="1696" spans="87:87" ht="12" customHeight="1">
      <c r="CI1696" s="49"/>
    </row>
    <row r="1697" spans="87:87" ht="12" customHeight="1">
      <c r="CI1697" s="49"/>
    </row>
    <row r="1698" spans="87:87" ht="12" customHeight="1">
      <c r="CI1698" s="49"/>
    </row>
    <row r="1699" spans="87:87" ht="12" customHeight="1">
      <c r="CI1699" s="49"/>
    </row>
    <row r="1700" spans="87:87" ht="12" customHeight="1">
      <c r="CI1700" s="49"/>
    </row>
    <row r="1701" spans="87:87" ht="12" customHeight="1">
      <c r="CI1701" s="49"/>
    </row>
    <row r="1702" spans="87:87" ht="12" customHeight="1">
      <c r="CI1702" s="49"/>
    </row>
    <row r="1703" spans="87:87" ht="12" customHeight="1">
      <c r="CI1703" s="49"/>
    </row>
    <row r="1704" spans="87:87" ht="12" customHeight="1">
      <c r="CI1704" s="49"/>
    </row>
    <row r="1705" spans="87:87" ht="12" customHeight="1">
      <c r="CI1705" s="49"/>
    </row>
    <row r="1706" spans="87:87" ht="12" customHeight="1">
      <c r="CI1706" s="49"/>
    </row>
    <row r="1707" spans="87:87" ht="12" customHeight="1">
      <c r="CI1707" s="49"/>
    </row>
    <row r="1708" spans="87:87" ht="12" customHeight="1">
      <c r="CI1708" s="49"/>
    </row>
    <row r="1709" spans="87:87" ht="12" customHeight="1">
      <c r="CI1709" s="49"/>
    </row>
    <row r="1710" spans="87:87" ht="12" customHeight="1">
      <c r="CI1710" s="49"/>
    </row>
    <row r="1711" spans="87:87" ht="12" customHeight="1">
      <c r="CI1711" s="49"/>
    </row>
    <row r="1712" spans="87:87" ht="12" customHeight="1">
      <c r="CI1712" s="49"/>
    </row>
    <row r="1713" spans="87:87" ht="12" customHeight="1">
      <c r="CI1713" s="49"/>
    </row>
    <row r="1714" spans="87:87" ht="12" customHeight="1">
      <c r="CI1714" s="49"/>
    </row>
    <row r="1715" spans="87:87" ht="12" customHeight="1">
      <c r="CI1715" s="49"/>
    </row>
    <row r="1716" spans="87:87" ht="12" customHeight="1">
      <c r="CI1716" s="49"/>
    </row>
    <row r="1717" spans="87:87" ht="12" customHeight="1">
      <c r="CI1717" s="49"/>
    </row>
    <row r="1718" spans="87:87" ht="12" customHeight="1">
      <c r="CI1718" s="49"/>
    </row>
    <row r="1719" spans="87:87" ht="12" customHeight="1">
      <c r="CI1719" s="49"/>
    </row>
    <row r="1720" spans="87:87" ht="12" customHeight="1">
      <c r="CI1720" s="49"/>
    </row>
    <row r="1721" spans="87:87" ht="12" customHeight="1">
      <c r="CI1721" s="49"/>
    </row>
    <row r="1722" spans="87:87" ht="12" customHeight="1">
      <c r="CI1722" s="49"/>
    </row>
    <row r="1723" spans="87:87" ht="12" customHeight="1">
      <c r="CI1723" s="49"/>
    </row>
    <row r="1724" spans="87:87" ht="12" customHeight="1">
      <c r="CI1724" s="49"/>
    </row>
    <row r="1725" spans="87:87" ht="12" customHeight="1">
      <c r="CI1725" s="49"/>
    </row>
    <row r="1726" spans="87:87" ht="12" customHeight="1">
      <c r="CI1726" s="49"/>
    </row>
    <row r="1727" spans="87:87" ht="12" customHeight="1">
      <c r="CI1727" s="49"/>
    </row>
    <row r="1728" spans="87:87" ht="12" customHeight="1">
      <c r="CI1728" s="49"/>
    </row>
    <row r="1729" spans="87:87" ht="12" customHeight="1">
      <c r="CI1729" s="49"/>
    </row>
    <row r="1730" spans="87:87" ht="12" customHeight="1">
      <c r="CI1730" s="49"/>
    </row>
    <row r="1731" spans="87:87" ht="12" customHeight="1">
      <c r="CI1731" s="49"/>
    </row>
    <row r="1732" spans="87:87" ht="12" customHeight="1">
      <c r="CI1732" s="49"/>
    </row>
    <row r="1733" spans="87:87" ht="12" customHeight="1">
      <c r="CI1733" s="49"/>
    </row>
    <row r="1734" spans="87:87" ht="12" customHeight="1">
      <c r="CI1734" s="49"/>
    </row>
    <row r="1735" spans="87:87" ht="12" customHeight="1">
      <c r="CI1735" s="49"/>
    </row>
    <row r="1736" spans="87:87" ht="12" customHeight="1">
      <c r="CI1736" s="49"/>
    </row>
    <row r="1737" spans="87:87" ht="12" customHeight="1">
      <c r="CI1737" s="49"/>
    </row>
    <row r="1738" spans="87:87" ht="12" customHeight="1">
      <c r="CI1738" s="49"/>
    </row>
    <row r="1739" spans="87:87" ht="12" customHeight="1">
      <c r="CI1739" s="49"/>
    </row>
    <row r="1740" spans="87:87" ht="12" customHeight="1">
      <c r="CI1740" s="49"/>
    </row>
    <row r="1741" spans="87:87" ht="12" customHeight="1">
      <c r="CI1741" s="49"/>
    </row>
    <row r="1742" spans="87:87" ht="12" customHeight="1">
      <c r="CI1742" s="49"/>
    </row>
    <row r="1743" spans="87:87" ht="12" customHeight="1">
      <c r="CI1743" s="49"/>
    </row>
    <row r="1744" spans="87:87" ht="12" customHeight="1">
      <c r="CI1744" s="49"/>
    </row>
    <row r="1745" spans="87:87" ht="12" customHeight="1">
      <c r="CI1745" s="49"/>
    </row>
    <row r="1746" spans="87:87" ht="12" customHeight="1">
      <c r="CI1746" s="49"/>
    </row>
    <row r="1747" spans="87:87" ht="12" customHeight="1">
      <c r="CI1747" s="49"/>
    </row>
    <row r="1748" spans="87:87" ht="12" customHeight="1">
      <c r="CI1748" s="49"/>
    </row>
    <row r="1749" spans="87:87" ht="12" customHeight="1">
      <c r="CI1749" s="49"/>
    </row>
    <row r="1750" spans="87:87" ht="12" customHeight="1">
      <c r="CI1750" s="49"/>
    </row>
    <row r="1751" spans="87:87" ht="12" customHeight="1">
      <c r="CI1751" s="49"/>
    </row>
    <row r="1752" spans="87:87" ht="12" customHeight="1">
      <c r="CI1752" s="49"/>
    </row>
    <row r="1753" spans="87:87" ht="12" customHeight="1">
      <c r="CI1753" s="49"/>
    </row>
    <row r="1754" spans="87:87" ht="12" customHeight="1">
      <c r="CI1754" s="49"/>
    </row>
    <row r="1755" spans="87:87" ht="12" customHeight="1">
      <c r="CI1755" s="49"/>
    </row>
    <row r="1756" spans="87:87" ht="12" customHeight="1">
      <c r="CI1756" s="49"/>
    </row>
    <row r="1757" spans="87:87" ht="12" customHeight="1">
      <c r="CI1757" s="49"/>
    </row>
    <row r="1758" spans="87:87" ht="12" customHeight="1">
      <c r="CI1758" s="49"/>
    </row>
    <row r="1759" spans="87:87" ht="12" customHeight="1">
      <c r="CI1759" s="49"/>
    </row>
    <row r="1760" spans="87:87" ht="12" customHeight="1">
      <c r="CI1760" s="49"/>
    </row>
    <row r="1761" spans="87:87" ht="12" customHeight="1">
      <c r="CI1761" s="49"/>
    </row>
    <row r="1762" spans="87:87" ht="12" customHeight="1">
      <c r="CI1762" s="49"/>
    </row>
    <row r="1763" spans="87:87" ht="12" customHeight="1">
      <c r="CI1763" s="49"/>
    </row>
    <row r="1764" spans="87:87" ht="12" customHeight="1">
      <c r="CI1764" s="49"/>
    </row>
    <row r="1765" spans="87:87" ht="12" customHeight="1">
      <c r="CI1765" s="49"/>
    </row>
    <row r="1766" spans="87:87" ht="12" customHeight="1">
      <c r="CI1766" s="49"/>
    </row>
    <row r="1767" spans="87:87" ht="12" customHeight="1">
      <c r="CI1767" s="49"/>
    </row>
    <row r="1768" spans="87:87" ht="12" customHeight="1">
      <c r="CI1768" s="49"/>
    </row>
    <row r="1769" spans="87:87" ht="12" customHeight="1">
      <c r="CI1769" s="49"/>
    </row>
    <row r="1770" spans="87:87" ht="12" customHeight="1">
      <c r="CI1770" s="49"/>
    </row>
    <row r="1771" spans="87:87" ht="12" customHeight="1">
      <c r="CI1771" s="49"/>
    </row>
    <row r="1772" spans="87:87" ht="12" customHeight="1">
      <c r="CI1772" s="49"/>
    </row>
    <row r="1773" spans="87:87" ht="12" customHeight="1">
      <c r="CI1773" s="49"/>
    </row>
    <row r="1774" spans="87:87" ht="12" customHeight="1">
      <c r="CI1774" s="49"/>
    </row>
    <row r="1775" spans="87:87" ht="12" customHeight="1">
      <c r="CI1775" s="49"/>
    </row>
    <row r="1776" spans="87:87" ht="12" customHeight="1">
      <c r="CI1776" s="49"/>
    </row>
    <row r="1777" spans="87:87" ht="12" customHeight="1">
      <c r="CI1777" s="49"/>
    </row>
    <row r="1778" spans="87:87" ht="12" customHeight="1">
      <c r="CI1778" s="49"/>
    </row>
    <row r="1779" spans="87:87" ht="12" customHeight="1">
      <c r="CI1779" s="49"/>
    </row>
    <row r="1780" spans="87:87" ht="12" customHeight="1">
      <c r="CI1780" s="49"/>
    </row>
    <row r="1781" spans="87:87" ht="12" customHeight="1">
      <c r="CI1781" s="49"/>
    </row>
    <row r="1782" spans="87:87" ht="12" customHeight="1">
      <c r="CI1782" s="49"/>
    </row>
    <row r="1783" spans="87:87" ht="12" customHeight="1">
      <c r="CI1783" s="49"/>
    </row>
    <row r="1784" spans="87:87" ht="12" customHeight="1">
      <c r="CI1784" s="49"/>
    </row>
    <row r="1785" spans="87:87" ht="12" customHeight="1">
      <c r="CI1785" s="49"/>
    </row>
    <row r="1786" spans="87:87" ht="12" customHeight="1">
      <c r="CI1786" s="49"/>
    </row>
    <row r="1787" spans="87:87" ht="12" customHeight="1">
      <c r="CI1787" s="49"/>
    </row>
    <row r="1788" spans="87:87" ht="12" customHeight="1">
      <c r="CI1788" s="49"/>
    </row>
    <row r="1789" spans="87:87" ht="12" customHeight="1">
      <c r="CI1789" s="49"/>
    </row>
    <row r="1790" spans="87:87" ht="12" customHeight="1">
      <c r="CI1790" s="49"/>
    </row>
    <row r="1791" spans="87:87" ht="12" customHeight="1">
      <c r="CI1791" s="49"/>
    </row>
    <row r="1792" spans="87:87" ht="12" customHeight="1">
      <c r="CI1792" s="49"/>
    </row>
    <row r="1793" spans="87:87" ht="12" customHeight="1">
      <c r="CI1793" s="49"/>
    </row>
    <row r="1794" spans="87:87" ht="12" customHeight="1">
      <c r="CI1794" s="49"/>
    </row>
    <row r="1795" spans="87:87" ht="12" customHeight="1">
      <c r="CI1795" s="49"/>
    </row>
    <row r="1796" spans="87:87" ht="12" customHeight="1">
      <c r="CI1796" s="49"/>
    </row>
    <row r="1797" spans="87:87" ht="12" customHeight="1">
      <c r="CI1797" s="49"/>
    </row>
    <row r="1798" spans="87:87" ht="12" customHeight="1">
      <c r="CI1798" s="49"/>
    </row>
    <row r="1799" spans="87:87" ht="12" customHeight="1">
      <c r="CI1799" s="49"/>
    </row>
    <row r="1800" spans="87:87" ht="12" customHeight="1">
      <c r="CI1800" s="49"/>
    </row>
    <row r="1801" spans="87:87" ht="12" customHeight="1">
      <c r="CI1801" s="49"/>
    </row>
    <row r="1802" spans="87:87" ht="12" customHeight="1">
      <c r="CI1802" s="49"/>
    </row>
    <row r="1803" spans="87:87" ht="12" customHeight="1">
      <c r="CI1803" s="49"/>
    </row>
    <row r="1804" spans="87:87" ht="12" customHeight="1">
      <c r="CI1804" s="49"/>
    </row>
    <row r="1805" spans="87:87" ht="12" customHeight="1">
      <c r="CI1805" s="49"/>
    </row>
    <row r="1806" spans="87:87" ht="12" customHeight="1">
      <c r="CI1806" s="49"/>
    </row>
    <row r="1807" spans="87:87" ht="12" customHeight="1">
      <c r="CI1807" s="49"/>
    </row>
    <row r="1808" spans="87:87" ht="12" customHeight="1">
      <c r="CI1808" s="49"/>
    </row>
    <row r="1809" spans="87:87" ht="12" customHeight="1">
      <c r="CI1809" s="49"/>
    </row>
    <row r="1810" spans="87:87" ht="12" customHeight="1">
      <c r="CI1810" s="49"/>
    </row>
    <row r="1811" spans="87:87" ht="12" customHeight="1">
      <c r="CI1811" s="49"/>
    </row>
    <row r="1812" spans="87:87" ht="12" customHeight="1">
      <c r="CI1812" s="49"/>
    </row>
    <row r="1813" spans="87:87" ht="12" customHeight="1">
      <c r="CI1813" s="49"/>
    </row>
    <row r="1814" spans="87:87" ht="12" customHeight="1">
      <c r="CI1814" s="49"/>
    </row>
    <row r="1815" spans="87:87" ht="12" customHeight="1">
      <c r="CI1815" s="49"/>
    </row>
    <row r="1816" spans="87:87" ht="12" customHeight="1">
      <c r="CI1816" s="49"/>
    </row>
    <row r="1817" spans="87:87" ht="12" customHeight="1">
      <c r="CI1817" s="49"/>
    </row>
    <row r="1818" spans="87:87" ht="12" customHeight="1">
      <c r="CI1818" s="49"/>
    </row>
    <row r="1819" spans="87:87" ht="12" customHeight="1">
      <c r="CI1819" s="49"/>
    </row>
    <row r="1820" spans="87:87" ht="12" customHeight="1">
      <c r="CI1820" s="49"/>
    </row>
    <row r="1821" spans="87:87" ht="12" customHeight="1">
      <c r="CI1821" s="49"/>
    </row>
    <row r="1822" spans="87:87" ht="12" customHeight="1">
      <c r="CI1822" s="49"/>
    </row>
    <row r="1823" spans="87:87" ht="12" customHeight="1">
      <c r="CI1823" s="49"/>
    </row>
    <row r="1824" spans="87:87" ht="12" customHeight="1">
      <c r="CI1824" s="49"/>
    </row>
    <row r="1825" spans="87:87" ht="12" customHeight="1">
      <c r="CI1825" s="49"/>
    </row>
    <row r="1826" spans="87:87" ht="12" customHeight="1">
      <c r="CI1826" s="49"/>
    </row>
    <row r="1827" spans="87:87" ht="12" customHeight="1">
      <c r="CI1827" s="49"/>
    </row>
    <row r="1828" spans="87:87" ht="12" customHeight="1">
      <c r="CI1828" s="49"/>
    </row>
    <row r="1829" spans="87:87" ht="12" customHeight="1">
      <c r="CI1829" s="49"/>
    </row>
    <row r="1830" spans="87:87" ht="12" customHeight="1">
      <c r="CI1830" s="49"/>
    </row>
    <row r="1831" spans="87:87" ht="12" customHeight="1">
      <c r="CI1831" s="49"/>
    </row>
    <row r="1832" spans="87:87" ht="12" customHeight="1">
      <c r="CI1832" s="49"/>
    </row>
    <row r="1833" spans="87:87" ht="12" customHeight="1">
      <c r="CI1833" s="49"/>
    </row>
    <row r="1834" spans="87:87" ht="12" customHeight="1">
      <c r="CI1834" s="49"/>
    </row>
    <row r="1835" spans="87:87" ht="12" customHeight="1">
      <c r="CI1835" s="49"/>
    </row>
    <row r="1836" spans="87:87" ht="12" customHeight="1">
      <c r="CI1836" s="49"/>
    </row>
    <row r="1837" spans="87:87" ht="12" customHeight="1">
      <c r="CI1837" s="49"/>
    </row>
    <row r="1838" spans="87:87" ht="12" customHeight="1">
      <c r="CI1838" s="49"/>
    </row>
    <row r="1839" spans="87:87" ht="12" customHeight="1">
      <c r="CI1839" s="49"/>
    </row>
    <row r="1840" spans="87:87" ht="12" customHeight="1">
      <c r="CI1840" s="49"/>
    </row>
    <row r="1841" spans="87:87" ht="12" customHeight="1">
      <c r="CI1841" s="49"/>
    </row>
    <row r="1842" spans="87:87" ht="12" customHeight="1">
      <c r="CI1842" s="49"/>
    </row>
    <row r="1843" spans="87:87" ht="12" customHeight="1">
      <c r="CI1843" s="49"/>
    </row>
    <row r="1844" spans="87:87" ht="12" customHeight="1">
      <c r="CI1844" s="49"/>
    </row>
    <row r="1845" spans="87:87" ht="12" customHeight="1">
      <c r="CI1845" s="49"/>
    </row>
    <row r="1846" spans="87:87" ht="12" customHeight="1">
      <c r="CI1846" s="49"/>
    </row>
    <row r="1847" spans="87:87" ht="12" customHeight="1">
      <c r="CI1847" s="49"/>
    </row>
    <row r="1848" spans="87:87" ht="12" customHeight="1">
      <c r="CI1848" s="49"/>
    </row>
    <row r="1849" spans="87:87" ht="12" customHeight="1">
      <c r="CI1849" s="49"/>
    </row>
    <row r="1850" spans="87:87" ht="12" customHeight="1">
      <c r="CI1850" s="49"/>
    </row>
    <row r="1851" spans="87:87" ht="12" customHeight="1">
      <c r="CI1851" s="49"/>
    </row>
    <row r="1852" spans="87:87" ht="12" customHeight="1">
      <c r="CI1852" s="49"/>
    </row>
    <row r="1853" spans="87:87" ht="12" customHeight="1">
      <c r="CI1853" s="49"/>
    </row>
    <row r="1854" spans="87:87" ht="12" customHeight="1">
      <c r="CI1854" s="49"/>
    </row>
    <row r="1855" spans="87:87" ht="12" customHeight="1">
      <c r="CI1855" s="49"/>
    </row>
    <row r="1856" spans="87:87" ht="12" customHeight="1">
      <c r="CI1856" s="49"/>
    </row>
    <row r="1857" spans="87:87" ht="12" customHeight="1">
      <c r="CI1857" s="49"/>
    </row>
    <row r="1858" spans="87:87" ht="12" customHeight="1">
      <c r="CI1858" s="49"/>
    </row>
    <row r="1859" spans="87:87" ht="12" customHeight="1">
      <c r="CI1859" s="49"/>
    </row>
    <row r="1860" spans="87:87" ht="12" customHeight="1">
      <c r="CI1860" s="49"/>
    </row>
    <row r="1861" spans="87:87" ht="12" customHeight="1">
      <c r="CI1861" s="49"/>
    </row>
    <row r="1862" spans="87:87" ht="12" customHeight="1">
      <c r="CI1862" s="49"/>
    </row>
    <row r="1863" spans="87:87" ht="12" customHeight="1">
      <c r="CI1863" s="49"/>
    </row>
    <row r="1864" spans="87:87" ht="12" customHeight="1">
      <c r="CI1864" s="49"/>
    </row>
    <row r="1865" spans="87:87" ht="12" customHeight="1">
      <c r="CI1865" s="49"/>
    </row>
    <row r="1866" spans="87:87" ht="12" customHeight="1">
      <c r="CI1866" s="49"/>
    </row>
    <row r="1867" spans="87:87" ht="12" customHeight="1">
      <c r="CI1867" s="49"/>
    </row>
    <row r="1868" spans="87:87" ht="12" customHeight="1">
      <c r="CI1868" s="49"/>
    </row>
    <row r="1869" spans="87:87" ht="12" customHeight="1">
      <c r="CI1869" s="49"/>
    </row>
    <row r="1870" spans="87:87" ht="12" customHeight="1">
      <c r="CI1870" s="49"/>
    </row>
    <row r="1871" spans="87:87" ht="12" customHeight="1">
      <c r="CI1871" s="49"/>
    </row>
    <row r="1872" spans="87:87" ht="12" customHeight="1">
      <c r="CI1872" s="49"/>
    </row>
    <row r="1873" spans="87:87" ht="12" customHeight="1">
      <c r="CI1873" s="49"/>
    </row>
    <row r="1874" spans="87:87" ht="12" customHeight="1">
      <c r="CI1874" s="49"/>
    </row>
    <row r="1875" spans="87:87" ht="12" customHeight="1">
      <c r="CI1875" s="49"/>
    </row>
    <row r="1876" spans="87:87" ht="12" customHeight="1">
      <c r="CI1876" s="49"/>
    </row>
    <row r="1877" spans="87:87" ht="12" customHeight="1">
      <c r="CI1877" s="49"/>
    </row>
    <row r="1878" spans="87:87" ht="12" customHeight="1">
      <c r="CI1878" s="49"/>
    </row>
    <row r="1879" spans="87:87" ht="12" customHeight="1">
      <c r="CI1879" s="49"/>
    </row>
    <row r="1880" spans="87:87" ht="12" customHeight="1">
      <c r="CI1880" s="49"/>
    </row>
    <row r="1881" spans="87:87" ht="12" customHeight="1">
      <c r="CI1881" s="49"/>
    </row>
    <row r="1882" spans="87:87" ht="12" customHeight="1">
      <c r="CI1882" s="49"/>
    </row>
    <row r="1883" spans="87:87" ht="12" customHeight="1">
      <c r="CI1883" s="49"/>
    </row>
    <row r="1884" spans="87:87" ht="12" customHeight="1">
      <c r="CI1884" s="49"/>
    </row>
    <row r="1885" spans="87:87" ht="12" customHeight="1">
      <c r="CI1885" s="49"/>
    </row>
    <row r="1886" spans="87:87" ht="12" customHeight="1">
      <c r="CI1886" s="49"/>
    </row>
    <row r="1887" spans="87:87" ht="12" customHeight="1">
      <c r="CI1887" s="49"/>
    </row>
    <row r="1888" spans="87:87" ht="12" customHeight="1">
      <c r="CI1888" s="49"/>
    </row>
    <row r="1889" spans="87:87" ht="12" customHeight="1">
      <c r="CI1889" s="49"/>
    </row>
    <row r="1890" spans="87:87" ht="12" customHeight="1">
      <c r="CI1890" s="49"/>
    </row>
    <row r="1891" spans="87:87" ht="12" customHeight="1">
      <c r="CI1891" s="49"/>
    </row>
    <row r="1892" spans="87:87" ht="12" customHeight="1">
      <c r="CI1892" s="49"/>
    </row>
    <row r="1893" spans="87:87" ht="12" customHeight="1">
      <c r="CI1893" s="49"/>
    </row>
    <row r="1894" spans="87:87" ht="12" customHeight="1">
      <c r="CI1894" s="49"/>
    </row>
    <row r="1895" spans="87:87" ht="12" customHeight="1">
      <c r="CI1895" s="49"/>
    </row>
    <row r="1896" spans="87:87" ht="12" customHeight="1">
      <c r="CI1896" s="49"/>
    </row>
    <row r="1897" spans="87:87" ht="12" customHeight="1">
      <c r="CI1897" s="49"/>
    </row>
    <row r="1898" spans="87:87" ht="12" customHeight="1">
      <c r="CI1898" s="49"/>
    </row>
    <row r="1899" spans="87:87" ht="12" customHeight="1">
      <c r="CI1899" s="49"/>
    </row>
    <row r="1900" spans="87:87" ht="12" customHeight="1">
      <c r="CI1900" s="49"/>
    </row>
    <row r="1901" spans="87:87" ht="12" customHeight="1">
      <c r="CI1901" s="49"/>
    </row>
    <row r="1902" spans="87:87" ht="12" customHeight="1">
      <c r="CI1902" s="49"/>
    </row>
    <row r="1903" spans="87:87" ht="12" customHeight="1">
      <c r="CI1903" s="49"/>
    </row>
    <row r="1904" spans="87:87" ht="12" customHeight="1">
      <c r="CI1904" s="49"/>
    </row>
    <row r="1905" spans="87:87" ht="12" customHeight="1">
      <c r="CI1905" s="49"/>
    </row>
    <row r="1906" spans="87:87" ht="12" customHeight="1">
      <c r="CI1906" s="49"/>
    </row>
    <row r="1907" spans="87:87" ht="12" customHeight="1">
      <c r="CI1907" s="49"/>
    </row>
    <row r="1908" spans="87:87" ht="12" customHeight="1">
      <c r="CI1908" s="49"/>
    </row>
    <row r="1909" spans="87:87" ht="12" customHeight="1">
      <c r="CI1909" s="49"/>
    </row>
    <row r="1910" spans="87:87" ht="12" customHeight="1">
      <c r="CI1910" s="49"/>
    </row>
    <row r="1911" spans="87:87" ht="12" customHeight="1">
      <c r="CI1911" s="49"/>
    </row>
    <row r="1912" spans="87:87" ht="12" customHeight="1">
      <c r="CI1912" s="49"/>
    </row>
    <row r="1913" spans="87:87" ht="12" customHeight="1">
      <c r="CI1913" s="49"/>
    </row>
    <row r="1914" spans="87:87" ht="12" customHeight="1">
      <c r="CI1914" s="49"/>
    </row>
    <row r="1915" spans="87:87" ht="12" customHeight="1">
      <c r="CI1915" s="49"/>
    </row>
    <row r="1916" spans="87:87" ht="12" customHeight="1">
      <c r="CI1916" s="49"/>
    </row>
    <row r="1917" spans="87:87" ht="12" customHeight="1">
      <c r="CI1917" s="49"/>
    </row>
    <row r="1918" spans="87:87" ht="12" customHeight="1">
      <c r="CI1918" s="49"/>
    </row>
    <row r="1919" spans="87:87" ht="12" customHeight="1">
      <c r="CI1919" s="49"/>
    </row>
    <row r="1920" spans="87:87" ht="12" customHeight="1">
      <c r="CI1920" s="49"/>
    </row>
    <row r="1921" spans="87:87" ht="12" customHeight="1">
      <c r="CI1921" s="49"/>
    </row>
    <row r="1922" spans="87:87" ht="12" customHeight="1">
      <c r="CI1922" s="49"/>
    </row>
    <row r="1923" spans="87:87" ht="12" customHeight="1">
      <c r="CI1923" s="49"/>
    </row>
    <row r="1924" spans="87:87" ht="12" customHeight="1">
      <c r="CI1924" s="49"/>
    </row>
    <row r="1925" spans="87:87" ht="12" customHeight="1">
      <c r="CI1925" s="49"/>
    </row>
    <row r="1926" spans="87:87" ht="12" customHeight="1">
      <c r="CI1926" s="49"/>
    </row>
    <row r="1927" spans="87:87" ht="12" customHeight="1">
      <c r="CI1927" s="49"/>
    </row>
    <row r="1928" spans="87:87" ht="12" customHeight="1">
      <c r="CI1928" s="49"/>
    </row>
    <row r="1929" spans="87:87" ht="12" customHeight="1">
      <c r="CI1929" s="49"/>
    </row>
    <row r="1930" spans="87:87" ht="12" customHeight="1">
      <c r="CI1930" s="49"/>
    </row>
    <row r="1931" spans="87:87" ht="12" customHeight="1">
      <c r="CI1931" s="49"/>
    </row>
    <row r="1932" spans="87:87" ht="12" customHeight="1">
      <c r="CI1932" s="49"/>
    </row>
    <row r="1933" spans="87:87" ht="12" customHeight="1">
      <c r="CI1933" s="49"/>
    </row>
    <row r="1934" spans="87:87" ht="12" customHeight="1">
      <c r="CI1934" s="49"/>
    </row>
    <row r="1935" spans="87:87" ht="12" customHeight="1">
      <c r="CI1935" s="49"/>
    </row>
    <row r="1936" spans="87:87" ht="12" customHeight="1">
      <c r="CI1936" s="49"/>
    </row>
    <row r="1937" spans="87:87" ht="12" customHeight="1">
      <c r="CI1937" s="49"/>
    </row>
    <row r="1938" spans="87:87" ht="12" customHeight="1">
      <c r="CI1938" s="49"/>
    </row>
    <row r="1939" spans="87:87" ht="12" customHeight="1">
      <c r="CI1939" s="49"/>
    </row>
    <row r="1940" spans="87:87" ht="12" customHeight="1">
      <c r="CI1940" s="49"/>
    </row>
    <row r="1941" spans="87:87" ht="12" customHeight="1">
      <c r="CI1941" s="49"/>
    </row>
    <row r="1942" spans="87:87" ht="12" customHeight="1">
      <c r="CI1942" s="49"/>
    </row>
    <row r="1943" spans="87:87" ht="12" customHeight="1">
      <c r="CI1943" s="49"/>
    </row>
    <row r="1944" spans="87:87" ht="12" customHeight="1">
      <c r="CI1944" s="49"/>
    </row>
    <row r="1945" spans="87:87" ht="12" customHeight="1">
      <c r="CI1945" s="49"/>
    </row>
    <row r="1946" spans="87:87" ht="12" customHeight="1">
      <c r="CI1946" s="49"/>
    </row>
    <row r="1947" spans="87:87" ht="12" customHeight="1">
      <c r="CI1947" s="49"/>
    </row>
    <row r="1948" spans="87:87" ht="12" customHeight="1">
      <c r="CI1948" s="49"/>
    </row>
    <row r="1949" spans="87:87" ht="12" customHeight="1">
      <c r="CI1949" s="49"/>
    </row>
    <row r="1950" spans="87:87" ht="12" customHeight="1">
      <c r="CI1950" s="49"/>
    </row>
    <row r="1951" spans="87:87" ht="12" customHeight="1">
      <c r="CI1951" s="49"/>
    </row>
    <row r="1952" spans="87:87" ht="12" customHeight="1">
      <c r="CI1952" s="49"/>
    </row>
    <row r="1953" spans="87:87" ht="12" customHeight="1">
      <c r="CI1953" s="49"/>
    </row>
    <row r="1954" spans="87:87" ht="12" customHeight="1">
      <c r="CI1954" s="49"/>
    </row>
    <row r="1955" spans="87:87" ht="12" customHeight="1">
      <c r="CI1955" s="49"/>
    </row>
    <row r="1956" spans="87:87" ht="12" customHeight="1">
      <c r="CI1956" s="49"/>
    </row>
    <row r="1957" spans="87:87" ht="12" customHeight="1">
      <c r="CI1957" s="49"/>
    </row>
    <row r="1958" spans="87:87" ht="12" customHeight="1">
      <c r="CI1958" s="49"/>
    </row>
    <row r="1959" spans="87:87" ht="12" customHeight="1">
      <c r="CI1959" s="49"/>
    </row>
    <row r="1960" spans="87:87" ht="12" customHeight="1">
      <c r="CI1960" s="49"/>
    </row>
    <row r="1961" spans="87:87" ht="12" customHeight="1">
      <c r="CI1961" s="49"/>
    </row>
    <row r="1962" spans="87:87" ht="12" customHeight="1">
      <c r="CI1962" s="49"/>
    </row>
    <row r="1963" spans="87:87" ht="12" customHeight="1">
      <c r="CI1963" s="49"/>
    </row>
    <row r="1964" spans="87:87" ht="12" customHeight="1">
      <c r="CI1964" s="49"/>
    </row>
    <row r="1965" spans="87:87" ht="12" customHeight="1">
      <c r="CI1965" s="49"/>
    </row>
    <row r="1966" spans="87:87" ht="12" customHeight="1">
      <c r="CI1966" s="49"/>
    </row>
    <row r="1967" spans="87:87" ht="12" customHeight="1">
      <c r="CI1967" s="49"/>
    </row>
    <row r="1968" spans="87:87" ht="12" customHeight="1">
      <c r="CI1968" s="49"/>
    </row>
    <row r="1969" spans="87:87" ht="12" customHeight="1">
      <c r="CI1969" s="49"/>
    </row>
    <row r="1970" spans="87:87" ht="12" customHeight="1">
      <c r="CI1970" s="49"/>
    </row>
    <row r="1971" spans="87:87" ht="12" customHeight="1">
      <c r="CI1971" s="49"/>
    </row>
    <row r="1972" spans="87:87" ht="12" customHeight="1">
      <c r="CI1972" s="49"/>
    </row>
    <row r="1973" spans="87:87" ht="12" customHeight="1">
      <c r="CI1973" s="49"/>
    </row>
    <row r="1974" spans="87:87" ht="12" customHeight="1">
      <c r="CI1974" s="49"/>
    </row>
    <row r="1975" spans="87:87" ht="12" customHeight="1">
      <c r="CI1975" s="49"/>
    </row>
    <row r="1976" spans="87:87" ht="12" customHeight="1">
      <c r="CI1976" s="49"/>
    </row>
    <row r="1977" spans="87:87" ht="12" customHeight="1">
      <c r="CI1977" s="49"/>
    </row>
    <row r="1978" spans="87:87" ht="12" customHeight="1">
      <c r="CI1978" s="49"/>
    </row>
    <row r="1979" spans="87:87" ht="12" customHeight="1">
      <c r="CI1979" s="49"/>
    </row>
    <row r="1980" spans="87:87" ht="12" customHeight="1">
      <c r="CI1980" s="49"/>
    </row>
    <row r="1981" spans="87:87" ht="12" customHeight="1">
      <c r="CI1981" s="49"/>
    </row>
    <row r="1982" spans="87:87" ht="12" customHeight="1">
      <c r="CI1982" s="49"/>
    </row>
    <row r="1983" spans="87:87" ht="12" customHeight="1">
      <c r="CI1983" s="49"/>
    </row>
    <row r="1984" spans="87:87" ht="12" customHeight="1">
      <c r="CI1984" s="49"/>
    </row>
    <row r="1985" spans="87:87" ht="12" customHeight="1">
      <c r="CI1985" s="49"/>
    </row>
    <row r="1986" spans="87:87" ht="12" customHeight="1">
      <c r="CI1986" s="49"/>
    </row>
    <row r="1987" spans="87:87" ht="12" customHeight="1">
      <c r="CI1987" s="49"/>
    </row>
    <row r="1988" spans="87:87" ht="12" customHeight="1">
      <c r="CI1988" s="49"/>
    </row>
    <row r="1989" spans="87:87" ht="12" customHeight="1">
      <c r="CI1989" s="49"/>
    </row>
    <row r="1990" spans="87:87" ht="12" customHeight="1">
      <c r="CI1990" s="49"/>
    </row>
    <row r="1991" spans="87:87" ht="12" customHeight="1">
      <c r="CI1991" s="49"/>
    </row>
    <row r="1992" spans="87:87" ht="12" customHeight="1">
      <c r="CI1992" s="49"/>
    </row>
    <row r="1993" spans="87:87" ht="12" customHeight="1">
      <c r="CI1993" s="49"/>
    </row>
    <row r="1994" spans="87:87" ht="12" customHeight="1">
      <c r="CI1994" s="49"/>
    </row>
    <row r="1995" spans="87:87" ht="12" customHeight="1">
      <c r="CI1995" s="49"/>
    </row>
    <row r="1996" spans="87:87" ht="12" customHeight="1">
      <c r="CI1996" s="49"/>
    </row>
    <row r="1997" spans="87:87" ht="12" customHeight="1">
      <c r="CI1997" s="49"/>
    </row>
    <row r="1998" spans="87:87" ht="12" customHeight="1">
      <c r="CI1998" s="49"/>
    </row>
    <row r="1999" spans="87:87" ht="12" customHeight="1">
      <c r="CI1999" s="49"/>
    </row>
    <row r="2000" spans="87:87" ht="12" customHeight="1">
      <c r="CI2000" s="49"/>
    </row>
  </sheetData>
  <sheetProtection sheet="1" objects="1" scenarios="1" selectLockedCells="1"/>
  <mergeCells count="12">
    <mergeCell ref="G33:I33"/>
    <mergeCell ref="K30:N30"/>
    <mergeCell ref="K33:N33"/>
    <mergeCell ref="K35:N35"/>
    <mergeCell ref="P33:Q33"/>
    <mergeCell ref="P35:Q35"/>
    <mergeCell ref="P30:Q30"/>
    <mergeCell ref="J29:N29"/>
    <mergeCell ref="O29:Q29"/>
    <mergeCell ref="K31:N31"/>
    <mergeCell ref="P31:Q31"/>
    <mergeCell ref="G31:I31"/>
  </mergeCells>
  <phoneticPr fontId="2" type="noConversion"/>
  <dataValidations count="4">
    <dataValidation type="whole" allowBlank="1" showInputMessage="1" showErrorMessage="1" errorTitle="Size of dataset" error="Min 4, max 1000" sqref="B3:C3">
      <formula1>4</formula1>
      <formula2>1000</formula2>
    </dataValidation>
    <dataValidation type="decimal" allowBlank="1" showInputMessage="1" showErrorMessage="1" errorTitle="Confidence level" error="Min=1, max=99.9" sqref="V3">
      <formula1>1</formula1>
      <formula2>99.9</formula2>
    </dataValidation>
    <dataValidation type="whole" operator="greaterThanOrEqual" allowBlank="1" showInputMessage="1" showErrorMessage="1" errorTitle="X" error="Must be an integer_x000a_Min = 0, max = N" sqref="O9 V9">
      <formula1>0</formula1>
    </dataValidation>
    <dataValidation type="whole" operator="greaterThanOrEqual" allowBlank="1" showInputMessage="1" showErrorMessage="1" errorTitle="N" error="Must be an integer_x000a_Min = 2" sqref="O11 V11">
      <formula1>2</formula1>
    </dataValidation>
  </dataValidations>
  <pageMargins left="0.75" right="0.75" top="1" bottom="1" header="0.5" footer="0.5"/>
  <pageSetup paperSize="9" orientation="portrait" horizontalDpi="300" verticalDpi="300" r:id="rId1"/>
  <headerFooter alignWithMargins="0"/>
  <drawing r:id="rId2"/>
  <legacyDrawing r:id="rId3"/>
  <oleObjects>
    <oleObject progId="PBrush" shapeId="796701" r:id="rId4"/>
  </oleObjects>
</worksheet>
</file>

<file path=xl/worksheets/sheet10.xml><?xml version="1.0" encoding="utf-8"?>
<worksheet xmlns="http://schemas.openxmlformats.org/spreadsheetml/2006/main" xmlns:r="http://schemas.openxmlformats.org/officeDocument/2006/relationships">
  <sheetPr codeName="Sheet6"/>
  <dimension ref="A1:IV1225"/>
  <sheetViews>
    <sheetView showGridLines="0" showRowColHeaders="0" zoomScale="120" workbookViewId="0">
      <selection activeCell="D9" sqref="D9"/>
    </sheetView>
  </sheetViews>
  <sheetFormatPr defaultColWidth="8.85546875" defaultRowHeight="11.25" customHeight="1"/>
  <cols>
    <col min="1" max="1" width="0.7109375" style="43" customWidth="1"/>
    <col min="2" max="2" width="5" style="43" customWidth="1"/>
    <col min="3" max="3" width="1.85546875" style="43" customWidth="1"/>
    <col min="4" max="9" width="7.140625" style="43" customWidth="1"/>
    <col min="10" max="10" width="1.85546875" style="5" customWidth="1"/>
    <col min="11" max="11" width="8.5703125" style="5" customWidth="1"/>
    <col min="12" max="12" width="5.140625" style="5" customWidth="1"/>
    <col min="13" max="15" width="1.85546875" style="5" customWidth="1"/>
    <col min="16" max="16" width="6.5703125" style="5" customWidth="1"/>
    <col min="17" max="17" width="7.140625" style="5" customWidth="1"/>
    <col min="18" max="18" width="3.5703125" style="5" customWidth="1"/>
    <col min="19" max="19" width="7.140625" style="5" customWidth="1"/>
    <col min="20" max="20" width="3.5703125" style="5" customWidth="1"/>
    <col min="21" max="21" width="7.140625" style="5" customWidth="1"/>
    <col min="22" max="22" width="3.42578125" style="5" customWidth="1"/>
    <col min="23" max="23" width="3.85546875" style="5" customWidth="1"/>
    <col min="24" max="24" width="7.140625" style="5" customWidth="1"/>
    <col min="25" max="25" width="1.42578125" style="5" customWidth="1"/>
    <col min="26" max="26" width="7.140625" style="5" customWidth="1"/>
    <col min="27" max="27" width="3.140625" style="5" customWidth="1"/>
    <col min="28" max="29" width="6.42578125" style="5" customWidth="1"/>
    <col min="30" max="30" width="4.140625" style="5" customWidth="1"/>
    <col min="31" max="31" width="5.85546875" style="5" customWidth="1"/>
    <col min="32" max="33" width="2.140625" style="5" customWidth="1"/>
    <col min="34" max="56" width="7.140625" style="5" customWidth="1"/>
    <col min="57" max="57" width="2.140625" style="5" customWidth="1"/>
    <col min="58" max="65" width="7.140625" style="5" customWidth="1"/>
    <col min="66" max="66" width="2.140625" style="5" customWidth="1"/>
    <col min="67" max="74" width="7.140625" style="5" customWidth="1"/>
    <col min="75" max="75" width="2.140625" style="5" customWidth="1"/>
    <col min="76" max="155" width="7.140625" style="5" customWidth="1"/>
    <col min="156" max="163" width="8.85546875" style="5"/>
    <col min="164" max="16384" width="8.85546875" style="43"/>
  </cols>
  <sheetData>
    <row r="1" spans="1:169" ht="12.75" customHeight="1">
      <c r="D1" s="44" t="s">
        <v>1542</v>
      </c>
      <c r="I1" s="19"/>
      <c r="M1" s="96"/>
      <c r="N1" s="96"/>
      <c r="O1" s="96"/>
      <c r="P1" s="143" t="s">
        <v>497</v>
      </c>
      <c r="Q1" s="116"/>
      <c r="R1" s="116"/>
      <c r="S1" s="116"/>
      <c r="T1" s="116"/>
      <c r="U1" s="116"/>
      <c r="V1" s="116"/>
      <c r="W1" s="116"/>
      <c r="X1" s="116"/>
      <c r="Y1" s="116"/>
      <c r="Z1" s="116"/>
      <c r="AA1" s="116"/>
      <c r="AB1" s="116"/>
      <c r="AC1" s="116"/>
      <c r="AD1" s="118"/>
      <c r="AE1" s="195" t="s">
        <v>968</v>
      </c>
      <c r="AF1" s="195"/>
      <c r="AG1" s="185"/>
      <c r="AH1" s="96"/>
      <c r="AI1" s="96"/>
      <c r="AJ1" s="96"/>
      <c r="AK1" s="96"/>
      <c r="AL1" s="96"/>
      <c r="AM1" s="96"/>
      <c r="AN1" s="96"/>
      <c r="AO1" s="96"/>
      <c r="AP1" s="96"/>
      <c r="AQ1" s="96"/>
      <c r="AR1" s="96"/>
      <c r="AS1" s="96"/>
      <c r="AT1" s="96"/>
      <c r="AU1" s="96"/>
      <c r="AV1" s="96"/>
      <c r="AW1" s="96"/>
      <c r="AX1" s="232">
        <v>10</v>
      </c>
      <c r="AY1" s="214"/>
      <c r="AZ1" s="214"/>
      <c r="BA1" s="214"/>
      <c r="BB1" s="214"/>
      <c r="BC1" s="214"/>
      <c r="BD1" s="214"/>
      <c r="BE1" s="215"/>
      <c r="BF1" s="96"/>
      <c r="BG1" s="232">
        <v>11</v>
      </c>
      <c r="BH1" s="214"/>
      <c r="BI1" s="214"/>
      <c r="BJ1" s="214"/>
      <c r="BK1" s="214"/>
      <c r="BL1" s="214"/>
      <c r="BM1" s="214"/>
      <c r="BN1" s="215"/>
      <c r="BO1" s="96"/>
      <c r="BP1" s="232">
        <v>12</v>
      </c>
      <c r="BQ1" s="214"/>
      <c r="BR1" s="214"/>
      <c r="BS1" s="214"/>
      <c r="BT1" s="214"/>
      <c r="BU1" s="214"/>
      <c r="BV1" s="214"/>
      <c r="BW1" s="215"/>
      <c r="CV1" s="65" t="s">
        <v>1371</v>
      </c>
      <c r="CW1" s="66"/>
      <c r="CX1" s="93" t="s">
        <v>1369</v>
      </c>
      <c r="CZ1" s="62" t="s">
        <v>588</v>
      </c>
      <c r="DA1" s="95">
        <v>1</v>
      </c>
      <c r="DE1" s="109"/>
      <c r="DF1" s="114" t="s">
        <v>591</v>
      </c>
      <c r="DG1" s="93" t="b">
        <f>CZ5</f>
        <v>1</v>
      </c>
      <c r="FH1" s="50"/>
      <c r="FI1" s="56"/>
      <c r="FJ1" s="56"/>
      <c r="FK1" s="50"/>
      <c r="FL1" s="50"/>
      <c r="FM1" s="50"/>
    </row>
    <row r="2" spans="1:169" ht="11.25" customHeight="1">
      <c r="D2" s="43" t="s">
        <v>1543</v>
      </c>
      <c r="E2" s="46"/>
      <c r="M2" s="96"/>
      <c r="N2" s="96"/>
      <c r="O2" s="96"/>
      <c r="P2" s="117"/>
      <c r="Q2" s="118"/>
      <c r="R2" s="166" t="str">
        <f>IF(CX30="","",CX30)</f>
        <v>( M1 – M2 )</v>
      </c>
      <c r="S2" s="118"/>
      <c r="T2" s="119"/>
      <c r="U2" s="118"/>
      <c r="V2" s="118"/>
      <c r="W2" s="118"/>
      <c r="X2" s="118"/>
      <c r="Y2" s="118"/>
      <c r="Z2" s="118"/>
      <c r="AA2" s="118"/>
      <c r="AB2" s="180" t="s">
        <v>1280</v>
      </c>
      <c r="AC2" s="183" t="s">
        <v>1187</v>
      </c>
      <c r="AD2" s="118"/>
      <c r="AE2" s="183" t="s">
        <v>967</v>
      </c>
      <c r="AF2" s="183"/>
      <c r="AG2" s="124"/>
      <c r="AX2" s="216"/>
      <c r="AY2" s="218"/>
      <c r="AZ2" s="204"/>
      <c r="BA2" s="204"/>
      <c r="BB2" s="204"/>
      <c r="BC2" s="205"/>
      <c r="BD2" s="100"/>
      <c r="BE2" s="217"/>
      <c r="BF2" s="68"/>
      <c r="BG2" s="216"/>
      <c r="BH2" s="218"/>
      <c r="BI2" s="204"/>
      <c r="BJ2" s="204"/>
      <c r="BK2" s="204"/>
      <c r="BL2" s="205"/>
      <c r="BM2" s="100"/>
      <c r="BN2" s="217"/>
      <c r="BO2" s="68"/>
      <c r="BP2" s="216"/>
      <c r="BQ2" s="218"/>
      <c r="BR2" s="204"/>
      <c r="BS2" s="204"/>
      <c r="BT2" s="204"/>
      <c r="BU2" s="205"/>
      <c r="BV2" s="100"/>
      <c r="BW2" s="217"/>
      <c r="CV2" s="260" t="s">
        <v>1367</v>
      </c>
      <c r="CW2" s="107">
        <v>1</v>
      </c>
      <c r="CX2" s="91" t="b">
        <f>INDEX($DG$1:$DG$7,CW2)</f>
        <v>1</v>
      </c>
      <c r="CZ2" s="62" t="s">
        <v>1551</v>
      </c>
      <c r="DA2" s="95">
        <v>1</v>
      </c>
      <c r="DB2" s="48"/>
      <c r="DF2" s="260" t="s">
        <v>592</v>
      </c>
      <c r="DG2" s="91" t="b">
        <f>DA5</f>
        <v>1</v>
      </c>
      <c r="FH2" s="55"/>
      <c r="FI2" s="57"/>
      <c r="FJ2" s="57"/>
      <c r="FK2" s="50"/>
      <c r="FL2" s="50"/>
      <c r="FM2" s="50"/>
    </row>
    <row r="3" spans="1:169" ht="11.25" customHeight="1">
      <c r="D3" s="43" t="s">
        <v>494</v>
      </c>
      <c r="N3" s="96"/>
      <c r="O3" s="96"/>
      <c r="P3" s="121" t="s">
        <v>1539</v>
      </c>
      <c r="Q3" s="181">
        <f>IF(CY24="","",CY24)</f>
        <v>5.76</v>
      </c>
      <c r="R3" s="167" t="s">
        <v>602</v>
      </c>
      <c r="S3" s="181">
        <f>IF(CX24="","",CX24)</f>
        <v>4.3600000000000003</v>
      </c>
      <c r="T3" s="164" t="s">
        <v>966</v>
      </c>
      <c r="U3" s="165">
        <f>IF(ISNUMBER(DB29),DB29,"")</f>
        <v>1.3999999999999995</v>
      </c>
      <c r="V3" s="238"/>
      <c r="W3" s="201" t="s">
        <v>1041</v>
      </c>
      <c r="X3" s="19">
        <f>IF(ISNUMBER(DC31),DC31,"")</f>
        <v>0.62895834999131284</v>
      </c>
      <c r="Y3" s="120" t="s">
        <v>1535</v>
      </c>
      <c r="Z3" s="19">
        <f>IF(ISNUMBER(DC30),DC30,"")</f>
        <v>2.1710416500086862</v>
      </c>
      <c r="AA3" s="122" t="s">
        <v>1536</v>
      </c>
      <c r="AB3" s="750">
        <f>IF(ISNUMBER(DC29),DC29,"")</f>
        <v>0.77104165000868663</v>
      </c>
      <c r="AC3" s="19">
        <f>IF(ISNUMBER(AB3),DC25,"")</f>
        <v>249</v>
      </c>
      <c r="AD3" s="118"/>
      <c r="AE3" s="344" t="str">
        <f>IF(AND(ISNUMBER(AB3),$DA$3,DB27&lt;&gt;""),IF(DB27&lt;0.001,"&lt;.001",DB27),"")</f>
        <v>&lt;.001</v>
      </c>
      <c r="AF3" s="242"/>
      <c r="AG3" s="124"/>
      <c r="AH3" s="68"/>
      <c r="AI3" s="68"/>
      <c r="AJ3" s="68"/>
      <c r="AK3" s="68"/>
      <c r="AL3" s="68"/>
      <c r="AM3" s="68"/>
      <c r="AN3" s="68"/>
      <c r="AO3" s="68"/>
      <c r="AP3" s="68"/>
      <c r="AQ3" s="68"/>
      <c r="AR3" s="68"/>
      <c r="AS3" s="68"/>
      <c r="AT3" s="68"/>
      <c r="AU3" s="68"/>
      <c r="AV3" s="68"/>
      <c r="AW3" s="68"/>
      <c r="AX3" s="216"/>
      <c r="AY3" s="213"/>
      <c r="AZ3" s="204"/>
      <c r="BA3" s="205" t="s">
        <v>1004</v>
      </c>
      <c r="BB3" s="220" t="s">
        <v>1322</v>
      </c>
      <c r="BC3" s="221"/>
      <c r="BD3" s="100"/>
      <c r="BE3" s="217"/>
      <c r="BF3" s="68"/>
      <c r="BG3" s="216"/>
      <c r="BH3" s="213"/>
      <c r="BI3" s="204"/>
      <c r="BJ3" s="205" t="s">
        <v>1004</v>
      </c>
      <c r="BK3" s="220"/>
      <c r="BL3" s="221"/>
      <c r="BM3" s="100"/>
      <c r="BN3" s="217"/>
      <c r="BO3" s="68"/>
      <c r="BP3" s="216"/>
      <c r="BQ3" s="213"/>
      <c r="BR3" s="204"/>
      <c r="BS3" s="205" t="s">
        <v>1004</v>
      </c>
      <c r="BT3" s="220"/>
      <c r="BU3" s="221"/>
      <c r="BV3" s="100"/>
      <c r="BW3" s="217"/>
      <c r="CV3" s="260" t="s">
        <v>1368</v>
      </c>
      <c r="CW3" s="107">
        <v>2</v>
      </c>
      <c r="CX3" s="91" t="b">
        <f>INDEX($DG$1:$DG$7,CW3)</f>
        <v>1</v>
      </c>
      <c r="CZ3" s="62" t="s">
        <v>969</v>
      </c>
      <c r="DA3" s="95" t="b">
        <v>1</v>
      </c>
      <c r="DF3" s="260" t="s">
        <v>593</v>
      </c>
      <c r="DG3" s="91" t="b">
        <f>DB5</f>
        <v>1</v>
      </c>
      <c r="FH3" s="50"/>
      <c r="FI3" s="50"/>
      <c r="FJ3" s="50"/>
      <c r="FK3" s="50"/>
      <c r="FL3" s="50"/>
      <c r="FM3" s="50"/>
    </row>
    <row r="4" spans="1:169" ht="12.75" customHeight="1">
      <c r="K4" s="241" t="s">
        <v>496</v>
      </c>
      <c r="M4" s="96"/>
      <c r="N4" s="19"/>
      <c r="O4" s="96"/>
      <c r="P4" s="121" t="s">
        <v>1539</v>
      </c>
      <c r="Q4" s="118" t="s">
        <v>1541</v>
      </c>
      <c r="R4" s="118"/>
      <c r="S4" s="118" t="s">
        <v>1541</v>
      </c>
      <c r="T4" s="122" t="s">
        <v>1540</v>
      </c>
      <c r="U4" s="118"/>
      <c r="V4" s="118"/>
      <c r="W4" s="202"/>
      <c r="X4" s="749"/>
      <c r="Y4" s="123"/>
      <c r="Z4" s="749"/>
      <c r="AA4" s="179"/>
      <c r="AB4" s="749"/>
      <c r="AC4" s="749"/>
      <c r="AD4" s="118"/>
      <c r="AE4" s="243"/>
      <c r="AF4" s="243"/>
      <c r="AG4" s="124"/>
      <c r="AH4" s="256"/>
      <c r="AI4" s="170"/>
      <c r="AJ4" s="14"/>
      <c r="AK4" s="19"/>
      <c r="AL4" s="19"/>
      <c r="AM4" s="19"/>
      <c r="AN4" s="19"/>
      <c r="AO4" s="19"/>
      <c r="AP4" s="19"/>
      <c r="AQ4" s="19"/>
      <c r="AR4" s="19"/>
      <c r="AS4" s="19"/>
      <c r="AT4" s="19"/>
      <c r="AU4" s="19"/>
      <c r="AV4" s="19"/>
      <c r="AW4" s="19"/>
      <c r="AX4" s="127"/>
      <c r="AY4" s="219"/>
      <c r="AZ4" s="36"/>
      <c r="BA4" s="212" t="s">
        <v>1001</v>
      </c>
      <c r="BB4" s="222" t="s">
        <v>1469</v>
      </c>
      <c r="BC4" s="221"/>
      <c r="BD4" s="101"/>
      <c r="BE4" s="128"/>
      <c r="BF4" s="19"/>
      <c r="BG4" s="127"/>
      <c r="BH4" s="219"/>
      <c r="BI4" s="36"/>
      <c r="BJ4" s="212" t="s">
        <v>1001</v>
      </c>
      <c r="BK4" s="222"/>
      <c r="BL4" s="221"/>
      <c r="BM4" s="101"/>
      <c r="BN4" s="128"/>
      <c r="BO4" s="19"/>
      <c r="BP4" s="127"/>
      <c r="BQ4" s="219"/>
      <c r="BR4" s="36"/>
      <c r="BS4" s="212" t="s">
        <v>1001</v>
      </c>
      <c r="BT4" s="222"/>
      <c r="BU4" s="221"/>
      <c r="BV4" s="101"/>
      <c r="BW4" s="128"/>
      <c r="BX4" s="14"/>
      <c r="BY4" s="14"/>
      <c r="BZ4" s="14"/>
      <c r="CA4" s="14"/>
      <c r="CB4" s="14"/>
      <c r="CC4" s="14"/>
      <c r="CD4" s="14"/>
      <c r="CE4" s="14"/>
      <c r="CF4" s="14"/>
      <c r="CG4" s="14"/>
      <c r="CH4" s="14"/>
      <c r="CI4" s="14"/>
      <c r="CJ4" s="14"/>
      <c r="CK4" s="14"/>
      <c r="CL4" s="14"/>
      <c r="CM4" s="14"/>
      <c r="CN4" s="14"/>
      <c r="CO4" s="14"/>
      <c r="CP4" s="14"/>
      <c r="CQ4" s="14"/>
      <c r="CR4" s="14"/>
      <c r="CS4" s="14"/>
      <c r="CT4" s="14"/>
      <c r="CU4" s="14"/>
      <c r="CV4" s="69" t="s">
        <v>1372</v>
      </c>
      <c r="CW4" s="70"/>
      <c r="CX4" s="97"/>
      <c r="CZ4" s="114" t="s">
        <v>591</v>
      </c>
      <c r="DA4" s="259" t="s">
        <v>592</v>
      </c>
      <c r="DB4" s="259" t="s">
        <v>593</v>
      </c>
      <c r="DC4" s="259" t="s">
        <v>594</v>
      </c>
      <c r="DD4" s="259" t="s">
        <v>595</v>
      </c>
      <c r="DE4" s="259" t="s">
        <v>596</v>
      </c>
      <c r="DF4" s="260" t="s">
        <v>594</v>
      </c>
      <c r="DG4" s="91" t="b">
        <f>DC5</f>
        <v>0</v>
      </c>
      <c r="FH4" s="50"/>
      <c r="FI4" s="56"/>
      <c r="FJ4" s="56"/>
      <c r="FK4" s="56"/>
      <c r="FL4" s="56"/>
      <c r="FM4" s="56"/>
    </row>
    <row r="5" spans="1:169" ht="11.25" customHeight="1">
      <c r="B5" s="207" t="s">
        <v>1005</v>
      </c>
      <c r="C5" s="208"/>
      <c r="D5" s="208"/>
      <c r="E5" s="208"/>
      <c r="F5" s="209"/>
      <c r="G5" s="27"/>
      <c r="H5" s="28" t="s">
        <v>1188</v>
      </c>
      <c r="I5" s="33"/>
      <c r="J5" s="169"/>
      <c r="M5" s="96"/>
      <c r="N5" s="96"/>
      <c r="O5" s="96"/>
      <c r="P5" s="121" t="s">
        <v>1539</v>
      </c>
      <c r="Q5" s="239" t="str">
        <f>IF(CY31="","",CY31)</f>
        <v>Neutral</v>
      </c>
      <c r="R5" s="167" t="s">
        <v>602</v>
      </c>
      <c r="S5" s="239" t="str">
        <f>IF(CX31="","",CX31)</f>
        <v>Violent</v>
      </c>
      <c r="T5" s="122" t="s">
        <v>1540</v>
      </c>
      <c r="U5" s="118"/>
      <c r="V5" s="118"/>
      <c r="W5" s="118"/>
      <c r="X5" s="118"/>
      <c r="Y5" s="118"/>
      <c r="Z5" s="118"/>
      <c r="AA5" s="118"/>
      <c r="AB5" s="118"/>
      <c r="AC5" s="240"/>
      <c r="AD5" s="118"/>
      <c r="AE5" s="118"/>
      <c r="AF5" s="118"/>
      <c r="AG5" s="124"/>
      <c r="AH5" s="257"/>
      <c r="AI5" s="258"/>
      <c r="AJ5" s="14"/>
      <c r="AK5" s="14"/>
      <c r="AL5" s="14"/>
      <c r="AM5" s="14"/>
      <c r="AN5" s="14"/>
      <c r="AO5" s="14"/>
      <c r="AP5" s="14"/>
      <c r="AQ5" s="14"/>
      <c r="AR5" s="14"/>
      <c r="AS5" s="14"/>
      <c r="AT5" s="14"/>
      <c r="AU5" s="14"/>
      <c r="AV5" s="14"/>
      <c r="AW5" s="14"/>
      <c r="AX5" s="224"/>
      <c r="AY5" s="225"/>
      <c r="AZ5" s="132"/>
      <c r="BA5" s="133"/>
      <c r="BB5" s="133"/>
      <c r="BC5" s="226"/>
      <c r="BD5" s="226"/>
      <c r="BE5" s="10"/>
      <c r="BF5" s="19"/>
      <c r="BG5" s="224"/>
      <c r="BH5" s="225"/>
      <c r="BI5" s="132"/>
      <c r="BJ5" s="133"/>
      <c r="BK5" s="133"/>
      <c r="BL5" s="226"/>
      <c r="BM5" s="226"/>
      <c r="BN5" s="10"/>
      <c r="BO5" s="19"/>
      <c r="BP5" s="224"/>
      <c r="BQ5" s="225"/>
      <c r="BR5" s="132"/>
      <c r="BS5" s="133"/>
      <c r="BT5" s="133"/>
      <c r="BU5" s="226"/>
      <c r="BV5" s="226"/>
      <c r="BW5" s="10"/>
      <c r="BX5" s="14"/>
      <c r="BY5" s="14"/>
      <c r="BZ5" s="14"/>
      <c r="CA5" s="14"/>
      <c r="CB5" s="14"/>
      <c r="CC5" s="14"/>
      <c r="CD5" s="14"/>
      <c r="CE5" s="14"/>
      <c r="CF5" s="14"/>
      <c r="CG5" s="14"/>
      <c r="CH5" s="14"/>
      <c r="CI5" s="14"/>
      <c r="CJ5" s="14"/>
      <c r="CK5" s="14"/>
      <c r="CL5" s="14"/>
      <c r="CM5" s="14"/>
      <c r="CN5" s="14"/>
      <c r="CO5" s="14"/>
      <c r="CP5" s="14"/>
      <c r="CQ5" s="14"/>
      <c r="CR5" s="14"/>
      <c r="CS5" s="14"/>
      <c r="CT5" s="14"/>
      <c r="CV5" s="69"/>
      <c r="CW5" s="261" t="s">
        <v>1522</v>
      </c>
      <c r="CX5" s="97" t="b">
        <f>AND(CX3,CX2,NOT(CW2=CW3))</f>
        <v>1</v>
      </c>
      <c r="CZ5" s="67" t="b">
        <f t="shared" ref="CZ5:DE5" si="0">AND(ISNUMBER(D11),ISNUMBER(D12),ISNUMBER(D13))</f>
        <v>1</v>
      </c>
      <c r="DA5" s="68" t="b">
        <f t="shared" si="0"/>
        <v>1</v>
      </c>
      <c r="DB5" s="68" t="b">
        <f t="shared" si="0"/>
        <v>1</v>
      </c>
      <c r="DC5" s="68" t="b">
        <f t="shared" si="0"/>
        <v>0</v>
      </c>
      <c r="DD5" s="68" t="b">
        <f t="shared" si="0"/>
        <v>0</v>
      </c>
      <c r="DE5" s="68" t="b">
        <f t="shared" si="0"/>
        <v>0</v>
      </c>
      <c r="DF5" s="260" t="s">
        <v>595</v>
      </c>
      <c r="DG5" s="91" t="b">
        <f>DD5</f>
        <v>0</v>
      </c>
      <c r="FH5" s="50"/>
      <c r="FI5" s="56"/>
      <c r="FJ5" s="56"/>
      <c r="FK5" s="56"/>
      <c r="FL5" s="56"/>
      <c r="FM5" s="56"/>
    </row>
    <row r="6" spans="1:169" ht="12.75" customHeight="1">
      <c r="B6" s="210"/>
      <c r="C6" s="204"/>
      <c r="D6" s="205" t="s">
        <v>1004</v>
      </c>
      <c r="E6" s="203" t="s">
        <v>1468</v>
      </c>
      <c r="F6" s="52"/>
      <c r="G6" s="206" t="s">
        <v>473</v>
      </c>
      <c r="H6" s="763">
        <v>95</v>
      </c>
      <c r="I6" s="168"/>
      <c r="J6" s="142" t="s">
        <v>498</v>
      </c>
      <c r="K6" s="125"/>
      <c r="L6" s="125"/>
      <c r="M6" s="214"/>
      <c r="N6" s="214"/>
      <c r="O6" s="214"/>
      <c r="P6" s="245"/>
      <c r="Q6" s="246"/>
      <c r="R6" s="247"/>
      <c r="S6" s="246"/>
      <c r="T6" s="248"/>
      <c r="U6" s="125"/>
      <c r="V6" s="125"/>
      <c r="W6" s="125"/>
      <c r="X6" s="125"/>
      <c r="Y6" s="125"/>
      <c r="Z6" s="125"/>
      <c r="AA6" s="125"/>
      <c r="AB6" s="125"/>
      <c r="AC6" s="249"/>
      <c r="AD6" s="125"/>
      <c r="AE6" s="125"/>
      <c r="AF6" s="125"/>
      <c r="AG6" s="126"/>
      <c r="AX6" s="227" t="s">
        <v>1548</v>
      </c>
      <c r="AY6" s="223" t="s">
        <v>1470</v>
      </c>
      <c r="AZ6" s="106" t="s">
        <v>252</v>
      </c>
      <c r="BA6" s="105" t="s">
        <v>1042</v>
      </c>
      <c r="BB6" s="105"/>
      <c r="BC6" s="105"/>
      <c r="BD6" s="105"/>
      <c r="BE6" s="13"/>
      <c r="BF6" s="68"/>
      <c r="BG6" s="227" t="s">
        <v>1548</v>
      </c>
      <c r="BH6" s="223"/>
      <c r="BI6" s="106"/>
      <c r="BJ6" s="105"/>
      <c r="BK6" s="105"/>
      <c r="BL6" s="105"/>
      <c r="BM6" s="105"/>
      <c r="BN6" s="13"/>
      <c r="BO6" s="68"/>
      <c r="BP6" s="227" t="s">
        <v>1548</v>
      </c>
      <c r="BQ6" s="223"/>
      <c r="BR6" s="106"/>
      <c r="BS6" s="105"/>
      <c r="BT6" s="105"/>
      <c r="BU6" s="105"/>
      <c r="BV6" s="105"/>
      <c r="BW6" s="13"/>
      <c r="CU6" s="5" t="s">
        <v>1121</v>
      </c>
      <c r="CV6" s="5" t="s">
        <v>1526</v>
      </c>
      <c r="CW6" s="5" t="str">
        <f>IF(DG1,"M1","  ")</f>
        <v>M1</v>
      </c>
      <c r="CY6" s="114" t="s">
        <v>597</v>
      </c>
      <c r="CZ6" s="66" t="b">
        <f>OR(CZ5:DE5)</f>
        <v>1</v>
      </c>
      <c r="DA6" s="66"/>
      <c r="DB6" s="66"/>
      <c r="DC6" s="66"/>
      <c r="DD6" s="66"/>
      <c r="DE6" s="93"/>
      <c r="DF6" s="109" t="s">
        <v>596</v>
      </c>
      <c r="DG6" s="91" t="b">
        <f>DE5</f>
        <v>0</v>
      </c>
      <c r="FH6" s="50"/>
      <c r="FI6" s="56"/>
      <c r="FJ6" s="56"/>
      <c r="FK6" s="56"/>
      <c r="FL6" s="56"/>
      <c r="FM6" s="56"/>
    </row>
    <row r="7" spans="1:169" ht="11.25" customHeight="1">
      <c r="B7" s="211"/>
      <c r="C7" s="36"/>
      <c r="D7" s="212" t="s">
        <v>1001</v>
      </c>
      <c r="E7" s="98" t="s">
        <v>807</v>
      </c>
      <c r="F7" s="52"/>
      <c r="G7" s="16"/>
      <c r="H7" s="16"/>
      <c r="I7" s="16"/>
      <c r="J7" s="216"/>
      <c r="K7" s="217"/>
      <c r="L7" s="100"/>
      <c r="M7" s="213"/>
      <c r="N7" s="213"/>
      <c r="O7" s="213"/>
      <c r="P7" s="250"/>
      <c r="Q7" s="251"/>
      <c r="R7" s="252"/>
      <c r="S7" s="251"/>
      <c r="T7" s="253"/>
      <c r="U7" s="100"/>
      <c r="V7" s="100"/>
      <c r="W7" s="100"/>
      <c r="X7" s="100"/>
      <c r="Y7" s="100"/>
      <c r="Z7" s="100"/>
      <c r="AA7" s="100"/>
      <c r="AB7" s="100"/>
      <c r="AC7" s="254"/>
      <c r="AD7" s="100"/>
      <c r="AE7" s="100"/>
      <c r="AF7" s="100"/>
      <c r="AG7" s="217"/>
      <c r="AJ7" s="68"/>
      <c r="AK7" s="68"/>
      <c r="AL7" s="68"/>
      <c r="AM7" s="68"/>
      <c r="AN7" s="68"/>
      <c r="AO7" s="68"/>
      <c r="AP7" s="68"/>
      <c r="AQ7" s="68"/>
      <c r="AR7" s="68"/>
      <c r="AS7" s="68"/>
      <c r="AT7" s="68"/>
      <c r="AU7" s="68"/>
      <c r="AV7" s="68"/>
      <c r="AW7" s="68"/>
      <c r="AX7" s="87"/>
      <c r="AY7" s="135" t="s">
        <v>578</v>
      </c>
      <c r="AZ7" s="135" t="s">
        <v>579</v>
      </c>
      <c r="BA7" s="135" t="s">
        <v>580</v>
      </c>
      <c r="BB7" s="135" t="s">
        <v>581</v>
      </c>
      <c r="BC7" s="135" t="s">
        <v>582</v>
      </c>
      <c r="BD7" s="135" t="s">
        <v>583</v>
      </c>
      <c r="BE7" s="88"/>
      <c r="BF7" s="68"/>
      <c r="BG7" s="87"/>
      <c r="BH7" s="135" t="s">
        <v>578</v>
      </c>
      <c r="BI7" s="135" t="s">
        <v>579</v>
      </c>
      <c r="BJ7" s="135" t="s">
        <v>580</v>
      </c>
      <c r="BK7" s="135" t="s">
        <v>581</v>
      </c>
      <c r="BL7" s="135" t="s">
        <v>582</v>
      </c>
      <c r="BM7" s="135" t="s">
        <v>583</v>
      </c>
      <c r="BN7" s="88"/>
      <c r="BO7" s="68"/>
      <c r="BP7" s="87"/>
      <c r="BQ7" s="135" t="s">
        <v>578</v>
      </c>
      <c r="BR7" s="135" t="s">
        <v>579</v>
      </c>
      <c r="BS7" s="135" t="s">
        <v>580</v>
      </c>
      <c r="BT7" s="135" t="s">
        <v>581</v>
      </c>
      <c r="BU7" s="135" t="s">
        <v>582</v>
      </c>
      <c r="BV7" s="135" t="s">
        <v>583</v>
      </c>
      <c r="BW7" s="88"/>
      <c r="CV7" s="5" t="s">
        <v>1527</v>
      </c>
      <c r="CW7" s="5" t="str">
        <f>IF(DG2,"M2","  ")</f>
        <v>M2</v>
      </c>
      <c r="CY7" s="260" t="s">
        <v>599</v>
      </c>
      <c r="CZ7" s="68">
        <f t="shared" ref="CZ7:DE7" si="1">IF(CZ5,CU45*D13^2,0)</f>
        <v>506.37470000000008</v>
      </c>
      <c r="DA7" s="68">
        <f t="shared" si="1"/>
        <v>548.20669999999996</v>
      </c>
      <c r="DB7" s="68">
        <f t="shared" si="1"/>
        <v>548.20669999999996</v>
      </c>
      <c r="DC7" s="68">
        <f t="shared" si="1"/>
        <v>0</v>
      </c>
      <c r="DD7" s="68">
        <f t="shared" si="1"/>
        <v>0</v>
      </c>
      <c r="DE7" s="91">
        <f t="shared" si="1"/>
        <v>0</v>
      </c>
      <c r="DF7" s="261" t="s">
        <v>1370</v>
      </c>
      <c r="DG7" s="97" t="b">
        <v>0</v>
      </c>
      <c r="FH7" s="55"/>
      <c r="FI7" s="50"/>
      <c r="FJ7" s="50"/>
      <c r="FK7" s="50"/>
      <c r="FL7" s="50"/>
      <c r="FM7" s="57"/>
    </row>
    <row r="8" spans="1:169" ht="12.75" customHeight="1">
      <c r="A8" s="48"/>
      <c r="B8" s="140" t="s">
        <v>1003</v>
      </c>
      <c r="C8" s="131"/>
      <c r="D8" s="132"/>
      <c r="E8" s="132"/>
      <c r="F8" s="133"/>
      <c r="G8" s="133"/>
      <c r="H8" s="130" t="s">
        <v>1186</v>
      </c>
      <c r="I8" s="458">
        <f>IF(SUM(D11:I11)=0,"",SUM(D11:I11))</f>
        <v>252</v>
      </c>
      <c r="J8" s="100"/>
      <c r="K8" s="217"/>
      <c r="L8" s="100"/>
      <c r="M8" s="213"/>
      <c r="N8" s="213"/>
      <c r="O8" s="213"/>
      <c r="P8" s="250"/>
      <c r="Q8" s="251"/>
      <c r="R8" s="252"/>
      <c r="S8" s="251"/>
      <c r="T8" s="253"/>
      <c r="U8" s="100"/>
      <c r="V8" s="100"/>
      <c r="W8" s="100"/>
      <c r="X8" s="100"/>
      <c r="Y8" s="100"/>
      <c r="Z8" s="100"/>
      <c r="AA8" s="100"/>
      <c r="AB8" s="100"/>
      <c r="AC8" s="254"/>
      <c r="AD8" s="100"/>
      <c r="AE8" s="100"/>
      <c r="AF8" s="100"/>
      <c r="AG8" s="217"/>
      <c r="AJ8" s="68"/>
      <c r="AK8" s="68"/>
      <c r="AL8" s="68"/>
      <c r="AM8" s="68"/>
      <c r="AN8" s="68"/>
      <c r="AO8" s="68"/>
      <c r="AP8" s="68"/>
      <c r="AQ8" s="68"/>
      <c r="AR8" s="68"/>
      <c r="AS8" s="68"/>
      <c r="AT8" s="68"/>
      <c r="AU8" s="68"/>
      <c r="AV8" s="68"/>
      <c r="AW8" s="68"/>
      <c r="AX8" s="138" t="s">
        <v>1006</v>
      </c>
      <c r="AY8" s="228">
        <v>5.5</v>
      </c>
      <c r="AZ8" s="171">
        <v>2</v>
      </c>
      <c r="BA8" s="229">
        <v>6</v>
      </c>
      <c r="BB8" s="171"/>
      <c r="BC8" s="171"/>
      <c r="BD8" s="230"/>
      <c r="BE8" s="13"/>
      <c r="BF8" s="68"/>
      <c r="BG8" s="138" t="s">
        <v>1006</v>
      </c>
      <c r="BH8" s="228"/>
      <c r="BI8" s="171"/>
      <c r="BJ8" s="229"/>
      <c r="BK8" s="171"/>
      <c r="BL8" s="171"/>
      <c r="BM8" s="230"/>
      <c r="BN8" s="13"/>
      <c r="BO8" s="68"/>
      <c r="BP8" s="138" t="s">
        <v>1006</v>
      </c>
      <c r="BQ8" s="228"/>
      <c r="BR8" s="171"/>
      <c r="BS8" s="229"/>
      <c r="BT8" s="171"/>
      <c r="BU8" s="171"/>
      <c r="BV8" s="230"/>
      <c r="BW8" s="13"/>
      <c r="CV8" s="5" t="s">
        <v>1528</v>
      </c>
      <c r="CW8" s="5" t="str">
        <f>IF(DG3,"M3","")</f>
        <v>M3</v>
      </c>
      <c r="CY8" s="115" t="s">
        <v>598</v>
      </c>
      <c r="CZ8" s="70">
        <f>IF(CZ6,SQRT(SUM(CZ7:DE7)/SUM(CU45:CZ45)),"")</f>
        <v>2.5371046490044513</v>
      </c>
      <c r="DA8" s="70"/>
      <c r="DB8" s="70"/>
      <c r="DC8" s="70"/>
      <c r="DD8" s="70"/>
      <c r="DE8" s="97"/>
      <c r="FH8" s="55"/>
      <c r="FI8" s="50"/>
      <c r="FJ8" s="50"/>
      <c r="FK8" s="50"/>
      <c r="FL8" s="50"/>
      <c r="FM8" s="57"/>
    </row>
    <row r="9" spans="1:169" ht="13.5" customHeight="1">
      <c r="A9" s="92"/>
      <c r="B9" s="87"/>
      <c r="C9" s="129" t="s">
        <v>1548</v>
      </c>
      <c r="D9" s="759" t="s">
        <v>1465</v>
      </c>
      <c r="E9" s="760" t="s">
        <v>1466</v>
      </c>
      <c r="F9" s="759" t="s">
        <v>1467</v>
      </c>
      <c r="G9" s="759"/>
      <c r="H9" s="759"/>
      <c r="I9" s="760"/>
      <c r="J9" s="100"/>
      <c r="K9" s="761" t="s">
        <v>1085</v>
      </c>
      <c r="L9" s="100"/>
      <c r="M9" s="213"/>
      <c r="N9" s="213"/>
      <c r="O9" s="213"/>
      <c r="P9" s="250"/>
      <c r="Q9" s="251"/>
      <c r="R9" s="252"/>
      <c r="S9" s="255" t="s">
        <v>1366</v>
      </c>
      <c r="T9" s="253"/>
      <c r="U9" s="100"/>
      <c r="V9" s="100"/>
      <c r="W9" s="100"/>
      <c r="X9" s="100"/>
      <c r="Y9" s="100"/>
      <c r="Z9" s="100"/>
      <c r="AA9" s="100"/>
      <c r="AB9" s="100"/>
      <c r="AC9" s="254"/>
      <c r="AD9" s="100"/>
      <c r="AE9" s="100"/>
      <c r="AF9" s="100"/>
      <c r="AG9" s="217"/>
      <c r="AH9" s="84"/>
      <c r="AI9" s="68"/>
      <c r="AJ9" s="68"/>
      <c r="AK9" s="68"/>
      <c r="AL9" s="68"/>
      <c r="AM9" s="68"/>
      <c r="AN9" s="68"/>
      <c r="AO9" s="68"/>
      <c r="AP9" s="68"/>
      <c r="AQ9" s="68"/>
      <c r="AR9" s="68"/>
      <c r="AS9" s="68"/>
      <c r="AT9" s="68"/>
      <c r="AU9" s="68"/>
      <c r="AV9" s="68"/>
      <c r="AW9" s="68"/>
      <c r="AX9" s="138" t="s">
        <v>1271</v>
      </c>
      <c r="AY9" s="172">
        <v>5</v>
      </c>
      <c r="AZ9" s="173">
        <v>6</v>
      </c>
      <c r="BA9" s="174">
        <v>2.5</v>
      </c>
      <c r="BB9" s="173"/>
      <c r="BC9" s="173"/>
      <c r="BD9" s="175"/>
      <c r="BE9" s="13"/>
      <c r="BF9" s="68"/>
      <c r="BG9" s="138" t="s">
        <v>1271</v>
      </c>
      <c r="BH9" s="172"/>
      <c r="BI9" s="173"/>
      <c r="BJ9" s="174"/>
      <c r="BK9" s="173"/>
      <c r="BL9" s="173"/>
      <c r="BM9" s="175"/>
      <c r="BN9" s="13"/>
      <c r="BO9" s="68"/>
      <c r="BP9" s="138" t="s">
        <v>1271</v>
      </c>
      <c r="BQ9" s="172"/>
      <c r="BR9" s="173"/>
      <c r="BS9" s="174"/>
      <c r="BT9" s="173"/>
      <c r="BU9" s="173"/>
      <c r="BV9" s="175"/>
      <c r="BW9" s="13"/>
      <c r="CV9" s="5" t="s">
        <v>1529</v>
      </c>
      <c r="CW9" s="5" t="str">
        <f>IF(DG4,"M4","")</f>
        <v/>
      </c>
      <c r="FH9" s="50"/>
      <c r="FI9" s="55"/>
      <c r="FJ9" s="50"/>
      <c r="FK9" s="50"/>
      <c r="FL9" s="50"/>
      <c r="FM9" s="50"/>
    </row>
    <row r="10" spans="1:169" ht="12.75" customHeight="1">
      <c r="A10" s="92"/>
      <c r="B10" s="87"/>
      <c r="C10" s="12"/>
      <c r="D10" s="160" t="s">
        <v>578</v>
      </c>
      <c r="E10" s="161" t="s">
        <v>579</v>
      </c>
      <c r="F10" s="161" t="s">
        <v>580</v>
      </c>
      <c r="G10" s="161" t="s">
        <v>581</v>
      </c>
      <c r="H10" s="161" t="s">
        <v>582</v>
      </c>
      <c r="I10" s="757" t="s">
        <v>583</v>
      </c>
      <c r="J10" s="100"/>
      <c r="K10" s="217"/>
      <c r="L10" s="100"/>
      <c r="M10" s="100"/>
      <c r="N10" s="100"/>
      <c r="O10" s="100"/>
      <c r="P10" s="100"/>
      <c r="Q10" s="100"/>
      <c r="R10" s="100"/>
      <c r="S10" s="100"/>
      <c r="T10" s="100"/>
      <c r="U10" s="100"/>
      <c r="V10" s="100"/>
      <c r="W10" s="100"/>
      <c r="X10" s="100"/>
      <c r="Y10" s="100"/>
      <c r="Z10" s="100"/>
      <c r="AA10" s="100"/>
      <c r="AB10" s="100"/>
      <c r="AC10" s="100"/>
      <c r="AD10" s="100"/>
      <c r="AE10" s="100"/>
      <c r="AF10" s="100"/>
      <c r="AG10" s="217"/>
      <c r="AH10" s="68"/>
      <c r="AI10" s="68"/>
      <c r="AJ10" s="68"/>
      <c r="AK10" s="68"/>
      <c r="AL10" s="68"/>
      <c r="AM10" s="68"/>
      <c r="AN10" s="68"/>
      <c r="AO10" s="68"/>
      <c r="AP10" s="68"/>
      <c r="AQ10" s="68"/>
      <c r="AR10" s="68"/>
      <c r="AS10" s="68"/>
      <c r="AT10" s="68"/>
      <c r="AU10" s="68"/>
      <c r="AV10" s="68"/>
      <c r="AW10" s="68"/>
      <c r="AX10" s="87"/>
      <c r="AY10" s="172">
        <v>5.5</v>
      </c>
      <c r="AZ10" s="173">
        <v>4.5</v>
      </c>
      <c r="BA10" s="174">
        <v>4.5</v>
      </c>
      <c r="BB10" s="173"/>
      <c r="BC10" s="173"/>
      <c r="BD10" s="175"/>
      <c r="BE10" s="13"/>
      <c r="BF10" s="68"/>
      <c r="BG10" s="87"/>
      <c r="BH10" s="172"/>
      <c r="BI10" s="173"/>
      <c r="BJ10" s="174"/>
      <c r="BK10" s="173"/>
      <c r="BL10" s="173"/>
      <c r="BM10" s="175"/>
      <c r="BN10" s="13"/>
      <c r="BO10" s="68"/>
      <c r="BP10" s="87"/>
      <c r="BQ10" s="172"/>
      <c r="BR10" s="173"/>
      <c r="BS10" s="174"/>
      <c r="BT10" s="173"/>
      <c r="BU10" s="173"/>
      <c r="BV10" s="175"/>
      <c r="BW10" s="13"/>
      <c r="CV10" s="5" t="s">
        <v>1530</v>
      </c>
      <c r="CW10" s="5" t="str">
        <f>IF(DG5,"M5","")</f>
        <v/>
      </c>
      <c r="CY10" s="112" t="s">
        <v>1247</v>
      </c>
      <c r="DB10" s="753" t="s">
        <v>1247</v>
      </c>
      <c r="DC10" s="5" t="s">
        <v>1533</v>
      </c>
      <c r="DL10" s="5" t="s">
        <v>1252</v>
      </c>
      <c r="DO10" s="5" t="s">
        <v>1268</v>
      </c>
      <c r="FI10" s="49"/>
      <c r="FJ10" s="49"/>
      <c r="FK10" s="49"/>
      <c r="FL10" s="49"/>
    </row>
    <row r="11" spans="1:169" ht="12.75" customHeight="1">
      <c r="A11" s="92"/>
      <c r="B11" s="87"/>
      <c r="C11" s="102" t="s">
        <v>429</v>
      </c>
      <c r="D11" s="379">
        <v>84</v>
      </c>
      <c r="E11" s="106">
        <v>84</v>
      </c>
      <c r="F11" s="107">
        <v>84</v>
      </c>
      <c r="G11" s="106"/>
      <c r="H11" s="107"/>
      <c r="I11" s="106"/>
      <c r="J11" s="101"/>
      <c r="K11" s="128"/>
      <c r="L11" s="101"/>
      <c r="M11" s="101"/>
      <c r="N11" s="101"/>
      <c r="O11" s="101"/>
      <c r="P11" s="101"/>
      <c r="Q11" s="101"/>
      <c r="R11" s="101"/>
      <c r="S11" s="101"/>
      <c r="T11" s="101"/>
      <c r="U11" s="101"/>
      <c r="V11" s="101"/>
      <c r="W11" s="101"/>
      <c r="X11" s="101"/>
      <c r="Y11" s="101"/>
      <c r="Z11" s="101"/>
      <c r="AA11" s="101"/>
      <c r="AB11" s="101"/>
      <c r="AC11" s="101"/>
      <c r="AD11" s="101"/>
      <c r="AE11" s="101"/>
      <c r="AF11" s="101"/>
      <c r="AG11" s="128"/>
      <c r="AH11" s="68"/>
      <c r="AI11" s="68"/>
      <c r="AJ11" s="68"/>
      <c r="AK11" s="68"/>
      <c r="AL11" s="68"/>
      <c r="AM11" s="68"/>
      <c r="AN11" s="68"/>
      <c r="AO11" s="68"/>
      <c r="AP11" s="68"/>
      <c r="AQ11" s="68"/>
      <c r="AR11" s="68"/>
      <c r="AS11" s="68"/>
      <c r="AT11" s="68"/>
      <c r="AU11" s="68"/>
      <c r="AV11" s="68"/>
      <c r="AW11" s="68"/>
      <c r="AX11" s="87"/>
      <c r="AY11" s="172">
        <v>6</v>
      </c>
      <c r="AZ11" s="173">
        <v>4.5</v>
      </c>
      <c r="BA11" s="174">
        <v>3.5</v>
      </c>
      <c r="BB11" s="173"/>
      <c r="BC11" s="173"/>
      <c r="BD11" s="175"/>
      <c r="BE11" s="13"/>
      <c r="BF11" s="68"/>
      <c r="BG11" s="87"/>
      <c r="BH11" s="172"/>
      <c r="BI11" s="173"/>
      <c r="BJ11" s="174"/>
      <c r="BK11" s="173"/>
      <c r="BL11" s="173"/>
      <c r="BM11" s="175"/>
      <c r="BN11" s="13"/>
      <c r="BO11" s="68"/>
      <c r="BP11" s="87"/>
      <c r="BQ11" s="172"/>
      <c r="BR11" s="173"/>
      <c r="BS11" s="174"/>
      <c r="BT11" s="173"/>
      <c r="BU11" s="173"/>
      <c r="BV11" s="175"/>
      <c r="BW11" s="13"/>
      <c r="CV11" s="5" t="s">
        <v>1531</v>
      </c>
      <c r="CW11" s="5" t="str">
        <f>IF(DG6,"M6","")</f>
        <v/>
      </c>
      <c r="CY11" s="110" t="b">
        <v>1</v>
      </c>
      <c r="CZ11" s="5">
        <v>0.05</v>
      </c>
      <c r="DB11" s="754" t="b">
        <v>1</v>
      </c>
      <c r="DL11" s="62" t="s">
        <v>1253</v>
      </c>
      <c r="DM11" s="5">
        <f>IF(DK21-DK22=0,1,DK21-DK22)</f>
        <v>3.3104175585968134</v>
      </c>
      <c r="DO11" s="5">
        <f>IF($CX$5,CW2,NA())</f>
        <v>1</v>
      </c>
      <c r="DP11" s="5">
        <f>CY24</f>
        <v>5.76</v>
      </c>
      <c r="FH11" s="53"/>
    </row>
    <row r="12" spans="1:169" ht="12.75" customHeight="1">
      <c r="A12" s="92"/>
      <c r="B12" s="87"/>
      <c r="C12" s="103" t="s">
        <v>428</v>
      </c>
      <c r="D12" s="380">
        <v>5.76</v>
      </c>
      <c r="E12" s="381">
        <v>4.3600000000000003</v>
      </c>
      <c r="F12" s="382">
        <v>3.54</v>
      </c>
      <c r="G12" s="381"/>
      <c r="H12" s="382"/>
      <c r="I12" s="381"/>
      <c r="K12" s="82">
        <f>$H$6/10000000</f>
        <v>9.5000000000000005E-6</v>
      </c>
      <c r="L12" s="82">
        <f t="shared" ref="L12:AG12" si="2">$K$12</f>
        <v>9.5000000000000005E-6</v>
      </c>
      <c r="M12" s="82">
        <f t="shared" si="2"/>
        <v>9.5000000000000005E-6</v>
      </c>
      <c r="N12" s="82">
        <f t="shared" si="2"/>
        <v>9.5000000000000005E-6</v>
      </c>
      <c r="O12" s="82">
        <f t="shared" si="2"/>
        <v>9.5000000000000005E-6</v>
      </c>
      <c r="P12" s="82">
        <f t="shared" si="2"/>
        <v>9.5000000000000005E-6</v>
      </c>
      <c r="Q12" s="82">
        <f t="shared" si="2"/>
        <v>9.5000000000000005E-6</v>
      </c>
      <c r="R12" s="82">
        <f t="shared" si="2"/>
        <v>9.5000000000000005E-6</v>
      </c>
      <c r="S12" s="82">
        <f t="shared" si="2"/>
        <v>9.5000000000000005E-6</v>
      </c>
      <c r="T12" s="82">
        <f t="shared" si="2"/>
        <v>9.5000000000000005E-6</v>
      </c>
      <c r="U12" s="82">
        <f t="shared" si="2"/>
        <v>9.5000000000000005E-6</v>
      </c>
      <c r="V12" s="82">
        <f t="shared" si="2"/>
        <v>9.5000000000000005E-6</v>
      </c>
      <c r="W12" s="82">
        <f t="shared" si="2"/>
        <v>9.5000000000000005E-6</v>
      </c>
      <c r="X12" s="82">
        <f t="shared" si="2"/>
        <v>9.5000000000000005E-6</v>
      </c>
      <c r="Y12" s="82">
        <f t="shared" si="2"/>
        <v>9.5000000000000005E-6</v>
      </c>
      <c r="Z12" s="82">
        <f t="shared" si="2"/>
        <v>9.5000000000000005E-6</v>
      </c>
      <c r="AA12" s="84">
        <f t="shared" si="2"/>
        <v>9.5000000000000005E-6</v>
      </c>
      <c r="AB12" s="84">
        <f t="shared" si="2"/>
        <v>9.5000000000000005E-6</v>
      </c>
      <c r="AC12" s="84">
        <f t="shared" si="2"/>
        <v>9.5000000000000005E-6</v>
      </c>
      <c r="AD12" s="84">
        <f t="shared" si="2"/>
        <v>9.5000000000000005E-6</v>
      </c>
      <c r="AE12" s="84">
        <f t="shared" si="2"/>
        <v>9.5000000000000005E-6</v>
      </c>
      <c r="AF12" s="84">
        <f t="shared" si="2"/>
        <v>9.5000000000000005E-6</v>
      </c>
      <c r="AG12" s="84">
        <f t="shared" si="2"/>
        <v>9.5000000000000005E-6</v>
      </c>
      <c r="AH12" s="68"/>
      <c r="AO12" s="68"/>
      <c r="AP12" s="68"/>
      <c r="AQ12" s="68"/>
      <c r="AR12" s="68"/>
      <c r="AS12" s="68"/>
      <c r="AT12" s="68"/>
      <c r="AU12" s="68"/>
      <c r="AV12" s="68"/>
      <c r="AW12" s="68"/>
      <c r="AX12" s="87"/>
      <c r="AY12" s="172">
        <v>1</v>
      </c>
      <c r="AZ12" s="173">
        <v>6</v>
      </c>
      <c r="BA12" s="174">
        <v>6</v>
      </c>
      <c r="BB12" s="173"/>
      <c r="BC12" s="173"/>
      <c r="BD12" s="175"/>
      <c r="BE12" s="13"/>
      <c r="BF12" s="68"/>
      <c r="BG12" s="87"/>
      <c r="BH12" s="172"/>
      <c r="BI12" s="173"/>
      <c r="BJ12" s="174"/>
      <c r="BK12" s="173"/>
      <c r="BL12" s="173"/>
      <c r="BM12" s="175"/>
      <c r="BN12" s="13"/>
      <c r="BO12" s="68"/>
      <c r="BP12" s="87"/>
      <c r="BQ12" s="172"/>
      <c r="BR12" s="173"/>
      <c r="BS12" s="174"/>
      <c r="BT12" s="173"/>
      <c r="BU12" s="173"/>
      <c r="BV12" s="175"/>
      <c r="BW12" s="13"/>
      <c r="CU12" s="58" t="s">
        <v>1184</v>
      </c>
      <c r="CV12" s="58" t="s">
        <v>600</v>
      </c>
      <c r="CW12" s="58" t="s">
        <v>1122</v>
      </c>
      <c r="CX12" s="58" t="s">
        <v>1123</v>
      </c>
      <c r="CY12" s="58" t="s">
        <v>1280</v>
      </c>
      <c r="CZ12" s="738" t="s">
        <v>1184</v>
      </c>
      <c r="DA12" s="738" t="s">
        <v>600</v>
      </c>
      <c r="DB12" s="738" t="s">
        <v>1280</v>
      </c>
      <c r="DD12" s="5" t="s">
        <v>1534</v>
      </c>
      <c r="DE12" s="58" t="s">
        <v>1184</v>
      </c>
      <c r="DF12" s="58" t="s">
        <v>600</v>
      </c>
      <c r="DG12" s="58" t="s">
        <v>1280</v>
      </c>
      <c r="DH12" s="738" t="s">
        <v>1184</v>
      </c>
      <c r="DI12" s="738" t="s">
        <v>600</v>
      </c>
      <c r="DJ12" s="738" t="s">
        <v>1280</v>
      </c>
      <c r="DL12" s="62" t="s">
        <v>1254</v>
      </c>
      <c r="DM12" s="5">
        <f>POWER(10,INT(LOG10(DM11)))</f>
        <v>1</v>
      </c>
      <c r="DO12" s="5">
        <f>IF($CX$5,DO15,NA())</f>
        <v>8.6</v>
      </c>
      <c r="DP12" s="5">
        <f>DP11</f>
        <v>5.76</v>
      </c>
      <c r="FH12" s="53"/>
    </row>
    <row r="13" spans="1:169" ht="12.75" customHeight="1">
      <c r="A13" s="92"/>
      <c r="B13" s="87"/>
      <c r="C13" s="102" t="s">
        <v>430</v>
      </c>
      <c r="D13" s="244">
        <v>2.4700000000000002</v>
      </c>
      <c r="E13" s="106">
        <v>2.57</v>
      </c>
      <c r="F13" s="107">
        <v>2.57</v>
      </c>
      <c r="G13" s="106"/>
      <c r="H13" s="107"/>
      <c r="I13" s="106"/>
      <c r="J13" s="95"/>
      <c r="K13" s="83">
        <f t="shared" ref="K13:K46" si="3">$K$12</f>
        <v>9.5000000000000005E-6</v>
      </c>
      <c r="W13" s="84">
        <f t="shared" ref="W13:W46" si="4">$K$12</f>
        <v>9.5000000000000005E-6</v>
      </c>
      <c r="X13" s="84"/>
      <c r="AA13" s="84"/>
      <c r="AB13" s="68"/>
      <c r="AD13" s="84"/>
      <c r="AE13" s="68"/>
      <c r="AF13" s="68"/>
      <c r="AG13" s="84">
        <f t="shared" ref="AG13:AG46" si="5">$K$12</f>
        <v>9.5000000000000005E-6</v>
      </c>
      <c r="AH13" s="68"/>
      <c r="AO13" s="68"/>
      <c r="AP13" s="68"/>
      <c r="AQ13" s="68"/>
      <c r="AR13" s="68"/>
      <c r="AS13" s="68"/>
      <c r="AT13" s="68"/>
      <c r="AU13" s="68"/>
      <c r="AV13" s="68"/>
      <c r="AW13" s="68"/>
      <c r="AX13" s="87"/>
      <c r="AY13" s="172">
        <v>2.5</v>
      </c>
      <c r="AZ13" s="173">
        <v>7</v>
      </c>
      <c r="BA13" s="174">
        <v>5</v>
      </c>
      <c r="BB13" s="173"/>
      <c r="BC13" s="173"/>
      <c r="BD13" s="175"/>
      <c r="BE13" s="13"/>
      <c r="BF13" s="68"/>
      <c r="BG13" s="87"/>
      <c r="BH13" s="172"/>
      <c r="BI13" s="173"/>
      <c r="BJ13" s="174"/>
      <c r="BK13" s="173"/>
      <c r="BL13" s="173"/>
      <c r="BM13" s="175"/>
      <c r="BN13" s="13"/>
      <c r="BO13" s="68"/>
      <c r="BP13" s="87"/>
      <c r="BQ13" s="172"/>
      <c r="BR13" s="173"/>
      <c r="BS13" s="174"/>
      <c r="BT13" s="173"/>
      <c r="BU13" s="173"/>
      <c r="BV13" s="175"/>
      <c r="BW13" s="13"/>
      <c r="CU13" s="5">
        <v>1</v>
      </c>
      <c r="CV13" s="5">
        <f t="shared" ref="CV13:CV18" si="6">IF(AND(DG1,NOT($CX$5)),CX13,IF(AND(DG1,OR($CW$3=CW13,$CW$2=CW13)),CX13,NA()))</f>
        <v>5.76</v>
      </c>
      <c r="CW13" s="62">
        <v>1</v>
      </c>
      <c r="CX13" s="5">
        <f>IF(DG1,D12,NA())</f>
        <v>5.76</v>
      </c>
      <c r="CY13" s="5">
        <f>IF(AND($CY$11,DG1),CU49,NA())</f>
        <v>0.54520877929840694</v>
      </c>
      <c r="CZ13" s="385">
        <f t="shared" ref="CZ13:CZ18" si="7">CW13+IF($CY$11,$CZ$11,0)</f>
        <v>1.05</v>
      </c>
      <c r="DA13" s="385">
        <f t="shared" ref="DA13:DA18" si="8">IF($DB$11,CX13,NA())</f>
        <v>5.76</v>
      </c>
      <c r="DB13" s="385">
        <f>IF(AND($DB$11,DG1),CU49,NA())</f>
        <v>0.54520877929840694</v>
      </c>
      <c r="DC13" s="5">
        <v>1</v>
      </c>
      <c r="DD13" s="5" t="b">
        <f t="shared" ref="DD13:DD18" si="9">AND($CX$5,NOT($CW$3=DC13),NOT($CW$2=DC13))</f>
        <v>0</v>
      </c>
      <c r="DE13" s="5" t="e">
        <f t="shared" ref="DE13:DE18" si="10">IF(DD13,CW13,NA())</f>
        <v>#N/A</v>
      </c>
      <c r="DF13" s="5" t="e">
        <f t="shared" ref="DF13:DF18" si="11">IF(DD13,CX13,NA())</f>
        <v>#N/A</v>
      </c>
      <c r="DG13" s="5" t="e">
        <f t="shared" ref="DG13:DG18" si="12">IF(DD13,CY13,NA())</f>
        <v>#N/A</v>
      </c>
      <c r="DH13" s="385" t="e">
        <f t="shared" ref="DH13:DH18" si="13">IF(AND($DB$11,DD13),CW13+IF($CY$11,$CZ$11,0),NA())</f>
        <v>#N/A</v>
      </c>
      <c r="DI13" s="385" t="e">
        <f t="shared" ref="DI13:DI18" si="14">IF(AND($DB$11,DD13),CX13,NA())</f>
        <v>#N/A</v>
      </c>
      <c r="DJ13" s="385" t="e">
        <f t="shared" ref="DJ13:DJ18" si="15">IF(AND($DB$11,DD13),DB13,NA())</f>
        <v>#N/A</v>
      </c>
      <c r="DL13" s="62" t="s">
        <v>1256</v>
      </c>
      <c r="DM13" s="5">
        <f>ROUNDUP(DM11/DM12,0)</f>
        <v>4</v>
      </c>
      <c r="DO13" s="5">
        <f>IF($CX$5,CW3,NA())</f>
        <v>2</v>
      </c>
      <c r="DP13" s="5">
        <f>CX24</f>
        <v>4.3600000000000003</v>
      </c>
    </row>
    <row r="14" spans="1:169" ht="12.75" customHeight="1">
      <c r="A14" s="92"/>
      <c r="B14" s="85"/>
      <c r="C14" s="104"/>
      <c r="D14" s="184"/>
      <c r="E14" s="184"/>
      <c r="F14" s="184"/>
      <c r="G14" s="184"/>
      <c r="H14" s="184"/>
      <c r="I14" s="758"/>
      <c r="K14" s="83">
        <f t="shared" si="3"/>
        <v>9.5000000000000005E-6</v>
      </c>
      <c r="W14" s="84">
        <f t="shared" si="4"/>
        <v>9.5000000000000005E-6</v>
      </c>
      <c r="AA14" s="84"/>
      <c r="AB14" s="68"/>
      <c r="AD14" s="84"/>
      <c r="AE14" s="68"/>
      <c r="AF14" s="68"/>
      <c r="AG14" s="84">
        <f t="shared" si="5"/>
        <v>9.5000000000000005E-6</v>
      </c>
      <c r="AH14" s="68"/>
      <c r="AO14" s="68"/>
      <c r="AP14" s="68"/>
      <c r="AQ14" s="68"/>
      <c r="AR14" s="68"/>
      <c r="AS14" s="68"/>
      <c r="AT14" s="68"/>
      <c r="AU14" s="68"/>
      <c r="AV14" s="68"/>
      <c r="AW14" s="68"/>
      <c r="AX14" s="87"/>
      <c r="AY14" s="172">
        <v>4.5</v>
      </c>
      <c r="AZ14" s="173">
        <v>3</v>
      </c>
      <c r="BA14" s="174">
        <v>6</v>
      </c>
      <c r="BB14" s="173"/>
      <c r="BC14" s="173"/>
      <c r="BD14" s="175"/>
      <c r="BE14" s="13"/>
      <c r="BF14" s="68"/>
      <c r="BG14" s="87"/>
      <c r="BH14" s="172"/>
      <c r="BI14" s="173"/>
      <c r="BJ14" s="174"/>
      <c r="BK14" s="173"/>
      <c r="BL14" s="173"/>
      <c r="BM14" s="175"/>
      <c r="BN14" s="13"/>
      <c r="BO14" s="68"/>
      <c r="BP14" s="87"/>
      <c r="BQ14" s="172"/>
      <c r="BR14" s="173"/>
      <c r="BS14" s="174"/>
      <c r="BT14" s="173"/>
      <c r="BU14" s="173"/>
      <c r="BV14" s="175"/>
      <c r="BW14" s="13"/>
      <c r="CU14" s="5">
        <v>2</v>
      </c>
      <c r="CV14" s="5">
        <f t="shared" si="6"/>
        <v>4.3600000000000003</v>
      </c>
      <c r="CW14" s="62">
        <v>2</v>
      </c>
      <c r="CX14" s="5">
        <f>IF(DG2,E12,NA())</f>
        <v>4.3600000000000003</v>
      </c>
      <c r="CY14" s="5">
        <f>IF(AND($CY$11,DG2),CV49,NA())</f>
        <v>0.54520877929840694</v>
      </c>
      <c r="CZ14" s="385">
        <f t="shared" si="7"/>
        <v>2.0499999999999998</v>
      </c>
      <c r="DA14" s="385">
        <f t="shared" si="8"/>
        <v>4.3600000000000003</v>
      </c>
      <c r="DB14" s="385">
        <f>IF(AND($DB$11,DG2),CV49,NA())</f>
        <v>0.54520877929840694</v>
      </c>
      <c r="DC14" s="5">
        <v>2</v>
      </c>
      <c r="DD14" s="5" t="b">
        <f t="shared" si="9"/>
        <v>0</v>
      </c>
      <c r="DE14" s="5" t="e">
        <f t="shared" si="10"/>
        <v>#N/A</v>
      </c>
      <c r="DF14" s="5" t="e">
        <f t="shared" si="11"/>
        <v>#N/A</v>
      </c>
      <c r="DG14" s="5" t="e">
        <f t="shared" si="12"/>
        <v>#N/A</v>
      </c>
      <c r="DH14" s="385" t="e">
        <f t="shared" si="13"/>
        <v>#N/A</v>
      </c>
      <c r="DI14" s="385" t="e">
        <f t="shared" si="14"/>
        <v>#N/A</v>
      </c>
      <c r="DJ14" s="385" t="e">
        <f t="shared" si="15"/>
        <v>#N/A</v>
      </c>
      <c r="DL14" s="62" t="s">
        <v>1257</v>
      </c>
      <c r="DM14" s="5">
        <f>CHOOSE(DM13,10,5,5,2,2,2,2,1,1,1)</f>
        <v>2</v>
      </c>
      <c r="DO14" s="5">
        <f>IF($CX$5,DO15,NA())</f>
        <v>8.6</v>
      </c>
      <c r="DP14" s="5">
        <f>DP13</f>
        <v>4.3600000000000003</v>
      </c>
    </row>
    <row r="15" spans="1:169" ht="12.75" customHeight="1">
      <c r="A15" s="92"/>
      <c r="B15" s="159" t="s">
        <v>495</v>
      </c>
      <c r="C15" s="145"/>
      <c r="D15" s="146"/>
      <c r="E15" s="146"/>
      <c r="F15" s="146"/>
      <c r="G15" s="146"/>
      <c r="H15" s="146"/>
      <c r="I15" s="755"/>
      <c r="K15" s="83">
        <f t="shared" si="3"/>
        <v>9.5000000000000005E-6</v>
      </c>
      <c r="W15" s="84">
        <f t="shared" si="4"/>
        <v>9.5000000000000005E-6</v>
      </c>
      <c r="AA15" s="84"/>
      <c r="AB15" s="68"/>
      <c r="AD15" s="84"/>
      <c r="AE15" s="68"/>
      <c r="AF15" s="68"/>
      <c r="AG15" s="84">
        <f t="shared" si="5"/>
        <v>9.5000000000000005E-6</v>
      </c>
      <c r="AH15" s="68"/>
      <c r="AO15" s="68"/>
      <c r="AP15" s="68"/>
      <c r="AQ15" s="68"/>
      <c r="AR15" s="68"/>
      <c r="AS15" s="68"/>
      <c r="AT15" s="68"/>
      <c r="AU15" s="68"/>
      <c r="AV15" s="68"/>
      <c r="AW15" s="68"/>
      <c r="AX15" s="87"/>
      <c r="AY15" s="172">
        <v>1</v>
      </c>
      <c r="AZ15" s="173">
        <v>7</v>
      </c>
      <c r="BA15" s="174">
        <v>3.5</v>
      </c>
      <c r="BB15" s="173"/>
      <c r="BC15" s="173"/>
      <c r="BD15" s="175"/>
      <c r="BE15" s="13"/>
      <c r="BF15" s="68"/>
      <c r="BG15" s="87"/>
      <c r="BH15" s="172"/>
      <c r="BI15" s="173"/>
      <c r="BJ15" s="174"/>
      <c r="BK15" s="173"/>
      <c r="BL15" s="173"/>
      <c r="BM15" s="175"/>
      <c r="BN15" s="13"/>
      <c r="BO15" s="68"/>
      <c r="BP15" s="87"/>
      <c r="BQ15" s="172"/>
      <c r="BR15" s="173"/>
      <c r="BS15" s="174"/>
      <c r="BT15" s="173"/>
      <c r="BU15" s="173"/>
      <c r="BV15" s="175"/>
      <c r="BW15" s="13"/>
      <c r="CU15" s="5">
        <v>3</v>
      </c>
      <c r="CV15" s="5" t="e">
        <f t="shared" si="6"/>
        <v>#N/A</v>
      </c>
      <c r="CW15" s="5">
        <v>3</v>
      </c>
      <c r="CX15" s="5">
        <f>IF(DG3,F12,NA())</f>
        <v>3.54</v>
      </c>
      <c r="CY15" s="5">
        <f>IF(AND($CY$11,DG3),CW49,NA())</f>
        <v>0.54520877929840694</v>
      </c>
      <c r="CZ15" s="385">
        <f t="shared" si="7"/>
        <v>3.05</v>
      </c>
      <c r="DA15" s="385">
        <f t="shared" si="8"/>
        <v>3.54</v>
      </c>
      <c r="DB15" s="385">
        <f>IF(AND($DB$11,DG3),CW49,NA())</f>
        <v>0.54520877929840694</v>
      </c>
      <c r="DC15" s="5">
        <v>3</v>
      </c>
      <c r="DD15" s="5" t="b">
        <f t="shared" si="9"/>
        <v>1</v>
      </c>
      <c r="DE15" s="5">
        <f t="shared" si="10"/>
        <v>3</v>
      </c>
      <c r="DF15" s="5">
        <f t="shared" si="11"/>
        <v>3.54</v>
      </c>
      <c r="DG15" s="5">
        <f t="shared" si="12"/>
        <v>0.54520877929840694</v>
      </c>
      <c r="DH15" s="385">
        <f t="shared" si="13"/>
        <v>3.05</v>
      </c>
      <c r="DI15" s="385">
        <f t="shared" si="14"/>
        <v>3.54</v>
      </c>
      <c r="DJ15" s="385">
        <f t="shared" si="15"/>
        <v>0.54520877929840694</v>
      </c>
      <c r="DL15" s="62" t="s">
        <v>1258</v>
      </c>
      <c r="DM15" s="5">
        <f>DM12/DM14</f>
        <v>0.5</v>
      </c>
      <c r="DN15" s="5">
        <f>DM12/DM14</f>
        <v>0.5</v>
      </c>
      <c r="DO15" s="163">
        <v>8.6</v>
      </c>
    </row>
    <row r="16" spans="1:169" ht="12.75" customHeight="1">
      <c r="A16" s="92"/>
      <c r="B16" s="200"/>
      <c r="C16" s="736" t="s">
        <v>965</v>
      </c>
      <c r="D16" s="182">
        <f>IF(CU49&lt;&gt;"",CU49,"")</f>
        <v>0.54520877929840694</v>
      </c>
      <c r="E16" s="189">
        <f t="shared" ref="E16:I19" si="16">IF(CV49&lt;&gt;"",CV49,"")</f>
        <v>0.54520877929840694</v>
      </c>
      <c r="F16" s="182">
        <f t="shared" si="16"/>
        <v>0.54520877929840694</v>
      </c>
      <c r="G16" s="189" t="str">
        <f t="shared" si="16"/>
        <v/>
      </c>
      <c r="H16" s="182" t="str">
        <f t="shared" si="16"/>
        <v/>
      </c>
      <c r="I16" s="189" t="str">
        <f t="shared" si="16"/>
        <v/>
      </c>
      <c r="J16" s="144"/>
      <c r="K16" s="199">
        <f t="shared" si="3"/>
        <v>9.5000000000000005E-6</v>
      </c>
      <c r="L16" s="95"/>
      <c r="W16" s="84">
        <f t="shared" si="4"/>
        <v>9.5000000000000005E-6</v>
      </c>
      <c r="AA16" s="84"/>
      <c r="AB16" s="68"/>
      <c r="AD16" s="84"/>
      <c r="AE16" s="68"/>
      <c r="AF16" s="68"/>
      <c r="AG16" s="84">
        <f t="shared" si="5"/>
        <v>9.5000000000000005E-6</v>
      </c>
      <c r="AH16" s="68"/>
      <c r="AO16" s="68"/>
      <c r="AP16" s="68"/>
      <c r="AQ16" s="68"/>
      <c r="AR16" s="68"/>
      <c r="AS16" s="68"/>
      <c r="AT16" s="68"/>
      <c r="AU16" s="68"/>
      <c r="AV16" s="68"/>
      <c r="AW16" s="68"/>
      <c r="AX16" s="87"/>
      <c r="AY16" s="172">
        <v>3.5</v>
      </c>
      <c r="AZ16" s="173">
        <v>3.5</v>
      </c>
      <c r="BA16" s="174">
        <v>4</v>
      </c>
      <c r="BB16" s="173"/>
      <c r="BC16" s="173"/>
      <c r="BD16" s="175"/>
      <c r="BE16" s="13"/>
      <c r="BF16" s="68"/>
      <c r="BG16" s="87"/>
      <c r="BH16" s="172"/>
      <c r="BI16" s="173"/>
      <c r="BJ16" s="174"/>
      <c r="BK16" s="173"/>
      <c r="BL16" s="173"/>
      <c r="BM16" s="175"/>
      <c r="BN16" s="13"/>
      <c r="BO16" s="68"/>
      <c r="BP16" s="87"/>
      <c r="BQ16" s="172"/>
      <c r="BR16" s="173"/>
      <c r="BS16" s="174"/>
      <c r="BT16" s="173"/>
      <c r="BU16" s="173"/>
      <c r="BV16" s="175"/>
      <c r="BW16" s="13"/>
      <c r="CU16" s="5">
        <v>4</v>
      </c>
      <c r="CV16" s="5" t="e">
        <f t="shared" si="6"/>
        <v>#N/A</v>
      </c>
      <c r="CW16" s="5">
        <v>4</v>
      </c>
      <c r="CX16" s="5" t="e">
        <f>IF(DG4,G12,NA())</f>
        <v>#N/A</v>
      </c>
      <c r="CY16" s="5" t="e">
        <f>IF(AND($CY$11,DG4),CX49,NA())</f>
        <v>#N/A</v>
      </c>
      <c r="CZ16" s="385">
        <f t="shared" si="7"/>
        <v>4.05</v>
      </c>
      <c r="DA16" s="385" t="e">
        <f t="shared" si="8"/>
        <v>#N/A</v>
      </c>
      <c r="DB16" s="385" t="e">
        <f>IF(AND($DB$11,DG4),CX49,NA())</f>
        <v>#N/A</v>
      </c>
      <c r="DC16" s="5">
        <v>4</v>
      </c>
      <c r="DD16" s="5" t="b">
        <f t="shared" si="9"/>
        <v>1</v>
      </c>
      <c r="DE16" s="5">
        <f t="shared" si="10"/>
        <v>4</v>
      </c>
      <c r="DF16" s="5" t="e">
        <f t="shared" si="11"/>
        <v>#N/A</v>
      </c>
      <c r="DG16" s="5" t="e">
        <f t="shared" si="12"/>
        <v>#N/A</v>
      </c>
      <c r="DH16" s="385">
        <f t="shared" si="13"/>
        <v>4.05</v>
      </c>
      <c r="DI16" s="385" t="e">
        <f t="shared" si="14"/>
        <v>#N/A</v>
      </c>
      <c r="DJ16" s="385" t="e">
        <f t="shared" si="15"/>
        <v>#N/A</v>
      </c>
      <c r="DL16" s="62" t="s">
        <v>1259</v>
      </c>
      <c r="DM16" s="5" t="s">
        <v>1261</v>
      </c>
      <c r="DN16" s="58" t="s">
        <v>1262</v>
      </c>
      <c r="DO16" s="58" t="s">
        <v>1184</v>
      </c>
      <c r="DP16" s="58" t="s">
        <v>1263</v>
      </c>
      <c r="DQ16" s="58" t="s">
        <v>1264</v>
      </c>
    </row>
    <row r="17" spans="1:256" ht="11.25" customHeight="1">
      <c r="A17" s="92"/>
      <c r="B17" s="200"/>
      <c r="C17" s="736" t="s">
        <v>1549</v>
      </c>
      <c r="D17" s="190">
        <f>IF(CU50&lt;&gt;"",CU50,"")</f>
        <v>6.3052087792984066</v>
      </c>
      <c r="E17" s="191">
        <f t="shared" si="16"/>
        <v>4.9052087792984072</v>
      </c>
      <c r="F17" s="19">
        <f t="shared" si="16"/>
        <v>4.0852087792984069</v>
      </c>
      <c r="G17" s="191" t="str">
        <f t="shared" si="16"/>
        <v/>
      </c>
      <c r="H17" s="19" t="str">
        <f t="shared" si="16"/>
        <v/>
      </c>
      <c r="I17" s="191" t="str">
        <f t="shared" si="16"/>
        <v/>
      </c>
      <c r="K17" s="83">
        <f t="shared" si="3"/>
        <v>9.5000000000000005E-6</v>
      </c>
      <c r="W17" s="84">
        <f t="shared" si="4"/>
        <v>9.5000000000000005E-6</v>
      </c>
      <c r="AA17" s="84"/>
      <c r="AB17" s="68"/>
      <c r="AD17" s="84"/>
      <c r="AE17" s="68"/>
      <c r="AF17" s="68"/>
      <c r="AG17" s="84">
        <f t="shared" si="5"/>
        <v>9.5000000000000005E-6</v>
      </c>
      <c r="AH17" s="68"/>
      <c r="AO17" s="68"/>
      <c r="AP17" s="68"/>
      <c r="AQ17" s="68"/>
      <c r="AR17" s="68"/>
      <c r="AS17" s="68"/>
      <c r="AT17" s="68"/>
      <c r="AU17" s="68"/>
      <c r="AV17" s="68"/>
      <c r="AW17" s="68"/>
      <c r="AX17" s="87"/>
      <c r="AY17" s="172">
        <v>1.5</v>
      </c>
      <c r="AZ17" s="173">
        <v>5</v>
      </c>
      <c r="BA17" s="174">
        <v>3</v>
      </c>
      <c r="BB17" s="173"/>
      <c r="BC17" s="173"/>
      <c r="BD17" s="175"/>
      <c r="BE17" s="13"/>
      <c r="BG17" s="87"/>
      <c r="BH17" s="172"/>
      <c r="BI17" s="173"/>
      <c r="BJ17" s="174"/>
      <c r="BK17" s="173"/>
      <c r="BL17" s="173"/>
      <c r="BM17" s="175"/>
      <c r="BN17" s="13"/>
      <c r="BP17" s="87"/>
      <c r="BQ17" s="172"/>
      <c r="BR17" s="173"/>
      <c r="BS17" s="174"/>
      <c r="BT17" s="173"/>
      <c r="BU17" s="173"/>
      <c r="BV17" s="175"/>
      <c r="BW17" s="13"/>
      <c r="CU17" s="5">
        <v>5</v>
      </c>
      <c r="CV17" s="5" t="e">
        <f t="shared" si="6"/>
        <v>#N/A</v>
      </c>
      <c r="CW17" s="5">
        <v>5</v>
      </c>
      <c r="CX17" s="5" t="e">
        <f>IF(DG5,H12,NA())</f>
        <v>#N/A</v>
      </c>
      <c r="CY17" s="5" t="e">
        <f>IF(AND($CY$11,DG5),CY49,NA())</f>
        <v>#N/A</v>
      </c>
      <c r="CZ17" s="385">
        <f t="shared" si="7"/>
        <v>5.05</v>
      </c>
      <c r="DA17" s="385" t="e">
        <f t="shared" si="8"/>
        <v>#N/A</v>
      </c>
      <c r="DB17" s="385" t="e">
        <f>IF(AND($DB$11,DG5),CY49,NA())</f>
        <v>#N/A</v>
      </c>
      <c r="DC17" s="5">
        <v>5</v>
      </c>
      <c r="DD17" s="5" t="b">
        <f t="shared" si="9"/>
        <v>1</v>
      </c>
      <c r="DE17" s="5">
        <f t="shared" si="10"/>
        <v>5</v>
      </c>
      <c r="DF17" s="5" t="e">
        <f t="shared" si="11"/>
        <v>#N/A</v>
      </c>
      <c r="DG17" s="5" t="e">
        <f t="shared" si="12"/>
        <v>#N/A</v>
      </c>
      <c r="DH17" s="385">
        <f t="shared" si="13"/>
        <v>5.05</v>
      </c>
      <c r="DI17" s="385" t="e">
        <f t="shared" si="14"/>
        <v>#N/A</v>
      </c>
      <c r="DJ17" s="385" t="e">
        <f t="shared" si="15"/>
        <v>#N/A</v>
      </c>
      <c r="DL17" s="62">
        <v>10</v>
      </c>
      <c r="DM17" s="5">
        <f t="shared" ref="DM17:DM37" si="17">$DM$15*DL17</f>
        <v>5</v>
      </c>
      <c r="DN17" s="5">
        <f>IF(NOT($CX$5),NA(),$CX$24+$DM$15*DL17)</f>
        <v>9.36</v>
      </c>
      <c r="DO17" s="5">
        <f t="shared" ref="DO17:DO37" si="18">IF($CX$5,$DO$15,NA())</f>
        <v>8.6</v>
      </c>
      <c r="DP17" s="5" t="e">
        <f t="shared" ref="DP17:DP37" si="19">IF(AND(DN17&lt;=$DK$21,DN17&gt;=$DK$22),DN17,NA())</f>
        <v>#N/A</v>
      </c>
      <c r="DQ17" s="5">
        <f t="shared" ref="DQ17:DQ37" si="20">DN17</f>
        <v>9.36</v>
      </c>
      <c r="FM17" s="54"/>
      <c r="FN17" s="54"/>
      <c r="FO17" s="54"/>
      <c r="FP17" s="54"/>
      <c r="FQ17" s="54"/>
      <c r="FR17" s="54"/>
      <c r="FS17" s="54"/>
      <c r="FT17" s="54"/>
      <c r="FU17" s="54"/>
      <c r="FV17" s="54"/>
      <c r="FW17" s="54"/>
      <c r="FX17" s="54"/>
      <c r="FY17" s="54"/>
      <c r="FZ17" s="54"/>
      <c r="GA17" s="54"/>
      <c r="GB17" s="54"/>
      <c r="GC17" s="54"/>
      <c r="GD17" s="54"/>
      <c r="GE17" s="54"/>
      <c r="GF17" s="54"/>
      <c r="GG17" s="54"/>
      <c r="GH17" s="54"/>
      <c r="GI17" s="54"/>
      <c r="GJ17" s="54"/>
      <c r="GK17" s="54"/>
      <c r="GL17" s="54"/>
      <c r="GM17" s="54"/>
      <c r="GN17" s="54"/>
      <c r="GO17" s="54"/>
      <c r="GP17" s="54"/>
      <c r="GQ17" s="54"/>
      <c r="GR17" s="54"/>
      <c r="GS17" s="54"/>
      <c r="GT17" s="54"/>
      <c r="GU17" s="54"/>
      <c r="GV17" s="54"/>
      <c r="GW17" s="54"/>
      <c r="GX17" s="54"/>
      <c r="GY17" s="54"/>
      <c r="GZ17" s="54"/>
      <c r="HA17" s="54"/>
      <c r="HB17" s="54"/>
      <c r="HC17" s="54"/>
      <c r="HD17" s="54"/>
      <c r="HE17" s="54"/>
      <c r="HF17" s="54"/>
      <c r="HG17" s="54"/>
      <c r="HH17" s="54"/>
      <c r="HI17" s="54"/>
      <c r="HJ17" s="54"/>
      <c r="HK17" s="54"/>
      <c r="HL17" s="54"/>
      <c r="HM17" s="54"/>
      <c r="HN17" s="54"/>
      <c r="HO17" s="54"/>
      <c r="HP17" s="54"/>
      <c r="HQ17" s="54"/>
      <c r="HR17" s="54"/>
      <c r="HS17" s="54"/>
      <c r="HT17" s="54"/>
      <c r="HU17" s="54"/>
      <c r="HV17" s="54"/>
      <c r="HW17" s="54"/>
      <c r="HX17" s="54"/>
      <c r="HY17" s="54"/>
      <c r="HZ17" s="54"/>
      <c r="IA17" s="54"/>
      <c r="IB17" s="54"/>
      <c r="IC17" s="54"/>
      <c r="ID17" s="54"/>
      <c r="IE17" s="54"/>
      <c r="IF17" s="54"/>
      <c r="IG17" s="54"/>
      <c r="IH17" s="54"/>
      <c r="II17" s="54"/>
      <c r="IJ17" s="54"/>
      <c r="IK17" s="54"/>
      <c r="IL17" s="54"/>
      <c r="IM17" s="54"/>
      <c r="IN17" s="54"/>
      <c r="IO17" s="54"/>
      <c r="IP17" s="54"/>
      <c r="IQ17" s="54"/>
      <c r="IR17" s="54"/>
      <c r="IS17" s="54"/>
      <c r="IT17" s="54"/>
      <c r="IU17" s="54"/>
      <c r="IV17" s="54"/>
    </row>
    <row r="18" spans="1:256" ht="11.25" customHeight="1">
      <c r="A18" s="92"/>
      <c r="B18" s="200"/>
      <c r="C18" s="736" t="s">
        <v>1550</v>
      </c>
      <c r="D18" s="192">
        <f>IF(CU51&lt;&gt;"",CU51,"")</f>
        <v>5.214791220701593</v>
      </c>
      <c r="E18" s="193">
        <f t="shared" si="16"/>
        <v>3.8147912207015935</v>
      </c>
      <c r="F18" s="194">
        <f t="shared" si="16"/>
        <v>2.9947912207015932</v>
      </c>
      <c r="G18" s="193" t="str">
        <f t="shared" si="16"/>
        <v/>
      </c>
      <c r="H18" s="194" t="str">
        <f t="shared" si="16"/>
        <v/>
      </c>
      <c r="I18" s="193" t="str">
        <f t="shared" si="16"/>
        <v/>
      </c>
      <c r="K18" s="82">
        <f t="shared" si="3"/>
        <v>9.5000000000000005E-6</v>
      </c>
      <c r="W18" s="84">
        <f t="shared" si="4"/>
        <v>9.5000000000000005E-6</v>
      </c>
      <c r="AA18" s="84"/>
      <c r="AB18" s="68"/>
      <c r="AD18" s="84"/>
      <c r="AE18" s="68"/>
      <c r="AF18" s="68"/>
      <c r="AG18" s="84">
        <f t="shared" si="5"/>
        <v>9.5000000000000005E-6</v>
      </c>
      <c r="AX18" s="87"/>
      <c r="AY18" s="172">
        <v>5.5</v>
      </c>
      <c r="AZ18" s="173">
        <v>4.5</v>
      </c>
      <c r="BA18" s="174">
        <v>5.5</v>
      </c>
      <c r="BB18" s="173"/>
      <c r="BC18" s="173"/>
      <c r="BD18" s="175"/>
      <c r="BE18" s="13"/>
      <c r="BG18" s="87"/>
      <c r="BH18" s="172"/>
      <c r="BI18" s="173"/>
      <c r="BJ18" s="174"/>
      <c r="BK18" s="173"/>
      <c r="BL18" s="173"/>
      <c r="BM18" s="175"/>
      <c r="BN18" s="13"/>
      <c r="BP18" s="87"/>
      <c r="BQ18" s="172"/>
      <c r="BR18" s="173"/>
      <c r="BS18" s="174"/>
      <c r="BT18" s="173"/>
      <c r="BU18" s="173"/>
      <c r="BV18" s="175"/>
      <c r="BW18" s="13"/>
      <c r="CU18" s="5">
        <v>6</v>
      </c>
      <c r="CV18" s="5" t="e">
        <f t="shared" si="6"/>
        <v>#N/A</v>
      </c>
      <c r="CW18" s="5">
        <v>6</v>
      </c>
      <c r="CX18" s="5" t="e">
        <f>IF(DG6,I12,NA())</f>
        <v>#N/A</v>
      </c>
      <c r="CY18" s="5" t="e">
        <f>IF(AND($CY$11,DG6),CZ49,NA())</f>
        <v>#N/A</v>
      </c>
      <c r="CZ18" s="385">
        <f t="shared" si="7"/>
        <v>6.05</v>
      </c>
      <c r="DA18" s="385" t="e">
        <f t="shared" si="8"/>
        <v>#N/A</v>
      </c>
      <c r="DB18" s="385" t="e">
        <f>IF(AND($DB$11,DG6),CZ49,NA())</f>
        <v>#N/A</v>
      </c>
      <c r="DC18" s="5">
        <v>6</v>
      </c>
      <c r="DD18" s="5" t="b">
        <f t="shared" si="9"/>
        <v>1</v>
      </c>
      <c r="DE18" s="5">
        <f t="shared" si="10"/>
        <v>6</v>
      </c>
      <c r="DF18" s="5" t="e">
        <f t="shared" si="11"/>
        <v>#N/A</v>
      </c>
      <c r="DG18" s="5" t="e">
        <f t="shared" si="12"/>
        <v>#N/A</v>
      </c>
      <c r="DH18" s="385">
        <f t="shared" si="13"/>
        <v>6.05</v>
      </c>
      <c r="DI18" s="385" t="e">
        <f t="shared" si="14"/>
        <v>#N/A</v>
      </c>
      <c r="DJ18" s="385" t="e">
        <f t="shared" si="15"/>
        <v>#N/A</v>
      </c>
      <c r="DL18" s="62">
        <v>9</v>
      </c>
      <c r="DM18" s="5">
        <f t="shared" si="17"/>
        <v>4.5</v>
      </c>
      <c r="DN18" s="5">
        <f t="shared" ref="DN18:DN37" si="21">IF(NOT($CX$5),NA(),$CX$24+$DM$15*DL18)</f>
        <v>8.86</v>
      </c>
      <c r="DO18" s="5">
        <f t="shared" si="18"/>
        <v>8.6</v>
      </c>
      <c r="DP18" s="5" t="e">
        <f t="shared" si="19"/>
        <v>#N/A</v>
      </c>
      <c r="DQ18" s="5">
        <f t="shared" si="20"/>
        <v>8.86</v>
      </c>
      <c r="FH18" s="53"/>
      <c r="FJ18" s="49"/>
      <c r="FK18" s="49"/>
      <c r="FL18" s="56"/>
      <c r="FM18" s="54"/>
      <c r="FN18" s="54"/>
      <c r="FO18" s="59"/>
      <c r="FP18" s="59"/>
      <c r="FQ18" s="59"/>
      <c r="FR18" s="59"/>
      <c r="FS18" s="59"/>
      <c r="FT18" s="59"/>
      <c r="FU18" s="59"/>
      <c r="FV18" s="59"/>
      <c r="FW18" s="59"/>
      <c r="FX18" s="59"/>
      <c r="FY18" s="59"/>
      <c r="FZ18" s="59"/>
      <c r="GA18" s="59"/>
      <c r="GB18" s="59"/>
      <c r="GC18" s="59"/>
      <c r="GD18" s="59"/>
      <c r="GE18" s="59"/>
      <c r="GF18" s="59"/>
      <c r="GG18" s="59"/>
      <c r="GH18" s="59"/>
      <c r="GI18" s="59"/>
      <c r="GJ18" s="59"/>
      <c r="GK18" s="59"/>
      <c r="GL18" s="59"/>
      <c r="GM18" s="59"/>
      <c r="GN18" s="59"/>
      <c r="GO18" s="59"/>
      <c r="GP18" s="59"/>
      <c r="GQ18" s="59"/>
      <c r="GR18" s="59"/>
      <c r="GS18" s="59"/>
      <c r="GT18" s="59"/>
      <c r="GU18" s="59"/>
      <c r="GV18" s="59"/>
      <c r="GW18" s="59"/>
      <c r="GX18" s="59"/>
      <c r="GY18" s="59"/>
      <c r="GZ18" s="59"/>
      <c r="HA18" s="59"/>
      <c r="HB18" s="59"/>
      <c r="HC18" s="59"/>
      <c r="HD18" s="59"/>
      <c r="HE18" s="59"/>
      <c r="HF18" s="59"/>
      <c r="HG18" s="59"/>
      <c r="HH18" s="59"/>
      <c r="HI18" s="59"/>
      <c r="HJ18" s="59"/>
      <c r="HK18" s="59"/>
      <c r="HL18" s="59"/>
      <c r="HM18" s="59"/>
      <c r="HN18" s="59"/>
      <c r="HO18" s="59"/>
      <c r="HP18" s="59"/>
      <c r="HQ18" s="59"/>
      <c r="HR18" s="59"/>
      <c r="HS18" s="59"/>
      <c r="HT18" s="59"/>
      <c r="HU18" s="59"/>
      <c r="HV18" s="59"/>
      <c r="HW18" s="59"/>
      <c r="HX18" s="59"/>
      <c r="HY18" s="59"/>
      <c r="HZ18" s="59"/>
      <c r="IA18" s="59"/>
      <c r="IB18" s="59"/>
      <c r="IC18" s="59"/>
      <c r="ID18" s="59"/>
      <c r="IE18" s="59"/>
      <c r="IF18" s="59"/>
      <c r="IG18" s="59"/>
      <c r="IH18" s="59"/>
      <c r="II18" s="59"/>
      <c r="IJ18" s="59"/>
      <c r="IK18" s="59"/>
      <c r="IL18" s="59"/>
      <c r="IM18" s="59"/>
      <c r="IN18" s="59"/>
      <c r="IO18" s="59"/>
      <c r="IP18" s="59"/>
      <c r="IQ18" s="59"/>
      <c r="IR18" s="59"/>
      <c r="IS18" s="59"/>
      <c r="IT18" s="59"/>
      <c r="IU18" s="59"/>
      <c r="IV18" s="59"/>
    </row>
    <row r="19" spans="1:256" ht="11.25" customHeight="1">
      <c r="A19" s="92"/>
      <c r="B19" s="200"/>
      <c r="C19" s="737" t="s">
        <v>1547</v>
      </c>
      <c r="D19" s="235">
        <f>IF(CU52&lt;&gt;"",CU52,"")</f>
        <v>249</v>
      </c>
      <c r="E19" s="234">
        <f t="shared" si="16"/>
        <v>249</v>
      </c>
      <c r="F19" s="235">
        <f t="shared" si="16"/>
        <v>249</v>
      </c>
      <c r="G19" s="234" t="str">
        <f t="shared" si="16"/>
        <v/>
      </c>
      <c r="H19" s="235" t="str">
        <f t="shared" si="16"/>
        <v/>
      </c>
      <c r="I19" s="191" t="str">
        <f t="shared" si="16"/>
        <v/>
      </c>
      <c r="K19" s="82">
        <f t="shared" si="3"/>
        <v>9.5000000000000005E-6</v>
      </c>
      <c r="W19" s="84">
        <f t="shared" si="4"/>
        <v>9.5000000000000005E-6</v>
      </c>
      <c r="AA19" s="84"/>
      <c r="AB19" s="68"/>
      <c r="AD19" s="84"/>
      <c r="AE19" s="68"/>
      <c r="AF19" s="68"/>
      <c r="AG19" s="84">
        <f t="shared" si="5"/>
        <v>9.5000000000000005E-6</v>
      </c>
      <c r="AX19" s="87"/>
      <c r="AY19" s="172">
        <v>6</v>
      </c>
      <c r="AZ19" s="173">
        <v>5.5</v>
      </c>
      <c r="BA19" s="174">
        <v>3</v>
      </c>
      <c r="BB19" s="173"/>
      <c r="BC19" s="173"/>
      <c r="BD19" s="175"/>
      <c r="BE19" s="13"/>
      <c r="BG19" s="87"/>
      <c r="BH19" s="172"/>
      <c r="BI19" s="173"/>
      <c r="BJ19" s="174"/>
      <c r="BK19" s="173"/>
      <c r="BL19" s="173"/>
      <c r="BM19" s="175"/>
      <c r="BN19" s="13"/>
      <c r="BP19" s="87"/>
      <c r="BQ19" s="172"/>
      <c r="BR19" s="173"/>
      <c r="BS19" s="174"/>
      <c r="BT19" s="173"/>
      <c r="BU19" s="173"/>
      <c r="BV19" s="175"/>
      <c r="BW19" s="13"/>
      <c r="DL19" s="62">
        <v>8</v>
      </c>
      <c r="DM19" s="5">
        <f t="shared" si="17"/>
        <v>4</v>
      </c>
      <c r="DN19" s="5">
        <f t="shared" si="21"/>
        <v>8.36</v>
      </c>
      <c r="DO19" s="5">
        <f t="shared" si="18"/>
        <v>8.6</v>
      </c>
      <c r="DP19" s="5" t="e">
        <f t="shared" si="19"/>
        <v>#N/A</v>
      </c>
      <c r="DQ19" s="5">
        <f t="shared" si="20"/>
        <v>8.36</v>
      </c>
      <c r="FH19" s="53"/>
      <c r="FI19" s="60"/>
      <c r="FJ19" s="51"/>
      <c r="FM19" s="48"/>
      <c r="FN19" s="48"/>
      <c r="FO19" s="48"/>
      <c r="FP19" s="48"/>
      <c r="FQ19" s="48"/>
      <c r="FR19" s="48"/>
      <c r="FS19" s="48"/>
      <c r="FT19" s="48"/>
      <c r="FU19" s="48"/>
      <c r="FV19" s="48"/>
      <c r="FW19" s="48"/>
      <c r="FX19" s="48"/>
      <c r="FY19" s="48"/>
      <c r="FZ19" s="48"/>
      <c r="GA19" s="48"/>
      <c r="GB19" s="48"/>
      <c r="GC19" s="48"/>
      <c r="GD19" s="48"/>
      <c r="GE19" s="48"/>
      <c r="GF19" s="48"/>
      <c r="GG19" s="48"/>
      <c r="GH19" s="48"/>
      <c r="GI19" s="48"/>
      <c r="GJ19" s="48"/>
      <c r="GK19" s="48"/>
      <c r="GL19" s="48"/>
      <c r="GM19" s="48"/>
      <c r="GN19" s="48"/>
      <c r="GO19" s="48"/>
      <c r="GP19" s="48"/>
      <c r="GQ19" s="48"/>
      <c r="GR19" s="48"/>
      <c r="GS19" s="48"/>
      <c r="GT19" s="48"/>
      <c r="GU19" s="48"/>
      <c r="GV19" s="48"/>
      <c r="GW19" s="48"/>
      <c r="GX19" s="48"/>
      <c r="GY19" s="48"/>
      <c r="GZ19" s="48"/>
      <c r="HA19" s="48"/>
      <c r="HB19" s="48"/>
      <c r="HC19" s="48"/>
      <c r="HD19" s="48"/>
      <c r="HE19" s="48"/>
      <c r="HF19" s="48"/>
      <c r="HG19" s="48"/>
      <c r="HH19" s="48"/>
      <c r="HI19" s="48"/>
      <c r="HJ19" s="48"/>
      <c r="HK19" s="48"/>
      <c r="HL19" s="48"/>
      <c r="HM19" s="48"/>
      <c r="HN19" s="48"/>
      <c r="HO19" s="48"/>
      <c r="HP19" s="48"/>
      <c r="HQ19" s="48"/>
      <c r="HR19" s="48"/>
      <c r="HS19" s="48"/>
      <c r="HT19" s="48"/>
      <c r="HU19" s="48"/>
      <c r="HV19" s="48"/>
      <c r="HW19" s="48"/>
      <c r="HX19" s="48"/>
      <c r="HY19" s="48"/>
      <c r="HZ19" s="48"/>
      <c r="IA19" s="48"/>
      <c r="IB19" s="48"/>
      <c r="IC19" s="48"/>
      <c r="ID19" s="48"/>
      <c r="IE19" s="48"/>
      <c r="IF19" s="48"/>
      <c r="IG19" s="48"/>
      <c r="IH19" s="48"/>
      <c r="II19" s="48"/>
      <c r="IJ19" s="48"/>
      <c r="IK19" s="48"/>
      <c r="IL19" s="48"/>
      <c r="IM19" s="48"/>
      <c r="IN19" s="48"/>
      <c r="IO19" s="48"/>
      <c r="IP19" s="48"/>
      <c r="IQ19" s="48"/>
      <c r="IR19" s="48"/>
      <c r="IS19" s="48"/>
      <c r="IT19" s="48"/>
      <c r="IU19" s="48"/>
      <c r="IV19" s="48"/>
    </row>
    <row r="20" spans="1:256" ht="11.25" customHeight="1">
      <c r="A20" s="92"/>
      <c r="B20" s="148"/>
      <c r="C20" s="149"/>
      <c r="D20" s="147"/>
      <c r="E20" s="147"/>
      <c r="F20" s="147"/>
      <c r="G20" s="147"/>
      <c r="H20" s="147"/>
      <c r="I20" s="756"/>
      <c r="K20" s="82">
        <f t="shared" si="3"/>
        <v>9.5000000000000005E-6</v>
      </c>
      <c r="W20" s="84">
        <f t="shared" si="4"/>
        <v>9.5000000000000005E-6</v>
      </c>
      <c r="AA20" s="84"/>
      <c r="AB20" s="68"/>
      <c r="AD20" s="84"/>
      <c r="AE20" s="68"/>
      <c r="AF20" s="68"/>
      <c r="AG20" s="84">
        <f t="shared" si="5"/>
        <v>9.5000000000000005E-6</v>
      </c>
      <c r="AX20" s="87"/>
      <c r="AY20" s="172">
        <v>1.5</v>
      </c>
      <c r="AZ20" s="173">
        <v>6.5</v>
      </c>
      <c r="BA20" s="174">
        <v>6</v>
      </c>
      <c r="BB20" s="173"/>
      <c r="BC20" s="173"/>
      <c r="BD20" s="175"/>
      <c r="BE20" s="13"/>
      <c r="BG20" s="87"/>
      <c r="BH20" s="172"/>
      <c r="BI20" s="173"/>
      <c r="BJ20" s="174"/>
      <c r="BK20" s="173"/>
      <c r="BL20" s="173"/>
      <c r="BM20" s="175"/>
      <c r="BN20" s="13"/>
      <c r="BP20" s="87"/>
      <c r="BQ20" s="172"/>
      <c r="BR20" s="173"/>
      <c r="BS20" s="174"/>
      <c r="BT20" s="173"/>
      <c r="BU20" s="173"/>
      <c r="BV20" s="175"/>
      <c r="BW20" s="13"/>
      <c r="CS20" s="68"/>
      <c r="CU20" s="5" t="s">
        <v>1124</v>
      </c>
      <c r="CW20" s="62" t="s">
        <v>601</v>
      </c>
      <c r="CX20" s="5" t="str">
        <f>IF(E7="","Dependent variable ",E7)</f>
        <v>Brand Recognition</v>
      </c>
      <c r="DA20" s="5" t="s">
        <v>1532</v>
      </c>
      <c r="DD20" s="65"/>
      <c r="DE20" s="66" t="s">
        <v>1244</v>
      </c>
      <c r="DF20" s="751" t="s">
        <v>1245</v>
      </c>
      <c r="DG20" s="66" t="s">
        <v>1246</v>
      </c>
      <c r="DH20" s="66"/>
      <c r="DI20" s="66"/>
      <c r="DJ20" s="66"/>
      <c r="DK20" s="93" t="s">
        <v>1260</v>
      </c>
      <c r="DL20" s="62">
        <v>7</v>
      </c>
      <c r="DM20" s="5">
        <f t="shared" si="17"/>
        <v>3.5</v>
      </c>
      <c r="DN20" s="5">
        <f t="shared" si="21"/>
        <v>7.86</v>
      </c>
      <c r="DO20" s="5">
        <f t="shared" si="18"/>
        <v>8.6</v>
      </c>
      <c r="DP20" s="5" t="e">
        <f t="shared" si="19"/>
        <v>#N/A</v>
      </c>
      <c r="DQ20" s="5">
        <f t="shared" si="20"/>
        <v>7.86</v>
      </c>
    </row>
    <row r="21" spans="1:256" ht="12.75" customHeight="1">
      <c r="A21" s="92"/>
      <c r="B21" s="139" t="s">
        <v>1002</v>
      </c>
      <c r="C21" s="100"/>
      <c r="D21" s="94"/>
      <c r="E21" s="94"/>
      <c r="F21" s="94"/>
      <c r="G21" s="94"/>
      <c r="H21" s="94"/>
      <c r="I21" s="94"/>
      <c r="K21" s="82">
        <f t="shared" si="3"/>
        <v>9.5000000000000005E-6</v>
      </c>
      <c r="W21" s="84">
        <f t="shared" si="4"/>
        <v>9.5000000000000005E-6</v>
      </c>
      <c r="AA21" s="84"/>
      <c r="AB21" s="68"/>
      <c r="AD21" s="84"/>
      <c r="AG21" s="84">
        <f t="shared" si="5"/>
        <v>9.5000000000000005E-6</v>
      </c>
      <c r="AX21" s="87"/>
      <c r="AY21" s="172">
        <v>1</v>
      </c>
      <c r="AZ21" s="173">
        <v>6</v>
      </c>
      <c r="BA21" s="174">
        <v>3</v>
      </c>
      <c r="BB21" s="173"/>
      <c r="BC21" s="173"/>
      <c r="BD21" s="175"/>
      <c r="BE21" s="13"/>
      <c r="BG21" s="87"/>
      <c r="BH21" s="172"/>
      <c r="BI21" s="173"/>
      <c r="BJ21" s="174"/>
      <c r="BK21" s="173"/>
      <c r="BL21" s="173"/>
      <c r="BM21" s="175"/>
      <c r="BN21" s="13"/>
      <c r="BP21" s="87"/>
      <c r="BQ21" s="172"/>
      <c r="BR21" s="173"/>
      <c r="BS21" s="174"/>
      <c r="BT21" s="173"/>
      <c r="BU21" s="173"/>
      <c r="BV21" s="175"/>
      <c r="BW21" s="13"/>
      <c r="CS21" s="68"/>
      <c r="CU21" s="5" t="s">
        <v>578</v>
      </c>
      <c r="CV21" s="5" t="str">
        <f>IF(DG1,"A1","  ")</f>
        <v>A1</v>
      </c>
      <c r="CX21" s="58" t="s">
        <v>603</v>
      </c>
      <c r="CY21" s="58" t="s">
        <v>604</v>
      </c>
      <c r="DD21" s="67" t="s">
        <v>1242</v>
      </c>
      <c r="DE21" s="68">
        <f>MAX(CU50:CZ50)</f>
        <v>6.3052087792984066</v>
      </c>
      <c r="DF21" s="410">
        <f>MAX(CU50:CZ50)</f>
        <v>6.3052087792984066</v>
      </c>
      <c r="DG21" s="68">
        <v>1</v>
      </c>
      <c r="DH21" s="68">
        <f>DE21</f>
        <v>6.3052087792984066</v>
      </c>
      <c r="DI21" s="410">
        <f>IF($DB$11,MAX(DF21,IF(ISNA(DF29),DF21,DI23)),NA())</f>
        <v>6.5310416500086861</v>
      </c>
      <c r="DJ21" s="68"/>
      <c r="DK21" s="91">
        <f>DE21</f>
        <v>6.3052087792984066</v>
      </c>
      <c r="DL21" s="62">
        <v>6</v>
      </c>
      <c r="DM21" s="5">
        <f t="shared" si="17"/>
        <v>3</v>
      </c>
      <c r="DN21" s="5">
        <f t="shared" si="21"/>
        <v>7.36</v>
      </c>
      <c r="DO21" s="5">
        <f t="shared" si="18"/>
        <v>8.6</v>
      </c>
      <c r="DP21" s="5" t="e">
        <f t="shared" si="19"/>
        <v>#N/A</v>
      </c>
      <c r="DQ21" s="5">
        <f t="shared" si="20"/>
        <v>7.36</v>
      </c>
      <c r="FI21" s="61"/>
      <c r="FJ21" s="47"/>
      <c r="FK21" s="61"/>
      <c r="FL21" s="47"/>
    </row>
    <row r="22" spans="1:256" ht="11.25" customHeight="1">
      <c r="A22" s="92"/>
      <c r="B22" s="100" t="s">
        <v>1270</v>
      </c>
      <c r="C22" s="100"/>
      <c r="D22" s="94"/>
      <c r="E22" s="94" t="s">
        <v>589</v>
      </c>
      <c r="F22" s="94"/>
      <c r="G22" s="94"/>
      <c r="H22" s="94" t="s">
        <v>590</v>
      </c>
      <c r="I22" s="94"/>
      <c r="K22" s="82">
        <f t="shared" si="3"/>
        <v>9.5000000000000005E-6</v>
      </c>
      <c r="W22" s="84">
        <f t="shared" si="4"/>
        <v>9.5000000000000005E-6</v>
      </c>
      <c r="AA22" s="84"/>
      <c r="AB22" s="84"/>
      <c r="AD22" s="84"/>
      <c r="AG22" s="84">
        <f t="shared" si="5"/>
        <v>9.5000000000000005E-6</v>
      </c>
      <c r="AX22" s="87"/>
      <c r="AY22" s="172">
        <v>3.5</v>
      </c>
      <c r="AZ22" s="173">
        <v>6</v>
      </c>
      <c r="BA22" s="174">
        <v>5</v>
      </c>
      <c r="BB22" s="173"/>
      <c r="BC22" s="173"/>
      <c r="BD22" s="175"/>
      <c r="BE22" s="88"/>
      <c r="BG22" s="87"/>
      <c r="BH22" s="172"/>
      <c r="BI22" s="173"/>
      <c r="BJ22" s="174"/>
      <c r="BK22" s="173"/>
      <c r="BL22" s="173"/>
      <c r="BM22" s="175"/>
      <c r="BN22" s="88"/>
      <c r="BP22" s="87"/>
      <c r="BQ22" s="172"/>
      <c r="BR22" s="173"/>
      <c r="BS22" s="174"/>
      <c r="BT22" s="173"/>
      <c r="BU22" s="173"/>
      <c r="BV22" s="175"/>
      <c r="BW22" s="88"/>
      <c r="CS22" s="68"/>
      <c r="CU22" s="5" t="s">
        <v>579</v>
      </c>
      <c r="CV22" s="5" t="str">
        <f>IF(DG2,"A2","  ")</f>
        <v>A2</v>
      </c>
      <c r="CX22" s="5" t="b">
        <f>IF(NOT($CX$5),"",CHOOSE(CW3,DG1,DG2,DG3,DG4,DG5,DG6))</f>
        <v>1</v>
      </c>
      <c r="CY22" s="5" t="b">
        <f>IF(NOT($CX$5),"",CHOOSE(CW2,DG1,DG2,DG3,DG4,DG5,DG6))</f>
        <v>1</v>
      </c>
      <c r="DA22" s="394" t="s">
        <v>598</v>
      </c>
      <c r="DB22" s="384">
        <f>IF(NOT($CX$5),"",SQRT((CX26*CX25^2+CY26*CY25^2)/(CX26+CY26)))</f>
        <v>2.520495982936692</v>
      </c>
      <c r="DC22" s="747" t="s">
        <v>1187</v>
      </c>
      <c r="DD22" s="69" t="s">
        <v>1243</v>
      </c>
      <c r="DE22" s="70">
        <f>MIN(CU51:CZ51)</f>
        <v>2.9947912207015932</v>
      </c>
      <c r="DF22" s="414">
        <f>MIN(CU51:CZ51)</f>
        <v>2.9947912207015932</v>
      </c>
      <c r="DG22" s="70">
        <v>1</v>
      </c>
      <c r="DH22" s="70">
        <f>DE22</f>
        <v>2.9947912207015932</v>
      </c>
      <c r="DI22" s="414">
        <f>IF($DB$11,MIN(DF22,IF(ISNA(DF29),DF22,DI24)),NA())</f>
        <v>2.9947912207015932</v>
      </c>
      <c r="DJ22" s="70"/>
      <c r="DK22" s="97">
        <f>DE22</f>
        <v>2.9947912207015932</v>
      </c>
      <c r="DL22" s="62">
        <v>5</v>
      </c>
      <c r="DM22" s="5">
        <f t="shared" si="17"/>
        <v>2.5</v>
      </c>
      <c r="DN22" s="5">
        <f t="shared" si="21"/>
        <v>6.86</v>
      </c>
      <c r="DO22" s="5">
        <f t="shared" si="18"/>
        <v>8.6</v>
      </c>
      <c r="DP22" s="5" t="e">
        <f t="shared" si="19"/>
        <v>#N/A</v>
      </c>
      <c r="DQ22" s="5">
        <f t="shared" si="20"/>
        <v>6.86</v>
      </c>
      <c r="FI22" s="47"/>
      <c r="FJ22" s="61"/>
      <c r="FK22" s="47"/>
      <c r="FL22" s="61"/>
    </row>
    <row r="23" spans="1:256" ht="11.25" customHeight="1">
      <c r="A23" s="92"/>
      <c r="B23" s="100"/>
      <c r="C23" s="100"/>
      <c r="D23" s="94"/>
      <c r="E23" s="94"/>
      <c r="F23" s="94"/>
      <c r="G23" s="94"/>
      <c r="H23" s="94"/>
      <c r="I23" s="94"/>
      <c r="K23" s="82">
        <f t="shared" si="3"/>
        <v>9.5000000000000005E-6</v>
      </c>
      <c r="W23" s="84">
        <f t="shared" si="4"/>
        <v>9.5000000000000005E-6</v>
      </c>
      <c r="Y23" s="84"/>
      <c r="Z23" s="84"/>
      <c r="AA23" s="84"/>
      <c r="AD23" s="84"/>
      <c r="AG23" s="84">
        <f t="shared" si="5"/>
        <v>9.5000000000000005E-6</v>
      </c>
      <c r="AX23" s="87"/>
      <c r="AY23" s="172">
        <v>2.5</v>
      </c>
      <c r="AZ23" s="173">
        <v>7</v>
      </c>
      <c r="BA23" s="174">
        <v>6</v>
      </c>
      <c r="BB23" s="173"/>
      <c r="BC23" s="173"/>
      <c r="BD23" s="175"/>
      <c r="BE23" s="88"/>
      <c r="BG23" s="87"/>
      <c r="BH23" s="172"/>
      <c r="BI23" s="173"/>
      <c r="BJ23" s="174"/>
      <c r="BK23" s="173"/>
      <c r="BL23" s="173"/>
      <c r="BM23" s="175"/>
      <c r="BN23" s="88"/>
      <c r="BP23" s="87"/>
      <c r="BQ23" s="172"/>
      <c r="BR23" s="173"/>
      <c r="BS23" s="174"/>
      <c r="BT23" s="173"/>
      <c r="BU23" s="173"/>
      <c r="BV23" s="175"/>
      <c r="BW23" s="88"/>
      <c r="CS23" s="68"/>
      <c r="CU23" s="5" t="s">
        <v>580</v>
      </c>
      <c r="CV23" s="5" t="str">
        <f>IF(DG3,"A3","")</f>
        <v>A3</v>
      </c>
      <c r="CW23" s="63" t="s">
        <v>1523</v>
      </c>
      <c r="CX23" s="5">
        <f>IF(NOT($CX$5),"",CHOOSE(CW3,D11,E11,F11,G11,H11,I11))</f>
        <v>84</v>
      </c>
      <c r="CY23" s="5">
        <f>IF(NOT($CX$5),"",CHOOSE(CW2,D11,E11,F11,G11,H11,I11))</f>
        <v>84</v>
      </c>
      <c r="DA23" s="394" t="s">
        <v>1520</v>
      </c>
      <c r="DB23" s="384">
        <f>IF(NOT($CX$5),"",TINV(1-$H$6/100,(CX26+CY26)))</f>
        <v>1.9743577260023577</v>
      </c>
      <c r="DC23" s="384">
        <f>IF(NOT($CX$5),"",CX26+CY26)</f>
        <v>166</v>
      </c>
      <c r="DD23" s="5" t="s">
        <v>1248</v>
      </c>
      <c r="DG23" s="394" t="s">
        <v>1250</v>
      </c>
      <c r="DH23" s="384">
        <f>IF(NOT($CX$5),"",CY24+DC29)</f>
        <v>6.5310416500086861</v>
      </c>
      <c r="DI23" s="384">
        <f>IF(NOT($CX$5),"",CY24+DF29)</f>
        <v>6.5310416500086861</v>
      </c>
      <c r="DL23" s="62">
        <v>4</v>
      </c>
      <c r="DM23" s="5">
        <f t="shared" si="17"/>
        <v>2</v>
      </c>
      <c r="DN23" s="5">
        <f t="shared" si="21"/>
        <v>6.36</v>
      </c>
      <c r="DO23" s="5">
        <f t="shared" si="18"/>
        <v>8.6</v>
      </c>
      <c r="DP23" s="5" t="e">
        <f t="shared" si="19"/>
        <v>#N/A</v>
      </c>
      <c r="DQ23" s="5">
        <f t="shared" si="20"/>
        <v>6.36</v>
      </c>
      <c r="FI23" s="47"/>
      <c r="FJ23" s="47"/>
      <c r="FK23" s="47"/>
      <c r="FL23" s="47"/>
    </row>
    <row r="24" spans="1:256" ht="11.25" customHeight="1">
      <c r="A24" s="92"/>
      <c r="B24" s="141" t="s">
        <v>472</v>
      </c>
      <c r="C24" s="9"/>
      <c r="D24" s="135" t="s">
        <v>578</v>
      </c>
      <c r="E24" s="135" t="s">
        <v>579</v>
      </c>
      <c r="F24" s="135" t="s">
        <v>580</v>
      </c>
      <c r="G24" s="135" t="s">
        <v>581</v>
      </c>
      <c r="H24" s="135" t="s">
        <v>582</v>
      </c>
      <c r="I24" s="136" t="s">
        <v>583</v>
      </c>
      <c r="J24" s="23"/>
      <c r="K24" s="82">
        <f t="shared" si="3"/>
        <v>9.5000000000000005E-6</v>
      </c>
      <c r="W24" s="84">
        <f t="shared" si="4"/>
        <v>9.5000000000000005E-6</v>
      </c>
      <c r="X24" s="84"/>
      <c r="Y24" s="78"/>
      <c r="AA24" s="84"/>
      <c r="AD24" s="84"/>
      <c r="AG24" s="84">
        <f t="shared" si="5"/>
        <v>9.5000000000000005E-6</v>
      </c>
      <c r="AX24" s="87"/>
      <c r="AY24" s="172">
        <v>3</v>
      </c>
      <c r="AZ24" s="173">
        <v>5.5</v>
      </c>
      <c r="BA24" s="174">
        <v>6.5</v>
      </c>
      <c r="BB24" s="173"/>
      <c r="BC24" s="173"/>
      <c r="BD24" s="175"/>
      <c r="BE24" s="88"/>
      <c r="BG24" s="87"/>
      <c r="BH24" s="172"/>
      <c r="BI24" s="173"/>
      <c r="BJ24" s="174"/>
      <c r="BK24" s="173"/>
      <c r="BL24" s="173"/>
      <c r="BM24" s="175"/>
      <c r="BN24" s="88"/>
      <c r="BP24" s="87"/>
      <c r="BQ24" s="172"/>
      <c r="BR24" s="173"/>
      <c r="BS24" s="174"/>
      <c r="BT24" s="173"/>
      <c r="BU24" s="173"/>
      <c r="BV24" s="175"/>
      <c r="BW24" s="88"/>
      <c r="CS24" s="68"/>
      <c r="CU24" s="5" t="s">
        <v>581</v>
      </c>
      <c r="CV24" s="5" t="str">
        <f>IF(DG4,"A4","")</f>
        <v/>
      </c>
      <c r="CW24" s="63" t="s">
        <v>1524</v>
      </c>
      <c r="CX24" s="5">
        <f>IF(NOT($CX$5),"",CHOOSE(CW3,D12,E12,F12,G12,H12,I12))</f>
        <v>4.3600000000000003</v>
      </c>
      <c r="CY24" s="5">
        <f>IF(NOT($CX$5),"",CHOOSE(CW2,D12,E12,F12,G12,H12,I12))</f>
        <v>5.76</v>
      </c>
      <c r="DA24" s="748" t="s">
        <v>967</v>
      </c>
      <c r="DB24" s="384">
        <f>IF(OR(DB22=0,DB22=""),"",TDIST(ABS(DB29)/(DB22*SQRT(1/CX23+1/CY23)),DC23,2))</f>
        <v>4.2030345795079053E-4</v>
      </c>
      <c r="DC24" s="384"/>
      <c r="DD24" s="5" t="s">
        <v>1249</v>
      </c>
      <c r="DG24" s="394" t="s">
        <v>1251</v>
      </c>
      <c r="DH24" s="384">
        <f>IF(NOT($CX$5),"",CY24-DC29)</f>
        <v>4.9889583499913135</v>
      </c>
      <c r="DI24" s="384">
        <f>IF(NOT($CX$5),"",CY24-DF29)</f>
        <v>4.9889583499913135</v>
      </c>
      <c r="DL24" s="62">
        <v>3</v>
      </c>
      <c r="DM24" s="5">
        <f t="shared" si="17"/>
        <v>1.5</v>
      </c>
      <c r="DN24" s="5">
        <f t="shared" si="21"/>
        <v>5.86</v>
      </c>
      <c r="DO24" s="5">
        <f t="shared" si="18"/>
        <v>8.6</v>
      </c>
      <c r="DP24" s="5">
        <f t="shared" si="19"/>
        <v>5.86</v>
      </c>
      <c r="DQ24" s="5">
        <f t="shared" si="20"/>
        <v>5.86</v>
      </c>
      <c r="FH24" s="56"/>
      <c r="FI24" s="56"/>
      <c r="FJ24" s="56"/>
      <c r="FK24" s="56"/>
      <c r="FL24" s="56"/>
    </row>
    <row r="25" spans="1:256" ht="11.25" customHeight="1">
      <c r="A25" s="92"/>
      <c r="B25" s="138" t="s">
        <v>1271</v>
      </c>
      <c r="C25" s="13"/>
      <c r="D25" s="370"/>
      <c r="E25" s="371"/>
      <c r="F25" s="370"/>
      <c r="G25" s="371"/>
      <c r="H25" s="371"/>
      <c r="I25" s="762"/>
      <c r="J25" s="10"/>
      <c r="K25" s="82">
        <f t="shared" si="3"/>
        <v>9.5000000000000005E-6</v>
      </c>
      <c r="W25" s="84">
        <f t="shared" si="4"/>
        <v>9.5000000000000005E-6</v>
      </c>
      <c r="X25" s="84"/>
      <c r="AA25" s="84"/>
      <c r="AD25" s="84"/>
      <c r="AG25" s="84">
        <f t="shared" si="5"/>
        <v>9.5000000000000005E-6</v>
      </c>
      <c r="AX25" s="137"/>
      <c r="AY25" s="172">
        <v>1</v>
      </c>
      <c r="AZ25" s="173"/>
      <c r="BA25" s="174">
        <v>3.5</v>
      </c>
      <c r="BB25" s="173"/>
      <c r="BC25" s="173"/>
      <c r="BD25" s="175"/>
      <c r="BE25" s="88"/>
      <c r="BG25" s="137"/>
      <c r="BH25" s="172"/>
      <c r="BI25" s="173"/>
      <c r="BJ25" s="174"/>
      <c r="BK25" s="173"/>
      <c r="BL25" s="173"/>
      <c r="BM25" s="175"/>
      <c r="BN25" s="88"/>
      <c r="BP25" s="137"/>
      <c r="BQ25" s="172"/>
      <c r="BR25" s="173"/>
      <c r="BS25" s="174"/>
      <c r="BT25" s="173"/>
      <c r="BU25" s="173"/>
      <c r="BV25" s="175"/>
      <c r="BW25" s="88"/>
      <c r="CS25" s="68"/>
      <c r="CU25" s="5" t="s">
        <v>582</v>
      </c>
      <c r="CV25" s="5" t="str">
        <f>IF(DG5,"A5","")</f>
        <v/>
      </c>
      <c r="CW25" s="63" t="s">
        <v>1525</v>
      </c>
      <c r="CX25" s="5">
        <f>IF(NOT($CX$5),"",CHOOSE(CW3,D13,E13,F13,G13,H13,I13))</f>
        <v>2.57</v>
      </c>
      <c r="CY25" s="5">
        <f>IF(NOT($CX$5),"",CHOOSE(CW2,D13,E13,F13,G13,H13,I13))</f>
        <v>2.4700000000000002</v>
      </c>
      <c r="DA25" s="81" t="s">
        <v>598</v>
      </c>
      <c r="DB25" s="77">
        <f>IF(CZ8="","",CZ8)</f>
        <v>2.5371046490044513</v>
      </c>
      <c r="DC25" s="77">
        <f>CX28</f>
        <v>249</v>
      </c>
      <c r="DL25" s="62">
        <v>2</v>
      </c>
      <c r="DM25" s="5">
        <f t="shared" si="17"/>
        <v>1</v>
      </c>
      <c r="DN25" s="5">
        <f t="shared" si="21"/>
        <v>5.36</v>
      </c>
      <c r="DO25" s="5">
        <f t="shared" si="18"/>
        <v>8.6</v>
      </c>
      <c r="DP25" s="5">
        <f t="shared" si="19"/>
        <v>5.36</v>
      </c>
      <c r="DQ25" s="5">
        <f t="shared" si="20"/>
        <v>5.36</v>
      </c>
      <c r="FH25" s="50"/>
      <c r="FI25" s="47"/>
      <c r="FJ25" s="47"/>
      <c r="FK25" s="47"/>
      <c r="FL25" s="47"/>
    </row>
    <row r="26" spans="1:256" ht="11.25" customHeight="1">
      <c r="A26" s="48"/>
      <c r="B26" s="138"/>
      <c r="C26" s="13"/>
      <c r="D26" s="372"/>
      <c r="E26" s="373"/>
      <c r="F26" s="374"/>
      <c r="G26" s="373"/>
      <c r="H26" s="373"/>
      <c r="I26" s="375"/>
      <c r="J26" s="13"/>
      <c r="K26" s="82">
        <f t="shared" si="3"/>
        <v>9.5000000000000005E-6</v>
      </c>
      <c r="W26" s="84">
        <f t="shared" si="4"/>
        <v>9.5000000000000005E-6</v>
      </c>
      <c r="X26" s="84"/>
      <c r="AA26" s="84"/>
      <c r="AD26" s="84"/>
      <c r="AG26" s="84">
        <f t="shared" si="5"/>
        <v>9.5000000000000005E-6</v>
      </c>
      <c r="AX26" s="137"/>
      <c r="AY26" s="172"/>
      <c r="AZ26" s="173"/>
      <c r="BA26" s="174">
        <v>2</v>
      </c>
      <c r="BB26" s="173"/>
      <c r="BC26" s="173"/>
      <c r="BD26" s="175"/>
      <c r="BE26" s="88"/>
      <c r="BG26" s="137"/>
      <c r="BH26" s="172"/>
      <c r="BI26" s="173"/>
      <c r="BJ26" s="174"/>
      <c r="BK26" s="173"/>
      <c r="BL26" s="173"/>
      <c r="BM26" s="175"/>
      <c r="BN26" s="88"/>
      <c r="BP26" s="137"/>
      <c r="BQ26" s="172"/>
      <c r="BR26" s="173"/>
      <c r="BS26" s="174"/>
      <c r="BT26" s="173"/>
      <c r="BU26" s="173"/>
      <c r="BV26" s="175"/>
      <c r="BW26" s="88"/>
      <c r="CS26" s="68"/>
      <c r="CU26" s="5" t="s">
        <v>583</v>
      </c>
      <c r="CV26" s="5" t="str">
        <f>IF(DG6,"A6","")</f>
        <v/>
      </c>
      <c r="CW26" s="63" t="s">
        <v>1187</v>
      </c>
      <c r="CX26" s="5">
        <f>IF(NOT($CX$5),"",CHOOSE(CW3,CU45,CV45,CW45,CX45,CY45,CZ45))</f>
        <v>83</v>
      </c>
      <c r="CY26" s="5">
        <f>IF(NOT($CX$5),"",CHOOSE(CW2,CU45,CV45,CW45,CX45,CY45,CZ45))</f>
        <v>83</v>
      </c>
      <c r="DA26" s="81" t="s">
        <v>1520</v>
      </c>
      <c r="DB26" s="77">
        <f>IF(NOT($CX$5),"",TINV(1-$H$6/100,CX28))</f>
        <v>1.9695368117115764</v>
      </c>
      <c r="DH26" s="5" t="s">
        <v>1265</v>
      </c>
      <c r="DL26" s="62">
        <v>1</v>
      </c>
      <c r="DM26" s="5">
        <f t="shared" si="17"/>
        <v>0.5</v>
      </c>
      <c r="DN26" s="5">
        <f t="shared" si="21"/>
        <v>4.8600000000000003</v>
      </c>
      <c r="DO26" s="5">
        <f t="shared" si="18"/>
        <v>8.6</v>
      </c>
      <c r="DP26" s="5">
        <f t="shared" si="19"/>
        <v>4.8600000000000003</v>
      </c>
      <c r="DQ26" s="5">
        <f t="shared" si="20"/>
        <v>4.8600000000000003</v>
      </c>
      <c r="FH26" s="50"/>
      <c r="FI26" s="47"/>
      <c r="FJ26" s="47"/>
      <c r="FK26" s="47"/>
      <c r="FL26" s="47"/>
    </row>
    <row r="27" spans="1:256" ht="11.25" customHeight="1">
      <c r="B27" s="87"/>
      <c r="C27" s="13"/>
      <c r="D27" s="372"/>
      <c r="E27" s="373"/>
      <c r="F27" s="374"/>
      <c r="G27" s="373"/>
      <c r="H27" s="373"/>
      <c r="I27" s="375"/>
      <c r="J27" s="13"/>
      <c r="K27" s="82">
        <f t="shared" si="3"/>
        <v>9.5000000000000005E-6</v>
      </c>
      <c r="W27" s="84">
        <f t="shared" si="4"/>
        <v>9.5000000000000005E-6</v>
      </c>
      <c r="X27" s="84"/>
      <c r="AA27" s="84"/>
      <c r="AD27" s="84"/>
      <c r="AG27" s="84">
        <f t="shared" si="5"/>
        <v>9.5000000000000005E-6</v>
      </c>
      <c r="AX27" s="137"/>
      <c r="AY27" s="172"/>
      <c r="AZ27" s="173"/>
      <c r="BA27" s="174"/>
      <c r="BB27" s="173"/>
      <c r="BC27" s="173"/>
      <c r="BD27" s="175"/>
      <c r="BE27" s="88"/>
      <c r="BG27" s="137"/>
      <c r="BH27" s="172"/>
      <c r="BI27" s="173"/>
      <c r="BJ27" s="174"/>
      <c r="BK27" s="173"/>
      <c r="BL27" s="173"/>
      <c r="BM27" s="175"/>
      <c r="BN27" s="88"/>
      <c r="BP27" s="137"/>
      <c r="BQ27" s="172"/>
      <c r="BR27" s="173"/>
      <c r="BS27" s="174"/>
      <c r="BT27" s="173"/>
      <c r="BU27" s="173"/>
      <c r="BV27" s="175"/>
      <c r="BW27" s="88"/>
      <c r="CS27" s="68"/>
      <c r="CW27" s="64" t="s">
        <v>1525</v>
      </c>
      <c r="CX27" s="77">
        <f>IF(NOT($CX$5),"",CHOOSE(CW3,CU49,CV49,CW49,CX49,CY49,CZ49))</f>
        <v>0.54520877929840694</v>
      </c>
      <c r="CY27" s="77">
        <f>IF(NOT($CX$5),"",CHOOSE(CW2,CU49,CV49,CW49,CX49,CY49,CZ49))</f>
        <v>0.54520877929840694</v>
      </c>
      <c r="DA27" s="197" t="s">
        <v>967</v>
      </c>
      <c r="DB27" s="77">
        <f>IF(OR(NOT(CX5),DB25=0,DB25=""),"",TDIST(ABS(DB29)/(DB25*SQRT(1/CX23+1/CY23)),DC25,2))</f>
        <v>4.1882911096988049E-4</v>
      </c>
      <c r="DD27" s="5">
        <v>0.05</v>
      </c>
      <c r="DG27" s="58" t="s">
        <v>1266</v>
      </c>
      <c r="DH27" s="58" t="s">
        <v>1184</v>
      </c>
      <c r="DI27" s="58" t="s">
        <v>1267</v>
      </c>
      <c r="DJ27" s="738" t="s">
        <v>1184</v>
      </c>
      <c r="DK27" s="738" t="s">
        <v>1267</v>
      </c>
      <c r="DL27" s="62">
        <v>0</v>
      </c>
      <c r="DM27" s="5">
        <f t="shared" si="17"/>
        <v>0</v>
      </c>
      <c r="DN27" s="5">
        <f t="shared" si="21"/>
        <v>4.3600000000000003</v>
      </c>
      <c r="DO27" s="5">
        <f t="shared" si="18"/>
        <v>8.6</v>
      </c>
      <c r="DP27" s="5">
        <f t="shared" si="19"/>
        <v>4.3600000000000003</v>
      </c>
      <c r="DQ27" s="5">
        <f t="shared" si="20"/>
        <v>4.3600000000000003</v>
      </c>
      <c r="FH27" s="50"/>
      <c r="FI27" s="47"/>
      <c r="FJ27" s="47"/>
      <c r="FK27" s="47"/>
      <c r="FL27" s="47"/>
    </row>
    <row r="28" spans="1:256" ht="11.25" customHeight="1">
      <c r="B28" s="87"/>
      <c r="C28" s="13"/>
      <c r="D28" s="372"/>
      <c r="E28" s="373"/>
      <c r="F28" s="374"/>
      <c r="G28" s="373"/>
      <c r="H28" s="373"/>
      <c r="I28" s="375"/>
      <c r="J28" s="13"/>
      <c r="K28" s="82">
        <f t="shared" si="3"/>
        <v>9.5000000000000005E-6</v>
      </c>
      <c r="W28" s="84">
        <f t="shared" si="4"/>
        <v>9.5000000000000005E-6</v>
      </c>
      <c r="X28" s="84"/>
      <c r="AA28" s="84"/>
      <c r="AD28" s="84"/>
      <c r="AG28" s="84">
        <f t="shared" si="5"/>
        <v>9.5000000000000005E-6</v>
      </c>
      <c r="AX28" s="137"/>
      <c r="AY28" s="172"/>
      <c r="AZ28" s="173"/>
      <c r="BA28" s="174"/>
      <c r="BB28" s="173"/>
      <c r="BC28" s="173"/>
      <c r="BD28" s="175"/>
      <c r="BE28" s="88"/>
      <c r="BG28" s="137"/>
      <c r="BH28" s="172"/>
      <c r="BI28" s="173"/>
      <c r="BJ28" s="174"/>
      <c r="BK28" s="173"/>
      <c r="BL28" s="173"/>
      <c r="BM28" s="175"/>
      <c r="BN28" s="88"/>
      <c r="BP28" s="137"/>
      <c r="BQ28" s="172"/>
      <c r="BR28" s="173"/>
      <c r="BS28" s="174"/>
      <c r="BT28" s="173"/>
      <c r="BU28" s="173"/>
      <c r="BV28" s="175"/>
      <c r="BW28" s="88"/>
      <c r="CS28" s="68"/>
      <c r="CT28" s="109"/>
      <c r="CW28" s="64" t="s">
        <v>1187</v>
      </c>
      <c r="CX28" s="77">
        <f>IF(NOT($CX$5),"",CHOOSE(CW3,CU52,CV52,CW52,CX52,CY52,CZ52))</f>
        <v>249</v>
      </c>
      <c r="CY28" s="77">
        <f>IF(NOT($CX$5),"",CHOOSE(CW2,CU52,CV52,CW52,CX52,CY52,CZ52))</f>
        <v>249</v>
      </c>
      <c r="DA28" s="58" t="s">
        <v>1184</v>
      </c>
      <c r="DB28" s="58" t="s">
        <v>600</v>
      </c>
      <c r="DC28" s="58" t="s">
        <v>1280</v>
      </c>
      <c r="DD28" s="738" t="s">
        <v>1184</v>
      </c>
      <c r="DE28" s="738" t="s">
        <v>600</v>
      </c>
      <c r="DF28" s="738" t="s">
        <v>1280</v>
      </c>
      <c r="DG28" s="5">
        <f>CY24</f>
        <v>5.76</v>
      </c>
      <c r="DH28" s="163">
        <v>8.1</v>
      </c>
      <c r="DI28" s="5">
        <f>IF(CX5,DG28,NA())</f>
        <v>5.76</v>
      </c>
      <c r="DJ28" s="385">
        <f>IF(CX5,DH28+IF($CY$11,$DD$27,0),NA())</f>
        <v>8.15</v>
      </c>
      <c r="DK28" s="385">
        <f>IF(AND(DB11,CX5),DG28,NA())</f>
        <v>5.76</v>
      </c>
      <c r="DL28" s="62">
        <v>-1</v>
      </c>
      <c r="DM28" s="5">
        <f t="shared" si="17"/>
        <v>-0.5</v>
      </c>
      <c r="DN28" s="5">
        <f t="shared" si="21"/>
        <v>3.8600000000000003</v>
      </c>
      <c r="DO28" s="5">
        <f t="shared" si="18"/>
        <v>8.6</v>
      </c>
      <c r="DP28" s="5">
        <f t="shared" si="19"/>
        <v>3.8600000000000003</v>
      </c>
      <c r="DQ28" s="5">
        <f t="shared" si="20"/>
        <v>3.8600000000000003</v>
      </c>
      <c r="FH28" s="50"/>
      <c r="FI28" s="47"/>
      <c r="FJ28" s="47"/>
      <c r="FK28" s="47"/>
      <c r="FL28" s="47"/>
    </row>
    <row r="29" spans="1:256" ht="11.25" customHeight="1">
      <c r="B29" s="87"/>
      <c r="C29" s="13"/>
      <c r="D29" s="372"/>
      <c r="E29" s="373"/>
      <c r="F29" s="374"/>
      <c r="G29" s="373"/>
      <c r="H29" s="373"/>
      <c r="I29" s="375"/>
      <c r="J29" s="13"/>
      <c r="K29" s="82">
        <f t="shared" si="3"/>
        <v>9.5000000000000005E-6</v>
      </c>
      <c r="W29" s="84">
        <f t="shared" si="4"/>
        <v>9.5000000000000005E-6</v>
      </c>
      <c r="X29" s="84"/>
      <c r="AA29" s="84"/>
      <c r="AD29" s="84"/>
      <c r="AG29" s="84">
        <f t="shared" si="5"/>
        <v>9.5000000000000005E-6</v>
      </c>
      <c r="AX29" s="137"/>
      <c r="AY29" s="172"/>
      <c r="AZ29" s="173"/>
      <c r="BA29" s="174"/>
      <c r="BB29" s="173"/>
      <c r="BC29" s="173"/>
      <c r="BD29" s="175"/>
      <c r="BE29" s="88"/>
      <c r="BG29" s="137"/>
      <c r="BH29" s="172"/>
      <c r="BI29" s="173"/>
      <c r="BJ29" s="174"/>
      <c r="BK29" s="173"/>
      <c r="BL29" s="173"/>
      <c r="BM29" s="175"/>
      <c r="BN29" s="88"/>
      <c r="BP29" s="137"/>
      <c r="BQ29" s="172"/>
      <c r="BR29" s="173"/>
      <c r="BS29" s="174"/>
      <c r="BT29" s="173"/>
      <c r="BU29" s="173"/>
      <c r="BV29" s="175"/>
      <c r="BW29" s="88"/>
      <c r="CS29" s="68"/>
      <c r="CX29" s="5" t="str">
        <f>IF($CX$5,CHOOSE(CW3,CU30,CU31,CU32,CU33,CU34,CU35),"")</f>
        <v>M2</v>
      </c>
      <c r="CY29" s="79" t="str">
        <f>IF($CX$5,CHOOSE(CW2,CV30,CV31,CV32,CV33,CV34,CV35),"")</f>
        <v>M1</v>
      </c>
      <c r="DA29" s="5">
        <v>1</v>
      </c>
      <c r="DB29" s="5">
        <f>IF(CX5,CY24-CX24,NA())</f>
        <v>1.3999999999999995</v>
      </c>
      <c r="DC29" s="5">
        <f>IF(AND(CY11,CX5),DB26*DB25*SQRT(1/CX23+1/CY23),NA())</f>
        <v>0.77104165000868663</v>
      </c>
      <c r="DD29" s="385">
        <f>IF(CX5,DA29+IF($CY$11,$DD$27,0),NA())</f>
        <v>1.05</v>
      </c>
      <c r="DE29" s="385">
        <f>IF($DB$11,DB29,NA())</f>
        <v>1.3999999999999995</v>
      </c>
      <c r="DF29" s="385">
        <f>IF(AND(DB11,CX5),DB26*DB25*SQRT(1/CX23+1/CY23),NA())</f>
        <v>0.77104165000868663</v>
      </c>
      <c r="DL29" s="62">
        <v>-2</v>
      </c>
      <c r="DM29" s="5">
        <f t="shared" si="17"/>
        <v>-1</v>
      </c>
      <c r="DN29" s="5">
        <f t="shared" si="21"/>
        <v>3.3600000000000003</v>
      </c>
      <c r="DO29" s="5">
        <f t="shared" si="18"/>
        <v>8.6</v>
      </c>
      <c r="DP29" s="5">
        <f t="shared" si="19"/>
        <v>3.3600000000000003</v>
      </c>
      <c r="DQ29" s="5">
        <f t="shared" si="20"/>
        <v>3.3600000000000003</v>
      </c>
      <c r="FH29" s="50"/>
      <c r="FI29" s="47"/>
      <c r="FJ29" s="47"/>
      <c r="FK29" s="47"/>
      <c r="FL29" s="47"/>
    </row>
    <row r="30" spans="1:256" ht="11.25" customHeight="1">
      <c r="B30" s="87"/>
      <c r="C30" s="13"/>
      <c r="D30" s="372"/>
      <c r="E30" s="373"/>
      <c r="F30" s="374"/>
      <c r="G30" s="373"/>
      <c r="H30" s="373"/>
      <c r="I30" s="375"/>
      <c r="J30" s="13"/>
      <c r="K30" s="82">
        <f t="shared" si="3"/>
        <v>9.5000000000000005E-6</v>
      </c>
      <c r="W30" s="84">
        <f t="shared" si="4"/>
        <v>9.5000000000000005E-6</v>
      </c>
      <c r="X30" s="84"/>
      <c r="AA30" s="84"/>
      <c r="AD30" s="84"/>
      <c r="AG30" s="84">
        <f t="shared" si="5"/>
        <v>9.5000000000000005E-6</v>
      </c>
      <c r="AX30" s="137"/>
      <c r="AY30" s="172"/>
      <c r="AZ30" s="173"/>
      <c r="BA30" s="174"/>
      <c r="BB30" s="173"/>
      <c r="BC30" s="173"/>
      <c r="BD30" s="175"/>
      <c r="BE30" s="88"/>
      <c r="BG30" s="137"/>
      <c r="BH30" s="172"/>
      <c r="BI30" s="173"/>
      <c r="BJ30" s="174"/>
      <c r="BK30" s="173"/>
      <c r="BL30" s="173"/>
      <c r="BM30" s="175"/>
      <c r="BN30" s="88"/>
      <c r="BP30" s="137"/>
      <c r="BQ30" s="172"/>
      <c r="BR30" s="173"/>
      <c r="BS30" s="174"/>
      <c r="BT30" s="173"/>
      <c r="BU30" s="173"/>
      <c r="BV30" s="175"/>
      <c r="BW30" s="88"/>
      <c r="CS30" s="68"/>
      <c r="CT30" s="109"/>
      <c r="CU30" s="108" t="s">
        <v>1526</v>
      </c>
      <c r="CV30" s="108" t="s">
        <v>1526</v>
      </c>
      <c r="CW30" s="5" t="s">
        <v>1521</v>
      </c>
      <c r="CX30" s="80" t="str">
        <f>IF(NOT(CX5),"  ","( "&amp;CY29&amp;" – "&amp;CX29&amp;" )")</f>
        <v>( M1 – M2 )</v>
      </c>
      <c r="DB30" s="62" t="s">
        <v>1537</v>
      </c>
      <c r="DC30" s="5">
        <f>IF(ISNUMBER(DB29),DB29+DC29,"")</f>
        <v>2.1710416500086862</v>
      </c>
      <c r="DD30" s="384"/>
      <c r="DE30" s="752" t="s">
        <v>1537</v>
      </c>
      <c r="DF30" s="385">
        <f>IF(ISNUMBER(DE29),DE29+DF29,"")</f>
        <v>2.1710416500086862</v>
      </c>
      <c r="DL30" s="62">
        <v>-3</v>
      </c>
      <c r="DM30" s="5">
        <f t="shared" si="17"/>
        <v>-1.5</v>
      </c>
      <c r="DN30" s="5">
        <f t="shared" si="21"/>
        <v>2.8600000000000003</v>
      </c>
      <c r="DO30" s="5">
        <f t="shared" si="18"/>
        <v>8.6</v>
      </c>
      <c r="DP30" s="5" t="e">
        <f t="shared" si="19"/>
        <v>#N/A</v>
      </c>
      <c r="DQ30" s="5">
        <f t="shared" si="20"/>
        <v>2.8600000000000003</v>
      </c>
      <c r="FH30" s="50"/>
      <c r="FI30" s="47"/>
      <c r="FJ30" s="47"/>
      <c r="FK30" s="47"/>
      <c r="FL30" s="47"/>
    </row>
    <row r="31" spans="1:256" ht="11.25" customHeight="1">
      <c r="B31" s="87"/>
      <c r="C31" s="13"/>
      <c r="D31" s="372"/>
      <c r="E31" s="373"/>
      <c r="F31" s="374"/>
      <c r="G31" s="373"/>
      <c r="H31" s="373"/>
      <c r="I31" s="375"/>
      <c r="J31" s="13"/>
      <c r="K31" s="82">
        <f t="shared" si="3"/>
        <v>9.5000000000000005E-6</v>
      </c>
      <c r="W31" s="84">
        <f t="shared" si="4"/>
        <v>9.5000000000000005E-6</v>
      </c>
      <c r="X31" s="84"/>
      <c r="AA31" s="84"/>
      <c r="AD31" s="84"/>
      <c r="AG31" s="84">
        <f t="shared" si="5"/>
        <v>9.5000000000000005E-6</v>
      </c>
      <c r="AX31" s="137"/>
      <c r="AY31" s="172"/>
      <c r="AZ31" s="173"/>
      <c r="BA31" s="174"/>
      <c r="BB31" s="173"/>
      <c r="BC31" s="173"/>
      <c r="BD31" s="175"/>
      <c r="BE31" s="88"/>
      <c r="BG31" s="137"/>
      <c r="BH31" s="172"/>
      <c r="BI31" s="173"/>
      <c r="BJ31" s="174"/>
      <c r="BK31" s="173"/>
      <c r="BL31" s="173"/>
      <c r="BM31" s="175"/>
      <c r="BN31" s="88"/>
      <c r="BP31" s="137"/>
      <c r="BQ31" s="172"/>
      <c r="BR31" s="173"/>
      <c r="BS31" s="174"/>
      <c r="BT31" s="173"/>
      <c r="BU31" s="173"/>
      <c r="BV31" s="175"/>
      <c r="BW31" s="88"/>
      <c r="CU31" s="108" t="s">
        <v>1527</v>
      </c>
      <c r="CV31" s="108" t="s">
        <v>1527</v>
      </c>
      <c r="CW31" s="5" t="s">
        <v>1189</v>
      </c>
      <c r="CX31" s="5" t="str">
        <f>IF(NOT($CX$5),"",IF(CHOOSE(CW3,D9,E9,F9,G9,H9,I9)="","",CHOOSE(CW3,D9,E9,F9,G9,H9,I9)))</f>
        <v>Violent</v>
      </c>
      <c r="CY31" s="5" t="str">
        <f>IF(NOT($CX$5),"",IF(CHOOSE(CW2,D9,E9,F9,G9,H9,I9)="","",CHOOSE(CW2,D9,E9,F9,G9,H9,I9)))</f>
        <v>Neutral</v>
      </c>
      <c r="DB31" s="62" t="s">
        <v>1538</v>
      </c>
      <c r="DC31" s="5">
        <f>IF(ISNUMBER(DB29),DB29-DC29,"")</f>
        <v>0.62895834999131284</v>
      </c>
      <c r="DD31" s="384"/>
      <c r="DE31" s="752" t="s">
        <v>1538</v>
      </c>
      <c r="DF31" s="385">
        <f>IF(ISNUMBER(DE29),DE29-DF29,"")</f>
        <v>0.62895834999131284</v>
      </c>
      <c r="DL31" s="62">
        <v>-4</v>
      </c>
      <c r="DM31" s="5">
        <f t="shared" si="17"/>
        <v>-2</v>
      </c>
      <c r="DN31" s="5">
        <f t="shared" si="21"/>
        <v>2.3600000000000003</v>
      </c>
      <c r="DO31" s="5">
        <f t="shared" si="18"/>
        <v>8.6</v>
      </c>
      <c r="DP31" s="5" t="e">
        <f t="shared" si="19"/>
        <v>#N/A</v>
      </c>
      <c r="DQ31" s="5">
        <f t="shared" si="20"/>
        <v>2.3600000000000003</v>
      </c>
      <c r="FH31" s="50"/>
      <c r="FI31" s="47"/>
      <c r="FJ31" s="47"/>
      <c r="FK31" s="47"/>
      <c r="FL31" s="47"/>
    </row>
    <row r="32" spans="1:256" ht="11.25" customHeight="1">
      <c r="B32" s="87"/>
      <c r="C32" s="13"/>
      <c r="D32" s="372"/>
      <c r="E32" s="373"/>
      <c r="F32" s="374"/>
      <c r="G32" s="373"/>
      <c r="H32" s="373"/>
      <c r="I32" s="375"/>
      <c r="J32" s="13"/>
      <c r="K32" s="82">
        <f t="shared" si="3"/>
        <v>9.5000000000000005E-6</v>
      </c>
      <c r="W32" s="84">
        <f t="shared" si="4"/>
        <v>9.5000000000000005E-6</v>
      </c>
      <c r="X32" s="84"/>
      <c r="AA32" s="84"/>
      <c r="AD32" s="84"/>
      <c r="AG32" s="84">
        <f t="shared" si="5"/>
        <v>9.5000000000000005E-6</v>
      </c>
      <c r="AX32" s="137"/>
      <c r="AY32" s="172"/>
      <c r="AZ32" s="173"/>
      <c r="BA32" s="174"/>
      <c r="BB32" s="173"/>
      <c r="BC32" s="173"/>
      <c r="BD32" s="175"/>
      <c r="BE32" s="88"/>
      <c r="BG32" s="137"/>
      <c r="BH32" s="172"/>
      <c r="BI32" s="173"/>
      <c r="BJ32" s="174"/>
      <c r="BK32" s="173"/>
      <c r="BL32" s="173"/>
      <c r="BM32" s="175"/>
      <c r="BN32" s="88"/>
      <c r="BP32" s="137"/>
      <c r="BQ32" s="172"/>
      <c r="BR32" s="173"/>
      <c r="BS32" s="174"/>
      <c r="BT32" s="173"/>
      <c r="BU32" s="173"/>
      <c r="BV32" s="175"/>
      <c r="BW32" s="88"/>
      <c r="CU32" s="108" t="s">
        <v>1528</v>
      </c>
      <c r="CV32" s="108" t="s">
        <v>1528</v>
      </c>
      <c r="DL32" s="62">
        <v>-5</v>
      </c>
      <c r="DM32" s="5">
        <f t="shared" si="17"/>
        <v>-2.5</v>
      </c>
      <c r="DN32" s="5">
        <f t="shared" si="21"/>
        <v>1.8600000000000003</v>
      </c>
      <c r="DO32" s="5">
        <f t="shared" si="18"/>
        <v>8.6</v>
      </c>
      <c r="DP32" s="5" t="e">
        <f t="shared" si="19"/>
        <v>#N/A</v>
      </c>
      <c r="DQ32" s="5">
        <f t="shared" si="20"/>
        <v>1.8600000000000003</v>
      </c>
      <c r="FH32" s="50"/>
      <c r="FI32" s="47"/>
      <c r="FJ32" s="47"/>
      <c r="FK32" s="47"/>
      <c r="FL32" s="47"/>
    </row>
    <row r="33" spans="2:168" ht="11.25" customHeight="1">
      <c r="B33" s="87"/>
      <c r="C33" s="13"/>
      <c r="D33" s="372"/>
      <c r="E33" s="373"/>
      <c r="F33" s="374"/>
      <c r="G33" s="373"/>
      <c r="H33" s="373"/>
      <c r="I33" s="375"/>
      <c r="J33" s="13"/>
      <c r="K33" s="82">
        <f t="shared" si="3"/>
        <v>9.5000000000000005E-6</v>
      </c>
      <c r="W33" s="84">
        <f t="shared" si="4"/>
        <v>9.5000000000000005E-6</v>
      </c>
      <c r="X33" s="84"/>
      <c r="AA33" s="84"/>
      <c r="AD33" s="84"/>
      <c r="AG33" s="84">
        <f t="shared" si="5"/>
        <v>9.5000000000000005E-6</v>
      </c>
      <c r="AX33" s="137"/>
      <c r="AY33" s="172"/>
      <c r="AZ33" s="173"/>
      <c r="BA33" s="174"/>
      <c r="BB33" s="173"/>
      <c r="BC33" s="173"/>
      <c r="BD33" s="175"/>
      <c r="BE33" s="88"/>
      <c r="BG33" s="137"/>
      <c r="BH33" s="172"/>
      <c r="BI33" s="173"/>
      <c r="BJ33" s="174"/>
      <c r="BK33" s="173"/>
      <c r="BL33" s="173"/>
      <c r="BM33" s="175"/>
      <c r="BN33" s="88"/>
      <c r="BP33" s="137"/>
      <c r="BQ33" s="172"/>
      <c r="BR33" s="173"/>
      <c r="BS33" s="174"/>
      <c r="BT33" s="173"/>
      <c r="BU33" s="173"/>
      <c r="BV33" s="175"/>
      <c r="BW33" s="88"/>
      <c r="CU33" s="108" t="s">
        <v>1529</v>
      </c>
      <c r="CV33" s="108" t="s">
        <v>1529</v>
      </c>
      <c r="CW33" s="5" t="s">
        <v>1552</v>
      </c>
      <c r="DD33" s="5" t="s">
        <v>1553</v>
      </c>
      <c r="DH33" s="5" t="s">
        <v>386</v>
      </c>
      <c r="DL33" s="62">
        <v>-6</v>
      </c>
      <c r="DM33" s="5">
        <f t="shared" si="17"/>
        <v>-3</v>
      </c>
      <c r="DN33" s="5">
        <f t="shared" si="21"/>
        <v>1.3600000000000003</v>
      </c>
      <c r="DO33" s="5">
        <f t="shared" si="18"/>
        <v>8.6</v>
      </c>
      <c r="DP33" s="5" t="e">
        <f t="shared" si="19"/>
        <v>#N/A</v>
      </c>
      <c r="DQ33" s="5">
        <f t="shared" si="20"/>
        <v>1.3600000000000003</v>
      </c>
      <c r="FH33" s="50"/>
      <c r="FI33" s="47"/>
      <c r="FJ33" s="47"/>
      <c r="FK33" s="47"/>
      <c r="FL33" s="47"/>
    </row>
    <row r="34" spans="2:168" ht="11.25" customHeight="1">
      <c r="B34" s="87"/>
      <c r="C34" s="13"/>
      <c r="D34" s="372"/>
      <c r="E34" s="373"/>
      <c r="F34" s="374"/>
      <c r="G34" s="373"/>
      <c r="H34" s="373"/>
      <c r="I34" s="375"/>
      <c r="J34" s="13"/>
      <c r="K34" s="82">
        <f t="shared" si="3"/>
        <v>9.5000000000000005E-6</v>
      </c>
      <c r="W34" s="84">
        <f t="shared" si="4"/>
        <v>9.5000000000000005E-6</v>
      </c>
      <c r="X34" s="84"/>
      <c r="AA34" s="84"/>
      <c r="AD34" s="84"/>
      <c r="AG34" s="84">
        <f t="shared" si="5"/>
        <v>9.5000000000000005E-6</v>
      </c>
      <c r="AX34" s="137"/>
      <c r="AY34" s="172"/>
      <c r="AZ34" s="173"/>
      <c r="BA34" s="174"/>
      <c r="BB34" s="173"/>
      <c r="BC34" s="173"/>
      <c r="BD34" s="175"/>
      <c r="BE34" s="88"/>
      <c r="BG34" s="137"/>
      <c r="BH34" s="172"/>
      <c r="BI34" s="173"/>
      <c r="BJ34" s="174"/>
      <c r="BK34" s="173"/>
      <c r="BL34" s="173"/>
      <c r="BM34" s="175"/>
      <c r="BN34" s="88"/>
      <c r="BP34" s="137"/>
      <c r="BQ34" s="172"/>
      <c r="BR34" s="173"/>
      <c r="BS34" s="174"/>
      <c r="BT34" s="173"/>
      <c r="BU34" s="173"/>
      <c r="BV34" s="175"/>
      <c r="BW34" s="88"/>
      <c r="CU34" s="108" t="s">
        <v>1530</v>
      </c>
      <c r="CV34" s="108" t="s">
        <v>1530</v>
      </c>
      <c r="CW34" s="65">
        <f t="shared" ref="CW34:DB34" si="22">IF(COUNT(CW48:CW347)&gt;1,COUNT(CW48:CW347),"")</f>
        <v>4</v>
      </c>
      <c r="CX34" s="66" t="str">
        <f t="shared" si="22"/>
        <v/>
      </c>
      <c r="CY34" s="66" t="str">
        <f t="shared" si="22"/>
        <v/>
      </c>
      <c r="CZ34" s="66" t="str">
        <f t="shared" si="22"/>
        <v/>
      </c>
      <c r="DA34" s="66" t="str">
        <f t="shared" si="22"/>
        <v/>
      </c>
      <c r="DB34" s="93" t="str">
        <f t="shared" si="22"/>
        <v/>
      </c>
      <c r="DD34" s="71"/>
      <c r="DH34" s="5">
        <v>0.5</v>
      </c>
      <c r="DI34" s="5">
        <v>0</v>
      </c>
      <c r="DJ34" s="5">
        <v>6</v>
      </c>
      <c r="DL34" s="62">
        <v>-7</v>
      </c>
      <c r="DM34" s="5">
        <f t="shared" si="17"/>
        <v>-3.5</v>
      </c>
      <c r="DN34" s="5">
        <f t="shared" si="21"/>
        <v>0.86000000000000032</v>
      </c>
      <c r="DO34" s="5">
        <f t="shared" si="18"/>
        <v>8.6</v>
      </c>
      <c r="DP34" s="5" t="e">
        <f t="shared" si="19"/>
        <v>#N/A</v>
      </c>
      <c r="DQ34" s="5">
        <f t="shared" si="20"/>
        <v>0.86000000000000032</v>
      </c>
      <c r="FH34" s="50"/>
      <c r="FI34" s="47"/>
      <c r="FJ34" s="47"/>
      <c r="FK34" s="47"/>
      <c r="FL34" s="47"/>
    </row>
    <row r="35" spans="2:168" ht="11.25" customHeight="1">
      <c r="B35" s="87"/>
      <c r="C35" s="13"/>
      <c r="D35" s="372"/>
      <c r="E35" s="373"/>
      <c r="F35" s="374"/>
      <c r="G35" s="373"/>
      <c r="H35" s="373"/>
      <c r="I35" s="375"/>
      <c r="J35" s="13"/>
      <c r="K35" s="82">
        <f t="shared" si="3"/>
        <v>9.5000000000000005E-6</v>
      </c>
      <c r="W35" s="84">
        <f t="shared" si="4"/>
        <v>9.5000000000000005E-6</v>
      </c>
      <c r="X35" s="84"/>
      <c r="AA35" s="84"/>
      <c r="AD35" s="84"/>
      <c r="AG35" s="84">
        <f t="shared" si="5"/>
        <v>9.5000000000000005E-6</v>
      </c>
      <c r="AX35" s="137"/>
      <c r="AY35" s="172"/>
      <c r="AZ35" s="173"/>
      <c r="BA35" s="174"/>
      <c r="BB35" s="173"/>
      <c r="BC35" s="173"/>
      <c r="BD35" s="175"/>
      <c r="BE35" s="88"/>
      <c r="BG35" s="137"/>
      <c r="BH35" s="172"/>
      <c r="BI35" s="173"/>
      <c r="BJ35" s="174"/>
      <c r="BK35" s="173"/>
      <c r="BL35" s="173"/>
      <c r="BM35" s="175"/>
      <c r="BN35" s="88"/>
      <c r="BP35" s="137"/>
      <c r="BQ35" s="172"/>
      <c r="BR35" s="173"/>
      <c r="BS35" s="174"/>
      <c r="BT35" s="173"/>
      <c r="BU35" s="173"/>
      <c r="BV35" s="175"/>
      <c r="BW35" s="88"/>
      <c r="CU35" s="108" t="s">
        <v>1531</v>
      </c>
      <c r="CV35" s="108" t="s">
        <v>1531</v>
      </c>
      <c r="CW35" s="67">
        <f t="shared" ref="CW35:DB35" si="23">IF(COUNT(CW48:CW347)&gt;1,AVERAGE(CW48:CW347),"")</f>
        <v>64.156302194824605</v>
      </c>
      <c r="CX35" s="68" t="str">
        <f t="shared" si="23"/>
        <v/>
      </c>
      <c r="CY35" s="68" t="str">
        <f t="shared" si="23"/>
        <v/>
      </c>
      <c r="CZ35" s="68" t="str">
        <f t="shared" si="23"/>
        <v/>
      </c>
      <c r="DA35" s="68" t="str">
        <f t="shared" si="23"/>
        <v/>
      </c>
      <c r="DB35" s="91" t="str">
        <f t="shared" si="23"/>
        <v/>
      </c>
      <c r="DD35" s="72"/>
      <c r="DL35" s="62">
        <v>-8</v>
      </c>
      <c r="DM35" s="5">
        <f t="shared" si="17"/>
        <v>-4</v>
      </c>
      <c r="DN35" s="5">
        <f t="shared" si="21"/>
        <v>0.36000000000000032</v>
      </c>
      <c r="DO35" s="5">
        <f t="shared" si="18"/>
        <v>8.6</v>
      </c>
      <c r="DP35" s="5" t="e">
        <f t="shared" si="19"/>
        <v>#N/A</v>
      </c>
      <c r="DQ35" s="5">
        <f t="shared" si="20"/>
        <v>0.36000000000000032</v>
      </c>
      <c r="FH35" s="50"/>
      <c r="FI35" s="47"/>
      <c r="FJ35" s="47"/>
      <c r="FK35" s="47"/>
      <c r="FL35" s="47"/>
    </row>
    <row r="36" spans="2:168" ht="11.25" customHeight="1">
      <c r="B36" s="87"/>
      <c r="C36" s="13"/>
      <c r="D36" s="372"/>
      <c r="E36" s="373"/>
      <c r="F36" s="374"/>
      <c r="G36" s="373"/>
      <c r="H36" s="373"/>
      <c r="I36" s="375"/>
      <c r="J36" s="13"/>
      <c r="K36" s="82">
        <f t="shared" si="3"/>
        <v>9.5000000000000005E-6</v>
      </c>
      <c r="W36" s="84">
        <f t="shared" si="4"/>
        <v>9.5000000000000005E-6</v>
      </c>
      <c r="X36" s="84"/>
      <c r="AA36" s="84"/>
      <c r="AD36" s="84"/>
      <c r="AG36" s="84">
        <f t="shared" si="5"/>
        <v>9.5000000000000005E-6</v>
      </c>
      <c r="AX36" s="137"/>
      <c r="AY36" s="172"/>
      <c r="AZ36" s="173"/>
      <c r="BA36" s="174"/>
      <c r="BB36" s="173"/>
      <c r="BC36" s="173"/>
      <c r="BD36" s="175"/>
      <c r="BE36" s="88"/>
      <c r="BG36" s="137"/>
      <c r="BH36" s="172"/>
      <c r="BI36" s="173"/>
      <c r="BJ36" s="174"/>
      <c r="BK36" s="173"/>
      <c r="BL36" s="173"/>
      <c r="BM36" s="175"/>
      <c r="BN36" s="88"/>
      <c r="BP36" s="137"/>
      <c r="BQ36" s="172"/>
      <c r="BR36" s="173"/>
      <c r="BS36" s="174"/>
      <c r="BT36" s="173"/>
      <c r="BU36" s="173"/>
      <c r="BV36" s="175"/>
      <c r="BW36" s="88"/>
      <c r="CW36" s="69">
        <f t="shared" ref="CW36:DB36" si="24">IF(COUNT(CW48:CW347)&gt;1,STDEV(CW48:CW347),"")</f>
        <v>123.23802242352593</v>
      </c>
      <c r="CX36" s="70" t="str">
        <f t="shared" si="24"/>
        <v/>
      </c>
      <c r="CY36" s="70" t="str">
        <f t="shared" si="24"/>
        <v/>
      </c>
      <c r="CZ36" s="70" t="str">
        <f t="shared" si="24"/>
        <v/>
      </c>
      <c r="DA36" s="70" t="str">
        <f t="shared" si="24"/>
        <v/>
      </c>
      <c r="DB36" s="97" t="str">
        <f t="shared" si="24"/>
        <v/>
      </c>
      <c r="DD36" s="73"/>
      <c r="DL36" s="62">
        <v>-9</v>
      </c>
      <c r="DM36" s="5">
        <f t="shared" si="17"/>
        <v>-4.5</v>
      </c>
      <c r="DN36" s="5">
        <f t="shared" si="21"/>
        <v>-0.13999999999999968</v>
      </c>
      <c r="DO36" s="5">
        <f t="shared" si="18"/>
        <v>8.6</v>
      </c>
      <c r="DP36" s="5" t="e">
        <f t="shared" si="19"/>
        <v>#N/A</v>
      </c>
      <c r="DQ36" s="5">
        <f t="shared" si="20"/>
        <v>-0.13999999999999968</v>
      </c>
      <c r="FH36" s="50"/>
      <c r="FI36" s="47"/>
      <c r="FJ36" s="47"/>
      <c r="FK36" s="47"/>
      <c r="FL36" s="47"/>
    </row>
    <row r="37" spans="2:168" ht="11.25" customHeight="1">
      <c r="B37" s="87"/>
      <c r="C37" s="13"/>
      <c r="D37" s="372"/>
      <c r="E37" s="373"/>
      <c r="F37" s="374"/>
      <c r="G37" s="373"/>
      <c r="H37" s="373"/>
      <c r="I37" s="375"/>
      <c r="J37" s="13"/>
      <c r="K37" s="82">
        <f t="shared" si="3"/>
        <v>9.5000000000000005E-6</v>
      </c>
      <c r="W37" s="84">
        <f t="shared" si="4"/>
        <v>9.5000000000000005E-6</v>
      </c>
      <c r="X37" s="84"/>
      <c r="AA37" s="84"/>
      <c r="AD37" s="84"/>
      <c r="AG37" s="84">
        <f t="shared" si="5"/>
        <v>9.5000000000000005E-6</v>
      </c>
      <c r="AX37" s="137"/>
      <c r="AY37" s="172"/>
      <c r="AZ37" s="173"/>
      <c r="BA37" s="174"/>
      <c r="BB37" s="173"/>
      <c r="BC37" s="173"/>
      <c r="BD37" s="175"/>
      <c r="BE37" s="88"/>
      <c r="BG37" s="137"/>
      <c r="BH37" s="172"/>
      <c r="BI37" s="173"/>
      <c r="BJ37" s="174"/>
      <c r="BK37" s="173"/>
      <c r="BL37" s="173"/>
      <c r="BM37" s="175"/>
      <c r="BN37" s="88"/>
      <c r="BP37" s="137"/>
      <c r="BQ37" s="172"/>
      <c r="BR37" s="173"/>
      <c r="BS37" s="174"/>
      <c r="BT37" s="173"/>
      <c r="BU37" s="173"/>
      <c r="BV37" s="175"/>
      <c r="BW37" s="88"/>
      <c r="CU37" s="5" t="s">
        <v>1269</v>
      </c>
      <c r="DL37" s="62">
        <v>-10</v>
      </c>
      <c r="DM37" s="5">
        <f t="shared" si="17"/>
        <v>-5</v>
      </c>
      <c r="DN37" s="5">
        <f t="shared" si="21"/>
        <v>-0.63999999999999968</v>
      </c>
      <c r="DO37" s="5">
        <f t="shared" si="18"/>
        <v>8.6</v>
      </c>
      <c r="DP37" s="5" t="e">
        <f t="shared" si="19"/>
        <v>#N/A</v>
      </c>
      <c r="DQ37" s="5">
        <f t="shared" si="20"/>
        <v>-0.63999999999999968</v>
      </c>
      <c r="FH37" s="50"/>
      <c r="FI37" s="47"/>
      <c r="FJ37" s="47"/>
      <c r="FK37" s="47"/>
      <c r="FL37" s="47"/>
    </row>
    <row r="38" spans="2:168" ht="11.25" customHeight="1">
      <c r="B38" s="87"/>
      <c r="C38" s="13"/>
      <c r="D38" s="372"/>
      <c r="E38" s="373"/>
      <c r="F38" s="374"/>
      <c r="G38" s="373"/>
      <c r="H38" s="373"/>
      <c r="I38" s="375"/>
      <c r="J38" s="13"/>
      <c r="K38" s="82">
        <f t="shared" si="3"/>
        <v>9.5000000000000005E-6</v>
      </c>
      <c r="W38" s="84">
        <f t="shared" si="4"/>
        <v>9.5000000000000005E-6</v>
      </c>
      <c r="X38" s="84"/>
      <c r="AA38" s="84"/>
      <c r="AD38" s="84"/>
      <c r="AG38" s="84">
        <f t="shared" si="5"/>
        <v>9.5000000000000005E-6</v>
      </c>
      <c r="AX38" s="137"/>
      <c r="AY38" s="172"/>
      <c r="AZ38" s="173"/>
      <c r="BA38" s="174"/>
      <c r="BB38" s="173"/>
      <c r="BC38" s="173"/>
      <c r="BD38" s="175"/>
      <c r="BE38" s="88"/>
      <c r="BG38" s="137"/>
      <c r="BH38" s="172"/>
      <c r="BI38" s="173"/>
      <c r="BJ38" s="174"/>
      <c r="BK38" s="173"/>
      <c r="BL38" s="173"/>
      <c r="BM38" s="175"/>
      <c r="BN38" s="88"/>
      <c r="BP38" s="137"/>
      <c r="BQ38" s="172"/>
      <c r="BR38" s="173"/>
      <c r="BS38" s="174"/>
      <c r="BT38" s="173"/>
      <c r="BU38" s="173"/>
      <c r="BV38" s="175"/>
      <c r="BW38" s="88"/>
      <c r="CU38" s="65" t="str">
        <f t="shared" ref="CU38:CZ38" si="25">IF(D9="","",D9)</f>
        <v>Neutral</v>
      </c>
      <c r="CV38" s="66" t="str">
        <f t="shared" si="25"/>
        <v>Violent</v>
      </c>
      <c r="CW38" s="66" t="str">
        <f t="shared" si="25"/>
        <v>Sexual</v>
      </c>
      <c r="CX38" s="66" t="str">
        <f t="shared" si="25"/>
        <v/>
      </c>
      <c r="CY38" s="66" t="str">
        <f t="shared" si="25"/>
        <v/>
      </c>
      <c r="CZ38" s="66" t="str">
        <f t="shared" si="25"/>
        <v/>
      </c>
      <c r="DA38" s="66"/>
      <c r="DB38" s="93"/>
      <c r="DC38" s="84"/>
      <c r="FH38" s="50"/>
      <c r="FI38" s="47"/>
      <c r="FJ38" s="47"/>
      <c r="FK38" s="47"/>
      <c r="FL38" s="47"/>
    </row>
    <row r="39" spans="2:168" ht="11.25" customHeight="1">
      <c r="B39" s="87"/>
      <c r="C39" s="13"/>
      <c r="D39" s="372"/>
      <c r="E39" s="373"/>
      <c r="F39" s="374"/>
      <c r="G39" s="373"/>
      <c r="H39" s="373"/>
      <c r="I39" s="375"/>
      <c r="J39" s="88"/>
      <c r="K39" s="82">
        <f t="shared" si="3"/>
        <v>9.5000000000000005E-6</v>
      </c>
      <c r="W39" s="84">
        <f t="shared" si="4"/>
        <v>9.5000000000000005E-6</v>
      </c>
      <c r="X39" s="84"/>
      <c r="AA39" s="84"/>
      <c r="AD39" s="84"/>
      <c r="AG39" s="84">
        <f t="shared" si="5"/>
        <v>9.5000000000000005E-6</v>
      </c>
      <c r="AX39" s="137"/>
      <c r="AY39" s="172"/>
      <c r="AZ39" s="173"/>
      <c r="BA39" s="174"/>
      <c r="BB39" s="173"/>
      <c r="BC39" s="173"/>
      <c r="BD39" s="175"/>
      <c r="BE39" s="88"/>
      <c r="BG39" s="137"/>
      <c r="BH39" s="172"/>
      <c r="BI39" s="173"/>
      <c r="BJ39" s="174"/>
      <c r="BK39" s="173"/>
      <c r="BL39" s="173"/>
      <c r="BM39" s="175"/>
      <c r="BN39" s="88"/>
      <c r="BP39" s="137"/>
      <c r="BQ39" s="172"/>
      <c r="BR39" s="173"/>
      <c r="BS39" s="174"/>
      <c r="BT39" s="173"/>
      <c r="BU39" s="173"/>
      <c r="BV39" s="175"/>
      <c r="BW39" s="88"/>
      <c r="CU39" s="69">
        <f t="shared" ref="CU39:CZ39" si="26">IF(D12="","",D12)</f>
        <v>5.76</v>
      </c>
      <c r="CV39" s="70">
        <f t="shared" si="26"/>
        <v>4.3600000000000003</v>
      </c>
      <c r="CW39" s="70">
        <f t="shared" si="26"/>
        <v>3.54</v>
      </c>
      <c r="CX39" s="70" t="str">
        <f t="shared" si="26"/>
        <v/>
      </c>
      <c r="CY39" s="70" t="str">
        <f t="shared" si="26"/>
        <v/>
      </c>
      <c r="CZ39" s="70" t="str">
        <f t="shared" si="26"/>
        <v/>
      </c>
      <c r="DA39" s="70" t="str">
        <f>IF(J13="","",J13)</f>
        <v/>
      </c>
      <c r="DB39" s="97"/>
      <c r="FH39" s="50"/>
      <c r="FI39" s="47"/>
      <c r="FJ39" s="47"/>
      <c r="FK39" s="47"/>
      <c r="FL39" s="47"/>
    </row>
    <row r="40" spans="2:168" ht="11.25" customHeight="1">
      <c r="B40" s="87"/>
      <c r="C40" s="13"/>
      <c r="D40" s="372"/>
      <c r="E40" s="373"/>
      <c r="F40" s="374"/>
      <c r="G40" s="373"/>
      <c r="H40" s="373"/>
      <c r="I40" s="375"/>
      <c r="J40" s="88"/>
      <c r="K40" s="82">
        <f t="shared" si="3"/>
        <v>9.5000000000000005E-6</v>
      </c>
      <c r="W40" s="84">
        <f t="shared" si="4"/>
        <v>9.5000000000000005E-6</v>
      </c>
      <c r="X40" s="84"/>
      <c r="AA40" s="84"/>
      <c r="AD40" s="84"/>
      <c r="AG40" s="84">
        <f t="shared" si="5"/>
        <v>9.5000000000000005E-6</v>
      </c>
      <c r="AX40" s="137"/>
      <c r="AY40" s="172"/>
      <c r="AZ40" s="173"/>
      <c r="BA40" s="174"/>
      <c r="BB40" s="173"/>
      <c r="BC40" s="173"/>
      <c r="BD40" s="175"/>
      <c r="BE40" s="88"/>
      <c r="BG40" s="137"/>
      <c r="BH40" s="172"/>
      <c r="BI40" s="173"/>
      <c r="BJ40" s="174"/>
      <c r="BK40" s="173"/>
      <c r="BL40" s="173"/>
      <c r="BM40" s="175"/>
      <c r="BN40" s="88"/>
      <c r="BP40" s="137"/>
      <c r="BQ40" s="172"/>
      <c r="BR40" s="173"/>
      <c r="BS40" s="174"/>
      <c r="BT40" s="173"/>
      <c r="BU40" s="173"/>
      <c r="BV40" s="175"/>
      <c r="BW40" s="88"/>
      <c r="FH40" s="50"/>
      <c r="FI40" s="47"/>
      <c r="FJ40" s="47"/>
      <c r="FK40" s="47"/>
      <c r="FL40" s="47"/>
    </row>
    <row r="41" spans="2:168" ht="11.25" customHeight="1">
      <c r="B41" s="87"/>
      <c r="C41" s="13"/>
      <c r="D41" s="372"/>
      <c r="E41" s="373"/>
      <c r="F41" s="374"/>
      <c r="G41" s="373"/>
      <c r="H41" s="373"/>
      <c r="I41" s="375"/>
      <c r="J41" s="88"/>
      <c r="K41" s="82">
        <f t="shared" si="3"/>
        <v>9.5000000000000005E-6</v>
      </c>
      <c r="W41" s="84">
        <f t="shared" si="4"/>
        <v>9.5000000000000005E-6</v>
      </c>
      <c r="X41" s="84"/>
      <c r="AA41" s="84"/>
      <c r="AD41" s="84"/>
      <c r="AG41" s="84">
        <f t="shared" si="5"/>
        <v>9.5000000000000005E-6</v>
      </c>
      <c r="AX41" s="137"/>
      <c r="AY41" s="172"/>
      <c r="AZ41" s="173"/>
      <c r="BA41" s="174"/>
      <c r="BB41" s="173"/>
      <c r="BC41" s="173"/>
      <c r="BD41" s="175"/>
      <c r="BE41" s="88"/>
      <c r="BG41" s="137"/>
      <c r="BH41" s="172"/>
      <c r="BI41" s="173"/>
      <c r="BJ41" s="174"/>
      <c r="BK41" s="173"/>
      <c r="BL41" s="173"/>
      <c r="BM41" s="175"/>
      <c r="BN41" s="88"/>
      <c r="BP41" s="137"/>
      <c r="BQ41" s="172"/>
      <c r="BR41" s="173"/>
      <c r="BS41" s="174"/>
      <c r="BT41" s="173"/>
      <c r="BU41" s="173"/>
      <c r="BV41" s="175"/>
      <c r="BW41" s="88"/>
      <c r="CU41" s="65" t="s">
        <v>1039</v>
      </c>
      <c r="CV41" s="66"/>
      <c r="CW41" s="66"/>
      <c r="CX41" s="66"/>
      <c r="CY41" s="66"/>
      <c r="CZ41" s="93"/>
      <c r="DC41" s="5" t="s">
        <v>1554</v>
      </c>
      <c r="DJ41" s="5" t="s">
        <v>1555</v>
      </c>
      <c r="FH41" s="50"/>
      <c r="FI41" s="47"/>
      <c r="FJ41" s="47"/>
      <c r="FK41" s="47"/>
      <c r="FL41" s="47"/>
    </row>
    <row r="42" spans="2:168" ht="11.25" customHeight="1">
      <c r="B42" s="137"/>
      <c r="C42" s="134"/>
      <c r="D42" s="372"/>
      <c r="E42" s="373"/>
      <c r="F42" s="374"/>
      <c r="G42" s="373"/>
      <c r="H42" s="373"/>
      <c r="I42" s="375"/>
      <c r="J42" s="88"/>
      <c r="K42" s="82">
        <f t="shared" si="3"/>
        <v>9.5000000000000005E-6</v>
      </c>
      <c r="W42" s="84">
        <f t="shared" si="4"/>
        <v>9.5000000000000005E-6</v>
      </c>
      <c r="X42" s="84"/>
      <c r="AA42" s="84"/>
      <c r="AD42" s="84"/>
      <c r="AG42" s="84">
        <f t="shared" si="5"/>
        <v>9.5000000000000005E-6</v>
      </c>
      <c r="AX42" s="137"/>
      <c r="AY42" s="172"/>
      <c r="AZ42" s="173"/>
      <c r="BA42" s="174"/>
      <c r="BB42" s="173"/>
      <c r="BC42" s="173"/>
      <c r="BD42" s="175"/>
      <c r="BE42" s="88"/>
      <c r="BG42" s="137"/>
      <c r="BH42" s="172"/>
      <c r="BI42" s="173"/>
      <c r="BJ42" s="174"/>
      <c r="BK42" s="173"/>
      <c r="BL42" s="173"/>
      <c r="BM42" s="175"/>
      <c r="BN42" s="88"/>
      <c r="BP42" s="137"/>
      <c r="BQ42" s="172"/>
      <c r="BR42" s="173"/>
      <c r="BS42" s="174"/>
      <c r="BT42" s="173"/>
      <c r="BU42" s="173"/>
      <c r="BV42" s="175"/>
      <c r="BW42" s="88"/>
      <c r="CU42" s="740">
        <f t="shared" ref="CU42:CZ42" si="27">IF(CZ5,TINV(1-$H$6/100,CU45)*D13/SQRT(D11),"")</f>
        <v>0.53602284959465341</v>
      </c>
      <c r="CV42" s="741">
        <f t="shared" si="27"/>
        <v>0.55772417953775677</v>
      </c>
      <c r="CW42" s="742">
        <f t="shared" si="27"/>
        <v>0.55772417953775677</v>
      </c>
      <c r="CX42" s="741" t="str">
        <f t="shared" si="27"/>
        <v/>
      </c>
      <c r="CY42" s="742" t="str">
        <f t="shared" si="27"/>
        <v/>
      </c>
      <c r="CZ42" s="741" t="str">
        <f t="shared" si="27"/>
        <v/>
      </c>
      <c r="DC42" s="5">
        <v>9</v>
      </c>
      <c r="DD42" s="5">
        <v>7</v>
      </c>
      <c r="DE42" s="5">
        <v>11</v>
      </c>
      <c r="DF42" s="5">
        <v>12</v>
      </c>
      <c r="DG42" s="5">
        <v>10</v>
      </c>
      <c r="DH42" s="5">
        <v>10</v>
      </c>
      <c r="DJ42" s="5">
        <v>10</v>
      </c>
      <c r="DK42" s="5">
        <v>10</v>
      </c>
      <c r="DL42" s="5">
        <v>10</v>
      </c>
      <c r="DM42" s="5">
        <v>10</v>
      </c>
      <c r="DN42" s="5">
        <v>10</v>
      </c>
      <c r="DO42" s="5">
        <v>10</v>
      </c>
      <c r="FH42" s="50"/>
      <c r="FI42" s="47"/>
      <c r="FJ42" s="47"/>
      <c r="FK42" s="47"/>
      <c r="FL42" s="47"/>
    </row>
    <row r="43" spans="2:168" ht="11.25" customHeight="1">
      <c r="B43" s="137"/>
      <c r="C43" s="134"/>
      <c r="D43" s="372"/>
      <c r="E43" s="373"/>
      <c r="F43" s="374"/>
      <c r="G43" s="373"/>
      <c r="H43" s="373"/>
      <c r="I43" s="375"/>
      <c r="J43" s="88"/>
      <c r="K43" s="82">
        <f t="shared" si="3"/>
        <v>9.5000000000000005E-6</v>
      </c>
      <c r="W43" s="84">
        <f t="shared" si="4"/>
        <v>9.5000000000000005E-6</v>
      </c>
      <c r="X43" s="84"/>
      <c r="AA43" s="84"/>
      <c r="AD43" s="84"/>
      <c r="AG43" s="84">
        <f t="shared" si="5"/>
        <v>9.5000000000000005E-6</v>
      </c>
      <c r="AX43" s="137"/>
      <c r="AY43" s="172"/>
      <c r="AZ43" s="173"/>
      <c r="BA43" s="174"/>
      <c r="BB43" s="173"/>
      <c r="BC43" s="173"/>
      <c r="BD43" s="175"/>
      <c r="BE43" s="88"/>
      <c r="BG43" s="137"/>
      <c r="BH43" s="172"/>
      <c r="BI43" s="173"/>
      <c r="BJ43" s="174"/>
      <c r="BK43" s="173"/>
      <c r="BL43" s="173"/>
      <c r="BM43" s="175"/>
      <c r="BN43" s="88"/>
      <c r="BP43" s="137"/>
      <c r="BQ43" s="172"/>
      <c r="BR43" s="173"/>
      <c r="BS43" s="174"/>
      <c r="BT43" s="173"/>
      <c r="BU43" s="173"/>
      <c r="BV43" s="175"/>
      <c r="BW43" s="88"/>
      <c r="CU43" s="739">
        <f t="shared" ref="CU43:CZ43" si="28">IF(CZ5,D12+CU42,"")</f>
        <v>6.2960228495946531</v>
      </c>
      <c r="CV43" s="743">
        <f t="shared" si="28"/>
        <v>4.9177241795377569</v>
      </c>
      <c r="CW43" s="389">
        <f t="shared" si="28"/>
        <v>4.0977241795377566</v>
      </c>
      <c r="CX43" s="743" t="str">
        <f t="shared" si="28"/>
        <v/>
      </c>
      <c r="CY43" s="389" t="str">
        <f t="shared" si="28"/>
        <v/>
      </c>
      <c r="CZ43" s="743" t="str">
        <f t="shared" si="28"/>
        <v/>
      </c>
      <c r="DC43" s="5">
        <v>8</v>
      </c>
      <c r="DD43" s="5">
        <v>9</v>
      </c>
      <c r="DE43" s="5">
        <v>13</v>
      </c>
      <c r="DF43" s="5">
        <v>11</v>
      </c>
      <c r="DG43" s="5">
        <v>19</v>
      </c>
      <c r="DH43" s="5">
        <v>19</v>
      </c>
      <c r="DJ43" s="5">
        <v>7</v>
      </c>
      <c r="DK43" s="5">
        <v>6.9</v>
      </c>
      <c r="DL43" s="5">
        <v>11</v>
      </c>
      <c r="DM43" s="96">
        <v>13.4</v>
      </c>
      <c r="DN43" s="5">
        <v>12</v>
      </c>
      <c r="DO43" s="5">
        <v>12</v>
      </c>
      <c r="FH43" s="50"/>
      <c r="FI43" s="47"/>
      <c r="FJ43" s="47"/>
      <c r="FK43" s="47"/>
      <c r="FL43" s="47"/>
    </row>
    <row r="44" spans="2:168" ht="11.25" customHeight="1">
      <c r="B44" s="137"/>
      <c r="C44" s="134"/>
      <c r="D44" s="372"/>
      <c r="E44" s="373"/>
      <c r="F44" s="374"/>
      <c r="G44" s="373"/>
      <c r="H44" s="373"/>
      <c r="I44" s="375"/>
      <c r="J44" s="88"/>
      <c r="K44" s="82">
        <f t="shared" si="3"/>
        <v>9.5000000000000005E-6</v>
      </c>
      <c r="W44" s="84">
        <f t="shared" si="4"/>
        <v>9.5000000000000005E-6</v>
      </c>
      <c r="X44" s="84"/>
      <c r="AA44" s="84"/>
      <c r="AD44" s="84"/>
      <c r="AG44" s="84">
        <f t="shared" si="5"/>
        <v>9.5000000000000005E-6</v>
      </c>
      <c r="AX44" s="137"/>
      <c r="AY44" s="172"/>
      <c r="AZ44" s="173"/>
      <c r="BA44" s="174"/>
      <c r="BB44" s="173"/>
      <c r="BC44" s="173"/>
      <c r="BD44" s="175"/>
      <c r="BE44" s="88"/>
      <c r="BG44" s="137"/>
      <c r="BH44" s="172"/>
      <c r="BI44" s="173"/>
      <c r="BJ44" s="174"/>
      <c r="BK44" s="173"/>
      <c r="BL44" s="173"/>
      <c r="BM44" s="175"/>
      <c r="BN44" s="88"/>
      <c r="BP44" s="137"/>
      <c r="BQ44" s="172"/>
      <c r="BR44" s="173"/>
      <c r="BS44" s="174"/>
      <c r="BT44" s="173"/>
      <c r="BU44" s="173"/>
      <c r="BV44" s="175"/>
      <c r="BW44" s="88"/>
      <c r="CU44" s="744">
        <f t="shared" ref="CU44:CZ44" si="29">IF(CZ5,D12-CU42,"")</f>
        <v>5.2239771504053465</v>
      </c>
      <c r="CV44" s="745">
        <f t="shared" si="29"/>
        <v>3.8022758204622438</v>
      </c>
      <c r="CW44" s="746">
        <f t="shared" si="29"/>
        <v>2.9822758204622435</v>
      </c>
      <c r="CX44" s="745" t="str">
        <f t="shared" si="29"/>
        <v/>
      </c>
      <c r="CY44" s="746" t="str">
        <f t="shared" si="29"/>
        <v/>
      </c>
      <c r="CZ44" s="745" t="str">
        <f t="shared" si="29"/>
        <v/>
      </c>
      <c r="DC44" s="5">
        <v>6</v>
      </c>
      <c r="DD44" s="5">
        <v>6</v>
      </c>
      <c r="DE44" s="5">
        <v>8</v>
      </c>
      <c r="DF44" s="5">
        <v>16</v>
      </c>
      <c r="DG44" s="5">
        <v>14</v>
      </c>
      <c r="DH44" s="5">
        <v>14</v>
      </c>
      <c r="DJ44" s="5">
        <v>1.83</v>
      </c>
      <c r="DK44" s="5">
        <v>2.13</v>
      </c>
      <c r="DL44" s="5">
        <v>2.4900000000000002</v>
      </c>
      <c r="DM44" s="96">
        <v>4.5</v>
      </c>
      <c r="DN44" s="5">
        <v>3.74</v>
      </c>
      <c r="DO44" s="5">
        <v>3.74</v>
      </c>
      <c r="FH44" s="50"/>
      <c r="FI44" s="47"/>
      <c r="FJ44" s="47"/>
      <c r="FK44" s="47"/>
      <c r="FL44" s="47"/>
    </row>
    <row r="45" spans="2:168" ht="11.25" customHeight="1">
      <c r="B45" s="137"/>
      <c r="C45" s="134"/>
      <c r="D45" s="372"/>
      <c r="E45" s="373"/>
      <c r="F45" s="374"/>
      <c r="G45" s="373"/>
      <c r="H45" s="373"/>
      <c r="I45" s="375"/>
      <c r="J45" s="88"/>
      <c r="K45" s="82">
        <f t="shared" si="3"/>
        <v>9.5000000000000005E-6</v>
      </c>
      <c r="W45" s="84">
        <f t="shared" si="4"/>
        <v>9.5000000000000005E-6</v>
      </c>
      <c r="X45" s="84"/>
      <c r="AA45" s="84"/>
      <c r="AD45" s="84"/>
      <c r="AG45" s="84">
        <f t="shared" si="5"/>
        <v>9.5000000000000005E-6</v>
      </c>
      <c r="AX45" s="137"/>
      <c r="AY45" s="172"/>
      <c r="AZ45" s="173"/>
      <c r="BA45" s="174"/>
      <c r="BB45" s="173"/>
      <c r="BC45" s="173"/>
      <c r="BD45" s="175"/>
      <c r="BE45" s="88"/>
      <c r="BG45" s="137"/>
      <c r="BH45" s="172"/>
      <c r="BI45" s="173"/>
      <c r="BJ45" s="174"/>
      <c r="BK45" s="173"/>
      <c r="BL45" s="173"/>
      <c r="BM45" s="175"/>
      <c r="BN45" s="88"/>
      <c r="BP45" s="137"/>
      <c r="BQ45" s="172"/>
      <c r="BR45" s="173"/>
      <c r="BS45" s="174"/>
      <c r="BT45" s="173"/>
      <c r="BU45" s="173"/>
      <c r="BV45" s="175"/>
      <c r="BW45" s="88"/>
      <c r="CU45" s="233">
        <f t="shared" ref="CU45:CZ45" si="30">IF(CZ5,D11-1,"")</f>
        <v>83</v>
      </c>
      <c r="CV45" s="234">
        <f t="shared" si="30"/>
        <v>83</v>
      </c>
      <c r="CW45" s="235">
        <f t="shared" si="30"/>
        <v>83</v>
      </c>
      <c r="CX45" s="234" t="str">
        <f t="shared" si="30"/>
        <v/>
      </c>
      <c r="CY45" s="235" t="str">
        <f t="shared" si="30"/>
        <v/>
      </c>
      <c r="CZ45" s="234" t="str">
        <f t="shared" si="30"/>
        <v/>
      </c>
      <c r="DC45" s="5">
        <v>8</v>
      </c>
      <c r="DD45" s="5">
        <v>6</v>
      </c>
      <c r="DE45" s="5">
        <v>6</v>
      </c>
      <c r="DF45" s="5">
        <v>11</v>
      </c>
      <c r="DG45" s="5">
        <v>5</v>
      </c>
      <c r="DH45" s="5">
        <v>5</v>
      </c>
      <c r="FH45" s="50"/>
      <c r="FI45" s="47"/>
      <c r="FJ45" s="47"/>
      <c r="FK45" s="47"/>
      <c r="FL45" s="47"/>
    </row>
    <row r="46" spans="2:168" ht="11.25" customHeight="1">
      <c r="B46" s="137"/>
      <c r="C46" s="134"/>
      <c r="D46" s="372"/>
      <c r="E46" s="373"/>
      <c r="F46" s="374"/>
      <c r="G46" s="373"/>
      <c r="H46" s="373"/>
      <c r="I46" s="375"/>
      <c r="J46" s="88"/>
      <c r="K46" s="82">
        <f t="shared" si="3"/>
        <v>9.5000000000000005E-6</v>
      </c>
      <c r="W46" s="84">
        <f t="shared" si="4"/>
        <v>9.5000000000000005E-6</v>
      </c>
      <c r="X46" s="84"/>
      <c r="AA46" s="84"/>
      <c r="AD46" s="84"/>
      <c r="AG46" s="84">
        <f t="shared" si="5"/>
        <v>9.5000000000000005E-6</v>
      </c>
      <c r="AX46" s="137"/>
      <c r="AY46" s="172"/>
      <c r="AZ46" s="173"/>
      <c r="BA46" s="174"/>
      <c r="BB46" s="173"/>
      <c r="BC46" s="173"/>
      <c r="BD46" s="175"/>
      <c r="BE46" s="88"/>
      <c r="BG46" s="137"/>
      <c r="BH46" s="172"/>
      <c r="BI46" s="173"/>
      <c r="BJ46" s="174"/>
      <c r="BK46" s="173"/>
      <c r="BL46" s="173"/>
      <c r="BM46" s="175"/>
      <c r="BN46" s="88"/>
      <c r="BP46" s="137"/>
      <c r="BQ46" s="172"/>
      <c r="BR46" s="173"/>
      <c r="BS46" s="174"/>
      <c r="BT46" s="173"/>
      <c r="BU46" s="173"/>
      <c r="BV46" s="175"/>
      <c r="BW46" s="88"/>
      <c r="CU46" s="68"/>
      <c r="CV46" s="68"/>
      <c r="CW46" s="68"/>
      <c r="CX46" s="68"/>
      <c r="CY46" s="68"/>
      <c r="CZ46" s="68"/>
      <c r="DC46" s="5">
        <v>10</v>
      </c>
      <c r="DD46" s="5">
        <v>6</v>
      </c>
      <c r="DE46" s="5">
        <v>14</v>
      </c>
      <c r="DF46" s="5">
        <v>9</v>
      </c>
      <c r="DG46" s="5">
        <v>10</v>
      </c>
      <c r="DH46" s="5">
        <v>10</v>
      </c>
      <c r="FH46" s="50"/>
      <c r="FI46" s="47"/>
      <c r="FJ46" s="47"/>
      <c r="FK46" s="47"/>
      <c r="FL46" s="47"/>
    </row>
    <row r="47" spans="2:168" ht="11.25" customHeight="1">
      <c r="B47" s="137"/>
      <c r="C47" s="134"/>
      <c r="D47" s="372"/>
      <c r="E47" s="373"/>
      <c r="F47" s="374"/>
      <c r="G47" s="373"/>
      <c r="H47" s="373"/>
      <c r="I47" s="375"/>
      <c r="J47" s="88"/>
      <c r="W47" s="84"/>
      <c r="AA47" s="84"/>
      <c r="AD47" s="84"/>
      <c r="AG47" s="84"/>
      <c r="AX47" s="137"/>
      <c r="AY47" s="172"/>
      <c r="AZ47" s="173"/>
      <c r="BA47" s="174"/>
      <c r="BB47" s="173"/>
      <c r="BC47" s="173"/>
      <c r="BD47" s="175"/>
      <c r="BE47" s="88"/>
      <c r="BG47" s="137"/>
      <c r="BH47" s="172"/>
      <c r="BI47" s="173"/>
      <c r="BJ47" s="174"/>
      <c r="BK47" s="173"/>
      <c r="BL47" s="173"/>
      <c r="BM47" s="175"/>
      <c r="BN47" s="88"/>
      <c r="BP47" s="137"/>
      <c r="BQ47" s="172"/>
      <c r="BR47" s="173"/>
      <c r="BS47" s="174"/>
      <c r="BT47" s="173"/>
      <c r="BU47" s="173"/>
      <c r="BV47" s="175"/>
      <c r="BW47" s="88"/>
      <c r="DC47" s="5">
        <v>4</v>
      </c>
      <c r="DD47" s="5">
        <v>11</v>
      </c>
      <c r="DE47" s="5">
        <v>11</v>
      </c>
      <c r="DF47" s="5">
        <v>23</v>
      </c>
      <c r="DG47" s="5">
        <v>11</v>
      </c>
      <c r="DH47" s="5">
        <v>11</v>
      </c>
      <c r="FH47" s="50"/>
      <c r="FI47" s="47"/>
      <c r="FJ47" s="47"/>
      <c r="FK47" s="47"/>
      <c r="FL47" s="47"/>
    </row>
    <row r="48" spans="2:168" ht="11.25" customHeight="1">
      <c r="B48" s="137"/>
      <c r="C48" s="134"/>
      <c r="D48" s="372"/>
      <c r="E48" s="373"/>
      <c r="F48" s="374"/>
      <c r="G48" s="373"/>
      <c r="H48" s="373"/>
      <c r="I48" s="375"/>
      <c r="J48" s="88"/>
      <c r="AA48" s="84"/>
      <c r="AD48" s="84"/>
      <c r="AX48" s="137"/>
      <c r="AY48" s="172"/>
      <c r="AZ48" s="173"/>
      <c r="BA48" s="174"/>
      <c r="BB48" s="173"/>
      <c r="BC48" s="173"/>
      <c r="BD48" s="175"/>
      <c r="BE48" s="88"/>
      <c r="BG48" s="137"/>
      <c r="BH48" s="172"/>
      <c r="BI48" s="173"/>
      <c r="BJ48" s="174"/>
      <c r="BK48" s="173"/>
      <c r="BL48" s="173"/>
      <c r="BM48" s="175"/>
      <c r="BN48" s="88"/>
      <c r="BP48" s="137"/>
      <c r="BQ48" s="172"/>
      <c r="BR48" s="173"/>
      <c r="BS48" s="174"/>
      <c r="BT48" s="173"/>
      <c r="BU48" s="173"/>
      <c r="BV48" s="175"/>
      <c r="BW48" s="88"/>
      <c r="CU48" s="65" t="s">
        <v>1040</v>
      </c>
      <c r="CV48" s="66"/>
      <c r="CW48" s="66"/>
      <c r="CX48" s="66"/>
      <c r="CY48" s="66"/>
      <c r="CZ48" s="93"/>
      <c r="DC48" s="5">
        <v>6</v>
      </c>
      <c r="DD48" s="5">
        <v>6</v>
      </c>
      <c r="DE48" s="5">
        <v>13</v>
      </c>
      <c r="DF48" s="5">
        <v>12</v>
      </c>
      <c r="DG48" s="5">
        <v>14</v>
      </c>
      <c r="DH48" s="5">
        <v>14</v>
      </c>
      <c r="FH48" s="50"/>
      <c r="FI48" s="47"/>
      <c r="FJ48" s="47"/>
      <c r="FK48" s="47"/>
      <c r="FL48" s="47"/>
    </row>
    <row r="49" spans="2:168" ht="11.25" customHeight="1">
      <c r="B49" s="137"/>
      <c r="C49" s="134"/>
      <c r="D49" s="372"/>
      <c r="E49" s="373"/>
      <c r="F49" s="374"/>
      <c r="G49" s="373"/>
      <c r="H49" s="373"/>
      <c r="I49" s="375"/>
      <c r="J49" s="88"/>
      <c r="AX49" s="137"/>
      <c r="AY49" s="172"/>
      <c r="AZ49" s="173"/>
      <c r="BA49" s="174"/>
      <c r="BB49" s="173"/>
      <c r="BC49" s="173"/>
      <c r="BD49" s="175"/>
      <c r="BE49" s="88"/>
      <c r="BG49" s="137"/>
      <c r="BH49" s="172"/>
      <c r="BI49" s="173"/>
      <c r="BJ49" s="174"/>
      <c r="BK49" s="173"/>
      <c r="BL49" s="173"/>
      <c r="BM49" s="175"/>
      <c r="BN49" s="88"/>
      <c r="BP49" s="137"/>
      <c r="BQ49" s="172"/>
      <c r="BR49" s="173"/>
      <c r="BS49" s="174"/>
      <c r="BT49" s="173"/>
      <c r="BU49" s="173"/>
      <c r="BV49" s="175"/>
      <c r="BW49" s="88"/>
      <c r="CU49" s="236">
        <f t="shared" ref="CU49:CZ49" si="31">IF(CZ5,TINV(1-$H$6/100,CU52)*$CZ$8/SQRT(D11),"")</f>
        <v>0.54520877929840694</v>
      </c>
      <c r="CV49" s="151">
        <f t="shared" si="31"/>
        <v>0.54520877929840694</v>
      </c>
      <c r="CW49" s="150">
        <f t="shared" si="31"/>
        <v>0.54520877929840694</v>
      </c>
      <c r="CX49" s="151" t="str">
        <f t="shared" si="31"/>
        <v/>
      </c>
      <c r="CY49" s="150" t="str">
        <f t="shared" si="31"/>
        <v/>
      </c>
      <c r="CZ49" s="151" t="str">
        <f t="shared" si="31"/>
        <v/>
      </c>
      <c r="DC49" s="5">
        <v>5</v>
      </c>
      <c r="DD49" s="5">
        <v>3</v>
      </c>
      <c r="DE49" s="5">
        <v>13</v>
      </c>
      <c r="DF49" s="5">
        <v>10</v>
      </c>
      <c r="DG49" s="5">
        <v>15</v>
      </c>
      <c r="DH49" s="5">
        <v>15</v>
      </c>
      <c r="FH49" s="50"/>
      <c r="FI49" s="47"/>
      <c r="FJ49" s="47"/>
      <c r="FK49" s="47"/>
      <c r="FL49" s="47"/>
    </row>
    <row r="50" spans="2:168" ht="11.25" customHeight="1">
      <c r="B50" s="137"/>
      <c r="C50" s="134"/>
      <c r="D50" s="372"/>
      <c r="E50" s="373"/>
      <c r="F50" s="374"/>
      <c r="G50" s="373"/>
      <c r="H50" s="373"/>
      <c r="I50" s="375"/>
      <c r="J50" s="88"/>
      <c r="AX50" s="137"/>
      <c r="AY50" s="172"/>
      <c r="AZ50" s="173"/>
      <c r="BA50" s="174"/>
      <c r="BB50" s="173"/>
      <c r="BC50" s="173"/>
      <c r="BD50" s="175"/>
      <c r="BE50" s="88"/>
      <c r="BG50" s="137"/>
      <c r="BH50" s="172"/>
      <c r="BI50" s="173"/>
      <c r="BJ50" s="174"/>
      <c r="BK50" s="173"/>
      <c r="BL50" s="173"/>
      <c r="BM50" s="175"/>
      <c r="BN50" s="88"/>
      <c r="BP50" s="137"/>
      <c r="BQ50" s="172"/>
      <c r="BR50" s="173"/>
      <c r="BS50" s="174"/>
      <c r="BT50" s="173"/>
      <c r="BU50" s="173"/>
      <c r="BV50" s="175"/>
      <c r="BW50" s="88"/>
      <c r="CU50" s="152">
        <f t="shared" ref="CU50:CZ50" si="32">IF(CZ5,D12+CU49,"")</f>
        <v>6.3052087792984066</v>
      </c>
      <c r="CV50" s="153">
        <f t="shared" si="32"/>
        <v>4.9052087792984072</v>
      </c>
      <c r="CW50" s="113">
        <f t="shared" si="32"/>
        <v>4.0852087792984069</v>
      </c>
      <c r="CX50" s="153" t="str">
        <f t="shared" si="32"/>
        <v/>
      </c>
      <c r="CY50" s="113" t="str">
        <f t="shared" si="32"/>
        <v/>
      </c>
      <c r="CZ50" s="153" t="str">
        <f t="shared" si="32"/>
        <v/>
      </c>
      <c r="DC50" s="5">
        <v>7</v>
      </c>
      <c r="DD50" s="5">
        <v>8</v>
      </c>
      <c r="DE50" s="5">
        <v>10</v>
      </c>
      <c r="DF50" s="5">
        <v>19</v>
      </c>
      <c r="DG50" s="5">
        <v>11</v>
      </c>
      <c r="DH50" s="5">
        <v>11</v>
      </c>
      <c r="FH50" s="50"/>
      <c r="FI50" s="47"/>
      <c r="FJ50" s="47"/>
      <c r="FK50" s="47"/>
      <c r="FL50" s="47"/>
    </row>
    <row r="51" spans="2:168" ht="11.25" customHeight="1">
      <c r="B51" s="137"/>
      <c r="C51" s="134"/>
      <c r="D51" s="372"/>
      <c r="E51" s="373"/>
      <c r="F51" s="374"/>
      <c r="G51" s="373"/>
      <c r="H51" s="373"/>
      <c r="I51" s="375"/>
      <c r="J51" s="88"/>
      <c r="AX51" s="137"/>
      <c r="AY51" s="172"/>
      <c r="AZ51" s="173"/>
      <c r="BA51" s="174"/>
      <c r="BB51" s="173"/>
      <c r="BC51" s="173"/>
      <c r="BD51" s="175"/>
      <c r="BE51" s="88"/>
      <c r="BG51" s="137"/>
      <c r="BH51" s="172"/>
      <c r="BI51" s="173"/>
      <c r="BJ51" s="174"/>
      <c r="BK51" s="173"/>
      <c r="BL51" s="173"/>
      <c r="BM51" s="175"/>
      <c r="BN51" s="88"/>
      <c r="BP51" s="137"/>
      <c r="BQ51" s="172"/>
      <c r="BR51" s="173"/>
      <c r="BS51" s="174"/>
      <c r="BT51" s="173"/>
      <c r="BU51" s="173"/>
      <c r="BV51" s="175"/>
      <c r="BW51" s="88"/>
      <c r="CU51" s="154">
        <f t="shared" ref="CU51:CZ51" si="33">IF(CZ5,D12-CU49,"")</f>
        <v>5.214791220701593</v>
      </c>
      <c r="CV51" s="155">
        <f t="shared" si="33"/>
        <v>3.8147912207015935</v>
      </c>
      <c r="CW51" s="156">
        <f t="shared" si="33"/>
        <v>2.9947912207015932</v>
      </c>
      <c r="CX51" s="155" t="str">
        <f t="shared" si="33"/>
        <v/>
      </c>
      <c r="CY51" s="156" t="str">
        <f t="shared" si="33"/>
        <v/>
      </c>
      <c r="CZ51" s="155" t="str">
        <f t="shared" si="33"/>
        <v/>
      </c>
      <c r="DC51" s="5">
        <v>7</v>
      </c>
      <c r="DD51" s="5">
        <v>7</v>
      </c>
      <c r="DE51" s="5">
        <v>11</v>
      </c>
      <c r="DF51" s="5">
        <v>11</v>
      </c>
      <c r="DG51" s="5">
        <v>11</v>
      </c>
      <c r="DH51" s="5">
        <v>11</v>
      </c>
      <c r="FH51" s="50"/>
      <c r="FI51" s="47"/>
      <c r="FJ51" s="47"/>
      <c r="FK51" s="47"/>
      <c r="FL51" s="47"/>
    </row>
    <row r="52" spans="2:168" ht="11.25" customHeight="1">
      <c r="B52" s="137"/>
      <c r="C52" s="134"/>
      <c r="D52" s="372"/>
      <c r="E52" s="373"/>
      <c r="F52" s="374"/>
      <c r="G52" s="373"/>
      <c r="H52" s="373"/>
      <c r="I52" s="375"/>
      <c r="J52" s="88"/>
      <c r="AX52" s="137"/>
      <c r="AY52" s="172"/>
      <c r="AZ52" s="173"/>
      <c r="BA52" s="174"/>
      <c r="BB52" s="173"/>
      <c r="BC52" s="173"/>
      <c r="BD52" s="175"/>
      <c r="BE52" s="88"/>
      <c r="BG52" s="137"/>
      <c r="BH52" s="172"/>
      <c r="BI52" s="173"/>
      <c r="BJ52" s="174"/>
      <c r="BK52" s="173"/>
      <c r="BL52" s="173"/>
      <c r="BM52" s="175"/>
      <c r="BN52" s="88"/>
      <c r="BP52" s="137"/>
      <c r="BQ52" s="172"/>
      <c r="BR52" s="173"/>
      <c r="BS52" s="174"/>
      <c r="BT52" s="173"/>
      <c r="BU52" s="173"/>
      <c r="BV52" s="175"/>
      <c r="BW52" s="88"/>
      <c r="CU52" s="237">
        <f t="shared" ref="CU52:CZ52" si="34">IF(CZ5,SUM($CU$45:$CZ$45),"")</f>
        <v>249</v>
      </c>
      <c r="CV52" s="158">
        <f t="shared" si="34"/>
        <v>249</v>
      </c>
      <c r="CW52" s="157">
        <f t="shared" si="34"/>
        <v>249</v>
      </c>
      <c r="CX52" s="158" t="str">
        <f t="shared" si="34"/>
        <v/>
      </c>
      <c r="CY52" s="157" t="str">
        <f t="shared" si="34"/>
        <v/>
      </c>
      <c r="CZ52" s="158" t="str">
        <f t="shared" si="34"/>
        <v/>
      </c>
      <c r="FH52" s="50"/>
      <c r="FI52" s="47"/>
      <c r="FJ52" s="47"/>
      <c r="FK52" s="47"/>
      <c r="FL52" s="47"/>
    </row>
    <row r="53" spans="2:168" ht="11.25" customHeight="1">
      <c r="B53" s="137"/>
      <c r="C53" s="134"/>
      <c r="D53" s="372"/>
      <c r="E53" s="373"/>
      <c r="F53" s="374"/>
      <c r="G53" s="373"/>
      <c r="H53" s="373"/>
      <c r="I53" s="375"/>
      <c r="J53" s="88"/>
      <c r="AX53" s="137"/>
      <c r="AY53" s="172"/>
      <c r="AZ53" s="173"/>
      <c r="BA53" s="174"/>
      <c r="BB53" s="173"/>
      <c r="BC53" s="173"/>
      <c r="BD53" s="175"/>
      <c r="BE53" s="88"/>
      <c r="BG53" s="137"/>
      <c r="BH53" s="172"/>
      <c r="BI53" s="173"/>
      <c r="BJ53" s="174"/>
      <c r="BK53" s="173"/>
      <c r="BL53" s="173"/>
      <c r="BM53" s="175"/>
      <c r="BN53" s="88"/>
      <c r="BP53" s="137"/>
      <c r="BQ53" s="172"/>
      <c r="BR53" s="173"/>
      <c r="BS53" s="174"/>
      <c r="BT53" s="173"/>
      <c r="BU53" s="173"/>
      <c r="BV53" s="175"/>
      <c r="BW53" s="88"/>
      <c r="FH53" s="50"/>
      <c r="FI53" s="47"/>
      <c r="FJ53" s="47"/>
      <c r="FK53" s="47"/>
      <c r="FL53" s="47"/>
    </row>
    <row r="54" spans="2:168" ht="11.25" customHeight="1">
      <c r="B54" s="137"/>
      <c r="C54" s="134"/>
      <c r="D54" s="372"/>
      <c r="E54" s="373"/>
      <c r="F54" s="374"/>
      <c r="G54" s="373"/>
      <c r="H54" s="373"/>
      <c r="I54" s="375"/>
      <c r="J54" s="88"/>
      <c r="AX54" s="137"/>
      <c r="AY54" s="172"/>
      <c r="AZ54" s="173"/>
      <c r="BA54" s="174"/>
      <c r="BB54" s="173"/>
      <c r="BC54" s="173"/>
      <c r="BD54" s="175"/>
      <c r="BE54" s="88"/>
      <c r="BG54" s="137"/>
      <c r="BH54" s="172"/>
      <c r="BI54" s="173"/>
      <c r="BJ54" s="174"/>
      <c r="BK54" s="173"/>
      <c r="BL54" s="173"/>
      <c r="BM54" s="175"/>
      <c r="BN54" s="88"/>
      <c r="BP54" s="137"/>
      <c r="BQ54" s="172"/>
      <c r="BR54" s="173"/>
      <c r="BS54" s="174"/>
      <c r="BT54" s="173"/>
      <c r="BU54" s="173"/>
      <c r="BV54" s="175"/>
      <c r="BW54" s="88"/>
      <c r="FH54" s="50"/>
      <c r="FI54" s="47"/>
      <c r="FJ54" s="47"/>
      <c r="FK54" s="47"/>
      <c r="FL54" s="47"/>
    </row>
    <row r="55" spans="2:168" ht="11.25" customHeight="1">
      <c r="B55" s="137"/>
      <c r="C55" s="134"/>
      <c r="D55" s="372"/>
      <c r="E55" s="373"/>
      <c r="F55" s="374"/>
      <c r="G55" s="373"/>
      <c r="H55" s="373"/>
      <c r="I55" s="375"/>
      <c r="J55" s="88"/>
      <c r="AX55" s="137"/>
      <c r="AY55" s="172"/>
      <c r="AZ55" s="173"/>
      <c r="BA55" s="174"/>
      <c r="BB55" s="173"/>
      <c r="BC55" s="173"/>
      <c r="BD55" s="175"/>
      <c r="BE55" s="88"/>
      <c r="BG55" s="137"/>
      <c r="BH55" s="172"/>
      <c r="BI55" s="173"/>
      <c r="BJ55" s="174"/>
      <c r="BK55" s="173"/>
      <c r="BL55" s="173"/>
      <c r="BM55" s="175"/>
      <c r="BN55" s="88"/>
      <c r="BP55" s="137"/>
      <c r="BQ55" s="172"/>
      <c r="BR55" s="173"/>
      <c r="BS55" s="174"/>
      <c r="BT55" s="173"/>
      <c r="BU55" s="173"/>
      <c r="BV55" s="175"/>
      <c r="BW55" s="88"/>
      <c r="FH55" s="50"/>
      <c r="FI55" s="47"/>
      <c r="FJ55" s="47"/>
      <c r="FK55" s="47"/>
      <c r="FL55" s="47"/>
    </row>
    <row r="56" spans="2:168" ht="11.25" customHeight="1">
      <c r="B56" s="137"/>
      <c r="C56" s="134"/>
      <c r="D56" s="372"/>
      <c r="E56" s="373"/>
      <c r="F56" s="374"/>
      <c r="G56" s="373"/>
      <c r="H56" s="373"/>
      <c r="I56" s="375"/>
      <c r="J56" s="88"/>
      <c r="AX56" s="137"/>
      <c r="AY56" s="172"/>
      <c r="AZ56" s="173"/>
      <c r="BA56" s="174"/>
      <c r="BB56" s="173"/>
      <c r="BC56" s="173"/>
      <c r="BD56" s="175"/>
      <c r="BE56" s="88"/>
      <c r="BG56" s="137"/>
      <c r="BH56" s="172"/>
      <c r="BI56" s="173"/>
      <c r="BJ56" s="174"/>
      <c r="BK56" s="173"/>
      <c r="BL56" s="173"/>
      <c r="BM56" s="175"/>
      <c r="BN56" s="88"/>
      <c r="BP56" s="137"/>
      <c r="BQ56" s="172"/>
      <c r="BR56" s="173"/>
      <c r="BS56" s="174"/>
      <c r="BT56" s="173"/>
      <c r="BU56" s="173"/>
      <c r="BV56" s="175"/>
      <c r="BW56" s="88"/>
      <c r="FH56" s="50"/>
      <c r="FI56" s="47"/>
      <c r="FJ56" s="47"/>
      <c r="FK56" s="47"/>
      <c r="FL56" s="47"/>
    </row>
    <row r="57" spans="2:168" ht="11.25" customHeight="1">
      <c r="B57" s="137"/>
      <c r="C57" s="134"/>
      <c r="D57" s="372"/>
      <c r="E57" s="373"/>
      <c r="F57" s="374"/>
      <c r="G57" s="373"/>
      <c r="H57" s="373"/>
      <c r="I57" s="375"/>
      <c r="J57" s="88"/>
      <c r="AX57" s="137"/>
      <c r="AY57" s="172"/>
      <c r="AZ57" s="173"/>
      <c r="BA57" s="174"/>
      <c r="BB57" s="173"/>
      <c r="BC57" s="173"/>
      <c r="BD57" s="175"/>
      <c r="BE57" s="88"/>
      <c r="BG57" s="137"/>
      <c r="BH57" s="172"/>
      <c r="BI57" s="173"/>
      <c r="BJ57" s="174"/>
      <c r="BK57" s="173"/>
      <c r="BL57" s="173"/>
      <c r="BM57" s="175"/>
      <c r="BN57" s="88"/>
      <c r="BP57" s="137"/>
      <c r="BQ57" s="172"/>
      <c r="BR57" s="173"/>
      <c r="BS57" s="174"/>
      <c r="BT57" s="173"/>
      <c r="BU57" s="173"/>
      <c r="BV57" s="175"/>
      <c r="BW57" s="88"/>
      <c r="FH57" s="50"/>
      <c r="FI57" s="47"/>
      <c r="FJ57" s="47"/>
      <c r="FK57" s="47"/>
      <c r="FL57" s="47"/>
    </row>
    <row r="58" spans="2:168" ht="11.25" customHeight="1">
      <c r="B58" s="137"/>
      <c r="C58" s="134"/>
      <c r="D58" s="372"/>
      <c r="E58" s="373"/>
      <c r="F58" s="374"/>
      <c r="G58" s="373"/>
      <c r="H58" s="373"/>
      <c r="I58" s="375"/>
      <c r="J58" s="88"/>
      <c r="AX58" s="137"/>
      <c r="AY58" s="172"/>
      <c r="AZ58" s="173"/>
      <c r="BA58" s="174"/>
      <c r="BB58" s="173"/>
      <c r="BC58" s="173"/>
      <c r="BD58" s="175"/>
      <c r="BE58" s="88"/>
      <c r="BG58" s="137"/>
      <c r="BH58" s="172"/>
      <c r="BI58" s="173"/>
      <c r="BJ58" s="174"/>
      <c r="BK58" s="173"/>
      <c r="BL58" s="173"/>
      <c r="BM58" s="175"/>
      <c r="BN58" s="88"/>
      <c r="BP58" s="137"/>
      <c r="BQ58" s="172"/>
      <c r="BR58" s="173"/>
      <c r="BS58" s="174"/>
      <c r="BT58" s="173"/>
      <c r="BU58" s="173"/>
      <c r="BV58" s="175"/>
      <c r="BW58" s="88"/>
      <c r="FH58" s="50"/>
      <c r="FI58" s="47"/>
      <c r="FJ58" s="47"/>
      <c r="FK58" s="47"/>
      <c r="FL58" s="47"/>
    </row>
    <row r="59" spans="2:168" ht="11.25" customHeight="1">
      <c r="B59" s="137"/>
      <c r="C59" s="134"/>
      <c r="D59" s="372"/>
      <c r="E59" s="373"/>
      <c r="F59" s="374"/>
      <c r="G59" s="373"/>
      <c r="H59" s="373"/>
      <c r="I59" s="375"/>
      <c r="J59" s="88"/>
      <c r="AX59" s="137"/>
      <c r="AY59" s="172"/>
      <c r="AZ59" s="173"/>
      <c r="BA59" s="174"/>
      <c r="BB59" s="173"/>
      <c r="BC59" s="173"/>
      <c r="BD59" s="175"/>
      <c r="BE59" s="88"/>
      <c r="BG59" s="137"/>
      <c r="BH59" s="172"/>
      <c r="BI59" s="173"/>
      <c r="BJ59" s="174"/>
      <c r="BK59" s="173"/>
      <c r="BL59" s="173"/>
      <c r="BM59" s="175"/>
      <c r="BN59" s="88"/>
      <c r="BP59" s="137"/>
      <c r="BQ59" s="172"/>
      <c r="BR59" s="173"/>
      <c r="BS59" s="174"/>
      <c r="BT59" s="173"/>
      <c r="BU59" s="173"/>
      <c r="BV59" s="175"/>
      <c r="BW59" s="88"/>
      <c r="FH59" s="50"/>
      <c r="FI59" s="47"/>
      <c r="FJ59" s="47"/>
      <c r="FK59" s="47"/>
      <c r="FL59" s="47"/>
    </row>
    <row r="60" spans="2:168" ht="11.25" customHeight="1">
      <c r="B60" s="137"/>
      <c r="C60" s="134"/>
      <c r="D60" s="372"/>
      <c r="E60" s="373"/>
      <c r="F60" s="374"/>
      <c r="G60" s="373"/>
      <c r="H60" s="373"/>
      <c r="I60" s="375"/>
      <c r="J60" s="88"/>
      <c r="AX60" s="137"/>
      <c r="AY60" s="172"/>
      <c r="AZ60" s="173"/>
      <c r="BA60" s="174"/>
      <c r="BB60" s="173"/>
      <c r="BC60" s="173"/>
      <c r="BD60" s="175"/>
      <c r="BE60" s="88"/>
      <c r="BG60" s="137"/>
      <c r="BH60" s="172"/>
      <c r="BI60" s="173"/>
      <c r="BJ60" s="174"/>
      <c r="BK60" s="173"/>
      <c r="BL60" s="173"/>
      <c r="BM60" s="175"/>
      <c r="BN60" s="88"/>
      <c r="BP60" s="137"/>
      <c r="BQ60" s="172"/>
      <c r="BR60" s="173"/>
      <c r="BS60" s="174"/>
      <c r="BT60" s="173"/>
      <c r="BU60" s="173"/>
      <c r="BV60" s="175"/>
      <c r="BW60" s="88"/>
      <c r="FH60" s="50"/>
      <c r="FI60" s="47"/>
      <c r="FJ60" s="47"/>
      <c r="FK60" s="47"/>
      <c r="FL60" s="47"/>
    </row>
    <row r="61" spans="2:168" ht="11.25" customHeight="1">
      <c r="B61" s="137"/>
      <c r="C61" s="134"/>
      <c r="D61" s="372"/>
      <c r="E61" s="373"/>
      <c r="F61" s="374"/>
      <c r="G61" s="373"/>
      <c r="H61" s="373"/>
      <c r="I61" s="375"/>
      <c r="J61" s="88"/>
      <c r="AX61" s="137"/>
      <c r="AY61" s="172"/>
      <c r="AZ61" s="173"/>
      <c r="BA61" s="174"/>
      <c r="BB61" s="173"/>
      <c r="BC61" s="173"/>
      <c r="BD61" s="175"/>
      <c r="BE61" s="88"/>
      <c r="BG61" s="137"/>
      <c r="BH61" s="172"/>
      <c r="BI61" s="173"/>
      <c r="BJ61" s="174"/>
      <c r="BK61" s="173"/>
      <c r="BL61" s="173"/>
      <c r="BM61" s="175"/>
      <c r="BN61" s="88"/>
      <c r="BP61" s="137"/>
      <c r="BQ61" s="172"/>
      <c r="BR61" s="173"/>
      <c r="BS61" s="174"/>
      <c r="BT61" s="173"/>
      <c r="BU61" s="173"/>
      <c r="BV61" s="175"/>
      <c r="BW61" s="88"/>
      <c r="FH61" s="50"/>
      <c r="FI61" s="47"/>
      <c r="FJ61" s="47"/>
      <c r="FK61" s="47"/>
      <c r="FL61" s="47"/>
    </row>
    <row r="62" spans="2:168" ht="11.25" customHeight="1">
      <c r="B62" s="137"/>
      <c r="C62" s="134"/>
      <c r="D62" s="372"/>
      <c r="E62" s="373"/>
      <c r="F62" s="374"/>
      <c r="G62" s="373"/>
      <c r="H62" s="373"/>
      <c r="I62" s="375"/>
      <c r="J62" s="88"/>
      <c r="AX62" s="137"/>
      <c r="AY62" s="172"/>
      <c r="AZ62" s="173"/>
      <c r="BA62" s="174"/>
      <c r="BB62" s="173"/>
      <c r="BC62" s="173"/>
      <c r="BD62" s="175"/>
      <c r="BE62" s="88"/>
      <c r="BG62" s="137"/>
      <c r="BH62" s="172"/>
      <c r="BI62" s="173"/>
      <c r="BJ62" s="174"/>
      <c r="BK62" s="173"/>
      <c r="BL62" s="173"/>
      <c r="BM62" s="175"/>
      <c r="BN62" s="88"/>
      <c r="BP62" s="137"/>
      <c r="BQ62" s="172"/>
      <c r="BR62" s="173"/>
      <c r="BS62" s="174"/>
      <c r="BT62" s="173"/>
      <c r="BU62" s="173"/>
      <c r="BV62" s="175"/>
      <c r="BW62" s="88"/>
      <c r="FH62" s="50"/>
      <c r="FI62" s="47"/>
      <c r="FJ62" s="47"/>
      <c r="FK62" s="47"/>
      <c r="FL62" s="47"/>
    </row>
    <row r="63" spans="2:168" ht="11.25" customHeight="1">
      <c r="B63" s="137"/>
      <c r="C63" s="134"/>
      <c r="D63" s="372"/>
      <c r="E63" s="373"/>
      <c r="F63" s="374"/>
      <c r="G63" s="373"/>
      <c r="H63" s="373"/>
      <c r="I63" s="375"/>
      <c r="J63" s="88"/>
      <c r="AX63" s="137"/>
      <c r="AY63" s="172"/>
      <c r="AZ63" s="173"/>
      <c r="BA63" s="174"/>
      <c r="BB63" s="173"/>
      <c r="BC63" s="173"/>
      <c r="BD63" s="175"/>
      <c r="BE63" s="88"/>
      <c r="BG63" s="137"/>
      <c r="BH63" s="172"/>
      <c r="BI63" s="173"/>
      <c r="BJ63" s="174"/>
      <c r="BK63" s="173"/>
      <c r="BL63" s="173"/>
      <c r="BM63" s="175"/>
      <c r="BN63" s="88"/>
      <c r="BP63" s="137"/>
      <c r="BQ63" s="172"/>
      <c r="BR63" s="173"/>
      <c r="BS63" s="174"/>
      <c r="BT63" s="173"/>
      <c r="BU63" s="173"/>
      <c r="BV63" s="175"/>
      <c r="BW63" s="88"/>
      <c r="FH63" s="50"/>
      <c r="FI63" s="47"/>
      <c r="FJ63" s="47"/>
      <c r="FK63" s="47"/>
      <c r="FL63" s="47"/>
    </row>
    <row r="64" spans="2:168" ht="11.25" customHeight="1">
      <c r="B64" s="137"/>
      <c r="C64" s="134"/>
      <c r="D64" s="372"/>
      <c r="E64" s="373"/>
      <c r="F64" s="374"/>
      <c r="G64" s="373"/>
      <c r="H64" s="373"/>
      <c r="I64" s="375"/>
      <c r="J64" s="88"/>
      <c r="AX64" s="137"/>
      <c r="AY64" s="172"/>
      <c r="AZ64" s="173"/>
      <c r="BA64" s="174"/>
      <c r="BB64" s="173"/>
      <c r="BC64" s="173"/>
      <c r="BD64" s="175"/>
      <c r="BE64" s="88"/>
      <c r="BG64" s="137"/>
      <c r="BH64" s="172"/>
      <c r="BI64" s="173"/>
      <c r="BJ64" s="174"/>
      <c r="BK64" s="173"/>
      <c r="BL64" s="173"/>
      <c r="BM64" s="175"/>
      <c r="BN64" s="88"/>
      <c r="BP64" s="137"/>
      <c r="BQ64" s="172"/>
      <c r="BR64" s="173"/>
      <c r="BS64" s="174"/>
      <c r="BT64" s="173"/>
      <c r="BU64" s="173"/>
      <c r="BV64" s="175"/>
      <c r="BW64" s="88"/>
      <c r="FH64" s="50"/>
      <c r="FI64" s="47"/>
      <c r="FJ64" s="47"/>
      <c r="FK64" s="47"/>
      <c r="FL64" s="47"/>
    </row>
    <row r="65" spans="2:168" ht="11.25" customHeight="1">
      <c r="B65" s="137"/>
      <c r="C65" s="134"/>
      <c r="D65" s="372"/>
      <c r="E65" s="373"/>
      <c r="F65" s="374"/>
      <c r="G65" s="373"/>
      <c r="H65" s="373"/>
      <c r="I65" s="375"/>
      <c r="J65" s="88"/>
      <c r="AX65" s="137"/>
      <c r="AY65" s="172"/>
      <c r="AZ65" s="173"/>
      <c r="BA65" s="174"/>
      <c r="BB65" s="173"/>
      <c r="BC65" s="173"/>
      <c r="BD65" s="175"/>
      <c r="BE65" s="88"/>
      <c r="BG65" s="137"/>
      <c r="BH65" s="172"/>
      <c r="BI65" s="173"/>
      <c r="BJ65" s="174"/>
      <c r="BK65" s="173"/>
      <c r="BL65" s="173"/>
      <c r="BM65" s="175"/>
      <c r="BN65" s="88"/>
      <c r="BP65" s="137"/>
      <c r="BQ65" s="172"/>
      <c r="BR65" s="173"/>
      <c r="BS65" s="174"/>
      <c r="BT65" s="173"/>
      <c r="BU65" s="173"/>
      <c r="BV65" s="175"/>
      <c r="BW65" s="88"/>
      <c r="FH65" s="50"/>
      <c r="FI65" s="47"/>
      <c r="FJ65" s="47"/>
      <c r="FK65" s="47"/>
      <c r="FL65" s="47"/>
    </row>
    <row r="66" spans="2:168" ht="11.25" customHeight="1">
      <c r="B66" s="137"/>
      <c r="C66" s="134"/>
      <c r="D66" s="372"/>
      <c r="E66" s="373"/>
      <c r="F66" s="374"/>
      <c r="G66" s="373"/>
      <c r="H66" s="373"/>
      <c r="I66" s="375"/>
      <c r="J66" s="88"/>
      <c r="AX66" s="137"/>
      <c r="AY66" s="172"/>
      <c r="AZ66" s="173"/>
      <c r="BA66" s="174"/>
      <c r="BB66" s="173"/>
      <c r="BC66" s="173"/>
      <c r="BD66" s="175"/>
      <c r="BE66" s="88"/>
      <c r="BG66" s="137"/>
      <c r="BH66" s="172"/>
      <c r="BI66" s="173"/>
      <c r="BJ66" s="174"/>
      <c r="BK66" s="173"/>
      <c r="BL66" s="173"/>
      <c r="BM66" s="175"/>
      <c r="BN66" s="88"/>
      <c r="BP66" s="137"/>
      <c r="BQ66" s="172"/>
      <c r="BR66" s="173"/>
      <c r="BS66" s="174"/>
      <c r="BT66" s="173"/>
      <c r="BU66" s="173"/>
      <c r="BV66" s="175"/>
      <c r="BW66" s="88"/>
      <c r="FH66" s="50"/>
      <c r="FI66" s="47"/>
      <c r="FJ66" s="47"/>
      <c r="FK66" s="47"/>
      <c r="FL66" s="47"/>
    </row>
    <row r="67" spans="2:168" ht="11.25" customHeight="1">
      <c r="B67" s="137"/>
      <c r="C67" s="134"/>
      <c r="D67" s="372"/>
      <c r="E67" s="373"/>
      <c r="F67" s="374"/>
      <c r="G67" s="373"/>
      <c r="H67" s="373"/>
      <c r="I67" s="375"/>
      <c r="J67" s="88"/>
      <c r="AX67" s="137"/>
      <c r="AY67" s="172"/>
      <c r="AZ67" s="173"/>
      <c r="BA67" s="174"/>
      <c r="BB67" s="173"/>
      <c r="BC67" s="173"/>
      <c r="BD67" s="175"/>
      <c r="BE67" s="88"/>
      <c r="BG67" s="137"/>
      <c r="BH67" s="172"/>
      <c r="BI67" s="173"/>
      <c r="BJ67" s="174"/>
      <c r="BK67" s="173"/>
      <c r="BL67" s="173"/>
      <c r="BM67" s="175"/>
      <c r="BN67" s="88"/>
      <c r="BP67" s="137"/>
      <c r="BQ67" s="172"/>
      <c r="BR67" s="173"/>
      <c r="BS67" s="174"/>
      <c r="BT67" s="173"/>
      <c r="BU67" s="173"/>
      <c r="BV67" s="175"/>
      <c r="BW67" s="88"/>
      <c r="FH67" s="50"/>
      <c r="FI67" s="47"/>
      <c r="FJ67" s="47"/>
      <c r="FK67" s="47"/>
      <c r="FL67" s="47"/>
    </row>
    <row r="68" spans="2:168" ht="11.25" customHeight="1">
      <c r="B68" s="137"/>
      <c r="C68" s="134"/>
      <c r="D68" s="372"/>
      <c r="E68" s="373"/>
      <c r="F68" s="374"/>
      <c r="G68" s="373"/>
      <c r="H68" s="373"/>
      <c r="I68" s="375"/>
      <c r="J68" s="88"/>
      <c r="AX68" s="137"/>
      <c r="AY68" s="172"/>
      <c r="AZ68" s="173"/>
      <c r="BA68" s="174"/>
      <c r="BB68" s="173"/>
      <c r="BC68" s="173"/>
      <c r="BD68" s="175"/>
      <c r="BE68" s="88"/>
      <c r="BG68" s="137"/>
      <c r="BH68" s="172"/>
      <c r="BI68" s="173"/>
      <c r="BJ68" s="174"/>
      <c r="BK68" s="173"/>
      <c r="BL68" s="173"/>
      <c r="BM68" s="175"/>
      <c r="BN68" s="88"/>
      <c r="BP68" s="137"/>
      <c r="BQ68" s="172"/>
      <c r="BR68" s="173"/>
      <c r="BS68" s="174"/>
      <c r="BT68" s="173"/>
      <c r="BU68" s="173"/>
      <c r="BV68" s="175"/>
      <c r="BW68" s="88"/>
      <c r="FH68" s="50"/>
      <c r="FI68" s="47"/>
      <c r="FJ68" s="47"/>
      <c r="FK68" s="47"/>
      <c r="FL68" s="47"/>
    </row>
    <row r="69" spans="2:168" ht="11.25" customHeight="1">
      <c r="B69" s="137"/>
      <c r="C69" s="134"/>
      <c r="D69" s="372"/>
      <c r="E69" s="373"/>
      <c r="F69" s="374"/>
      <c r="G69" s="373"/>
      <c r="H69" s="373"/>
      <c r="I69" s="375"/>
      <c r="J69" s="88"/>
      <c r="AX69" s="137"/>
      <c r="AY69" s="172"/>
      <c r="AZ69" s="173"/>
      <c r="BA69" s="174"/>
      <c r="BB69" s="173"/>
      <c r="BC69" s="173"/>
      <c r="BD69" s="175"/>
      <c r="BE69" s="88"/>
      <c r="BG69" s="137"/>
      <c r="BH69" s="172"/>
      <c r="BI69" s="173"/>
      <c r="BJ69" s="174"/>
      <c r="BK69" s="173"/>
      <c r="BL69" s="173"/>
      <c r="BM69" s="175"/>
      <c r="BN69" s="88"/>
      <c r="BP69" s="137"/>
      <c r="BQ69" s="172"/>
      <c r="BR69" s="173"/>
      <c r="BS69" s="174"/>
      <c r="BT69" s="173"/>
      <c r="BU69" s="173"/>
      <c r="BV69" s="175"/>
      <c r="BW69" s="88"/>
      <c r="FH69" s="50"/>
      <c r="FI69" s="47"/>
      <c r="FJ69" s="47"/>
      <c r="FK69" s="47"/>
      <c r="FL69" s="47"/>
    </row>
    <row r="70" spans="2:168" ht="11.25" customHeight="1">
      <c r="B70" s="137"/>
      <c r="C70" s="134"/>
      <c r="D70" s="372"/>
      <c r="E70" s="373"/>
      <c r="F70" s="374"/>
      <c r="G70" s="373"/>
      <c r="H70" s="373"/>
      <c r="I70" s="375"/>
      <c r="J70" s="88"/>
      <c r="AX70" s="137"/>
      <c r="AY70" s="172"/>
      <c r="AZ70" s="173"/>
      <c r="BA70" s="174"/>
      <c r="BB70" s="173"/>
      <c r="BC70" s="173"/>
      <c r="BD70" s="175"/>
      <c r="BE70" s="88"/>
      <c r="BG70" s="137"/>
      <c r="BH70" s="172"/>
      <c r="BI70" s="173"/>
      <c r="BJ70" s="174"/>
      <c r="BK70" s="173"/>
      <c r="BL70" s="173"/>
      <c r="BM70" s="175"/>
      <c r="BN70" s="88"/>
      <c r="BP70" s="137"/>
      <c r="BQ70" s="172"/>
      <c r="BR70" s="173"/>
      <c r="BS70" s="174"/>
      <c r="BT70" s="173"/>
      <c r="BU70" s="173"/>
      <c r="BV70" s="175"/>
      <c r="BW70" s="88"/>
      <c r="FH70" s="50"/>
      <c r="FI70" s="47"/>
      <c r="FJ70" s="47"/>
      <c r="FK70" s="47"/>
      <c r="FL70" s="47"/>
    </row>
    <row r="71" spans="2:168" ht="11.25" customHeight="1">
      <c r="B71" s="137"/>
      <c r="C71" s="134"/>
      <c r="D71" s="372"/>
      <c r="E71" s="373"/>
      <c r="F71" s="374"/>
      <c r="G71" s="373"/>
      <c r="H71" s="373"/>
      <c r="I71" s="375"/>
      <c r="J71" s="88"/>
      <c r="AX71" s="137"/>
      <c r="AY71" s="172"/>
      <c r="AZ71" s="173"/>
      <c r="BA71" s="174"/>
      <c r="BB71" s="173"/>
      <c r="BC71" s="173"/>
      <c r="BD71" s="175"/>
      <c r="BE71" s="88"/>
      <c r="BG71" s="137"/>
      <c r="BH71" s="172"/>
      <c r="BI71" s="173"/>
      <c r="BJ71" s="174"/>
      <c r="BK71" s="173"/>
      <c r="BL71" s="173"/>
      <c r="BM71" s="175"/>
      <c r="BN71" s="88"/>
      <c r="BP71" s="137"/>
      <c r="BQ71" s="172"/>
      <c r="BR71" s="173"/>
      <c r="BS71" s="174"/>
      <c r="BT71" s="173"/>
      <c r="BU71" s="173"/>
      <c r="BV71" s="175"/>
      <c r="BW71" s="88"/>
      <c r="FH71" s="50"/>
      <c r="FI71" s="47"/>
      <c r="FJ71" s="47"/>
      <c r="FK71" s="47"/>
      <c r="FL71" s="47"/>
    </row>
    <row r="72" spans="2:168" ht="11.25" customHeight="1">
      <c r="B72" s="137"/>
      <c r="C72" s="134"/>
      <c r="D72" s="372"/>
      <c r="E72" s="373"/>
      <c r="F72" s="374"/>
      <c r="G72" s="373"/>
      <c r="H72" s="373"/>
      <c r="I72" s="375"/>
      <c r="J72" s="88"/>
      <c r="AX72" s="137"/>
      <c r="AY72" s="172"/>
      <c r="AZ72" s="173"/>
      <c r="BA72" s="174"/>
      <c r="BB72" s="173"/>
      <c r="BC72" s="173"/>
      <c r="BD72" s="175"/>
      <c r="BE72" s="88"/>
      <c r="BG72" s="137"/>
      <c r="BH72" s="172"/>
      <c r="BI72" s="173"/>
      <c r="BJ72" s="174"/>
      <c r="BK72" s="173"/>
      <c r="BL72" s="173"/>
      <c r="BM72" s="175"/>
      <c r="BN72" s="88"/>
      <c r="BP72" s="137"/>
      <c r="BQ72" s="172"/>
      <c r="BR72" s="173"/>
      <c r="BS72" s="174"/>
      <c r="BT72" s="173"/>
      <c r="BU72" s="173"/>
      <c r="BV72" s="175"/>
      <c r="BW72" s="88"/>
      <c r="FH72" s="50"/>
      <c r="FI72" s="47"/>
      <c r="FJ72" s="47"/>
      <c r="FK72" s="47"/>
      <c r="FL72" s="47"/>
    </row>
    <row r="73" spans="2:168" ht="11.25" customHeight="1">
      <c r="B73" s="137"/>
      <c r="C73" s="134"/>
      <c r="D73" s="372"/>
      <c r="E73" s="373"/>
      <c r="F73" s="374"/>
      <c r="G73" s="373"/>
      <c r="H73" s="373"/>
      <c r="I73" s="375"/>
      <c r="J73" s="88"/>
      <c r="AX73" s="137"/>
      <c r="AY73" s="172"/>
      <c r="AZ73" s="173"/>
      <c r="BA73" s="174"/>
      <c r="BB73" s="173"/>
      <c r="BC73" s="173"/>
      <c r="BD73" s="175"/>
      <c r="BE73" s="88"/>
      <c r="BG73" s="137"/>
      <c r="BH73" s="172"/>
      <c r="BI73" s="173"/>
      <c r="BJ73" s="174"/>
      <c r="BK73" s="173"/>
      <c r="BL73" s="173"/>
      <c r="BM73" s="175"/>
      <c r="BN73" s="88"/>
      <c r="BP73" s="137"/>
      <c r="BQ73" s="172"/>
      <c r="BR73" s="173"/>
      <c r="BS73" s="174"/>
      <c r="BT73" s="173"/>
      <c r="BU73" s="173"/>
      <c r="BV73" s="175"/>
      <c r="BW73" s="88"/>
      <c r="FH73" s="50"/>
      <c r="FI73" s="47"/>
      <c r="FJ73" s="47"/>
      <c r="FK73" s="47"/>
      <c r="FL73" s="47"/>
    </row>
    <row r="74" spans="2:168" ht="11.25" customHeight="1">
      <c r="B74" s="137"/>
      <c r="C74" s="134"/>
      <c r="D74" s="372"/>
      <c r="E74" s="373"/>
      <c r="F74" s="374"/>
      <c r="G74" s="373"/>
      <c r="H74" s="373"/>
      <c r="I74" s="375"/>
      <c r="J74" s="88"/>
      <c r="AX74" s="137"/>
      <c r="AY74" s="172"/>
      <c r="AZ74" s="173"/>
      <c r="BA74" s="174"/>
      <c r="BB74" s="173"/>
      <c r="BC74" s="173"/>
      <c r="BD74" s="175"/>
      <c r="BE74" s="88"/>
      <c r="BG74" s="137"/>
      <c r="BH74" s="172"/>
      <c r="BI74" s="173"/>
      <c r="BJ74" s="174"/>
      <c r="BK74" s="173"/>
      <c r="BL74" s="173"/>
      <c r="BM74" s="175"/>
      <c r="BN74" s="88"/>
      <c r="BP74" s="137"/>
      <c r="BQ74" s="172"/>
      <c r="BR74" s="173"/>
      <c r="BS74" s="174"/>
      <c r="BT74" s="173"/>
      <c r="BU74" s="173"/>
      <c r="BV74" s="175"/>
      <c r="BW74" s="88"/>
      <c r="FH74" s="50"/>
      <c r="FI74" s="47"/>
      <c r="FJ74" s="47"/>
      <c r="FK74" s="47"/>
      <c r="FL74" s="47"/>
    </row>
    <row r="75" spans="2:168" ht="11.25" customHeight="1">
      <c r="B75" s="137"/>
      <c r="C75" s="134"/>
      <c r="D75" s="372"/>
      <c r="E75" s="373"/>
      <c r="F75" s="374"/>
      <c r="G75" s="373"/>
      <c r="H75" s="373"/>
      <c r="I75" s="375"/>
      <c r="J75" s="88"/>
      <c r="AX75" s="137"/>
      <c r="AY75" s="172"/>
      <c r="AZ75" s="173"/>
      <c r="BA75" s="174"/>
      <c r="BB75" s="173"/>
      <c r="BC75" s="173"/>
      <c r="BD75" s="175"/>
      <c r="BE75" s="88"/>
      <c r="BG75" s="137"/>
      <c r="BH75" s="172"/>
      <c r="BI75" s="173"/>
      <c r="BJ75" s="174"/>
      <c r="BK75" s="173"/>
      <c r="BL75" s="173"/>
      <c r="BM75" s="175"/>
      <c r="BN75" s="88"/>
      <c r="BP75" s="137"/>
      <c r="BQ75" s="172"/>
      <c r="BR75" s="173"/>
      <c r="BS75" s="174"/>
      <c r="BT75" s="173"/>
      <c r="BU75" s="173"/>
      <c r="BV75" s="175"/>
      <c r="BW75" s="88"/>
      <c r="FH75" s="50"/>
      <c r="FI75" s="47"/>
      <c r="FJ75" s="47"/>
      <c r="FK75" s="47"/>
      <c r="FL75" s="47"/>
    </row>
    <row r="76" spans="2:168" ht="11.25" customHeight="1">
      <c r="B76" s="137"/>
      <c r="C76" s="134"/>
      <c r="D76" s="372"/>
      <c r="E76" s="373"/>
      <c r="F76" s="374"/>
      <c r="G76" s="373"/>
      <c r="H76" s="373"/>
      <c r="I76" s="375"/>
      <c r="J76" s="88"/>
      <c r="AX76" s="137"/>
      <c r="AY76" s="172"/>
      <c r="AZ76" s="173"/>
      <c r="BA76" s="174"/>
      <c r="BB76" s="173"/>
      <c r="BC76" s="173"/>
      <c r="BD76" s="175"/>
      <c r="BE76" s="88"/>
      <c r="BG76" s="137"/>
      <c r="BH76" s="172"/>
      <c r="BI76" s="173"/>
      <c r="BJ76" s="174"/>
      <c r="BK76" s="173"/>
      <c r="BL76" s="173"/>
      <c r="BM76" s="175"/>
      <c r="BN76" s="88"/>
      <c r="BP76" s="137"/>
      <c r="BQ76" s="172"/>
      <c r="BR76" s="173"/>
      <c r="BS76" s="174"/>
      <c r="BT76" s="173"/>
      <c r="BU76" s="173"/>
      <c r="BV76" s="175"/>
      <c r="BW76" s="88"/>
      <c r="FH76" s="50"/>
      <c r="FI76" s="47"/>
      <c r="FJ76" s="47"/>
      <c r="FK76" s="47"/>
      <c r="FL76" s="47"/>
    </row>
    <row r="77" spans="2:168" ht="11.25" customHeight="1">
      <c r="B77" s="137"/>
      <c r="C77" s="134"/>
      <c r="D77" s="372"/>
      <c r="E77" s="373"/>
      <c r="F77" s="374"/>
      <c r="G77" s="373"/>
      <c r="H77" s="373"/>
      <c r="I77" s="375"/>
      <c r="J77" s="88"/>
      <c r="AX77" s="137"/>
      <c r="AY77" s="172"/>
      <c r="AZ77" s="173"/>
      <c r="BA77" s="174"/>
      <c r="BB77" s="173"/>
      <c r="BC77" s="173"/>
      <c r="BD77" s="175"/>
      <c r="BE77" s="88"/>
      <c r="BG77" s="137"/>
      <c r="BH77" s="172"/>
      <c r="BI77" s="173"/>
      <c r="BJ77" s="174"/>
      <c r="BK77" s="173"/>
      <c r="BL77" s="173"/>
      <c r="BM77" s="175"/>
      <c r="BN77" s="88"/>
      <c r="BP77" s="137"/>
      <c r="BQ77" s="172"/>
      <c r="BR77" s="173"/>
      <c r="BS77" s="174"/>
      <c r="BT77" s="173"/>
      <c r="BU77" s="173"/>
      <c r="BV77" s="175"/>
      <c r="BW77" s="88"/>
      <c r="FH77" s="50"/>
      <c r="FI77" s="47"/>
      <c r="FJ77" s="47"/>
      <c r="FK77" s="47"/>
      <c r="FL77" s="47"/>
    </row>
    <row r="78" spans="2:168" ht="11.25" customHeight="1">
      <c r="B78" s="137"/>
      <c r="C78" s="134"/>
      <c r="D78" s="372"/>
      <c r="E78" s="373"/>
      <c r="F78" s="374"/>
      <c r="G78" s="373"/>
      <c r="H78" s="373"/>
      <c r="I78" s="375"/>
      <c r="J78" s="88"/>
      <c r="AX78" s="137"/>
      <c r="AY78" s="172"/>
      <c r="AZ78" s="173"/>
      <c r="BA78" s="174"/>
      <c r="BB78" s="173"/>
      <c r="BC78" s="173"/>
      <c r="BD78" s="175"/>
      <c r="BE78" s="88"/>
      <c r="BG78" s="137"/>
      <c r="BH78" s="172"/>
      <c r="BI78" s="173"/>
      <c r="BJ78" s="174"/>
      <c r="BK78" s="173"/>
      <c r="BL78" s="173"/>
      <c r="BM78" s="175"/>
      <c r="BN78" s="88"/>
      <c r="BP78" s="137"/>
      <c r="BQ78" s="172"/>
      <c r="BR78" s="173"/>
      <c r="BS78" s="174"/>
      <c r="BT78" s="173"/>
      <c r="BU78" s="173"/>
      <c r="BV78" s="175"/>
      <c r="BW78" s="88"/>
      <c r="FH78" s="50"/>
      <c r="FI78" s="47"/>
      <c r="FJ78" s="47"/>
      <c r="FK78" s="47"/>
      <c r="FL78" s="47"/>
    </row>
    <row r="79" spans="2:168" ht="11.25" customHeight="1">
      <c r="B79" s="137"/>
      <c r="C79" s="134"/>
      <c r="D79" s="372"/>
      <c r="E79" s="373"/>
      <c r="F79" s="374"/>
      <c r="G79" s="373"/>
      <c r="H79" s="373"/>
      <c r="I79" s="375"/>
      <c r="J79" s="88"/>
      <c r="AX79" s="137"/>
      <c r="AY79" s="172"/>
      <c r="AZ79" s="173"/>
      <c r="BA79" s="174"/>
      <c r="BB79" s="173"/>
      <c r="BC79" s="173"/>
      <c r="BD79" s="175"/>
      <c r="BE79" s="88"/>
      <c r="BG79" s="137"/>
      <c r="BH79" s="172"/>
      <c r="BI79" s="173"/>
      <c r="BJ79" s="174"/>
      <c r="BK79" s="173"/>
      <c r="BL79" s="173"/>
      <c r="BM79" s="175"/>
      <c r="BN79" s="88"/>
      <c r="BP79" s="137"/>
      <c r="BQ79" s="172"/>
      <c r="BR79" s="173"/>
      <c r="BS79" s="174"/>
      <c r="BT79" s="173"/>
      <c r="BU79" s="173"/>
      <c r="BV79" s="175"/>
      <c r="BW79" s="88"/>
      <c r="FH79" s="50"/>
      <c r="FI79" s="47"/>
      <c r="FJ79" s="47"/>
      <c r="FK79" s="47"/>
      <c r="FL79" s="47"/>
    </row>
    <row r="80" spans="2:168" ht="11.25" customHeight="1">
      <c r="B80" s="137"/>
      <c r="C80" s="134"/>
      <c r="D80" s="372"/>
      <c r="E80" s="373"/>
      <c r="F80" s="374"/>
      <c r="G80" s="373"/>
      <c r="H80" s="373"/>
      <c r="I80" s="375"/>
      <c r="J80" s="88"/>
      <c r="AX80" s="137"/>
      <c r="AY80" s="172"/>
      <c r="AZ80" s="173"/>
      <c r="BA80" s="174"/>
      <c r="BB80" s="173"/>
      <c r="BC80" s="173"/>
      <c r="BD80" s="175"/>
      <c r="BE80" s="88"/>
      <c r="BG80" s="137"/>
      <c r="BH80" s="172"/>
      <c r="BI80" s="173"/>
      <c r="BJ80" s="174"/>
      <c r="BK80" s="173"/>
      <c r="BL80" s="173"/>
      <c r="BM80" s="175"/>
      <c r="BN80" s="88"/>
      <c r="BP80" s="137"/>
      <c r="BQ80" s="172"/>
      <c r="BR80" s="173"/>
      <c r="BS80" s="174"/>
      <c r="BT80" s="173"/>
      <c r="BU80" s="173"/>
      <c r="BV80" s="175"/>
      <c r="BW80" s="88"/>
      <c r="FH80" s="50"/>
      <c r="FI80" s="47"/>
      <c r="FJ80" s="47"/>
      <c r="FK80" s="47"/>
      <c r="FL80" s="47"/>
    </row>
    <row r="81" spans="2:168" ht="11.25" customHeight="1">
      <c r="B81" s="137"/>
      <c r="C81" s="134"/>
      <c r="D81" s="372"/>
      <c r="E81" s="373"/>
      <c r="F81" s="374"/>
      <c r="G81" s="373"/>
      <c r="H81" s="373"/>
      <c r="I81" s="375"/>
      <c r="J81" s="88"/>
      <c r="AX81" s="137"/>
      <c r="AY81" s="172"/>
      <c r="AZ81" s="173"/>
      <c r="BA81" s="174"/>
      <c r="BB81" s="173"/>
      <c r="BC81" s="173"/>
      <c r="BD81" s="175"/>
      <c r="BE81" s="88"/>
      <c r="BG81" s="137"/>
      <c r="BH81" s="172"/>
      <c r="BI81" s="173"/>
      <c r="BJ81" s="174"/>
      <c r="BK81" s="173"/>
      <c r="BL81" s="173"/>
      <c r="BM81" s="175"/>
      <c r="BN81" s="88"/>
      <c r="BP81" s="137"/>
      <c r="BQ81" s="172"/>
      <c r="BR81" s="173"/>
      <c r="BS81" s="174"/>
      <c r="BT81" s="173"/>
      <c r="BU81" s="173"/>
      <c r="BV81" s="175"/>
      <c r="BW81" s="88"/>
      <c r="FH81" s="50"/>
      <c r="FI81" s="47"/>
      <c r="FJ81" s="47"/>
      <c r="FK81" s="47"/>
      <c r="FL81" s="47"/>
    </row>
    <row r="82" spans="2:168" ht="11.25" customHeight="1">
      <c r="B82" s="137"/>
      <c r="C82" s="134"/>
      <c r="D82" s="372"/>
      <c r="E82" s="373"/>
      <c r="F82" s="374"/>
      <c r="G82" s="373"/>
      <c r="H82" s="373"/>
      <c r="I82" s="375"/>
      <c r="J82" s="88"/>
      <c r="AX82" s="137"/>
      <c r="AY82" s="172"/>
      <c r="AZ82" s="173"/>
      <c r="BA82" s="174"/>
      <c r="BB82" s="173"/>
      <c r="BC82" s="173"/>
      <c r="BD82" s="175"/>
      <c r="BE82" s="88"/>
      <c r="BG82" s="137"/>
      <c r="BH82" s="172"/>
      <c r="BI82" s="173"/>
      <c r="BJ82" s="174"/>
      <c r="BK82" s="173"/>
      <c r="BL82" s="173"/>
      <c r="BM82" s="175"/>
      <c r="BN82" s="88"/>
      <c r="BP82" s="137"/>
      <c r="BQ82" s="172"/>
      <c r="BR82" s="173"/>
      <c r="BS82" s="174"/>
      <c r="BT82" s="173"/>
      <c r="BU82" s="173"/>
      <c r="BV82" s="175"/>
      <c r="BW82" s="88"/>
      <c r="FH82" s="50"/>
      <c r="FI82" s="47"/>
      <c r="FJ82" s="47"/>
      <c r="FK82" s="47"/>
      <c r="FL82" s="47"/>
    </row>
    <row r="83" spans="2:168" ht="11.25" customHeight="1">
      <c r="B83" s="137"/>
      <c r="C83" s="134"/>
      <c r="D83" s="372"/>
      <c r="E83" s="373"/>
      <c r="F83" s="374"/>
      <c r="G83" s="373"/>
      <c r="H83" s="373"/>
      <c r="I83" s="375"/>
      <c r="J83" s="88"/>
      <c r="AX83" s="137"/>
      <c r="AY83" s="172"/>
      <c r="AZ83" s="173"/>
      <c r="BA83" s="174"/>
      <c r="BB83" s="173"/>
      <c r="BC83" s="173"/>
      <c r="BD83" s="175"/>
      <c r="BE83" s="88"/>
      <c r="BG83" s="137"/>
      <c r="BH83" s="172"/>
      <c r="BI83" s="173"/>
      <c r="BJ83" s="174"/>
      <c r="BK83" s="173"/>
      <c r="BL83" s="173"/>
      <c r="BM83" s="175"/>
      <c r="BN83" s="88"/>
      <c r="BP83" s="137"/>
      <c r="BQ83" s="172"/>
      <c r="BR83" s="173"/>
      <c r="BS83" s="174"/>
      <c r="BT83" s="173"/>
      <c r="BU83" s="173"/>
      <c r="BV83" s="175"/>
      <c r="BW83" s="88"/>
      <c r="FH83" s="50"/>
      <c r="FI83" s="47"/>
      <c r="FJ83" s="47"/>
      <c r="FK83" s="47"/>
      <c r="FL83" s="47"/>
    </row>
    <row r="84" spans="2:168" ht="11.25" customHeight="1">
      <c r="B84" s="137"/>
      <c r="C84" s="134"/>
      <c r="D84" s="372"/>
      <c r="E84" s="373"/>
      <c r="F84" s="374"/>
      <c r="G84" s="373"/>
      <c r="H84" s="373"/>
      <c r="I84" s="375"/>
      <c r="J84" s="88"/>
      <c r="AX84" s="137"/>
      <c r="AY84" s="172"/>
      <c r="AZ84" s="173"/>
      <c r="BA84" s="174"/>
      <c r="BB84" s="173"/>
      <c r="BC84" s="173"/>
      <c r="BD84" s="175"/>
      <c r="BE84" s="88"/>
      <c r="BG84" s="137"/>
      <c r="BH84" s="172"/>
      <c r="BI84" s="173"/>
      <c r="BJ84" s="174"/>
      <c r="BK84" s="173"/>
      <c r="BL84" s="173"/>
      <c r="BM84" s="175"/>
      <c r="BN84" s="88"/>
      <c r="BP84" s="137"/>
      <c r="BQ84" s="172"/>
      <c r="BR84" s="173"/>
      <c r="BS84" s="174"/>
      <c r="BT84" s="173"/>
      <c r="BU84" s="173"/>
      <c r="BV84" s="175"/>
      <c r="BW84" s="88"/>
      <c r="FH84" s="50"/>
      <c r="FI84" s="47"/>
      <c r="FJ84" s="47"/>
      <c r="FK84" s="47"/>
      <c r="FL84" s="47"/>
    </row>
    <row r="85" spans="2:168" ht="11.25" customHeight="1">
      <c r="B85" s="137"/>
      <c r="C85" s="134"/>
      <c r="D85" s="372"/>
      <c r="E85" s="373"/>
      <c r="F85" s="374"/>
      <c r="G85" s="373"/>
      <c r="H85" s="373"/>
      <c r="I85" s="375"/>
      <c r="J85" s="88"/>
      <c r="AX85" s="137"/>
      <c r="AY85" s="172"/>
      <c r="AZ85" s="173"/>
      <c r="BA85" s="174"/>
      <c r="BB85" s="173"/>
      <c r="BC85" s="173"/>
      <c r="BD85" s="175"/>
      <c r="BE85" s="88"/>
      <c r="BG85" s="137"/>
      <c r="BH85" s="172"/>
      <c r="BI85" s="173"/>
      <c r="BJ85" s="174"/>
      <c r="BK85" s="173"/>
      <c r="BL85" s="173"/>
      <c r="BM85" s="175"/>
      <c r="BN85" s="88"/>
      <c r="BP85" s="137"/>
      <c r="BQ85" s="172"/>
      <c r="BR85" s="173"/>
      <c r="BS85" s="174"/>
      <c r="BT85" s="173"/>
      <c r="BU85" s="173"/>
      <c r="BV85" s="175"/>
      <c r="BW85" s="88"/>
      <c r="FH85" s="50"/>
      <c r="FI85" s="47"/>
      <c r="FJ85" s="47"/>
      <c r="FK85" s="47"/>
      <c r="FL85" s="47"/>
    </row>
    <row r="86" spans="2:168" ht="11.25" customHeight="1">
      <c r="B86" s="137"/>
      <c r="C86" s="134"/>
      <c r="D86" s="372"/>
      <c r="E86" s="373"/>
      <c r="F86" s="374"/>
      <c r="G86" s="373"/>
      <c r="H86" s="373"/>
      <c r="I86" s="375"/>
      <c r="J86" s="88"/>
      <c r="AX86" s="137"/>
      <c r="AY86" s="172"/>
      <c r="AZ86" s="173"/>
      <c r="BA86" s="174"/>
      <c r="BB86" s="173"/>
      <c r="BC86" s="173"/>
      <c r="BD86" s="175"/>
      <c r="BE86" s="88"/>
      <c r="BG86" s="137"/>
      <c r="BH86" s="172"/>
      <c r="BI86" s="173"/>
      <c r="BJ86" s="174"/>
      <c r="BK86" s="173"/>
      <c r="BL86" s="173"/>
      <c r="BM86" s="175"/>
      <c r="BN86" s="88"/>
      <c r="BP86" s="137"/>
      <c r="BQ86" s="172"/>
      <c r="BR86" s="173"/>
      <c r="BS86" s="174"/>
      <c r="BT86" s="173"/>
      <c r="BU86" s="173"/>
      <c r="BV86" s="175"/>
      <c r="BW86" s="88"/>
      <c r="FH86" s="50"/>
      <c r="FI86" s="47"/>
      <c r="FJ86" s="47"/>
      <c r="FK86" s="47"/>
      <c r="FL86" s="47"/>
    </row>
    <row r="87" spans="2:168" ht="11.25" customHeight="1">
      <c r="B87" s="137"/>
      <c r="C87" s="134"/>
      <c r="D87" s="372"/>
      <c r="E87" s="373"/>
      <c r="F87" s="374"/>
      <c r="G87" s="373"/>
      <c r="H87" s="373"/>
      <c r="I87" s="375"/>
      <c r="J87" s="88"/>
      <c r="AX87" s="137"/>
      <c r="AY87" s="172"/>
      <c r="AZ87" s="173"/>
      <c r="BA87" s="174"/>
      <c r="BB87" s="173"/>
      <c r="BC87" s="173"/>
      <c r="BD87" s="175"/>
      <c r="BE87" s="88"/>
      <c r="BG87" s="137"/>
      <c r="BH87" s="172"/>
      <c r="BI87" s="173"/>
      <c r="BJ87" s="174"/>
      <c r="BK87" s="173"/>
      <c r="BL87" s="173"/>
      <c r="BM87" s="175"/>
      <c r="BN87" s="88"/>
      <c r="BP87" s="137"/>
      <c r="BQ87" s="172"/>
      <c r="BR87" s="173"/>
      <c r="BS87" s="174"/>
      <c r="BT87" s="173"/>
      <c r="BU87" s="173"/>
      <c r="BV87" s="175"/>
      <c r="BW87" s="88"/>
      <c r="FH87" s="50"/>
      <c r="FI87" s="47"/>
      <c r="FJ87" s="47"/>
      <c r="FK87" s="47"/>
      <c r="FL87" s="47"/>
    </row>
    <row r="88" spans="2:168" ht="11.25" customHeight="1">
      <c r="B88" s="137"/>
      <c r="C88" s="134"/>
      <c r="D88" s="372"/>
      <c r="E88" s="373"/>
      <c r="F88" s="374"/>
      <c r="G88" s="373"/>
      <c r="H88" s="373"/>
      <c r="I88" s="375"/>
      <c r="J88" s="88"/>
      <c r="AX88" s="137"/>
      <c r="AY88" s="172"/>
      <c r="AZ88" s="173"/>
      <c r="BA88" s="174"/>
      <c r="BB88" s="173"/>
      <c r="BC88" s="173"/>
      <c r="BD88" s="175"/>
      <c r="BE88" s="88"/>
      <c r="BG88" s="137"/>
      <c r="BH88" s="172"/>
      <c r="BI88" s="173"/>
      <c r="BJ88" s="174"/>
      <c r="BK88" s="173"/>
      <c r="BL88" s="173"/>
      <c r="BM88" s="175"/>
      <c r="BN88" s="88"/>
      <c r="BP88" s="137"/>
      <c r="BQ88" s="172"/>
      <c r="BR88" s="173"/>
      <c r="BS88" s="174"/>
      <c r="BT88" s="173"/>
      <c r="BU88" s="173"/>
      <c r="BV88" s="175"/>
      <c r="BW88" s="88"/>
      <c r="FH88" s="50"/>
      <c r="FI88" s="47"/>
      <c r="FJ88" s="47"/>
      <c r="FK88" s="47"/>
      <c r="FL88" s="47"/>
    </row>
    <row r="89" spans="2:168" ht="11.25" customHeight="1">
      <c r="B89" s="137"/>
      <c r="C89" s="134"/>
      <c r="D89" s="372"/>
      <c r="E89" s="373"/>
      <c r="F89" s="374"/>
      <c r="G89" s="373"/>
      <c r="H89" s="373"/>
      <c r="I89" s="375"/>
      <c r="J89" s="88"/>
      <c r="AX89" s="137"/>
      <c r="AY89" s="172"/>
      <c r="AZ89" s="173"/>
      <c r="BA89" s="174"/>
      <c r="BB89" s="173"/>
      <c r="BC89" s="173"/>
      <c r="BD89" s="175"/>
      <c r="BE89" s="88"/>
      <c r="BG89" s="137"/>
      <c r="BH89" s="172"/>
      <c r="BI89" s="173"/>
      <c r="BJ89" s="174"/>
      <c r="BK89" s="173"/>
      <c r="BL89" s="173"/>
      <c r="BM89" s="175"/>
      <c r="BN89" s="88"/>
      <c r="BP89" s="137"/>
      <c r="BQ89" s="172"/>
      <c r="BR89" s="173"/>
      <c r="BS89" s="174"/>
      <c r="BT89" s="173"/>
      <c r="BU89" s="173"/>
      <c r="BV89" s="175"/>
      <c r="BW89" s="88"/>
      <c r="FH89" s="50"/>
      <c r="FI89" s="47"/>
      <c r="FJ89" s="47"/>
      <c r="FK89" s="47"/>
      <c r="FL89" s="47"/>
    </row>
    <row r="90" spans="2:168" ht="11.25" customHeight="1">
      <c r="B90" s="137"/>
      <c r="C90" s="134"/>
      <c r="D90" s="372"/>
      <c r="E90" s="373"/>
      <c r="F90" s="374"/>
      <c r="G90" s="373"/>
      <c r="H90" s="373"/>
      <c r="I90" s="375"/>
      <c r="J90" s="88"/>
      <c r="AX90" s="137"/>
      <c r="AY90" s="172"/>
      <c r="AZ90" s="173"/>
      <c r="BA90" s="174"/>
      <c r="BB90" s="173"/>
      <c r="BC90" s="173"/>
      <c r="BD90" s="175"/>
      <c r="BE90" s="88"/>
      <c r="BG90" s="137"/>
      <c r="BH90" s="172"/>
      <c r="BI90" s="173"/>
      <c r="BJ90" s="174"/>
      <c r="BK90" s="173"/>
      <c r="BL90" s="173"/>
      <c r="BM90" s="175"/>
      <c r="BN90" s="88"/>
      <c r="BP90" s="137"/>
      <c r="BQ90" s="172"/>
      <c r="BR90" s="173"/>
      <c r="BS90" s="174"/>
      <c r="BT90" s="173"/>
      <c r="BU90" s="173"/>
      <c r="BV90" s="175"/>
      <c r="BW90" s="88"/>
      <c r="FH90" s="50"/>
      <c r="FI90" s="47"/>
      <c r="FJ90" s="47"/>
      <c r="FK90" s="47"/>
      <c r="FL90" s="47"/>
    </row>
    <row r="91" spans="2:168" ht="11.25" customHeight="1">
      <c r="B91" s="137"/>
      <c r="C91" s="134"/>
      <c r="D91" s="372"/>
      <c r="E91" s="373"/>
      <c r="F91" s="374"/>
      <c r="G91" s="373"/>
      <c r="H91" s="373"/>
      <c r="I91" s="375"/>
      <c r="J91" s="88"/>
      <c r="AX91" s="137"/>
      <c r="AY91" s="172"/>
      <c r="AZ91" s="173"/>
      <c r="BA91" s="174"/>
      <c r="BB91" s="173"/>
      <c r="BC91" s="173"/>
      <c r="BD91" s="175"/>
      <c r="BE91" s="88"/>
      <c r="BG91" s="137"/>
      <c r="BH91" s="172"/>
      <c r="BI91" s="173"/>
      <c r="BJ91" s="174"/>
      <c r="BK91" s="173"/>
      <c r="BL91" s="173"/>
      <c r="BM91" s="175"/>
      <c r="BN91" s="88"/>
      <c r="BP91" s="137"/>
      <c r="BQ91" s="172"/>
      <c r="BR91" s="173"/>
      <c r="BS91" s="174"/>
      <c r="BT91" s="173"/>
      <c r="BU91" s="173"/>
      <c r="BV91" s="175"/>
      <c r="BW91" s="88"/>
      <c r="FH91" s="50"/>
      <c r="FI91" s="47"/>
      <c r="FJ91" s="47"/>
      <c r="FK91" s="47"/>
      <c r="FL91" s="47"/>
    </row>
    <row r="92" spans="2:168" ht="11.25" customHeight="1">
      <c r="B92" s="137"/>
      <c r="C92" s="134"/>
      <c r="D92" s="372"/>
      <c r="E92" s="373"/>
      <c r="F92" s="374"/>
      <c r="G92" s="373"/>
      <c r="H92" s="373"/>
      <c r="I92" s="375"/>
      <c r="J92" s="88"/>
      <c r="AX92" s="137"/>
      <c r="AY92" s="172"/>
      <c r="AZ92" s="173"/>
      <c r="BA92" s="174"/>
      <c r="BB92" s="173"/>
      <c r="BC92" s="173"/>
      <c r="BD92" s="175"/>
      <c r="BE92" s="88"/>
      <c r="BG92" s="137"/>
      <c r="BH92" s="172"/>
      <c r="BI92" s="173"/>
      <c r="BJ92" s="174"/>
      <c r="BK92" s="173"/>
      <c r="BL92" s="173"/>
      <c r="BM92" s="175"/>
      <c r="BN92" s="88"/>
      <c r="BP92" s="137"/>
      <c r="BQ92" s="172"/>
      <c r="BR92" s="173"/>
      <c r="BS92" s="174"/>
      <c r="BT92" s="173"/>
      <c r="BU92" s="173"/>
      <c r="BV92" s="175"/>
      <c r="BW92" s="88"/>
      <c r="FH92" s="50"/>
      <c r="FI92" s="47"/>
      <c r="FJ92" s="47"/>
      <c r="FK92" s="47"/>
      <c r="FL92" s="47"/>
    </row>
    <row r="93" spans="2:168" ht="11.25" customHeight="1">
      <c r="B93" s="137"/>
      <c r="C93" s="134"/>
      <c r="D93" s="372"/>
      <c r="E93" s="373"/>
      <c r="F93" s="374"/>
      <c r="G93" s="373"/>
      <c r="H93" s="373"/>
      <c r="I93" s="375"/>
      <c r="J93" s="88"/>
      <c r="AX93" s="137"/>
      <c r="AY93" s="172"/>
      <c r="AZ93" s="173"/>
      <c r="BA93" s="174"/>
      <c r="BB93" s="173"/>
      <c r="BC93" s="173"/>
      <c r="BD93" s="175"/>
      <c r="BE93" s="88"/>
      <c r="BG93" s="137"/>
      <c r="BH93" s="172"/>
      <c r="BI93" s="173"/>
      <c r="BJ93" s="174"/>
      <c r="BK93" s="173"/>
      <c r="BL93" s="173"/>
      <c r="BM93" s="175"/>
      <c r="BN93" s="88"/>
      <c r="BP93" s="137"/>
      <c r="BQ93" s="172"/>
      <c r="BR93" s="173"/>
      <c r="BS93" s="174"/>
      <c r="BT93" s="173"/>
      <c r="BU93" s="173"/>
      <c r="BV93" s="175"/>
      <c r="BW93" s="88"/>
      <c r="FH93" s="50"/>
      <c r="FI93" s="47"/>
      <c r="FJ93" s="47"/>
      <c r="FK93" s="47"/>
      <c r="FL93" s="47"/>
    </row>
    <row r="94" spans="2:168" ht="11.25" customHeight="1">
      <c r="B94" s="137"/>
      <c r="C94" s="134"/>
      <c r="D94" s="372"/>
      <c r="E94" s="373"/>
      <c r="F94" s="374"/>
      <c r="G94" s="373"/>
      <c r="H94" s="373"/>
      <c r="I94" s="375"/>
      <c r="J94" s="88"/>
      <c r="AX94" s="137"/>
      <c r="AY94" s="172"/>
      <c r="AZ94" s="173"/>
      <c r="BA94" s="174"/>
      <c r="BB94" s="173"/>
      <c r="BC94" s="173"/>
      <c r="BD94" s="175"/>
      <c r="BE94" s="88"/>
      <c r="BG94" s="137"/>
      <c r="BH94" s="172"/>
      <c r="BI94" s="173"/>
      <c r="BJ94" s="174"/>
      <c r="BK94" s="173"/>
      <c r="BL94" s="173"/>
      <c r="BM94" s="175"/>
      <c r="BN94" s="88"/>
      <c r="BP94" s="137"/>
      <c r="BQ94" s="172"/>
      <c r="BR94" s="173"/>
      <c r="BS94" s="174"/>
      <c r="BT94" s="173"/>
      <c r="BU94" s="173"/>
      <c r="BV94" s="175"/>
      <c r="BW94" s="88"/>
      <c r="FH94" s="50"/>
      <c r="FI94" s="47"/>
      <c r="FJ94" s="47"/>
      <c r="FK94" s="47"/>
      <c r="FL94" s="47"/>
    </row>
    <row r="95" spans="2:168" ht="11.25" customHeight="1">
      <c r="B95" s="137"/>
      <c r="C95" s="134"/>
      <c r="D95" s="372"/>
      <c r="E95" s="373"/>
      <c r="F95" s="374"/>
      <c r="G95" s="373"/>
      <c r="H95" s="373"/>
      <c r="I95" s="375"/>
      <c r="J95" s="88"/>
      <c r="AX95" s="137"/>
      <c r="AY95" s="172"/>
      <c r="AZ95" s="173"/>
      <c r="BA95" s="174"/>
      <c r="BB95" s="173"/>
      <c r="BC95" s="173"/>
      <c r="BD95" s="175"/>
      <c r="BE95" s="88"/>
      <c r="BG95" s="137"/>
      <c r="BH95" s="172"/>
      <c r="BI95" s="173"/>
      <c r="BJ95" s="174"/>
      <c r="BK95" s="173"/>
      <c r="BL95" s="173"/>
      <c r="BM95" s="175"/>
      <c r="BN95" s="88"/>
      <c r="BP95" s="137"/>
      <c r="BQ95" s="172"/>
      <c r="BR95" s="173"/>
      <c r="BS95" s="174"/>
      <c r="BT95" s="173"/>
      <c r="BU95" s="173"/>
      <c r="BV95" s="175"/>
      <c r="BW95" s="88"/>
      <c r="FH95" s="50"/>
      <c r="FI95" s="47"/>
      <c r="FJ95" s="47"/>
      <c r="FK95" s="47"/>
      <c r="FL95" s="47"/>
    </row>
    <row r="96" spans="2:168" ht="11.25" customHeight="1">
      <c r="B96" s="137"/>
      <c r="C96" s="134"/>
      <c r="D96" s="372"/>
      <c r="E96" s="373"/>
      <c r="F96" s="374"/>
      <c r="G96" s="373"/>
      <c r="H96" s="373"/>
      <c r="I96" s="375"/>
      <c r="J96" s="88"/>
      <c r="AX96" s="137"/>
      <c r="AY96" s="172"/>
      <c r="AZ96" s="173"/>
      <c r="BA96" s="174"/>
      <c r="BB96" s="173"/>
      <c r="BC96" s="173"/>
      <c r="BD96" s="175"/>
      <c r="BE96" s="88"/>
      <c r="BG96" s="137"/>
      <c r="BH96" s="172"/>
      <c r="BI96" s="173"/>
      <c r="BJ96" s="174"/>
      <c r="BK96" s="173"/>
      <c r="BL96" s="173"/>
      <c r="BM96" s="175"/>
      <c r="BN96" s="88"/>
      <c r="BP96" s="137"/>
      <c r="BQ96" s="172"/>
      <c r="BR96" s="173"/>
      <c r="BS96" s="174"/>
      <c r="BT96" s="173"/>
      <c r="BU96" s="173"/>
      <c r="BV96" s="175"/>
      <c r="BW96" s="88"/>
      <c r="FH96" s="50"/>
      <c r="FI96" s="47"/>
      <c r="FJ96" s="47"/>
      <c r="FK96" s="47"/>
      <c r="FL96" s="47"/>
    </row>
    <row r="97" spans="2:168" ht="11.25" customHeight="1">
      <c r="B97" s="137"/>
      <c r="C97" s="134"/>
      <c r="D97" s="372"/>
      <c r="E97" s="373"/>
      <c r="F97" s="374"/>
      <c r="G97" s="373"/>
      <c r="H97" s="373"/>
      <c r="I97" s="375"/>
      <c r="J97" s="88"/>
      <c r="AX97" s="137"/>
      <c r="AY97" s="172"/>
      <c r="AZ97" s="173"/>
      <c r="BA97" s="174"/>
      <c r="BB97" s="173"/>
      <c r="BC97" s="173"/>
      <c r="BD97" s="175"/>
      <c r="BE97" s="88"/>
      <c r="BG97" s="137"/>
      <c r="BH97" s="172"/>
      <c r="BI97" s="173"/>
      <c r="BJ97" s="174"/>
      <c r="BK97" s="173"/>
      <c r="BL97" s="173"/>
      <c r="BM97" s="175"/>
      <c r="BN97" s="88"/>
      <c r="BP97" s="137"/>
      <c r="BQ97" s="172"/>
      <c r="BR97" s="173"/>
      <c r="BS97" s="174"/>
      <c r="BT97" s="173"/>
      <c r="BU97" s="173"/>
      <c r="BV97" s="175"/>
      <c r="BW97" s="88"/>
      <c r="FH97" s="50"/>
      <c r="FI97" s="47"/>
      <c r="FJ97" s="47"/>
      <c r="FK97" s="47"/>
      <c r="FL97" s="47"/>
    </row>
    <row r="98" spans="2:168" ht="11.25" customHeight="1">
      <c r="B98" s="137"/>
      <c r="C98" s="134"/>
      <c r="D98" s="372"/>
      <c r="E98" s="373"/>
      <c r="F98" s="374"/>
      <c r="G98" s="373"/>
      <c r="H98" s="373"/>
      <c r="I98" s="375"/>
      <c r="J98" s="88"/>
      <c r="AX98" s="137"/>
      <c r="AY98" s="172"/>
      <c r="AZ98" s="173"/>
      <c r="BA98" s="174"/>
      <c r="BB98" s="173"/>
      <c r="BC98" s="173"/>
      <c r="BD98" s="175"/>
      <c r="BE98" s="88"/>
      <c r="BG98" s="137"/>
      <c r="BH98" s="172"/>
      <c r="BI98" s="173"/>
      <c r="BJ98" s="174"/>
      <c r="BK98" s="173"/>
      <c r="BL98" s="173"/>
      <c r="BM98" s="175"/>
      <c r="BN98" s="88"/>
      <c r="BP98" s="137"/>
      <c r="BQ98" s="172"/>
      <c r="BR98" s="173"/>
      <c r="BS98" s="174"/>
      <c r="BT98" s="173"/>
      <c r="BU98" s="173"/>
      <c r="BV98" s="175"/>
      <c r="BW98" s="88"/>
      <c r="FH98" s="50"/>
      <c r="FI98" s="47"/>
      <c r="FJ98" s="47"/>
      <c r="FK98" s="47"/>
      <c r="FL98" s="47"/>
    </row>
    <row r="99" spans="2:168" ht="11.25" customHeight="1">
      <c r="B99" s="137"/>
      <c r="C99" s="134"/>
      <c r="D99" s="372"/>
      <c r="E99" s="373"/>
      <c r="F99" s="374"/>
      <c r="G99" s="373"/>
      <c r="H99" s="373"/>
      <c r="I99" s="375"/>
      <c r="J99" s="88"/>
      <c r="AX99" s="137"/>
      <c r="AY99" s="172"/>
      <c r="AZ99" s="173"/>
      <c r="BA99" s="174"/>
      <c r="BB99" s="173"/>
      <c r="BC99" s="173"/>
      <c r="BD99" s="175"/>
      <c r="BE99" s="88"/>
      <c r="BG99" s="137"/>
      <c r="BH99" s="172"/>
      <c r="BI99" s="173"/>
      <c r="BJ99" s="174"/>
      <c r="BK99" s="173"/>
      <c r="BL99" s="173"/>
      <c r="BM99" s="175"/>
      <c r="BN99" s="88"/>
      <c r="BP99" s="137"/>
      <c r="BQ99" s="172"/>
      <c r="BR99" s="173"/>
      <c r="BS99" s="174"/>
      <c r="BT99" s="173"/>
      <c r="BU99" s="173"/>
      <c r="BV99" s="175"/>
      <c r="BW99" s="88"/>
      <c r="FH99" s="50"/>
      <c r="FI99" s="47"/>
      <c r="FJ99" s="47"/>
      <c r="FK99" s="47"/>
      <c r="FL99" s="47"/>
    </row>
    <row r="100" spans="2:168" ht="11.25" customHeight="1">
      <c r="B100" s="137"/>
      <c r="C100" s="134"/>
      <c r="D100" s="372"/>
      <c r="E100" s="373"/>
      <c r="F100" s="374"/>
      <c r="G100" s="373"/>
      <c r="H100" s="373"/>
      <c r="I100" s="375"/>
      <c r="J100" s="88"/>
      <c r="AX100" s="137"/>
      <c r="AY100" s="172"/>
      <c r="AZ100" s="173"/>
      <c r="BA100" s="174"/>
      <c r="BB100" s="173"/>
      <c r="BC100" s="173"/>
      <c r="BD100" s="175"/>
      <c r="BE100" s="88"/>
      <c r="BG100" s="137"/>
      <c r="BH100" s="172"/>
      <c r="BI100" s="173"/>
      <c r="BJ100" s="174"/>
      <c r="BK100" s="173"/>
      <c r="BL100" s="173"/>
      <c r="BM100" s="175"/>
      <c r="BN100" s="88"/>
      <c r="BP100" s="137"/>
      <c r="BQ100" s="172"/>
      <c r="BR100" s="173"/>
      <c r="BS100" s="174"/>
      <c r="BT100" s="173"/>
      <c r="BU100" s="173"/>
      <c r="BV100" s="175"/>
      <c r="BW100" s="88"/>
      <c r="FH100" s="50"/>
      <c r="FI100" s="47"/>
      <c r="FJ100" s="47"/>
      <c r="FK100" s="47"/>
      <c r="FL100" s="47"/>
    </row>
    <row r="101" spans="2:168" ht="11.25" customHeight="1">
      <c r="B101" s="137"/>
      <c r="C101" s="134"/>
      <c r="D101" s="372"/>
      <c r="E101" s="373"/>
      <c r="F101" s="374"/>
      <c r="G101" s="373"/>
      <c r="H101" s="373"/>
      <c r="I101" s="375"/>
      <c r="J101" s="88"/>
      <c r="AX101" s="137"/>
      <c r="AY101" s="172"/>
      <c r="AZ101" s="173"/>
      <c r="BA101" s="174"/>
      <c r="BB101" s="173"/>
      <c r="BC101" s="173"/>
      <c r="BD101" s="175"/>
      <c r="BE101" s="88"/>
      <c r="BG101" s="137"/>
      <c r="BH101" s="172"/>
      <c r="BI101" s="173"/>
      <c r="BJ101" s="174"/>
      <c r="BK101" s="173"/>
      <c r="BL101" s="173"/>
      <c r="BM101" s="175"/>
      <c r="BN101" s="88"/>
      <c r="BP101" s="137"/>
      <c r="BQ101" s="172"/>
      <c r="BR101" s="173"/>
      <c r="BS101" s="174"/>
      <c r="BT101" s="173"/>
      <c r="BU101" s="173"/>
      <c r="BV101" s="175"/>
      <c r="BW101" s="88"/>
      <c r="FH101" s="50"/>
      <c r="FI101" s="47"/>
      <c r="FJ101" s="47"/>
      <c r="FK101" s="47"/>
      <c r="FL101" s="47"/>
    </row>
    <row r="102" spans="2:168" ht="11.25" customHeight="1">
      <c r="B102" s="137"/>
      <c r="C102" s="134"/>
      <c r="D102" s="372"/>
      <c r="E102" s="373"/>
      <c r="F102" s="374"/>
      <c r="G102" s="373"/>
      <c r="H102" s="373"/>
      <c r="I102" s="375"/>
      <c r="J102" s="88"/>
      <c r="AX102" s="137"/>
      <c r="AY102" s="172"/>
      <c r="AZ102" s="173"/>
      <c r="BA102" s="174"/>
      <c r="BB102" s="173"/>
      <c r="BC102" s="173"/>
      <c r="BD102" s="175"/>
      <c r="BE102" s="88"/>
      <c r="BG102" s="137"/>
      <c r="BH102" s="172"/>
      <c r="BI102" s="173"/>
      <c r="BJ102" s="174"/>
      <c r="BK102" s="173"/>
      <c r="BL102" s="173"/>
      <c r="BM102" s="175"/>
      <c r="BN102" s="88"/>
      <c r="BP102" s="137"/>
      <c r="BQ102" s="172"/>
      <c r="BR102" s="173"/>
      <c r="BS102" s="174"/>
      <c r="BT102" s="173"/>
      <c r="BU102" s="173"/>
      <c r="BV102" s="175"/>
      <c r="BW102" s="88"/>
      <c r="FH102" s="50"/>
      <c r="FI102" s="47"/>
      <c r="FJ102" s="47"/>
      <c r="FK102" s="47"/>
      <c r="FL102" s="47"/>
    </row>
    <row r="103" spans="2:168" ht="11.25" customHeight="1">
      <c r="B103" s="137"/>
      <c r="C103" s="134"/>
      <c r="D103" s="372"/>
      <c r="E103" s="373"/>
      <c r="F103" s="374"/>
      <c r="G103" s="373"/>
      <c r="H103" s="373"/>
      <c r="I103" s="375"/>
      <c r="J103" s="88"/>
      <c r="AX103" s="137"/>
      <c r="AY103" s="172"/>
      <c r="AZ103" s="173"/>
      <c r="BA103" s="174"/>
      <c r="BB103" s="173"/>
      <c r="BC103" s="173"/>
      <c r="BD103" s="175"/>
      <c r="BE103" s="88"/>
      <c r="BG103" s="137"/>
      <c r="BH103" s="172"/>
      <c r="BI103" s="173"/>
      <c r="BJ103" s="174"/>
      <c r="BK103" s="173"/>
      <c r="BL103" s="173"/>
      <c r="BM103" s="175"/>
      <c r="BN103" s="88"/>
      <c r="BP103" s="137"/>
      <c r="BQ103" s="172"/>
      <c r="BR103" s="173"/>
      <c r="BS103" s="174"/>
      <c r="BT103" s="173"/>
      <c r="BU103" s="173"/>
      <c r="BV103" s="175"/>
      <c r="BW103" s="88"/>
      <c r="FH103" s="50"/>
      <c r="FI103" s="47"/>
      <c r="FJ103" s="47"/>
      <c r="FK103" s="47"/>
      <c r="FL103" s="47"/>
    </row>
    <row r="104" spans="2:168" ht="11.25" customHeight="1">
      <c r="B104" s="137"/>
      <c r="C104" s="134"/>
      <c r="D104" s="372"/>
      <c r="E104" s="373"/>
      <c r="F104" s="374"/>
      <c r="G104" s="373"/>
      <c r="H104" s="373"/>
      <c r="I104" s="375"/>
      <c r="J104" s="88"/>
      <c r="AX104" s="137"/>
      <c r="AY104" s="172"/>
      <c r="AZ104" s="173"/>
      <c r="BA104" s="174"/>
      <c r="BB104" s="173"/>
      <c r="BC104" s="173"/>
      <c r="BD104" s="175"/>
      <c r="BE104" s="88"/>
      <c r="BG104" s="137"/>
      <c r="BH104" s="172"/>
      <c r="BI104" s="173"/>
      <c r="BJ104" s="174"/>
      <c r="BK104" s="173"/>
      <c r="BL104" s="173"/>
      <c r="BM104" s="175"/>
      <c r="BN104" s="88"/>
      <c r="BP104" s="137"/>
      <c r="BQ104" s="172"/>
      <c r="BR104" s="173"/>
      <c r="BS104" s="174"/>
      <c r="BT104" s="173"/>
      <c r="BU104" s="173"/>
      <c r="BV104" s="175"/>
      <c r="BW104" s="88"/>
      <c r="FH104" s="50"/>
      <c r="FI104" s="47"/>
      <c r="FJ104" s="47"/>
      <c r="FK104" s="47"/>
      <c r="FL104" s="47"/>
    </row>
    <row r="105" spans="2:168" ht="11.25" customHeight="1">
      <c r="B105" s="137"/>
      <c r="C105" s="134"/>
      <c r="D105" s="372"/>
      <c r="E105" s="373"/>
      <c r="F105" s="374"/>
      <c r="G105" s="373"/>
      <c r="H105" s="373"/>
      <c r="I105" s="375"/>
      <c r="J105" s="88"/>
      <c r="AX105" s="137"/>
      <c r="AY105" s="172"/>
      <c r="AZ105" s="173"/>
      <c r="BA105" s="174"/>
      <c r="BB105" s="173"/>
      <c r="BC105" s="173"/>
      <c r="BD105" s="175"/>
      <c r="BE105" s="88"/>
      <c r="BG105" s="137"/>
      <c r="BH105" s="172"/>
      <c r="BI105" s="173"/>
      <c r="BJ105" s="174"/>
      <c r="BK105" s="173"/>
      <c r="BL105" s="173"/>
      <c r="BM105" s="175"/>
      <c r="BN105" s="88"/>
      <c r="BP105" s="137"/>
      <c r="BQ105" s="172"/>
      <c r="BR105" s="173"/>
      <c r="BS105" s="174"/>
      <c r="BT105" s="173"/>
      <c r="BU105" s="173"/>
      <c r="BV105" s="175"/>
      <c r="BW105" s="88"/>
      <c r="FH105" s="50"/>
      <c r="FI105" s="47"/>
      <c r="FJ105" s="47"/>
      <c r="FK105" s="47"/>
      <c r="FL105" s="47"/>
    </row>
    <row r="106" spans="2:168" ht="11.25" customHeight="1">
      <c r="B106" s="137"/>
      <c r="C106" s="134"/>
      <c r="D106" s="372"/>
      <c r="E106" s="373"/>
      <c r="F106" s="374"/>
      <c r="G106" s="373"/>
      <c r="H106" s="373"/>
      <c r="I106" s="375"/>
      <c r="J106" s="88"/>
      <c r="AX106" s="137"/>
      <c r="AY106" s="172"/>
      <c r="AZ106" s="173"/>
      <c r="BA106" s="174"/>
      <c r="BB106" s="173"/>
      <c r="BC106" s="173"/>
      <c r="BD106" s="175"/>
      <c r="BE106" s="88"/>
      <c r="BG106" s="137"/>
      <c r="BH106" s="172"/>
      <c r="BI106" s="173"/>
      <c r="BJ106" s="174"/>
      <c r="BK106" s="173"/>
      <c r="BL106" s="173"/>
      <c r="BM106" s="175"/>
      <c r="BN106" s="88"/>
      <c r="BP106" s="137"/>
      <c r="BQ106" s="172"/>
      <c r="BR106" s="173"/>
      <c r="BS106" s="174"/>
      <c r="BT106" s="173"/>
      <c r="BU106" s="173"/>
      <c r="BV106" s="175"/>
      <c r="BW106" s="88"/>
      <c r="FH106" s="50"/>
      <c r="FI106" s="47"/>
      <c r="FJ106" s="47"/>
      <c r="FK106" s="47"/>
      <c r="FL106" s="47"/>
    </row>
    <row r="107" spans="2:168" ht="11.25" customHeight="1">
      <c r="B107" s="137"/>
      <c r="C107" s="134"/>
      <c r="D107" s="372"/>
      <c r="E107" s="373"/>
      <c r="F107" s="374"/>
      <c r="G107" s="373"/>
      <c r="H107" s="373"/>
      <c r="I107" s="375"/>
      <c r="J107" s="88"/>
      <c r="AX107" s="137"/>
      <c r="AY107" s="172"/>
      <c r="AZ107" s="173"/>
      <c r="BA107" s="174"/>
      <c r="BB107" s="173"/>
      <c r="BC107" s="173"/>
      <c r="BD107" s="175"/>
      <c r="BE107" s="88"/>
      <c r="BG107" s="137"/>
      <c r="BH107" s="172"/>
      <c r="BI107" s="173"/>
      <c r="BJ107" s="174"/>
      <c r="BK107" s="173"/>
      <c r="BL107" s="173"/>
      <c r="BM107" s="175"/>
      <c r="BN107" s="88"/>
      <c r="BP107" s="137"/>
      <c r="BQ107" s="172"/>
      <c r="BR107" s="173"/>
      <c r="BS107" s="174"/>
      <c r="BT107" s="173"/>
      <c r="BU107" s="173"/>
      <c r="BV107" s="175"/>
      <c r="BW107" s="88"/>
      <c r="FH107" s="50"/>
      <c r="FI107" s="47"/>
      <c r="FJ107" s="47"/>
      <c r="FK107" s="47"/>
      <c r="FL107" s="47"/>
    </row>
    <row r="108" spans="2:168" ht="11.25" customHeight="1">
      <c r="B108" s="137"/>
      <c r="C108" s="134"/>
      <c r="D108" s="372"/>
      <c r="E108" s="373"/>
      <c r="F108" s="374"/>
      <c r="G108" s="373"/>
      <c r="H108" s="373"/>
      <c r="I108" s="375"/>
      <c r="J108" s="88"/>
      <c r="AX108" s="137"/>
      <c r="AY108" s="172"/>
      <c r="AZ108" s="173"/>
      <c r="BA108" s="174"/>
      <c r="BB108" s="173"/>
      <c r="BC108" s="173"/>
      <c r="BD108" s="175"/>
      <c r="BE108" s="88"/>
      <c r="BG108" s="137"/>
      <c r="BH108" s="172"/>
      <c r="BI108" s="173"/>
      <c r="BJ108" s="174"/>
      <c r="BK108" s="173"/>
      <c r="BL108" s="173"/>
      <c r="BM108" s="175"/>
      <c r="BN108" s="88"/>
      <c r="BP108" s="137"/>
      <c r="BQ108" s="172"/>
      <c r="BR108" s="173"/>
      <c r="BS108" s="174"/>
      <c r="BT108" s="173"/>
      <c r="BU108" s="173"/>
      <c r="BV108" s="175"/>
      <c r="BW108" s="88"/>
      <c r="FH108" s="50"/>
      <c r="FI108" s="47"/>
      <c r="FJ108" s="47"/>
      <c r="FK108" s="47"/>
      <c r="FL108" s="47"/>
    </row>
    <row r="109" spans="2:168" ht="11.25" customHeight="1">
      <c r="B109" s="137"/>
      <c r="C109" s="134"/>
      <c r="D109" s="372"/>
      <c r="E109" s="373"/>
      <c r="F109" s="374"/>
      <c r="G109" s="373"/>
      <c r="H109" s="373"/>
      <c r="I109" s="375"/>
      <c r="J109" s="88"/>
      <c r="AX109" s="137"/>
      <c r="AY109" s="172"/>
      <c r="AZ109" s="173"/>
      <c r="BA109" s="174"/>
      <c r="BB109" s="173"/>
      <c r="BC109" s="173"/>
      <c r="BD109" s="175"/>
      <c r="BE109" s="88"/>
      <c r="BG109" s="137"/>
      <c r="BH109" s="172"/>
      <c r="BI109" s="173"/>
      <c r="BJ109" s="174"/>
      <c r="BK109" s="173"/>
      <c r="BL109" s="173"/>
      <c r="BM109" s="175"/>
      <c r="BN109" s="88"/>
      <c r="BP109" s="137"/>
      <c r="BQ109" s="172"/>
      <c r="BR109" s="173"/>
      <c r="BS109" s="174"/>
      <c r="BT109" s="173"/>
      <c r="BU109" s="173"/>
      <c r="BV109" s="175"/>
      <c r="BW109" s="88"/>
      <c r="FH109" s="50"/>
      <c r="FI109" s="47"/>
      <c r="FJ109" s="47"/>
      <c r="FK109" s="47"/>
      <c r="FL109" s="47"/>
    </row>
    <row r="110" spans="2:168" ht="11.25" customHeight="1">
      <c r="B110" s="137"/>
      <c r="C110" s="134"/>
      <c r="D110" s="372"/>
      <c r="E110" s="373"/>
      <c r="F110" s="374"/>
      <c r="G110" s="373"/>
      <c r="H110" s="373"/>
      <c r="I110" s="375"/>
      <c r="J110" s="88"/>
      <c r="AX110" s="137"/>
      <c r="AY110" s="172"/>
      <c r="AZ110" s="173"/>
      <c r="BA110" s="174"/>
      <c r="BB110" s="173"/>
      <c r="BC110" s="173"/>
      <c r="BD110" s="175"/>
      <c r="BE110" s="88"/>
      <c r="BG110" s="137"/>
      <c r="BH110" s="172"/>
      <c r="BI110" s="173"/>
      <c r="BJ110" s="174"/>
      <c r="BK110" s="173"/>
      <c r="BL110" s="173"/>
      <c r="BM110" s="175"/>
      <c r="BN110" s="88"/>
      <c r="BP110" s="137"/>
      <c r="BQ110" s="172"/>
      <c r="BR110" s="173"/>
      <c r="BS110" s="174"/>
      <c r="BT110" s="173"/>
      <c r="BU110" s="173"/>
      <c r="BV110" s="175"/>
      <c r="BW110" s="88"/>
      <c r="FH110" s="50"/>
      <c r="FI110" s="47"/>
      <c r="FJ110" s="47"/>
      <c r="FK110" s="47"/>
      <c r="FL110" s="47"/>
    </row>
    <row r="111" spans="2:168" ht="11.25" customHeight="1">
      <c r="B111" s="137"/>
      <c r="C111" s="134"/>
      <c r="D111" s="372"/>
      <c r="E111" s="373"/>
      <c r="F111" s="374"/>
      <c r="G111" s="373"/>
      <c r="H111" s="373"/>
      <c r="I111" s="375"/>
      <c r="J111" s="88"/>
      <c r="AX111" s="137"/>
      <c r="AY111" s="172"/>
      <c r="AZ111" s="173"/>
      <c r="BA111" s="174"/>
      <c r="BB111" s="173"/>
      <c r="BC111" s="173"/>
      <c r="BD111" s="175"/>
      <c r="BE111" s="88"/>
      <c r="BG111" s="137"/>
      <c r="BH111" s="172"/>
      <c r="BI111" s="173"/>
      <c r="BJ111" s="174"/>
      <c r="BK111" s="173"/>
      <c r="BL111" s="173"/>
      <c r="BM111" s="175"/>
      <c r="BN111" s="88"/>
      <c r="BP111" s="137"/>
      <c r="BQ111" s="172"/>
      <c r="BR111" s="173"/>
      <c r="BS111" s="174"/>
      <c r="BT111" s="173"/>
      <c r="BU111" s="173"/>
      <c r="BV111" s="175"/>
      <c r="BW111" s="88"/>
      <c r="FH111" s="50"/>
      <c r="FI111" s="47"/>
      <c r="FJ111" s="47"/>
      <c r="FK111" s="47"/>
      <c r="FL111" s="47"/>
    </row>
    <row r="112" spans="2:168" ht="11.25" customHeight="1">
      <c r="B112" s="137"/>
      <c r="C112" s="134"/>
      <c r="D112" s="372"/>
      <c r="E112" s="373"/>
      <c r="F112" s="374"/>
      <c r="G112" s="373"/>
      <c r="H112" s="373"/>
      <c r="I112" s="375"/>
      <c r="J112" s="88"/>
      <c r="AX112" s="137"/>
      <c r="AY112" s="172"/>
      <c r="AZ112" s="173"/>
      <c r="BA112" s="174"/>
      <c r="BB112" s="173"/>
      <c r="BC112" s="173"/>
      <c r="BD112" s="175"/>
      <c r="BE112" s="88"/>
      <c r="BG112" s="137"/>
      <c r="BH112" s="172"/>
      <c r="BI112" s="173"/>
      <c r="BJ112" s="174"/>
      <c r="BK112" s="173"/>
      <c r="BL112" s="173"/>
      <c r="BM112" s="175"/>
      <c r="BN112" s="88"/>
      <c r="BP112" s="137"/>
      <c r="BQ112" s="172"/>
      <c r="BR112" s="173"/>
      <c r="BS112" s="174"/>
      <c r="BT112" s="173"/>
      <c r="BU112" s="173"/>
      <c r="BV112" s="175"/>
      <c r="BW112" s="88"/>
      <c r="FH112" s="50"/>
      <c r="FI112" s="47"/>
      <c r="FJ112" s="47"/>
      <c r="FK112" s="47"/>
      <c r="FL112" s="47"/>
    </row>
    <row r="113" spans="2:168" ht="11.25" customHeight="1">
      <c r="B113" s="137"/>
      <c r="C113" s="134"/>
      <c r="D113" s="372"/>
      <c r="E113" s="373"/>
      <c r="F113" s="374"/>
      <c r="G113" s="373"/>
      <c r="H113" s="373"/>
      <c r="I113" s="375"/>
      <c r="J113" s="88"/>
      <c r="AX113" s="137"/>
      <c r="AY113" s="172"/>
      <c r="AZ113" s="173"/>
      <c r="BA113" s="174"/>
      <c r="BB113" s="173"/>
      <c r="BC113" s="173"/>
      <c r="BD113" s="175"/>
      <c r="BE113" s="88"/>
      <c r="BG113" s="137"/>
      <c r="BH113" s="172"/>
      <c r="BI113" s="173"/>
      <c r="BJ113" s="174"/>
      <c r="BK113" s="173"/>
      <c r="BL113" s="173"/>
      <c r="BM113" s="175"/>
      <c r="BN113" s="88"/>
      <c r="BP113" s="137"/>
      <c r="BQ113" s="172"/>
      <c r="BR113" s="173"/>
      <c r="BS113" s="174"/>
      <c r="BT113" s="173"/>
      <c r="BU113" s="173"/>
      <c r="BV113" s="175"/>
      <c r="BW113" s="88"/>
      <c r="FH113" s="50"/>
      <c r="FI113" s="47"/>
      <c r="FJ113" s="47"/>
      <c r="FK113" s="47"/>
      <c r="FL113" s="47"/>
    </row>
    <row r="114" spans="2:168" ht="11.25" customHeight="1">
      <c r="B114" s="137"/>
      <c r="C114" s="134"/>
      <c r="D114" s="372"/>
      <c r="E114" s="373"/>
      <c r="F114" s="374"/>
      <c r="G114" s="373"/>
      <c r="H114" s="373"/>
      <c r="I114" s="375"/>
      <c r="J114" s="88"/>
      <c r="AX114" s="137"/>
      <c r="AY114" s="172"/>
      <c r="AZ114" s="173"/>
      <c r="BA114" s="174"/>
      <c r="BB114" s="173"/>
      <c r="BC114" s="173"/>
      <c r="BD114" s="175"/>
      <c r="BE114" s="88"/>
      <c r="BG114" s="137"/>
      <c r="BH114" s="172"/>
      <c r="BI114" s="173"/>
      <c r="BJ114" s="174"/>
      <c r="BK114" s="173"/>
      <c r="BL114" s="173"/>
      <c r="BM114" s="175"/>
      <c r="BN114" s="88"/>
      <c r="BP114" s="137"/>
      <c r="BQ114" s="172"/>
      <c r="BR114" s="173"/>
      <c r="BS114" s="174"/>
      <c r="BT114" s="173"/>
      <c r="BU114" s="173"/>
      <c r="BV114" s="175"/>
      <c r="BW114" s="88"/>
      <c r="FH114" s="50"/>
      <c r="FI114" s="47"/>
      <c r="FJ114" s="47"/>
      <c r="FK114" s="47"/>
      <c r="FL114" s="47"/>
    </row>
    <row r="115" spans="2:168" ht="11.25" customHeight="1">
      <c r="B115" s="137"/>
      <c r="C115" s="134"/>
      <c r="D115" s="372"/>
      <c r="E115" s="373"/>
      <c r="F115" s="374"/>
      <c r="G115" s="373"/>
      <c r="H115" s="373"/>
      <c r="I115" s="375"/>
      <c r="J115" s="88"/>
      <c r="AX115" s="137"/>
      <c r="AY115" s="172"/>
      <c r="AZ115" s="173"/>
      <c r="BA115" s="174"/>
      <c r="BB115" s="173"/>
      <c r="BC115" s="173"/>
      <c r="BD115" s="175"/>
      <c r="BE115" s="88"/>
      <c r="BG115" s="137"/>
      <c r="BH115" s="172"/>
      <c r="BI115" s="173"/>
      <c r="BJ115" s="174"/>
      <c r="BK115" s="173"/>
      <c r="BL115" s="173"/>
      <c r="BM115" s="175"/>
      <c r="BN115" s="88"/>
      <c r="BP115" s="137"/>
      <c r="BQ115" s="172"/>
      <c r="BR115" s="173"/>
      <c r="BS115" s="174"/>
      <c r="BT115" s="173"/>
      <c r="BU115" s="173"/>
      <c r="BV115" s="175"/>
      <c r="BW115" s="88"/>
      <c r="FH115" s="50"/>
      <c r="FI115" s="47"/>
      <c r="FJ115" s="47"/>
      <c r="FK115" s="47"/>
      <c r="FL115" s="47"/>
    </row>
    <row r="116" spans="2:168" ht="11.25" customHeight="1">
      <c r="B116" s="137"/>
      <c r="C116" s="134"/>
      <c r="D116" s="372"/>
      <c r="E116" s="373"/>
      <c r="F116" s="374"/>
      <c r="G116" s="373"/>
      <c r="H116" s="373"/>
      <c r="I116" s="375"/>
      <c r="J116" s="88"/>
      <c r="AX116" s="137"/>
      <c r="AY116" s="172"/>
      <c r="AZ116" s="173"/>
      <c r="BA116" s="174"/>
      <c r="BB116" s="173"/>
      <c r="BC116" s="173"/>
      <c r="BD116" s="175"/>
      <c r="BE116" s="88"/>
      <c r="BG116" s="137"/>
      <c r="BH116" s="172"/>
      <c r="BI116" s="173"/>
      <c r="BJ116" s="174"/>
      <c r="BK116" s="173"/>
      <c r="BL116" s="173"/>
      <c r="BM116" s="175"/>
      <c r="BN116" s="88"/>
      <c r="BP116" s="137"/>
      <c r="BQ116" s="172"/>
      <c r="BR116" s="173"/>
      <c r="BS116" s="174"/>
      <c r="BT116" s="173"/>
      <c r="BU116" s="173"/>
      <c r="BV116" s="175"/>
      <c r="BW116" s="88"/>
      <c r="FH116" s="50"/>
      <c r="FI116" s="47"/>
      <c r="FJ116" s="47"/>
      <c r="FK116" s="47"/>
      <c r="FL116" s="47"/>
    </row>
    <row r="117" spans="2:168" ht="11.25" customHeight="1">
      <c r="B117" s="137"/>
      <c r="C117" s="134"/>
      <c r="D117" s="372"/>
      <c r="E117" s="373"/>
      <c r="F117" s="374"/>
      <c r="G117" s="373"/>
      <c r="H117" s="373"/>
      <c r="I117" s="375"/>
      <c r="J117" s="88"/>
      <c r="AX117" s="137"/>
      <c r="AY117" s="172"/>
      <c r="AZ117" s="173"/>
      <c r="BA117" s="174"/>
      <c r="BB117" s="173"/>
      <c r="BC117" s="173"/>
      <c r="BD117" s="175"/>
      <c r="BE117" s="88"/>
      <c r="BG117" s="137"/>
      <c r="BH117" s="172"/>
      <c r="BI117" s="173"/>
      <c r="BJ117" s="174"/>
      <c r="BK117" s="173"/>
      <c r="BL117" s="173"/>
      <c r="BM117" s="175"/>
      <c r="BN117" s="88"/>
      <c r="BP117" s="137"/>
      <c r="BQ117" s="172"/>
      <c r="BR117" s="173"/>
      <c r="BS117" s="174"/>
      <c r="BT117" s="173"/>
      <c r="BU117" s="173"/>
      <c r="BV117" s="175"/>
      <c r="BW117" s="88"/>
      <c r="FH117" s="50"/>
      <c r="FI117" s="47"/>
      <c r="FJ117" s="47"/>
      <c r="FK117" s="47"/>
      <c r="FL117" s="47"/>
    </row>
    <row r="118" spans="2:168" ht="11.25" customHeight="1">
      <c r="B118" s="137"/>
      <c r="C118" s="134"/>
      <c r="D118" s="372"/>
      <c r="E118" s="373"/>
      <c r="F118" s="374"/>
      <c r="G118" s="373"/>
      <c r="H118" s="373"/>
      <c r="I118" s="375"/>
      <c r="J118" s="88"/>
      <c r="AX118" s="137"/>
      <c r="AY118" s="172"/>
      <c r="AZ118" s="173"/>
      <c r="BA118" s="174"/>
      <c r="BB118" s="173"/>
      <c r="BC118" s="173"/>
      <c r="BD118" s="175"/>
      <c r="BE118" s="88"/>
      <c r="BG118" s="137"/>
      <c r="BH118" s="172"/>
      <c r="BI118" s="173"/>
      <c r="BJ118" s="174"/>
      <c r="BK118" s="173"/>
      <c r="BL118" s="173"/>
      <c r="BM118" s="175"/>
      <c r="BN118" s="88"/>
      <c r="BP118" s="137"/>
      <c r="BQ118" s="172"/>
      <c r="BR118" s="173"/>
      <c r="BS118" s="174"/>
      <c r="BT118" s="173"/>
      <c r="BU118" s="173"/>
      <c r="BV118" s="175"/>
      <c r="BW118" s="88"/>
      <c r="FH118" s="50"/>
      <c r="FI118" s="47"/>
      <c r="FJ118" s="47"/>
      <c r="FK118" s="47"/>
      <c r="FL118" s="47"/>
    </row>
    <row r="119" spans="2:168" ht="11.25" customHeight="1">
      <c r="B119" s="137"/>
      <c r="C119" s="134"/>
      <c r="D119" s="372"/>
      <c r="E119" s="373"/>
      <c r="F119" s="374"/>
      <c r="G119" s="373"/>
      <c r="H119" s="373"/>
      <c r="I119" s="375"/>
      <c r="J119" s="88"/>
      <c r="AX119" s="137"/>
      <c r="AY119" s="172"/>
      <c r="AZ119" s="173"/>
      <c r="BA119" s="174"/>
      <c r="BB119" s="173"/>
      <c r="BC119" s="173"/>
      <c r="BD119" s="175"/>
      <c r="BE119" s="88"/>
      <c r="BG119" s="137"/>
      <c r="BH119" s="172"/>
      <c r="BI119" s="173"/>
      <c r="BJ119" s="174"/>
      <c r="BK119" s="173"/>
      <c r="BL119" s="173"/>
      <c r="BM119" s="175"/>
      <c r="BN119" s="88"/>
      <c r="BP119" s="137"/>
      <c r="BQ119" s="172"/>
      <c r="BR119" s="173"/>
      <c r="BS119" s="174"/>
      <c r="BT119" s="173"/>
      <c r="BU119" s="173"/>
      <c r="BV119" s="175"/>
      <c r="BW119" s="88"/>
      <c r="FH119" s="50"/>
      <c r="FI119" s="47"/>
      <c r="FJ119" s="47"/>
      <c r="FK119" s="47"/>
      <c r="FL119" s="47"/>
    </row>
    <row r="120" spans="2:168" ht="11.25" customHeight="1">
      <c r="B120" s="137"/>
      <c r="C120" s="134"/>
      <c r="D120" s="372"/>
      <c r="E120" s="373"/>
      <c r="F120" s="374"/>
      <c r="G120" s="373"/>
      <c r="H120" s="373"/>
      <c r="I120" s="375"/>
      <c r="J120" s="88"/>
      <c r="AX120" s="137"/>
      <c r="AY120" s="172"/>
      <c r="AZ120" s="173"/>
      <c r="BA120" s="174"/>
      <c r="BB120" s="173"/>
      <c r="BC120" s="173"/>
      <c r="BD120" s="175"/>
      <c r="BE120" s="88"/>
      <c r="BG120" s="137"/>
      <c r="BH120" s="172"/>
      <c r="BI120" s="173"/>
      <c r="BJ120" s="174"/>
      <c r="BK120" s="173"/>
      <c r="BL120" s="173"/>
      <c r="BM120" s="175"/>
      <c r="BN120" s="88"/>
      <c r="BP120" s="137"/>
      <c r="BQ120" s="172"/>
      <c r="BR120" s="173"/>
      <c r="BS120" s="174"/>
      <c r="BT120" s="173"/>
      <c r="BU120" s="173"/>
      <c r="BV120" s="175"/>
      <c r="BW120" s="88"/>
      <c r="FH120" s="50"/>
      <c r="FI120" s="47"/>
      <c r="FJ120" s="47"/>
      <c r="FK120" s="47"/>
      <c r="FL120" s="47"/>
    </row>
    <row r="121" spans="2:168" ht="11.25" customHeight="1">
      <c r="B121" s="137"/>
      <c r="C121" s="134"/>
      <c r="D121" s="372"/>
      <c r="E121" s="373"/>
      <c r="F121" s="374"/>
      <c r="G121" s="373"/>
      <c r="H121" s="373"/>
      <c r="I121" s="375"/>
      <c r="J121" s="88"/>
      <c r="AX121" s="137"/>
      <c r="AY121" s="172"/>
      <c r="AZ121" s="173"/>
      <c r="BA121" s="174"/>
      <c r="BB121" s="173"/>
      <c r="BC121" s="173"/>
      <c r="BD121" s="175"/>
      <c r="BE121" s="88"/>
      <c r="BG121" s="137"/>
      <c r="BH121" s="172"/>
      <c r="BI121" s="173"/>
      <c r="BJ121" s="174"/>
      <c r="BK121" s="173"/>
      <c r="BL121" s="173"/>
      <c r="BM121" s="175"/>
      <c r="BN121" s="88"/>
      <c r="BP121" s="137"/>
      <c r="BQ121" s="172"/>
      <c r="BR121" s="173"/>
      <c r="BS121" s="174"/>
      <c r="BT121" s="173"/>
      <c r="BU121" s="173"/>
      <c r="BV121" s="175"/>
      <c r="BW121" s="88"/>
      <c r="FH121" s="50"/>
      <c r="FI121" s="47"/>
      <c r="FJ121" s="47"/>
      <c r="FK121" s="47"/>
      <c r="FL121" s="47"/>
    </row>
    <row r="122" spans="2:168" ht="11.25" customHeight="1">
      <c r="B122" s="137"/>
      <c r="C122" s="134"/>
      <c r="D122" s="372"/>
      <c r="E122" s="373"/>
      <c r="F122" s="374"/>
      <c r="G122" s="373"/>
      <c r="H122" s="373"/>
      <c r="I122" s="375"/>
      <c r="J122" s="88"/>
      <c r="AX122" s="137"/>
      <c r="AY122" s="172"/>
      <c r="AZ122" s="173"/>
      <c r="BA122" s="174"/>
      <c r="BB122" s="173"/>
      <c r="BC122" s="173"/>
      <c r="BD122" s="175"/>
      <c r="BE122" s="88"/>
      <c r="BG122" s="137"/>
      <c r="BH122" s="172"/>
      <c r="BI122" s="173"/>
      <c r="BJ122" s="174"/>
      <c r="BK122" s="173"/>
      <c r="BL122" s="173"/>
      <c r="BM122" s="175"/>
      <c r="BN122" s="88"/>
      <c r="BP122" s="137"/>
      <c r="BQ122" s="172"/>
      <c r="BR122" s="173"/>
      <c r="BS122" s="174"/>
      <c r="BT122" s="173"/>
      <c r="BU122" s="173"/>
      <c r="BV122" s="175"/>
      <c r="BW122" s="88"/>
      <c r="FH122" s="50"/>
      <c r="FI122" s="47"/>
      <c r="FJ122" s="47"/>
      <c r="FK122" s="47"/>
      <c r="FL122" s="47"/>
    </row>
    <row r="123" spans="2:168" ht="11.25" customHeight="1">
      <c r="B123" s="137"/>
      <c r="C123" s="134"/>
      <c r="D123" s="372"/>
      <c r="E123" s="373"/>
      <c r="F123" s="374"/>
      <c r="G123" s="373"/>
      <c r="H123" s="373"/>
      <c r="I123" s="375"/>
      <c r="J123" s="88"/>
      <c r="AX123" s="137"/>
      <c r="AY123" s="172"/>
      <c r="AZ123" s="173"/>
      <c r="BA123" s="174"/>
      <c r="BB123" s="173"/>
      <c r="BC123" s="173"/>
      <c r="BD123" s="175"/>
      <c r="BE123" s="88"/>
      <c r="BG123" s="137"/>
      <c r="BH123" s="172"/>
      <c r="BI123" s="173"/>
      <c r="BJ123" s="174"/>
      <c r="BK123" s="173"/>
      <c r="BL123" s="173"/>
      <c r="BM123" s="175"/>
      <c r="BN123" s="88"/>
      <c r="BP123" s="137"/>
      <c r="BQ123" s="172"/>
      <c r="BR123" s="173"/>
      <c r="BS123" s="174"/>
      <c r="BT123" s="173"/>
      <c r="BU123" s="173"/>
      <c r="BV123" s="175"/>
      <c r="BW123" s="88"/>
      <c r="FH123" s="50"/>
      <c r="FI123" s="47"/>
      <c r="FJ123" s="47"/>
      <c r="FK123" s="47"/>
      <c r="FL123" s="47"/>
    </row>
    <row r="124" spans="2:168" ht="11.25" customHeight="1">
      <c r="B124" s="137"/>
      <c r="C124" s="134"/>
      <c r="D124" s="372"/>
      <c r="E124" s="373"/>
      <c r="F124" s="374"/>
      <c r="G124" s="373"/>
      <c r="H124" s="373"/>
      <c r="I124" s="375"/>
      <c r="J124" s="88"/>
      <c r="AX124" s="137"/>
      <c r="AY124" s="172"/>
      <c r="AZ124" s="173"/>
      <c r="BA124" s="174"/>
      <c r="BB124" s="173"/>
      <c r="BC124" s="173"/>
      <c r="BD124" s="175"/>
      <c r="BE124" s="88"/>
      <c r="BG124" s="137"/>
      <c r="BH124" s="172"/>
      <c r="BI124" s="173"/>
      <c r="BJ124" s="174"/>
      <c r="BK124" s="173"/>
      <c r="BL124" s="173"/>
      <c r="BM124" s="175"/>
      <c r="BN124" s="88"/>
      <c r="BP124" s="137"/>
      <c r="BQ124" s="172"/>
      <c r="BR124" s="173"/>
      <c r="BS124" s="174"/>
      <c r="BT124" s="173"/>
      <c r="BU124" s="173"/>
      <c r="BV124" s="175"/>
      <c r="BW124" s="88"/>
      <c r="FH124" s="50"/>
      <c r="FI124" s="47"/>
      <c r="FJ124" s="47"/>
      <c r="FK124" s="47"/>
      <c r="FL124" s="47"/>
    </row>
    <row r="125" spans="2:168" ht="11.25" customHeight="1">
      <c r="B125" s="137"/>
      <c r="C125" s="134"/>
      <c r="D125" s="372"/>
      <c r="E125" s="373"/>
      <c r="F125" s="374"/>
      <c r="G125" s="373"/>
      <c r="H125" s="373"/>
      <c r="I125" s="375"/>
      <c r="J125" s="88"/>
      <c r="AX125" s="137"/>
      <c r="AY125" s="172"/>
      <c r="AZ125" s="173"/>
      <c r="BA125" s="174"/>
      <c r="BB125" s="173"/>
      <c r="BC125" s="173"/>
      <c r="BD125" s="175"/>
      <c r="BE125" s="88"/>
      <c r="BG125" s="137"/>
      <c r="BH125" s="172"/>
      <c r="BI125" s="173"/>
      <c r="BJ125" s="174"/>
      <c r="BK125" s="173"/>
      <c r="BL125" s="173"/>
      <c r="BM125" s="175"/>
      <c r="BN125" s="88"/>
      <c r="BP125" s="137"/>
      <c r="BQ125" s="172"/>
      <c r="BR125" s="173"/>
      <c r="BS125" s="174"/>
      <c r="BT125" s="173"/>
      <c r="BU125" s="173"/>
      <c r="BV125" s="175"/>
      <c r="BW125" s="88"/>
      <c r="FH125" s="50"/>
      <c r="FI125" s="47"/>
      <c r="FJ125" s="47"/>
      <c r="FK125" s="47"/>
      <c r="FL125" s="47"/>
    </row>
    <row r="126" spans="2:168" ht="11.25" customHeight="1">
      <c r="B126" s="137"/>
      <c r="C126" s="134"/>
      <c r="D126" s="372"/>
      <c r="E126" s="373"/>
      <c r="F126" s="374"/>
      <c r="G126" s="373"/>
      <c r="H126" s="373"/>
      <c r="I126" s="375"/>
      <c r="J126" s="88"/>
      <c r="AX126" s="137"/>
      <c r="AY126" s="172"/>
      <c r="AZ126" s="173"/>
      <c r="BA126" s="174"/>
      <c r="BB126" s="173"/>
      <c r="BC126" s="173"/>
      <c r="BD126" s="175"/>
      <c r="BE126" s="88"/>
      <c r="BG126" s="137"/>
      <c r="BH126" s="172"/>
      <c r="BI126" s="173"/>
      <c r="BJ126" s="174"/>
      <c r="BK126" s="173"/>
      <c r="BL126" s="173"/>
      <c r="BM126" s="175"/>
      <c r="BN126" s="88"/>
      <c r="BP126" s="137"/>
      <c r="BQ126" s="172"/>
      <c r="BR126" s="173"/>
      <c r="BS126" s="174"/>
      <c r="BT126" s="173"/>
      <c r="BU126" s="173"/>
      <c r="BV126" s="175"/>
      <c r="BW126" s="88"/>
      <c r="FH126" s="50"/>
      <c r="FI126" s="47"/>
      <c r="FJ126" s="47"/>
      <c r="FK126" s="47"/>
      <c r="FL126" s="47"/>
    </row>
    <row r="127" spans="2:168" ht="11.25" customHeight="1">
      <c r="B127" s="137"/>
      <c r="C127" s="134"/>
      <c r="D127" s="372"/>
      <c r="E127" s="373"/>
      <c r="F127" s="374"/>
      <c r="G127" s="373"/>
      <c r="H127" s="373"/>
      <c r="I127" s="375"/>
      <c r="J127" s="88"/>
      <c r="AX127" s="137"/>
      <c r="AY127" s="172"/>
      <c r="AZ127" s="173"/>
      <c r="BA127" s="174"/>
      <c r="BB127" s="173"/>
      <c r="BC127" s="173"/>
      <c r="BD127" s="175"/>
      <c r="BE127" s="88"/>
      <c r="BG127" s="137"/>
      <c r="BH127" s="172"/>
      <c r="BI127" s="173"/>
      <c r="BJ127" s="174"/>
      <c r="BK127" s="173"/>
      <c r="BL127" s="173"/>
      <c r="BM127" s="175"/>
      <c r="BN127" s="88"/>
      <c r="BP127" s="137"/>
      <c r="BQ127" s="172"/>
      <c r="BR127" s="173"/>
      <c r="BS127" s="174"/>
      <c r="BT127" s="173"/>
      <c r="BU127" s="173"/>
      <c r="BV127" s="175"/>
      <c r="BW127" s="88"/>
      <c r="FH127" s="50"/>
      <c r="FI127" s="47"/>
      <c r="FJ127" s="47"/>
      <c r="FK127" s="47"/>
      <c r="FL127" s="47"/>
    </row>
    <row r="128" spans="2:168" ht="11.25" customHeight="1">
      <c r="B128" s="137"/>
      <c r="C128" s="134"/>
      <c r="D128" s="372"/>
      <c r="E128" s="373"/>
      <c r="F128" s="374"/>
      <c r="G128" s="373"/>
      <c r="H128" s="373"/>
      <c r="I128" s="375"/>
      <c r="J128" s="88"/>
      <c r="AX128" s="137"/>
      <c r="AY128" s="172"/>
      <c r="AZ128" s="173"/>
      <c r="BA128" s="174"/>
      <c r="BB128" s="173"/>
      <c r="BC128" s="173"/>
      <c r="BD128" s="175"/>
      <c r="BE128" s="88"/>
      <c r="BG128" s="137"/>
      <c r="BH128" s="172"/>
      <c r="BI128" s="173"/>
      <c r="BJ128" s="174"/>
      <c r="BK128" s="173"/>
      <c r="BL128" s="173"/>
      <c r="BM128" s="175"/>
      <c r="BN128" s="88"/>
      <c r="BP128" s="137"/>
      <c r="BQ128" s="172"/>
      <c r="BR128" s="173"/>
      <c r="BS128" s="174"/>
      <c r="BT128" s="173"/>
      <c r="BU128" s="173"/>
      <c r="BV128" s="175"/>
      <c r="BW128" s="88"/>
      <c r="FH128" s="50"/>
      <c r="FI128" s="47"/>
      <c r="FJ128" s="47"/>
      <c r="FK128" s="47"/>
      <c r="FL128" s="47"/>
    </row>
    <row r="129" spans="2:168" ht="11.25" customHeight="1">
      <c r="B129" s="137"/>
      <c r="C129" s="134"/>
      <c r="D129" s="372"/>
      <c r="E129" s="373"/>
      <c r="F129" s="374"/>
      <c r="G129" s="373"/>
      <c r="H129" s="373"/>
      <c r="I129" s="375"/>
      <c r="J129" s="88"/>
      <c r="AX129" s="137"/>
      <c r="AY129" s="172"/>
      <c r="AZ129" s="173"/>
      <c r="BA129" s="174"/>
      <c r="BB129" s="173"/>
      <c r="BC129" s="173"/>
      <c r="BD129" s="175"/>
      <c r="BE129" s="88"/>
      <c r="BG129" s="137"/>
      <c r="BH129" s="172"/>
      <c r="BI129" s="173"/>
      <c r="BJ129" s="174"/>
      <c r="BK129" s="173"/>
      <c r="BL129" s="173"/>
      <c r="BM129" s="175"/>
      <c r="BN129" s="88"/>
      <c r="BP129" s="137"/>
      <c r="BQ129" s="172"/>
      <c r="BR129" s="173"/>
      <c r="BS129" s="174"/>
      <c r="BT129" s="173"/>
      <c r="BU129" s="173"/>
      <c r="BV129" s="175"/>
      <c r="BW129" s="88"/>
      <c r="FH129" s="50"/>
      <c r="FI129" s="47"/>
      <c r="FJ129" s="47"/>
      <c r="FK129" s="47"/>
      <c r="FL129" s="47"/>
    </row>
    <row r="130" spans="2:168" ht="11.25" customHeight="1">
      <c r="B130" s="137"/>
      <c r="C130" s="134"/>
      <c r="D130" s="372"/>
      <c r="E130" s="373"/>
      <c r="F130" s="374"/>
      <c r="G130" s="373"/>
      <c r="H130" s="373"/>
      <c r="I130" s="375"/>
      <c r="J130" s="88"/>
      <c r="AX130" s="137"/>
      <c r="AY130" s="172"/>
      <c r="AZ130" s="173"/>
      <c r="BA130" s="174"/>
      <c r="BB130" s="173"/>
      <c r="BC130" s="173"/>
      <c r="BD130" s="175"/>
      <c r="BE130" s="88"/>
      <c r="BG130" s="137"/>
      <c r="BH130" s="172"/>
      <c r="BI130" s="173"/>
      <c r="BJ130" s="174"/>
      <c r="BK130" s="173"/>
      <c r="BL130" s="173"/>
      <c r="BM130" s="175"/>
      <c r="BN130" s="88"/>
      <c r="BP130" s="137"/>
      <c r="BQ130" s="172"/>
      <c r="BR130" s="173"/>
      <c r="BS130" s="174"/>
      <c r="BT130" s="173"/>
      <c r="BU130" s="173"/>
      <c r="BV130" s="175"/>
      <c r="BW130" s="88"/>
      <c r="FH130" s="50"/>
      <c r="FI130" s="47"/>
      <c r="FJ130" s="47"/>
      <c r="FK130" s="47"/>
      <c r="FL130" s="47"/>
    </row>
    <row r="131" spans="2:168" ht="11.25" customHeight="1">
      <c r="B131" s="137"/>
      <c r="C131" s="134"/>
      <c r="D131" s="372"/>
      <c r="E131" s="373"/>
      <c r="F131" s="374"/>
      <c r="G131" s="373"/>
      <c r="H131" s="373"/>
      <c r="I131" s="375"/>
      <c r="J131" s="88"/>
      <c r="AX131" s="137"/>
      <c r="AY131" s="172"/>
      <c r="AZ131" s="173"/>
      <c r="BA131" s="174"/>
      <c r="BB131" s="173"/>
      <c r="BC131" s="173"/>
      <c r="BD131" s="175"/>
      <c r="BE131" s="88"/>
      <c r="BG131" s="137"/>
      <c r="BH131" s="172"/>
      <c r="BI131" s="173"/>
      <c r="BJ131" s="174"/>
      <c r="BK131" s="173"/>
      <c r="BL131" s="173"/>
      <c r="BM131" s="175"/>
      <c r="BN131" s="88"/>
      <c r="BP131" s="137"/>
      <c r="BQ131" s="172"/>
      <c r="BR131" s="173"/>
      <c r="BS131" s="174"/>
      <c r="BT131" s="173"/>
      <c r="BU131" s="173"/>
      <c r="BV131" s="175"/>
      <c r="BW131" s="88"/>
      <c r="FH131" s="50"/>
      <c r="FI131" s="47"/>
      <c r="FJ131" s="47"/>
      <c r="FK131" s="47"/>
      <c r="FL131" s="47"/>
    </row>
    <row r="132" spans="2:168" ht="11.25" customHeight="1">
      <c r="B132" s="137"/>
      <c r="C132" s="134"/>
      <c r="D132" s="372"/>
      <c r="E132" s="373"/>
      <c r="F132" s="374"/>
      <c r="G132" s="373"/>
      <c r="H132" s="373"/>
      <c r="I132" s="375"/>
      <c r="J132" s="88"/>
      <c r="AX132" s="137"/>
      <c r="AY132" s="172"/>
      <c r="AZ132" s="173"/>
      <c r="BA132" s="174"/>
      <c r="BB132" s="173"/>
      <c r="BC132" s="173"/>
      <c r="BD132" s="175"/>
      <c r="BE132" s="88"/>
      <c r="BG132" s="137"/>
      <c r="BH132" s="172"/>
      <c r="BI132" s="173"/>
      <c r="BJ132" s="174"/>
      <c r="BK132" s="173"/>
      <c r="BL132" s="173"/>
      <c r="BM132" s="175"/>
      <c r="BN132" s="88"/>
      <c r="BP132" s="137"/>
      <c r="BQ132" s="172"/>
      <c r="BR132" s="173"/>
      <c r="BS132" s="174"/>
      <c r="BT132" s="173"/>
      <c r="BU132" s="173"/>
      <c r="BV132" s="175"/>
      <c r="BW132" s="88"/>
      <c r="FH132" s="50"/>
      <c r="FI132" s="47"/>
      <c r="FJ132" s="47"/>
      <c r="FK132" s="47"/>
      <c r="FL132" s="47"/>
    </row>
    <row r="133" spans="2:168" ht="11.25" customHeight="1">
      <c r="B133" s="137"/>
      <c r="C133" s="134"/>
      <c r="D133" s="372"/>
      <c r="E133" s="373"/>
      <c r="F133" s="374"/>
      <c r="G133" s="373"/>
      <c r="H133" s="373"/>
      <c r="I133" s="375"/>
      <c r="J133" s="88"/>
      <c r="AX133" s="137"/>
      <c r="AY133" s="172"/>
      <c r="AZ133" s="173"/>
      <c r="BA133" s="174"/>
      <c r="BB133" s="173"/>
      <c r="BC133" s="173"/>
      <c r="BD133" s="175"/>
      <c r="BE133" s="88"/>
      <c r="BG133" s="137"/>
      <c r="BH133" s="172"/>
      <c r="BI133" s="173"/>
      <c r="BJ133" s="174"/>
      <c r="BK133" s="173"/>
      <c r="BL133" s="173"/>
      <c r="BM133" s="175"/>
      <c r="BN133" s="88"/>
      <c r="BP133" s="137"/>
      <c r="BQ133" s="172"/>
      <c r="BR133" s="173"/>
      <c r="BS133" s="174"/>
      <c r="BT133" s="173"/>
      <c r="BU133" s="173"/>
      <c r="BV133" s="175"/>
      <c r="BW133" s="88"/>
      <c r="FH133" s="50"/>
      <c r="FI133" s="47"/>
      <c r="FJ133" s="47"/>
      <c r="FK133" s="47"/>
      <c r="FL133" s="47"/>
    </row>
    <row r="134" spans="2:168" ht="11.25" customHeight="1">
      <c r="B134" s="137"/>
      <c r="C134" s="134"/>
      <c r="D134" s="372"/>
      <c r="E134" s="373"/>
      <c r="F134" s="374"/>
      <c r="G134" s="373"/>
      <c r="H134" s="373"/>
      <c r="I134" s="375"/>
      <c r="J134" s="88"/>
      <c r="AX134" s="137"/>
      <c r="AY134" s="172"/>
      <c r="AZ134" s="173"/>
      <c r="BA134" s="174"/>
      <c r="BB134" s="173"/>
      <c r="BC134" s="173"/>
      <c r="BD134" s="175"/>
      <c r="BE134" s="88"/>
      <c r="BG134" s="137"/>
      <c r="BH134" s="172"/>
      <c r="BI134" s="173"/>
      <c r="BJ134" s="174"/>
      <c r="BK134" s="173"/>
      <c r="BL134" s="173"/>
      <c r="BM134" s="175"/>
      <c r="BN134" s="88"/>
      <c r="BP134" s="137"/>
      <c r="BQ134" s="172"/>
      <c r="BR134" s="173"/>
      <c r="BS134" s="174"/>
      <c r="BT134" s="173"/>
      <c r="BU134" s="173"/>
      <c r="BV134" s="175"/>
      <c r="BW134" s="88"/>
      <c r="FH134" s="50"/>
      <c r="FI134" s="47"/>
      <c r="FJ134" s="47"/>
      <c r="FK134" s="47"/>
      <c r="FL134" s="47"/>
    </row>
    <row r="135" spans="2:168" ht="11.25" customHeight="1">
      <c r="B135" s="137"/>
      <c r="C135" s="134"/>
      <c r="D135" s="372"/>
      <c r="E135" s="373"/>
      <c r="F135" s="374"/>
      <c r="G135" s="373"/>
      <c r="H135" s="373"/>
      <c r="I135" s="375"/>
      <c r="J135" s="88"/>
      <c r="AX135" s="137"/>
      <c r="AY135" s="172"/>
      <c r="AZ135" s="173"/>
      <c r="BA135" s="174"/>
      <c r="BB135" s="173"/>
      <c r="BC135" s="173"/>
      <c r="BD135" s="175"/>
      <c r="BE135" s="88"/>
      <c r="BG135" s="137"/>
      <c r="BH135" s="172"/>
      <c r="BI135" s="173"/>
      <c r="BJ135" s="174"/>
      <c r="BK135" s="173"/>
      <c r="BL135" s="173"/>
      <c r="BM135" s="175"/>
      <c r="BN135" s="88"/>
      <c r="BP135" s="137"/>
      <c r="BQ135" s="172"/>
      <c r="BR135" s="173"/>
      <c r="BS135" s="174"/>
      <c r="BT135" s="173"/>
      <c r="BU135" s="173"/>
      <c r="BV135" s="175"/>
      <c r="BW135" s="88"/>
      <c r="FH135" s="50"/>
      <c r="FI135" s="47"/>
      <c r="FJ135" s="47"/>
      <c r="FK135" s="47"/>
      <c r="FL135" s="47"/>
    </row>
    <row r="136" spans="2:168" ht="11.25" customHeight="1">
      <c r="B136" s="137"/>
      <c r="C136" s="134"/>
      <c r="D136" s="372"/>
      <c r="E136" s="373"/>
      <c r="F136" s="374"/>
      <c r="G136" s="373"/>
      <c r="H136" s="373"/>
      <c r="I136" s="375"/>
      <c r="J136" s="88"/>
      <c r="AX136" s="137"/>
      <c r="AY136" s="172"/>
      <c r="AZ136" s="173"/>
      <c r="BA136" s="174"/>
      <c r="BB136" s="173"/>
      <c r="BC136" s="173"/>
      <c r="BD136" s="175"/>
      <c r="BE136" s="88"/>
      <c r="BG136" s="137"/>
      <c r="BH136" s="172"/>
      <c r="BI136" s="173"/>
      <c r="BJ136" s="174"/>
      <c r="BK136" s="173"/>
      <c r="BL136" s="173"/>
      <c r="BM136" s="175"/>
      <c r="BN136" s="88"/>
      <c r="BP136" s="137"/>
      <c r="BQ136" s="172"/>
      <c r="BR136" s="173"/>
      <c r="BS136" s="174"/>
      <c r="BT136" s="173"/>
      <c r="BU136" s="173"/>
      <c r="BV136" s="175"/>
      <c r="BW136" s="88"/>
      <c r="FH136" s="50"/>
      <c r="FI136" s="47"/>
      <c r="FJ136" s="47"/>
      <c r="FK136" s="47"/>
      <c r="FL136" s="47"/>
    </row>
    <row r="137" spans="2:168" ht="11.25" customHeight="1">
      <c r="B137" s="137"/>
      <c r="C137" s="134"/>
      <c r="D137" s="372"/>
      <c r="E137" s="373"/>
      <c r="F137" s="374"/>
      <c r="G137" s="373"/>
      <c r="H137" s="373"/>
      <c r="I137" s="375"/>
      <c r="J137" s="88"/>
      <c r="AX137" s="137"/>
      <c r="AY137" s="172"/>
      <c r="AZ137" s="173"/>
      <c r="BA137" s="174"/>
      <c r="BB137" s="173"/>
      <c r="BC137" s="173"/>
      <c r="BD137" s="175"/>
      <c r="BE137" s="88"/>
      <c r="BG137" s="137"/>
      <c r="BH137" s="172"/>
      <c r="BI137" s="173"/>
      <c r="BJ137" s="174"/>
      <c r="BK137" s="173"/>
      <c r="BL137" s="173"/>
      <c r="BM137" s="175"/>
      <c r="BN137" s="88"/>
      <c r="BP137" s="137"/>
      <c r="BQ137" s="172"/>
      <c r="BR137" s="173"/>
      <c r="BS137" s="174"/>
      <c r="BT137" s="173"/>
      <c r="BU137" s="173"/>
      <c r="BV137" s="175"/>
      <c r="BW137" s="88"/>
      <c r="FH137" s="50"/>
      <c r="FI137" s="47"/>
      <c r="FJ137" s="47"/>
      <c r="FK137" s="47"/>
      <c r="FL137" s="47"/>
    </row>
    <row r="138" spans="2:168" ht="11.25" customHeight="1">
      <c r="B138" s="137"/>
      <c r="C138" s="134"/>
      <c r="D138" s="372"/>
      <c r="E138" s="373"/>
      <c r="F138" s="374"/>
      <c r="G138" s="373"/>
      <c r="H138" s="373"/>
      <c r="I138" s="375"/>
      <c r="J138" s="88"/>
      <c r="AX138" s="137"/>
      <c r="AY138" s="172"/>
      <c r="AZ138" s="173"/>
      <c r="BA138" s="174"/>
      <c r="BB138" s="173"/>
      <c r="BC138" s="173"/>
      <c r="BD138" s="175"/>
      <c r="BE138" s="88"/>
      <c r="BG138" s="137"/>
      <c r="BH138" s="172"/>
      <c r="BI138" s="173"/>
      <c r="BJ138" s="174"/>
      <c r="BK138" s="173"/>
      <c r="BL138" s="173"/>
      <c r="BM138" s="175"/>
      <c r="BN138" s="88"/>
      <c r="BP138" s="137"/>
      <c r="BQ138" s="172"/>
      <c r="BR138" s="173"/>
      <c r="BS138" s="174"/>
      <c r="BT138" s="173"/>
      <c r="BU138" s="173"/>
      <c r="BV138" s="175"/>
      <c r="BW138" s="88"/>
      <c r="DK138" s="5">
        <v>80</v>
      </c>
      <c r="FH138" s="50"/>
      <c r="FI138" s="47"/>
      <c r="FJ138" s="47"/>
      <c r="FK138" s="47"/>
      <c r="FL138" s="47"/>
    </row>
    <row r="139" spans="2:168" ht="11.25" customHeight="1">
      <c r="B139" s="137"/>
      <c r="C139" s="134"/>
      <c r="D139" s="372"/>
      <c r="E139" s="373"/>
      <c r="F139" s="374"/>
      <c r="G139" s="373"/>
      <c r="H139" s="373"/>
      <c r="I139" s="375"/>
      <c r="J139" s="88"/>
      <c r="AX139" s="137"/>
      <c r="AY139" s="172"/>
      <c r="AZ139" s="173"/>
      <c r="BA139" s="174"/>
      <c r="BB139" s="173"/>
      <c r="BC139" s="173"/>
      <c r="BD139" s="175"/>
      <c r="BE139" s="88"/>
      <c r="BG139" s="137"/>
      <c r="BH139" s="172"/>
      <c r="BI139" s="173"/>
      <c r="BJ139" s="174"/>
      <c r="BK139" s="173"/>
      <c r="BL139" s="173"/>
      <c r="BM139" s="175"/>
      <c r="BN139" s="88"/>
      <c r="BP139" s="137"/>
      <c r="BQ139" s="172"/>
      <c r="BR139" s="173"/>
      <c r="BS139" s="174"/>
      <c r="BT139" s="173"/>
      <c r="BU139" s="173"/>
      <c r="BV139" s="175"/>
      <c r="BW139" s="88"/>
      <c r="FH139" s="50"/>
      <c r="FI139" s="47"/>
      <c r="FJ139" s="47"/>
      <c r="FK139" s="47"/>
      <c r="FL139" s="47"/>
    </row>
    <row r="140" spans="2:168" ht="11.25" customHeight="1">
      <c r="B140" s="137"/>
      <c r="C140" s="134"/>
      <c r="D140" s="372"/>
      <c r="E140" s="373"/>
      <c r="F140" s="374"/>
      <c r="G140" s="373"/>
      <c r="H140" s="373"/>
      <c r="I140" s="375"/>
      <c r="J140" s="88"/>
      <c r="AX140" s="137"/>
      <c r="AY140" s="172"/>
      <c r="AZ140" s="173"/>
      <c r="BA140" s="174"/>
      <c r="BB140" s="173"/>
      <c r="BC140" s="173"/>
      <c r="BD140" s="175"/>
      <c r="BE140" s="88"/>
      <c r="BG140" s="137"/>
      <c r="BH140" s="172"/>
      <c r="BI140" s="173"/>
      <c r="BJ140" s="174"/>
      <c r="BK140" s="173"/>
      <c r="BL140" s="173"/>
      <c r="BM140" s="175"/>
      <c r="BN140" s="88"/>
      <c r="BP140" s="137"/>
      <c r="BQ140" s="172"/>
      <c r="BR140" s="173"/>
      <c r="BS140" s="174"/>
      <c r="BT140" s="173"/>
      <c r="BU140" s="173"/>
      <c r="BV140" s="175"/>
      <c r="BW140" s="88"/>
      <c r="FH140" s="50"/>
      <c r="FI140" s="47"/>
      <c r="FJ140" s="47"/>
      <c r="FK140" s="47"/>
      <c r="FL140" s="47"/>
    </row>
    <row r="141" spans="2:168" ht="11.25" customHeight="1">
      <c r="B141" s="137"/>
      <c r="C141" s="134"/>
      <c r="D141" s="372"/>
      <c r="E141" s="373"/>
      <c r="F141" s="374"/>
      <c r="G141" s="373"/>
      <c r="H141" s="373"/>
      <c r="I141" s="375"/>
      <c r="J141" s="88"/>
      <c r="AX141" s="137"/>
      <c r="AY141" s="172"/>
      <c r="AZ141" s="173"/>
      <c r="BA141" s="174"/>
      <c r="BB141" s="173"/>
      <c r="BC141" s="173"/>
      <c r="BD141" s="175"/>
      <c r="BE141" s="88"/>
      <c r="BG141" s="137"/>
      <c r="BH141" s="172"/>
      <c r="BI141" s="173"/>
      <c r="BJ141" s="174"/>
      <c r="BK141" s="173"/>
      <c r="BL141" s="173"/>
      <c r="BM141" s="175"/>
      <c r="BN141" s="88"/>
      <c r="BP141" s="137"/>
      <c r="BQ141" s="172"/>
      <c r="BR141" s="173"/>
      <c r="BS141" s="174"/>
      <c r="BT141" s="173"/>
      <c r="BU141" s="173"/>
      <c r="BV141" s="175"/>
      <c r="BW141" s="88"/>
      <c r="FH141" s="50"/>
      <c r="FI141" s="47"/>
      <c r="FJ141" s="47"/>
      <c r="FK141" s="47"/>
      <c r="FL141" s="47"/>
    </row>
    <row r="142" spans="2:168" ht="11.25" customHeight="1">
      <c r="B142" s="137"/>
      <c r="C142" s="134"/>
      <c r="D142" s="372"/>
      <c r="E142" s="373"/>
      <c r="F142" s="374"/>
      <c r="G142" s="373"/>
      <c r="H142" s="373"/>
      <c r="I142" s="375"/>
      <c r="J142" s="88"/>
      <c r="AX142" s="137"/>
      <c r="AY142" s="172"/>
      <c r="AZ142" s="173"/>
      <c r="BA142" s="174"/>
      <c r="BB142" s="173"/>
      <c r="BC142" s="173"/>
      <c r="BD142" s="175"/>
      <c r="BE142" s="88"/>
      <c r="BG142" s="137"/>
      <c r="BH142" s="172"/>
      <c r="BI142" s="173"/>
      <c r="BJ142" s="174"/>
      <c r="BK142" s="173"/>
      <c r="BL142" s="173"/>
      <c r="BM142" s="175"/>
      <c r="BN142" s="88"/>
      <c r="BP142" s="137"/>
      <c r="BQ142" s="172"/>
      <c r="BR142" s="173"/>
      <c r="BS142" s="174"/>
      <c r="BT142" s="173"/>
      <c r="BU142" s="173"/>
      <c r="BV142" s="175"/>
      <c r="BW142" s="88"/>
      <c r="FH142" s="50"/>
      <c r="FI142" s="47"/>
      <c r="FJ142" s="47"/>
      <c r="FK142" s="47"/>
      <c r="FL142" s="47"/>
    </row>
    <row r="143" spans="2:168" ht="11.25" customHeight="1">
      <c r="B143" s="137"/>
      <c r="C143" s="134"/>
      <c r="D143" s="372"/>
      <c r="E143" s="373"/>
      <c r="F143" s="374"/>
      <c r="G143" s="373"/>
      <c r="H143" s="373"/>
      <c r="I143" s="375"/>
      <c r="J143" s="88"/>
      <c r="AX143" s="137"/>
      <c r="AY143" s="172"/>
      <c r="AZ143" s="173"/>
      <c r="BA143" s="174"/>
      <c r="BB143" s="173"/>
      <c r="BC143" s="173"/>
      <c r="BD143" s="175"/>
      <c r="BE143" s="88"/>
      <c r="BG143" s="137"/>
      <c r="BH143" s="172"/>
      <c r="BI143" s="173"/>
      <c r="BJ143" s="174"/>
      <c r="BK143" s="173"/>
      <c r="BL143" s="173"/>
      <c r="BM143" s="175"/>
      <c r="BN143" s="88"/>
      <c r="BP143" s="137"/>
      <c r="BQ143" s="172"/>
      <c r="BR143" s="173"/>
      <c r="BS143" s="174"/>
      <c r="BT143" s="173"/>
      <c r="BU143" s="173"/>
      <c r="BV143" s="175"/>
      <c r="BW143" s="88"/>
      <c r="FH143" s="50"/>
      <c r="FI143" s="47"/>
      <c r="FJ143" s="47"/>
      <c r="FK143" s="47"/>
      <c r="FL143" s="47"/>
    </row>
    <row r="144" spans="2:168" ht="11.25" customHeight="1">
      <c r="B144" s="137"/>
      <c r="C144" s="134"/>
      <c r="D144" s="372"/>
      <c r="E144" s="373"/>
      <c r="F144" s="374"/>
      <c r="G144" s="373"/>
      <c r="H144" s="373"/>
      <c r="I144" s="375"/>
      <c r="J144" s="88"/>
      <c r="AX144" s="137"/>
      <c r="AY144" s="172"/>
      <c r="AZ144" s="173"/>
      <c r="BA144" s="174"/>
      <c r="BB144" s="173"/>
      <c r="BC144" s="173"/>
      <c r="BD144" s="175"/>
      <c r="BE144" s="88"/>
      <c r="BG144" s="137"/>
      <c r="BH144" s="172"/>
      <c r="BI144" s="173"/>
      <c r="BJ144" s="174"/>
      <c r="BK144" s="173"/>
      <c r="BL144" s="173"/>
      <c r="BM144" s="175"/>
      <c r="BN144" s="88"/>
      <c r="BP144" s="137"/>
      <c r="BQ144" s="172"/>
      <c r="BR144" s="173"/>
      <c r="BS144" s="174"/>
      <c r="BT144" s="173"/>
      <c r="BU144" s="173"/>
      <c r="BV144" s="175"/>
      <c r="BW144" s="88"/>
      <c r="FH144" s="50"/>
      <c r="FI144" s="47"/>
      <c r="FJ144" s="47"/>
      <c r="FK144" s="47"/>
      <c r="FL144" s="47"/>
    </row>
    <row r="145" spans="2:168" ht="11.25" customHeight="1">
      <c r="B145" s="137"/>
      <c r="C145" s="134"/>
      <c r="D145" s="372"/>
      <c r="E145" s="373"/>
      <c r="F145" s="374"/>
      <c r="G145" s="373"/>
      <c r="H145" s="373"/>
      <c r="I145" s="375"/>
      <c r="J145" s="88"/>
      <c r="AX145" s="137"/>
      <c r="AY145" s="172"/>
      <c r="AZ145" s="173"/>
      <c r="BA145" s="174"/>
      <c r="BB145" s="173"/>
      <c r="BC145" s="173"/>
      <c r="BD145" s="175"/>
      <c r="BE145" s="88"/>
      <c r="BG145" s="137"/>
      <c r="BH145" s="172"/>
      <c r="BI145" s="173"/>
      <c r="BJ145" s="174"/>
      <c r="BK145" s="173"/>
      <c r="BL145" s="173"/>
      <c r="BM145" s="175"/>
      <c r="BN145" s="88"/>
      <c r="BP145" s="137"/>
      <c r="BQ145" s="172"/>
      <c r="BR145" s="173"/>
      <c r="BS145" s="174"/>
      <c r="BT145" s="173"/>
      <c r="BU145" s="173"/>
      <c r="BV145" s="175"/>
      <c r="BW145" s="88"/>
      <c r="FH145" s="50"/>
      <c r="FI145" s="47"/>
      <c r="FJ145" s="47"/>
      <c r="FK145" s="47"/>
      <c r="FL145" s="47"/>
    </row>
    <row r="146" spans="2:168" ht="11.25" customHeight="1">
      <c r="B146" s="137"/>
      <c r="C146" s="134"/>
      <c r="D146" s="372"/>
      <c r="E146" s="373"/>
      <c r="F146" s="374"/>
      <c r="G146" s="373"/>
      <c r="H146" s="373"/>
      <c r="I146" s="375"/>
      <c r="J146" s="88"/>
      <c r="AX146" s="137"/>
      <c r="AY146" s="172"/>
      <c r="AZ146" s="173"/>
      <c r="BA146" s="174"/>
      <c r="BB146" s="173"/>
      <c r="BC146" s="173"/>
      <c r="BD146" s="175"/>
      <c r="BE146" s="88"/>
      <c r="BG146" s="137"/>
      <c r="BH146" s="172"/>
      <c r="BI146" s="173"/>
      <c r="BJ146" s="174"/>
      <c r="BK146" s="173"/>
      <c r="BL146" s="173"/>
      <c r="BM146" s="175"/>
      <c r="BN146" s="88"/>
      <c r="BP146" s="137"/>
      <c r="BQ146" s="172"/>
      <c r="BR146" s="173"/>
      <c r="BS146" s="174"/>
      <c r="BT146" s="173"/>
      <c r="BU146" s="173"/>
      <c r="BV146" s="175"/>
      <c r="BW146" s="88"/>
      <c r="FH146" s="50"/>
      <c r="FI146" s="47"/>
      <c r="FJ146" s="47"/>
      <c r="FK146" s="47"/>
      <c r="FL146" s="47"/>
    </row>
    <row r="147" spans="2:168" ht="11.25" customHeight="1">
      <c r="B147" s="137"/>
      <c r="C147" s="134"/>
      <c r="D147" s="372"/>
      <c r="E147" s="373"/>
      <c r="F147" s="374"/>
      <c r="G147" s="373"/>
      <c r="H147" s="373"/>
      <c r="I147" s="375"/>
      <c r="J147" s="88"/>
      <c r="AX147" s="137"/>
      <c r="AY147" s="172"/>
      <c r="AZ147" s="173"/>
      <c r="BA147" s="174"/>
      <c r="BB147" s="173"/>
      <c r="BC147" s="173"/>
      <c r="BD147" s="175"/>
      <c r="BE147" s="88"/>
      <c r="BG147" s="137"/>
      <c r="BH147" s="172"/>
      <c r="BI147" s="173"/>
      <c r="BJ147" s="174"/>
      <c r="BK147" s="173"/>
      <c r="BL147" s="173"/>
      <c r="BM147" s="175"/>
      <c r="BN147" s="88"/>
      <c r="BP147" s="137"/>
      <c r="BQ147" s="172"/>
      <c r="BR147" s="173"/>
      <c r="BS147" s="174"/>
      <c r="BT147" s="173"/>
      <c r="BU147" s="173"/>
      <c r="BV147" s="175"/>
      <c r="BW147" s="88"/>
      <c r="FH147" s="50"/>
      <c r="FI147" s="47"/>
      <c r="FJ147" s="47"/>
      <c r="FK147" s="47"/>
      <c r="FL147" s="47"/>
    </row>
    <row r="148" spans="2:168" ht="11.25" customHeight="1">
      <c r="B148" s="137"/>
      <c r="C148" s="134"/>
      <c r="D148" s="372"/>
      <c r="E148" s="373"/>
      <c r="F148" s="374"/>
      <c r="G148" s="373"/>
      <c r="H148" s="373"/>
      <c r="I148" s="375"/>
      <c r="J148" s="88"/>
      <c r="AX148" s="137"/>
      <c r="AY148" s="172"/>
      <c r="AZ148" s="173"/>
      <c r="BA148" s="174"/>
      <c r="BB148" s="173"/>
      <c r="BC148" s="173"/>
      <c r="BD148" s="175"/>
      <c r="BE148" s="88"/>
      <c r="BG148" s="137"/>
      <c r="BH148" s="172"/>
      <c r="BI148" s="173"/>
      <c r="BJ148" s="174"/>
      <c r="BK148" s="173"/>
      <c r="BL148" s="173"/>
      <c r="BM148" s="175"/>
      <c r="BN148" s="88"/>
      <c r="BP148" s="137"/>
      <c r="BQ148" s="172"/>
      <c r="BR148" s="173"/>
      <c r="BS148" s="174"/>
      <c r="BT148" s="173"/>
      <c r="BU148" s="173"/>
      <c r="BV148" s="175"/>
      <c r="BW148" s="88"/>
      <c r="FH148" s="50"/>
      <c r="FI148" s="47"/>
      <c r="FJ148" s="47"/>
      <c r="FK148" s="47"/>
      <c r="FL148" s="47"/>
    </row>
    <row r="149" spans="2:168" ht="11.25" customHeight="1">
      <c r="B149" s="137"/>
      <c r="C149" s="134"/>
      <c r="D149" s="372"/>
      <c r="E149" s="373"/>
      <c r="F149" s="374"/>
      <c r="G149" s="373"/>
      <c r="H149" s="373"/>
      <c r="I149" s="375"/>
      <c r="J149" s="88"/>
      <c r="AX149" s="137"/>
      <c r="AY149" s="172"/>
      <c r="AZ149" s="173"/>
      <c r="BA149" s="174"/>
      <c r="BB149" s="173"/>
      <c r="BC149" s="173"/>
      <c r="BD149" s="175"/>
      <c r="BE149" s="88"/>
      <c r="BG149" s="137"/>
      <c r="BH149" s="172"/>
      <c r="BI149" s="173"/>
      <c r="BJ149" s="174"/>
      <c r="BK149" s="173"/>
      <c r="BL149" s="173"/>
      <c r="BM149" s="175"/>
      <c r="BN149" s="88"/>
      <c r="BP149" s="137"/>
      <c r="BQ149" s="172"/>
      <c r="BR149" s="173"/>
      <c r="BS149" s="174"/>
      <c r="BT149" s="173"/>
      <c r="BU149" s="173"/>
      <c r="BV149" s="175"/>
      <c r="BW149" s="88"/>
      <c r="FH149" s="50"/>
      <c r="FI149" s="47"/>
      <c r="FJ149" s="47"/>
      <c r="FK149" s="47"/>
      <c r="FL149" s="47"/>
    </row>
    <row r="150" spans="2:168" ht="11.25" customHeight="1">
      <c r="B150" s="137"/>
      <c r="C150" s="134"/>
      <c r="D150" s="372"/>
      <c r="E150" s="373"/>
      <c r="F150" s="374"/>
      <c r="G150" s="373"/>
      <c r="H150" s="373"/>
      <c r="I150" s="375"/>
      <c r="J150" s="88"/>
      <c r="AX150" s="137"/>
      <c r="AY150" s="172"/>
      <c r="AZ150" s="173"/>
      <c r="BA150" s="174"/>
      <c r="BB150" s="173"/>
      <c r="BC150" s="173"/>
      <c r="BD150" s="175"/>
      <c r="BE150" s="88"/>
      <c r="BG150" s="137"/>
      <c r="BH150" s="172"/>
      <c r="BI150" s="173"/>
      <c r="BJ150" s="174"/>
      <c r="BK150" s="173"/>
      <c r="BL150" s="173"/>
      <c r="BM150" s="175"/>
      <c r="BN150" s="88"/>
      <c r="BP150" s="137"/>
      <c r="BQ150" s="172"/>
      <c r="BR150" s="173"/>
      <c r="BS150" s="174"/>
      <c r="BT150" s="173"/>
      <c r="BU150" s="173"/>
      <c r="BV150" s="175"/>
      <c r="BW150" s="88"/>
      <c r="FH150" s="50"/>
      <c r="FI150" s="47"/>
      <c r="FJ150" s="47"/>
      <c r="FK150" s="47"/>
      <c r="FL150" s="47"/>
    </row>
    <row r="151" spans="2:168" ht="11.25" customHeight="1">
      <c r="B151" s="137"/>
      <c r="C151" s="134"/>
      <c r="D151" s="372"/>
      <c r="E151" s="373"/>
      <c r="F151" s="374"/>
      <c r="G151" s="373"/>
      <c r="H151" s="373"/>
      <c r="I151" s="375"/>
      <c r="J151" s="88"/>
      <c r="AX151" s="137"/>
      <c r="AY151" s="172"/>
      <c r="AZ151" s="173"/>
      <c r="BA151" s="174"/>
      <c r="BB151" s="173"/>
      <c r="BC151" s="173"/>
      <c r="BD151" s="175"/>
      <c r="BE151" s="88"/>
      <c r="BG151" s="137"/>
      <c r="BH151" s="172"/>
      <c r="BI151" s="173"/>
      <c r="BJ151" s="174"/>
      <c r="BK151" s="173"/>
      <c r="BL151" s="173"/>
      <c r="BM151" s="175"/>
      <c r="BN151" s="88"/>
      <c r="BP151" s="137"/>
      <c r="BQ151" s="172"/>
      <c r="BR151" s="173"/>
      <c r="BS151" s="174"/>
      <c r="BT151" s="173"/>
      <c r="BU151" s="173"/>
      <c r="BV151" s="175"/>
      <c r="BW151" s="88"/>
      <c r="FH151" s="50"/>
      <c r="FI151" s="47"/>
      <c r="FJ151" s="47"/>
      <c r="FK151" s="47"/>
      <c r="FL151" s="47"/>
    </row>
    <row r="152" spans="2:168" ht="11.25" customHeight="1">
      <c r="B152" s="137"/>
      <c r="C152" s="134"/>
      <c r="D152" s="372"/>
      <c r="E152" s="373"/>
      <c r="F152" s="374"/>
      <c r="G152" s="373"/>
      <c r="H152" s="373"/>
      <c r="I152" s="375"/>
      <c r="J152" s="88"/>
      <c r="AX152" s="137"/>
      <c r="AY152" s="172"/>
      <c r="AZ152" s="173"/>
      <c r="BA152" s="174"/>
      <c r="BB152" s="173"/>
      <c r="BC152" s="173"/>
      <c r="BD152" s="175"/>
      <c r="BE152" s="88"/>
      <c r="BG152" s="137"/>
      <c r="BH152" s="172"/>
      <c r="BI152" s="173"/>
      <c r="BJ152" s="174"/>
      <c r="BK152" s="173"/>
      <c r="BL152" s="173"/>
      <c r="BM152" s="175"/>
      <c r="BN152" s="88"/>
      <c r="BP152" s="137"/>
      <c r="BQ152" s="172"/>
      <c r="BR152" s="173"/>
      <c r="BS152" s="174"/>
      <c r="BT152" s="173"/>
      <c r="BU152" s="173"/>
      <c r="BV152" s="175"/>
      <c r="BW152" s="88"/>
      <c r="FH152" s="50"/>
      <c r="FI152" s="47"/>
      <c r="FJ152" s="47"/>
      <c r="FK152" s="47"/>
      <c r="FL152" s="47"/>
    </row>
    <row r="153" spans="2:168" ht="11.25" customHeight="1">
      <c r="B153" s="137"/>
      <c r="C153" s="134"/>
      <c r="D153" s="372"/>
      <c r="E153" s="373"/>
      <c r="F153" s="374"/>
      <c r="G153" s="373"/>
      <c r="H153" s="373"/>
      <c r="I153" s="375"/>
      <c r="J153" s="88"/>
      <c r="AX153" s="137"/>
      <c r="AY153" s="172"/>
      <c r="AZ153" s="173"/>
      <c r="BA153" s="174"/>
      <c r="BB153" s="173"/>
      <c r="BC153" s="173"/>
      <c r="BD153" s="175"/>
      <c r="BE153" s="88"/>
      <c r="BG153" s="137"/>
      <c r="BH153" s="172"/>
      <c r="BI153" s="173"/>
      <c r="BJ153" s="174"/>
      <c r="BK153" s="173"/>
      <c r="BL153" s="173"/>
      <c r="BM153" s="175"/>
      <c r="BN153" s="88"/>
      <c r="BP153" s="137"/>
      <c r="BQ153" s="172"/>
      <c r="BR153" s="173"/>
      <c r="BS153" s="174"/>
      <c r="BT153" s="173"/>
      <c r="BU153" s="173"/>
      <c r="BV153" s="175"/>
      <c r="BW153" s="88"/>
      <c r="FH153" s="50"/>
      <c r="FI153" s="47"/>
      <c r="FJ153" s="47"/>
      <c r="FK153" s="47"/>
      <c r="FL153" s="47"/>
    </row>
    <row r="154" spans="2:168" ht="11.25" customHeight="1">
      <c r="B154" s="137"/>
      <c r="C154" s="134"/>
      <c r="D154" s="372"/>
      <c r="E154" s="373"/>
      <c r="F154" s="374"/>
      <c r="G154" s="373"/>
      <c r="H154" s="373"/>
      <c r="I154" s="375"/>
      <c r="J154" s="88"/>
      <c r="AX154" s="137"/>
      <c r="AY154" s="172"/>
      <c r="AZ154" s="173"/>
      <c r="BA154" s="174"/>
      <c r="BB154" s="173"/>
      <c r="BC154" s="173"/>
      <c r="BD154" s="175"/>
      <c r="BE154" s="88"/>
      <c r="BG154" s="137"/>
      <c r="BH154" s="172"/>
      <c r="BI154" s="173"/>
      <c r="BJ154" s="174"/>
      <c r="BK154" s="173"/>
      <c r="BL154" s="173"/>
      <c r="BM154" s="175"/>
      <c r="BN154" s="88"/>
      <c r="BP154" s="137"/>
      <c r="BQ154" s="172"/>
      <c r="BR154" s="173"/>
      <c r="BS154" s="174"/>
      <c r="BT154" s="173"/>
      <c r="BU154" s="173"/>
      <c r="BV154" s="175"/>
      <c r="BW154" s="88"/>
      <c r="FH154" s="50"/>
      <c r="FI154" s="47"/>
      <c r="FJ154" s="47"/>
      <c r="FK154" s="47"/>
      <c r="FL154" s="47"/>
    </row>
    <row r="155" spans="2:168" ht="11.25" customHeight="1">
      <c r="B155" s="137"/>
      <c r="C155" s="134"/>
      <c r="D155" s="372"/>
      <c r="E155" s="373"/>
      <c r="F155" s="374"/>
      <c r="G155" s="373"/>
      <c r="H155" s="373"/>
      <c r="I155" s="375"/>
      <c r="J155" s="88"/>
      <c r="AX155" s="137"/>
      <c r="AY155" s="172"/>
      <c r="AZ155" s="173"/>
      <c r="BA155" s="174"/>
      <c r="BB155" s="173"/>
      <c r="BC155" s="173"/>
      <c r="BD155" s="175"/>
      <c r="BE155" s="88"/>
      <c r="BG155" s="137"/>
      <c r="BH155" s="172"/>
      <c r="BI155" s="173"/>
      <c r="BJ155" s="174"/>
      <c r="BK155" s="173"/>
      <c r="BL155" s="173"/>
      <c r="BM155" s="175"/>
      <c r="BN155" s="88"/>
      <c r="BP155" s="137"/>
      <c r="BQ155" s="172"/>
      <c r="BR155" s="173"/>
      <c r="BS155" s="174"/>
      <c r="BT155" s="173"/>
      <c r="BU155" s="173"/>
      <c r="BV155" s="175"/>
      <c r="BW155" s="88"/>
      <c r="FH155" s="50"/>
      <c r="FI155" s="47"/>
      <c r="FJ155" s="47"/>
      <c r="FK155" s="47"/>
      <c r="FL155" s="47"/>
    </row>
    <row r="156" spans="2:168" ht="11.25" customHeight="1">
      <c r="B156" s="137"/>
      <c r="C156" s="134"/>
      <c r="D156" s="372"/>
      <c r="E156" s="373"/>
      <c r="F156" s="374"/>
      <c r="G156" s="373"/>
      <c r="H156" s="373"/>
      <c r="I156" s="375"/>
      <c r="J156" s="88"/>
      <c r="AX156" s="137"/>
      <c r="AY156" s="172"/>
      <c r="AZ156" s="173"/>
      <c r="BA156" s="174"/>
      <c r="BB156" s="173"/>
      <c r="BC156" s="173"/>
      <c r="BD156" s="175"/>
      <c r="BE156" s="88"/>
      <c r="BG156" s="137"/>
      <c r="BH156" s="172"/>
      <c r="BI156" s="173"/>
      <c r="BJ156" s="174"/>
      <c r="BK156" s="173"/>
      <c r="BL156" s="173"/>
      <c r="BM156" s="175"/>
      <c r="BN156" s="88"/>
      <c r="BP156" s="137"/>
      <c r="BQ156" s="172"/>
      <c r="BR156" s="173"/>
      <c r="BS156" s="174"/>
      <c r="BT156" s="173"/>
      <c r="BU156" s="173"/>
      <c r="BV156" s="175"/>
      <c r="BW156" s="88"/>
      <c r="FH156" s="50"/>
      <c r="FI156" s="47"/>
      <c r="FJ156" s="47"/>
      <c r="FK156" s="47"/>
      <c r="FL156" s="47"/>
    </row>
    <row r="157" spans="2:168" ht="11.25" customHeight="1">
      <c r="B157" s="137"/>
      <c r="C157" s="134"/>
      <c r="D157" s="372"/>
      <c r="E157" s="373"/>
      <c r="F157" s="374"/>
      <c r="G157" s="373"/>
      <c r="H157" s="373"/>
      <c r="I157" s="375"/>
      <c r="J157" s="88"/>
      <c r="AX157" s="137"/>
      <c r="AY157" s="172"/>
      <c r="AZ157" s="173"/>
      <c r="BA157" s="174"/>
      <c r="BB157" s="173"/>
      <c r="BC157" s="173"/>
      <c r="BD157" s="175"/>
      <c r="BE157" s="88"/>
      <c r="BG157" s="137"/>
      <c r="BH157" s="172"/>
      <c r="BI157" s="173"/>
      <c r="BJ157" s="174"/>
      <c r="BK157" s="173"/>
      <c r="BL157" s="173"/>
      <c r="BM157" s="175"/>
      <c r="BN157" s="88"/>
      <c r="BP157" s="137"/>
      <c r="BQ157" s="172"/>
      <c r="BR157" s="173"/>
      <c r="BS157" s="174"/>
      <c r="BT157" s="173"/>
      <c r="BU157" s="173"/>
      <c r="BV157" s="175"/>
      <c r="BW157" s="88"/>
      <c r="FH157" s="50"/>
      <c r="FI157" s="47"/>
      <c r="FJ157" s="47"/>
      <c r="FK157" s="47"/>
      <c r="FL157" s="47"/>
    </row>
    <row r="158" spans="2:168" ht="11.25" customHeight="1">
      <c r="B158" s="137"/>
      <c r="C158" s="134"/>
      <c r="D158" s="372"/>
      <c r="E158" s="373"/>
      <c r="F158" s="374"/>
      <c r="G158" s="373"/>
      <c r="H158" s="373"/>
      <c r="I158" s="375"/>
      <c r="J158" s="88"/>
      <c r="AX158" s="137"/>
      <c r="AY158" s="172"/>
      <c r="AZ158" s="173"/>
      <c r="BA158" s="174"/>
      <c r="BB158" s="173"/>
      <c r="BC158" s="173"/>
      <c r="BD158" s="175"/>
      <c r="BE158" s="88"/>
      <c r="BG158" s="137"/>
      <c r="BH158" s="172"/>
      <c r="BI158" s="173"/>
      <c r="BJ158" s="174"/>
      <c r="BK158" s="173"/>
      <c r="BL158" s="173"/>
      <c r="BM158" s="175"/>
      <c r="BN158" s="88"/>
      <c r="BP158" s="137"/>
      <c r="BQ158" s="172"/>
      <c r="BR158" s="173"/>
      <c r="BS158" s="174"/>
      <c r="BT158" s="173"/>
      <c r="BU158" s="173"/>
      <c r="BV158" s="175"/>
      <c r="BW158" s="88"/>
      <c r="FH158" s="50"/>
      <c r="FI158" s="47"/>
      <c r="FJ158" s="47"/>
      <c r="FK158" s="47"/>
      <c r="FL158" s="47"/>
    </row>
    <row r="159" spans="2:168" ht="11.25" customHeight="1">
      <c r="B159" s="137"/>
      <c r="C159" s="134"/>
      <c r="D159" s="372"/>
      <c r="E159" s="373"/>
      <c r="F159" s="374"/>
      <c r="G159" s="373"/>
      <c r="H159" s="373"/>
      <c r="I159" s="375"/>
      <c r="J159" s="88"/>
      <c r="AX159" s="137"/>
      <c r="AY159" s="172"/>
      <c r="AZ159" s="173"/>
      <c r="BA159" s="174"/>
      <c r="BB159" s="173"/>
      <c r="BC159" s="173"/>
      <c r="BD159" s="175"/>
      <c r="BE159" s="88"/>
      <c r="BG159" s="137"/>
      <c r="BH159" s="172"/>
      <c r="BI159" s="173"/>
      <c r="BJ159" s="174"/>
      <c r="BK159" s="173"/>
      <c r="BL159" s="173"/>
      <c r="BM159" s="175"/>
      <c r="BN159" s="88"/>
      <c r="BP159" s="137"/>
      <c r="BQ159" s="172"/>
      <c r="BR159" s="173"/>
      <c r="BS159" s="174"/>
      <c r="BT159" s="173"/>
      <c r="BU159" s="173"/>
      <c r="BV159" s="175"/>
      <c r="BW159" s="88"/>
      <c r="FH159" s="50"/>
      <c r="FI159" s="47"/>
      <c r="FJ159" s="47"/>
      <c r="FK159" s="47"/>
      <c r="FL159" s="47"/>
    </row>
    <row r="160" spans="2:168" ht="11.25" customHeight="1">
      <c r="B160" s="137"/>
      <c r="C160" s="134"/>
      <c r="D160" s="372"/>
      <c r="E160" s="373"/>
      <c r="F160" s="374"/>
      <c r="G160" s="373"/>
      <c r="H160" s="373"/>
      <c r="I160" s="375"/>
      <c r="J160" s="88"/>
      <c r="AX160" s="137"/>
      <c r="AY160" s="172"/>
      <c r="AZ160" s="173"/>
      <c r="BA160" s="174"/>
      <c r="BB160" s="173"/>
      <c r="BC160" s="173"/>
      <c r="BD160" s="175"/>
      <c r="BE160" s="88"/>
      <c r="BG160" s="137"/>
      <c r="BH160" s="172"/>
      <c r="BI160" s="173"/>
      <c r="BJ160" s="174"/>
      <c r="BK160" s="173"/>
      <c r="BL160" s="173"/>
      <c r="BM160" s="175"/>
      <c r="BN160" s="88"/>
      <c r="BP160" s="137"/>
      <c r="BQ160" s="172"/>
      <c r="BR160" s="173"/>
      <c r="BS160" s="174"/>
      <c r="BT160" s="173"/>
      <c r="BU160" s="173"/>
      <c r="BV160" s="175"/>
      <c r="BW160" s="88"/>
      <c r="FH160" s="50"/>
      <c r="FI160" s="47"/>
      <c r="FJ160" s="47"/>
      <c r="FK160" s="47"/>
      <c r="FL160" s="47"/>
    </row>
    <row r="161" spans="2:168" ht="11.25" customHeight="1">
      <c r="B161" s="137"/>
      <c r="C161" s="134"/>
      <c r="D161" s="372"/>
      <c r="E161" s="373"/>
      <c r="F161" s="374"/>
      <c r="G161" s="373"/>
      <c r="H161" s="373"/>
      <c r="I161" s="375"/>
      <c r="J161" s="88"/>
      <c r="AX161" s="137"/>
      <c r="AY161" s="172"/>
      <c r="AZ161" s="173"/>
      <c r="BA161" s="174"/>
      <c r="BB161" s="173"/>
      <c r="BC161" s="173"/>
      <c r="BD161" s="175"/>
      <c r="BE161" s="88"/>
      <c r="BG161" s="137"/>
      <c r="BH161" s="172"/>
      <c r="BI161" s="173"/>
      <c r="BJ161" s="174"/>
      <c r="BK161" s="173"/>
      <c r="BL161" s="173"/>
      <c r="BM161" s="175"/>
      <c r="BN161" s="88"/>
      <c r="BP161" s="137"/>
      <c r="BQ161" s="172"/>
      <c r="BR161" s="173"/>
      <c r="BS161" s="174"/>
      <c r="BT161" s="173"/>
      <c r="BU161" s="173"/>
      <c r="BV161" s="175"/>
      <c r="BW161" s="88"/>
      <c r="FH161" s="50"/>
      <c r="FI161" s="47"/>
      <c r="FJ161" s="47"/>
      <c r="FK161" s="47"/>
      <c r="FL161" s="47"/>
    </row>
    <row r="162" spans="2:168" ht="11.25" customHeight="1">
      <c r="B162" s="137"/>
      <c r="C162" s="134"/>
      <c r="D162" s="372"/>
      <c r="E162" s="373"/>
      <c r="F162" s="374"/>
      <c r="G162" s="373"/>
      <c r="H162" s="373"/>
      <c r="I162" s="375"/>
      <c r="J162" s="88"/>
      <c r="AX162" s="137"/>
      <c r="AY162" s="172"/>
      <c r="AZ162" s="173"/>
      <c r="BA162" s="174"/>
      <c r="BB162" s="173"/>
      <c r="BC162" s="173"/>
      <c r="BD162" s="175"/>
      <c r="BE162" s="88"/>
      <c r="BG162" s="137"/>
      <c r="BH162" s="172"/>
      <c r="BI162" s="173"/>
      <c r="BJ162" s="174"/>
      <c r="BK162" s="173"/>
      <c r="BL162" s="173"/>
      <c r="BM162" s="175"/>
      <c r="BN162" s="88"/>
      <c r="BP162" s="137"/>
      <c r="BQ162" s="172"/>
      <c r="BR162" s="173"/>
      <c r="BS162" s="174"/>
      <c r="BT162" s="173"/>
      <c r="BU162" s="173"/>
      <c r="BV162" s="175"/>
      <c r="BW162" s="88"/>
      <c r="FH162" s="50"/>
      <c r="FI162" s="47"/>
      <c r="FJ162" s="47"/>
      <c r="FK162" s="47"/>
      <c r="FL162" s="47"/>
    </row>
    <row r="163" spans="2:168" ht="11.25" customHeight="1">
      <c r="B163" s="137"/>
      <c r="C163" s="134"/>
      <c r="D163" s="372"/>
      <c r="E163" s="373"/>
      <c r="F163" s="374"/>
      <c r="G163" s="373"/>
      <c r="H163" s="373"/>
      <c r="I163" s="375"/>
      <c r="J163" s="88"/>
      <c r="AX163" s="137"/>
      <c r="AY163" s="172"/>
      <c r="AZ163" s="173"/>
      <c r="BA163" s="174"/>
      <c r="BB163" s="173"/>
      <c r="BC163" s="173"/>
      <c r="BD163" s="175"/>
      <c r="BE163" s="88"/>
      <c r="BG163" s="137"/>
      <c r="BH163" s="172"/>
      <c r="BI163" s="173"/>
      <c r="BJ163" s="174"/>
      <c r="BK163" s="173"/>
      <c r="BL163" s="173"/>
      <c r="BM163" s="175"/>
      <c r="BN163" s="88"/>
      <c r="BP163" s="137"/>
      <c r="BQ163" s="172"/>
      <c r="BR163" s="173"/>
      <c r="BS163" s="174"/>
      <c r="BT163" s="173"/>
      <c r="BU163" s="173"/>
      <c r="BV163" s="175"/>
      <c r="BW163" s="88"/>
      <c r="FH163" s="50"/>
      <c r="FI163" s="47"/>
      <c r="FJ163" s="47"/>
      <c r="FK163" s="47"/>
      <c r="FL163" s="47"/>
    </row>
    <row r="164" spans="2:168" ht="11.25" customHeight="1">
      <c r="B164" s="137"/>
      <c r="C164" s="134"/>
      <c r="D164" s="372"/>
      <c r="E164" s="373"/>
      <c r="F164" s="374"/>
      <c r="G164" s="373"/>
      <c r="H164" s="373"/>
      <c r="I164" s="375"/>
      <c r="J164" s="88"/>
      <c r="AX164" s="137"/>
      <c r="AY164" s="172"/>
      <c r="AZ164" s="173"/>
      <c r="BA164" s="174"/>
      <c r="BB164" s="173"/>
      <c r="BC164" s="173"/>
      <c r="BD164" s="175"/>
      <c r="BE164" s="88"/>
      <c r="BG164" s="137"/>
      <c r="BH164" s="172"/>
      <c r="BI164" s="173"/>
      <c r="BJ164" s="174"/>
      <c r="BK164" s="173"/>
      <c r="BL164" s="173"/>
      <c r="BM164" s="175"/>
      <c r="BN164" s="88"/>
      <c r="BP164" s="137"/>
      <c r="BQ164" s="172"/>
      <c r="BR164" s="173"/>
      <c r="BS164" s="174"/>
      <c r="BT164" s="173"/>
      <c r="BU164" s="173"/>
      <c r="BV164" s="175"/>
      <c r="BW164" s="88"/>
      <c r="FH164" s="50"/>
      <c r="FI164" s="47"/>
      <c r="FJ164" s="47"/>
      <c r="FK164" s="47"/>
      <c r="FL164" s="47"/>
    </row>
    <row r="165" spans="2:168" ht="11.25" customHeight="1">
      <c r="B165" s="137"/>
      <c r="C165" s="134"/>
      <c r="D165" s="372"/>
      <c r="E165" s="373"/>
      <c r="F165" s="374"/>
      <c r="G165" s="373"/>
      <c r="H165" s="373"/>
      <c r="I165" s="375"/>
      <c r="J165" s="88"/>
      <c r="AX165" s="137"/>
      <c r="AY165" s="172"/>
      <c r="AZ165" s="173"/>
      <c r="BA165" s="174"/>
      <c r="BB165" s="173"/>
      <c r="BC165" s="173"/>
      <c r="BD165" s="175"/>
      <c r="BE165" s="88"/>
      <c r="BG165" s="137"/>
      <c r="BH165" s="172"/>
      <c r="BI165" s="173"/>
      <c r="BJ165" s="174"/>
      <c r="BK165" s="173"/>
      <c r="BL165" s="173"/>
      <c r="BM165" s="175"/>
      <c r="BN165" s="88"/>
      <c r="BP165" s="137"/>
      <c r="BQ165" s="172"/>
      <c r="BR165" s="173"/>
      <c r="BS165" s="174"/>
      <c r="BT165" s="173"/>
      <c r="BU165" s="173"/>
      <c r="BV165" s="175"/>
      <c r="BW165" s="88"/>
      <c r="FH165" s="50"/>
      <c r="FI165" s="47"/>
      <c r="FJ165" s="47"/>
      <c r="FK165" s="47"/>
      <c r="FL165" s="47"/>
    </row>
    <row r="166" spans="2:168" ht="11.25" customHeight="1">
      <c r="B166" s="137"/>
      <c r="C166" s="134"/>
      <c r="D166" s="372"/>
      <c r="E166" s="373"/>
      <c r="F166" s="374"/>
      <c r="G166" s="373"/>
      <c r="H166" s="373"/>
      <c r="I166" s="375"/>
      <c r="J166" s="88"/>
      <c r="AX166" s="137"/>
      <c r="AY166" s="172"/>
      <c r="AZ166" s="173"/>
      <c r="BA166" s="174"/>
      <c r="BB166" s="173"/>
      <c r="BC166" s="173"/>
      <c r="BD166" s="175"/>
      <c r="BE166" s="88"/>
      <c r="BG166" s="137"/>
      <c r="BH166" s="172"/>
      <c r="BI166" s="173"/>
      <c r="BJ166" s="174"/>
      <c r="BK166" s="173"/>
      <c r="BL166" s="173"/>
      <c r="BM166" s="175"/>
      <c r="BN166" s="88"/>
      <c r="BP166" s="137"/>
      <c r="BQ166" s="172"/>
      <c r="BR166" s="173"/>
      <c r="BS166" s="174"/>
      <c r="BT166" s="173"/>
      <c r="BU166" s="173"/>
      <c r="BV166" s="175"/>
      <c r="BW166" s="88"/>
      <c r="FH166" s="50"/>
      <c r="FI166" s="47"/>
      <c r="FJ166" s="47"/>
      <c r="FK166" s="47"/>
      <c r="FL166" s="47"/>
    </row>
    <row r="167" spans="2:168" ht="11.25" customHeight="1">
      <c r="B167" s="137"/>
      <c r="C167" s="134"/>
      <c r="D167" s="372"/>
      <c r="E167" s="373"/>
      <c r="F167" s="374"/>
      <c r="G167" s="373"/>
      <c r="H167" s="373"/>
      <c r="I167" s="375"/>
      <c r="J167" s="88"/>
      <c r="AX167" s="137"/>
      <c r="AY167" s="172"/>
      <c r="AZ167" s="173"/>
      <c r="BA167" s="174"/>
      <c r="BB167" s="173"/>
      <c r="BC167" s="173"/>
      <c r="BD167" s="175"/>
      <c r="BE167" s="88"/>
      <c r="BG167" s="137"/>
      <c r="BH167" s="172"/>
      <c r="BI167" s="173"/>
      <c r="BJ167" s="174"/>
      <c r="BK167" s="173"/>
      <c r="BL167" s="173"/>
      <c r="BM167" s="175"/>
      <c r="BN167" s="88"/>
      <c r="BP167" s="137"/>
      <c r="BQ167" s="172"/>
      <c r="BR167" s="173"/>
      <c r="BS167" s="174"/>
      <c r="BT167" s="173"/>
      <c r="BU167" s="173"/>
      <c r="BV167" s="175"/>
      <c r="BW167" s="88"/>
      <c r="FH167" s="50"/>
      <c r="FI167" s="47"/>
      <c r="FJ167" s="47"/>
      <c r="FK167" s="47"/>
      <c r="FL167" s="47"/>
    </row>
    <row r="168" spans="2:168" ht="11.25" customHeight="1">
      <c r="B168" s="137"/>
      <c r="C168" s="134"/>
      <c r="D168" s="372"/>
      <c r="E168" s="373"/>
      <c r="F168" s="374"/>
      <c r="G168" s="373"/>
      <c r="H168" s="373"/>
      <c r="I168" s="375"/>
      <c r="J168" s="88"/>
      <c r="AX168" s="137"/>
      <c r="AY168" s="172"/>
      <c r="AZ168" s="173"/>
      <c r="BA168" s="174"/>
      <c r="BB168" s="173"/>
      <c r="BC168" s="173"/>
      <c r="BD168" s="175"/>
      <c r="BE168" s="88"/>
      <c r="BG168" s="137"/>
      <c r="BH168" s="172"/>
      <c r="BI168" s="173"/>
      <c r="BJ168" s="174"/>
      <c r="BK168" s="173"/>
      <c r="BL168" s="173"/>
      <c r="BM168" s="175"/>
      <c r="BN168" s="88"/>
      <c r="BP168" s="137"/>
      <c r="BQ168" s="172"/>
      <c r="BR168" s="173"/>
      <c r="BS168" s="174"/>
      <c r="BT168" s="173"/>
      <c r="BU168" s="173"/>
      <c r="BV168" s="175"/>
      <c r="BW168" s="88"/>
      <c r="FH168" s="50"/>
      <c r="FI168" s="47"/>
      <c r="FJ168" s="47"/>
      <c r="FK168" s="47"/>
      <c r="FL168" s="47"/>
    </row>
    <row r="169" spans="2:168" ht="11.25" customHeight="1">
      <c r="B169" s="137"/>
      <c r="C169" s="134"/>
      <c r="D169" s="372"/>
      <c r="E169" s="373"/>
      <c r="F169" s="374"/>
      <c r="G169" s="373"/>
      <c r="H169" s="373"/>
      <c r="I169" s="375"/>
      <c r="J169" s="88"/>
      <c r="AX169" s="137"/>
      <c r="AY169" s="172"/>
      <c r="AZ169" s="173"/>
      <c r="BA169" s="174"/>
      <c r="BB169" s="173"/>
      <c r="BC169" s="173"/>
      <c r="BD169" s="175"/>
      <c r="BE169" s="88"/>
      <c r="BG169" s="137"/>
      <c r="BH169" s="172"/>
      <c r="BI169" s="173"/>
      <c r="BJ169" s="174"/>
      <c r="BK169" s="173"/>
      <c r="BL169" s="173"/>
      <c r="BM169" s="175"/>
      <c r="BN169" s="88"/>
      <c r="BP169" s="137"/>
      <c r="BQ169" s="172"/>
      <c r="BR169" s="173"/>
      <c r="BS169" s="174"/>
      <c r="BT169" s="173"/>
      <c r="BU169" s="173"/>
      <c r="BV169" s="175"/>
      <c r="BW169" s="88"/>
      <c r="FH169" s="50"/>
      <c r="FI169" s="47"/>
      <c r="FJ169" s="47"/>
      <c r="FK169" s="47"/>
      <c r="FL169" s="47"/>
    </row>
    <row r="170" spans="2:168" ht="11.25" customHeight="1">
      <c r="B170" s="137"/>
      <c r="C170" s="134"/>
      <c r="D170" s="372"/>
      <c r="E170" s="373"/>
      <c r="F170" s="374"/>
      <c r="G170" s="373"/>
      <c r="H170" s="373"/>
      <c r="I170" s="375"/>
      <c r="J170" s="88"/>
      <c r="AX170" s="137"/>
      <c r="AY170" s="172"/>
      <c r="AZ170" s="173"/>
      <c r="BA170" s="174"/>
      <c r="BB170" s="173"/>
      <c r="BC170" s="173"/>
      <c r="BD170" s="175"/>
      <c r="BE170" s="88"/>
      <c r="BG170" s="137"/>
      <c r="BH170" s="172"/>
      <c r="BI170" s="173"/>
      <c r="BJ170" s="174"/>
      <c r="BK170" s="173"/>
      <c r="BL170" s="173"/>
      <c r="BM170" s="175"/>
      <c r="BN170" s="88"/>
      <c r="BP170" s="137"/>
      <c r="BQ170" s="172"/>
      <c r="BR170" s="173"/>
      <c r="BS170" s="174"/>
      <c r="BT170" s="173"/>
      <c r="BU170" s="173"/>
      <c r="BV170" s="175"/>
      <c r="BW170" s="88"/>
      <c r="FH170" s="50"/>
      <c r="FI170" s="47"/>
      <c r="FJ170" s="47"/>
      <c r="FK170" s="47"/>
      <c r="FL170" s="47"/>
    </row>
    <row r="171" spans="2:168" ht="11.25" customHeight="1">
      <c r="B171" s="137"/>
      <c r="C171" s="134"/>
      <c r="D171" s="372"/>
      <c r="E171" s="373"/>
      <c r="F171" s="374"/>
      <c r="G171" s="373"/>
      <c r="H171" s="373"/>
      <c r="I171" s="375"/>
      <c r="J171" s="88"/>
      <c r="AX171" s="137"/>
      <c r="AY171" s="172"/>
      <c r="AZ171" s="173"/>
      <c r="BA171" s="174"/>
      <c r="BB171" s="173"/>
      <c r="BC171" s="173"/>
      <c r="BD171" s="175"/>
      <c r="BE171" s="88"/>
      <c r="BG171" s="137"/>
      <c r="BH171" s="172"/>
      <c r="BI171" s="173"/>
      <c r="BJ171" s="174"/>
      <c r="BK171" s="173"/>
      <c r="BL171" s="173"/>
      <c r="BM171" s="175"/>
      <c r="BN171" s="88"/>
      <c r="BP171" s="137"/>
      <c r="BQ171" s="172"/>
      <c r="BR171" s="173"/>
      <c r="BS171" s="174"/>
      <c r="BT171" s="173"/>
      <c r="BU171" s="173"/>
      <c r="BV171" s="175"/>
      <c r="BW171" s="88"/>
      <c r="FH171" s="50"/>
      <c r="FI171" s="47"/>
      <c r="FJ171" s="47"/>
      <c r="FK171" s="47"/>
      <c r="FL171" s="47"/>
    </row>
    <row r="172" spans="2:168" ht="11.25" customHeight="1">
      <c r="B172" s="137"/>
      <c r="C172" s="134"/>
      <c r="D172" s="372"/>
      <c r="E172" s="373"/>
      <c r="F172" s="374"/>
      <c r="G172" s="373"/>
      <c r="H172" s="373"/>
      <c r="I172" s="375"/>
      <c r="J172" s="88"/>
      <c r="AX172" s="137"/>
      <c r="AY172" s="172"/>
      <c r="AZ172" s="173"/>
      <c r="BA172" s="174"/>
      <c r="BB172" s="173"/>
      <c r="BC172" s="173"/>
      <c r="BD172" s="175"/>
      <c r="BE172" s="88"/>
      <c r="BG172" s="137"/>
      <c r="BH172" s="172"/>
      <c r="BI172" s="173"/>
      <c r="BJ172" s="174"/>
      <c r="BK172" s="173"/>
      <c r="BL172" s="173"/>
      <c r="BM172" s="175"/>
      <c r="BN172" s="88"/>
      <c r="BP172" s="137"/>
      <c r="BQ172" s="172"/>
      <c r="BR172" s="173"/>
      <c r="BS172" s="174"/>
      <c r="BT172" s="173"/>
      <c r="BU172" s="173"/>
      <c r="BV172" s="175"/>
      <c r="BW172" s="88"/>
      <c r="FH172" s="50"/>
      <c r="FI172" s="47"/>
      <c r="FJ172" s="47"/>
      <c r="FK172" s="47"/>
      <c r="FL172" s="47"/>
    </row>
    <row r="173" spans="2:168" ht="11.25" customHeight="1">
      <c r="B173" s="137"/>
      <c r="C173" s="134"/>
      <c r="D173" s="372"/>
      <c r="E173" s="373"/>
      <c r="F173" s="374"/>
      <c r="G173" s="373"/>
      <c r="H173" s="373"/>
      <c r="I173" s="375"/>
      <c r="J173" s="88"/>
      <c r="AX173" s="137"/>
      <c r="AY173" s="172"/>
      <c r="AZ173" s="173"/>
      <c r="BA173" s="174"/>
      <c r="BB173" s="173"/>
      <c r="BC173" s="173"/>
      <c r="BD173" s="175"/>
      <c r="BE173" s="88"/>
      <c r="BG173" s="137"/>
      <c r="BH173" s="172"/>
      <c r="BI173" s="173"/>
      <c r="BJ173" s="174"/>
      <c r="BK173" s="173"/>
      <c r="BL173" s="173"/>
      <c r="BM173" s="175"/>
      <c r="BN173" s="88"/>
      <c r="BP173" s="137"/>
      <c r="BQ173" s="172"/>
      <c r="BR173" s="173"/>
      <c r="BS173" s="174"/>
      <c r="BT173" s="173"/>
      <c r="BU173" s="173"/>
      <c r="BV173" s="175"/>
      <c r="BW173" s="88"/>
      <c r="FH173" s="50"/>
      <c r="FI173" s="47"/>
      <c r="FJ173" s="47"/>
      <c r="FK173" s="47"/>
      <c r="FL173" s="47"/>
    </row>
    <row r="174" spans="2:168" ht="11.25" customHeight="1">
      <c r="B174" s="137"/>
      <c r="C174" s="134"/>
      <c r="D174" s="372"/>
      <c r="E174" s="373"/>
      <c r="F174" s="374"/>
      <c r="G174" s="373"/>
      <c r="H174" s="373"/>
      <c r="I174" s="375"/>
      <c r="J174" s="88"/>
      <c r="AX174" s="137"/>
      <c r="AY174" s="172"/>
      <c r="AZ174" s="173"/>
      <c r="BA174" s="174"/>
      <c r="BB174" s="173"/>
      <c r="BC174" s="173"/>
      <c r="BD174" s="175"/>
      <c r="BE174" s="88"/>
      <c r="BG174" s="137"/>
      <c r="BH174" s="172"/>
      <c r="BI174" s="173"/>
      <c r="BJ174" s="174"/>
      <c r="BK174" s="173"/>
      <c r="BL174" s="173"/>
      <c r="BM174" s="175"/>
      <c r="BN174" s="88"/>
      <c r="BP174" s="137"/>
      <c r="BQ174" s="172"/>
      <c r="BR174" s="173"/>
      <c r="BS174" s="174"/>
      <c r="BT174" s="173"/>
      <c r="BU174" s="173"/>
      <c r="BV174" s="175"/>
      <c r="BW174" s="88"/>
      <c r="FH174" s="50"/>
      <c r="FI174" s="47"/>
      <c r="FJ174" s="47"/>
      <c r="FK174" s="47"/>
      <c r="FL174" s="47"/>
    </row>
    <row r="175" spans="2:168" ht="11.25" customHeight="1">
      <c r="B175" s="137"/>
      <c r="C175" s="134"/>
      <c r="D175" s="372"/>
      <c r="E175" s="373"/>
      <c r="F175" s="374"/>
      <c r="G175" s="373"/>
      <c r="H175" s="373"/>
      <c r="I175" s="375"/>
      <c r="J175" s="88"/>
      <c r="AX175" s="137"/>
      <c r="AY175" s="172"/>
      <c r="AZ175" s="173"/>
      <c r="BA175" s="174"/>
      <c r="BB175" s="173"/>
      <c r="BC175" s="173"/>
      <c r="BD175" s="175"/>
      <c r="BE175" s="88"/>
      <c r="BG175" s="137"/>
      <c r="BH175" s="172"/>
      <c r="BI175" s="173"/>
      <c r="BJ175" s="174"/>
      <c r="BK175" s="173"/>
      <c r="BL175" s="173"/>
      <c r="BM175" s="175"/>
      <c r="BN175" s="88"/>
      <c r="BP175" s="137"/>
      <c r="BQ175" s="172"/>
      <c r="BR175" s="173"/>
      <c r="BS175" s="174"/>
      <c r="BT175" s="173"/>
      <c r="BU175" s="173"/>
      <c r="BV175" s="175"/>
      <c r="BW175" s="88"/>
      <c r="FH175" s="50"/>
      <c r="FI175" s="47"/>
      <c r="FJ175" s="47"/>
      <c r="FK175" s="47"/>
      <c r="FL175" s="47"/>
    </row>
    <row r="176" spans="2:168" ht="11.25" customHeight="1">
      <c r="B176" s="137"/>
      <c r="C176" s="134"/>
      <c r="D176" s="372"/>
      <c r="E176" s="373"/>
      <c r="F176" s="374"/>
      <c r="G176" s="373"/>
      <c r="H176" s="373"/>
      <c r="I176" s="375"/>
      <c r="J176" s="88"/>
      <c r="AX176" s="137"/>
      <c r="AY176" s="172"/>
      <c r="AZ176" s="173"/>
      <c r="BA176" s="174"/>
      <c r="BB176" s="173"/>
      <c r="BC176" s="173"/>
      <c r="BD176" s="175"/>
      <c r="BE176" s="88"/>
      <c r="BG176" s="137"/>
      <c r="BH176" s="172"/>
      <c r="BI176" s="173"/>
      <c r="BJ176" s="174"/>
      <c r="BK176" s="173"/>
      <c r="BL176" s="173"/>
      <c r="BM176" s="175"/>
      <c r="BN176" s="88"/>
      <c r="BP176" s="137"/>
      <c r="BQ176" s="172"/>
      <c r="BR176" s="173"/>
      <c r="BS176" s="174"/>
      <c r="BT176" s="173"/>
      <c r="BU176" s="173"/>
      <c r="BV176" s="175"/>
      <c r="BW176" s="88"/>
      <c r="FH176" s="50"/>
      <c r="FI176" s="47"/>
      <c r="FJ176" s="47"/>
      <c r="FK176" s="47"/>
      <c r="FL176" s="47"/>
    </row>
    <row r="177" spans="2:168" ht="11.25" customHeight="1">
      <c r="B177" s="137"/>
      <c r="C177" s="134"/>
      <c r="D177" s="372"/>
      <c r="E177" s="373"/>
      <c r="F177" s="374"/>
      <c r="G177" s="373"/>
      <c r="H177" s="373"/>
      <c r="I177" s="375"/>
      <c r="J177" s="88"/>
      <c r="AX177" s="137"/>
      <c r="AY177" s="172"/>
      <c r="AZ177" s="173"/>
      <c r="BA177" s="174"/>
      <c r="BB177" s="173"/>
      <c r="BC177" s="173"/>
      <c r="BD177" s="175"/>
      <c r="BE177" s="88"/>
      <c r="BG177" s="137"/>
      <c r="BH177" s="172"/>
      <c r="BI177" s="173"/>
      <c r="BJ177" s="174"/>
      <c r="BK177" s="173"/>
      <c r="BL177" s="173"/>
      <c r="BM177" s="175"/>
      <c r="BN177" s="88"/>
      <c r="BP177" s="137"/>
      <c r="BQ177" s="172"/>
      <c r="BR177" s="173"/>
      <c r="BS177" s="174"/>
      <c r="BT177" s="173"/>
      <c r="BU177" s="173"/>
      <c r="BV177" s="175"/>
      <c r="BW177" s="88"/>
      <c r="FH177" s="50"/>
      <c r="FI177" s="47"/>
      <c r="FJ177" s="47"/>
      <c r="FK177" s="47"/>
      <c r="FL177" s="47"/>
    </row>
    <row r="178" spans="2:168" ht="11.25" customHeight="1">
      <c r="B178" s="137"/>
      <c r="C178" s="134"/>
      <c r="D178" s="372"/>
      <c r="E178" s="373"/>
      <c r="F178" s="374"/>
      <c r="G178" s="373"/>
      <c r="H178" s="373"/>
      <c r="I178" s="375"/>
      <c r="J178" s="88"/>
      <c r="AX178" s="137"/>
      <c r="AY178" s="172"/>
      <c r="AZ178" s="173"/>
      <c r="BA178" s="174"/>
      <c r="BB178" s="173"/>
      <c r="BC178" s="173"/>
      <c r="BD178" s="175"/>
      <c r="BE178" s="88"/>
      <c r="BG178" s="137"/>
      <c r="BH178" s="172"/>
      <c r="BI178" s="173"/>
      <c r="BJ178" s="174"/>
      <c r="BK178" s="173"/>
      <c r="BL178" s="173"/>
      <c r="BM178" s="175"/>
      <c r="BN178" s="88"/>
      <c r="BP178" s="137"/>
      <c r="BQ178" s="172"/>
      <c r="BR178" s="173"/>
      <c r="BS178" s="174"/>
      <c r="BT178" s="173"/>
      <c r="BU178" s="173"/>
      <c r="BV178" s="175"/>
      <c r="BW178" s="88"/>
      <c r="FH178" s="50"/>
      <c r="FI178" s="47"/>
      <c r="FJ178" s="47"/>
      <c r="FK178" s="47"/>
      <c r="FL178" s="47"/>
    </row>
    <row r="179" spans="2:168" ht="11.25" customHeight="1">
      <c r="B179" s="137"/>
      <c r="C179" s="134"/>
      <c r="D179" s="372"/>
      <c r="E179" s="373"/>
      <c r="F179" s="374"/>
      <c r="G179" s="373"/>
      <c r="H179" s="373"/>
      <c r="I179" s="375"/>
      <c r="J179" s="88"/>
      <c r="AX179" s="137"/>
      <c r="AY179" s="172"/>
      <c r="AZ179" s="173"/>
      <c r="BA179" s="174"/>
      <c r="BB179" s="173"/>
      <c r="BC179" s="173"/>
      <c r="BD179" s="175"/>
      <c r="BE179" s="88"/>
      <c r="BG179" s="137"/>
      <c r="BH179" s="172"/>
      <c r="BI179" s="173"/>
      <c r="BJ179" s="174"/>
      <c r="BK179" s="173"/>
      <c r="BL179" s="173"/>
      <c r="BM179" s="175"/>
      <c r="BN179" s="88"/>
      <c r="BP179" s="137"/>
      <c r="BQ179" s="172"/>
      <c r="BR179" s="173"/>
      <c r="BS179" s="174"/>
      <c r="BT179" s="173"/>
      <c r="BU179" s="173"/>
      <c r="BV179" s="175"/>
      <c r="BW179" s="88"/>
      <c r="FH179" s="50"/>
      <c r="FI179" s="47"/>
      <c r="FJ179" s="47"/>
      <c r="FK179" s="47"/>
      <c r="FL179" s="47"/>
    </row>
    <row r="180" spans="2:168" ht="11.25" customHeight="1">
      <c r="B180" s="137"/>
      <c r="C180" s="134"/>
      <c r="D180" s="372"/>
      <c r="E180" s="373"/>
      <c r="F180" s="374"/>
      <c r="G180" s="373"/>
      <c r="H180" s="373"/>
      <c r="I180" s="375"/>
      <c r="J180" s="88"/>
      <c r="AX180" s="137"/>
      <c r="AY180" s="172"/>
      <c r="AZ180" s="173"/>
      <c r="BA180" s="174"/>
      <c r="BB180" s="173"/>
      <c r="BC180" s="173"/>
      <c r="BD180" s="175"/>
      <c r="BE180" s="88"/>
      <c r="BG180" s="137"/>
      <c r="BH180" s="172"/>
      <c r="BI180" s="173"/>
      <c r="BJ180" s="174"/>
      <c r="BK180" s="173"/>
      <c r="BL180" s="173"/>
      <c r="BM180" s="175"/>
      <c r="BN180" s="88"/>
      <c r="BP180" s="137"/>
      <c r="BQ180" s="172"/>
      <c r="BR180" s="173"/>
      <c r="BS180" s="174"/>
      <c r="BT180" s="173"/>
      <c r="BU180" s="173"/>
      <c r="BV180" s="175"/>
      <c r="BW180" s="88"/>
      <c r="FH180" s="50"/>
      <c r="FI180" s="47"/>
      <c r="FJ180" s="47"/>
      <c r="FK180" s="47"/>
      <c r="FL180" s="47"/>
    </row>
    <row r="181" spans="2:168" ht="11.25" customHeight="1">
      <c r="B181" s="137"/>
      <c r="C181" s="134"/>
      <c r="D181" s="372"/>
      <c r="E181" s="373"/>
      <c r="F181" s="374"/>
      <c r="G181" s="373"/>
      <c r="H181" s="373"/>
      <c r="I181" s="375"/>
      <c r="J181" s="88"/>
      <c r="AX181" s="137"/>
      <c r="AY181" s="172"/>
      <c r="AZ181" s="173"/>
      <c r="BA181" s="174"/>
      <c r="BB181" s="173"/>
      <c r="BC181" s="173"/>
      <c r="BD181" s="175"/>
      <c r="BE181" s="88"/>
      <c r="BG181" s="137"/>
      <c r="BH181" s="172"/>
      <c r="BI181" s="173"/>
      <c r="BJ181" s="174"/>
      <c r="BK181" s="173"/>
      <c r="BL181" s="173"/>
      <c r="BM181" s="175"/>
      <c r="BN181" s="88"/>
      <c r="BP181" s="137"/>
      <c r="BQ181" s="172"/>
      <c r="BR181" s="173"/>
      <c r="BS181" s="174"/>
      <c r="BT181" s="173"/>
      <c r="BU181" s="173"/>
      <c r="BV181" s="175"/>
      <c r="BW181" s="88"/>
      <c r="FH181" s="50"/>
      <c r="FI181" s="47"/>
      <c r="FJ181" s="47"/>
      <c r="FK181" s="47"/>
      <c r="FL181" s="47"/>
    </row>
    <row r="182" spans="2:168" ht="11.25" customHeight="1">
      <c r="B182" s="137"/>
      <c r="C182" s="134"/>
      <c r="D182" s="372"/>
      <c r="E182" s="373"/>
      <c r="F182" s="374"/>
      <c r="G182" s="373"/>
      <c r="H182" s="373"/>
      <c r="I182" s="375"/>
      <c r="J182" s="88"/>
      <c r="AX182" s="137"/>
      <c r="AY182" s="172"/>
      <c r="AZ182" s="173"/>
      <c r="BA182" s="174"/>
      <c r="BB182" s="173"/>
      <c r="BC182" s="173"/>
      <c r="BD182" s="175"/>
      <c r="BE182" s="88"/>
      <c r="BG182" s="137"/>
      <c r="BH182" s="172"/>
      <c r="BI182" s="173"/>
      <c r="BJ182" s="174"/>
      <c r="BK182" s="173"/>
      <c r="BL182" s="173"/>
      <c r="BM182" s="175"/>
      <c r="BN182" s="88"/>
      <c r="BP182" s="137"/>
      <c r="BQ182" s="172"/>
      <c r="BR182" s="173"/>
      <c r="BS182" s="174"/>
      <c r="BT182" s="173"/>
      <c r="BU182" s="173"/>
      <c r="BV182" s="175"/>
      <c r="BW182" s="88"/>
      <c r="FH182" s="50"/>
      <c r="FI182" s="47"/>
      <c r="FJ182" s="47"/>
      <c r="FK182" s="47"/>
      <c r="FL182" s="47"/>
    </row>
    <row r="183" spans="2:168" ht="11.25" customHeight="1">
      <c r="B183" s="137"/>
      <c r="C183" s="134"/>
      <c r="D183" s="372"/>
      <c r="E183" s="373"/>
      <c r="F183" s="374"/>
      <c r="G183" s="373"/>
      <c r="H183" s="373"/>
      <c r="I183" s="375"/>
      <c r="J183" s="88"/>
      <c r="AX183" s="137"/>
      <c r="AY183" s="172"/>
      <c r="AZ183" s="173"/>
      <c r="BA183" s="174"/>
      <c r="BB183" s="173"/>
      <c r="BC183" s="173"/>
      <c r="BD183" s="175"/>
      <c r="BE183" s="88"/>
      <c r="BG183" s="137"/>
      <c r="BH183" s="172"/>
      <c r="BI183" s="173"/>
      <c r="BJ183" s="174"/>
      <c r="BK183" s="173"/>
      <c r="BL183" s="173"/>
      <c r="BM183" s="175"/>
      <c r="BN183" s="88"/>
      <c r="BP183" s="137"/>
      <c r="BQ183" s="172"/>
      <c r="BR183" s="173"/>
      <c r="BS183" s="174"/>
      <c r="BT183" s="173"/>
      <c r="BU183" s="173"/>
      <c r="BV183" s="175"/>
      <c r="BW183" s="88"/>
      <c r="FH183" s="50"/>
      <c r="FI183" s="47"/>
      <c r="FJ183" s="47"/>
      <c r="FK183" s="47"/>
      <c r="FL183" s="47"/>
    </row>
    <row r="184" spans="2:168" ht="11.25" customHeight="1">
      <c r="B184" s="137"/>
      <c r="C184" s="134"/>
      <c r="D184" s="372"/>
      <c r="E184" s="373"/>
      <c r="F184" s="374"/>
      <c r="G184" s="373"/>
      <c r="H184" s="373"/>
      <c r="I184" s="375"/>
      <c r="J184" s="88"/>
      <c r="AX184" s="137"/>
      <c r="AY184" s="172"/>
      <c r="AZ184" s="173"/>
      <c r="BA184" s="174"/>
      <c r="BB184" s="173"/>
      <c r="BC184" s="173"/>
      <c r="BD184" s="175"/>
      <c r="BE184" s="88"/>
      <c r="BG184" s="137"/>
      <c r="BH184" s="172"/>
      <c r="BI184" s="173"/>
      <c r="BJ184" s="174"/>
      <c r="BK184" s="173"/>
      <c r="BL184" s="173"/>
      <c r="BM184" s="175"/>
      <c r="BN184" s="88"/>
      <c r="BP184" s="137"/>
      <c r="BQ184" s="172"/>
      <c r="BR184" s="173"/>
      <c r="BS184" s="174"/>
      <c r="BT184" s="173"/>
      <c r="BU184" s="173"/>
      <c r="BV184" s="175"/>
      <c r="BW184" s="88"/>
      <c r="FH184" s="50"/>
      <c r="FI184" s="47"/>
      <c r="FJ184" s="47"/>
      <c r="FK184" s="47"/>
      <c r="FL184" s="47"/>
    </row>
    <row r="185" spans="2:168" ht="11.25" customHeight="1">
      <c r="B185" s="137"/>
      <c r="C185" s="134"/>
      <c r="D185" s="372"/>
      <c r="E185" s="373"/>
      <c r="F185" s="374"/>
      <c r="G185" s="373"/>
      <c r="H185" s="373"/>
      <c r="I185" s="375"/>
      <c r="J185" s="88"/>
      <c r="AX185" s="137"/>
      <c r="AY185" s="172"/>
      <c r="AZ185" s="173"/>
      <c r="BA185" s="174"/>
      <c r="BB185" s="173"/>
      <c r="BC185" s="173"/>
      <c r="BD185" s="175"/>
      <c r="BE185" s="88"/>
      <c r="BG185" s="137"/>
      <c r="BH185" s="172"/>
      <c r="BI185" s="173"/>
      <c r="BJ185" s="174"/>
      <c r="BK185" s="173"/>
      <c r="BL185" s="173"/>
      <c r="BM185" s="175"/>
      <c r="BN185" s="88"/>
      <c r="BP185" s="137"/>
      <c r="BQ185" s="172"/>
      <c r="BR185" s="173"/>
      <c r="BS185" s="174"/>
      <c r="BT185" s="173"/>
      <c r="BU185" s="173"/>
      <c r="BV185" s="175"/>
      <c r="BW185" s="88"/>
      <c r="FH185" s="50"/>
      <c r="FI185" s="47"/>
      <c r="FJ185" s="47"/>
      <c r="FK185" s="47"/>
      <c r="FL185" s="47"/>
    </row>
    <row r="186" spans="2:168" ht="11.25" customHeight="1">
      <c r="B186" s="137"/>
      <c r="C186" s="134"/>
      <c r="D186" s="372"/>
      <c r="E186" s="373"/>
      <c r="F186" s="374"/>
      <c r="G186" s="373"/>
      <c r="H186" s="373"/>
      <c r="I186" s="375"/>
      <c r="J186" s="88"/>
      <c r="AX186" s="137"/>
      <c r="AY186" s="172"/>
      <c r="AZ186" s="173"/>
      <c r="BA186" s="174"/>
      <c r="BB186" s="173"/>
      <c r="BC186" s="173"/>
      <c r="BD186" s="175"/>
      <c r="BE186" s="88"/>
      <c r="BG186" s="137"/>
      <c r="BH186" s="172"/>
      <c r="BI186" s="173"/>
      <c r="BJ186" s="174"/>
      <c r="BK186" s="173"/>
      <c r="BL186" s="173"/>
      <c r="BM186" s="175"/>
      <c r="BN186" s="88"/>
      <c r="BP186" s="137"/>
      <c r="BQ186" s="172"/>
      <c r="BR186" s="173"/>
      <c r="BS186" s="174"/>
      <c r="BT186" s="173"/>
      <c r="BU186" s="173"/>
      <c r="BV186" s="175"/>
      <c r="BW186" s="88"/>
      <c r="FH186" s="50"/>
      <c r="FI186" s="47"/>
      <c r="FJ186" s="47"/>
      <c r="FK186" s="47"/>
      <c r="FL186" s="47"/>
    </row>
    <row r="187" spans="2:168" ht="11.25" customHeight="1">
      <c r="B187" s="137"/>
      <c r="C187" s="134"/>
      <c r="D187" s="372"/>
      <c r="E187" s="373"/>
      <c r="F187" s="374"/>
      <c r="G187" s="373"/>
      <c r="H187" s="373"/>
      <c r="I187" s="375"/>
      <c r="J187" s="88"/>
      <c r="AX187" s="137"/>
      <c r="AY187" s="172"/>
      <c r="AZ187" s="173"/>
      <c r="BA187" s="174"/>
      <c r="BB187" s="173"/>
      <c r="BC187" s="173"/>
      <c r="BD187" s="175"/>
      <c r="BE187" s="88"/>
      <c r="BG187" s="137"/>
      <c r="BH187" s="172"/>
      <c r="BI187" s="173"/>
      <c r="BJ187" s="174"/>
      <c r="BK187" s="173"/>
      <c r="BL187" s="173"/>
      <c r="BM187" s="175"/>
      <c r="BN187" s="88"/>
      <c r="BP187" s="137"/>
      <c r="BQ187" s="172"/>
      <c r="BR187" s="173"/>
      <c r="BS187" s="174"/>
      <c r="BT187" s="173"/>
      <c r="BU187" s="173"/>
      <c r="BV187" s="175"/>
      <c r="BW187" s="88"/>
      <c r="FH187" s="50"/>
      <c r="FI187" s="47"/>
      <c r="FJ187" s="47"/>
      <c r="FK187" s="47"/>
      <c r="FL187" s="47"/>
    </row>
    <row r="188" spans="2:168" ht="11.25" customHeight="1">
      <c r="B188" s="137"/>
      <c r="C188" s="134"/>
      <c r="D188" s="372"/>
      <c r="E188" s="373"/>
      <c r="F188" s="374"/>
      <c r="G188" s="373"/>
      <c r="H188" s="373"/>
      <c r="I188" s="375"/>
      <c r="J188" s="88"/>
      <c r="AX188" s="137"/>
      <c r="AY188" s="172"/>
      <c r="AZ188" s="173"/>
      <c r="BA188" s="174"/>
      <c r="BB188" s="173"/>
      <c r="BC188" s="173"/>
      <c r="BD188" s="175"/>
      <c r="BE188" s="88"/>
      <c r="BG188" s="137"/>
      <c r="BH188" s="172"/>
      <c r="BI188" s="173"/>
      <c r="BJ188" s="174"/>
      <c r="BK188" s="173"/>
      <c r="BL188" s="173"/>
      <c r="BM188" s="175"/>
      <c r="BN188" s="88"/>
      <c r="BP188" s="137"/>
      <c r="BQ188" s="172"/>
      <c r="BR188" s="173"/>
      <c r="BS188" s="174"/>
      <c r="BT188" s="173"/>
      <c r="BU188" s="173"/>
      <c r="BV188" s="175"/>
      <c r="BW188" s="88"/>
      <c r="FH188" s="50"/>
      <c r="FI188" s="47"/>
      <c r="FJ188" s="47"/>
      <c r="FK188" s="47"/>
      <c r="FL188" s="47"/>
    </row>
    <row r="189" spans="2:168" ht="11.25" customHeight="1">
      <c r="B189" s="137"/>
      <c r="C189" s="134"/>
      <c r="D189" s="372"/>
      <c r="E189" s="373"/>
      <c r="F189" s="374"/>
      <c r="G189" s="373"/>
      <c r="H189" s="373"/>
      <c r="I189" s="375"/>
      <c r="J189" s="88"/>
      <c r="AX189" s="137"/>
      <c r="AY189" s="172"/>
      <c r="AZ189" s="173"/>
      <c r="BA189" s="174"/>
      <c r="BB189" s="173"/>
      <c r="BC189" s="173"/>
      <c r="BD189" s="175"/>
      <c r="BE189" s="88"/>
      <c r="BG189" s="137"/>
      <c r="BH189" s="172"/>
      <c r="BI189" s="173"/>
      <c r="BJ189" s="174"/>
      <c r="BK189" s="173"/>
      <c r="BL189" s="173"/>
      <c r="BM189" s="175"/>
      <c r="BN189" s="88"/>
      <c r="BP189" s="137"/>
      <c r="BQ189" s="172"/>
      <c r="BR189" s="173"/>
      <c r="BS189" s="174"/>
      <c r="BT189" s="173"/>
      <c r="BU189" s="173"/>
      <c r="BV189" s="175"/>
      <c r="BW189" s="88"/>
      <c r="FH189" s="50"/>
      <c r="FI189" s="47"/>
      <c r="FJ189" s="47"/>
      <c r="FK189" s="47"/>
      <c r="FL189" s="47"/>
    </row>
    <row r="190" spans="2:168" ht="11.25" customHeight="1">
      <c r="B190" s="137"/>
      <c r="C190" s="134"/>
      <c r="D190" s="372"/>
      <c r="E190" s="373"/>
      <c r="F190" s="374"/>
      <c r="G190" s="373"/>
      <c r="H190" s="373"/>
      <c r="I190" s="375"/>
      <c r="J190" s="88"/>
      <c r="AX190" s="137"/>
      <c r="AY190" s="172"/>
      <c r="AZ190" s="173"/>
      <c r="BA190" s="174"/>
      <c r="BB190" s="173"/>
      <c r="BC190" s="173"/>
      <c r="BD190" s="175"/>
      <c r="BE190" s="88"/>
      <c r="BG190" s="137"/>
      <c r="BH190" s="172"/>
      <c r="BI190" s="173"/>
      <c r="BJ190" s="174"/>
      <c r="BK190" s="173"/>
      <c r="BL190" s="173"/>
      <c r="BM190" s="175"/>
      <c r="BN190" s="88"/>
      <c r="BP190" s="137"/>
      <c r="BQ190" s="172"/>
      <c r="BR190" s="173"/>
      <c r="BS190" s="174"/>
      <c r="BT190" s="173"/>
      <c r="BU190" s="173"/>
      <c r="BV190" s="175"/>
      <c r="BW190" s="88"/>
      <c r="FH190" s="50"/>
      <c r="FI190" s="47"/>
      <c r="FJ190" s="47"/>
      <c r="FK190" s="47"/>
      <c r="FL190" s="47"/>
    </row>
    <row r="191" spans="2:168" ht="11.25" customHeight="1">
      <c r="B191" s="137"/>
      <c r="C191" s="134"/>
      <c r="D191" s="372"/>
      <c r="E191" s="373"/>
      <c r="F191" s="374"/>
      <c r="G191" s="373"/>
      <c r="H191" s="373"/>
      <c r="I191" s="375"/>
      <c r="J191" s="88"/>
      <c r="AX191" s="137"/>
      <c r="AY191" s="172"/>
      <c r="AZ191" s="173"/>
      <c r="BA191" s="174"/>
      <c r="BB191" s="173"/>
      <c r="BC191" s="173"/>
      <c r="BD191" s="175"/>
      <c r="BE191" s="88"/>
      <c r="BG191" s="137"/>
      <c r="BH191" s="172"/>
      <c r="BI191" s="173"/>
      <c r="BJ191" s="174"/>
      <c r="BK191" s="173"/>
      <c r="BL191" s="173"/>
      <c r="BM191" s="175"/>
      <c r="BN191" s="88"/>
      <c r="BP191" s="137"/>
      <c r="BQ191" s="172"/>
      <c r="BR191" s="173"/>
      <c r="BS191" s="174"/>
      <c r="BT191" s="173"/>
      <c r="BU191" s="173"/>
      <c r="BV191" s="175"/>
      <c r="BW191" s="88"/>
      <c r="FH191" s="50"/>
      <c r="FI191" s="47"/>
      <c r="FJ191" s="47"/>
      <c r="FK191" s="47"/>
      <c r="FL191" s="47"/>
    </row>
    <row r="192" spans="2:168" ht="11.25" customHeight="1">
      <c r="B192" s="137"/>
      <c r="C192" s="134"/>
      <c r="D192" s="372"/>
      <c r="E192" s="373"/>
      <c r="F192" s="374"/>
      <c r="G192" s="373"/>
      <c r="H192" s="373"/>
      <c r="I192" s="375"/>
      <c r="J192" s="88"/>
      <c r="AX192" s="137"/>
      <c r="AY192" s="172"/>
      <c r="AZ192" s="173"/>
      <c r="BA192" s="174"/>
      <c r="BB192" s="173"/>
      <c r="BC192" s="173"/>
      <c r="BD192" s="175"/>
      <c r="BE192" s="88"/>
      <c r="BG192" s="137"/>
      <c r="BH192" s="172"/>
      <c r="BI192" s="173"/>
      <c r="BJ192" s="174"/>
      <c r="BK192" s="173"/>
      <c r="BL192" s="173"/>
      <c r="BM192" s="175"/>
      <c r="BN192" s="88"/>
      <c r="BP192" s="137"/>
      <c r="BQ192" s="172"/>
      <c r="BR192" s="173"/>
      <c r="BS192" s="174"/>
      <c r="BT192" s="173"/>
      <c r="BU192" s="173"/>
      <c r="BV192" s="175"/>
      <c r="BW192" s="88"/>
      <c r="FH192" s="50"/>
      <c r="FI192" s="47"/>
      <c r="FJ192" s="47"/>
      <c r="FK192" s="47"/>
      <c r="FL192" s="47"/>
    </row>
    <row r="193" spans="2:168" ht="11.25" customHeight="1">
      <c r="B193" s="137"/>
      <c r="C193" s="134"/>
      <c r="D193" s="372"/>
      <c r="E193" s="373"/>
      <c r="F193" s="374"/>
      <c r="G193" s="373"/>
      <c r="H193" s="373"/>
      <c r="I193" s="375"/>
      <c r="J193" s="88"/>
      <c r="AX193" s="137"/>
      <c r="AY193" s="172"/>
      <c r="AZ193" s="173"/>
      <c r="BA193" s="174"/>
      <c r="BB193" s="173"/>
      <c r="BC193" s="173"/>
      <c r="BD193" s="175"/>
      <c r="BE193" s="88"/>
      <c r="BG193" s="137"/>
      <c r="BH193" s="172"/>
      <c r="BI193" s="173"/>
      <c r="BJ193" s="174"/>
      <c r="BK193" s="173"/>
      <c r="BL193" s="173"/>
      <c r="BM193" s="175"/>
      <c r="BN193" s="88"/>
      <c r="BP193" s="137"/>
      <c r="BQ193" s="172"/>
      <c r="BR193" s="173"/>
      <c r="BS193" s="174"/>
      <c r="BT193" s="173"/>
      <c r="BU193" s="173"/>
      <c r="BV193" s="175"/>
      <c r="BW193" s="88"/>
      <c r="FH193" s="50"/>
      <c r="FI193" s="47"/>
      <c r="FJ193" s="47"/>
      <c r="FK193" s="47"/>
      <c r="FL193" s="47"/>
    </row>
    <row r="194" spans="2:168" ht="11.25" customHeight="1">
      <c r="B194" s="137"/>
      <c r="C194" s="134"/>
      <c r="D194" s="372"/>
      <c r="E194" s="373"/>
      <c r="F194" s="374"/>
      <c r="G194" s="373"/>
      <c r="H194" s="373"/>
      <c r="I194" s="375"/>
      <c r="J194" s="88"/>
      <c r="AX194" s="137"/>
      <c r="AY194" s="172"/>
      <c r="AZ194" s="173"/>
      <c r="BA194" s="174"/>
      <c r="BB194" s="173"/>
      <c r="BC194" s="173"/>
      <c r="BD194" s="175"/>
      <c r="BE194" s="88"/>
      <c r="BG194" s="137"/>
      <c r="BH194" s="172"/>
      <c r="BI194" s="173"/>
      <c r="BJ194" s="174"/>
      <c r="BK194" s="173"/>
      <c r="BL194" s="173"/>
      <c r="BM194" s="175"/>
      <c r="BN194" s="88"/>
      <c r="BP194" s="137"/>
      <c r="BQ194" s="172"/>
      <c r="BR194" s="173"/>
      <c r="BS194" s="174"/>
      <c r="BT194" s="173"/>
      <c r="BU194" s="173"/>
      <c r="BV194" s="175"/>
      <c r="BW194" s="88"/>
      <c r="FH194" s="50"/>
      <c r="FI194" s="47"/>
      <c r="FJ194" s="47"/>
      <c r="FK194" s="47"/>
      <c r="FL194" s="47"/>
    </row>
    <row r="195" spans="2:168" ht="11.25" customHeight="1">
      <c r="B195" s="137"/>
      <c r="C195" s="134"/>
      <c r="D195" s="372"/>
      <c r="E195" s="373"/>
      <c r="F195" s="374"/>
      <c r="G195" s="373"/>
      <c r="H195" s="373"/>
      <c r="I195" s="375"/>
      <c r="J195" s="88"/>
      <c r="AX195" s="137"/>
      <c r="AY195" s="172"/>
      <c r="AZ195" s="173"/>
      <c r="BA195" s="174"/>
      <c r="BB195" s="173"/>
      <c r="BC195" s="173"/>
      <c r="BD195" s="175"/>
      <c r="BE195" s="88"/>
      <c r="BG195" s="137"/>
      <c r="BH195" s="172"/>
      <c r="BI195" s="173"/>
      <c r="BJ195" s="174"/>
      <c r="BK195" s="173"/>
      <c r="BL195" s="173"/>
      <c r="BM195" s="175"/>
      <c r="BN195" s="88"/>
      <c r="BP195" s="137"/>
      <c r="BQ195" s="172"/>
      <c r="BR195" s="173"/>
      <c r="BS195" s="174"/>
      <c r="BT195" s="173"/>
      <c r="BU195" s="173"/>
      <c r="BV195" s="175"/>
      <c r="BW195" s="88"/>
      <c r="FH195" s="50"/>
      <c r="FI195" s="47"/>
      <c r="FJ195" s="47"/>
      <c r="FK195" s="47"/>
      <c r="FL195" s="47"/>
    </row>
    <row r="196" spans="2:168" ht="11.25" customHeight="1">
      <c r="B196" s="137"/>
      <c r="C196" s="134"/>
      <c r="D196" s="372"/>
      <c r="E196" s="373"/>
      <c r="F196" s="374"/>
      <c r="G196" s="373"/>
      <c r="H196" s="373"/>
      <c r="I196" s="375"/>
      <c r="J196" s="88"/>
      <c r="AX196" s="137"/>
      <c r="AY196" s="172"/>
      <c r="AZ196" s="173"/>
      <c r="BA196" s="174"/>
      <c r="BB196" s="173"/>
      <c r="BC196" s="173"/>
      <c r="BD196" s="175"/>
      <c r="BE196" s="88"/>
      <c r="BG196" s="137"/>
      <c r="BH196" s="172"/>
      <c r="BI196" s="173"/>
      <c r="BJ196" s="174"/>
      <c r="BK196" s="173"/>
      <c r="BL196" s="173"/>
      <c r="BM196" s="175"/>
      <c r="BN196" s="88"/>
      <c r="BP196" s="137"/>
      <c r="BQ196" s="172"/>
      <c r="BR196" s="173"/>
      <c r="BS196" s="174"/>
      <c r="BT196" s="173"/>
      <c r="BU196" s="173"/>
      <c r="BV196" s="175"/>
      <c r="BW196" s="88"/>
      <c r="FH196" s="50"/>
      <c r="FI196" s="47"/>
      <c r="FJ196" s="47"/>
      <c r="FK196" s="47"/>
      <c r="FL196" s="47"/>
    </row>
    <row r="197" spans="2:168" ht="11.25" customHeight="1">
      <c r="B197" s="137"/>
      <c r="C197" s="134"/>
      <c r="D197" s="372"/>
      <c r="E197" s="373"/>
      <c r="F197" s="374"/>
      <c r="G197" s="373"/>
      <c r="H197" s="373"/>
      <c r="I197" s="375"/>
      <c r="J197" s="88"/>
      <c r="AX197" s="137"/>
      <c r="AY197" s="172"/>
      <c r="AZ197" s="173"/>
      <c r="BA197" s="174"/>
      <c r="BB197" s="173"/>
      <c r="BC197" s="173"/>
      <c r="BD197" s="175"/>
      <c r="BE197" s="88"/>
      <c r="BG197" s="137"/>
      <c r="BH197" s="172"/>
      <c r="BI197" s="173"/>
      <c r="BJ197" s="174"/>
      <c r="BK197" s="173"/>
      <c r="BL197" s="173"/>
      <c r="BM197" s="175"/>
      <c r="BN197" s="88"/>
      <c r="BP197" s="137"/>
      <c r="BQ197" s="172"/>
      <c r="BR197" s="173"/>
      <c r="BS197" s="174"/>
      <c r="BT197" s="173"/>
      <c r="BU197" s="173"/>
      <c r="BV197" s="175"/>
      <c r="BW197" s="88"/>
      <c r="FH197" s="50"/>
      <c r="FI197" s="47"/>
      <c r="FJ197" s="47"/>
      <c r="FK197" s="47"/>
      <c r="FL197" s="47"/>
    </row>
    <row r="198" spans="2:168" ht="11.25" customHeight="1">
      <c r="B198" s="137"/>
      <c r="C198" s="134"/>
      <c r="D198" s="372"/>
      <c r="E198" s="373"/>
      <c r="F198" s="374"/>
      <c r="G198" s="373"/>
      <c r="H198" s="373"/>
      <c r="I198" s="375"/>
      <c r="J198" s="88"/>
      <c r="AX198" s="137"/>
      <c r="AY198" s="172"/>
      <c r="AZ198" s="173"/>
      <c r="BA198" s="174"/>
      <c r="BB198" s="173"/>
      <c r="BC198" s="173"/>
      <c r="BD198" s="175"/>
      <c r="BE198" s="88"/>
      <c r="BG198" s="137"/>
      <c r="BH198" s="172"/>
      <c r="BI198" s="173"/>
      <c r="BJ198" s="174"/>
      <c r="BK198" s="173"/>
      <c r="BL198" s="173"/>
      <c r="BM198" s="175"/>
      <c r="BN198" s="88"/>
      <c r="BP198" s="137"/>
      <c r="BQ198" s="172"/>
      <c r="BR198" s="173"/>
      <c r="BS198" s="174"/>
      <c r="BT198" s="173"/>
      <c r="BU198" s="173"/>
      <c r="BV198" s="175"/>
      <c r="BW198" s="88"/>
      <c r="FH198" s="50"/>
      <c r="FI198" s="47"/>
      <c r="FJ198" s="47"/>
      <c r="FK198" s="47"/>
      <c r="FL198" s="47"/>
    </row>
    <row r="199" spans="2:168" ht="11.25" customHeight="1">
      <c r="B199" s="137"/>
      <c r="C199" s="134"/>
      <c r="D199" s="372"/>
      <c r="E199" s="373"/>
      <c r="F199" s="374"/>
      <c r="G199" s="373"/>
      <c r="H199" s="373"/>
      <c r="I199" s="375"/>
      <c r="J199" s="88"/>
      <c r="AX199" s="137"/>
      <c r="AY199" s="172"/>
      <c r="AZ199" s="173"/>
      <c r="BA199" s="174"/>
      <c r="BB199" s="173"/>
      <c r="BC199" s="173"/>
      <c r="BD199" s="175"/>
      <c r="BE199" s="88"/>
      <c r="BG199" s="137"/>
      <c r="BH199" s="172"/>
      <c r="BI199" s="173"/>
      <c r="BJ199" s="174"/>
      <c r="BK199" s="173"/>
      <c r="BL199" s="173"/>
      <c r="BM199" s="175"/>
      <c r="BN199" s="88"/>
      <c r="BP199" s="137"/>
      <c r="BQ199" s="172"/>
      <c r="BR199" s="173"/>
      <c r="BS199" s="174"/>
      <c r="BT199" s="173"/>
      <c r="BU199" s="173"/>
      <c r="BV199" s="175"/>
      <c r="BW199" s="88"/>
      <c r="FH199" s="50"/>
      <c r="FI199" s="47"/>
      <c r="FJ199" s="47"/>
      <c r="FK199" s="47"/>
      <c r="FL199" s="47"/>
    </row>
    <row r="200" spans="2:168" ht="11.25" customHeight="1">
      <c r="B200" s="137"/>
      <c r="C200" s="134"/>
      <c r="D200" s="372"/>
      <c r="E200" s="373"/>
      <c r="F200" s="374"/>
      <c r="G200" s="373"/>
      <c r="H200" s="373"/>
      <c r="I200" s="375"/>
      <c r="J200" s="88"/>
      <c r="AX200" s="137"/>
      <c r="AY200" s="172"/>
      <c r="AZ200" s="173"/>
      <c r="BA200" s="174"/>
      <c r="BB200" s="173"/>
      <c r="BC200" s="173"/>
      <c r="BD200" s="175"/>
      <c r="BE200" s="88"/>
      <c r="BG200" s="137"/>
      <c r="BH200" s="172"/>
      <c r="BI200" s="173"/>
      <c r="BJ200" s="174"/>
      <c r="BK200" s="173"/>
      <c r="BL200" s="173"/>
      <c r="BM200" s="175"/>
      <c r="BN200" s="88"/>
      <c r="BP200" s="137"/>
      <c r="BQ200" s="172"/>
      <c r="BR200" s="173"/>
      <c r="BS200" s="174"/>
      <c r="BT200" s="173"/>
      <c r="BU200" s="173"/>
      <c r="BV200" s="175"/>
      <c r="BW200" s="88"/>
      <c r="FH200" s="50"/>
      <c r="FI200" s="47"/>
      <c r="FJ200" s="47"/>
      <c r="FK200" s="47"/>
      <c r="FL200" s="47"/>
    </row>
    <row r="201" spans="2:168" ht="11.25" customHeight="1">
      <c r="B201" s="137"/>
      <c r="C201" s="134"/>
      <c r="D201" s="372"/>
      <c r="E201" s="373"/>
      <c r="F201" s="374"/>
      <c r="G201" s="373"/>
      <c r="H201" s="373"/>
      <c r="I201" s="375"/>
      <c r="J201" s="88"/>
      <c r="AX201" s="137"/>
      <c r="AY201" s="172"/>
      <c r="AZ201" s="173"/>
      <c r="BA201" s="174"/>
      <c r="BB201" s="173"/>
      <c r="BC201" s="173"/>
      <c r="BD201" s="175"/>
      <c r="BE201" s="88"/>
      <c r="BG201" s="137"/>
      <c r="BH201" s="172"/>
      <c r="BI201" s="173"/>
      <c r="BJ201" s="174"/>
      <c r="BK201" s="173"/>
      <c r="BL201" s="173"/>
      <c r="BM201" s="175"/>
      <c r="BN201" s="88"/>
      <c r="BP201" s="137"/>
      <c r="BQ201" s="172"/>
      <c r="BR201" s="173"/>
      <c r="BS201" s="174"/>
      <c r="BT201" s="173"/>
      <c r="BU201" s="173"/>
      <c r="BV201" s="175"/>
      <c r="BW201" s="88"/>
      <c r="FH201" s="50"/>
      <c r="FI201" s="47"/>
      <c r="FJ201" s="47"/>
      <c r="FK201" s="47"/>
      <c r="FL201" s="47"/>
    </row>
    <row r="202" spans="2:168" ht="11.25" customHeight="1">
      <c r="B202" s="137"/>
      <c r="C202" s="134"/>
      <c r="D202" s="372"/>
      <c r="E202" s="373"/>
      <c r="F202" s="374"/>
      <c r="G202" s="373"/>
      <c r="H202" s="373"/>
      <c r="I202" s="375"/>
      <c r="J202" s="88"/>
      <c r="AX202" s="137"/>
      <c r="AY202" s="172"/>
      <c r="AZ202" s="173"/>
      <c r="BA202" s="174"/>
      <c r="BB202" s="173"/>
      <c r="BC202" s="173"/>
      <c r="BD202" s="175"/>
      <c r="BE202" s="88"/>
      <c r="BG202" s="137"/>
      <c r="BH202" s="172"/>
      <c r="BI202" s="173"/>
      <c r="BJ202" s="174"/>
      <c r="BK202" s="173"/>
      <c r="BL202" s="173"/>
      <c r="BM202" s="175"/>
      <c r="BN202" s="88"/>
      <c r="BP202" s="137"/>
      <c r="BQ202" s="172"/>
      <c r="BR202" s="173"/>
      <c r="BS202" s="174"/>
      <c r="BT202" s="173"/>
      <c r="BU202" s="173"/>
      <c r="BV202" s="175"/>
      <c r="BW202" s="88"/>
      <c r="FH202" s="50"/>
      <c r="FI202" s="47"/>
      <c r="FJ202" s="47"/>
      <c r="FK202" s="47"/>
      <c r="FL202" s="47"/>
    </row>
    <row r="203" spans="2:168" ht="11.25" customHeight="1">
      <c r="B203" s="137"/>
      <c r="C203" s="134"/>
      <c r="D203" s="372"/>
      <c r="E203" s="373"/>
      <c r="F203" s="374"/>
      <c r="G203" s="373"/>
      <c r="H203" s="373"/>
      <c r="I203" s="375"/>
      <c r="J203" s="88"/>
      <c r="AX203" s="137"/>
      <c r="AY203" s="172"/>
      <c r="AZ203" s="173"/>
      <c r="BA203" s="174"/>
      <c r="BB203" s="173"/>
      <c r="BC203" s="173"/>
      <c r="BD203" s="175"/>
      <c r="BE203" s="88"/>
      <c r="BG203" s="137"/>
      <c r="BH203" s="172"/>
      <c r="BI203" s="173"/>
      <c r="BJ203" s="174"/>
      <c r="BK203" s="173"/>
      <c r="BL203" s="173"/>
      <c r="BM203" s="175"/>
      <c r="BN203" s="88"/>
      <c r="BP203" s="137"/>
      <c r="BQ203" s="172"/>
      <c r="BR203" s="173"/>
      <c r="BS203" s="174"/>
      <c r="BT203" s="173"/>
      <c r="BU203" s="173"/>
      <c r="BV203" s="175"/>
      <c r="BW203" s="88"/>
      <c r="FH203" s="50"/>
      <c r="FI203" s="47"/>
      <c r="FJ203" s="47"/>
      <c r="FK203" s="47"/>
      <c r="FL203" s="47"/>
    </row>
    <row r="204" spans="2:168" ht="11.25" customHeight="1">
      <c r="B204" s="137"/>
      <c r="C204" s="134"/>
      <c r="D204" s="372"/>
      <c r="E204" s="373"/>
      <c r="F204" s="374"/>
      <c r="G204" s="373"/>
      <c r="H204" s="373"/>
      <c r="I204" s="375"/>
      <c r="J204" s="88"/>
      <c r="AX204" s="137"/>
      <c r="AY204" s="172"/>
      <c r="AZ204" s="173"/>
      <c r="BA204" s="174"/>
      <c r="BB204" s="173"/>
      <c r="BC204" s="173"/>
      <c r="BD204" s="175"/>
      <c r="BE204" s="88"/>
      <c r="BG204" s="137"/>
      <c r="BH204" s="172"/>
      <c r="BI204" s="173"/>
      <c r="BJ204" s="174"/>
      <c r="BK204" s="173"/>
      <c r="BL204" s="173"/>
      <c r="BM204" s="175"/>
      <c r="BN204" s="88"/>
      <c r="BP204" s="137"/>
      <c r="BQ204" s="172"/>
      <c r="BR204" s="173"/>
      <c r="BS204" s="174"/>
      <c r="BT204" s="173"/>
      <c r="BU204" s="173"/>
      <c r="BV204" s="175"/>
      <c r="BW204" s="88"/>
      <c r="FH204" s="50"/>
      <c r="FI204" s="47"/>
      <c r="FJ204" s="47"/>
      <c r="FK204" s="47"/>
      <c r="FL204" s="47"/>
    </row>
    <row r="205" spans="2:168" ht="11.25" customHeight="1">
      <c r="B205" s="137"/>
      <c r="C205" s="134"/>
      <c r="D205" s="372"/>
      <c r="E205" s="373"/>
      <c r="F205" s="374"/>
      <c r="G205" s="373"/>
      <c r="H205" s="373"/>
      <c r="I205" s="375"/>
      <c r="J205" s="88"/>
      <c r="AX205" s="137"/>
      <c r="AY205" s="172"/>
      <c r="AZ205" s="173"/>
      <c r="BA205" s="174"/>
      <c r="BB205" s="173"/>
      <c r="BC205" s="173"/>
      <c r="BD205" s="175"/>
      <c r="BE205" s="88"/>
      <c r="BG205" s="137"/>
      <c r="BH205" s="172"/>
      <c r="BI205" s="173"/>
      <c r="BJ205" s="174"/>
      <c r="BK205" s="173"/>
      <c r="BL205" s="173"/>
      <c r="BM205" s="175"/>
      <c r="BN205" s="88"/>
      <c r="BP205" s="137"/>
      <c r="BQ205" s="172"/>
      <c r="BR205" s="173"/>
      <c r="BS205" s="174"/>
      <c r="BT205" s="173"/>
      <c r="BU205" s="173"/>
      <c r="BV205" s="175"/>
      <c r="BW205" s="88"/>
      <c r="FH205" s="50"/>
      <c r="FI205" s="47"/>
      <c r="FJ205" s="47"/>
      <c r="FK205" s="47"/>
      <c r="FL205" s="47"/>
    </row>
    <row r="206" spans="2:168" ht="11.25" customHeight="1">
      <c r="B206" s="137"/>
      <c r="C206" s="134"/>
      <c r="D206" s="372"/>
      <c r="E206" s="373"/>
      <c r="F206" s="374"/>
      <c r="G206" s="373"/>
      <c r="H206" s="373"/>
      <c r="I206" s="375"/>
      <c r="J206" s="88"/>
      <c r="AX206" s="137"/>
      <c r="AY206" s="172"/>
      <c r="AZ206" s="173"/>
      <c r="BA206" s="174"/>
      <c r="BB206" s="173"/>
      <c r="BC206" s="173"/>
      <c r="BD206" s="175"/>
      <c r="BE206" s="88"/>
      <c r="BG206" s="137"/>
      <c r="BH206" s="172"/>
      <c r="BI206" s="173"/>
      <c r="BJ206" s="174"/>
      <c r="BK206" s="173"/>
      <c r="BL206" s="173"/>
      <c r="BM206" s="175"/>
      <c r="BN206" s="88"/>
      <c r="BP206" s="137"/>
      <c r="BQ206" s="172"/>
      <c r="BR206" s="173"/>
      <c r="BS206" s="174"/>
      <c r="BT206" s="173"/>
      <c r="BU206" s="173"/>
      <c r="BV206" s="175"/>
      <c r="BW206" s="88"/>
      <c r="FH206" s="50"/>
      <c r="FI206" s="47"/>
      <c r="FJ206" s="47"/>
      <c r="FK206" s="47"/>
      <c r="FL206" s="47"/>
    </row>
    <row r="207" spans="2:168" ht="11.25" customHeight="1">
      <c r="B207" s="137"/>
      <c r="C207" s="134"/>
      <c r="D207" s="372"/>
      <c r="E207" s="373"/>
      <c r="F207" s="374"/>
      <c r="G207" s="373"/>
      <c r="H207" s="373"/>
      <c r="I207" s="375"/>
      <c r="J207" s="88"/>
      <c r="AX207" s="137"/>
      <c r="AY207" s="172"/>
      <c r="AZ207" s="173"/>
      <c r="BA207" s="174"/>
      <c r="BB207" s="173"/>
      <c r="BC207" s="173"/>
      <c r="BD207" s="175"/>
      <c r="BE207" s="88"/>
      <c r="BG207" s="137"/>
      <c r="BH207" s="172"/>
      <c r="BI207" s="173"/>
      <c r="BJ207" s="174"/>
      <c r="BK207" s="173"/>
      <c r="BL207" s="173"/>
      <c r="BM207" s="175"/>
      <c r="BN207" s="88"/>
      <c r="BP207" s="137"/>
      <c r="BQ207" s="172"/>
      <c r="BR207" s="173"/>
      <c r="BS207" s="174"/>
      <c r="BT207" s="173"/>
      <c r="BU207" s="173"/>
      <c r="BV207" s="175"/>
      <c r="BW207" s="88"/>
      <c r="FH207" s="50"/>
      <c r="FI207" s="47"/>
      <c r="FJ207" s="47"/>
      <c r="FK207" s="47"/>
      <c r="FL207" s="47"/>
    </row>
    <row r="208" spans="2:168" ht="11.25" customHeight="1">
      <c r="B208" s="137"/>
      <c r="C208" s="134"/>
      <c r="D208" s="372"/>
      <c r="E208" s="373"/>
      <c r="F208" s="374"/>
      <c r="G208" s="373"/>
      <c r="H208" s="373"/>
      <c r="I208" s="375"/>
      <c r="J208" s="88"/>
      <c r="AX208" s="137"/>
      <c r="AY208" s="172"/>
      <c r="AZ208" s="173"/>
      <c r="BA208" s="174"/>
      <c r="BB208" s="173"/>
      <c r="BC208" s="173"/>
      <c r="BD208" s="175"/>
      <c r="BE208" s="88"/>
      <c r="BG208" s="137"/>
      <c r="BH208" s="172"/>
      <c r="BI208" s="173"/>
      <c r="BJ208" s="174"/>
      <c r="BK208" s="173"/>
      <c r="BL208" s="173"/>
      <c r="BM208" s="175"/>
      <c r="BN208" s="88"/>
      <c r="BP208" s="137"/>
      <c r="BQ208" s="172"/>
      <c r="BR208" s="173"/>
      <c r="BS208" s="174"/>
      <c r="BT208" s="173"/>
      <c r="BU208" s="173"/>
      <c r="BV208" s="175"/>
      <c r="BW208" s="88"/>
      <c r="FH208" s="50"/>
      <c r="FI208" s="47"/>
      <c r="FJ208" s="47"/>
      <c r="FK208" s="47"/>
      <c r="FL208" s="47"/>
    </row>
    <row r="209" spans="2:168" ht="11.25" customHeight="1">
      <c r="B209" s="137"/>
      <c r="C209" s="134"/>
      <c r="D209" s="372"/>
      <c r="E209" s="373"/>
      <c r="F209" s="374"/>
      <c r="G209" s="373"/>
      <c r="H209" s="373"/>
      <c r="I209" s="375"/>
      <c r="J209" s="88"/>
      <c r="AX209" s="137"/>
      <c r="AY209" s="172"/>
      <c r="AZ209" s="173"/>
      <c r="BA209" s="174"/>
      <c r="BB209" s="173"/>
      <c r="BC209" s="173"/>
      <c r="BD209" s="175"/>
      <c r="BE209" s="88"/>
      <c r="BG209" s="137"/>
      <c r="BH209" s="172"/>
      <c r="BI209" s="173"/>
      <c r="BJ209" s="174"/>
      <c r="BK209" s="173"/>
      <c r="BL209" s="173"/>
      <c r="BM209" s="175"/>
      <c r="BN209" s="88"/>
      <c r="BP209" s="137"/>
      <c r="BQ209" s="172"/>
      <c r="BR209" s="173"/>
      <c r="BS209" s="174"/>
      <c r="BT209" s="173"/>
      <c r="BU209" s="173"/>
      <c r="BV209" s="175"/>
      <c r="BW209" s="88"/>
      <c r="FH209" s="50"/>
      <c r="FI209" s="47"/>
      <c r="FJ209" s="47"/>
      <c r="FK209" s="47"/>
      <c r="FL209" s="47"/>
    </row>
    <row r="210" spans="2:168" ht="11.25" customHeight="1">
      <c r="B210" s="137"/>
      <c r="C210" s="134"/>
      <c r="D210" s="372"/>
      <c r="E210" s="373"/>
      <c r="F210" s="374"/>
      <c r="G210" s="373"/>
      <c r="H210" s="373"/>
      <c r="I210" s="375"/>
      <c r="J210" s="88"/>
      <c r="AX210" s="137"/>
      <c r="AY210" s="172"/>
      <c r="AZ210" s="173"/>
      <c r="BA210" s="174"/>
      <c r="BB210" s="173"/>
      <c r="BC210" s="173"/>
      <c r="BD210" s="175"/>
      <c r="BE210" s="88"/>
      <c r="BG210" s="137"/>
      <c r="BH210" s="172"/>
      <c r="BI210" s="173"/>
      <c r="BJ210" s="174"/>
      <c r="BK210" s="173"/>
      <c r="BL210" s="173"/>
      <c r="BM210" s="175"/>
      <c r="BN210" s="88"/>
      <c r="BP210" s="137"/>
      <c r="BQ210" s="172"/>
      <c r="BR210" s="173"/>
      <c r="BS210" s="174"/>
      <c r="BT210" s="173"/>
      <c r="BU210" s="173"/>
      <c r="BV210" s="175"/>
      <c r="BW210" s="88"/>
      <c r="FH210" s="50"/>
      <c r="FI210" s="47"/>
      <c r="FJ210" s="47"/>
      <c r="FK210" s="47"/>
      <c r="FL210" s="47"/>
    </row>
    <row r="211" spans="2:168" ht="11.25" customHeight="1">
      <c r="B211" s="137"/>
      <c r="C211" s="134"/>
      <c r="D211" s="372"/>
      <c r="E211" s="373"/>
      <c r="F211" s="374"/>
      <c r="G211" s="373"/>
      <c r="H211" s="373"/>
      <c r="I211" s="375"/>
      <c r="J211" s="88"/>
      <c r="AX211" s="137"/>
      <c r="AY211" s="172"/>
      <c r="AZ211" s="173"/>
      <c r="BA211" s="174"/>
      <c r="BB211" s="173"/>
      <c r="BC211" s="173"/>
      <c r="BD211" s="175"/>
      <c r="BE211" s="88"/>
      <c r="BG211" s="137"/>
      <c r="BH211" s="172"/>
      <c r="BI211" s="173"/>
      <c r="BJ211" s="174"/>
      <c r="BK211" s="173"/>
      <c r="BL211" s="173"/>
      <c r="BM211" s="175"/>
      <c r="BN211" s="88"/>
      <c r="BP211" s="137"/>
      <c r="BQ211" s="172"/>
      <c r="BR211" s="173"/>
      <c r="BS211" s="174"/>
      <c r="BT211" s="173"/>
      <c r="BU211" s="173"/>
      <c r="BV211" s="175"/>
      <c r="BW211" s="88"/>
      <c r="FH211" s="50"/>
      <c r="FI211" s="47"/>
      <c r="FJ211" s="47"/>
      <c r="FK211" s="47"/>
      <c r="FL211" s="47"/>
    </row>
    <row r="212" spans="2:168" ht="11.25" customHeight="1">
      <c r="B212" s="137"/>
      <c r="C212" s="134"/>
      <c r="D212" s="372"/>
      <c r="E212" s="373"/>
      <c r="F212" s="374"/>
      <c r="G212" s="373"/>
      <c r="H212" s="373"/>
      <c r="I212" s="375"/>
      <c r="J212" s="88"/>
      <c r="AX212" s="137"/>
      <c r="AY212" s="172"/>
      <c r="AZ212" s="173"/>
      <c r="BA212" s="174"/>
      <c r="BB212" s="173"/>
      <c r="BC212" s="173"/>
      <c r="BD212" s="175"/>
      <c r="BE212" s="88"/>
      <c r="BG212" s="137"/>
      <c r="BH212" s="172"/>
      <c r="BI212" s="173"/>
      <c r="BJ212" s="174"/>
      <c r="BK212" s="173"/>
      <c r="BL212" s="173"/>
      <c r="BM212" s="175"/>
      <c r="BN212" s="88"/>
      <c r="BP212" s="137"/>
      <c r="BQ212" s="172"/>
      <c r="BR212" s="173"/>
      <c r="BS212" s="174"/>
      <c r="BT212" s="173"/>
      <c r="BU212" s="173"/>
      <c r="BV212" s="175"/>
      <c r="BW212" s="88"/>
      <c r="FH212" s="50"/>
      <c r="FI212" s="47"/>
      <c r="FJ212" s="47"/>
      <c r="FK212" s="47"/>
      <c r="FL212" s="47"/>
    </row>
    <row r="213" spans="2:168" ht="11.25" customHeight="1">
      <c r="B213" s="137"/>
      <c r="C213" s="134"/>
      <c r="D213" s="372"/>
      <c r="E213" s="373"/>
      <c r="F213" s="374"/>
      <c r="G213" s="373"/>
      <c r="H213" s="373"/>
      <c r="I213" s="375"/>
      <c r="J213" s="88"/>
      <c r="AX213" s="137"/>
      <c r="AY213" s="172"/>
      <c r="AZ213" s="173"/>
      <c r="BA213" s="174"/>
      <c r="BB213" s="173"/>
      <c r="BC213" s="173"/>
      <c r="BD213" s="175"/>
      <c r="BE213" s="88"/>
      <c r="BG213" s="137"/>
      <c r="BH213" s="172"/>
      <c r="BI213" s="173"/>
      <c r="BJ213" s="174"/>
      <c r="BK213" s="173"/>
      <c r="BL213" s="173"/>
      <c r="BM213" s="175"/>
      <c r="BN213" s="88"/>
      <c r="BP213" s="137"/>
      <c r="BQ213" s="172"/>
      <c r="BR213" s="173"/>
      <c r="BS213" s="174"/>
      <c r="BT213" s="173"/>
      <c r="BU213" s="173"/>
      <c r="BV213" s="175"/>
      <c r="BW213" s="88"/>
      <c r="FH213" s="50"/>
      <c r="FI213" s="47"/>
      <c r="FJ213" s="47"/>
      <c r="FK213" s="47"/>
      <c r="FL213" s="47"/>
    </row>
    <row r="214" spans="2:168" ht="11.25" customHeight="1">
      <c r="B214" s="137"/>
      <c r="C214" s="134"/>
      <c r="D214" s="372"/>
      <c r="E214" s="373"/>
      <c r="F214" s="374"/>
      <c r="G214" s="373"/>
      <c r="H214" s="373"/>
      <c r="I214" s="375"/>
      <c r="J214" s="88"/>
      <c r="AX214" s="137"/>
      <c r="AY214" s="172"/>
      <c r="AZ214" s="173"/>
      <c r="BA214" s="174"/>
      <c r="BB214" s="173"/>
      <c r="BC214" s="173"/>
      <c r="BD214" s="175"/>
      <c r="BE214" s="88"/>
      <c r="BG214" s="137"/>
      <c r="BH214" s="172"/>
      <c r="BI214" s="173"/>
      <c r="BJ214" s="174"/>
      <c r="BK214" s="173"/>
      <c r="BL214" s="173"/>
      <c r="BM214" s="175"/>
      <c r="BN214" s="88"/>
      <c r="BP214" s="137"/>
      <c r="BQ214" s="172"/>
      <c r="BR214" s="173"/>
      <c r="BS214" s="174"/>
      <c r="BT214" s="173"/>
      <c r="BU214" s="173"/>
      <c r="BV214" s="175"/>
      <c r="BW214" s="88"/>
      <c r="FH214" s="50"/>
      <c r="FI214" s="47"/>
      <c r="FJ214" s="47"/>
      <c r="FK214" s="47"/>
      <c r="FL214" s="47"/>
    </row>
    <row r="215" spans="2:168" ht="11.25" customHeight="1">
      <c r="B215" s="137"/>
      <c r="C215" s="134"/>
      <c r="D215" s="372"/>
      <c r="E215" s="373"/>
      <c r="F215" s="374"/>
      <c r="G215" s="373"/>
      <c r="H215" s="373"/>
      <c r="I215" s="375"/>
      <c r="J215" s="88"/>
      <c r="AX215" s="137"/>
      <c r="AY215" s="172"/>
      <c r="AZ215" s="173"/>
      <c r="BA215" s="174"/>
      <c r="BB215" s="173"/>
      <c r="BC215" s="173"/>
      <c r="BD215" s="175"/>
      <c r="BE215" s="88"/>
      <c r="BG215" s="137"/>
      <c r="BH215" s="172"/>
      <c r="BI215" s="173"/>
      <c r="BJ215" s="174"/>
      <c r="BK215" s="173"/>
      <c r="BL215" s="173"/>
      <c r="BM215" s="175"/>
      <c r="BN215" s="88"/>
      <c r="BP215" s="137"/>
      <c r="BQ215" s="172"/>
      <c r="BR215" s="173"/>
      <c r="BS215" s="174"/>
      <c r="BT215" s="173"/>
      <c r="BU215" s="173"/>
      <c r="BV215" s="175"/>
      <c r="BW215" s="88"/>
      <c r="FH215" s="50"/>
      <c r="FI215" s="47"/>
      <c r="FJ215" s="47"/>
      <c r="FK215" s="47"/>
      <c r="FL215" s="47"/>
    </row>
    <row r="216" spans="2:168" ht="11.25" customHeight="1">
      <c r="B216" s="137"/>
      <c r="C216" s="134"/>
      <c r="D216" s="372"/>
      <c r="E216" s="373"/>
      <c r="F216" s="374"/>
      <c r="G216" s="373"/>
      <c r="H216" s="373"/>
      <c r="I216" s="375"/>
      <c r="J216" s="88"/>
      <c r="AX216" s="137"/>
      <c r="AY216" s="172"/>
      <c r="AZ216" s="173"/>
      <c r="BA216" s="174"/>
      <c r="BB216" s="173"/>
      <c r="BC216" s="173"/>
      <c r="BD216" s="175"/>
      <c r="BE216" s="88"/>
      <c r="BG216" s="137"/>
      <c r="BH216" s="172"/>
      <c r="BI216" s="173"/>
      <c r="BJ216" s="174"/>
      <c r="BK216" s="173"/>
      <c r="BL216" s="173"/>
      <c r="BM216" s="175"/>
      <c r="BN216" s="88"/>
      <c r="BP216" s="137"/>
      <c r="BQ216" s="172"/>
      <c r="BR216" s="173"/>
      <c r="BS216" s="174"/>
      <c r="BT216" s="173"/>
      <c r="BU216" s="173"/>
      <c r="BV216" s="175"/>
      <c r="BW216" s="88"/>
      <c r="FH216" s="50"/>
      <c r="FI216" s="47"/>
      <c r="FJ216" s="47"/>
      <c r="FK216" s="47"/>
      <c r="FL216" s="47"/>
    </row>
    <row r="217" spans="2:168" ht="11.25" customHeight="1">
      <c r="B217" s="137"/>
      <c r="C217" s="134"/>
      <c r="D217" s="372"/>
      <c r="E217" s="373"/>
      <c r="F217" s="374"/>
      <c r="G217" s="373"/>
      <c r="H217" s="373"/>
      <c r="I217" s="375"/>
      <c r="J217" s="88"/>
      <c r="AX217" s="137"/>
      <c r="AY217" s="172"/>
      <c r="AZ217" s="173"/>
      <c r="BA217" s="174"/>
      <c r="BB217" s="173"/>
      <c r="BC217" s="173"/>
      <c r="BD217" s="175"/>
      <c r="BE217" s="88"/>
      <c r="BG217" s="137"/>
      <c r="BH217" s="172"/>
      <c r="BI217" s="173"/>
      <c r="BJ217" s="174"/>
      <c r="BK217" s="173"/>
      <c r="BL217" s="173"/>
      <c r="BM217" s="175"/>
      <c r="BN217" s="88"/>
      <c r="BP217" s="137"/>
      <c r="BQ217" s="172"/>
      <c r="BR217" s="173"/>
      <c r="BS217" s="174"/>
      <c r="BT217" s="173"/>
      <c r="BU217" s="173"/>
      <c r="BV217" s="175"/>
      <c r="BW217" s="88"/>
      <c r="FH217" s="50"/>
      <c r="FI217" s="47"/>
      <c r="FJ217" s="47"/>
      <c r="FK217" s="47"/>
      <c r="FL217" s="47"/>
    </row>
    <row r="218" spans="2:168" ht="11.25" customHeight="1">
      <c r="B218" s="137"/>
      <c r="C218" s="134"/>
      <c r="D218" s="372"/>
      <c r="E218" s="373"/>
      <c r="F218" s="374"/>
      <c r="G218" s="373"/>
      <c r="H218" s="373"/>
      <c r="I218" s="375"/>
      <c r="J218" s="88"/>
      <c r="AX218" s="137"/>
      <c r="AY218" s="172"/>
      <c r="AZ218" s="173"/>
      <c r="BA218" s="174"/>
      <c r="BB218" s="173"/>
      <c r="BC218" s="173"/>
      <c r="BD218" s="175"/>
      <c r="BE218" s="88"/>
      <c r="BG218" s="137"/>
      <c r="BH218" s="172"/>
      <c r="BI218" s="173"/>
      <c r="BJ218" s="174"/>
      <c r="BK218" s="173"/>
      <c r="BL218" s="173"/>
      <c r="BM218" s="175"/>
      <c r="BN218" s="88"/>
      <c r="BP218" s="137"/>
      <c r="BQ218" s="172"/>
      <c r="BR218" s="173"/>
      <c r="BS218" s="174"/>
      <c r="BT218" s="173"/>
      <c r="BU218" s="173"/>
      <c r="BV218" s="175"/>
      <c r="BW218" s="88"/>
      <c r="FH218" s="50"/>
      <c r="FI218" s="47"/>
      <c r="FJ218" s="47"/>
      <c r="FK218" s="47"/>
      <c r="FL218" s="47"/>
    </row>
    <row r="219" spans="2:168" ht="11.25" customHeight="1">
      <c r="B219" s="137"/>
      <c r="C219" s="134"/>
      <c r="D219" s="372"/>
      <c r="E219" s="373"/>
      <c r="F219" s="374"/>
      <c r="G219" s="373"/>
      <c r="H219" s="373"/>
      <c r="I219" s="375"/>
      <c r="J219" s="88"/>
      <c r="AX219" s="137"/>
      <c r="AY219" s="172"/>
      <c r="AZ219" s="173"/>
      <c r="BA219" s="174"/>
      <c r="BB219" s="173"/>
      <c r="BC219" s="173"/>
      <c r="BD219" s="175"/>
      <c r="BE219" s="88"/>
      <c r="BG219" s="137"/>
      <c r="BH219" s="172"/>
      <c r="BI219" s="173"/>
      <c r="BJ219" s="174"/>
      <c r="BK219" s="173"/>
      <c r="BL219" s="173"/>
      <c r="BM219" s="175"/>
      <c r="BN219" s="88"/>
      <c r="BP219" s="137"/>
      <c r="BQ219" s="172"/>
      <c r="BR219" s="173"/>
      <c r="BS219" s="174"/>
      <c r="BT219" s="173"/>
      <c r="BU219" s="173"/>
      <c r="BV219" s="175"/>
      <c r="BW219" s="88"/>
      <c r="FH219" s="50"/>
      <c r="FI219" s="47"/>
      <c r="FJ219" s="47"/>
      <c r="FK219" s="47"/>
      <c r="FL219" s="47"/>
    </row>
    <row r="220" spans="2:168" ht="11.25" customHeight="1">
      <c r="B220" s="137"/>
      <c r="C220" s="134"/>
      <c r="D220" s="372"/>
      <c r="E220" s="373"/>
      <c r="F220" s="374"/>
      <c r="G220" s="373"/>
      <c r="H220" s="373"/>
      <c r="I220" s="375"/>
      <c r="J220" s="88"/>
      <c r="AX220" s="137"/>
      <c r="AY220" s="172"/>
      <c r="AZ220" s="173"/>
      <c r="BA220" s="174"/>
      <c r="BB220" s="173"/>
      <c r="BC220" s="173"/>
      <c r="BD220" s="175"/>
      <c r="BE220" s="88"/>
      <c r="BG220" s="137"/>
      <c r="BH220" s="172"/>
      <c r="BI220" s="173"/>
      <c r="BJ220" s="174"/>
      <c r="BK220" s="173"/>
      <c r="BL220" s="173"/>
      <c r="BM220" s="175"/>
      <c r="BN220" s="88"/>
      <c r="BP220" s="137"/>
      <c r="BQ220" s="172"/>
      <c r="BR220" s="173"/>
      <c r="BS220" s="174"/>
      <c r="BT220" s="173"/>
      <c r="BU220" s="173"/>
      <c r="BV220" s="175"/>
      <c r="BW220" s="88"/>
      <c r="FH220" s="50"/>
      <c r="FI220" s="47"/>
      <c r="FJ220" s="47"/>
      <c r="FK220" s="47"/>
      <c r="FL220" s="47"/>
    </row>
    <row r="221" spans="2:168" ht="11.25" customHeight="1">
      <c r="B221" s="137"/>
      <c r="C221" s="134"/>
      <c r="D221" s="372"/>
      <c r="E221" s="373"/>
      <c r="F221" s="374"/>
      <c r="G221" s="373"/>
      <c r="H221" s="373"/>
      <c r="I221" s="375"/>
      <c r="J221" s="88"/>
      <c r="AX221" s="137"/>
      <c r="AY221" s="172"/>
      <c r="AZ221" s="173"/>
      <c r="BA221" s="174"/>
      <c r="BB221" s="173"/>
      <c r="BC221" s="173"/>
      <c r="BD221" s="175"/>
      <c r="BE221" s="88"/>
      <c r="BG221" s="137"/>
      <c r="BH221" s="172"/>
      <c r="BI221" s="173"/>
      <c r="BJ221" s="174"/>
      <c r="BK221" s="173"/>
      <c r="BL221" s="173"/>
      <c r="BM221" s="175"/>
      <c r="BN221" s="88"/>
      <c r="BP221" s="137"/>
      <c r="BQ221" s="172"/>
      <c r="BR221" s="173"/>
      <c r="BS221" s="174"/>
      <c r="BT221" s="173"/>
      <c r="BU221" s="173"/>
      <c r="BV221" s="175"/>
      <c r="BW221" s="88"/>
      <c r="FH221" s="50"/>
      <c r="FI221" s="47"/>
      <c r="FJ221" s="47"/>
      <c r="FK221" s="47"/>
      <c r="FL221" s="47"/>
    </row>
    <row r="222" spans="2:168" ht="11.25" customHeight="1">
      <c r="B222" s="137"/>
      <c r="C222" s="134"/>
      <c r="D222" s="372"/>
      <c r="E222" s="373"/>
      <c r="F222" s="374"/>
      <c r="G222" s="373"/>
      <c r="H222" s="373"/>
      <c r="I222" s="375"/>
      <c r="J222" s="88"/>
      <c r="AX222" s="137"/>
      <c r="AY222" s="172"/>
      <c r="AZ222" s="173"/>
      <c r="BA222" s="174"/>
      <c r="BB222" s="173"/>
      <c r="BC222" s="173"/>
      <c r="BD222" s="175"/>
      <c r="BE222" s="88"/>
      <c r="BG222" s="137"/>
      <c r="BH222" s="172"/>
      <c r="BI222" s="173"/>
      <c r="BJ222" s="174"/>
      <c r="BK222" s="173"/>
      <c r="BL222" s="173"/>
      <c r="BM222" s="175"/>
      <c r="BN222" s="88"/>
      <c r="BP222" s="137"/>
      <c r="BQ222" s="172"/>
      <c r="BR222" s="173"/>
      <c r="BS222" s="174"/>
      <c r="BT222" s="173"/>
      <c r="BU222" s="173"/>
      <c r="BV222" s="175"/>
      <c r="BW222" s="88"/>
      <c r="FH222" s="50"/>
      <c r="FI222" s="47"/>
      <c r="FJ222" s="47"/>
      <c r="FK222" s="47"/>
      <c r="FL222" s="47"/>
    </row>
    <row r="223" spans="2:168" ht="11.25" customHeight="1">
      <c r="B223" s="137"/>
      <c r="C223" s="134"/>
      <c r="D223" s="372"/>
      <c r="E223" s="373"/>
      <c r="F223" s="374"/>
      <c r="G223" s="373"/>
      <c r="H223" s="373"/>
      <c r="I223" s="375"/>
      <c r="J223" s="88"/>
      <c r="AX223" s="137"/>
      <c r="AY223" s="172"/>
      <c r="AZ223" s="173"/>
      <c r="BA223" s="174"/>
      <c r="BB223" s="173"/>
      <c r="BC223" s="173"/>
      <c r="BD223" s="175"/>
      <c r="BE223" s="88"/>
      <c r="BG223" s="137"/>
      <c r="BH223" s="172"/>
      <c r="BI223" s="173"/>
      <c r="BJ223" s="174"/>
      <c r="BK223" s="173"/>
      <c r="BL223" s="173"/>
      <c r="BM223" s="175"/>
      <c r="BN223" s="88"/>
      <c r="BP223" s="137"/>
      <c r="BQ223" s="172"/>
      <c r="BR223" s="173"/>
      <c r="BS223" s="174"/>
      <c r="BT223" s="173"/>
      <c r="BU223" s="173"/>
      <c r="BV223" s="175"/>
      <c r="BW223" s="88"/>
      <c r="FH223" s="50"/>
      <c r="FI223" s="47"/>
      <c r="FJ223" s="47"/>
      <c r="FK223" s="47"/>
      <c r="FL223" s="47"/>
    </row>
    <row r="224" spans="2:168" ht="11.25" customHeight="1">
      <c r="B224" s="137"/>
      <c r="C224" s="134"/>
      <c r="D224" s="372"/>
      <c r="E224" s="373"/>
      <c r="F224" s="374"/>
      <c r="G224" s="373"/>
      <c r="H224" s="373"/>
      <c r="I224" s="375"/>
      <c r="J224" s="88"/>
      <c r="AX224" s="137"/>
      <c r="AY224" s="172"/>
      <c r="AZ224" s="173"/>
      <c r="BA224" s="174"/>
      <c r="BB224" s="173"/>
      <c r="BC224" s="173"/>
      <c r="BD224" s="175"/>
      <c r="BE224" s="88"/>
      <c r="BG224" s="137"/>
      <c r="BH224" s="172"/>
      <c r="BI224" s="173"/>
      <c r="BJ224" s="174"/>
      <c r="BK224" s="173"/>
      <c r="BL224" s="173"/>
      <c r="BM224" s="175"/>
      <c r="BN224" s="88"/>
      <c r="BP224" s="137"/>
      <c r="BQ224" s="172"/>
      <c r="BR224" s="173"/>
      <c r="BS224" s="174"/>
      <c r="BT224" s="173"/>
      <c r="BU224" s="173"/>
      <c r="BV224" s="175"/>
      <c r="BW224" s="88"/>
      <c r="FH224" s="50"/>
      <c r="FI224" s="47"/>
      <c r="FJ224" s="47"/>
      <c r="FK224" s="47"/>
      <c r="FL224" s="47"/>
    </row>
    <row r="225" spans="2:168" ht="11.25" customHeight="1">
      <c r="B225" s="137"/>
      <c r="C225" s="134"/>
      <c r="D225" s="372"/>
      <c r="E225" s="373"/>
      <c r="F225" s="374"/>
      <c r="G225" s="373"/>
      <c r="H225" s="373"/>
      <c r="I225" s="375"/>
      <c r="J225" s="88"/>
      <c r="AX225" s="137"/>
      <c r="AY225" s="172"/>
      <c r="AZ225" s="173"/>
      <c r="BA225" s="174"/>
      <c r="BB225" s="173"/>
      <c r="BC225" s="173"/>
      <c r="BD225" s="175"/>
      <c r="BE225" s="88"/>
      <c r="BG225" s="137"/>
      <c r="BH225" s="172"/>
      <c r="BI225" s="173"/>
      <c r="BJ225" s="174"/>
      <c r="BK225" s="173"/>
      <c r="BL225" s="173"/>
      <c r="BM225" s="175"/>
      <c r="BN225" s="88"/>
      <c r="BP225" s="137"/>
      <c r="BQ225" s="172"/>
      <c r="BR225" s="173"/>
      <c r="BS225" s="174"/>
      <c r="BT225" s="173"/>
      <c r="BU225" s="173"/>
      <c r="BV225" s="175"/>
      <c r="BW225" s="88"/>
      <c r="FH225" s="50"/>
      <c r="FI225" s="47"/>
      <c r="FJ225" s="47"/>
      <c r="FK225" s="47"/>
      <c r="FL225" s="47"/>
    </row>
    <row r="226" spans="2:168" ht="11.25" customHeight="1">
      <c r="B226" s="137"/>
      <c r="C226" s="134"/>
      <c r="D226" s="372"/>
      <c r="E226" s="373"/>
      <c r="F226" s="374"/>
      <c r="G226" s="373"/>
      <c r="H226" s="373"/>
      <c r="I226" s="375"/>
      <c r="J226" s="88"/>
      <c r="AX226" s="137"/>
      <c r="AY226" s="172"/>
      <c r="AZ226" s="173"/>
      <c r="BA226" s="174"/>
      <c r="BB226" s="173"/>
      <c r="BC226" s="173"/>
      <c r="BD226" s="175"/>
      <c r="BE226" s="88"/>
      <c r="BG226" s="137"/>
      <c r="BH226" s="172"/>
      <c r="BI226" s="173"/>
      <c r="BJ226" s="174"/>
      <c r="BK226" s="173"/>
      <c r="BL226" s="173"/>
      <c r="BM226" s="175"/>
      <c r="BN226" s="88"/>
      <c r="BP226" s="137"/>
      <c r="BQ226" s="172"/>
      <c r="BR226" s="173"/>
      <c r="BS226" s="174"/>
      <c r="BT226" s="173"/>
      <c r="BU226" s="173"/>
      <c r="BV226" s="175"/>
      <c r="BW226" s="88"/>
      <c r="FH226" s="50"/>
      <c r="FI226" s="47"/>
      <c r="FJ226" s="47"/>
      <c r="FK226" s="47"/>
      <c r="FL226" s="47"/>
    </row>
    <row r="227" spans="2:168" ht="11.25" customHeight="1">
      <c r="B227" s="137"/>
      <c r="C227" s="134"/>
      <c r="D227" s="372"/>
      <c r="E227" s="373"/>
      <c r="F227" s="374"/>
      <c r="G227" s="373"/>
      <c r="H227" s="373"/>
      <c r="I227" s="375"/>
      <c r="J227" s="88"/>
      <c r="AX227" s="137"/>
      <c r="AY227" s="172"/>
      <c r="AZ227" s="173"/>
      <c r="BA227" s="174"/>
      <c r="BB227" s="173"/>
      <c r="BC227" s="173"/>
      <c r="BD227" s="175"/>
      <c r="BE227" s="88"/>
      <c r="BG227" s="137"/>
      <c r="BH227" s="172"/>
      <c r="BI227" s="173"/>
      <c r="BJ227" s="174"/>
      <c r="BK227" s="173"/>
      <c r="BL227" s="173"/>
      <c r="BM227" s="175"/>
      <c r="BN227" s="88"/>
      <c r="BP227" s="137"/>
      <c r="BQ227" s="172"/>
      <c r="BR227" s="173"/>
      <c r="BS227" s="174"/>
      <c r="BT227" s="173"/>
      <c r="BU227" s="173"/>
      <c r="BV227" s="175"/>
      <c r="BW227" s="88"/>
      <c r="FH227" s="50"/>
      <c r="FI227" s="47"/>
      <c r="FJ227" s="47"/>
      <c r="FK227" s="47"/>
      <c r="FL227" s="47"/>
    </row>
    <row r="228" spans="2:168" ht="11.25" customHeight="1">
      <c r="B228" s="137"/>
      <c r="C228" s="134"/>
      <c r="D228" s="372"/>
      <c r="E228" s="373"/>
      <c r="F228" s="374"/>
      <c r="G228" s="373"/>
      <c r="H228" s="373"/>
      <c r="I228" s="375"/>
      <c r="J228" s="88"/>
      <c r="AX228" s="137"/>
      <c r="AY228" s="172"/>
      <c r="AZ228" s="173"/>
      <c r="BA228" s="174"/>
      <c r="BB228" s="173"/>
      <c r="BC228" s="173"/>
      <c r="BD228" s="175"/>
      <c r="BE228" s="88"/>
      <c r="BG228" s="137"/>
      <c r="BH228" s="172"/>
      <c r="BI228" s="173"/>
      <c r="BJ228" s="174"/>
      <c r="BK228" s="173"/>
      <c r="BL228" s="173"/>
      <c r="BM228" s="175"/>
      <c r="BN228" s="88"/>
      <c r="BP228" s="137"/>
      <c r="BQ228" s="172"/>
      <c r="BR228" s="173"/>
      <c r="BS228" s="174"/>
      <c r="BT228" s="173"/>
      <c r="BU228" s="173"/>
      <c r="BV228" s="175"/>
      <c r="BW228" s="88"/>
      <c r="FH228" s="50"/>
      <c r="FI228" s="47"/>
      <c r="FJ228" s="47"/>
      <c r="FK228" s="47"/>
      <c r="FL228" s="47"/>
    </row>
    <row r="229" spans="2:168" ht="11.25" customHeight="1">
      <c r="B229" s="137"/>
      <c r="C229" s="134"/>
      <c r="D229" s="372"/>
      <c r="E229" s="373"/>
      <c r="F229" s="374"/>
      <c r="G229" s="373"/>
      <c r="H229" s="373"/>
      <c r="I229" s="375"/>
      <c r="J229" s="88"/>
      <c r="AX229" s="137"/>
      <c r="AY229" s="172"/>
      <c r="AZ229" s="173"/>
      <c r="BA229" s="174"/>
      <c r="BB229" s="173"/>
      <c r="BC229" s="173"/>
      <c r="BD229" s="175"/>
      <c r="BE229" s="88"/>
      <c r="BG229" s="137"/>
      <c r="BH229" s="172"/>
      <c r="BI229" s="173"/>
      <c r="BJ229" s="174"/>
      <c r="BK229" s="173"/>
      <c r="BL229" s="173"/>
      <c r="BM229" s="175"/>
      <c r="BN229" s="88"/>
      <c r="BP229" s="137"/>
      <c r="BQ229" s="172"/>
      <c r="BR229" s="173"/>
      <c r="BS229" s="174"/>
      <c r="BT229" s="173"/>
      <c r="BU229" s="173"/>
      <c r="BV229" s="175"/>
      <c r="BW229" s="88"/>
      <c r="FH229" s="50"/>
      <c r="FI229" s="47"/>
      <c r="FJ229" s="47"/>
      <c r="FK229" s="47"/>
      <c r="FL229" s="47"/>
    </row>
    <row r="230" spans="2:168" ht="11.25" customHeight="1">
      <c r="B230" s="137"/>
      <c r="C230" s="134"/>
      <c r="D230" s="372"/>
      <c r="E230" s="373"/>
      <c r="F230" s="374"/>
      <c r="G230" s="373"/>
      <c r="H230" s="373"/>
      <c r="I230" s="375"/>
      <c r="J230" s="88"/>
      <c r="AX230" s="137"/>
      <c r="AY230" s="172"/>
      <c r="AZ230" s="173"/>
      <c r="BA230" s="174"/>
      <c r="BB230" s="173"/>
      <c r="BC230" s="173"/>
      <c r="BD230" s="175"/>
      <c r="BE230" s="88"/>
      <c r="BG230" s="137"/>
      <c r="BH230" s="172"/>
      <c r="BI230" s="173"/>
      <c r="BJ230" s="174"/>
      <c r="BK230" s="173"/>
      <c r="BL230" s="173"/>
      <c r="BM230" s="175"/>
      <c r="BN230" s="88"/>
      <c r="BP230" s="137"/>
      <c r="BQ230" s="172"/>
      <c r="BR230" s="173"/>
      <c r="BS230" s="174"/>
      <c r="BT230" s="173"/>
      <c r="BU230" s="173"/>
      <c r="BV230" s="175"/>
      <c r="BW230" s="88"/>
      <c r="FH230" s="50"/>
      <c r="FI230" s="47"/>
      <c r="FJ230" s="47"/>
      <c r="FK230" s="47"/>
      <c r="FL230" s="47"/>
    </row>
    <row r="231" spans="2:168" ht="11.25" customHeight="1">
      <c r="B231" s="137"/>
      <c r="C231" s="134"/>
      <c r="D231" s="372"/>
      <c r="E231" s="373"/>
      <c r="F231" s="374"/>
      <c r="G231" s="373"/>
      <c r="H231" s="373"/>
      <c r="I231" s="375"/>
      <c r="J231" s="88"/>
      <c r="AX231" s="137"/>
      <c r="AY231" s="172"/>
      <c r="AZ231" s="173"/>
      <c r="BA231" s="174"/>
      <c r="BB231" s="173"/>
      <c r="BC231" s="173"/>
      <c r="BD231" s="175"/>
      <c r="BE231" s="88"/>
      <c r="BG231" s="137"/>
      <c r="BH231" s="172"/>
      <c r="BI231" s="173"/>
      <c r="BJ231" s="174"/>
      <c r="BK231" s="173"/>
      <c r="BL231" s="173"/>
      <c r="BM231" s="175"/>
      <c r="BN231" s="88"/>
      <c r="BP231" s="137"/>
      <c r="BQ231" s="172"/>
      <c r="BR231" s="173"/>
      <c r="BS231" s="174"/>
      <c r="BT231" s="173"/>
      <c r="BU231" s="173"/>
      <c r="BV231" s="175"/>
      <c r="BW231" s="88"/>
      <c r="FH231" s="50"/>
      <c r="FI231" s="47"/>
      <c r="FJ231" s="47"/>
      <c r="FK231" s="47"/>
      <c r="FL231" s="47"/>
    </row>
    <row r="232" spans="2:168" ht="11.25" customHeight="1">
      <c r="B232" s="137"/>
      <c r="C232" s="134"/>
      <c r="D232" s="372"/>
      <c r="E232" s="373"/>
      <c r="F232" s="374"/>
      <c r="G232" s="373"/>
      <c r="H232" s="373"/>
      <c r="I232" s="375"/>
      <c r="J232" s="88"/>
      <c r="AX232" s="137"/>
      <c r="AY232" s="172"/>
      <c r="AZ232" s="173"/>
      <c r="BA232" s="174"/>
      <c r="BB232" s="173"/>
      <c r="BC232" s="173"/>
      <c r="BD232" s="175"/>
      <c r="BE232" s="88"/>
      <c r="BG232" s="137"/>
      <c r="BH232" s="172"/>
      <c r="BI232" s="173"/>
      <c r="BJ232" s="174"/>
      <c r="BK232" s="173"/>
      <c r="BL232" s="173"/>
      <c r="BM232" s="175"/>
      <c r="BN232" s="88"/>
      <c r="BP232" s="137"/>
      <c r="BQ232" s="172"/>
      <c r="BR232" s="173"/>
      <c r="BS232" s="174"/>
      <c r="BT232" s="173"/>
      <c r="BU232" s="173"/>
      <c r="BV232" s="175"/>
      <c r="BW232" s="88"/>
      <c r="FH232" s="50"/>
      <c r="FI232" s="47"/>
      <c r="FJ232" s="47"/>
      <c r="FK232" s="47"/>
      <c r="FL232" s="47"/>
    </row>
    <row r="233" spans="2:168" ht="11.25" customHeight="1">
      <c r="B233" s="137"/>
      <c r="C233" s="134"/>
      <c r="D233" s="372"/>
      <c r="E233" s="373"/>
      <c r="F233" s="374"/>
      <c r="G233" s="373"/>
      <c r="H233" s="373"/>
      <c r="I233" s="375"/>
      <c r="J233" s="88"/>
      <c r="AX233" s="137"/>
      <c r="AY233" s="172"/>
      <c r="AZ233" s="173"/>
      <c r="BA233" s="174"/>
      <c r="BB233" s="173"/>
      <c r="BC233" s="173"/>
      <c r="BD233" s="175"/>
      <c r="BE233" s="88"/>
      <c r="BG233" s="137"/>
      <c r="BH233" s="172"/>
      <c r="BI233" s="173"/>
      <c r="BJ233" s="174"/>
      <c r="BK233" s="173"/>
      <c r="BL233" s="173"/>
      <c r="BM233" s="175"/>
      <c r="BN233" s="88"/>
      <c r="BP233" s="137"/>
      <c r="BQ233" s="172"/>
      <c r="BR233" s="173"/>
      <c r="BS233" s="174"/>
      <c r="BT233" s="173"/>
      <c r="BU233" s="173"/>
      <c r="BV233" s="175"/>
      <c r="BW233" s="88"/>
      <c r="FH233" s="50"/>
      <c r="FI233" s="47"/>
      <c r="FJ233" s="47"/>
      <c r="FK233" s="47"/>
      <c r="FL233" s="47"/>
    </row>
    <row r="234" spans="2:168" ht="11.25" customHeight="1">
      <c r="B234" s="137"/>
      <c r="C234" s="134"/>
      <c r="D234" s="372"/>
      <c r="E234" s="373"/>
      <c r="F234" s="374"/>
      <c r="G234" s="373"/>
      <c r="H234" s="373"/>
      <c r="I234" s="375"/>
      <c r="J234" s="88"/>
      <c r="AX234" s="137"/>
      <c r="AY234" s="172"/>
      <c r="AZ234" s="173"/>
      <c r="BA234" s="174"/>
      <c r="BB234" s="173"/>
      <c r="BC234" s="173"/>
      <c r="BD234" s="175"/>
      <c r="BE234" s="88"/>
      <c r="BG234" s="137"/>
      <c r="BH234" s="172"/>
      <c r="BI234" s="173"/>
      <c r="BJ234" s="174"/>
      <c r="BK234" s="173"/>
      <c r="BL234" s="173"/>
      <c r="BM234" s="175"/>
      <c r="BN234" s="88"/>
      <c r="BP234" s="137"/>
      <c r="BQ234" s="172"/>
      <c r="BR234" s="173"/>
      <c r="BS234" s="174"/>
      <c r="BT234" s="173"/>
      <c r="BU234" s="173"/>
      <c r="BV234" s="175"/>
      <c r="BW234" s="88"/>
      <c r="FH234" s="50"/>
      <c r="FI234" s="47"/>
      <c r="FJ234" s="47"/>
      <c r="FK234" s="47"/>
      <c r="FL234" s="47"/>
    </row>
    <row r="235" spans="2:168" ht="11.25" customHeight="1">
      <c r="B235" s="137"/>
      <c r="C235" s="134"/>
      <c r="D235" s="372"/>
      <c r="E235" s="373"/>
      <c r="F235" s="374"/>
      <c r="G235" s="373"/>
      <c r="H235" s="373"/>
      <c r="I235" s="375"/>
      <c r="J235" s="88"/>
      <c r="AX235" s="137"/>
      <c r="AY235" s="172"/>
      <c r="AZ235" s="173"/>
      <c r="BA235" s="174"/>
      <c r="BB235" s="173"/>
      <c r="BC235" s="173"/>
      <c r="BD235" s="175"/>
      <c r="BE235" s="88"/>
      <c r="BG235" s="137"/>
      <c r="BH235" s="172"/>
      <c r="BI235" s="173"/>
      <c r="BJ235" s="174"/>
      <c r="BK235" s="173"/>
      <c r="BL235" s="173"/>
      <c r="BM235" s="175"/>
      <c r="BN235" s="88"/>
      <c r="BP235" s="137"/>
      <c r="BQ235" s="172"/>
      <c r="BR235" s="173"/>
      <c r="BS235" s="174"/>
      <c r="BT235" s="173"/>
      <c r="BU235" s="173"/>
      <c r="BV235" s="175"/>
      <c r="BW235" s="88"/>
      <c r="FH235" s="50"/>
      <c r="FI235" s="47"/>
      <c r="FJ235" s="47"/>
      <c r="FK235" s="47"/>
      <c r="FL235" s="47"/>
    </row>
    <row r="236" spans="2:168" ht="11.25" customHeight="1">
      <c r="B236" s="137"/>
      <c r="C236" s="134"/>
      <c r="D236" s="372"/>
      <c r="E236" s="373"/>
      <c r="F236" s="374"/>
      <c r="G236" s="373"/>
      <c r="H236" s="373"/>
      <c r="I236" s="375"/>
      <c r="J236" s="88"/>
      <c r="AX236" s="137"/>
      <c r="AY236" s="172"/>
      <c r="AZ236" s="173"/>
      <c r="BA236" s="174"/>
      <c r="BB236" s="173"/>
      <c r="BC236" s="173"/>
      <c r="BD236" s="175"/>
      <c r="BE236" s="88"/>
      <c r="BG236" s="137"/>
      <c r="BH236" s="172"/>
      <c r="BI236" s="173"/>
      <c r="BJ236" s="174"/>
      <c r="BK236" s="173"/>
      <c r="BL236" s="173"/>
      <c r="BM236" s="175"/>
      <c r="BN236" s="88"/>
      <c r="BP236" s="137"/>
      <c r="BQ236" s="172"/>
      <c r="BR236" s="173"/>
      <c r="BS236" s="174"/>
      <c r="BT236" s="173"/>
      <c r="BU236" s="173"/>
      <c r="BV236" s="175"/>
      <c r="BW236" s="88"/>
      <c r="FH236" s="50"/>
      <c r="FI236" s="47"/>
      <c r="FJ236" s="47"/>
      <c r="FK236" s="47"/>
      <c r="FL236" s="47"/>
    </row>
    <row r="237" spans="2:168" ht="11.25" customHeight="1">
      <c r="B237" s="137"/>
      <c r="C237" s="134"/>
      <c r="D237" s="372"/>
      <c r="E237" s="373"/>
      <c r="F237" s="374"/>
      <c r="G237" s="373"/>
      <c r="H237" s="373"/>
      <c r="I237" s="375"/>
      <c r="J237" s="88"/>
      <c r="AX237" s="137"/>
      <c r="AY237" s="172"/>
      <c r="AZ237" s="173"/>
      <c r="BA237" s="174"/>
      <c r="BB237" s="173"/>
      <c r="BC237" s="173"/>
      <c r="BD237" s="175"/>
      <c r="BE237" s="88"/>
      <c r="BG237" s="137"/>
      <c r="BH237" s="172"/>
      <c r="BI237" s="173"/>
      <c r="BJ237" s="174"/>
      <c r="BK237" s="173"/>
      <c r="BL237" s="173"/>
      <c r="BM237" s="175"/>
      <c r="BN237" s="88"/>
      <c r="BP237" s="137"/>
      <c r="BQ237" s="172"/>
      <c r="BR237" s="173"/>
      <c r="BS237" s="174"/>
      <c r="BT237" s="173"/>
      <c r="BU237" s="173"/>
      <c r="BV237" s="175"/>
      <c r="BW237" s="88"/>
      <c r="FH237" s="50"/>
      <c r="FI237" s="47"/>
      <c r="FJ237" s="47"/>
      <c r="FK237" s="47"/>
      <c r="FL237" s="47"/>
    </row>
    <row r="238" spans="2:168" ht="11.25" customHeight="1">
      <c r="B238" s="137"/>
      <c r="C238" s="134"/>
      <c r="D238" s="372"/>
      <c r="E238" s="373"/>
      <c r="F238" s="374"/>
      <c r="G238" s="373"/>
      <c r="H238" s="373"/>
      <c r="I238" s="375"/>
      <c r="J238" s="88"/>
      <c r="AX238" s="137"/>
      <c r="AY238" s="172"/>
      <c r="AZ238" s="173"/>
      <c r="BA238" s="174"/>
      <c r="BB238" s="173"/>
      <c r="BC238" s="173"/>
      <c r="BD238" s="175"/>
      <c r="BE238" s="88"/>
      <c r="BG238" s="137"/>
      <c r="BH238" s="172"/>
      <c r="BI238" s="173"/>
      <c r="BJ238" s="174"/>
      <c r="BK238" s="173"/>
      <c r="BL238" s="173"/>
      <c r="BM238" s="175"/>
      <c r="BN238" s="88"/>
      <c r="BP238" s="137"/>
      <c r="BQ238" s="172"/>
      <c r="BR238" s="173"/>
      <c r="BS238" s="174"/>
      <c r="BT238" s="173"/>
      <c r="BU238" s="173"/>
      <c r="BV238" s="175"/>
      <c r="BW238" s="88"/>
      <c r="FH238" s="50"/>
      <c r="FI238" s="47"/>
      <c r="FJ238" s="47"/>
      <c r="FK238" s="47"/>
      <c r="FL238" s="47"/>
    </row>
    <row r="239" spans="2:168" ht="11.25" customHeight="1">
      <c r="B239" s="137"/>
      <c r="C239" s="134"/>
      <c r="D239" s="372"/>
      <c r="E239" s="373"/>
      <c r="F239" s="374"/>
      <c r="G239" s="373"/>
      <c r="H239" s="373"/>
      <c r="I239" s="375"/>
      <c r="J239" s="88"/>
      <c r="AX239" s="137"/>
      <c r="AY239" s="172"/>
      <c r="AZ239" s="173"/>
      <c r="BA239" s="174"/>
      <c r="BB239" s="173"/>
      <c r="BC239" s="173"/>
      <c r="BD239" s="175"/>
      <c r="BE239" s="88"/>
      <c r="BG239" s="137"/>
      <c r="BH239" s="172"/>
      <c r="BI239" s="173"/>
      <c r="BJ239" s="174"/>
      <c r="BK239" s="173"/>
      <c r="BL239" s="173"/>
      <c r="BM239" s="175"/>
      <c r="BN239" s="88"/>
      <c r="BP239" s="137"/>
      <c r="BQ239" s="172"/>
      <c r="BR239" s="173"/>
      <c r="BS239" s="174"/>
      <c r="BT239" s="173"/>
      <c r="BU239" s="173"/>
      <c r="BV239" s="175"/>
      <c r="BW239" s="88"/>
      <c r="FH239" s="50"/>
      <c r="FI239" s="47"/>
      <c r="FJ239" s="47"/>
      <c r="FK239" s="47"/>
      <c r="FL239" s="47"/>
    </row>
    <row r="240" spans="2:168" ht="11.25" customHeight="1">
      <c r="B240" s="137"/>
      <c r="C240" s="134"/>
      <c r="D240" s="372"/>
      <c r="E240" s="373"/>
      <c r="F240" s="374"/>
      <c r="G240" s="373"/>
      <c r="H240" s="373"/>
      <c r="I240" s="375"/>
      <c r="J240" s="88"/>
      <c r="AX240" s="137"/>
      <c r="AY240" s="172"/>
      <c r="AZ240" s="173"/>
      <c r="BA240" s="174"/>
      <c r="BB240" s="173"/>
      <c r="BC240" s="173"/>
      <c r="BD240" s="175"/>
      <c r="BE240" s="88"/>
      <c r="BG240" s="137"/>
      <c r="BH240" s="172"/>
      <c r="BI240" s="173"/>
      <c r="BJ240" s="174"/>
      <c r="BK240" s="173"/>
      <c r="BL240" s="173"/>
      <c r="BM240" s="175"/>
      <c r="BN240" s="88"/>
      <c r="BP240" s="137"/>
      <c r="BQ240" s="172"/>
      <c r="BR240" s="173"/>
      <c r="BS240" s="174"/>
      <c r="BT240" s="173"/>
      <c r="BU240" s="173"/>
      <c r="BV240" s="175"/>
      <c r="BW240" s="88"/>
      <c r="FH240" s="50"/>
      <c r="FI240" s="47"/>
      <c r="FJ240" s="47"/>
      <c r="FK240" s="47"/>
      <c r="FL240" s="47"/>
    </row>
    <row r="241" spans="2:168" ht="11.25" customHeight="1">
      <c r="B241" s="137"/>
      <c r="C241" s="134"/>
      <c r="D241" s="372"/>
      <c r="E241" s="373"/>
      <c r="F241" s="374"/>
      <c r="G241" s="373"/>
      <c r="H241" s="373"/>
      <c r="I241" s="375"/>
      <c r="J241" s="88"/>
      <c r="AX241" s="137"/>
      <c r="AY241" s="172"/>
      <c r="AZ241" s="173"/>
      <c r="BA241" s="174"/>
      <c r="BB241" s="173"/>
      <c r="BC241" s="173"/>
      <c r="BD241" s="175"/>
      <c r="BE241" s="88"/>
      <c r="BG241" s="137"/>
      <c r="BH241" s="172"/>
      <c r="BI241" s="173"/>
      <c r="BJ241" s="174"/>
      <c r="BK241" s="173"/>
      <c r="BL241" s="173"/>
      <c r="BM241" s="175"/>
      <c r="BN241" s="88"/>
      <c r="BP241" s="137"/>
      <c r="BQ241" s="172"/>
      <c r="BR241" s="173"/>
      <c r="BS241" s="174"/>
      <c r="BT241" s="173"/>
      <c r="BU241" s="173"/>
      <c r="BV241" s="175"/>
      <c r="BW241" s="88"/>
      <c r="FH241" s="50"/>
      <c r="FI241" s="47"/>
      <c r="FJ241" s="47"/>
      <c r="FK241" s="47"/>
      <c r="FL241" s="47"/>
    </row>
    <row r="242" spans="2:168" ht="11.25" customHeight="1">
      <c r="B242" s="137"/>
      <c r="C242" s="134"/>
      <c r="D242" s="372"/>
      <c r="E242" s="373"/>
      <c r="F242" s="374"/>
      <c r="G242" s="373"/>
      <c r="H242" s="373"/>
      <c r="I242" s="375"/>
      <c r="J242" s="88"/>
      <c r="AX242" s="137"/>
      <c r="AY242" s="172"/>
      <c r="AZ242" s="173"/>
      <c r="BA242" s="174"/>
      <c r="BB242" s="173"/>
      <c r="BC242" s="173"/>
      <c r="BD242" s="175"/>
      <c r="BE242" s="88"/>
      <c r="BG242" s="137"/>
      <c r="BH242" s="172"/>
      <c r="BI242" s="173"/>
      <c r="BJ242" s="174"/>
      <c r="BK242" s="173"/>
      <c r="BL242" s="173"/>
      <c r="BM242" s="175"/>
      <c r="BN242" s="88"/>
      <c r="BP242" s="137"/>
      <c r="BQ242" s="172"/>
      <c r="BR242" s="173"/>
      <c r="BS242" s="174"/>
      <c r="BT242" s="173"/>
      <c r="BU242" s="173"/>
      <c r="BV242" s="175"/>
      <c r="BW242" s="88"/>
      <c r="FH242" s="50"/>
      <c r="FI242" s="47"/>
      <c r="FJ242" s="47"/>
      <c r="FK242" s="47"/>
      <c r="FL242" s="47"/>
    </row>
    <row r="243" spans="2:168" ht="11.25" customHeight="1">
      <c r="B243" s="137"/>
      <c r="C243" s="134"/>
      <c r="D243" s="372"/>
      <c r="E243" s="373"/>
      <c r="F243" s="374"/>
      <c r="G243" s="373"/>
      <c r="H243" s="373"/>
      <c r="I243" s="375"/>
      <c r="J243" s="88"/>
      <c r="AX243" s="137"/>
      <c r="AY243" s="172"/>
      <c r="AZ243" s="173"/>
      <c r="BA243" s="174"/>
      <c r="BB243" s="173"/>
      <c r="BC243" s="173"/>
      <c r="BD243" s="175"/>
      <c r="BE243" s="88"/>
      <c r="BG243" s="137"/>
      <c r="BH243" s="172"/>
      <c r="BI243" s="173"/>
      <c r="BJ243" s="174"/>
      <c r="BK243" s="173"/>
      <c r="BL243" s="173"/>
      <c r="BM243" s="175"/>
      <c r="BN243" s="88"/>
      <c r="BP243" s="137"/>
      <c r="BQ243" s="172"/>
      <c r="BR243" s="173"/>
      <c r="BS243" s="174"/>
      <c r="BT243" s="173"/>
      <c r="BU243" s="173"/>
      <c r="BV243" s="175"/>
      <c r="BW243" s="88"/>
      <c r="FH243" s="50"/>
      <c r="FI243" s="47"/>
      <c r="FJ243" s="47"/>
      <c r="FK243" s="47"/>
      <c r="FL243" s="47"/>
    </row>
    <row r="244" spans="2:168" ht="11.25" customHeight="1">
      <c r="B244" s="137"/>
      <c r="C244" s="134"/>
      <c r="D244" s="372"/>
      <c r="E244" s="373"/>
      <c r="F244" s="374"/>
      <c r="G244" s="373"/>
      <c r="H244" s="373"/>
      <c r="I244" s="375"/>
      <c r="J244" s="88"/>
      <c r="AX244" s="137"/>
      <c r="AY244" s="172"/>
      <c r="AZ244" s="173"/>
      <c r="BA244" s="174"/>
      <c r="BB244" s="173"/>
      <c r="BC244" s="173"/>
      <c r="BD244" s="175"/>
      <c r="BE244" s="88"/>
      <c r="BG244" s="137"/>
      <c r="BH244" s="172"/>
      <c r="BI244" s="173"/>
      <c r="BJ244" s="174"/>
      <c r="BK244" s="173"/>
      <c r="BL244" s="173"/>
      <c r="BM244" s="175"/>
      <c r="BN244" s="88"/>
      <c r="BP244" s="137"/>
      <c r="BQ244" s="172"/>
      <c r="BR244" s="173"/>
      <c r="BS244" s="174"/>
      <c r="BT244" s="173"/>
      <c r="BU244" s="173"/>
      <c r="BV244" s="175"/>
      <c r="BW244" s="88"/>
      <c r="FH244" s="50"/>
      <c r="FI244" s="47"/>
      <c r="FJ244" s="47"/>
      <c r="FK244" s="47"/>
      <c r="FL244" s="47"/>
    </row>
    <row r="245" spans="2:168" ht="11.25" customHeight="1">
      <c r="B245" s="137"/>
      <c r="C245" s="134"/>
      <c r="D245" s="372"/>
      <c r="E245" s="373"/>
      <c r="F245" s="374"/>
      <c r="G245" s="373"/>
      <c r="H245" s="373"/>
      <c r="I245" s="375"/>
      <c r="J245" s="88"/>
      <c r="AX245" s="137"/>
      <c r="AY245" s="172"/>
      <c r="AZ245" s="173"/>
      <c r="BA245" s="174"/>
      <c r="BB245" s="173"/>
      <c r="BC245" s="173"/>
      <c r="BD245" s="175"/>
      <c r="BE245" s="88"/>
      <c r="BG245" s="137"/>
      <c r="BH245" s="172"/>
      <c r="BI245" s="173"/>
      <c r="BJ245" s="174"/>
      <c r="BK245" s="173"/>
      <c r="BL245" s="173"/>
      <c r="BM245" s="175"/>
      <c r="BN245" s="88"/>
      <c r="BP245" s="137"/>
      <c r="BQ245" s="172"/>
      <c r="BR245" s="173"/>
      <c r="BS245" s="174"/>
      <c r="BT245" s="173"/>
      <c r="BU245" s="173"/>
      <c r="BV245" s="175"/>
      <c r="BW245" s="88"/>
      <c r="FH245" s="50"/>
      <c r="FI245" s="47"/>
      <c r="FJ245" s="47"/>
      <c r="FK245" s="47"/>
      <c r="FL245" s="47"/>
    </row>
    <row r="246" spans="2:168" ht="11.25" customHeight="1">
      <c r="B246" s="137"/>
      <c r="C246" s="134"/>
      <c r="D246" s="372"/>
      <c r="E246" s="373"/>
      <c r="F246" s="374"/>
      <c r="G246" s="373"/>
      <c r="H246" s="373"/>
      <c r="I246" s="375"/>
      <c r="J246" s="88"/>
      <c r="AX246" s="137"/>
      <c r="AY246" s="172"/>
      <c r="AZ246" s="173"/>
      <c r="BA246" s="174"/>
      <c r="BB246" s="173"/>
      <c r="BC246" s="173"/>
      <c r="BD246" s="175"/>
      <c r="BE246" s="88"/>
      <c r="BG246" s="137"/>
      <c r="BH246" s="172"/>
      <c r="BI246" s="173"/>
      <c r="BJ246" s="174"/>
      <c r="BK246" s="173"/>
      <c r="BL246" s="173"/>
      <c r="BM246" s="175"/>
      <c r="BN246" s="88"/>
      <c r="BP246" s="137"/>
      <c r="BQ246" s="172"/>
      <c r="BR246" s="173"/>
      <c r="BS246" s="174"/>
      <c r="BT246" s="173"/>
      <c r="BU246" s="173"/>
      <c r="BV246" s="175"/>
      <c r="BW246" s="88"/>
      <c r="FH246" s="50"/>
      <c r="FI246" s="47"/>
      <c r="FJ246" s="47"/>
      <c r="FK246" s="47"/>
      <c r="FL246" s="47"/>
    </row>
    <row r="247" spans="2:168" ht="11.25" customHeight="1">
      <c r="B247" s="137"/>
      <c r="C247" s="134"/>
      <c r="D247" s="372"/>
      <c r="E247" s="373"/>
      <c r="F247" s="374"/>
      <c r="G247" s="373"/>
      <c r="H247" s="373"/>
      <c r="I247" s="375"/>
      <c r="J247" s="88"/>
      <c r="AX247" s="137"/>
      <c r="AY247" s="172"/>
      <c r="AZ247" s="173"/>
      <c r="BA247" s="174"/>
      <c r="BB247" s="173"/>
      <c r="BC247" s="173"/>
      <c r="BD247" s="175"/>
      <c r="BE247" s="88"/>
      <c r="BG247" s="137"/>
      <c r="BH247" s="172"/>
      <c r="BI247" s="173"/>
      <c r="BJ247" s="174"/>
      <c r="BK247" s="173"/>
      <c r="BL247" s="173"/>
      <c r="BM247" s="175"/>
      <c r="BN247" s="88"/>
      <c r="BP247" s="137"/>
      <c r="BQ247" s="172"/>
      <c r="BR247" s="173"/>
      <c r="BS247" s="174"/>
      <c r="BT247" s="173"/>
      <c r="BU247" s="173"/>
      <c r="BV247" s="175"/>
      <c r="BW247" s="88"/>
      <c r="FH247" s="50"/>
      <c r="FI247" s="47"/>
      <c r="FJ247" s="47"/>
      <c r="FK247" s="47"/>
      <c r="FL247" s="47"/>
    </row>
    <row r="248" spans="2:168" ht="11.25" customHeight="1">
      <c r="B248" s="137"/>
      <c r="C248" s="134"/>
      <c r="D248" s="372"/>
      <c r="E248" s="373"/>
      <c r="F248" s="374"/>
      <c r="G248" s="373"/>
      <c r="H248" s="373"/>
      <c r="I248" s="375"/>
      <c r="J248" s="88"/>
      <c r="AX248" s="137"/>
      <c r="AY248" s="172"/>
      <c r="AZ248" s="173"/>
      <c r="BA248" s="174"/>
      <c r="BB248" s="173"/>
      <c r="BC248" s="173"/>
      <c r="BD248" s="175"/>
      <c r="BE248" s="88"/>
      <c r="BG248" s="137"/>
      <c r="BH248" s="172"/>
      <c r="BI248" s="173"/>
      <c r="BJ248" s="174"/>
      <c r="BK248" s="173"/>
      <c r="BL248" s="173"/>
      <c r="BM248" s="175"/>
      <c r="BN248" s="88"/>
      <c r="BP248" s="137"/>
      <c r="BQ248" s="172"/>
      <c r="BR248" s="173"/>
      <c r="BS248" s="174"/>
      <c r="BT248" s="173"/>
      <c r="BU248" s="173"/>
      <c r="BV248" s="175"/>
      <c r="BW248" s="88"/>
      <c r="FH248" s="50"/>
      <c r="FI248" s="47"/>
      <c r="FJ248" s="47"/>
      <c r="FK248" s="47"/>
      <c r="FL248" s="47"/>
    </row>
    <row r="249" spans="2:168" ht="11.25" customHeight="1">
      <c r="B249" s="137"/>
      <c r="C249" s="134"/>
      <c r="D249" s="372"/>
      <c r="E249" s="373"/>
      <c r="F249" s="374"/>
      <c r="G249" s="373"/>
      <c r="H249" s="373"/>
      <c r="I249" s="375"/>
      <c r="J249" s="88"/>
      <c r="AX249" s="137"/>
      <c r="AY249" s="172"/>
      <c r="AZ249" s="173"/>
      <c r="BA249" s="174"/>
      <c r="BB249" s="173"/>
      <c r="BC249" s="173"/>
      <c r="BD249" s="175"/>
      <c r="BE249" s="88"/>
      <c r="BG249" s="137"/>
      <c r="BH249" s="172"/>
      <c r="BI249" s="173"/>
      <c r="BJ249" s="174"/>
      <c r="BK249" s="173"/>
      <c r="BL249" s="173"/>
      <c r="BM249" s="175"/>
      <c r="BN249" s="88"/>
      <c r="BP249" s="137"/>
      <c r="BQ249" s="172"/>
      <c r="BR249" s="173"/>
      <c r="BS249" s="174"/>
      <c r="BT249" s="173"/>
      <c r="BU249" s="173"/>
      <c r="BV249" s="175"/>
      <c r="BW249" s="88"/>
      <c r="FH249" s="50"/>
      <c r="FI249" s="47"/>
      <c r="FJ249" s="47"/>
      <c r="FK249" s="47"/>
      <c r="FL249" s="47"/>
    </row>
    <row r="250" spans="2:168" ht="11.25" customHeight="1">
      <c r="B250" s="137"/>
      <c r="C250" s="134"/>
      <c r="D250" s="372"/>
      <c r="E250" s="373"/>
      <c r="F250" s="374"/>
      <c r="G250" s="373"/>
      <c r="H250" s="373"/>
      <c r="I250" s="375"/>
      <c r="J250" s="88"/>
      <c r="AX250" s="137"/>
      <c r="AY250" s="172"/>
      <c r="AZ250" s="173"/>
      <c r="BA250" s="174"/>
      <c r="BB250" s="173"/>
      <c r="BC250" s="173"/>
      <c r="BD250" s="175"/>
      <c r="BE250" s="88"/>
      <c r="BG250" s="137"/>
      <c r="BH250" s="172"/>
      <c r="BI250" s="173"/>
      <c r="BJ250" s="174"/>
      <c r="BK250" s="173"/>
      <c r="BL250" s="173"/>
      <c r="BM250" s="175"/>
      <c r="BN250" s="88"/>
      <c r="BP250" s="137"/>
      <c r="BQ250" s="172"/>
      <c r="BR250" s="173"/>
      <c r="BS250" s="174"/>
      <c r="BT250" s="173"/>
      <c r="BU250" s="173"/>
      <c r="BV250" s="175"/>
      <c r="BW250" s="88"/>
      <c r="FH250" s="50"/>
      <c r="FI250" s="47"/>
      <c r="FJ250" s="47"/>
      <c r="FK250" s="47"/>
      <c r="FL250" s="47"/>
    </row>
    <row r="251" spans="2:168" ht="11.25" customHeight="1">
      <c r="B251" s="137"/>
      <c r="C251" s="134"/>
      <c r="D251" s="372"/>
      <c r="E251" s="373"/>
      <c r="F251" s="374"/>
      <c r="G251" s="373"/>
      <c r="H251" s="373"/>
      <c r="I251" s="375"/>
      <c r="J251" s="88"/>
      <c r="AX251" s="137"/>
      <c r="AY251" s="172"/>
      <c r="AZ251" s="173"/>
      <c r="BA251" s="174"/>
      <c r="BB251" s="173"/>
      <c r="BC251" s="173"/>
      <c r="BD251" s="175"/>
      <c r="BE251" s="88"/>
      <c r="BG251" s="137"/>
      <c r="BH251" s="172"/>
      <c r="BI251" s="173"/>
      <c r="BJ251" s="174"/>
      <c r="BK251" s="173"/>
      <c r="BL251" s="173"/>
      <c r="BM251" s="175"/>
      <c r="BN251" s="88"/>
      <c r="BP251" s="137"/>
      <c r="BQ251" s="172"/>
      <c r="BR251" s="173"/>
      <c r="BS251" s="174"/>
      <c r="BT251" s="173"/>
      <c r="BU251" s="173"/>
      <c r="BV251" s="175"/>
      <c r="BW251" s="88"/>
      <c r="FH251" s="50"/>
      <c r="FI251" s="47"/>
      <c r="FJ251" s="47"/>
      <c r="FK251" s="47"/>
      <c r="FL251" s="47"/>
    </row>
    <row r="252" spans="2:168" ht="11.25" customHeight="1">
      <c r="B252" s="137"/>
      <c r="C252" s="134"/>
      <c r="D252" s="372"/>
      <c r="E252" s="373"/>
      <c r="F252" s="374"/>
      <c r="G252" s="373"/>
      <c r="H252" s="373"/>
      <c r="I252" s="375"/>
      <c r="J252" s="88"/>
      <c r="AX252" s="137"/>
      <c r="AY252" s="172"/>
      <c r="AZ252" s="173"/>
      <c r="BA252" s="174"/>
      <c r="BB252" s="173"/>
      <c r="BC252" s="173"/>
      <c r="BD252" s="175"/>
      <c r="BE252" s="88"/>
      <c r="BG252" s="137"/>
      <c r="BH252" s="172"/>
      <c r="BI252" s="173"/>
      <c r="BJ252" s="174"/>
      <c r="BK252" s="173"/>
      <c r="BL252" s="173"/>
      <c r="BM252" s="175"/>
      <c r="BN252" s="88"/>
      <c r="BP252" s="137"/>
      <c r="BQ252" s="172"/>
      <c r="BR252" s="173"/>
      <c r="BS252" s="174"/>
      <c r="BT252" s="173"/>
      <c r="BU252" s="173"/>
      <c r="BV252" s="175"/>
      <c r="BW252" s="88"/>
      <c r="FH252" s="50"/>
      <c r="FI252" s="47"/>
      <c r="FJ252" s="47"/>
      <c r="FK252" s="47"/>
      <c r="FL252" s="47"/>
    </row>
    <row r="253" spans="2:168" ht="11.25" customHeight="1">
      <c r="B253" s="137"/>
      <c r="C253" s="134"/>
      <c r="D253" s="372"/>
      <c r="E253" s="373"/>
      <c r="F253" s="374"/>
      <c r="G253" s="373"/>
      <c r="H253" s="373"/>
      <c r="I253" s="375"/>
      <c r="J253" s="88"/>
      <c r="AX253" s="137"/>
      <c r="AY253" s="172"/>
      <c r="AZ253" s="173"/>
      <c r="BA253" s="174"/>
      <c r="BB253" s="173"/>
      <c r="BC253" s="173"/>
      <c r="BD253" s="175"/>
      <c r="BE253" s="88"/>
      <c r="BG253" s="137"/>
      <c r="BH253" s="172"/>
      <c r="BI253" s="173"/>
      <c r="BJ253" s="174"/>
      <c r="BK253" s="173"/>
      <c r="BL253" s="173"/>
      <c r="BM253" s="175"/>
      <c r="BN253" s="88"/>
      <c r="BP253" s="137"/>
      <c r="BQ253" s="172"/>
      <c r="BR253" s="173"/>
      <c r="BS253" s="174"/>
      <c r="BT253" s="173"/>
      <c r="BU253" s="173"/>
      <c r="BV253" s="175"/>
      <c r="BW253" s="88"/>
      <c r="FH253" s="50"/>
      <c r="FI253" s="47"/>
      <c r="FJ253" s="47"/>
      <c r="FK253" s="47"/>
      <c r="FL253" s="47"/>
    </row>
    <row r="254" spans="2:168" ht="11.25" customHeight="1">
      <c r="B254" s="137"/>
      <c r="C254" s="134"/>
      <c r="D254" s="372"/>
      <c r="E254" s="373"/>
      <c r="F254" s="374"/>
      <c r="G254" s="373"/>
      <c r="H254" s="373"/>
      <c r="I254" s="375"/>
      <c r="J254" s="88"/>
      <c r="AX254" s="137"/>
      <c r="AY254" s="172"/>
      <c r="AZ254" s="173"/>
      <c r="BA254" s="174"/>
      <c r="BB254" s="173"/>
      <c r="BC254" s="173"/>
      <c r="BD254" s="175"/>
      <c r="BE254" s="88"/>
      <c r="BG254" s="137"/>
      <c r="BH254" s="172"/>
      <c r="BI254" s="173"/>
      <c r="BJ254" s="174"/>
      <c r="BK254" s="173"/>
      <c r="BL254" s="173"/>
      <c r="BM254" s="175"/>
      <c r="BN254" s="88"/>
      <c r="BP254" s="137"/>
      <c r="BQ254" s="172"/>
      <c r="BR254" s="173"/>
      <c r="BS254" s="174"/>
      <c r="BT254" s="173"/>
      <c r="BU254" s="173"/>
      <c r="BV254" s="175"/>
      <c r="BW254" s="88"/>
      <c r="FH254" s="50"/>
      <c r="FI254" s="47"/>
      <c r="FJ254" s="47"/>
      <c r="FK254" s="47"/>
      <c r="FL254" s="47"/>
    </row>
    <row r="255" spans="2:168" ht="11.25" customHeight="1">
      <c r="B255" s="137"/>
      <c r="C255" s="134"/>
      <c r="D255" s="372"/>
      <c r="E255" s="373"/>
      <c r="F255" s="374"/>
      <c r="G255" s="373"/>
      <c r="H255" s="373"/>
      <c r="I255" s="375"/>
      <c r="J255" s="88"/>
      <c r="AX255" s="137"/>
      <c r="AY255" s="172"/>
      <c r="AZ255" s="173"/>
      <c r="BA255" s="174"/>
      <c r="BB255" s="173"/>
      <c r="BC255" s="173"/>
      <c r="BD255" s="175"/>
      <c r="BE255" s="88"/>
      <c r="BG255" s="137"/>
      <c r="BH255" s="172"/>
      <c r="BI255" s="173"/>
      <c r="BJ255" s="174"/>
      <c r="BK255" s="173"/>
      <c r="BL255" s="173"/>
      <c r="BM255" s="175"/>
      <c r="BN255" s="88"/>
      <c r="BP255" s="137"/>
      <c r="BQ255" s="172"/>
      <c r="BR255" s="173"/>
      <c r="BS255" s="174"/>
      <c r="BT255" s="173"/>
      <c r="BU255" s="173"/>
      <c r="BV255" s="175"/>
      <c r="BW255" s="88"/>
      <c r="FH255" s="50"/>
      <c r="FI255" s="47"/>
      <c r="FJ255" s="47"/>
      <c r="FK255" s="47"/>
      <c r="FL255" s="47"/>
    </row>
    <row r="256" spans="2:168" ht="11.25" customHeight="1">
      <c r="B256" s="137"/>
      <c r="C256" s="134"/>
      <c r="D256" s="372"/>
      <c r="E256" s="373"/>
      <c r="F256" s="374"/>
      <c r="G256" s="373"/>
      <c r="H256" s="373"/>
      <c r="I256" s="375"/>
      <c r="J256" s="88"/>
      <c r="AX256" s="137"/>
      <c r="AY256" s="172"/>
      <c r="AZ256" s="173"/>
      <c r="BA256" s="174"/>
      <c r="BB256" s="173"/>
      <c r="BC256" s="173"/>
      <c r="BD256" s="175"/>
      <c r="BE256" s="88"/>
      <c r="BG256" s="137"/>
      <c r="BH256" s="172"/>
      <c r="BI256" s="173"/>
      <c r="BJ256" s="174"/>
      <c r="BK256" s="173"/>
      <c r="BL256" s="173"/>
      <c r="BM256" s="175"/>
      <c r="BN256" s="88"/>
      <c r="BP256" s="137"/>
      <c r="BQ256" s="172"/>
      <c r="BR256" s="173"/>
      <c r="BS256" s="174"/>
      <c r="BT256" s="173"/>
      <c r="BU256" s="173"/>
      <c r="BV256" s="175"/>
      <c r="BW256" s="88"/>
      <c r="FH256" s="50"/>
      <c r="FI256" s="47"/>
      <c r="FJ256" s="47"/>
      <c r="FK256" s="47"/>
      <c r="FL256" s="47"/>
    </row>
    <row r="257" spans="2:168" ht="11.25" customHeight="1">
      <c r="B257" s="137"/>
      <c r="C257" s="134"/>
      <c r="D257" s="372"/>
      <c r="E257" s="373"/>
      <c r="F257" s="374"/>
      <c r="G257" s="373"/>
      <c r="H257" s="373"/>
      <c r="I257" s="375"/>
      <c r="J257" s="88"/>
      <c r="AX257" s="137"/>
      <c r="AY257" s="172"/>
      <c r="AZ257" s="173"/>
      <c r="BA257" s="174"/>
      <c r="BB257" s="173"/>
      <c r="BC257" s="173"/>
      <c r="BD257" s="175"/>
      <c r="BE257" s="88"/>
      <c r="BG257" s="137"/>
      <c r="BH257" s="172"/>
      <c r="BI257" s="173"/>
      <c r="BJ257" s="174"/>
      <c r="BK257" s="173"/>
      <c r="BL257" s="173"/>
      <c r="BM257" s="175"/>
      <c r="BN257" s="88"/>
      <c r="BP257" s="137"/>
      <c r="BQ257" s="172"/>
      <c r="BR257" s="173"/>
      <c r="BS257" s="174"/>
      <c r="BT257" s="173"/>
      <c r="BU257" s="173"/>
      <c r="BV257" s="175"/>
      <c r="BW257" s="88"/>
      <c r="FH257" s="50"/>
      <c r="FI257" s="47"/>
      <c r="FJ257" s="47"/>
      <c r="FK257" s="47"/>
      <c r="FL257" s="47"/>
    </row>
    <row r="258" spans="2:168" ht="11.25" customHeight="1">
      <c r="B258" s="137"/>
      <c r="C258" s="134"/>
      <c r="D258" s="372"/>
      <c r="E258" s="373"/>
      <c r="F258" s="374"/>
      <c r="G258" s="373"/>
      <c r="H258" s="373"/>
      <c r="I258" s="375"/>
      <c r="J258" s="88"/>
      <c r="AX258" s="137"/>
      <c r="AY258" s="172"/>
      <c r="AZ258" s="173"/>
      <c r="BA258" s="174"/>
      <c r="BB258" s="173"/>
      <c r="BC258" s="173"/>
      <c r="BD258" s="175"/>
      <c r="BE258" s="88"/>
      <c r="BG258" s="137"/>
      <c r="BH258" s="172"/>
      <c r="BI258" s="173"/>
      <c r="BJ258" s="174"/>
      <c r="BK258" s="173"/>
      <c r="BL258" s="173"/>
      <c r="BM258" s="175"/>
      <c r="BN258" s="88"/>
      <c r="BP258" s="137"/>
      <c r="BQ258" s="172"/>
      <c r="BR258" s="173"/>
      <c r="BS258" s="174"/>
      <c r="BT258" s="173"/>
      <c r="BU258" s="173"/>
      <c r="BV258" s="175"/>
      <c r="BW258" s="88"/>
      <c r="FH258" s="50"/>
      <c r="FI258" s="47"/>
      <c r="FJ258" s="47"/>
      <c r="FK258" s="47"/>
      <c r="FL258" s="47"/>
    </row>
    <row r="259" spans="2:168" ht="11.25" customHeight="1">
      <c r="B259" s="137"/>
      <c r="C259" s="134"/>
      <c r="D259" s="372"/>
      <c r="E259" s="373"/>
      <c r="F259" s="374"/>
      <c r="G259" s="373"/>
      <c r="H259" s="373"/>
      <c r="I259" s="375"/>
      <c r="J259" s="88"/>
      <c r="AX259" s="137"/>
      <c r="AY259" s="172"/>
      <c r="AZ259" s="173"/>
      <c r="BA259" s="174"/>
      <c r="BB259" s="173"/>
      <c r="BC259" s="173"/>
      <c r="BD259" s="175"/>
      <c r="BE259" s="88"/>
      <c r="BG259" s="137"/>
      <c r="BH259" s="172"/>
      <c r="BI259" s="173"/>
      <c r="BJ259" s="174"/>
      <c r="BK259" s="173"/>
      <c r="BL259" s="173"/>
      <c r="BM259" s="175"/>
      <c r="BN259" s="88"/>
      <c r="BP259" s="137"/>
      <c r="BQ259" s="172"/>
      <c r="BR259" s="173"/>
      <c r="BS259" s="174"/>
      <c r="BT259" s="173"/>
      <c r="BU259" s="173"/>
      <c r="BV259" s="175"/>
      <c r="BW259" s="88"/>
      <c r="FH259" s="50"/>
      <c r="FI259" s="47"/>
      <c r="FJ259" s="47"/>
      <c r="FK259" s="47"/>
      <c r="FL259" s="47"/>
    </row>
    <row r="260" spans="2:168" ht="11.25" customHeight="1">
      <c r="B260" s="137"/>
      <c r="C260" s="134"/>
      <c r="D260" s="372"/>
      <c r="E260" s="373"/>
      <c r="F260" s="374"/>
      <c r="G260" s="373"/>
      <c r="H260" s="373"/>
      <c r="I260" s="375"/>
      <c r="J260" s="88"/>
      <c r="AX260" s="137"/>
      <c r="AY260" s="172"/>
      <c r="AZ260" s="173"/>
      <c r="BA260" s="174"/>
      <c r="BB260" s="173"/>
      <c r="BC260" s="173"/>
      <c r="BD260" s="175"/>
      <c r="BE260" s="88"/>
      <c r="BG260" s="137"/>
      <c r="BH260" s="172"/>
      <c r="BI260" s="173"/>
      <c r="BJ260" s="174"/>
      <c r="BK260" s="173"/>
      <c r="BL260" s="173"/>
      <c r="BM260" s="175"/>
      <c r="BN260" s="88"/>
      <c r="BP260" s="137"/>
      <c r="BQ260" s="172"/>
      <c r="BR260" s="173"/>
      <c r="BS260" s="174"/>
      <c r="BT260" s="173"/>
      <c r="BU260" s="173"/>
      <c r="BV260" s="175"/>
      <c r="BW260" s="88"/>
      <c r="FH260" s="50"/>
      <c r="FI260" s="47"/>
      <c r="FJ260" s="47"/>
      <c r="FK260" s="47"/>
      <c r="FL260" s="47"/>
    </row>
    <row r="261" spans="2:168" ht="11.25" customHeight="1">
      <c r="B261" s="137"/>
      <c r="C261" s="134"/>
      <c r="D261" s="372"/>
      <c r="E261" s="373"/>
      <c r="F261" s="374"/>
      <c r="G261" s="373"/>
      <c r="H261" s="373"/>
      <c r="I261" s="375"/>
      <c r="J261" s="88"/>
      <c r="AX261" s="137"/>
      <c r="AY261" s="172"/>
      <c r="AZ261" s="173"/>
      <c r="BA261" s="174"/>
      <c r="BB261" s="173"/>
      <c r="BC261" s="173"/>
      <c r="BD261" s="175"/>
      <c r="BE261" s="88"/>
      <c r="BG261" s="137"/>
      <c r="BH261" s="172"/>
      <c r="BI261" s="173"/>
      <c r="BJ261" s="174"/>
      <c r="BK261" s="173"/>
      <c r="BL261" s="173"/>
      <c r="BM261" s="175"/>
      <c r="BN261" s="88"/>
      <c r="BP261" s="137"/>
      <c r="BQ261" s="172"/>
      <c r="BR261" s="173"/>
      <c r="BS261" s="174"/>
      <c r="BT261" s="173"/>
      <c r="BU261" s="173"/>
      <c r="BV261" s="175"/>
      <c r="BW261" s="88"/>
      <c r="FH261" s="50"/>
      <c r="FI261" s="47"/>
      <c r="FJ261" s="47"/>
      <c r="FK261" s="47"/>
      <c r="FL261" s="47"/>
    </row>
    <row r="262" spans="2:168" ht="11.25" customHeight="1">
      <c r="B262" s="137"/>
      <c r="C262" s="134"/>
      <c r="D262" s="372"/>
      <c r="E262" s="373"/>
      <c r="F262" s="374"/>
      <c r="G262" s="373"/>
      <c r="H262" s="373"/>
      <c r="I262" s="375"/>
      <c r="J262" s="88"/>
      <c r="AX262" s="137"/>
      <c r="AY262" s="172"/>
      <c r="AZ262" s="173"/>
      <c r="BA262" s="174"/>
      <c r="BB262" s="173"/>
      <c r="BC262" s="173"/>
      <c r="BD262" s="175"/>
      <c r="BE262" s="88"/>
      <c r="BG262" s="137"/>
      <c r="BH262" s="172"/>
      <c r="BI262" s="173"/>
      <c r="BJ262" s="174"/>
      <c r="BK262" s="173"/>
      <c r="BL262" s="173"/>
      <c r="BM262" s="175"/>
      <c r="BN262" s="88"/>
      <c r="BP262" s="137"/>
      <c r="BQ262" s="172"/>
      <c r="BR262" s="173"/>
      <c r="BS262" s="174"/>
      <c r="BT262" s="173"/>
      <c r="BU262" s="173"/>
      <c r="BV262" s="175"/>
      <c r="BW262" s="88"/>
      <c r="FH262" s="50"/>
      <c r="FI262" s="47"/>
      <c r="FJ262" s="47"/>
      <c r="FK262" s="47"/>
      <c r="FL262" s="47"/>
    </row>
    <row r="263" spans="2:168" ht="11.25" customHeight="1">
      <c r="B263" s="137"/>
      <c r="C263" s="134"/>
      <c r="D263" s="372"/>
      <c r="E263" s="373"/>
      <c r="F263" s="374"/>
      <c r="G263" s="373"/>
      <c r="H263" s="373"/>
      <c r="I263" s="375"/>
      <c r="J263" s="88"/>
      <c r="AX263" s="137"/>
      <c r="AY263" s="172"/>
      <c r="AZ263" s="173"/>
      <c r="BA263" s="174"/>
      <c r="BB263" s="173"/>
      <c r="BC263" s="173"/>
      <c r="BD263" s="175"/>
      <c r="BE263" s="88"/>
      <c r="BG263" s="137"/>
      <c r="BH263" s="172"/>
      <c r="BI263" s="173"/>
      <c r="BJ263" s="174"/>
      <c r="BK263" s="173"/>
      <c r="BL263" s="173"/>
      <c r="BM263" s="175"/>
      <c r="BN263" s="88"/>
      <c r="BP263" s="137"/>
      <c r="BQ263" s="172"/>
      <c r="BR263" s="173"/>
      <c r="BS263" s="174"/>
      <c r="BT263" s="173"/>
      <c r="BU263" s="173"/>
      <c r="BV263" s="175"/>
      <c r="BW263" s="88"/>
      <c r="FH263" s="50"/>
      <c r="FI263" s="47"/>
      <c r="FJ263" s="47"/>
      <c r="FK263" s="47"/>
      <c r="FL263" s="47"/>
    </row>
    <row r="264" spans="2:168" ht="11.25" customHeight="1">
      <c r="B264" s="137"/>
      <c r="C264" s="134"/>
      <c r="D264" s="372"/>
      <c r="E264" s="373"/>
      <c r="F264" s="374"/>
      <c r="G264" s="373"/>
      <c r="H264" s="373"/>
      <c r="I264" s="375"/>
      <c r="J264" s="88"/>
      <c r="AX264" s="137"/>
      <c r="AY264" s="172"/>
      <c r="AZ264" s="173"/>
      <c r="BA264" s="174"/>
      <c r="BB264" s="173"/>
      <c r="BC264" s="173"/>
      <c r="BD264" s="175"/>
      <c r="BE264" s="88"/>
      <c r="BG264" s="137"/>
      <c r="BH264" s="172"/>
      <c r="BI264" s="173"/>
      <c r="BJ264" s="174"/>
      <c r="BK264" s="173"/>
      <c r="BL264" s="173"/>
      <c r="BM264" s="175"/>
      <c r="BN264" s="88"/>
      <c r="BP264" s="137"/>
      <c r="BQ264" s="172"/>
      <c r="BR264" s="173"/>
      <c r="BS264" s="174"/>
      <c r="BT264" s="173"/>
      <c r="BU264" s="173"/>
      <c r="BV264" s="175"/>
      <c r="BW264" s="88"/>
      <c r="FH264" s="50"/>
      <c r="FI264" s="47"/>
      <c r="FJ264" s="47"/>
      <c r="FK264" s="47"/>
      <c r="FL264" s="47"/>
    </row>
    <row r="265" spans="2:168" ht="11.25" customHeight="1">
      <c r="B265" s="137"/>
      <c r="C265" s="134"/>
      <c r="D265" s="372"/>
      <c r="E265" s="373"/>
      <c r="F265" s="374"/>
      <c r="G265" s="373"/>
      <c r="H265" s="373"/>
      <c r="I265" s="375"/>
      <c r="J265" s="88"/>
      <c r="AX265" s="137"/>
      <c r="AY265" s="172"/>
      <c r="AZ265" s="173"/>
      <c r="BA265" s="174"/>
      <c r="BB265" s="173"/>
      <c r="BC265" s="173"/>
      <c r="BD265" s="175"/>
      <c r="BE265" s="88"/>
      <c r="BG265" s="137"/>
      <c r="BH265" s="172"/>
      <c r="BI265" s="173"/>
      <c r="BJ265" s="174"/>
      <c r="BK265" s="173"/>
      <c r="BL265" s="173"/>
      <c r="BM265" s="175"/>
      <c r="BN265" s="88"/>
      <c r="BP265" s="137"/>
      <c r="BQ265" s="172"/>
      <c r="BR265" s="173"/>
      <c r="BS265" s="174"/>
      <c r="BT265" s="173"/>
      <c r="BU265" s="173"/>
      <c r="BV265" s="175"/>
      <c r="BW265" s="88"/>
      <c r="FH265" s="50"/>
      <c r="FI265" s="47"/>
      <c r="FJ265" s="47"/>
      <c r="FK265" s="47"/>
      <c r="FL265" s="47"/>
    </row>
    <row r="266" spans="2:168" ht="11.25" customHeight="1">
      <c r="B266" s="137"/>
      <c r="C266" s="134"/>
      <c r="D266" s="372"/>
      <c r="E266" s="373"/>
      <c r="F266" s="374"/>
      <c r="G266" s="373"/>
      <c r="H266" s="373"/>
      <c r="I266" s="375"/>
      <c r="J266" s="88"/>
      <c r="AX266" s="137"/>
      <c r="AY266" s="172"/>
      <c r="AZ266" s="173"/>
      <c r="BA266" s="174"/>
      <c r="BB266" s="173"/>
      <c r="BC266" s="173"/>
      <c r="BD266" s="175"/>
      <c r="BE266" s="88"/>
      <c r="BG266" s="137"/>
      <c r="BH266" s="172"/>
      <c r="BI266" s="173"/>
      <c r="BJ266" s="174"/>
      <c r="BK266" s="173"/>
      <c r="BL266" s="173"/>
      <c r="BM266" s="175"/>
      <c r="BN266" s="88"/>
      <c r="BP266" s="137"/>
      <c r="BQ266" s="172"/>
      <c r="BR266" s="173"/>
      <c r="BS266" s="174"/>
      <c r="BT266" s="173"/>
      <c r="BU266" s="173"/>
      <c r="BV266" s="175"/>
      <c r="BW266" s="88"/>
      <c r="FH266" s="50"/>
      <c r="FI266" s="47"/>
      <c r="FJ266" s="47"/>
      <c r="FK266" s="47"/>
      <c r="FL266" s="47"/>
    </row>
    <row r="267" spans="2:168" ht="11.25" customHeight="1">
      <c r="B267" s="137"/>
      <c r="C267" s="134"/>
      <c r="D267" s="372"/>
      <c r="E267" s="373"/>
      <c r="F267" s="374"/>
      <c r="G267" s="373"/>
      <c r="H267" s="373"/>
      <c r="I267" s="375"/>
      <c r="J267" s="88"/>
      <c r="AX267" s="137"/>
      <c r="AY267" s="172"/>
      <c r="AZ267" s="173"/>
      <c r="BA267" s="174"/>
      <c r="BB267" s="173"/>
      <c r="BC267" s="173"/>
      <c r="BD267" s="175"/>
      <c r="BE267" s="88"/>
      <c r="BG267" s="137"/>
      <c r="BH267" s="172"/>
      <c r="BI267" s="173"/>
      <c r="BJ267" s="174"/>
      <c r="BK267" s="173"/>
      <c r="BL267" s="173"/>
      <c r="BM267" s="175"/>
      <c r="BN267" s="88"/>
      <c r="BP267" s="137"/>
      <c r="BQ267" s="172"/>
      <c r="BR267" s="173"/>
      <c r="BS267" s="174"/>
      <c r="BT267" s="173"/>
      <c r="BU267" s="173"/>
      <c r="BV267" s="175"/>
      <c r="BW267" s="88"/>
      <c r="FH267" s="50"/>
      <c r="FI267" s="47"/>
      <c r="FJ267" s="47"/>
      <c r="FK267" s="47"/>
      <c r="FL267" s="47"/>
    </row>
    <row r="268" spans="2:168" ht="11.25" customHeight="1">
      <c r="B268" s="137"/>
      <c r="C268" s="134"/>
      <c r="D268" s="372"/>
      <c r="E268" s="373"/>
      <c r="F268" s="374"/>
      <c r="G268" s="373"/>
      <c r="H268" s="373"/>
      <c r="I268" s="375"/>
      <c r="J268" s="88"/>
      <c r="AX268" s="137"/>
      <c r="AY268" s="172"/>
      <c r="AZ268" s="173"/>
      <c r="BA268" s="174"/>
      <c r="BB268" s="173"/>
      <c r="BC268" s="173"/>
      <c r="BD268" s="175"/>
      <c r="BE268" s="88"/>
      <c r="BG268" s="137"/>
      <c r="BH268" s="172"/>
      <c r="BI268" s="173"/>
      <c r="BJ268" s="174"/>
      <c r="BK268" s="173"/>
      <c r="BL268" s="173"/>
      <c r="BM268" s="175"/>
      <c r="BN268" s="88"/>
      <c r="BP268" s="137"/>
      <c r="BQ268" s="172"/>
      <c r="BR268" s="173"/>
      <c r="BS268" s="174"/>
      <c r="BT268" s="173"/>
      <c r="BU268" s="173"/>
      <c r="BV268" s="175"/>
      <c r="BW268" s="88"/>
      <c r="FH268" s="50"/>
      <c r="FI268" s="47"/>
      <c r="FJ268" s="47"/>
      <c r="FK268" s="47"/>
      <c r="FL268" s="47"/>
    </row>
    <row r="269" spans="2:168" ht="11.25" customHeight="1">
      <c r="B269" s="137"/>
      <c r="C269" s="134"/>
      <c r="D269" s="372"/>
      <c r="E269" s="373"/>
      <c r="F269" s="374"/>
      <c r="G269" s="373"/>
      <c r="H269" s="373"/>
      <c r="I269" s="375"/>
      <c r="J269" s="88"/>
      <c r="AX269" s="137"/>
      <c r="AY269" s="172"/>
      <c r="AZ269" s="173"/>
      <c r="BA269" s="174"/>
      <c r="BB269" s="173"/>
      <c r="BC269" s="173"/>
      <c r="BD269" s="175"/>
      <c r="BE269" s="88"/>
      <c r="BG269" s="137"/>
      <c r="BH269" s="172"/>
      <c r="BI269" s="173"/>
      <c r="BJ269" s="174"/>
      <c r="BK269" s="173"/>
      <c r="BL269" s="173"/>
      <c r="BM269" s="175"/>
      <c r="BN269" s="88"/>
      <c r="BP269" s="137"/>
      <c r="BQ269" s="172"/>
      <c r="BR269" s="173"/>
      <c r="BS269" s="174"/>
      <c r="BT269" s="173"/>
      <c r="BU269" s="173"/>
      <c r="BV269" s="175"/>
      <c r="BW269" s="88"/>
      <c r="FH269" s="50"/>
      <c r="FI269" s="47"/>
      <c r="FJ269" s="47"/>
      <c r="FK269" s="47"/>
      <c r="FL269" s="47"/>
    </row>
    <row r="270" spans="2:168" ht="11.25" customHeight="1">
      <c r="B270" s="137"/>
      <c r="C270" s="134"/>
      <c r="D270" s="372"/>
      <c r="E270" s="373"/>
      <c r="F270" s="374"/>
      <c r="G270" s="373"/>
      <c r="H270" s="373"/>
      <c r="I270" s="375"/>
      <c r="J270" s="88"/>
      <c r="AX270" s="137"/>
      <c r="AY270" s="172"/>
      <c r="AZ270" s="173"/>
      <c r="BA270" s="174"/>
      <c r="BB270" s="173"/>
      <c r="BC270" s="173"/>
      <c r="BD270" s="175"/>
      <c r="BE270" s="88"/>
      <c r="BG270" s="137"/>
      <c r="BH270" s="172"/>
      <c r="BI270" s="173"/>
      <c r="BJ270" s="174"/>
      <c r="BK270" s="173"/>
      <c r="BL270" s="173"/>
      <c r="BM270" s="175"/>
      <c r="BN270" s="88"/>
      <c r="BP270" s="137"/>
      <c r="BQ270" s="172"/>
      <c r="BR270" s="173"/>
      <c r="BS270" s="174"/>
      <c r="BT270" s="173"/>
      <c r="BU270" s="173"/>
      <c r="BV270" s="175"/>
      <c r="BW270" s="88"/>
      <c r="FH270" s="50"/>
      <c r="FI270" s="47"/>
      <c r="FJ270" s="47"/>
      <c r="FK270" s="47"/>
      <c r="FL270" s="47"/>
    </row>
    <row r="271" spans="2:168" ht="11.25" customHeight="1">
      <c r="B271" s="137"/>
      <c r="C271" s="134"/>
      <c r="D271" s="372"/>
      <c r="E271" s="373"/>
      <c r="F271" s="374"/>
      <c r="G271" s="373"/>
      <c r="H271" s="373"/>
      <c r="I271" s="375"/>
      <c r="J271" s="88"/>
      <c r="AX271" s="137"/>
      <c r="AY271" s="172"/>
      <c r="AZ271" s="173"/>
      <c r="BA271" s="174"/>
      <c r="BB271" s="173"/>
      <c r="BC271" s="173"/>
      <c r="BD271" s="175"/>
      <c r="BE271" s="88"/>
      <c r="BG271" s="137"/>
      <c r="BH271" s="172"/>
      <c r="BI271" s="173"/>
      <c r="BJ271" s="174"/>
      <c r="BK271" s="173"/>
      <c r="BL271" s="173"/>
      <c r="BM271" s="175"/>
      <c r="BN271" s="88"/>
      <c r="BP271" s="137"/>
      <c r="BQ271" s="172"/>
      <c r="BR271" s="173"/>
      <c r="BS271" s="174"/>
      <c r="BT271" s="173"/>
      <c r="BU271" s="173"/>
      <c r="BV271" s="175"/>
      <c r="BW271" s="88"/>
      <c r="FH271" s="50"/>
      <c r="FI271" s="47"/>
      <c r="FJ271" s="47"/>
      <c r="FK271" s="47"/>
      <c r="FL271" s="47"/>
    </row>
    <row r="272" spans="2:168" ht="11.25" customHeight="1">
      <c r="B272" s="137"/>
      <c r="C272" s="134"/>
      <c r="D272" s="372"/>
      <c r="E272" s="373"/>
      <c r="F272" s="374"/>
      <c r="G272" s="373"/>
      <c r="H272" s="373"/>
      <c r="I272" s="375"/>
      <c r="J272" s="88"/>
      <c r="AX272" s="137"/>
      <c r="AY272" s="172"/>
      <c r="AZ272" s="173"/>
      <c r="BA272" s="174"/>
      <c r="BB272" s="173"/>
      <c r="BC272" s="173"/>
      <c r="BD272" s="175"/>
      <c r="BE272" s="88"/>
      <c r="BG272" s="137"/>
      <c r="BH272" s="172"/>
      <c r="BI272" s="173"/>
      <c r="BJ272" s="174"/>
      <c r="BK272" s="173"/>
      <c r="BL272" s="173"/>
      <c r="BM272" s="175"/>
      <c r="BN272" s="88"/>
      <c r="BP272" s="137"/>
      <c r="BQ272" s="172"/>
      <c r="BR272" s="173"/>
      <c r="BS272" s="174"/>
      <c r="BT272" s="173"/>
      <c r="BU272" s="173"/>
      <c r="BV272" s="175"/>
      <c r="BW272" s="88"/>
      <c r="FH272" s="50"/>
      <c r="FI272" s="47"/>
      <c r="FJ272" s="47"/>
      <c r="FK272" s="47"/>
      <c r="FL272" s="47"/>
    </row>
    <row r="273" spans="2:168" ht="11.25" customHeight="1">
      <c r="B273" s="137"/>
      <c r="C273" s="134"/>
      <c r="D273" s="372"/>
      <c r="E273" s="373"/>
      <c r="F273" s="374"/>
      <c r="G273" s="373"/>
      <c r="H273" s="373"/>
      <c r="I273" s="375"/>
      <c r="J273" s="88"/>
      <c r="AX273" s="137"/>
      <c r="AY273" s="172"/>
      <c r="AZ273" s="173"/>
      <c r="BA273" s="174"/>
      <c r="BB273" s="173"/>
      <c r="BC273" s="173"/>
      <c r="BD273" s="175"/>
      <c r="BE273" s="88"/>
      <c r="BG273" s="137"/>
      <c r="BH273" s="172"/>
      <c r="BI273" s="173"/>
      <c r="BJ273" s="174"/>
      <c r="BK273" s="173"/>
      <c r="BL273" s="173"/>
      <c r="BM273" s="175"/>
      <c r="BN273" s="88"/>
      <c r="BP273" s="137"/>
      <c r="BQ273" s="172"/>
      <c r="BR273" s="173"/>
      <c r="BS273" s="174"/>
      <c r="BT273" s="173"/>
      <c r="BU273" s="173"/>
      <c r="BV273" s="175"/>
      <c r="BW273" s="88"/>
      <c r="FH273" s="50"/>
      <c r="FI273" s="47"/>
      <c r="FJ273" s="47"/>
      <c r="FK273" s="47"/>
      <c r="FL273" s="47"/>
    </row>
    <row r="274" spans="2:168" ht="11.25" customHeight="1">
      <c r="B274" s="137"/>
      <c r="C274" s="134"/>
      <c r="D274" s="372"/>
      <c r="E274" s="373"/>
      <c r="F274" s="374"/>
      <c r="G274" s="373"/>
      <c r="H274" s="373"/>
      <c r="I274" s="375"/>
      <c r="J274" s="88"/>
      <c r="AX274" s="137"/>
      <c r="AY274" s="172"/>
      <c r="AZ274" s="173"/>
      <c r="BA274" s="174"/>
      <c r="BB274" s="173"/>
      <c r="BC274" s="173"/>
      <c r="BD274" s="175"/>
      <c r="BE274" s="88"/>
      <c r="BG274" s="137"/>
      <c r="BH274" s="172"/>
      <c r="BI274" s="173"/>
      <c r="BJ274" s="174"/>
      <c r="BK274" s="173"/>
      <c r="BL274" s="173"/>
      <c r="BM274" s="175"/>
      <c r="BN274" s="88"/>
      <c r="BP274" s="137"/>
      <c r="BQ274" s="172"/>
      <c r="BR274" s="173"/>
      <c r="BS274" s="174"/>
      <c r="BT274" s="173"/>
      <c r="BU274" s="173"/>
      <c r="BV274" s="175"/>
      <c r="BW274" s="88"/>
      <c r="FH274" s="50"/>
      <c r="FI274" s="47"/>
      <c r="FJ274" s="47"/>
      <c r="FK274" s="47"/>
      <c r="FL274" s="47"/>
    </row>
    <row r="275" spans="2:168" ht="11.25" customHeight="1">
      <c r="B275" s="137"/>
      <c r="C275" s="134"/>
      <c r="D275" s="372"/>
      <c r="E275" s="373"/>
      <c r="F275" s="374"/>
      <c r="G275" s="373"/>
      <c r="H275" s="373"/>
      <c r="I275" s="375"/>
      <c r="J275" s="88"/>
      <c r="AX275" s="137"/>
      <c r="AY275" s="172"/>
      <c r="AZ275" s="173"/>
      <c r="BA275" s="174"/>
      <c r="BB275" s="173"/>
      <c r="BC275" s="173"/>
      <c r="BD275" s="175"/>
      <c r="BE275" s="88"/>
      <c r="BG275" s="137"/>
      <c r="BH275" s="172"/>
      <c r="BI275" s="173"/>
      <c r="BJ275" s="174"/>
      <c r="BK275" s="173"/>
      <c r="BL275" s="173"/>
      <c r="BM275" s="175"/>
      <c r="BN275" s="88"/>
      <c r="BP275" s="137"/>
      <c r="BQ275" s="172"/>
      <c r="BR275" s="173"/>
      <c r="BS275" s="174"/>
      <c r="BT275" s="173"/>
      <c r="BU275" s="173"/>
      <c r="BV275" s="175"/>
      <c r="BW275" s="88"/>
      <c r="FH275" s="50"/>
      <c r="FI275" s="47"/>
      <c r="FJ275" s="47"/>
      <c r="FK275" s="47"/>
      <c r="FL275" s="47"/>
    </row>
    <row r="276" spans="2:168" ht="11.25" customHeight="1">
      <c r="B276" s="137"/>
      <c r="C276" s="134"/>
      <c r="D276" s="372"/>
      <c r="E276" s="373"/>
      <c r="F276" s="374"/>
      <c r="G276" s="373"/>
      <c r="H276" s="373"/>
      <c r="I276" s="375"/>
      <c r="J276" s="88"/>
      <c r="AX276" s="137"/>
      <c r="AY276" s="172"/>
      <c r="AZ276" s="173"/>
      <c r="BA276" s="174"/>
      <c r="BB276" s="173"/>
      <c r="BC276" s="173"/>
      <c r="BD276" s="175"/>
      <c r="BE276" s="88"/>
      <c r="BG276" s="137"/>
      <c r="BH276" s="172"/>
      <c r="BI276" s="173"/>
      <c r="BJ276" s="174"/>
      <c r="BK276" s="173"/>
      <c r="BL276" s="173"/>
      <c r="BM276" s="175"/>
      <c r="BN276" s="88"/>
      <c r="BP276" s="137"/>
      <c r="BQ276" s="172"/>
      <c r="BR276" s="173"/>
      <c r="BS276" s="174"/>
      <c r="BT276" s="173"/>
      <c r="BU276" s="173"/>
      <c r="BV276" s="175"/>
      <c r="BW276" s="88"/>
      <c r="FH276" s="50"/>
      <c r="FI276" s="47"/>
      <c r="FJ276" s="47"/>
      <c r="FK276" s="47"/>
      <c r="FL276" s="47"/>
    </row>
    <row r="277" spans="2:168" ht="11.25" customHeight="1">
      <c r="B277" s="137"/>
      <c r="C277" s="134"/>
      <c r="D277" s="372"/>
      <c r="E277" s="373"/>
      <c r="F277" s="374"/>
      <c r="G277" s="373"/>
      <c r="H277" s="373"/>
      <c r="I277" s="375"/>
      <c r="J277" s="88"/>
      <c r="AX277" s="137"/>
      <c r="AY277" s="172"/>
      <c r="AZ277" s="173"/>
      <c r="BA277" s="174"/>
      <c r="BB277" s="173"/>
      <c r="BC277" s="173"/>
      <c r="BD277" s="175"/>
      <c r="BE277" s="88"/>
      <c r="BG277" s="137"/>
      <c r="BH277" s="172"/>
      <c r="BI277" s="173"/>
      <c r="BJ277" s="174"/>
      <c r="BK277" s="173"/>
      <c r="BL277" s="173"/>
      <c r="BM277" s="175"/>
      <c r="BN277" s="88"/>
      <c r="BP277" s="137"/>
      <c r="BQ277" s="172"/>
      <c r="BR277" s="173"/>
      <c r="BS277" s="174"/>
      <c r="BT277" s="173"/>
      <c r="BU277" s="173"/>
      <c r="BV277" s="175"/>
      <c r="BW277" s="88"/>
      <c r="FH277" s="50"/>
      <c r="FI277" s="47"/>
      <c r="FJ277" s="47"/>
      <c r="FK277" s="47"/>
      <c r="FL277" s="47"/>
    </row>
    <row r="278" spans="2:168" ht="11.25" customHeight="1">
      <c r="B278" s="137"/>
      <c r="C278" s="134"/>
      <c r="D278" s="372"/>
      <c r="E278" s="373"/>
      <c r="F278" s="374"/>
      <c r="G278" s="373"/>
      <c r="H278" s="373"/>
      <c r="I278" s="375"/>
      <c r="J278" s="88"/>
      <c r="AX278" s="137"/>
      <c r="AY278" s="172"/>
      <c r="AZ278" s="173"/>
      <c r="BA278" s="174"/>
      <c r="BB278" s="173"/>
      <c r="BC278" s="173"/>
      <c r="BD278" s="175"/>
      <c r="BE278" s="88"/>
      <c r="BG278" s="137"/>
      <c r="BH278" s="172"/>
      <c r="BI278" s="173"/>
      <c r="BJ278" s="174"/>
      <c r="BK278" s="173"/>
      <c r="BL278" s="173"/>
      <c r="BM278" s="175"/>
      <c r="BN278" s="88"/>
      <c r="BP278" s="137"/>
      <c r="BQ278" s="172"/>
      <c r="BR278" s="173"/>
      <c r="BS278" s="174"/>
      <c r="BT278" s="173"/>
      <c r="BU278" s="173"/>
      <c r="BV278" s="175"/>
      <c r="BW278" s="88"/>
      <c r="FH278" s="50"/>
      <c r="FI278" s="47"/>
      <c r="FJ278" s="47"/>
      <c r="FK278" s="47"/>
      <c r="FL278" s="47"/>
    </row>
    <row r="279" spans="2:168" ht="11.25" customHeight="1">
      <c r="B279" s="137"/>
      <c r="C279" s="134"/>
      <c r="D279" s="372"/>
      <c r="E279" s="373"/>
      <c r="F279" s="374"/>
      <c r="G279" s="373"/>
      <c r="H279" s="373"/>
      <c r="I279" s="375"/>
      <c r="J279" s="88"/>
      <c r="AX279" s="137"/>
      <c r="AY279" s="172"/>
      <c r="AZ279" s="173"/>
      <c r="BA279" s="174"/>
      <c r="BB279" s="173"/>
      <c r="BC279" s="173"/>
      <c r="BD279" s="175"/>
      <c r="BE279" s="88"/>
      <c r="BG279" s="137"/>
      <c r="BH279" s="172"/>
      <c r="BI279" s="173"/>
      <c r="BJ279" s="174"/>
      <c r="BK279" s="173"/>
      <c r="BL279" s="173"/>
      <c r="BM279" s="175"/>
      <c r="BN279" s="88"/>
      <c r="BP279" s="137"/>
      <c r="BQ279" s="172"/>
      <c r="BR279" s="173"/>
      <c r="BS279" s="174"/>
      <c r="BT279" s="173"/>
      <c r="BU279" s="173"/>
      <c r="BV279" s="175"/>
      <c r="BW279" s="88"/>
      <c r="FH279" s="50"/>
      <c r="FI279" s="47"/>
      <c r="FJ279" s="47"/>
      <c r="FK279" s="47"/>
      <c r="FL279" s="47"/>
    </row>
    <row r="280" spans="2:168" ht="11.25" customHeight="1">
      <c r="B280" s="137"/>
      <c r="C280" s="134"/>
      <c r="D280" s="372"/>
      <c r="E280" s="373"/>
      <c r="F280" s="374"/>
      <c r="G280" s="373"/>
      <c r="H280" s="373"/>
      <c r="I280" s="375"/>
      <c r="J280" s="88"/>
      <c r="AX280" s="137"/>
      <c r="AY280" s="172"/>
      <c r="AZ280" s="173"/>
      <c r="BA280" s="174"/>
      <c r="BB280" s="173"/>
      <c r="BC280" s="173"/>
      <c r="BD280" s="175"/>
      <c r="BE280" s="88"/>
      <c r="BG280" s="137"/>
      <c r="BH280" s="172"/>
      <c r="BI280" s="173"/>
      <c r="BJ280" s="174"/>
      <c r="BK280" s="173"/>
      <c r="BL280" s="173"/>
      <c r="BM280" s="175"/>
      <c r="BN280" s="88"/>
      <c r="BP280" s="137"/>
      <c r="BQ280" s="172"/>
      <c r="BR280" s="173"/>
      <c r="BS280" s="174"/>
      <c r="BT280" s="173"/>
      <c r="BU280" s="173"/>
      <c r="BV280" s="175"/>
      <c r="BW280" s="88"/>
      <c r="FH280" s="50"/>
      <c r="FI280" s="47"/>
      <c r="FJ280" s="47"/>
      <c r="FK280" s="47"/>
      <c r="FL280" s="47"/>
    </row>
    <row r="281" spans="2:168" ht="11.25" customHeight="1">
      <c r="B281" s="137"/>
      <c r="C281" s="134"/>
      <c r="D281" s="372"/>
      <c r="E281" s="373"/>
      <c r="F281" s="374"/>
      <c r="G281" s="373"/>
      <c r="H281" s="373"/>
      <c r="I281" s="375"/>
      <c r="J281" s="88"/>
      <c r="AX281" s="137"/>
      <c r="AY281" s="172"/>
      <c r="AZ281" s="173"/>
      <c r="BA281" s="174"/>
      <c r="BB281" s="173"/>
      <c r="BC281" s="173"/>
      <c r="BD281" s="175"/>
      <c r="BE281" s="88"/>
      <c r="BG281" s="137"/>
      <c r="BH281" s="172"/>
      <c r="BI281" s="173"/>
      <c r="BJ281" s="174"/>
      <c r="BK281" s="173"/>
      <c r="BL281" s="173"/>
      <c r="BM281" s="175"/>
      <c r="BN281" s="88"/>
      <c r="BP281" s="137"/>
      <c r="BQ281" s="172"/>
      <c r="BR281" s="173"/>
      <c r="BS281" s="174"/>
      <c r="BT281" s="173"/>
      <c r="BU281" s="173"/>
      <c r="BV281" s="175"/>
      <c r="BW281" s="88"/>
      <c r="FH281" s="50"/>
      <c r="FI281" s="47"/>
      <c r="FJ281" s="47"/>
      <c r="FK281" s="47"/>
      <c r="FL281" s="47"/>
    </row>
    <row r="282" spans="2:168" ht="11.25" customHeight="1">
      <c r="B282" s="137"/>
      <c r="C282" s="134"/>
      <c r="D282" s="372"/>
      <c r="E282" s="373"/>
      <c r="F282" s="374"/>
      <c r="G282" s="373"/>
      <c r="H282" s="373"/>
      <c r="I282" s="375"/>
      <c r="J282" s="88"/>
      <c r="AX282" s="137"/>
      <c r="AY282" s="172"/>
      <c r="AZ282" s="173"/>
      <c r="BA282" s="174"/>
      <c r="BB282" s="173"/>
      <c r="BC282" s="173"/>
      <c r="BD282" s="175"/>
      <c r="BE282" s="88"/>
      <c r="BG282" s="137"/>
      <c r="BH282" s="172"/>
      <c r="BI282" s="173"/>
      <c r="BJ282" s="174"/>
      <c r="BK282" s="173"/>
      <c r="BL282" s="173"/>
      <c r="BM282" s="175"/>
      <c r="BN282" s="88"/>
      <c r="BP282" s="137"/>
      <c r="BQ282" s="172"/>
      <c r="BR282" s="173"/>
      <c r="BS282" s="174"/>
      <c r="BT282" s="173"/>
      <c r="BU282" s="173"/>
      <c r="BV282" s="175"/>
      <c r="BW282" s="88"/>
      <c r="FH282" s="50"/>
      <c r="FI282" s="47"/>
      <c r="FJ282" s="47"/>
      <c r="FK282" s="47"/>
      <c r="FL282" s="47"/>
    </row>
    <row r="283" spans="2:168" ht="11.25" customHeight="1">
      <c r="B283" s="137"/>
      <c r="C283" s="134"/>
      <c r="D283" s="372"/>
      <c r="E283" s="373"/>
      <c r="F283" s="374"/>
      <c r="G283" s="373"/>
      <c r="H283" s="373"/>
      <c r="I283" s="375"/>
      <c r="J283" s="88"/>
      <c r="AX283" s="137"/>
      <c r="AY283" s="172"/>
      <c r="AZ283" s="173"/>
      <c r="BA283" s="174"/>
      <c r="BB283" s="173"/>
      <c r="BC283" s="173"/>
      <c r="BD283" s="175"/>
      <c r="BE283" s="88"/>
      <c r="BG283" s="137"/>
      <c r="BH283" s="172"/>
      <c r="BI283" s="173"/>
      <c r="BJ283" s="174"/>
      <c r="BK283" s="173"/>
      <c r="BL283" s="173"/>
      <c r="BM283" s="175"/>
      <c r="BN283" s="88"/>
      <c r="BP283" s="137"/>
      <c r="BQ283" s="172"/>
      <c r="BR283" s="173"/>
      <c r="BS283" s="174"/>
      <c r="BT283" s="173"/>
      <c r="BU283" s="173"/>
      <c r="BV283" s="175"/>
      <c r="BW283" s="88"/>
      <c r="FH283" s="50"/>
      <c r="FI283" s="47"/>
      <c r="FJ283" s="47"/>
      <c r="FK283" s="47"/>
      <c r="FL283" s="47"/>
    </row>
    <row r="284" spans="2:168" ht="11.25" customHeight="1">
      <c r="B284" s="137"/>
      <c r="C284" s="134"/>
      <c r="D284" s="372"/>
      <c r="E284" s="373"/>
      <c r="F284" s="374"/>
      <c r="G284" s="373"/>
      <c r="H284" s="373"/>
      <c r="I284" s="375"/>
      <c r="J284" s="88"/>
      <c r="AX284" s="137"/>
      <c r="AY284" s="172"/>
      <c r="AZ284" s="173"/>
      <c r="BA284" s="174"/>
      <c r="BB284" s="173"/>
      <c r="BC284" s="173"/>
      <c r="BD284" s="175"/>
      <c r="BE284" s="88"/>
      <c r="BG284" s="137"/>
      <c r="BH284" s="172"/>
      <c r="BI284" s="173"/>
      <c r="BJ284" s="174"/>
      <c r="BK284" s="173"/>
      <c r="BL284" s="173"/>
      <c r="BM284" s="175"/>
      <c r="BN284" s="88"/>
      <c r="BP284" s="137"/>
      <c r="BQ284" s="172"/>
      <c r="BR284" s="173"/>
      <c r="BS284" s="174"/>
      <c r="BT284" s="173"/>
      <c r="BU284" s="173"/>
      <c r="BV284" s="175"/>
      <c r="BW284" s="88"/>
      <c r="FH284" s="50"/>
      <c r="FI284" s="47"/>
      <c r="FJ284" s="47"/>
      <c r="FK284" s="47"/>
      <c r="FL284" s="47"/>
    </row>
    <row r="285" spans="2:168" ht="11.25" customHeight="1">
      <c r="B285" s="137"/>
      <c r="C285" s="134"/>
      <c r="D285" s="372"/>
      <c r="E285" s="373"/>
      <c r="F285" s="374"/>
      <c r="G285" s="373"/>
      <c r="H285" s="373"/>
      <c r="I285" s="375"/>
      <c r="J285" s="88"/>
      <c r="AX285" s="137"/>
      <c r="AY285" s="172"/>
      <c r="AZ285" s="173"/>
      <c r="BA285" s="174"/>
      <c r="BB285" s="173"/>
      <c r="BC285" s="173"/>
      <c r="BD285" s="175"/>
      <c r="BE285" s="88"/>
      <c r="BG285" s="137"/>
      <c r="BH285" s="172"/>
      <c r="BI285" s="173"/>
      <c r="BJ285" s="174"/>
      <c r="BK285" s="173"/>
      <c r="BL285" s="173"/>
      <c r="BM285" s="175"/>
      <c r="BN285" s="88"/>
      <c r="BP285" s="137"/>
      <c r="BQ285" s="172"/>
      <c r="BR285" s="173"/>
      <c r="BS285" s="174"/>
      <c r="BT285" s="173"/>
      <c r="BU285" s="173"/>
      <c r="BV285" s="175"/>
      <c r="BW285" s="88"/>
      <c r="FH285" s="50"/>
      <c r="FI285" s="47"/>
      <c r="FJ285" s="47"/>
      <c r="FK285" s="47"/>
      <c r="FL285" s="47"/>
    </row>
    <row r="286" spans="2:168" ht="11.25" customHeight="1">
      <c r="B286" s="137"/>
      <c r="C286" s="134"/>
      <c r="D286" s="372"/>
      <c r="E286" s="373"/>
      <c r="F286" s="374"/>
      <c r="G286" s="373"/>
      <c r="H286" s="373"/>
      <c r="I286" s="375"/>
      <c r="J286" s="88"/>
      <c r="AX286" s="137"/>
      <c r="AY286" s="172"/>
      <c r="AZ286" s="173"/>
      <c r="BA286" s="174"/>
      <c r="BB286" s="173"/>
      <c r="BC286" s="173"/>
      <c r="BD286" s="175"/>
      <c r="BE286" s="88"/>
      <c r="BG286" s="137"/>
      <c r="BH286" s="172"/>
      <c r="BI286" s="173"/>
      <c r="BJ286" s="174"/>
      <c r="BK286" s="173"/>
      <c r="BL286" s="173"/>
      <c r="BM286" s="175"/>
      <c r="BN286" s="88"/>
      <c r="BP286" s="137"/>
      <c r="BQ286" s="172"/>
      <c r="BR286" s="173"/>
      <c r="BS286" s="174"/>
      <c r="BT286" s="173"/>
      <c r="BU286" s="173"/>
      <c r="BV286" s="175"/>
      <c r="BW286" s="88"/>
      <c r="FH286" s="50"/>
      <c r="FI286" s="47"/>
      <c r="FJ286" s="47"/>
      <c r="FK286" s="47"/>
      <c r="FL286" s="47"/>
    </row>
    <row r="287" spans="2:168" ht="11.25" customHeight="1">
      <c r="B287" s="137"/>
      <c r="C287" s="134"/>
      <c r="D287" s="372"/>
      <c r="E287" s="373"/>
      <c r="F287" s="374"/>
      <c r="G287" s="373"/>
      <c r="H287" s="373"/>
      <c r="I287" s="375"/>
      <c r="J287" s="88"/>
      <c r="AX287" s="137"/>
      <c r="AY287" s="172"/>
      <c r="AZ287" s="173"/>
      <c r="BA287" s="174"/>
      <c r="BB287" s="173"/>
      <c r="BC287" s="173"/>
      <c r="BD287" s="175"/>
      <c r="BE287" s="88"/>
      <c r="BG287" s="137"/>
      <c r="BH287" s="172"/>
      <c r="BI287" s="173"/>
      <c r="BJ287" s="174"/>
      <c r="BK287" s="173"/>
      <c r="BL287" s="173"/>
      <c r="BM287" s="175"/>
      <c r="BN287" s="88"/>
      <c r="BP287" s="137"/>
      <c r="BQ287" s="172"/>
      <c r="BR287" s="173"/>
      <c r="BS287" s="174"/>
      <c r="BT287" s="173"/>
      <c r="BU287" s="173"/>
      <c r="BV287" s="175"/>
      <c r="BW287" s="88"/>
      <c r="FH287" s="50"/>
      <c r="FI287" s="47"/>
      <c r="FJ287" s="47"/>
      <c r="FK287" s="47"/>
      <c r="FL287" s="47"/>
    </row>
    <row r="288" spans="2:168" ht="11.25" customHeight="1">
      <c r="B288" s="137"/>
      <c r="C288" s="134"/>
      <c r="D288" s="372"/>
      <c r="E288" s="373"/>
      <c r="F288" s="374"/>
      <c r="G288" s="373"/>
      <c r="H288" s="373"/>
      <c r="I288" s="375"/>
      <c r="J288" s="88"/>
      <c r="AX288" s="137"/>
      <c r="AY288" s="172"/>
      <c r="AZ288" s="173"/>
      <c r="BA288" s="174"/>
      <c r="BB288" s="173"/>
      <c r="BC288" s="173"/>
      <c r="BD288" s="175"/>
      <c r="BE288" s="88"/>
      <c r="BG288" s="137"/>
      <c r="BH288" s="172"/>
      <c r="BI288" s="173"/>
      <c r="BJ288" s="174"/>
      <c r="BK288" s="173"/>
      <c r="BL288" s="173"/>
      <c r="BM288" s="175"/>
      <c r="BN288" s="88"/>
      <c r="BP288" s="137"/>
      <c r="BQ288" s="172"/>
      <c r="BR288" s="173"/>
      <c r="BS288" s="174"/>
      <c r="BT288" s="173"/>
      <c r="BU288" s="173"/>
      <c r="BV288" s="175"/>
      <c r="BW288" s="88"/>
      <c r="FH288" s="50"/>
      <c r="FI288" s="47"/>
      <c r="FJ288" s="47"/>
      <c r="FK288" s="47"/>
      <c r="FL288" s="47"/>
    </row>
    <row r="289" spans="2:168" ht="11.25" customHeight="1">
      <c r="B289" s="137"/>
      <c r="C289" s="134"/>
      <c r="D289" s="372"/>
      <c r="E289" s="373"/>
      <c r="F289" s="374"/>
      <c r="G289" s="373"/>
      <c r="H289" s="373"/>
      <c r="I289" s="375"/>
      <c r="J289" s="88"/>
      <c r="AX289" s="137"/>
      <c r="AY289" s="172"/>
      <c r="AZ289" s="173"/>
      <c r="BA289" s="174"/>
      <c r="BB289" s="173"/>
      <c r="BC289" s="173"/>
      <c r="BD289" s="175"/>
      <c r="BE289" s="88"/>
      <c r="BG289" s="137"/>
      <c r="BH289" s="172"/>
      <c r="BI289" s="173"/>
      <c r="BJ289" s="174"/>
      <c r="BK289" s="173"/>
      <c r="BL289" s="173"/>
      <c r="BM289" s="175"/>
      <c r="BN289" s="88"/>
      <c r="BP289" s="137"/>
      <c r="BQ289" s="172"/>
      <c r="BR289" s="173"/>
      <c r="BS289" s="174"/>
      <c r="BT289" s="173"/>
      <c r="BU289" s="173"/>
      <c r="BV289" s="175"/>
      <c r="BW289" s="88"/>
      <c r="FH289" s="50"/>
      <c r="FI289" s="47"/>
      <c r="FJ289" s="47"/>
      <c r="FK289" s="47"/>
      <c r="FL289" s="47"/>
    </row>
    <row r="290" spans="2:168" ht="11.25" customHeight="1">
      <c r="B290" s="137"/>
      <c r="C290" s="134"/>
      <c r="D290" s="372"/>
      <c r="E290" s="373"/>
      <c r="F290" s="374"/>
      <c r="G290" s="373"/>
      <c r="H290" s="373"/>
      <c r="I290" s="375"/>
      <c r="J290" s="88"/>
      <c r="AX290" s="137"/>
      <c r="AY290" s="172"/>
      <c r="AZ290" s="173"/>
      <c r="BA290" s="174"/>
      <c r="BB290" s="173"/>
      <c r="BC290" s="173"/>
      <c r="BD290" s="175"/>
      <c r="BE290" s="88"/>
      <c r="BG290" s="137"/>
      <c r="BH290" s="172"/>
      <c r="BI290" s="173"/>
      <c r="BJ290" s="174"/>
      <c r="BK290" s="173"/>
      <c r="BL290" s="173"/>
      <c r="BM290" s="175"/>
      <c r="BN290" s="88"/>
      <c r="BP290" s="137"/>
      <c r="BQ290" s="172"/>
      <c r="BR290" s="173"/>
      <c r="BS290" s="174"/>
      <c r="BT290" s="173"/>
      <c r="BU290" s="173"/>
      <c r="BV290" s="175"/>
      <c r="BW290" s="88"/>
      <c r="FH290" s="50"/>
      <c r="FI290" s="47"/>
      <c r="FJ290" s="47"/>
      <c r="FK290" s="47"/>
      <c r="FL290" s="47"/>
    </row>
    <row r="291" spans="2:168" ht="11.25" customHeight="1">
      <c r="B291" s="137"/>
      <c r="C291" s="134"/>
      <c r="D291" s="372"/>
      <c r="E291" s="373"/>
      <c r="F291" s="374"/>
      <c r="G291" s="373"/>
      <c r="H291" s="373"/>
      <c r="I291" s="375"/>
      <c r="J291" s="88"/>
      <c r="AX291" s="137"/>
      <c r="AY291" s="172"/>
      <c r="AZ291" s="173"/>
      <c r="BA291" s="174"/>
      <c r="BB291" s="173"/>
      <c r="BC291" s="173"/>
      <c r="BD291" s="175"/>
      <c r="BE291" s="88"/>
      <c r="BG291" s="137"/>
      <c r="BH291" s="172"/>
      <c r="BI291" s="173"/>
      <c r="BJ291" s="174"/>
      <c r="BK291" s="173"/>
      <c r="BL291" s="173"/>
      <c r="BM291" s="175"/>
      <c r="BN291" s="88"/>
      <c r="BP291" s="137"/>
      <c r="BQ291" s="172"/>
      <c r="BR291" s="173"/>
      <c r="BS291" s="174"/>
      <c r="BT291" s="173"/>
      <c r="BU291" s="173"/>
      <c r="BV291" s="175"/>
      <c r="BW291" s="88"/>
      <c r="FH291" s="50"/>
      <c r="FI291" s="47"/>
      <c r="FJ291" s="47"/>
      <c r="FK291" s="47"/>
      <c r="FL291" s="47"/>
    </row>
    <row r="292" spans="2:168" ht="11.25" customHeight="1">
      <c r="B292" s="137"/>
      <c r="C292" s="134"/>
      <c r="D292" s="372"/>
      <c r="E292" s="373"/>
      <c r="F292" s="374"/>
      <c r="G292" s="373"/>
      <c r="H292" s="373"/>
      <c r="I292" s="375"/>
      <c r="J292" s="88"/>
      <c r="AX292" s="137"/>
      <c r="AY292" s="172"/>
      <c r="AZ292" s="173"/>
      <c r="BA292" s="174"/>
      <c r="BB292" s="173"/>
      <c r="BC292" s="173"/>
      <c r="BD292" s="175"/>
      <c r="BE292" s="88"/>
      <c r="BG292" s="137"/>
      <c r="BH292" s="172"/>
      <c r="BI292" s="173"/>
      <c r="BJ292" s="174"/>
      <c r="BK292" s="173"/>
      <c r="BL292" s="173"/>
      <c r="BM292" s="175"/>
      <c r="BN292" s="88"/>
      <c r="BP292" s="137"/>
      <c r="BQ292" s="172"/>
      <c r="BR292" s="173"/>
      <c r="BS292" s="174"/>
      <c r="BT292" s="173"/>
      <c r="BU292" s="173"/>
      <c r="BV292" s="175"/>
      <c r="BW292" s="88"/>
      <c r="FH292" s="50"/>
      <c r="FI292" s="47"/>
      <c r="FJ292" s="47"/>
      <c r="FK292" s="47"/>
      <c r="FL292" s="47"/>
    </row>
    <row r="293" spans="2:168" ht="11.25" customHeight="1">
      <c r="B293" s="137"/>
      <c r="C293" s="134"/>
      <c r="D293" s="372"/>
      <c r="E293" s="373"/>
      <c r="F293" s="374"/>
      <c r="G293" s="373"/>
      <c r="H293" s="373"/>
      <c r="I293" s="375"/>
      <c r="J293" s="88"/>
      <c r="AX293" s="137"/>
      <c r="AY293" s="172"/>
      <c r="AZ293" s="173"/>
      <c r="BA293" s="174"/>
      <c r="BB293" s="173"/>
      <c r="BC293" s="173"/>
      <c r="BD293" s="175"/>
      <c r="BE293" s="88"/>
      <c r="BG293" s="137"/>
      <c r="BH293" s="172"/>
      <c r="BI293" s="173"/>
      <c r="BJ293" s="174"/>
      <c r="BK293" s="173"/>
      <c r="BL293" s="173"/>
      <c r="BM293" s="175"/>
      <c r="BN293" s="88"/>
      <c r="BP293" s="137"/>
      <c r="BQ293" s="172"/>
      <c r="BR293" s="173"/>
      <c r="BS293" s="174"/>
      <c r="BT293" s="173"/>
      <c r="BU293" s="173"/>
      <c r="BV293" s="175"/>
      <c r="BW293" s="88"/>
      <c r="FH293" s="50"/>
      <c r="FI293" s="47"/>
      <c r="FJ293" s="47"/>
      <c r="FK293" s="47"/>
      <c r="FL293" s="47"/>
    </row>
    <row r="294" spans="2:168" ht="11.25" customHeight="1">
      <c r="B294" s="137"/>
      <c r="C294" s="134"/>
      <c r="D294" s="372"/>
      <c r="E294" s="373"/>
      <c r="F294" s="374"/>
      <c r="G294" s="373"/>
      <c r="H294" s="373"/>
      <c r="I294" s="375"/>
      <c r="J294" s="88"/>
      <c r="AX294" s="137"/>
      <c r="AY294" s="172"/>
      <c r="AZ294" s="173"/>
      <c r="BA294" s="174"/>
      <c r="BB294" s="173"/>
      <c r="BC294" s="173"/>
      <c r="BD294" s="175"/>
      <c r="BE294" s="88"/>
      <c r="BG294" s="137"/>
      <c r="BH294" s="172"/>
      <c r="BI294" s="173"/>
      <c r="BJ294" s="174"/>
      <c r="BK294" s="173"/>
      <c r="BL294" s="173"/>
      <c r="BM294" s="175"/>
      <c r="BN294" s="88"/>
      <c r="BP294" s="137"/>
      <c r="BQ294" s="172"/>
      <c r="BR294" s="173"/>
      <c r="BS294" s="174"/>
      <c r="BT294" s="173"/>
      <c r="BU294" s="173"/>
      <c r="BV294" s="175"/>
      <c r="BW294" s="88"/>
      <c r="FH294" s="50"/>
      <c r="FI294" s="47"/>
      <c r="FJ294" s="47"/>
      <c r="FK294" s="47"/>
      <c r="FL294" s="47"/>
    </row>
    <row r="295" spans="2:168" ht="11.25" customHeight="1">
      <c r="B295" s="137"/>
      <c r="C295" s="134"/>
      <c r="D295" s="372"/>
      <c r="E295" s="373"/>
      <c r="F295" s="374"/>
      <c r="G295" s="373"/>
      <c r="H295" s="373"/>
      <c r="I295" s="375"/>
      <c r="J295" s="88"/>
      <c r="AX295" s="137"/>
      <c r="AY295" s="172"/>
      <c r="AZ295" s="173"/>
      <c r="BA295" s="174"/>
      <c r="BB295" s="173"/>
      <c r="BC295" s="173"/>
      <c r="BD295" s="175"/>
      <c r="BE295" s="88"/>
      <c r="BG295" s="137"/>
      <c r="BH295" s="172"/>
      <c r="BI295" s="173"/>
      <c r="BJ295" s="174"/>
      <c r="BK295" s="173"/>
      <c r="BL295" s="173"/>
      <c r="BM295" s="175"/>
      <c r="BN295" s="88"/>
      <c r="BP295" s="137"/>
      <c r="BQ295" s="172"/>
      <c r="BR295" s="173"/>
      <c r="BS295" s="174"/>
      <c r="BT295" s="173"/>
      <c r="BU295" s="173"/>
      <c r="BV295" s="175"/>
      <c r="BW295" s="88"/>
      <c r="FH295" s="50"/>
      <c r="FI295" s="47"/>
      <c r="FJ295" s="47"/>
      <c r="FK295" s="47"/>
      <c r="FL295" s="47"/>
    </row>
    <row r="296" spans="2:168" ht="11.25" customHeight="1">
      <c r="B296" s="137"/>
      <c r="C296" s="134"/>
      <c r="D296" s="372"/>
      <c r="E296" s="373"/>
      <c r="F296" s="374"/>
      <c r="G296" s="373"/>
      <c r="H296" s="373"/>
      <c r="I296" s="375"/>
      <c r="J296" s="88"/>
      <c r="AX296" s="137"/>
      <c r="AY296" s="172"/>
      <c r="AZ296" s="173"/>
      <c r="BA296" s="174"/>
      <c r="BB296" s="173"/>
      <c r="BC296" s="173"/>
      <c r="BD296" s="175"/>
      <c r="BE296" s="88"/>
      <c r="BG296" s="137"/>
      <c r="BH296" s="172"/>
      <c r="BI296" s="173"/>
      <c r="BJ296" s="174"/>
      <c r="BK296" s="173"/>
      <c r="BL296" s="173"/>
      <c r="BM296" s="175"/>
      <c r="BN296" s="88"/>
      <c r="BP296" s="137"/>
      <c r="BQ296" s="172"/>
      <c r="BR296" s="173"/>
      <c r="BS296" s="174"/>
      <c r="BT296" s="173"/>
      <c r="BU296" s="173"/>
      <c r="BV296" s="175"/>
      <c r="BW296" s="88"/>
      <c r="FH296" s="50"/>
      <c r="FI296" s="47"/>
      <c r="FJ296" s="47"/>
      <c r="FK296" s="47"/>
      <c r="FL296" s="47"/>
    </row>
    <row r="297" spans="2:168" ht="11.25" customHeight="1">
      <c r="B297" s="137"/>
      <c r="C297" s="134"/>
      <c r="D297" s="372"/>
      <c r="E297" s="373"/>
      <c r="F297" s="374"/>
      <c r="G297" s="373"/>
      <c r="H297" s="373"/>
      <c r="I297" s="375"/>
      <c r="J297" s="88"/>
      <c r="AX297" s="137"/>
      <c r="AY297" s="172"/>
      <c r="AZ297" s="173"/>
      <c r="BA297" s="174"/>
      <c r="BB297" s="173"/>
      <c r="BC297" s="173"/>
      <c r="BD297" s="175"/>
      <c r="BE297" s="88"/>
      <c r="BG297" s="137"/>
      <c r="BH297" s="172"/>
      <c r="BI297" s="173"/>
      <c r="BJ297" s="174"/>
      <c r="BK297" s="173"/>
      <c r="BL297" s="173"/>
      <c r="BM297" s="175"/>
      <c r="BN297" s="88"/>
      <c r="BP297" s="137"/>
      <c r="BQ297" s="172"/>
      <c r="BR297" s="173"/>
      <c r="BS297" s="174"/>
      <c r="BT297" s="173"/>
      <c r="BU297" s="173"/>
      <c r="BV297" s="175"/>
      <c r="BW297" s="88"/>
      <c r="FH297" s="50"/>
      <c r="FI297" s="47"/>
      <c r="FJ297" s="47"/>
      <c r="FK297" s="47"/>
      <c r="FL297" s="47"/>
    </row>
    <row r="298" spans="2:168" ht="11.25" customHeight="1">
      <c r="B298" s="137"/>
      <c r="C298" s="134"/>
      <c r="D298" s="372"/>
      <c r="E298" s="373"/>
      <c r="F298" s="374"/>
      <c r="G298" s="373"/>
      <c r="H298" s="373"/>
      <c r="I298" s="375"/>
      <c r="J298" s="88"/>
      <c r="AX298" s="137"/>
      <c r="AY298" s="172"/>
      <c r="AZ298" s="173"/>
      <c r="BA298" s="174"/>
      <c r="BB298" s="173"/>
      <c r="BC298" s="173"/>
      <c r="BD298" s="175"/>
      <c r="BE298" s="88"/>
      <c r="BG298" s="137"/>
      <c r="BH298" s="172"/>
      <c r="BI298" s="173"/>
      <c r="BJ298" s="174"/>
      <c r="BK298" s="173"/>
      <c r="BL298" s="173"/>
      <c r="BM298" s="175"/>
      <c r="BN298" s="88"/>
      <c r="BP298" s="137"/>
      <c r="BQ298" s="172"/>
      <c r="BR298" s="173"/>
      <c r="BS298" s="174"/>
      <c r="BT298" s="173"/>
      <c r="BU298" s="173"/>
      <c r="BV298" s="175"/>
      <c r="BW298" s="88"/>
      <c r="FH298" s="50"/>
      <c r="FI298" s="47"/>
      <c r="FJ298" s="47"/>
      <c r="FK298" s="47"/>
      <c r="FL298" s="47"/>
    </row>
    <row r="299" spans="2:168" ht="11.25" customHeight="1">
      <c r="B299" s="137"/>
      <c r="C299" s="134"/>
      <c r="D299" s="372"/>
      <c r="E299" s="373"/>
      <c r="F299" s="374"/>
      <c r="G299" s="373"/>
      <c r="H299" s="373"/>
      <c r="I299" s="375"/>
      <c r="J299" s="88"/>
      <c r="AX299" s="137"/>
      <c r="AY299" s="172"/>
      <c r="AZ299" s="173"/>
      <c r="BA299" s="174"/>
      <c r="BB299" s="173"/>
      <c r="BC299" s="173"/>
      <c r="BD299" s="175"/>
      <c r="BE299" s="88"/>
      <c r="BG299" s="137"/>
      <c r="BH299" s="172"/>
      <c r="BI299" s="173"/>
      <c r="BJ299" s="174"/>
      <c r="BK299" s="173"/>
      <c r="BL299" s="173"/>
      <c r="BM299" s="175"/>
      <c r="BN299" s="88"/>
      <c r="BP299" s="137"/>
      <c r="BQ299" s="172"/>
      <c r="BR299" s="173"/>
      <c r="BS299" s="174"/>
      <c r="BT299" s="173"/>
      <c r="BU299" s="173"/>
      <c r="BV299" s="175"/>
      <c r="BW299" s="88"/>
      <c r="FH299" s="50"/>
      <c r="FI299" s="47"/>
      <c r="FJ299" s="47"/>
      <c r="FK299" s="47"/>
      <c r="FL299" s="47"/>
    </row>
    <row r="300" spans="2:168" ht="11.25" customHeight="1">
      <c r="B300" s="137"/>
      <c r="C300" s="134"/>
      <c r="D300" s="372"/>
      <c r="E300" s="373"/>
      <c r="F300" s="374"/>
      <c r="G300" s="373"/>
      <c r="H300" s="373"/>
      <c r="I300" s="375"/>
      <c r="J300" s="88"/>
      <c r="AX300" s="137"/>
      <c r="AY300" s="172"/>
      <c r="AZ300" s="173"/>
      <c r="BA300" s="174"/>
      <c r="BB300" s="173"/>
      <c r="BC300" s="173"/>
      <c r="BD300" s="175"/>
      <c r="BE300" s="88"/>
      <c r="BG300" s="137"/>
      <c r="BH300" s="172"/>
      <c r="BI300" s="173"/>
      <c r="BJ300" s="174"/>
      <c r="BK300" s="173"/>
      <c r="BL300" s="173"/>
      <c r="BM300" s="175"/>
      <c r="BN300" s="88"/>
      <c r="BP300" s="137"/>
      <c r="BQ300" s="172"/>
      <c r="BR300" s="173"/>
      <c r="BS300" s="174"/>
      <c r="BT300" s="173"/>
      <c r="BU300" s="173"/>
      <c r="BV300" s="175"/>
      <c r="BW300" s="88"/>
      <c r="FH300" s="50"/>
      <c r="FI300" s="47"/>
      <c r="FJ300" s="47"/>
      <c r="FK300" s="47"/>
      <c r="FL300" s="47"/>
    </row>
    <row r="301" spans="2:168" ht="11.25" customHeight="1">
      <c r="B301" s="137"/>
      <c r="C301" s="134"/>
      <c r="D301" s="372"/>
      <c r="E301" s="373"/>
      <c r="F301" s="374"/>
      <c r="G301" s="373"/>
      <c r="H301" s="373"/>
      <c r="I301" s="375"/>
      <c r="J301" s="88"/>
      <c r="AX301" s="137"/>
      <c r="AY301" s="172"/>
      <c r="AZ301" s="173"/>
      <c r="BA301" s="174"/>
      <c r="BB301" s="173"/>
      <c r="BC301" s="173"/>
      <c r="BD301" s="175"/>
      <c r="BE301" s="88"/>
      <c r="BG301" s="137"/>
      <c r="BH301" s="172"/>
      <c r="BI301" s="173"/>
      <c r="BJ301" s="174"/>
      <c r="BK301" s="173"/>
      <c r="BL301" s="173"/>
      <c r="BM301" s="175"/>
      <c r="BN301" s="88"/>
      <c r="BP301" s="137"/>
      <c r="BQ301" s="172"/>
      <c r="BR301" s="173"/>
      <c r="BS301" s="174"/>
      <c r="BT301" s="173"/>
      <c r="BU301" s="173"/>
      <c r="BV301" s="175"/>
      <c r="BW301" s="88"/>
      <c r="FH301" s="50"/>
      <c r="FI301" s="47"/>
      <c r="FJ301" s="47"/>
      <c r="FK301" s="47"/>
      <c r="FL301" s="47"/>
    </row>
    <row r="302" spans="2:168" ht="11.25" customHeight="1">
      <c r="B302" s="137"/>
      <c r="C302" s="134"/>
      <c r="D302" s="372"/>
      <c r="E302" s="373"/>
      <c r="F302" s="374"/>
      <c r="G302" s="373"/>
      <c r="H302" s="373"/>
      <c r="I302" s="375"/>
      <c r="J302" s="88"/>
      <c r="AX302" s="137"/>
      <c r="AY302" s="172"/>
      <c r="AZ302" s="173"/>
      <c r="BA302" s="174"/>
      <c r="BB302" s="173"/>
      <c r="BC302" s="173"/>
      <c r="BD302" s="175"/>
      <c r="BE302" s="88"/>
      <c r="BG302" s="137"/>
      <c r="BH302" s="172"/>
      <c r="BI302" s="173"/>
      <c r="BJ302" s="174"/>
      <c r="BK302" s="173"/>
      <c r="BL302" s="173"/>
      <c r="BM302" s="175"/>
      <c r="BN302" s="88"/>
      <c r="BP302" s="137"/>
      <c r="BQ302" s="172"/>
      <c r="BR302" s="173"/>
      <c r="BS302" s="174"/>
      <c r="BT302" s="173"/>
      <c r="BU302" s="173"/>
      <c r="BV302" s="175"/>
      <c r="BW302" s="88"/>
      <c r="FH302" s="50"/>
      <c r="FI302" s="47"/>
      <c r="FJ302" s="47"/>
      <c r="FK302" s="47"/>
      <c r="FL302" s="47"/>
    </row>
    <row r="303" spans="2:168" ht="11.25" customHeight="1">
      <c r="B303" s="137"/>
      <c r="C303" s="134"/>
      <c r="D303" s="372"/>
      <c r="E303" s="373"/>
      <c r="F303" s="374"/>
      <c r="G303" s="373"/>
      <c r="H303" s="373"/>
      <c r="I303" s="375"/>
      <c r="J303" s="88"/>
      <c r="AX303" s="137"/>
      <c r="AY303" s="172"/>
      <c r="AZ303" s="173"/>
      <c r="BA303" s="174"/>
      <c r="BB303" s="173"/>
      <c r="BC303" s="173"/>
      <c r="BD303" s="175"/>
      <c r="BE303" s="88"/>
      <c r="BG303" s="137"/>
      <c r="BH303" s="172"/>
      <c r="BI303" s="173"/>
      <c r="BJ303" s="174"/>
      <c r="BK303" s="173"/>
      <c r="BL303" s="173"/>
      <c r="BM303" s="175"/>
      <c r="BN303" s="88"/>
      <c r="BP303" s="137"/>
      <c r="BQ303" s="172"/>
      <c r="BR303" s="173"/>
      <c r="BS303" s="174"/>
      <c r="BT303" s="173"/>
      <c r="BU303" s="173"/>
      <c r="BV303" s="175"/>
      <c r="BW303" s="88"/>
      <c r="FH303" s="50"/>
      <c r="FI303" s="47"/>
      <c r="FJ303" s="47"/>
      <c r="FK303" s="47"/>
      <c r="FL303" s="47"/>
    </row>
    <row r="304" spans="2:168" ht="11.25" customHeight="1">
      <c r="B304" s="137"/>
      <c r="C304" s="134"/>
      <c r="D304" s="372"/>
      <c r="E304" s="373"/>
      <c r="F304" s="374"/>
      <c r="G304" s="373"/>
      <c r="H304" s="373"/>
      <c r="I304" s="375"/>
      <c r="J304" s="88"/>
      <c r="AX304" s="137"/>
      <c r="AY304" s="172"/>
      <c r="AZ304" s="173"/>
      <c r="BA304" s="174"/>
      <c r="BB304" s="173"/>
      <c r="BC304" s="173"/>
      <c r="BD304" s="175"/>
      <c r="BE304" s="88"/>
      <c r="BG304" s="137"/>
      <c r="BH304" s="172"/>
      <c r="BI304" s="173"/>
      <c r="BJ304" s="174"/>
      <c r="BK304" s="173"/>
      <c r="BL304" s="173"/>
      <c r="BM304" s="175"/>
      <c r="BN304" s="88"/>
      <c r="BP304" s="137"/>
      <c r="BQ304" s="172"/>
      <c r="BR304" s="173"/>
      <c r="BS304" s="174"/>
      <c r="BT304" s="173"/>
      <c r="BU304" s="173"/>
      <c r="BV304" s="175"/>
      <c r="BW304" s="88"/>
      <c r="FH304" s="50"/>
      <c r="FI304" s="47"/>
      <c r="FJ304" s="47"/>
      <c r="FK304" s="47"/>
      <c r="FL304" s="47"/>
    </row>
    <row r="305" spans="2:168" ht="11.25" customHeight="1">
      <c r="B305" s="137"/>
      <c r="C305" s="134"/>
      <c r="D305" s="372"/>
      <c r="E305" s="373"/>
      <c r="F305" s="374"/>
      <c r="G305" s="373"/>
      <c r="H305" s="373"/>
      <c r="I305" s="375"/>
      <c r="J305" s="88"/>
      <c r="AX305" s="137"/>
      <c r="AY305" s="172"/>
      <c r="AZ305" s="173"/>
      <c r="BA305" s="174"/>
      <c r="BB305" s="173"/>
      <c r="BC305" s="173"/>
      <c r="BD305" s="175"/>
      <c r="BE305" s="88"/>
      <c r="BG305" s="137"/>
      <c r="BH305" s="172"/>
      <c r="BI305" s="173"/>
      <c r="BJ305" s="174"/>
      <c r="BK305" s="173"/>
      <c r="BL305" s="173"/>
      <c r="BM305" s="175"/>
      <c r="BN305" s="88"/>
      <c r="BP305" s="137"/>
      <c r="BQ305" s="172"/>
      <c r="BR305" s="173"/>
      <c r="BS305" s="174"/>
      <c r="BT305" s="173"/>
      <c r="BU305" s="173"/>
      <c r="BV305" s="175"/>
      <c r="BW305" s="88"/>
      <c r="FH305" s="50"/>
      <c r="FI305" s="47"/>
      <c r="FJ305" s="47"/>
      <c r="FK305" s="47"/>
      <c r="FL305" s="47"/>
    </row>
    <row r="306" spans="2:168" ht="11.25" customHeight="1">
      <c r="B306" s="137"/>
      <c r="C306" s="134"/>
      <c r="D306" s="372"/>
      <c r="E306" s="373"/>
      <c r="F306" s="374"/>
      <c r="G306" s="373"/>
      <c r="H306" s="373"/>
      <c r="I306" s="375"/>
      <c r="J306" s="88"/>
      <c r="AX306" s="137"/>
      <c r="AY306" s="172"/>
      <c r="AZ306" s="173"/>
      <c r="BA306" s="174"/>
      <c r="BB306" s="173"/>
      <c r="BC306" s="173"/>
      <c r="BD306" s="175"/>
      <c r="BE306" s="88"/>
      <c r="BG306" s="137"/>
      <c r="BH306" s="172"/>
      <c r="BI306" s="173"/>
      <c r="BJ306" s="174"/>
      <c r="BK306" s="173"/>
      <c r="BL306" s="173"/>
      <c r="BM306" s="175"/>
      <c r="BN306" s="88"/>
      <c r="BP306" s="137"/>
      <c r="BQ306" s="172"/>
      <c r="BR306" s="173"/>
      <c r="BS306" s="174"/>
      <c r="BT306" s="173"/>
      <c r="BU306" s="173"/>
      <c r="BV306" s="175"/>
      <c r="BW306" s="88"/>
      <c r="FH306" s="50"/>
      <c r="FI306" s="47"/>
      <c r="FJ306" s="47"/>
      <c r="FK306" s="47"/>
      <c r="FL306" s="47"/>
    </row>
    <row r="307" spans="2:168" ht="11.25" customHeight="1">
      <c r="B307" s="137"/>
      <c r="C307" s="134"/>
      <c r="D307" s="372"/>
      <c r="E307" s="373"/>
      <c r="F307" s="374"/>
      <c r="G307" s="373"/>
      <c r="H307" s="373"/>
      <c r="I307" s="375"/>
      <c r="J307" s="88"/>
      <c r="AX307" s="137"/>
      <c r="AY307" s="176"/>
      <c r="AZ307" s="177"/>
      <c r="BA307" s="178"/>
      <c r="BB307" s="177"/>
      <c r="BC307" s="177"/>
      <c r="BD307" s="231"/>
      <c r="BE307" s="88"/>
      <c r="BG307" s="137"/>
      <c r="BH307" s="176"/>
      <c r="BI307" s="177"/>
      <c r="BJ307" s="178"/>
      <c r="BK307" s="177"/>
      <c r="BL307" s="177"/>
      <c r="BM307" s="231"/>
      <c r="BN307" s="88"/>
      <c r="BP307" s="137"/>
      <c r="BQ307" s="176"/>
      <c r="BR307" s="177"/>
      <c r="BS307" s="178"/>
      <c r="BT307" s="177"/>
      <c r="BU307" s="177"/>
      <c r="BV307" s="231"/>
      <c r="BW307" s="88"/>
      <c r="FH307" s="50"/>
      <c r="FI307" s="47"/>
      <c r="FJ307" s="47"/>
      <c r="FK307" s="47"/>
      <c r="FL307" s="47"/>
    </row>
    <row r="308" spans="2:168" ht="11.25" customHeight="1">
      <c r="B308" s="137"/>
      <c r="C308" s="134"/>
      <c r="D308" s="372"/>
      <c r="E308" s="373"/>
      <c r="F308" s="374"/>
      <c r="G308" s="373"/>
      <c r="H308" s="373"/>
      <c r="I308" s="375"/>
      <c r="J308" s="88"/>
      <c r="AX308" s="90"/>
      <c r="AY308" s="89"/>
      <c r="AZ308" s="89"/>
      <c r="BA308" s="89"/>
      <c r="BB308" s="89"/>
      <c r="BC308" s="89"/>
      <c r="BD308" s="89"/>
      <c r="BE308" s="17"/>
      <c r="BG308" s="90"/>
      <c r="BH308" s="89"/>
      <c r="BI308" s="89"/>
      <c r="BJ308" s="89"/>
      <c r="BK308" s="89"/>
      <c r="BL308" s="89"/>
      <c r="BM308" s="89"/>
      <c r="BN308" s="17"/>
      <c r="BP308" s="90"/>
      <c r="BQ308" s="89"/>
      <c r="BR308" s="89"/>
      <c r="BS308" s="89"/>
      <c r="BT308" s="89"/>
      <c r="BU308" s="89"/>
      <c r="BV308" s="89"/>
      <c r="BW308" s="17"/>
      <c r="FH308" s="50"/>
      <c r="FI308" s="47"/>
      <c r="FJ308" s="47"/>
      <c r="FK308" s="47"/>
      <c r="FL308" s="47"/>
    </row>
    <row r="309" spans="2:168" ht="11.25" customHeight="1">
      <c r="B309" s="137"/>
      <c r="C309" s="134"/>
      <c r="D309" s="372"/>
      <c r="E309" s="373"/>
      <c r="F309" s="374"/>
      <c r="G309" s="373"/>
      <c r="H309" s="373"/>
      <c r="I309" s="375"/>
      <c r="J309" s="88"/>
      <c r="FH309" s="50"/>
      <c r="FI309" s="47"/>
      <c r="FJ309" s="47"/>
      <c r="FK309" s="47"/>
      <c r="FL309" s="47"/>
    </row>
    <row r="310" spans="2:168" ht="11.25" customHeight="1">
      <c r="B310" s="137"/>
      <c r="C310" s="134"/>
      <c r="D310" s="372"/>
      <c r="E310" s="373"/>
      <c r="F310" s="374"/>
      <c r="G310" s="373"/>
      <c r="H310" s="373"/>
      <c r="I310" s="375"/>
      <c r="J310" s="88"/>
      <c r="FH310" s="50"/>
      <c r="FI310" s="47"/>
      <c r="FJ310" s="47"/>
      <c r="FK310" s="47"/>
      <c r="FL310" s="47"/>
    </row>
    <row r="311" spans="2:168" ht="11.25" customHeight="1">
      <c r="B311" s="137"/>
      <c r="C311" s="134"/>
      <c r="D311" s="372"/>
      <c r="E311" s="373"/>
      <c r="F311" s="374"/>
      <c r="G311" s="373"/>
      <c r="H311" s="373"/>
      <c r="I311" s="375"/>
      <c r="J311" s="88"/>
      <c r="FH311" s="50"/>
      <c r="FI311" s="47"/>
      <c r="FJ311" s="47"/>
      <c r="FK311" s="47"/>
      <c r="FL311" s="47"/>
    </row>
    <row r="312" spans="2:168" ht="11.25" customHeight="1">
      <c r="B312" s="137"/>
      <c r="C312" s="134"/>
      <c r="D312" s="372"/>
      <c r="E312" s="373"/>
      <c r="F312" s="374"/>
      <c r="G312" s="373"/>
      <c r="H312" s="373"/>
      <c r="I312" s="375"/>
      <c r="J312" s="88"/>
      <c r="FH312" s="50"/>
      <c r="FI312" s="47"/>
      <c r="FJ312" s="47"/>
      <c r="FK312" s="47"/>
      <c r="FL312" s="47"/>
    </row>
    <row r="313" spans="2:168" ht="11.25" customHeight="1">
      <c r="B313" s="137"/>
      <c r="C313" s="134"/>
      <c r="D313" s="372"/>
      <c r="E313" s="373"/>
      <c r="F313" s="374"/>
      <c r="G313" s="373"/>
      <c r="H313" s="373"/>
      <c r="I313" s="375"/>
      <c r="J313" s="88"/>
      <c r="FH313" s="50"/>
      <c r="FI313" s="47"/>
      <c r="FJ313" s="47"/>
      <c r="FK313" s="47"/>
      <c r="FL313" s="47"/>
    </row>
    <row r="314" spans="2:168" ht="11.25" customHeight="1">
      <c r="B314" s="137"/>
      <c r="C314" s="134"/>
      <c r="D314" s="372"/>
      <c r="E314" s="373"/>
      <c r="F314" s="374"/>
      <c r="G314" s="373"/>
      <c r="H314" s="373"/>
      <c r="I314" s="375"/>
      <c r="J314" s="88"/>
      <c r="FH314" s="50"/>
      <c r="FI314" s="47"/>
      <c r="FJ314" s="47"/>
      <c r="FK314" s="47"/>
      <c r="FL314" s="47"/>
    </row>
    <row r="315" spans="2:168" ht="11.25" customHeight="1">
      <c r="B315" s="137"/>
      <c r="C315" s="134"/>
      <c r="D315" s="372"/>
      <c r="E315" s="373"/>
      <c r="F315" s="374"/>
      <c r="G315" s="373"/>
      <c r="H315" s="373"/>
      <c r="I315" s="375"/>
      <c r="J315" s="88"/>
      <c r="FH315" s="50"/>
      <c r="FI315" s="47"/>
      <c r="FJ315" s="47"/>
      <c r="FK315" s="47"/>
      <c r="FL315" s="47"/>
    </row>
    <row r="316" spans="2:168" ht="11.25" customHeight="1">
      <c r="B316" s="137"/>
      <c r="C316" s="134"/>
      <c r="D316" s="372"/>
      <c r="E316" s="373"/>
      <c r="F316" s="374"/>
      <c r="G316" s="373"/>
      <c r="H316" s="373"/>
      <c r="I316" s="375"/>
      <c r="J316" s="88"/>
      <c r="FH316" s="50"/>
      <c r="FI316" s="47"/>
      <c r="FJ316" s="47"/>
      <c r="FK316" s="47"/>
      <c r="FL316" s="47"/>
    </row>
    <row r="317" spans="2:168" ht="11.25" customHeight="1">
      <c r="B317" s="137"/>
      <c r="C317" s="134"/>
      <c r="D317" s="372"/>
      <c r="E317" s="373"/>
      <c r="F317" s="374"/>
      <c r="G317" s="373"/>
      <c r="H317" s="373"/>
      <c r="I317" s="375"/>
      <c r="J317" s="88"/>
      <c r="FH317" s="50"/>
      <c r="FI317" s="47"/>
      <c r="FJ317" s="47"/>
      <c r="FK317" s="47"/>
      <c r="FL317" s="47"/>
    </row>
    <row r="318" spans="2:168" ht="11.25" customHeight="1">
      <c r="B318" s="137"/>
      <c r="C318" s="134"/>
      <c r="D318" s="372"/>
      <c r="E318" s="373"/>
      <c r="F318" s="374"/>
      <c r="G318" s="373"/>
      <c r="H318" s="373"/>
      <c r="I318" s="375"/>
      <c r="J318" s="88"/>
      <c r="FH318" s="50"/>
      <c r="FI318" s="47"/>
      <c r="FJ318" s="47"/>
      <c r="FK318" s="47"/>
      <c r="FL318" s="47"/>
    </row>
    <row r="319" spans="2:168" ht="11.25" customHeight="1">
      <c r="B319" s="137"/>
      <c r="C319" s="134"/>
      <c r="D319" s="372"/>
      <c r="E319" s="373"/>
      <c r="F319" s="374"/>
      <c r="G319" s="373"/>
      <c r="H319" s="373"/>
      <c r="I319" s="375"/>
      <c r="J319" s="88"/>
      <c r="FH319" s="50"/>
      <c r="FI319" s="47"/>
      <c r="FJ319" s="47"/>
      <c r="FK319" s="47"/>
      <c r="FL319" s="47"/>
    </row>
    <row r="320" spans="2:168" ht="11.25" customHeight="1">
      <c r="B320" s="137"/>
      <c r="C320" s="134"/>
      <c r="D320" s="372"/>
      <c r="E320" s="373"/>
      <c r="F320" s="374"/>
      <c r="G320" s="373"/>
      <c r="H320" s="373"/>
      <c r="I320" s="375"/>
      <c r="J320" s="88"/>
      <c r="FH320" s="50"/>
      <c r="FI320" s="47"/>
      <c r="FJ320" s="47"/>
      <c r="FK320" s="47"/>
      <c r="FL320" s="47"/>
    </row>
    <row r="321" spans="2:168" ht="11.25" customHeight="1">
      <c r="B321" s="137"/>
      <c r="C321" s="134"/>
      <c r="D321" s="372"/>
      <c r="E321" s="373"/>
      <c r="F321" s="374"/>
      <c r="G321" s="373"/>
      <c r="H321" s="373"/>
      <c r="I321" s="375"/>
      <c r="J321" s="88"/>
      <c r="FH321" s="50"/>
      <c r="FI321" s="47"/>
      <c r="FJ321" s="47"/>
      <c r="FK321" s="47"/>
      <c r="FL321" s="47"/>
    </row>
    <row r="322" spans="2:168" ht="11.25" customHeight="1">
      <c r="B322" s="137"/>
      <c r="C322" s="134"/>
      <c r="D322" s="372"/>
      <c r="E322" s="373"/>
      <c r="F322" s="374"/>
      <c r="G322" s="373"/>
      <c r="H322" s="373"/>
      <c r="I322" s="375"/>
      <c r="J322" s="88"/>
      <c r="FH322" s="50"/>
      <c r="FI322" s="47"/>
      <c r="FJ322" s="47"/>
      <c r="FK322" s="47"/>
      <c r="FL322" s="47"/>
    </row>
    <row r="323" spans="2:168" ht="11.25" customHeight="1">
      <c r="B323" s="137"/>
      <c r="C323" s="134"/>
      <c r="D323" s="372"/>
      <c r="E323" s="373"/>
      <c r="F323" s="374"/>
      <c r="G323" s="373"/>
      <c r="H323" s="373"/>
      <c r="I323" s="375"/>
      <c r="J323" s="88"/>
      <c r="FH323" s="50"/>
      <c r="FI323" s="47"/>
      <c r="FJ323" s="47"/>
      <c r="FK323" s="47"/>
      <c r="FL323" s="47"/>
    </row>
    <row r="324" spans="2:168" ht="11.25" customHeight="1">
      <c r="B324" s="137"/>
      <c r="C324" s="134"/>
      <c r="D324" s="376"/>
      <c r="E324" s="377"/>
      <c r="F324" s="378"/>
      <c r="G324" s="377"/>
      <c r="H324" s="377"/>
      <c r="I324" s="378"/>
      <c r="J324" s="88"/>
      <c r="FH324" s="50"/>
      <c r="FI324" s="47"/>
      <c r="FJ324" s="47"/>
      <c r="FK324" s="47"/>
      <c r="FL324" s="47"/>
    </row>
    <row r="325" spans="2:168" ht="11.25" customHeight="1">
      <c r="B325" s="90"/>
      <c r="C325" s="89"/>
      <c r="D325" s="89"/>
      <c r="E325" s="89"/>
      <c r="F325" s="89"/>
      <c r="G325" s="89"/>
      <c r="H325" s="89"/>
      <c r="I325" s="89"/>
      <c r="J325" s="17"/>
      <c r="FH325" s="50"/>
      <c r="FI325" s="47"/>
      <c r="FJ325" s="47"/>
      <c r="FK325" s="47"/>
      <c r="FL325" s="47"/>
    </row>
    <row r="326" spans="2:168" ht="11.25" customHeight="1">
      <c r="J326" s="19"/>
      <c r="FH326" s="50"/>
      <c r="FI326" s="47"/>
      <c r="FJ326" s="47"/>
      <c r="FK326" s="47"/>
      <c r="FL326" s="47"/>
    </row>
    <row r="327" spans="2:168" ht="11.25" customHeight="1">
      <c r="FH327" s="50"/>
      <c r="FI327" s="47"/>
      <c r="FJ327" s="47"/>
      <c r="FK327" s="47"/>
      <c r="FL327" s="47"/>
    </row>
    <row r="328" spans="2:168" ht="11.25" customHeight="1">
      <c r="FH328" s="50"/>
      <c r="FI328" s="47"/>
      <c r="FJ328" s="47"/>
      <c r="FK328" s="47"/>
      <c r="FL328" s="47"/>
    </row>
    <row r="329" spans="2:168" ht="11.25" customHeight="1">
      <c r="FH329" s="50"/>
      <c r="FI329" s="47"/>
      <c r="FJ329" s="47"/>
      <c r="FK329" s="47"/>
      <c r="FL329" s="47"/>
    </row>
    <row r="330" spans="2:168" ht="11.25" customHeight="1">
      <c r="FH330" s="50"/>
      <c r="FI330" s="47"/>
      <c r="FJ330" s="47"/>
      <c r="FK330" s="47"/>
      <c r="FL330" s="47"/>
    </row>
    <row r="331" spans="2:168" ht="11.25" customHeight="1">
      <c r="FH331" s="50"/>
      <c r="FI331" s="47"/>
      <c r="FJ331" s="47"/>
      <c r="FK331" s="47"/>
      <c r="FL331" s="47"/>
    </row>
    <row r="332" spans="2:168" ht="11.25" customHeight="1">
      <c r="FH332" s="50"/>
      <c r="FI332" s="47"/>
      <c r="FJ332" s="47"/>
      <c r="FK332" s="47"/>
      <c r="FL332" s="47"/>
    </row>
    <row r="333" spans="2:168" ht="11.25" customHeight="1">
      <c r="FH333" s="50"/>
      <c r="FI333" s="47"/>
      <c r="FJ333" s="47"/>
      <c r="FK333" s="47"/>
      <c r="FL333" s="47"/>
    </row>
    <row r="334" spans="2:168" ht="11.25" customHeight="1">
      <c r="FH334" s="50"/>
      <c r="FI334" s="47"/>
      <c r="FJ334" s="47"/>
      <c r="FK334" s="47"/>
      <c r="FL334" s="47"/>
    </row>
    <row r="335" spans="2:168" ht="11.25" customHeight="1">
      <c r="FH335" s="50"/>
      <c r="FI335" s="47"/>
      <c r="FJ335" s="47"/>
      <c r="FK335" s="47"/>
      <c r="FL335" s="47"/>
    </row>
    <row r="336" spans="2:168" ht="11.25" customHeight="1">
      <c r="FH336" s="50"/>
      <c r="FI336" s="47"/>
      <c r="FJ336" s="47"/>
      <c r="FK336" s="47"/>
      <c r="FL336" s="47"/>
    </row>
    <row r="337" spans="164:168" ht="11.25" customHeight="1">
      <c r="FH337" s="50"/>
      <c r="FI337" s="47"/>
      <c r="FJ337" s="47"/>
      <c r="FK337" s="47"/>
      <c r="FL337" s="47"/>
    </row>
    <row r="338" spans="164:168" ht="11.25" customHeight="1">
      <c r="FH338" s="50"/>
      <c r="FI338" s="47"/>
      <c r="FJ338" s="47"/>
      <c r="FK338" s="47"/>
      <c r="FL338" s="47"/>
    </row>
    <row r="339" spans="164:168" ht="11.25" customHeight="1">
      <c r="FH339" s="50"/>
      <c r="FI339" s="47"/>
      <c r="FJ339" s="47"/>
      <c r="FK339" s="47"/>
      <c r="FL339" s="47"/>
    </row>
    <row r="340" spans="164:168" ht="11.25" customHeight="1">
      <c r="FH340" s="50"/>
      <c r="FI340" s="47"/>
      <c r="FJ340" s="47"/>
      <c r="FK340" s="47"/>
      <c r="FL340" s="47"/>
    </row>
    <row r="341" spans="164:168" ht="11.25" customHeight="1">
      <c r="FH341" s="50"/>
      <c r="FI341" s="47"/>
      <c r="FJ341" s="47"/>
      <c r="FK341" s="47"/>
      <c r="FL341" s="47"/>
    </row>
    <row r="342" spans="164:168" ht="11.25" customHeight="1">
      <c r="FH342" s="50"/>
      <c r="FI342" s="47"/>
      <c r="FJ342" s="47"/>
      <c r="FK342" s="47"/>
      <c r="FL342" s="47"/>
    </row>
    <row r="343" spans="164:168" ht="11.25" customHeight="1">
      <c r="FH343" s="50"/>
      <c r="FI343" s="47"/>
      <c r="FJ343" s="47"/>
      <c r="FK343" s="47"/>
      <c r="FL343" s="47"/>
    </row>
    <row r="344" spans="164:168" ht="11.25" customHeight="1">
      <c r="FH344" s="50"/>
      <c r="FI344" s="47"/>
      <c r="FJ344" s="47"/>
      <c r="FK344" s="47"/>
      <c r="FL344" s="47"/>
    </row>
    <row r="345" spans="164:168" ht="11.25" customHeight="1">
      <c r="FH345" s="50"/>
      <c r="FI345" s="47"/>
      <c r="FJ345" s="47"/>
      <c r="FK345" s="47"/>
      <c r="FL345" s="47"/>
    </row>
    <row r="346" spans="164:168" ht="11.25" customHeight="1">
      <c r="FH346" s="50"/>
      <c r="FI346" s="47"/>
      <c r="FJ346" s="47"/>
      <c r="FK346" s="47"/>
      <c r="FL346" s="47"/>
    </row>
    <row r="347" spans="164:168" ht="11.25" customHeight="1">
      <c r="FH347" s="50"/>
      <c r="FI347" s="47"/>
      <c r="FJ347" s="47"/>
      <c r="FK347" s="47"/>
      <c r="FL347" s="47"/>
    </row>
    <row r="348" spans="164:168" ht="11.25" customHeight="1">
      <c r="FH348" s="50"/>
      <c r="FI348" s="47"/>
      <c r="FJ348" s="47"/>
      <c r="FK348" s="47"/>
      <c r="FL348" s="47"/>
    </row>
    <row r="349" spans="164:168" ht="11.25" customHeight="1">
      <c r="FH349" s="50"/>
      <c r="FI349" s="47"/>
      <c r="FJ349" s="47"/>
      <c r="FK349" s="47"/>
      <c r="FL349" s="47"/>
    </row>
    <row r="350" spans="164:168" ht="11.25" customHeight="1">
      <c r="FH350" s="50"/>
      <c r="FI350" s="47"/>
      <c r="FJ350" s="47"/>
      <c r="FK350" s="47"/>
      <c r="FL350" s="47"/>
    </row>
    <row r="351" spans="164:168" ht="11.25" customHeight="1">
      <c r="FH351" s="50"/>
      <c r="FI351" s="47"/>
      <c r="FJ351" s="47"/>
      <c r="FK351" s="47"/>
      <c r="FL351" s="47"/>
    </row>
    <row r="352" spans="164:168" ht="11.25" customHeight="1">
      <c r="FH352" s="50"/>
      <c r="FI352" s="47"/>
      <c r="FJ352" s="47"/>
      <c r="FK352" s="47"/>
      <c r="FL352" s="47"/>
    </row>
    <row r="353" spans="164:168" ht="11.25" customHeight="1">
      <c r="FH353" s="50"/>
      <c r="FI353" s="47"/>
      <c r="FJ353" s="47"/>
      <c r="FK353" s="47"/>
      <c r="FL353" s="47"/>
    </row>
    <row r="354" spans="164:168" ht="11.25" customHeight="1">
      <c r="FH354" s="50"/>
      <c r="FI354" s="47"/>
      <c r="FJ354" s="47"/>
      <c r="FK354" s="47"/>
      <c r="FL354" s="47"/>
    </row>
    <row r="355" spans="164:168" ht="11.25" customHeight="1">
      <c r="FH355" s="50"/>
      <c r="FI355" s="47"/>
      <c r="FJ355" s="47"/>
      <c r="FK355" s="47"/>
      <c r="FL355" s="47"/>
    </row>
    <row r="356" spans="164:168" ht="11.25" customHeight="1">
      <c r="FH356" s="50"/>
      <c r="FI356" s="47"/>
      <c r="FJ356" s="47"/>
      <c r="FK356" s="47"/>
      <c r="FL356" s="47"/>
    </row>
    <row r="357" spans="164:168" ht="11.25" customHeight="1">
      <c r="FH357" s="50"/>
      <c r="FI357" s="47"/>
      <c r="FJ357" s="47"/>
      <c r="FK357" s="47"/>
      <c r="FL357" s="47"/>
    </row>
    <row r="358" spans="164:168" ht="11.25" customHeight="1">
      <c r="FH358" s="50"/>
      <c r="FI358" s="47"/>
      <c r="FJ358" s="47"/>
      <c r="FK358" s="47"/>
      <c r="FL358" s="47"/>
    </row>
    <row r="359" spans="164:168" ht="11.25" customHeight="1">
      <c r="FH359" s="50"/>
      <c r="FI359" s="47"/>
      <c r="FJ359" s="47"/>
      <c r="FK359" s="47"/>
      <c r="FL359" s="47"/>
    </row>
    <row r="360" spans="164:168" ht="11.25" customHeight="1">
      <c r="FH360" s="50"/>
      <c r="FI360" s="47"/>
      <c r="FJ360" s="47"/>
      <c r="FK360" s="47"/>
      <c r="FL360" s="47"/>
    </row>
    <row r="361" spans="164:168" ht="11.25" customHeight="1">
      <c r="FH361" s="50"/>
      <c r="FI361" s="47"/>
      <c r="FJ361" s="47"/>
      <c r="FK361" s="47"/>
      <c r="FL361" s="47"/>
    </row>
    <row r="362" spans="164:168" ht="11.25" customHeight="1">
      <c r="FH362" s="50"/>
      <c r="FI362" s="47"/>
      <c r="FJ362" s="47"/>
      <c r="FK362" s="47"/>
      <c r="FL362" s="47"/>
    </row>
    <row r="363" spans="164:168" ht="11.25" customHeight="1">
      <c r="FH363" s="50"/>
      <c r="FI363" s="47"/>
      <c r="FJ363" s="47"/>
      <c r="FK363" s="47"/>
      <c r="FL363" s="47"/>
    </row>
    <row r="364" spans="164:168" ht="11.25" customHeight="1">
      <c r="FH364" s="50"/>
      <c r="FI364" s="47"/>
      <c r="FJ364" s="47"/>
      <c r="FK364" s="47"/>
      <c r="FL364" s="47"/>
    </row>
    <row r="365" spans="164:168" ht="11.25" customHeight="1">
      <c r="FH365" s="50"/>
      <c r="FI365" s="47"/>
      <c r="FJ365" s="47"/>
      <c r="FK365" s="47"/>
      <c r="FL365" s="47"/>
    </row>
    <row r="366" spans="164:168" ht="11.25" customHeight="1">
      <c r="FH366" s="50"/>
      <c r="FI366" s="47"/>
      <c r="FJ366" s="47"/>
      <c r="FK366" s="47"/>
      <c r="FL366" s="47"/>
    </row>
    <row r="367" spans="164:168" ht="11.25" customHeight="1">
      <c r="FH367" s="50"/>
      <c r="FI367" s="47"/>
      <c r="FJ367" s="47"/>
      <c r="FK367" s="47"/>
      <c r="FL367" s="47"/>
    </row>
    <row r="368" spans="164:168" ht="11.25" customHeight="1">
      <c r="FH368" s="50"/>
      <c r="FI368" s="47"/>
      <c r="FJ368" s="47"/>
      <c r="FK368" s="47"/>
      <c r="FL368" s="47"/>
    </row>
    <row r="369" spans="164:168" ht="11.25" customHeight="1">
      <c r="FH369" s="50"/>
      <c r="FI369" s="47"/>
      <c r="FJ369" s="47"/>
      <c r="FK369" s="47"/>
      <c r="FL369" s="47"/>
    </row>
    <row r="370" spans="164:168" ht="11.25" customHeight="1">
      <c r="FH370" s="50"/>
      <c r="FI370" s="47"/>
      <c r="FJ370" s="47"/>
      <c r="FK370" s="47"/>
      <c r="FL370" s="47"/>
    </row>
    <row r="371" spans="164:168" ht="11.25" customHeight="1">
      <c r="FH371" s="50"/>
      <c r="FI371" s="47"/>
      <c r="FJ371" s="47"/>
      <c r="FK371" s="47"/>
      <c r="FL371" s="47"/>
    </row>
    <row r="372" spans="164:168" ht="11.25" customHeight="1">
      <c r="FH372" s="50"/>
      <c r="FI372" s="47"/>
      <c r="FJ372" s="47"/>
      <c r="FK372" s="47"/>
      <c r="FL372" s="47"/>
    </row>
    <row r="373" spans="164:168" ht="11.25" customHeight="1">
      <c r="FH373" s="50"/>
      <c r="FI373" s="47"/>
      <c r="FJ373" s="47"/>
      <c r="FK373" s="47"/>
      <c r="FL373" s="47"/>
    </row>
    <row r="374" spans="164:168" ht="11.25" customHeight="1">
      <c r="FH374" s="50"/>
      <c r="FI374" s="47"/>
      <c r="FJ374" s="47"/>
      <c r="FK374" s="47"/>
      <c r="FL374" s="47"/>
    </row>
    <row r="375" spans="164:168" ht="11.25" customHeight="1">
      <c r="FH375" s="50"/>
      <c r="FI375" s="47"/>
      <c r="FJ375" s="47"/>
      <c r="FK375" s="47"/>
      <c r="FL375" s="47"/>
    </row>
    <row r="376" spans="164:168" ht="11.25" customHeight="1">
      <c r="FH376" s="50"/>
      <c r="FI376" s="47"/>
      <c r="FJ376" s="47"/>
      <c r="FK376" s="47"/>
      <c r="FL376" s="47"/>
    </row>
    <row r="377" spans="164:168" ht="11.25" customHeight="1">
      <c r="FH377" s="50"/>
      <c r="FI377" s="47"/>
      <c r="FJ377" s="47"/>
      <c r="FK377" s="47"/>
      <c r="FL377" s="47"/>
    </row>
    <row r="378" spans="164:168" ht="11.25" customHeight="1">
      <c r="FH378" s="50"/>
      <c r="FI378" s="47"/>
      <c r="FJ378" s="47"/>
      <c r="FK378" s="47"/>
      <c r="FL378" s="47"/>
    </row>
    <row r="379" spans="164:168" ht="11.25" customHeight="1">
      <c r="FH379" s="50"/>
      <c r="FI379" s="47"/>
      <c r="FJ379" s="47"/>
      <c r="FK379" s="47"/>
      <c r="FL379" s="47"/>
    </row>
    <row r="380" spans="164:168" ht="11.25" customHeight="1">
      <c r="FH380" s="50"/>
      <c r="FI380" s="47"/>
      <c r="FJ380" s="47"/>
      <c r="FK380" s="47"/>
      <c r="FL380" s="47"/>
    </row>
    <row r="381" spans="164:168" ht="11.25" customHeight="1">
      <c r="FH381" s="50"/>
      <c r="FI381" s="47"/>
      <c r="FJ381" s="47"/>
      <c r="FK381" s="47"/>
      <c r="FL381" s="47"/>
    </row>
    <row r="382" spans="164:168" ht="11.25" customHeight="1">
      <c r="FH382" s="50"/>
      <c r="FI382" s="47"/>
      <c r="FJ382" s="47"/>
      <c r="FK382" s="47"/>
      <c r="FL382" s="47"/>
    </row>
    <row r="383" spans="164:168" ht="11.25" customHeight="1">
      <c r="FH383" s="50"/>
      <c r="FI383" s="47"/>
      <c r="FJ383" s="47"/>
      <c r="FK383" s="47"/>
      <c r="FL383" s="47"/>
    </row>
    <row r="384" spans="164:168" ht="11.25" customHeight="1">
      <c r="FH384" s="50"/>
      <c r="FI384" s="47"/>
      <c r="FJ384" s="47"/>
      <c r="FK384" s="47"/>
      <c r="FL384" s="47"/>
    </row>
    <row r="385" spans="164:168" ht="11.25" customHeight="1">
      <c r="FH385" s="50"/>
      <c r="FI385" s="47"/>
      <c r="FJ385" s="47"/>
      <c r="FK385" s="47"/>
      <c r="FL385" s="47"/>
    </row>
    <row r="386" spans="164:168" ht="11.25" customHeight="1">
      <c r="FH386" s="50"/>
      <c r="FI386" s="47"/>
      <c r="FJ386" s="47"/>
      <c r="FK386" s="47"/>
      <c r="FL386" s="47"/>
    </row>
    <row r="387" spans="164:168" ht="11.25" customHeight="1">
      <c r="FH387" s="50"/>
      <c r="FI387" s="47"/>
      <c r="FJ387" s="47"/>
      <c r="FK387" s="47"/>
      <c r="FL387" s="47"/>
    </row>
    <row r="388" spans="164:168" ht="11.25" customHeight="1">
      <c r="FH388" s="50"/>
      <c r="FI388" s="47"/>
      <c r="FJ388" s="47"/>
      <c r="FK388" s="47"/>
      <c r="FL388" s="47"/>
    </row>
    <row r="389" spans="164:168" ht="11.25" customHeight="1">
      <c r="FH389" s="50"/>
      <c r="FI389" s="47"/>
      <c r="FJ389" s="47"/>
      <c r="FK389" s="47"/>
      <c r="FL389" s="47"/>
    </row>
    <row r="390" spans="164:168" ht="11.25" customHeight="1">
      <c r="FH390" s="50"/>
      <c r="FI390" s="47"/>
      <c r="FJ390" s="47"/>
      <c r="FK390" s="47"/>
      <c r="FL390" s="47"/>
    </row>
    <row r="391" spans="164:168" ht="11.25" customHeight="1">
      <c r="FH391" s="50"/>
      <c r="FI391" s="47"/>
      <c r="FJ391" s="47"/>
      <c r="FK391" s="47"/>
      <c r="FL391" s="47"/>
    </row>
    <row r="392" spans="164:168" ht="11.25" customHeight="1">
      <c r="FH392" s="50"/>
      <c r="FI392" s="47"/>
      <c r="FJ392" s="47"/>
      <c r="FK392" s="47"/>
      <c r="FL392" s="47"/>
    </row>
    <row r="393" spans="164:168" ht="11.25" customHeight="1">
      <c r="FH393" s="50"/>
      <c r="FI393" s="47"/>
      <c r="FJ393" s="47"/>
      <c r="FK393" s="47"/>
      <c r="FL393" s="47"/>
    </row>
    <row r="394" spans="164:168" ht="11.25" customHeight="1">
      <c r="FH394" s="50"/>
      <c r="FI394" s="47"/>
      <c r="FJ394" s="47"/>
      <c r="FK394" s="47"/>
      <c r="FL394" s="47"/>
    </row>
    <row r="395" spans="164:168" ht="11.25" customHeight="1">
      <c r="FH395" s="50"/>
      <c r="FI395" s="47"/>
      <c r="FJ395" s="47"/>
      <c r="FK395" s="47"/>
      <c r="FL395" s="47"/>
    </row>
    <row r="396" spans="164:168" ht="11.25" customHeight="1">
      <c r="FH396" s="50"/>
      <c r="FI396" s="47"/>
      <c r="FJ396" s="47"/>
      <c r="FK396" s="47"/>
      <c r="FL396" s="47"/>
    </row>
    <row r="397" spans="164:168" ht="11.25" customHeight="1">
      <c r="FH397" s="50"/>
      <c r="FI397" s="47"/>
      <c r="FJ397" s="47"/>
      <c r="FK397" s="47"/>
      <c r="FL397" s="47"/>
    </row>
    <row r="398" spans="164:168" ht="11.25" customHeight="1">
      <c r="FH398" s="50"/>
      <c r="FI398" s="47"/>
      <c r="FJ398" s="47"/>
      <c r="FK398" s="47"/>
      <c r="FL398" s="47"/>
    </row>
    <row r="399" spans="164:168" ht="11.25" customHeight="1">
      <c r="FH399" s="50"/>
      <c r="FI399" s="47"/>
      <c r="FJ399" s="47"/>
      <c r="FK399" s="47"/>
      <c r="FL399" s="47"/>
    </row>
    <row r="400" spans="164:168" ht="11.25" customHeight="1">
      <c r="FH400" s="50"/>
      <c r="FI400" s="47"/>
      <c r="FJ400" s="47"/>
      <c r="FK400" s="47"/>
      <c r="FL400" s="47"/>
    </row>
    <row r="401" spans="164:168" ht="11.25" customHeight="1">
      <c r="FH401" s="50"/>
      <c r="FI401" s="47"/>
      <c r="FJ401" s="47"/>
      <c r="FK401" s="47"/>
      <c r="FL401" s="47"/>
    </row>
    <row r="402" spans="164:168" ht="11.25" customHeight="1">
      <c r="FH402" s="50"/>
      <c r="FI402" s="47"/>
      <c r="FJ402" s="47"/>
      <c r="FK402" s="47"/>
      <c r="FL402" s="47"/>
    </row>
    <row r="403" spans="164:168" ht="11.25" customHeight="1">
      <c r="FH403" s="50"/>
      <c r="FI403" s="47"/>
      <c r="FJ403" s="47"/>
      <c r="FK403" s="47"/>
      <c r="FL403" s="47"/>
    </row>
    <row r="404" spans="164:168" ht="11.25" customHeight="1">
      <c r="FH404" s="50"/>
      <c r="FI404" s="47"/>
      <c r="FJ404" s="47"/>
      <c r="FK404" s="47"/>
      <c r="FL404" s="47"/>
    </row>
    <row r="405" spans="164:168" ht="11.25" customHeight="1">
      <c r="FH405" s="50"/>
      <c r="FI405" s="47"/>
      <c r="FJ405" s="47"/>
      <c r="FK405" s="47"/>
      <c r="FL405" s="47"/>
    </row>
    <row r="406" spans="164:168" ht="11.25" customHeight="1">
      <c r="FH406" s="50"/>
      <c r="FI406" s="47"/>
      <c r="FJ406" s="47"/>
      <c r="FK406" s="47"/>
      <c r="FL406" s="47"/>
    </row>
    <row r="407" spans="164:168" ht="11.25" customHeight="1">
      <c r="FH407" s="50"/>
      <c r="FI407" s="47"/>
      <c r="FJ407" s="47"/>
      <c r="FK407" s="47"/>
      <c r="FL407" s="47"/>
    </row>
    <row r="408" spans="164:168" ht="11.25" customHeight="1">
      <c r="FH408" s="50"/>
      <c r="FI408" s="47"/>
      <c r="FJ408" s="47"/>
      <c r="FK408" s="47"/>
      <c r="FL408" s="47"/>
    </row>
    <row r="409" spans="164:168" ht="11.25" customHeight="1">
      <c r="FH409" s="50"/>
      <c r="FI409" s="47"/>
      <c r="FJ409" s="47"/>
      <c r="FK409" s="47"/>
      <c r="FL409" s="47"/>
    </row>
    <row r="410" spans="164:168" ht="11.25" customHeight="1">
      <c r="FH410" s="50"/>
      <c r="FI410" s="47"/>
      <c r="FJ410" s="47"/>
      <c r="FK410" s="47"/>
      <c r="FL410" s="47"/>
    </row>
    <row r="411" spans="164:168" ht="11.25" customHeight="1">
      <c r="FH411" s="50"/>
      <c r="FI411" s="47"/>
      <c r="FJ411" s="47"/>
      <c r="FK411" s="47"/>
      <c r="FL411" s="47"/>
    </row>
    <row r="412" spans="164:168" ht="11.25" customHeight="1">
      <c r="FH412" s="50"/>
      <c r="FI412" s="47"/>
      <c r="FJ412" s="47"/>
      <c r="FK412" s="47"/>
      <c r="FL412" s="47"/>
    </row>
    <row r="413" spans="164:168" ht="11.25" customHeight="1">
      <c r="FH413" s="50"/>
      <c r="FI413" s="47"/>
      <c r="FJ413" s="47"/>
      <c r="FK413" s="47"/>
      <c r="FL413" s="47"/>
    </row>
    <row r="414" spans="164:168" ht="11.25" customHeight="1">
      <c r="FH414" s="50"/>
      <c r="FI414" s="47"/>
      <c r="FJ414" s="47"/>
      <c r="FK414" s="47"/>
      <c r="FL414" s="47"/>
    </row>
    <row r="415" spans="164:168" ht="11.25" customHeight="1">
      <c r="FH415" s="50"/>
      <c r="FI415" s="47"/>
      <c r="FJ415" s="47"/>
      <c r="FK415" s="47"/>
      <c r="FL415" s="47"/>
    </row>
    <row r="416" spans="164:168" ht="11.25" customHeight="1">
      <c r="FH416" s="50"/>
      <c r="FI416" s="47"/>
      <c r="FJ416" s="47"/>
      <c r="FK416" s="47"/>
      <c r="FL416" s="47"/>
    </row>
    <row r="417" spans="164:168" ht="11.25" customHeight="1">
      <c r="FH417" s="50"/>
      <c r="FI417" s="47"/>
      <c r="FJ417" s="47"/>
      <c r="FK417" s="47"/>
      <c r="FL417" s="47"/>
    </row>
    <row r="418" spans="164:168" ht="11.25" customHeight="1">
      <c r="FH418" s="50"/>
      <c r="FI418" s="47"/>
      <c r="FJ418" s="47"/>
      <c r="FK418" s="47"/>
      <c r="FL418" s="47"/>
    </row>
    <row r="419" spans="164:168" ht="11.25" customHeight="1">
      <c r="FH419" s="50"/>
      <c r="FI419" s="47"/>
      <c r="FJ419" s="47"/>
      <c r="FK419" s="47"/>
      <c r="FL419" s="47"/>
    </row>
    <row r="420" spans="164:168" ht="11.25" customHeight="1">
      <c r="FH420" s="50"/>
      <c r="FI420" s="47"/>
      <c r="FJ420" s="47"/>
      <c r="FK420" s="47"/>
      <c r="FL420" s="47"/>
    </row>
    <row r="421" spans="164:168" ht="11.25" customHeight="1">
      <c r="FH421" s="50"/>
      <c r="FI421" s="47"/>
      <c r="FJ421" s="47"/>
      <c r="FK421" s="47"/>
      <c r="FL421" s="47"/>
    </row>
    <row r="422" spans="164:168" ht="11.25" customHeight="1">
      <c r="FH422" s="50"/>
      <c r="FI422" s="47"/>
      <c r="FJ422" s="47"/>
      <c r="FK422" s="47"/>
      <c r="FL422" s="47"/>
    </row>
    <row r="423" spans="164:168" ht="11.25" customHeight="1">
      <c r="FH423" s="50"/>
      <c r="FI423" s="47"/>
      <c r="FJ423" s="47"/>
      <c r="FK423" s="47"/>
      <c r="FL423" s="47"/>
    </row>
    <row r="424" spans="164:168" ht="11.25" customHeight="1">
      <c r="FH424" s="50"/>
      <c r="FI424" s="47"/>
      <c r="FJ424" s="47"/>
      <c r="FK424" s="47"/>
      <c r="FL424" s="47"/>
    </row>
    <row r="425" spans="164:168" ht="11.25" customHeight="1">
      <c r="FH425" s="50"/>
      <c r="FI425" s="47"/>
      <c r="FJ425" s="47"/>
      <c r="FK425" s="47"/>
      <c r="FL425" s="47"/>
    </row>
    <row r="426" spans="164:168" ht="11.25" customHeight="1">
      <c r="FH426" s="50"/>
      <c r="FI426" s="47"/>
      <c r="FJ426" s="47"/>
      <c r="FK426" s="47"/>
      <c r="FL426" s="47"/>
    </row>
    <row r="427" spans="164:168" ht="11.25" customHeight="1">
      <c r="FH427" s="50"/>
      <c r="FI427" s="47"/>
      <c r="FJ427" s="47"/>
      <c r="FK427" s="47"/>
      <c r="FL427" s="47"/>
    </row>
    <row r="428" spans="164:168" ht="11.25" customHeight="1">
      <c r="FH428" s="50"/>
      <c r="FI428" s="47"/>
      <c r="FJ428" s="47"/>
      <c r="FK428" s="47"/>
      <c r="FL428" s="47"/>
    </row>
    <row r="429" spans="164:168" ht="11.25" customHeight="1">
      <c r="FH429" s="50"/>
      <c r="FI429" s="47"/>
      <c r="FJ429" s="47"/>
      <c r="FK429" s="47"/>
      <c r="FL429" s="47"/>
    </row>
    <row r="430" spans="164:168" ht="11.25" customHeight="1">
      <c r="FH430" s="50"/>
      <c r="FI430" s="47"/>
      <c r="FJ430" s="47"/>
      <c r="FK430" s="47"/>
      <c r="FL430" s="47"/>
    </row>
    <row r="431" spans="164:168" ht="11.25" customHeight="1">
      <c r="FH431" s="50"/>
      <c r="FI431" s="47"/>
      <c r="FJ431" s="47"/>
      <c r="FK431" s="47"/>
      <c r="FL431" s="47"/>
    </row>
    <row r="432" spans="164:168" ht="11.25" customHeight="1">
      <c r="FH432" s="50"/>
      <c r="FI432" s="47"/>
      <c r="FJ432" s="47"/>
      <c r="FK432" s="47"/>
      <c r="FL432" s="47"/>
    </row>
    <row r="433" spans="164:168" ht="11.25" customHeight="1">
      <c r="FH433" s="50"/>
      <c r="FI433" s="47"/>
      <c r="FJ433" s="47"/>
      <c r="FK433" s="47"/>
      <c r="FL433" s="47"/>
    </row>
    <row r="434" spans="164:168" ht="11.25" customHeight="1">
      <c r="FH434" s="50"/>
      <c r="FI434" s="47"/>
      <c r="FJ434" s="47"/>
      <c r="FK434" s="47"/>
      <c r="FL434" s="47"/>
    </row>
    <row r="435" spans="164:168" ht="11.25" customHeight="1">
      <c r="FH435" s="50"/>
      <c r="FI435" s="47"/>
      <c r="FJ435" s="47"/>
      <c r="FK435" s="47"/>
      <c r="FL435" s="47"/>
    </row>
    <row r="436" spans="164:168" ht="11.25" customHeight="1">
      <c r="FH436" s="50"/>
      <c r="FI436" s="47"/>
      <c r="FJ436" s="47"/>
      <c r="FK436" s="47"/>
      <c r="FL436" s="47"/>
    </row>
    <row r="437" spans="164:168" ht="11.25" customHeight="1">
      <c r="FH437" s="50"/>
      <c r="FI437" s="47"/>
      <c r="FJ437" s="47"/>
      <c r="FK437" s="47"/>
      <c r="FL437" s="47"/>
    </row>
    <row r="438" spans="164:168" ht="11.25" customHeight="1">
      <c r="FH438" s="50"/>
      <c r="FI438" s="47"/>
      <c r="FJ438" s="47"/>
      <c r="FK438" s="47"/>
      <c r="FL438" s="47"/>
    </row>
    <row r="439" spans="164:168" ht="11.25" customHeight="1">
      <c r="FH439" s="50"/>
      <c r="FI439" s="47"/>
      <c r="FJ439" s="47"/>
      <c r="FK439" s="47"/>
      <c r="FL439" s="47"/>
    </row>
    <row r="440" spans="164:168" ht="11.25" customHeight="1">
      <c r="FH440" s="50"/>
      <c r="FI440" s="47"/>
      <c r="FJ440" s="47"/>
      <c r="FK440" s="47"/>
      <c r="FL440" s="47"/>
    </row>
    <row r="441" spans="164:168" ht="11.25" customHeight="1">
      <c r="FH441" s="50"/>
      <c r="FI441" s="47"/>
      <c r="FJ441" s="47"/>
      <c r="FK441" s="47"/>
      <c r="FL441" s="47"/>
    </row>
    <row r="442" spans="164:168" ht="11.25" customHeight="1">
      <c r="FH442" s="50"/>
      <c r="FI442" s="47"/>
      <c r="FJ442" s="47"/>
      <c r="FK442" s="47"/>
      <c r="FL442" s="47"/>
    </row>
    <row r="443" spans="164:168" ht="11.25" customHeight="1">
      <c r="FH443" s="50"/>
      <c r="FI443" s="47"/>
      <c r="FJ443" s="47"/>
      <c r="FK443" s="47"/>
      <c r="FL443" s="47"/>
    </row>
    <row r="444" spans="164:168" ht="11.25" customHeight="1">
      <c r="FH444" s="50"/>
      <c r="FI444" s="47"/>
      <c r="FJ444" s="47"/>
      <c r="FK444" s="47"/>
      <c r="FL444" s="47"/>
    </row>
    <row r="445" spans="164:168" ht="11.25" customHeight="1">
      <c r="FH445" s="50"/>
      <c r="FI445" s="47"/>
      <c r="FJ445" s="47"/>
      <c r="FK445" s="47"/>
      <c r="FL445" s="47"/>
    </row>
    <row r="446" spans="164:168" ht="11.25" customHeight="1">
      <c r="FH446" s="50"/>
      <c r="FI446" s="47"/>
      <c r="FJ446" s="47"/>
      <c r="FK446" s="47"/>
      <c r="FL446" s="47"/>
    </row>
    <row r="447" spans="164:168" ht="11.25" customHeight="1">
      <c r="FH447" s="50"/>
      <c r="FI447" s="47"/>
      <c r="FJ447" s="47"/>
      <c r="FK447" s="47"/>
      <c r="FL447" s="47"/>
    </row>
    <row r="448" spans="164:168" ht="11.25" customHeight="1">
      <c r="FH448" s="50"/>
      <c r="FI448" s="47"/>
      <c r="FJ448" s="47"/>
      <c r="FK448" s="47"/>
      <c r="FL448" s="47"/>
    </row>
    <row r="449" spans="164:168" ht="11.25" customHeight="1">
      <c r="FH449" s="50"/>
      <c r="FI449" s="47"/>
      <c r="FJ449" s="47"/>
      <c r="FK449" s="47"/>
      <c r="FL449" s="47"/>
    </row>
    <row r="450" spans="164:168" ht="11.25" customHeight="1">
      <c r="FH450" s="50"/>
      <c r="FI450" s="47"/>
      <c r="FJ450" s="47"/>
      <c r="FK450" s="47"/>
      <c r="FL450" s="47"/>
    </row>
    <row r="451" spans="164:168" ht="11.25" customHeight="1">
      <c r="FH451" s="50"/>
      <c r="FI451" s="47"/>
      <c r="FJ451" s="47"/>
      <c r="FK451" s="47"/>
      <c r="FL451" s="47"/>
    </row>
    <row r="452" spans="164:168" ht="11.25" customHeight="1">
      <c r="FH452" s="50"/>
      <c r="FI452" s="47"/>
      <c r="FJ452" s="47"/>
      <c r="FK452" s="47"/>
      <c r="FL452" s="47"/>
    </row>
    <row r="453" spans="164:168" ht="11.25" customHeight="1">
      <c r="FH453" s="50"/>
      <c r="FI453" s="47"/>
      <c r="FJ453" s="47"/>
      <c r="FK453" s="47"/>
      <c r="FL453" s="47"/>
    </row>
    <row r="454" spans="164:168" ht="11.25" customHeight="1">
      <c r="FH454" s="50"/>
      <c r="FI454" s="47"/>
      <c r="FJ454" s="47"/>
      <c r="FK454" s="47"/>
      <c r="FL454" s="47"/>
    </row>
    <row r="455" spans="164:168" ht="11.25" customHeight="1">
      <c r="FH455" s="50"/>
      <c r="FI455" s="47"/>
      <c r="FJ455" s="47"/>
      <c r="FK455" s="47"/>
      <c r="FL455" s="47"/>
    </row>
    <row r="456" spans="164:168" ht="11.25" customHeight="1">
      <c r="FH456" s="50"/>
      <c r="FI456" s="47"/>
      <c r="FJ456" s="47"/>
      <c r="FK456" s="47"/>
      <c r="FL456" s="47"/>
    </row>
    <row r="457" spans="164:168" ht="11.25" customHeight="1">
      <c r="FH457" s="50"/>
      <c r="FI457" s="47"/>
      <c r="FJ457" s="47"/>
      <c r="FK457" s="47"/>
      <c r="FL457" s="47"/>
    </row>
    <row r="458" spans="164:168" ht="11.25" customHeight="1">
      <c r="FH458" s="50"/>
      <c r="FI458" s="47"/>
      <c r="FJ458" s="47"/>
      <c r="FK458" s="47"/>
      <c r="FL458" s="47"/>
    </row>
    <row r="459" spans="164:168" ht="11.25" customHeight="1">
      <c r="FH459" s="50"/>
      <c r="FI459" s="47"/>
      <c r="FJ459" s="47"/>
      <c r="FK459" s="47"/>
      <c r="FL459" s="47"/>
    </row>
    <row r="460" spans="164:168" ht="11.25" customHeight="1">
      <c r="FH460" s="50"/>
      <c r="FI460" s="47"/>
      <c r="FJ460" s="47"/>
      <c r="FK460" s="47"/>
      <c r="FL460" s="47"/>
    </row>
    <row r="461" spans="164:168" ht="11.25" customHeight="1">
      <c r="FH461" s="50"/>
      <c r="FI461" s="47"/>
      <c r="FJ461" s="47"/>
      <c r="FK461" s="47"/>
      <c r="FL461" s="47"/>
    </row>
    <row r="462" spans="164:168" ht="11.25" customHeight="1">
      <c r="FH462" s="50"/>
      <c r="FI462" s="47"/>
      <c r="FJ462" s="47"/>
      <c r="FK462" s="47"/>
      <c r="FL462" s="47"/>
    </row>
    <row r="463" spans="164:168" ht="11.25" customHeight="1">
      <c r="FH463" s="50"/>
      <c r="FI463" s="47"/>
      <c r="FJ463" s="47"/>
      <c r="FK463" s="47"/>
      <c r="FL463" s="47"/>
    </row>
    <row r="464" spans="164:168" ht="11.25" customHeight="1">
      <c r="FH464" s="50"/>
      <c r="FI464" s="47"/>
      <c r="FJ464" s="47"/>
      <c r="FK464" s="47"/>
      <c r="FL464" s="47"/>
    </row>
    <row r="465" spans="164:168" ht="11.25" customHeight="1">
      <c r="FH465" s="50"/>
      <c r="FI465" s="47"/>
      <c r="FJ465" s="47"/>
      <c r="FK465" s="47"/>
      <c r="FL465" s="47"/>
    </row>
    <row r="466" spans="164:168" ht="11.25" customHeight="1">
      <c r="FH466" s="50"/>
      <c r="FI466" s="47"/>
      <c r="FJ466" s="47"/>
      <c r="FK466" s="47"/>
      <c r="FL466" s="47"/>
    </row>
    <row r="467" spans="164:168" ht="11.25" customHeight="1">
      <c r="FH467" s="50"/>
      <c r="FI467" s="47"/>
      <c r="FJ467" s="47"/>
      <c r="FK467" s="47"/>
      <c r="FL467" s="47"/>
    </row>
    <row r="468" spans="164:168" ht="11.25" customHeight="1">
      <c r="FH468" s="50"/>
      <c r="FI468" s="47"/>
      <c r="FJ468" s="47"/>
      <c r="FK468" s="47"/>
      <c r="FL468" s="47"/>
    </row>
    <row r="469" spans="164:168" ht="11.25" customHeight="1">
      <c r="FH469" s="50"/>
      <c r="FI469" s="47"/>
      <c r="FJ469" s="47"/>
      <c r="FK469" s="47"/>
      <c r="FL469" s="47"/>
    </row>
    <row r="470" spans="164:168" ht="11.25" customHeight="1">
      <c r="FH470" s="50"/>
      <c r="FI470" s="47"/>
      <c r="FJ470" s="47"/>
      <c r="FK470" s="47"/>
      <c r="FL470" s="47"/>
    </row>
    <row r="471" spans="164:168" ht="11.25" customHeight="1">
      <c r="FH471" s="50"/>
      <c r="FI471" s="47"/>
      <c r="FJ471" s="47"/>
      <c r="FK471" s="47"/>
      <c r="FL471" s="47"/>
    </row>
    <row r="472" spans="164:168" ht="11.25" customHeight="1">
      <c r="FH472" s="50"/>
      <c r="FI472" s="47"/>
      <c r="FJ472" s="47"/>
      <c r="FK472" s="47"/>
      <c r="FL472" s="47"/>
    </row>
    <row r="473" spans="164:168" ht="11.25" customHeight="1">
      <c r="FH473" s="50"/>
      <c r="FI473" s="47"/>
      <c r="FJ473" s="47"/>
      <c r="FK473" s="47"/>
      <c r="FL473" s="47"/>
    </row>
    <row r="474" spans="164:168" ht="11.25" customHeight="1">
      <c r="FH474" s="50"/>
      <c r="FI474" s="47"/>
      <c r="FJ474" s="47"/>
      <c r="FK474" s="47"/>
      <c r="FL474" s="47"/>
    </row>
    <row r="475" spans="164:168" ht="11.25" customHeight="1">
      <c r="FH475" s="50"/>
      <c r="FI475" s="47"/>
      <c r="FJ475" s="47"/>
      <c r="FK475" s="47"/>
      <c r="FL475" s="47"/>
    </row>
    <row r="476" spans="164:168" ht="11.25" customHeight="1">
      <c r="FH476" s="50"/>
      <c r="FI476" s="47"/>
      <c r="FJ476" s="47"/>
      <c r="FK476" s="47"/>
      <c r="FL476" s="47"/>
    </row>
    <row r="477" spans="164:168" ht="11.25" customHeight="1">
      <c r="FH477" s="50"/>
      <c r="FI477" s="47"/>
      <c r="FJ477" s="47"/>
      <c r="FK477" s="47"/>
      <c r="FL477" s="47"/>
    </row>
    <row r="478" spans="164:168" ht="11.25" customHeight="1">
      <c r="FH478" s="50"/>
      <c r="FI478" s="47"/>
      <c r="FJ478" s="47"/>
      <c r="FK478" s="47"/>
      <c r="FL478" s="47"/>
    </row>
    <row r="479" spans="164:168" ht="11.25" customHeight="1">
      <c r="FH479" s="50"/>
      <c r="FI479" s="47"/>
      <c r="FJ479" s="47"/>
      <c r="FK479" s="47"/>
      <c r="FL479" s="47"/>
    </row>
    <row r="480" spans="164:168" ht="11.25" customHeight="1">
      <c r="FH480" s="50"/>
      <c r="FI480" s="47"/>
      <c r="FJ480" s="47"/>
      <c r="FK480" s="47"/>
      <c r="FL480" s="47"/>
    </row>
    <row r="481" spans="164:168" ht="11.25" customHeight="1">
      <c r="FH481" s="50"/>
      <c r="FI481" s="47"/>
      <c r="FJ481" s="47"/>
      <c r="FK481" s="47"/>
      <c r="FL481" s="47"/>
    </row>
    <row r="482" spans="164:168" ht="11.25" customHeight="1">
      <c r="FH482" s="50"/>
      <c r="FI482" s="47"/>
      <c r="FJ482" s="47"/>
      <c r="FK482" s="47"/>
      <c r="FL482" s="47"/>
    </row>
    <row r="483" spans="164:168" ht="11.25" customHeight="1">
      <c r="FH483" s="50"/>
      <c r="FI483" s="47"/>
      <c r="FJ483" s="47"/>
      <c r="FK483" s="47"/>
      <c r="FL483" s="47"/>
    </row>
    <row r="484" spans="164:168" ht="11.25" customHeight="1">
      <c r="FH484" s="50"/>
      <c r="FI484" s="47"/>
      <c r="FJ484" s="47"/>
      <c r="FK484" s="47"/>
      <c r="FL484" s="47"/>
    </row>
    <row r="485" spans="164:168" ht="11.25" customHeight="1">
      <c r="FH485" s="50"/>
      <c r="FI485" s="47"/>
      <c r="FJ485" s="47"/>
      <c r="FK485" s="47"/>
      <c r="FL485" s="47"/>
    </row>
    <row r="486" spans="164:168" ht="11.25" customHeight="1">
      <c r="FH486" s="50"/>
      <c r="FI486" s="47"/>
      <c r="FJ486" s="47"/>
      <c r="FK486" s="47"/>
      <c r="FL486" s="47"/>
    </row>
    <row r="487" spans="164:168" ht="11.25" customHeight="1">
      <c r="FH487" s="50"/>
      <c r="FI487" s="47"/>
      <c r="FJ487" s="47"/>
      <c r="FK487" s="47"/>
      <c r="FL487" s="47"/>
    </row>
    <row r="488" spans="164:168" ht="11.25" customHeight="1">
      <c r="FH488" s="50"/>
      <c r="FI488" s="47"/>
      <c r="FJ488" s="47"/>
      <c r="FK488" s="47"/>
      <c r="FL488" s="47"/>
    </row>
    <row r="489" spans="164:168" ht="11.25" customHeight="1">
      <c r="FH489" s="50"/>
      <c r="FI489" s="47"/>
      <c r="FJ489" s="47"/>
      <c r="FK489" s="47"/>
      <c r="FL489" s="47"/>
    </row>
    <row r="490" spans="164:168" ht="11.25" customHeight="1">
      <c r="FH490" s="50"/>
      <c r="FI490" s="47"/>
      <c r="FJ490" s="47"/>
      <c r="FK490" s="47"/>
      <c r="FL490" s="47"/>
    </row>
    <row r="491" spans="164:168" ht="11.25" customHeight="1">
      <c r="FH491" s="50"/>
      <c r="FI491" s="47"/>
      <c r="FJ491" s="47"/>
      <c r="FK491" s="47"/>
      <c r="FL491" s="47"/>
    </row>
    <row r="492" spans="164:168" ht="11.25" customHeight="1">
      <c r="FH492" s="50"/>
      <c r="FI492" s="47"/>
      <c r="FJ492" s="47"/>
      <c r="FK492" s="47"/>
      <c r="FL492" s="47"/>
    </row>
    <row r="493" spans="164:168" ht="11.25" customHeight="1">
      <c r="FH493" s="50"/>
      <c r="FI493" s="47"/>
      <c r="FJ493" s="47"/>
      <c r="FK493" s="47"/>
      <c r="FL493" s="47"/>
    </row>
    <row r="494" spans="164:168" ht="11.25" customHeight="1">
      <c r="FH494" s="50"/>
      <c r="FI494" s="47"/>
      <c r="FJ494" s="47"/>
      <c r="FK494" s="47"/>
      <c r="FL494" s="47"/>
    </row>
    <row r="495" spans="164:168" ht="11.25" customHeight="1">
      <c r="FH495" s="50"/>
      <c r="FI495" s="47"/>
      <c r="FJ495" s="47"/>
      <c r="FK495" s="47"/>
      <c r="FL495" s="47"/>
    </row>
    <row r="496" spans="164:168" ht="11.25" customHeight="1">
      <c r="FH496" s="50"/>
      <c r="FI496" s="47"/>
      <c r="FJ496" s="47"/>
      <c r="FK496" s="47"/>
      <c r="FL496" s="47"/>
    </row>
    <row r="497" spans="164:168" ht="11.25" customHeight="1">
      <c r="FH497" s="50"/>
      <c r="FI497" s="47"/>
      <c r="FJ497" s="47"/>
      <c r="FK497" s="47"/>
      <c r="FL497" s="47"/>
    </row>
    <row r="498" spans="164:168" ht="11.25" customHeight="1">
      <c r="FH498" s="50"/>
      <c r="FI498" s="47"/>
      <c r="FJ498" s="47"/>
      <c r="FK498" s="47"/>
      <c r="FL498" s="47"/>
    </row>
    <row r="499" spans="164:168" ht="11.25" customHeight="1">
      <c r="FH499" s="50"/>
      <c r="FI499" s="47"/>
      <c r="FJ499" s="47"/>
      <c r="FK499" s="47"/>
      <c r="FL499" s="47"/>
    </row>
    <row r="500" spans="164:168" ht="11.25" customHeight="1">
      <c r="FH500" s="50"/>
      <c r="FI500" s="47"/>
      <c r="FJ500" s="47"/>
      <c r="FK500" s="47"/>
      <c r="FL500" s="47"/>
    </row>
    <row r="501" spans="164:168" ht="11.25" customHeight="1">
      <c r="FH501" s="50"/>
      <c r="FI501" s="47"/>
      <c r="FJ501" s="47"/>
      <c r="FK501" s="47"/>
      <c r="FL501" s="47"/>
    </row>
    <row r="502" spans="164:168" ht="11.25" customHeight="1">
      <c r="FH502" s="50"/>
      <c r="FI502" s="47"/>
      <c r="FJ502" s="47"/>
      <c r="FK502" s="47"/>
      <c r="FL502" s="47"/>
    </row>
    <row r="503" spans="164:168" ht="11.25" customHeight="1">
      <c r="FH503" s="50"/>
      <c r="FI503" s="47"/>
      <c r="FJ503" s="47"/>
      <c r="FK503" s="47"/>
      <c r="FL503" s="47"/>
    </row>
    <row r="504" spans="164:168" ht="11.25" customHeight="1">
      <c r="FH504" s="50"/>
      <c r="FI504" s="47"/>
      <c r="FJ504" s="47"/>
      <c r="FK504" s="47"/>
      <c r="FL504" s="47"/>
    </row>
    <row r="505" spans="164:168" ht="11.25" customHeight="1">
      <c r="FH505" s="50"/>
      <c r="FI505" s="47"/>
      <c r="FJ505" s="47"/>
      <c r="FK505" s="47"/>
      <c r="FL505" s="47"/>
    </row>
    <row r="506" spans="164:168" ht="11.25" customHeight="1">
      <c r="FH506" s="50"/>
      <c r="FI506" s="47"/>
      <c r="FJ506" s="47"/>
      <c r="FK506" s="47"/>
      <c r="FL506" s="47"/>
    </row>
    <row r="507" spans="164:168" ht="11.25" customHeight="1">
      <c r="FH507" s="50"/>
      <c r="FI507" s="47"/>
      <c r="FJ507" s="47"/>
      <c r="FK507" s="47"/>
      <c r="FL507" s="47"/>
    </row>
    <row r="508" spans="164:168" ht="11.25" customHeight="1">
      <c r="FH508" s="50"/>
      <c r="FI508" s="47"/>
      <c r="FJ508" s="47"/>
      <c r="FK508" s="47"/>
      <c r="FL508" s="47"/>
    </row>
    <row r="509" spans="164:168" ht="11.25" customHeight="1">
      <c r="FH509" s="50"/>
      <c r="FI509" s="47"/>
      <c r="FJ509" s="47"/>
      <c r="FK509" s="47"/>
      <c r="FL509" s="47"/>
    </row>
    <row r="510" spans="164:168" ht="11.25" customHeight="1">
      <c r="FH510" s="50"/>
      <c r="FI510" s="47"/>
      <c r="FJ510" s="47"/>
      <c r="FK510" s="47"/>
      <c r="FL510" s="47"/>
    </row>
    <row r="511" spans="164:168" ht="11.25" customHeight="1">
      <c r="FH511" s="50"/>
      <c r="FI511" s="47"/>
      <c r="FJ511" s="47"/>
      <c r="FK511" s="47"/>
      <c r="FL511" s="47"/>
    </row>
    <row r="512" spans="164:168" ht="11.25" customHeight="1">
      <c r="FH512" s="50"/>
      <c r="FI512" s="47"/>
      <c r="FJ512" s="47"/>
      <c r="FK512" s="47"/>
      <c r="FL512" s="47"/>
    </row>
    <row r="513" spans="164:168" ht="11.25" customHeight="1">
      <c r="FH513" s="50"/>
      <c r="FI513" s="47"/>
      <c r="FJ513" s="47"/>
      <c r="FK513" s="47"/>
      <c r="FL513" s="47"/>
    </row>
    <row r="514" spans="164:168" ht="11.25" customHeight="1">
      <c r="FH514" s="50"/>
      <c r="FI514" s="47"/>
      <c r="FJ514" s="47"/>
      <c r="FK514" s="47"/>
      <c r="FL514" s="47"/>
    </row>
    <row r="515" spans="164:168" ht="11.25" customHeight="1">
      <c r="FH515" s="50"/>
      <c r="FI515" s="47"/>
      <c r="FJ515" s="47"/>
      <c r="FK515" s="47"/>
      <c r="FL515" s="47"/>
    </row>
    <row r="516" spans="164:168" ht="11.25" customHeight="1">
      <c r="FH516" s="50"/>
      <c r="FI516" s="47"/>
      <c r="FJ516" s="47"/>
      <c r="FK516" s="47"/>
      <c r="FL516" s="47"/>
    </row>
    <row r="517" spans="164:168" ht="11.25" customHeight="1">
      <c r="FH517" s="50"/>
      <c r="FI517" s="47"/>
      <c r="FJ517" s="47"/>
      <c r="FK517" s="47"/>
      <c r="FL517" s="47"/>
    </row>
    <row r="518" spans="164:168" ht="11.25" customHeight="1">
      <c r="FH518" s="50"/>
      <c r="FI518" s="47"/>
      <c r="FJ518" s="47"/>
      <c r="FK518" s="47"/>
      <c r="FL518" s="47"/>
    </row>
    <row r="519" spans="164:168" ht="11.25" customHeight="1">
      <c r="FH519" s="50"/>
      <c r="FI519" s="47"/>
      <c r="FJ519" s="47"/>
      <c r="FK519" s="47"/>
      <c r="FL519" s="47"/>
    </row>
    <row r="520" spans="164:168" ht="11.25" customHeight="1">
      <c r="FH520" s="50"/>
      <c r="FI520" s="47"/>
      <c r="FJ520" s="47"/>
      <c r="FK520" s="47"/>
      <c r="FL520" s="47"/>
    </row>
    <row r="521" spans="164:168" ht="11.25" customHeight="1">
      <c r="FH521" s="50"/>
      <c r="FI521" s="47"/>
      <c r="FJ521" s="47"/>
      <c r="FK521" s="47"/>
      <c r="FL521" s="47"/>
    </row>
    <row r="522" spans="164:168" ht="11.25" customHeight="1">
      <c r="FH522" s="50"/>
      <c r="FI522" s="47"/>
      <c r="FJ522" s="47"/>
      <c r="FK522" s="47"/>
      <c r="FL522" s="47"/>
    </row>
    <row r="523" spans="164:168" ht="11.25" customHeight="1">
      <c r="FH523" s="50"/>
      <c r="FI523" s="47"/>
      <c r="FJ523" s="47"/>
      <c r="FK523" s="47"/>
      <c r="FL523" s="47"/>
    </row>
    <row r="524" spans="164:168" ht="11.25" customHeight="1">
      <c r="FH524" s="50"/>
      <c r="FI524" s="47"/>
      <c r="FJ524" s="47"/>
      <c r="FK524" s="47"/>
      <c r="FL524" s="47"/>
    </row>
    <row r="525" spans="164:168" ht="11.25" customHeight="1">
      <c r="FH525" s="50"/>
      <c r="FI525" s="47"/>
      <c r="FJ525" s="47"/>
      <c r="FK525" s="47"/>
      <c r="FL525" s="47"/>
    </row>
    <row r="526" spans="164:168" ht="11.25" customHeight="1">
      <c r="FH526" s="50"/>
      <c r="FI526" s="47"/>
      <c r="FJ526" s="47"/>
      <c r="FK526" s="47"/>
      <c r="FL526" s="47"/>
    </row>
    <row r="527" spans="164:168" ht="11.25" customHeight="1">
      <c r="FH527" s="50"/>
      <c r="FI527" s="47"/>
      <c r="FJ527" s="47"/>
      <c r="FK527" s="47"/>
      <c r="FL527" s="47"/>
    </row>
    <row r="528" spans="164:168" ht="11.25" customHeight="1">
      <c r="FH528" s="50"/>
      <c r="FI528" s="47"/>
      <c r="FJ528" s="47"/>
      <c r="FK528" s="47"/>
      <c r="FL528" s="47"/>
    </row>
    <row r="529" spans="164:168" ht="11.25" customHeight="1">
      <c r="FH529" s="50"/>
      <c r="FI529" s="47"/>
      <c r="FJ529" s="47"/>
      <c r="FK529" s="47"/>
      <c r="FL529" s="47"/>
    </row>
    <row r="530" spans="164:168" ht="11.25" customHeight="1">
      <c r="FH530" s="50"/>
      <c r="FI530" s="47"/>
      <c r="FJ530" s="47"/>
      <c r="FK530" s="47"/>
      <c r="FL530" s="47"/>
    </row>
    <row r="531" spans="164:168" ht="11.25" customHeight="1">
      <c r="FH531" s="50"/>
      <c r="FI531" s="47"/>
      <c r="FJ531" s="47"/>
      <c r="FK531" s="47"/>
      <c r="FL531" s="47"/>
    </row>
    <row r="532" spans="164:168" ht="11.25" customHeight="1">
      <c r="FH532" s="50"/>
      <c r="FI532" s="47"/>
      <c r="FJ532" s="47"/>
      <c r="FK532" s="47"/>
      <c r="FL532" s="47"/>
    </row>
    <row r="533" spans="164:168" ht="11.25" customHeight="1">
      <c r="FH533" s="50"/>
      <c r="FI533" s="47"/>
      <c r="FJ533" s="47"/>
      <c r="FK533" s="47"/>
      <c r="FL533" s="47"/>
    </row>
    <row r="534" spans="164:168" ht="11.25" customHeight="1">
      <c r="FH534" s="50"/>
      <c r="FI534" s="47"/>
      <c r="FJ534" s="47"/>
      <c r="FK534" s="47"/>
      <c r="FL534" s="47"/>
    </row>
    <row r="535" spans="164:168" ht="11.25" customHeight="1">
      <c r="FH535" s="50"/>
      <c r="FI535" s="47"/>
      <c r="FJ535" s="47"/>
      <c r="FK535" s="47"/>
      <c r="FL535" s="47"/>
    </row>
    <row r="536" spans="164:168" ht="11.25" customHeight="1">
      <c r="FH536" s="50"/>
      <c r="FI536" s="47"/>
      <c r="FJ536" s="47"/>
      <c r="FK536" s="47"/>
      <c r="FL536" s="47"/>
    </row>
    <row r="537" spans="164:168" ht="11.25" customHeight="1">
      <c r="FH537" s="50"/>
      <c r="FI537" s="47"/>
      <c r="FJ537" s="47"/>
      <c r="FK537" s="47"/>
      <c r="FL537" s="47"/>
    </row>
    <row r="538" spans="164:168" ht="11.25" customHeight="1">
      <c r="FH538" s="50"/>
      <c r="FI538" s="47"/>
      <c r="FJ538" s="47"/>
      <c r="FK538" s="47"/>
      <c r="FL538" s="47"/>
    </row>
    <row r="539" spans="164:168" ht="11.25" customHeight="1">
      <c r="FH539" s="50"/>
      <c r="FI539" s="47"/>
      <c r="FJ539" s="47"/>
      <c r="FK539" s="47"/>
      <c r="FL539" s="47"/>
    </row>
    <row r="540" spans="164:168" ht="11.25" customHeight="1">
      <c r="FH540" s="50"/>
      <c r="FI540" s="47"/>
      <c r="FJ540" s="47"/>
      <c r="FK540" s="47"/>
      <c r="FL540" s="47"/>
    </row>
    <row r="541" spans="164:168" ht="11.25" customHeight="1">
      <c r="FH541" s="50"/>
      <c r="FI541" s="47"/>
      <c r="FJ541" s="47"/>
      <c r="FK541" s="47"/>
      <c r="FL541" s="47"/>
    </row>
    <row r="542" spans="164:168" ht="11.25" customHeight="1">
      <c r="FH542" s="50"/>
      <c r="FI542" s="47"/>
      <c r="FJ542" s="47"/>
      <c r="FK542" s="47"/>
      <c r="FL542" s="47"/>
    </row>
    <row r="543" spans="164:168" ht="11.25" customHeight="1">
      <c r="FH543" s="50"/>
      <c r="FI543" s="47"/>
      <c r="FJ543" s="47"/>
      <c r="FK543" s="47"/>
      <c r="FL543" s="47"/>
    </row>
    <row r="544" spans="164:168" ht="11.25" customHeight="1">
      <c r="FH544" s="50"/>
      <c r="FI544" s="47"/>
      <c r="FJ544" s="47"/>
      <c r="FK544" s="47"/>
      <c r="FL544" s="47"/>
    </row>
    <row r="545" spans="164:168" ht="11.25" customHeight="1">
      <c r="FH545" s="50"/>
      <c r="FI545" s="47"/>
      <c r="FJ545" s="47"/>
      <c r="FK545" s="47"/>
      <c r="FL545" s="47"/>
    </row>
    <row r="546" spans="164:168" ht="11.25" customHeight="1">
      <c r="FH546" s="50"/>
      <c r="FI546" s="47"/>
      <c r="FJ546" s="47"/>
      <c r="FK546" s="47"/>
      <c r="FL546" s="47"/>
    </row>
    <row r="547" spans="164:168" ht="11.25" customHeight="1">
      <c r="FH547" s="50"/>
      <c r="FI547" s="47"/>
      <c r="FJ547" s="47"/>
      <c r="FK547" s="47"/>
      <c r="FL547" s="47"/>
    </row>
    <row r="548" spans="164:168" ht="11.25" customHeight="1">
      <c r="FH548" s="50"/>
      <c r="FI548" s="47"/>
      <c r="FJ548" s="47"/>
      <c r="FK548" s="47"/>
      <c r="FL548" s="47"/>
    </row>
    <row r="549" spans="164:168" ht="11.25" customHeight="1">
      <c r="FH549" s="50"/>
      <c r="FI549" s="47"/>
      <c r="FJ549" s="47"/>
      <c r="FK549" s="47"/>
      <c r="FL549" s="47"/>
    </row>
    <row r="550" spans="164:168" ht="11.25" customHeight="1">
      <c r="FH550" s="50"/>
      <c r="FI550" s="47"/>
      <c r="FJ550" s="47"/>
      <c r="FK550" s="47"/>
      <c r="FL550" s="47"/>
    </row>
    <row r="551" spans="164:168" ht="11.25" customHeight="1">
      <c r="FH551" s="50"/>
      <c r="FI551" s="47"/>
      <c r="FJ551" s="47"/>
      <c r="FK551" s="47"/>
      <c r="FL551" s="47"/>
    </row>
    <row r="552" spans="164:168" ht="11.25" customHeight="1">
      <c r="FH552" s="50"/>
      <c r="FI552" s="47"/>
      <c r="FJ552" s="47"/>
      <c r="FK552" s="47"/>
      <c r="FL552" s="47"/>
    </row>
    <row r="553" spans="164:168" ht="11.25" customHeight="1">
      <c r="FH553" s="50"/>
      <c r="FI553" s="47"/>
      <c r="FJ553" s="47"/>
      <c r="FK553" s="47"/>
      <c r="FL553" s="47"/>
    </row>
    <row r="554" spans="164:168" ht="11.25" customHeight="1">
      <c r="FH554" s="50"/>
      <c r="FI554" s="47"/>
      <c r="FJ554" s="47"/>
      <c r="FK554" s="47"/>
      <c r="FL554" s="47"/>
    </row>
    <row r="555" spans="164:168" ht="11.25" customHeight="1">
      <c r="FH555" s="50"/>
      <c r="FI555" s="47"/>
      <c r="FJ555" s="47"/>
      <c r="FK555" s="47"/>
      <c r="FL555" s="47"/>
    </row>
    <row r="556" spans="164:168" ht="11.25" customHeight="1">
      <c r="FH556" s="50"/>
      <c r="FI556" s="47"/>
      <c r="FJ556" s="47"/>
      <c r="FK556" s="47"/>
      <c r="FL556" s="47"/>
    </row>
    <row r="557" spans="164:168" ht="11.25" customHeight="1">
      <c r="FH557" s="50"/>
      <c r="FI557" s="47"/>
      <c r="FJ557" s="47"/>
      <c r="FK557" s="47"/>
      <c r="FL557" s="47"/>
    </row>
    <row r="558" spans="164:168" ht="11.25" customHeight="1">
      <c r="FH558" s="50"/>
      <c r="FI558" s="47"/>
      <c r="FJ558" s="47"/>
      <c r="FK558" s="47"/>
      <c r="FL558" s="47"/>
    </row>
    <row r="559" spans="164:168" ht="11.25" customHeight="1">
      <c r="FH559" s="50"/>
      <c r="FI559" s="47"/>
      <c r="FJ559" s="47"/>
      <c r="FK559" s="47"/>
      <c r="FL559" s="47"/>
    </row>
    <row r="560" spans="164:168" ht="11.25" customHeight="1">
      <c r="FH560" s="50"/>
      <c r="FI560" s="47"/>
      <c r="FJ560" s="47"/>
      <c r="FK560" s="47"/>
      <c r="FL560" s="47"/>
    </row>
    <row r="561" spans="164:168" ht="11.25" customHeight="1">
      <c r="FH561" s="50"/>
      <c r="FI561" s="47"/>
      <c r="FJ561" s="47"/>
      <c r="FK561" s="47"/>
      <c r="FL561" s="47"/>
    </row>
    <row r="562" spans="164:168" ht="11.25" customHeight="1">
      <c r="FH562" s="50"/>
      <c r="FI562" s="47"/>
      <c r="FJ562" s="47"/>
      <c r="FK562" s="47"/>
      <c r="FL562" s="47"/>
    </row>
    <row r="563" spans="164:168" ht="11.25" customHeight="1">
      <c r="FH563" s="50"/>
      <c r="FI563" s="47"/>
      <c r="FJ563" s="47"/>
      <c r="FK563" s="47"/>
      <c r="FL563" s="47"/>
    </row>
    <row r="564" spans="164:168" ht="11.25" customHeight="1">
      <c r="FH564" s="50"/>
      <c r="FI564" s="47"/>
      <c r="FJ564" s="47"/>
      <c r="FK564" s="47"/>
      <c r="FL564" s="47"/>
    </row>
    <row r="565" spans="164:168" ht="11.25" customHeight="1">
      <c r="FH565" s="50"/>
      <c r="FI565" s="47"/>
      <c r="FJ565" s="47"/>
      <c r="FK565" s="47"/>
      <c r="FL565" s="47"/>
    </row>
    <row r="566" spans="164:168" ht="11.25" customHeight="1">
      <c r="FH566" s="50"/>
      <c r="FI566" s="47"/>
      <c r="FJ566" s="47"/>
      <c r="FK566" s="47"/>
      <c r="FL566" s="47"/>
    </row>
    <row r="567" spans="164:168" ht="11.25" customHeight="1">
      <c r="FH567" s="50"/>
      <c r="FI567" s="47"/>
      <c r="FJ567" s="47"/>
      <c r="FK567" s="47"/>
      <c r="FL567" s="47"/>
    </row>
    <row r="568" spans="164:168" ht="11.25" customHeight="1">
      <c r="FH568" s="50"/>
      <c r="FI568" s="47"/>
      <c r="FJ568" s="47"/>
      <c r="FK568" s="47"/>
      <c r="FL568" s="47"/>
    </row>
    <row r="569" spans="164:168" ht="11.25" customHeight="1">
      <c r="FH569" s="50"/>
      <c r="FI569" s="47"/>
      <c r="FJ569" s="47"/>
      <c r="FK569" s="47"/>
      <c r="FL569" s="47"/>
    </row>
    <row r="570" spans="164:168" ht="11.25" customHeight="1">
      <c r="FH570" s="50"/>
      <c r="FI570" s="47"/>
      <c r="FJ570" s="47"/>
      <c r="FK570" s="47"/>
      <c r="FL570" s="47"/>
    </row>
    <row r="571" spans="164:168" ht="11.25" customHeight="1">
      <c r="FH571" s="50"/>
      <c r="FI571" s="47"/>
      <c r="FJ571" s="47"/>
      <c r="FK571" s="47"/>
      <c r="FL571" s="47"/>
    </row>
    <row r="572" spans="164:168" ht="11.25" customHeight="1">
      <c r="FH572" s="50"/>
      <c r="FI572" s="47"/>
      <c r="FJ572" s="47"/>
      <c r="FK572" s="47"/>
      <c r="FL572" s="47"/>
    </row>
    <row r="573" spans="164:168" ht="11.25" customHeight="1">
      <c r="FH573" s="50"/>
      <c r="FI573" s="47"/>
      <c r="FJ573" s="47"/>
      <c r="FK573" s="47"/>
      <c r="FL573" s="47"/>
    </row>
    <row r="574" spans="164:168" ht="11.25" customHeight="1">
      <c r="FH574" s="50"/>
      <c r="FI574" s="47"/>
      <c r="FJ574" s="47"/>
      <c r="FK574" s="47"/>
      <c r="FL574" s="47"/>
    </row>
    <row r="575" spans="164:168" ht="11.25" customHeight="1">
      <c r="FH575" s="50"/>
      <c r="FI575" s="47"/>
      <c r="FJ575" s="47"/>
      <c r="FK575" s="47"/>
      <c r="FL575" s="47"/>
    </row>
    <row r="576" spans="164:168" ht="11.25" customHeight="1">
      <c r="FH576" s="50"/>
      <c r="FI576" s="47"/>
      <c r="FJ576" s="47"/>
      <c r="FK576" s="47"/>
      <c r="FL576" s="47"/>
    </row>
    <row r="577" spans="164:168" ht="11.25" customHeight="1">
      <c r="FH577" s="50"/>
      <c r="FI577" s="47"/>
      <c r="FJ577" s="47"/>
      <c r="FK577" s="47"/>
      <c r="FL577" s="47"/>
    </row>
    <row r="578" spans="164:168" ht="11.25" customHeight="1">
      <c r="FH578" s="50"/>
      <c r="FI578" s="47"/>
      <c r="FJ578" s="47"/>
      <c r="FK578" s="47"/>
      <c r="FL578" s="47"/>
    </row>
    <row r="579" spans="164:168" ht="11.25" customHeight="1">
      <c r="FH579" s="50"/>
      <c r="FI579" s="47"/>
      <c r="FJ579" s="47"/>
      <c r="FK579" s="47"/>
      <c r="FL579" s="47"/>
    </row>
    <row r="580" spans="164:168" ht="11.25" customHeight="1">
      <c r="FH580" s="50"/>
      <c r="FI580" s="47"/>
      <c r="FJ580" s="47"/>
      <c r="FK580" s="47"/>
      <c r="FL580" s="47"/>
    </row>
    <row r="581" spans="164:168" ht="11.25" customHeight="1">
      <c r="FH581" s="50"/>
      <c r="FI581" s="47"/>
      <c r="FJ581" s="47"/>
      <c r="FK581" s="47"/>
      <c r="FL581" s="47"/>
    </row>
    <row r="582" spans="164:168" ht="11.25" customHeight="1">
      <c r="FH582" s="50"/>
      <c r="FI582" s="47"/>
      <c r="FJ582" s="47"/>
      <c r="FK582" s="47"/>
      <c r="FL582" s="47"/>
    </row>
    <row r="583" spans="164:168" ht="11.25" customHeight="1">
      <c r="FH583" s="50"/>
      <c r="FI583" s="47"/>
      <c r="FJ583" s="47"/>
      <c r="FK583" s="47"/>
      <c r="FL583" s="47"/>
    </row>
    <row r="584" spans="164:168" ht="11.25" customHeight="1">
      <c r="FH584" s="50"/>
      <c r="FI584" s="47"/>
      <c r="FJ584" s="47"/>
      <c r="FK584" s="47"/>
      <c r="FL584" s="47"/>
    </row>
    <row r="585" spans="164:168" ht="11.25" customHeight="1">
      <c r="FH585" s="50"/>
      <c r="FI585" s="47"/>
      <c r="FJ585" s="47"/>
      <c r="FK585" s="47"/>
      <c r="FL585" s="47"/>
    </row>
    <row r="586" spans="164:168" ht="11.25" customHeight="1">
      <c r="FH586" s="50"/>
      <c r="FI586" s="47"/>
      <c r="FJ586" s="47"/>
      <c r="FK586" s="47"/>
      <c r="FL586" s="47"/>
    </row>
    <row r="587" spans="164:168" ht="11.25" customHeight="1">
      <c r="FH587" s="50"/>
      <c r="FI587" s="47"/>
      <c r="FJ587" s="47"/>
      <c r="FK587" s="47"/>
      <c r="FL587" s="47"/>
    </row>
    <row r="588" spans="164:168" ht="11.25" customHeight="1">
      <c r="FH588" s="50"/>
      <c r="FI588" s="47"/>
      <c r="FJ588" s="47"/>
      <c r="FK588" s="47"/>
      <c r="FL588" s="47"/>
    </row>
    <row r="589" spans="164:168" ht="11.25" customHeight="1">
      <c r="FH589" s="50"/>
      <c r="FI589" s="47"/>
      <c r="FJ589" s="47"/>
      <c r="FK589" s="47"/>
      <c r="FL589" s="47"/>
    </row>
    <row r="590" spans="164:168" ht="11.25" customHeight="1">
      <c r="FH590" s="50"/>
      <c r="FI590" s="47"/>
      <c r="FJ590" s="47"/>
      <c r="FK590" s="47"/>
      <c r="FL590" s="47"/>
    </row>
    <row r="591" spans="164:168" ht="11.25" customHeight="1">
      <c r="FH591" s="50"/>
      <c r="FI591" s="47"/>
      <c r="FJ591" s="47"/>
      <c r="FK591" s="47"/>
      <c r="FL591" s="47"/>
    </row>
    <row r="592" spans="164:168" ht="11.25" customHeight="1">
      <c r="FH592" s="50"/>
      <c r="FI592" s="47"/>
      <c r="FJ592" s="47"/>
      <c r="FK592" s="47"/>
      <c r="FL592" s="47"/>
    </row>
    <row r="593" spans="164:168" ht="11.25" customHeight="1">
      <c r="FH593" s="50"/>
      <c r="FI593" s="47"/>
      <c r="FJ593" s="47"/>
      <c r="FK593" s="47"/>
      <c r="FL593" s="47"/>
    </row>
    <row r="594" spans="164:168" ht="11.25" customHeight="1">
      <c r="FH594" s="50"/>
      <c r="FI594" s="47"/>
      <c r="FJ594" s="47"/>
      <c r="FK594" s="47"/>
      <c r="FL594" s="47"/>
    </row>
    <row r="595" spans="164:168" ht="11.25" customHeight="1">
      <c r="FH595" s="50"/>
      <c r="FI595" s="47"/>
      <c r="FJ595" s="47"/>
      <c r="FK595" s="47"/>
      <c r="FL595" s="47"/>
    </row>
    <row r="596" spans="164:168" ht="11.25" customHeight="1">
      <c r="FH596" s="50"/>
      <c r="FI596" s="47"/>
      <c r="FJ596" s="47"/>
      <c r="FK596" s="47"/>
      <c r="FL596" s="47"/>
    </row>
    <row r="597" spans="164:168" ht="11.25" customHeight="1">
      <c r="FH597" s="50"/>
      <c r="FI597" s="47"/>
      <c r="FJ597" s="47"/>
      <c r="FK597" s="47"/>
      <c r="FL597" s="47"/>
    </row>
    <row r="598" spans="164:168" ht="11.25" customHeight="1">
      <c r="FH598" s="50"/>
      <c r="FI598" s="47"/>
      <c r="FJ598" s="47"/>
      <c r="FK598" s="47"/>
      <c r="FL598" s="47"/>
    </row>
    <row r="599" spans="164:168" ht="11.25" customHeight="1">
      <c r="FH599" s="50"/>
      <c r="FI599" s="47"/>
      <c r="FJ599" s="47"/>
      <c r="FK599" s="47"/>
      <c r="FL599" s="47"/>
    </row>
    <row r="600" spans="164:168" ht="11.25" customHeight="1">
      <c r="FH600" s="50"/>
      <c r="FI600" s="47"/>
      <c r="FJ600" s="47"/>
      <c r="FK600" s="47"/>
      <c r="FL600" s="47"/>
    </row>
    <row r="601" spans="164:168" ht="11.25" customHeight="1">
      <c r="FH601" s="50"/>
      <c r="FI601" s="47"/>
      <c r="FJ601" s="47"/>
      <c r="FK601" s="47"/>
      <c r="FL601" s="47"/>
    </row>
    <row r="602" spans="164:168" ht="11.25" customHeight="1">
      <c r="FH602" s="50"/>
      <c r="FI602" s="47"/>
      <c r="FJ602" s="47"/>
      <c r="FK602" s="47"/>
      <c r="FL602" s="47"/>
    </row>
    <row r="603" spans="164:168" ht="11.25" customHeight="1">
      <c r="FH603" s="50"/>
      <c r="FI603" s="47"/>
      <c r="FJ603" s="47"/>
      <c r="FK603" s="47"/>
      <c r="FL603" s="47"/>
    </row>
    <row r="604" spans="164:168" ht="11.25" customHeight="1">
      <c r="FH604" s="50"/>
      <c r="FI604" s="47"/>
      <c r="FJ604" s="47"/>
      <c r="FK604" s="47"/>
      <c r="FL604" s="47"/>
    </row>
    <row r="605" spans="164:168" ht="11.25" customHeight="1">
      <c r="FH605" s="50"/>
      <c r="FI605" s="47"/>
      <c r="FJ605" s="47"/>
      <c r="FK605" s="47"/>
      <c r="FL605" s="47"/>
    </row>
    <row r="606" spans="164:168" ht="11.25" customHeight="1">
      <c r="FH606" s="50"/>
      <c r="FI606" s="47"/>
      <c r="FJ606" s="47"/>
      <c r="FK606" s="47"/>
      <c r="FL606" s="47"/>
    </row>
    <row r="607" spans="164:168" ht="11.25" customHeight="1">
      <c r="FH607" s="50"/>
      <c r="FI607" s="47"/>
      <c r="FJ607" s="47"/>
      <c r="FK607" s="47"/>
      <c r="FL607" s="47"/>
    </row>
    <row r="608" spans="164:168" ht="11.25" customHeight="1">
      <c r="FH608" s="50"/>
      <c r="FI608" s="47"/>
      <c r="FJ608" s="47"/>
      <c r="FK608" s="47"/>
      <c r="FL608" s="47"/>
    </row>
    <row r="609" spans="164:168" ht="11.25" customHeight="1">
      <c r="FH609" s="50"/>
      <c r="FI609" s="47"/>
      <c r="FJ609" s="47"/>
      <c r="FK609" s="47"/>
      <c r="FL609" s="47"/>
    </row>
    <row r="610" spans="164:168" ht="11.25" customHeight="1">
      <c r="FH610" s="50"/>
      <c r="FI610" s="47"/>
      <c r="FJ610" s="47"/>
      <c r="FK610" s="47"/>
      <c r="FL610" s="47"/>
    </row>
    <row r="611" spans="164:168" ht="11.25" customHeight="1">
      <c r="FH611" s="50"/>
      <c r="FI611" s="47"/>
      <c r="FJ611" s="47"/>
      <c r="FK611" s="47"/>
      <c r="FL611" s="47"/>
    </row>
    <row r="612" spans="164:168" ht="11.25" customHeight="1">
      <c r="FH612" s="50"/>
      <c r="FI612" s="47"/>
      <c r="FJ612" s="47"/>
      <c r="FK612" s="47"/>
      <c r="FL612" s="47"/>
    </row>
    <row r="613" spans="164:168" ht="11.25" customHeight="1">
      <c r="FH613" s="50"/>
      <c r="FI613" s="47"/>
      <c r="FJ613" s="47"/>
      <c r="FK613" s="47"/>
      <c r="FL613" s="47"/>
    </row>
    <row r="614" spans="164:168" ht="11.25" customHeight="1">
      <c r="FH614" s="50"/>
      <c r="FI614" s="47"/>
      <c r="FJ614" s="47"/>
      <c r="FK614" s="47"/>
      <c r="FL614" s="47"/>
    </row>
    <row r="615" spans="164:168" ht="11.25" customHeight="1">
      <c r="FH615" s="50"/>
      <c r="FI615" s="47"/>
      <c r="FJ615" s="47"/>
      <c r="FK615" s="47"/>
      <c r="FL615" s="47"/>
    </row>
    <row r="616" spans="164:168" ht="11.25" customHeight="1">
      <c r="FH616" s="50"/>
      <c r="FI616" s="47"/>
      <c r="FJ616" s="47"/>
      <c r="FK616" s="47"/>
      <c r="FL616" s="47"/>
    </row>
    <row r="617" spans="164:168" ht="11.25" customHeight="1">
      <c r="FH617" s="50"/>
      <c r="FI617" s="47"/>
      <c r="FJ617" s="47"/>
      <c r="FK617" s="47"/>
      <c r="FL617" s="47"/>
    </row>
    <row r="618" spans="164:168" ht="11.25" customHeight="1">
      <c r="FH618" s="50"/>
      <c r="FI618" s="47"/>
      <c r="FJ618" s="47"/>
      <c r="FK618" s="47"/>
      <c r="FL618" s="47"/>
    </row>
    <row r="619" spans="164:168" ht="11.25" customHeight="1">
      <c r="FH619" s="50"/>
      <c r="FI619" s="47"/>
      <c r="FJ619" s="47"/>
      <c r="FK619" s="47"/>
      <c r="FL619" s="47"/>
    </row>
    <row r="620" spans="164:168" ht="11.25" customHeight="1">
      <c r="FH620" s="50"/>
      <c r="FI620" s="47"/>
      <c r="FJ620" s="47"/>
      <c r="FK620" s="47"/>
      <c r="FL620" s="47"/>
    </row>
    <row r="621" spans="164:168" ht="11.25" customHeight="1">
      <c r="FH621" s="50"/>
      <c r="FI621" s="47"/>
      <c r="FJ621" s="47"/>
      <c r="FK621" s="47"/>
      <c r="FL621" s="47"/>
    </row>
    <row r="622" spans="164:168" ht="11.25" customHeight="1">
      <c r="FH622" s="50"/>
      <c r="FI622" s="47"/>
      <c r="FJ622" s="47"/>
      <c r="FK622" s="47"/>
      <c r="FL622" s="47"/>
    </row>
    <row r="623" spans="164:168" ht="11.25" customHeight="1">
      <c r="FH623" s="50"/>
      <c r="FI623" s="47"/>
      <c r="FJ623" s="47"/>
      <c r="FK623" s="47"/>
      <c r="FL623" s="47"/>
    </row>
    <row r="624" spans="164:168" ht="11.25" customHeight="1">
      <c r="FH624" s="50"/>
      <c r="FI624" s="47"/>
      <c r="FJ624" s="47"/>
      <c r="FK624" s="47"/>
      <c r="FL624" s="47"/>
    </row>
    <row r="625" spans="164:168" ht="11.25" customHeight="1">
      <c r="FH625" s="50"/>
      <c r="FI625" s="47"/>
      <c r="FJ625" s="47"/>
      <c r="FK625" s="47"/>
      <c r="FL625" s="47"/>
    </row>
    <row r="626" spans="164:168" ht="11.25" customHeight="1">
      <c r="FH626" s="50"/>
      <c r="FI626" s="47"/>
      <c r="FJ626" s="47"/>
      <c r="FK626" s="47"/>
      <c r="FL626" s="47"/>
    </row>
    <row r="627" spans="164:168" ht="11.25" customHeight="1">
      <c r="FH627" s="50"/>
      <c r="FI627" s="47"/>
      <c r="FJ627" s="47"/>
      <c r="FK627" s="47"/>
      <c r="FL627" s="47"/>
    </row>
    <row r="628" spans="164:168" ht="11.25" customHeight="1">
      <c r="FH628" s="50"/>
      <c r="FI628" s="47"/>
      <c r="FJ628" s="47"/>
      <c r="FK628" s="47"/>
      <c r="FL628" s="47"/>
    </row>
    <row r="629" spans="164:168" ht="11.25" customHeight="1">
      <c r="FH629" s="50"/>
      <c r="FI629" s="47"/>
      <c r="FJ629" s="47"/>
      <c r="FK629" s="47"/>
      <c r="FL629" s="47"/>
    </row>
    <row r="630" spans="164:168" ht="11.25" customHeight="1">
      <c r="FH630" s="50"/>
      <c r="FI630" s="47"/>
      <c r="FJ630" s="47"/>
      <c r="FK630" s="47"/>
      <c r="FL630" s="47"/>
    </row>
    <row r="631" spans="164:168" ht="11.25" customHeight="1">
      <c r="FH631" s="50"/>
      <c r="FI631" s="47"/>
      <c r="FJ631" s="47"/>
      <c r="FK631" s="47"/>
      <c r="FL631" s="47"/>
    </row>
    <row r="632" spans="164:168" ht="11.25" customHeight="1">
      <c r="FH632" s="50"/>
      <c r="FI632" s="47"/>
      <c r="FJ632" s="47"/>
      <c r="FK632" s="47"/>
      <c r="FL632" s="47"/>
    </row>
    <row r="633" spans="164:168" ht="11.25" customHeight="1">
      <c r="FH633" s="50"/>
      <c r="FI633" s="47"/>
      <c r="FJ633" s="47"/>
      <c r="FK633" s="47"/>
      <c r="FL633" s="47"/>
    </row>
    <row r="634" spans="164:168" ht="11.25" customHeight="1">
      <c r="FH634" s="50"/>
      <c r="FI634" s="47"/>
      <c r="FJ634" s="47"/>
      <c r="FK634" s="47"/>
      <c r="FL634" s="47"/>
    </row>
    <row r="635" spans="164:168" ht="11.25" customHeight="1">
      <c r="FH635" s="50"/>
      <c r="FI635" s="47"/>
      <c r="FJ635" s="47"/>
      <c r="FK635" s="47"/>
      <c r="FL635" s="47"/>
    </row>
    <row r="636" spans="164:168" ht="11.25" customHeight="1">
      <c r="FH636" s="50"/>
      <c r="FI636" s="47"/>
      <c r="FJ636" s="47"/>
      <c r="FK636" s="47"/>
      <c r="FL636" s="47"/>
    </row>
    <row r="637" spans="164:168" ht="11.25" customHeight="1">
      <c r="FH637" s="50"/>
      <c r="FI637" s="47"/>
      <c r="FJ637" s="47"/>
      <c r="FK637" s="47"/>
      <c r="FL637" s="47"/>
    </row>
    <row r="638" spans="164:168" ht="11.25" customHeight="1">
      <c r="FH638" s="50"/>
      <c r="FI638" s="47"/>
      <c r="FJ638" s="47"/>
      <c r="FK638" s="47"/>
      <c r="FL638" s="47"/>
    </row>
    <row r="639" spans="164:168" ht="11.25" customHeight="1">
      <c r="FH639" s="50"/>
      <c r="FI639" s="47"/>
      <c r="FJ639" s="47"/>
      <c r="FK639" s="47"/>
      <c r="FL639" s="47"/>
    </row>
    <row r="640" spans="164:168" ht="11.25" customHeight="1">
      <c r="FH640" s="50"/>
      <c r="FI640" s="47"/>
      <c r="FJ640" s="47"/>
      <c r="FK640" s="47"/>
      <c r="FL640" s="47"/>
    </row>
    <row r="641" spans="164:168" ht="11.25" customHeight="1">
      <c r="FH641" s="50"/>
      <c r="FI641" s="47"/>
      <c r="FJ641" s="47"/>
      <c r="FK641" s="47"/>
      <c r="FL641" s="47"/>
    </row>
    <row r="642" spans="164:168" ht="11.25" customHeight="1">
      <c r="FH642" s="50"/>
      <c r="FI642" s="47"/>
      <c r="FJ642" s="47"/>
      <c r="FK642" s="47"/>
      <c r="FL642" s="47"/>
    </row>
    <row r="643" spans="164:168" ht="11.25" customHeight="1">
      <c r="FH643" s="50"/>
      <c r="FI643" s="47"/>
      <c r="FJ643" s="47"/>
      <c r="FK643" s="47"/>
      <c r="FL643" s="47"/>
    </row>
    <row r="644" spans="164:168" ht="11.25" customHeight="1">
      <c r="FH644" s="50"/>
      <c r="FI644" s="47"/>
      <c r="FJ644" s="47"/>
      <c r="FK644" s="47"/>
      <c r="FL644" s="47"/>
    </row>
    <row r="645" spans="164:168" ht="11.25" customHeight="1">
      <c r="FH645" s="50"/>
      <c r="FI645" s="47"/>
      <c r="FJ645" s="47"/>
      <c r="FK645" s="47"/>
      <c r="FL645" s="47"/>
    </row>
    <row r="646" spans="164:168" ht="11.25" customHeight="1">
      <c r="FH646" s="50"/>
      <c r="FI646" s="47"/>
      <c r="FJ646" s="47"/>
      <c r="FK646" s="47"/>
      <c r="FL646" s="47"/>
    </row>
    <row r="647" spans="164:168" ht="11.25" customHeight="1">
      <c r="FH647" s="50"/>
      <c r="FI647" s="47"/>
      <c r="FJ647" s="47"/>
      <c r="FK647" s="47"/>
      <c r="FL647" s="47"/>
    </row>
    <row r="648" spans="164:168" ht="11.25" customHeight="1">
      <c r="FH648" s="50"/>
      <c r="FI648" s="47"/>
      <c r="FJ648" s="47"/>
      <c r="FK648" s="47"/>
      <c r="FL648" s="47"/>
    </row>
    <row r="649" spans="164:168" ht="11.25" customHeight="1">
      <c r="FH649" s="50"/>
      <c r="FI649" s="47"/>
      <c r="FJ649" s="47"/>
      <c r="FK649" s="47"/>
      <c r="FL649" s="47"/>
    </row>
    <row r="650" spans="164:168" ht="11.25" customHeight="1">
      <c r="FH650" s="50"/>
      <c r="FI650" s="47"/>
      <c r="FJ650" s="47"/>
      <c r="FK650" s="47"/>
      <c r="FL650" s="47"/>
    </row>
    <row r="651" spans="164:168" ht="11.25" customHeight="1">
      <c r="FH651" s="50"/>
      <c r="FI651" s="47"/>
      <c r="FJ651" s="47"/>
      <c r="FK651" s="47"/>
      <c r="FL651" s="47"/>
    </row>
    <row r="652" spans="164:168" ht="11.25" customHeight="1">
      <c r="FH652" s="50"/>
      <c r="FI652" s="47"/>
      <c r="FJ652" s="47"/>
      <c r="FK652" s="47"/>
      <c r="FL652" s="47"/>
    </row>
    <row r="653" spans="164:168" ht="11.25" customHeight="1">
      <c r="FH653" s="50"/>
      <c r="FI653" s="47"/>
      <c r="FJ653" s="47"/>
      <c r="FK653" s="47"/>
      <c r="FL653" s="47"/>
    </row>
    <row r="654" spans="164:168" ht="11.25" customHeight="1">
      <c r="FH654" s="50"/>
      <c r="FI654" s="47"/>
      <c r="FJ654" s="47"/>
      <c r="FK654" s="47"/>
      <c r="FL654" s="47"/>
    </row>
    <row r="655" spans="164:168" ht="11.25" customHeight="1">
      <c r="FH655" s="50"/>
      <c r="FI655" s="47"/>
      <c r="FJ655" s="47"/>
      <c r="FK655" s="47"/>
      <c r="FL655" s="47"/>
    </row>
    <row r="656" spans="164:168" ht="11.25" customHeight="1">
      <c r="FH656" s="50"/>
      <c r="FI656" s="47"/>
      <c r="FJ656" s="47"/>
      <c r="FK656" s="47"/>
      <c r="FL656" s="47"/>
    </row>
    <row r="657" spans="164:168" ht="11.25" customHeight="1">
      <c r="FH657" s="50"/>
      <c r="FI657" s="47"/>
      <c r="FJ657" s="47"/>
      <c r="FK657" s="47"/>
      <c r="FL657" s="47"/>
    </row>
    <row r="658" spans="164:168" ht="11.25" customHeight="1">
      <c r="FH658" s="50"/>
      <c r="FI658" s="47"/>
      <c r="FJ658" s="47"/>
      <c r="FK658" s="47"/>
      <c r="FL658" s="47"/>
    </row>
    <row r="659" spans="164:168" ht="11.25" customHeight="1">
      <c r="FH659" s="50"/>
      <c r="FI659" s="47"/>
      <c r="FJ659" s="47"/>
      <c r="FK659" s="47"/>
      <c r="FL659" s="47"/>
    </row>
    <row r="660" spans="164:168" ht="11.25" customHeight="1">
      <c r="FH660" s="50"/>
      <c r="FI660" s="47"/>
      <c r="FJ660" s="47"/>
      <c r="FK660" s="47"/>
      <c r="FL660" s="47"/>
    </row>
    <row r="661" spans="164:168" ht="11.25" customHeight="1">
      <c r="FH661" s="50"/>
      <c r="FI661" s="47"/>
      <c r="FJ661" s="47"/>
      <c r="FK661" s="47"/>
      <c r="FL661" s="47"/>
    </row>
    <row r="662" spans="164:168" ht="11.25" customHeight="1">
      <c r="FH662" s="50"/>
      <c r="FI662" s="47"/>
      <c r="FJ662" s="47"/>
      <c r="FK662" s="47"/>
      <c r="FL662" s="47"/>
    </row>
    <row r="663" spans="164:168" ht="11.25" customHeight="1">
      <c r="FH663" s="50"/>
      <c r="FI663" s="47"/>
      <c r="FJ663" s="47"/>
      <c r="FK663" s="47"/>
      <c r="FL663" s="47"/>
    </row>
    <row r="664" spans="164:168" ht="11.25" customHeight="1">
      <c r="FH664" s="50"/>
      <c r="FI664" s="47"/>
      <c r="FJ664" s="47"/>
      <c r="FK664" s="47"/>
      <c r="FL664" s="47"/>
    </row>
    <row r="665" spans="164:168" ht="11.25" customHeight="1">
      <c r="FH665" s="50"/>
      <c r="FI665" s="47"/>
      <c r="FJ665" s="47"/>
      <c r="FK665" s="47"/>
      <c r="FL665" s="47"/>
    </row>
    <row r="666" spans="164:168" ht="11.25" customHeight="1">
      <c r="FH666" s="50"/>
      <c r="FI666" s="47"/>
      <c r="FJ666" s="47"/>
      <c r="FK666" s="47"/>
      <c r="FL666" s="47"/>
    </row>
    <row r="667" spans="164:168" ht="11.25" customHeight="1">
      <c r="FH667" s="50"/>
      <c r="FI667" s="47"/>
      <c r="FJ667" s="47"/>
      <c r="FK667" s="47"/>
      <c r="FL667" s="47"/>
    </row>
    <row r="668" spans="164:168" ht="11.25" customHeight="1">
      <c r="FH668" s="50"/>
      <c r="FI668" s="47"/>
      <c r="FJ668" s="47"/>
      <c r="FK668" s="47"/>
      <c r="FL668" s="47"/>
    </row>
    <row r="669" spans="164:168" ht="11.25" customHeight="1">
      <c r="FH669" s="50"/>
      <c r="FI669" s="47"/>
      <c r="FJ669" s="47"/>
      <c r="FK669" s="47"/>
      <c r="FL669" s="47"/>
    </row>
    <row r="670" spans="164:168" ht="11.25" customHeight="1">
      <c r="FH670" s="50"/>
      <c r="FI670" s="47"/>
      <c r="FJ670" s="47"/>
      <c r="FK670" s="47"/>
      <c r="FL670" s="47"/>
    </row>
    <row r="671" spans="164:168" ht="11.25" customHeight="1">
      <c r="FH671" s="50"/>
      <c r="FI671" s="47"/>
      <c r="FJ671" s="47"/>
      <c r="FK671" s="47"/>
      <c r="FL671" s="47"/>
    </row>
    <row r="672" spans="164:168" ht="11.25" customHeight="1">
      <c r="FH672" s="50"/>
      <c r="FI672" s="47"/>
      <c r="FJ672" s="47"/>
      <c r="FK672" s="47"/>
      <c r="FL672" s="47"/>
    </row>
    <row r="673" spans="164:168" ht="11.25" customHeight="1">
      <c r="FH673" s="50"/>
      <c r="FI673" s="47"/>
      <c r="FJ673" s="47"/>
      <c r="FK673" s="47"/>
      <c r="FL673" s="47"/>
    </row>
    <row r="674" spans="164:168" ht="11.25" customHeight="1">
      <c r="FH674" s="50"/>
      <c r="FI674" s="47"/>
      <c r="FJ674" s="47"/>
      <c r="FK674" s="47"/>
      <c r="FL674" s="47"/>
    </row>
    <row r="675" spans="164:168" ht="11.25" customHeight="1">
      <c r="FH675" s="50"/>
      <c r="FI675" s="47"/>
      <c r="FJ675" s="47"/>
      <c r="FK675" s="47"/>
      <c r="FL675" s="47"/>
    </row>
    <row r="676" spans="164:168" ht="11.25" customHeight="1">
      <c r="FH676" s="50"/>
      <c r="FI676" s="47"/>
      <c r="FJ676" s="47"/>
      <c r="FK676" s="47"/>
      <c r="FL676" s="47"/>
    </row>
    <row r="677" spans="164:168" ht="11.25" customHeight="1">
      <c r="FH677" s="50"/>
      <c r="FI677" s="47"/>
      <c r="FJ677" s="47"/>
      <c r="FK677" s="47"/>
      <c r="FL677" s="47"/>
    </row>
    <row r="678" spans="164:168" ht="11.25" customHeight="1">
      <c r="FH678" s="50"/>
      <c r="FI678" s="47"/>
      <c r="FJ678" s="47"/>
      <c r="FK678" s="47"/>
      <c r="FL678" s="47"/>
    </row>
    <row r="679" spans="164:168" ht="11.25" customHeight="1">
      <c r="FH679" s="50"/>
      <c r="FI679" s="47"/>
      <c r="FJ679" s="47"/>
      <c r="FK679" s="47"/>
      <c r="FL679" s="47"/>
    </row>
    <row r="680" spans="164:168" ht="11.25" customHeight="1">
      <c r="FH680" s="50"/>
      <c r="FI680" s="47"/>
      <c r="FJ680" s="47"/>
      <c r="FK680" s="47"/>
      <c r="FL680" s="47"/>
    </row>
    <row r="681" spans="164:168" ht="11.25" customHeight="1">
      <c r="FH681" s="50"/>
      <c r="FI681" s="47"/>
      <c r="FJ681" s="47"/>
      <c r="FK681" s="47"/>
      <c r="FL681" s="47"/>
    </row>
    <row r="682" spans="164:168" ht="11.25" customHeight="1">
      <c r="FH682" s="50"/>
      <c r="FI682" s="47"/>
      <c r="FJ682" s="47"/>
      <c r="FK682" s="47"/>
      <c r="FL682" s="47"/>
    </row>
    <row r="683" spans="164:168" ht="11.25" customHeight="1">
      <c r="FH683" s="50"/>
      <c r="FI683" s="47"/>
      <c r="FJ683" s="47"/>
      <c r="FK683" s="47"/>
      <c r="FL683" s="47"/>
    </row>
    <row r="684" spans="164:168" ht="11.25" customHeight="1">
      <c r="FH684" s="50"/>
      <c r="FI684" s="47"/>
      <c r="FJ684" s="47"/>
      <c r="FK684" s="47"/>
      <c r="FL684" s="47"/>
    </row>
    <row r="685" spans="164:168" ht="11.25" customHeight="1">
      <c r="FH685" s="50"/>
      <c r="FI685" s="47"/>
      <c r="FJ685" s="47"/>
      <c r="FK685" s="47"/>
      <c r="FL685" s="47"/>
    </row>
    <row r="686" spans="164:168" ht="11.25" customHeight="1">
      <c r="FH686" s="50"/>
      <c r="FI686" s="47"/>
      <c r="FJ686" s="47"/>
      <c r="FK686" s="47"/>
      <c r="FL686" s="47"/>
    </row>
    <row r="687" spans="164:168" ht="11.25" customHeight="1">
      <c r="FH687" s="50"/>
      <c r="FI687" s="47"/>
      <c r="FJ687" s="47"/>
      <c r="FK687" s="47"/>
      <c r="FL687" s="47"/>
    </row>
    <row r="688" spans="164:168" ht="11.25" customHeight="1">
      <c r="FH688" s="50"/>
      <c r="FI688" s="47"/>
      <c r="FJ688" s="47"/>
      <c r="FK688" s="47"/>
      <c r="FL688" s="47"/>
    </row>
    <row r="689" spans="164:168" ht="11.25" customHeight="1">
      <c r="FH689" s="50"/>
      <c r="FI689" s="47"/>
      <c r="FJ689" s="47"/>
      <c r="FK689" s="47"/>
      <c r="FL689" s="47"/>
    </row>
    <row r="690" spans="164:168" ht="11.25" customHeight="1">
      <c r="FH690" s="50"/>
      <c r="FI690" s="47"/>
      <c r="FJ690" s="47"/>
      <c r="FK690" s="47"/>
      <c r="FL690" s="47"/>
    </row>
    <row r="691" spans="164:168" ht="11.25" customHeight="1">
      <c r="FH691" s="50"/>
      <c r="FI691" s="47"/>
      <c r="FJ691" s="47"/>
      <c r="FK691" s="47"/>
      <c r="FL691" s="47"/>
    </row>
    <row r="692" spans="164:168" ht="11.25" customHeight="1">
      <c r="FH692" s="50"/>
      <c r="FI692" s="47"/>
      <c r="FJ692" s="47"/>
      <c r="FK692" s="47"/>
      <c r="FL692" s="47"/>
    </row>
    <row r="693" spans="164:168" ht="11.25" customHeight="1">
      <c r="FH693" s="50"/>
      <c r="FI693" s="47"/>
      <c r="FJ693" s="47"/>
      <c r="FK693" s="47"/>
      <c r="FL693" s="47"/>
    </row>
    <row r="694" spans="164:168" ht="11.25" customHeight="1">
      <c r="FH694" s="50"/>
      <c r="FI694" s="47"/>
      <c r="FJ694" s="47"/>
      <c r="FK694" s="47"/>
      <c r="FL694" s="47"/>
    </row>
    <row r="695" spans="164:168" ht="11.25" customHeight="1">
      <c r="FH695" s="50"/>
      <c r="FI695" s="47"/>
      <c r="FJ695" s="47"/>
      <c r="FK695" s="47"/>
      <c r="FL695" s="47"/>
    </row>
    <row r="696" spans="164:168" ht="11.25" customHeight="1">
      <c r="FH696" s="50"/>
      <c r="FI696" s="47"/>
      <c r="FJ696" s="47"/>
      <c r="FK696" s="47"/>
      <c r="FL696" s="47"/>
    </row>
    <row r="697" spans="164:168" ht="11.25" customHeight="1">
      <c r="FH697" s="50"/>
      <c r="FI697" s="47"/>
      <c r="FJ697" s="47"/>
      <c r="FK697" s="47"/>
      <c r="FL697" s="47"/>
    </row>
    <row r="698" spans="164:168" ht="11.25" customHeight="1">
      <c r="FH698" s="50"/>
      <c r="FI698" s="47"/>
      <c r="FJ698" s="47"/>
      <c r="FK698" s="47"/>
      <c r="FL698" s="47"/>
    </row>
    <row r="699" spans="164:168" ht="11.25" customHeight="1">
      <c r="FH699" s="50"/>
      <c r="FI699" s="47"/>
      <c r="FJ699" s="47"/>
      <c r="FK699" s="47"/>
      <c r="FL699" s="47"/>
    </row>
    <row r="700" spans="164:168" ht="11.25" customHeight="1">
      <c r="FH700" s="50"/>
      <c r="FI700" s="47"/>
      <c r="FJ700" s="47"/>
      <c r="FK700" s="47"/>
      <c r="FL700" s="47"/>
    </row>
    <row r="701" spans="164:168" ht="11.25" customHeight="1">
      <c r="FH701" s="50"/>
      <c r="FI701" s="47"/>
      <c r="FJ701" s="47"/>
      <c r="FK701" s="47"/>
      <c r="FL701" s="47"/>
    </row>
    <row r="702" spans="164:168" ht="11.25" customHeight="1">
      <c r="FH702" s="50"/>
      <c r="FI702" s="47"/>
      <c r="FJ702" s="47"/>
      <c r="FK702" s="47"/>
      <c r="FL702" s="47"/>
    </row>
    <row r="703" spans="164:168" ht="11.25" customHeight="1">
      <c r="FH703" s="50"/>
      <c r="FI703" s="47"/>
      <c r="FJ703" s="47"/>
      <c r="FK703" s="47"/>
      <c r="FL703" s="47"/>
    </row>
    <row r="704" spans="164:168" ht="11.25" customHeight="1">
      <c r="FH704" s="50"/>
      <c r="FI704" s="47"/>
      <c r="FJ704" s="47"/>
      <c r="FK704" s="47"/>
      <c r="FL704" s="47"/>
    </row>
    <row r="705" spans="164:168" ht="11.25" customHeight="1">
      <c r="FH705" s="50"/>
      <c r="FI705" s="47"/>
      <c r="FJ705" s="47"/>
      <c r="FK705" s="47"/>
      <c r="FL705" s="47"/>
    </row>
    <row r="706" spans="164:168" ht="11.25" customHeight="1">
      <c r="FH706" s="50"/>
      <c r="FI706" s="47"/>
      <c r="FJ706" s="47"/>
      <c r="FK706" s="47"/>
      <c r="FL706" s="47"/>
    </row>
    <row r="707" spans="164:168" ht="11.25" customHeight="1">
      <c r="FH707" s="50"/>
      <c r="FI707" s="47"/>
      <c r="FJ707" s="47"/>
      <c r="FK707" s="47"/>
      <c r="FL707" s="47"/>
    </row>
    <row r="708" spans="164:168" ht="11.25" customHeight="1">
      <c r="FH708" s="50"/>
      <c r="FI708" s="47"/>
      <c r="FJ708" s="47"/>
      <c r="FK708" s="47"/>
      <c r="FL708" s="47"/>
    </row>
    <row r="709" spans="164:168" ht="11.25" customHeight="1">
      <c r="FH709" s="50"/>
      <c r="FI709" s="47"/>
      <c r="FJ709" s="47"/>
      <c r="FK709" s="47"/>
      <c r="FL709" s="47"/>
    </row>
    <row r="710" spans="164:168" ht="11.25" customHeight="1">
      <c r="FH710" s="50"/>
      <c r="FI710" s="47"/>
      <c r="FJ710" s="47"/>
      <c r="FK710" s="47"/>
      <c r="FL710" s="47"/>
    </row>
    <row r="711" spans="164:168" ht="11.25" customHeight="1">
      <c r="FH711" s="50"/>
      <c r="FI711" s="47"/>
      <c r="FJ711" s="47"/>
      <c r="FK711" s="47"/>
      <c r="FL711" s="47"/>
    </row>
    <row r="712" spans="164:168" ht="11.25" customHeight="1">
      <c r="FH712" s="50"/>
      <c r="FI712" s="47"/>
      <c r="FJ712" s="47"/>
      <c r="FK712" s="47"/>
      <c r="FL712" s="47"/>
    </row>
    <row r="713" spans="164:168" ht="11.25" customHeight="1">
      <c r="FH713" s="50"/>
      <c r="FI713" s="47"/>
      <c r="FJ713" s="47"/>
      <c r="FK713" s="47"/>
      <c r="FL713" s="47"/>
    </row>
    <row r="714" spans="164:168" ht="11.25" customHeight="1">
      <c r="FH714" s="50"/>
      <c r="FI714" s="47"/>
      <c r="FJ714" s="47"/>
      <c r="FK714" s="47"/>
      <c r="FL714" s="47"/>
    </row>
    <row r="715" spans="164:168" ht="11.25" customHeight="1">
      <c r="FH715" s="50"/>
      <c r="FI715" s="47"/>
      <c r="FJ715" s="47"/>
      <c r="FK715" s="47"/>
      <c r="FL715" s="47"/>
    </row>
    <row r="716" spans="164:168" ht="11.25" customHeight="1">
      <c r="FH716" s="50"/>
      <c r="FI716" s="47"/>
      <c r="FJ716" s="47"/>
      <c r="FK716" s="47"/>
      <c r="FL716" s="47"/>
    </row>
    <row r="717" spans="164:168" ht="11.25" customHeight="1">
      <c r="FH717" s="50"/>
      <c r="FI717" s="47"/>
      <c r="FJ717" s="47"/>
      <c r="FK717" s="47"/>
      <c r="FL717" s="47"/>
    </row>
    <row r="718" spans="164:168" ht="11.25" customHeight="1">
      <c r="FH718" s="50"/>
      <c r="FI718" s="47"/>
      <c r="FJ718" s="47"/>
      <c r="FK718" s="47"/>
      <c r="FL718" s="47"/>
    </row>
    <row r="719" spans="164:168" ht="11.25" customHeight="1">
      <c r="FH719" s="50"/>
      <c r="FI719" s="47"/>
      <c r="FJ719" s="47"/>
      <c r="FK719" s="47"/>
      <c r="FL719" s="47"/>
    </row>
    <row r="720" spans="164:168" ht="11.25" customHeight="1">
      <c r="FH720" s="50"/>
      <c r="FI720" s="47"/>
      <c r="FJ720" s="47"/>
      <c r="FK720" s="47"/>
      <c r="FL720" s="47"/>
    </row>
    <row r="721" spans="164:168" ht="11.25" customHeight="1">
      <c r="FH721" s="50"/>
      <c r="FI721" s="47"/>
      <c r="FJ721" s="47"/>
      <c r="FK721" s="47"/>
      <c r="FL721" s="47"/>
    </row>
    <row r="722" spans="164:168" ht="11.25" customHeight="1">
      <c r="FH722" s="50"/>
      <c r="FI722" s="47"/>
      <c r="FJ722" s="47"/>
      <c r="FK722" s="47"/>
      <c r="FL722" s="47"/>
    </row>
    <row r="723" spans="164:168" ht="11.25" customHeight="1">
      <c r="FH723" s="50"/>
      <c r="FI723" s="47"/>
      <c r="FJ723" s="47"/>
      <c r="FK723" s="47"/>
      <c r="FL723" s="47"/>
    </row>
    <row r="724" spans="164:168" ht="11.25" customHeight="1">
      <c r="FH724" s="50"/>
      <c r="FI724" s="47"/>
      <c r="FJ724" s="47"/>
      <c r="FK724" s="47"/>
      <c r="FL724" s="47"/>
    </row>
    <row r="725" spans="164:168" ht="11.25" customHeight="1">
      <c r="FH725" s="50"/>
      <c r="FI725" s="47"/>
      <c r="FJ725" s="47"/>
      <c r="FK725" s="47"/>
      <c r="FL725" s="47"/>
    </row>
    <row r="726" spans="164:168" ht="11.25" customHeight="1">
      <c r="FH726" s="50"/>
      <c r="FI726" s="47"/>
      <c r="FJ726" s="47"/>
      <c r="FK726" s="47"/>
      <c r="FL726" s="47"/>
    </row>
    <row r="727" spans="164:168" ht="11.25" customHeight="1">
      <c r="FH727" s="50"/>
      <c r="FI727" s="47"/>
      <c r="FJ727" s="47"/>
      <c r="FK727" s="47"/>
      <c r="FL727" s="47"/>
    </row>
    <row r="728" spans="164:168" ht="11.25" customHeight="1">
      <c r="FH728" s="50"/>
      <c r="FI728" s="47"/>
      <c r="FJ728" s="47"/>
      <c r="FK728" s="47"/>
      <c r="FL728" s="47"/>
    </row>
    <row r="729" spans="164:168" ht="11.25" customHeight="1">
      <c r="FH729" s="50"/>
      <c r="FI729" s="47"/>
      <c r="FJ729" s="47"/>
      <c r="FK729" s="47"/>
      <c r="FL729" s="47"/>
    </row>
    <row r="730" spans="164:168" ht="11.25" customHeight="1">
      <c r="FH730" s="50"/>
      <c r="FI730" s="47"/>
      <c r="FJ730" s="47"/>
      <c r="FK730" s="47"/>
      <c r="FL730" s="47"/>
    </row>
    <row r="731" spans="164:168" ht="11.25" customHeight="1">
      <c r="FH731" s="50"/>
      <c r="FI731" s="47"/>
      <c r="FJ731" s="47"/>
      <c r="FK731" s="47"/>
      <c r="FL731" s="47"/>
    </row>
    <row r="732" spans="164:168" ht="11.25" customHeight="1">
      <c r="FH732" s="50"/>
      <c r="FI732" s="47"/>
      <c r="FJ732" s="47"/>
      <c r="FK732" s="47"/>
      <c r="FL732" s="47"/>
    </row>
    <row r="733" spans="164:168" ht="11.25" customHeight="1">
      <c r="FH733" s="50"/>
      <c r="FI733" s="47"/>
      <c r="FJ733" s="47"/>
      <c r="FK733" s="47"/>
      <c r="FL733" s="47"/>
    </row>
    <row r="734" spans="164:168" ht="11.25" customHeight="1">
      <c r="FH734" s="50"/>
      <c r="FI734" s="47"/>
      <c r="FJ734" s="47"/>
      <c r="FK734" s="47"/>
      <c r="FL734" s="47"/>
    </row>
    <row r="735" spans="164:168" ht="11.25" customHeight="1">
      <c r="FH735" s="50"/>
      <c r="FI735" s="47"/>
      <c r="FJ735" s="47"/>
      <c r="FK735" s="47"/>
      <c r="FL735" s="47"/>
    </row>
    <row r="736" spans="164:168" ht="11.25" customHeight="1">
      <c r="FH736" s="50"/>
      <c r="FI736" s="47"/>
      <c r="FJ736" s="47"/>
      <c r="FK736" s="47"/>
      <c r="FL736" s="47"/>
    </row>
    <row r="737" spans="164:168" ht="11.25" customHeight="1">
      <c r="FH737" s="50"/>
      <c r="FI737" s="47"/>
      <c r="FJ737" s="47"/>
      <c r="FK737" s="47"/>
      <c r="FL737" s="47"/>
    </row>
    <row r="738" spans="164:168" ht="11.25" customHeight="1">
      <c r="FH738" s="50"/>
      <c r="FI738" s="47"/>
      <c r="FJ738" s="47"/>
      <c r="FK738" s="47"/>
      <c r="FL738" s="47"/>
    </row>
    <row r="739" spans="164:168" ht="11.25" customHeight="1">
      <c r="FH739" s="50"/>
      <c r="FI739" s="47"/>
      <c r="FJ739" s="47"/>
      <c r="FK739" s="47"/>
      <c r="FL739" s="47"/>
    </row>
    <row r="740" spans="164:168" ht="11.25" customHeight="1">
      <c r="FH740" s="50"/>
      <c r="FI740" s="47"/>
      <c r="FJ740" s="47"/>
      <c r="FK740" s="47"/>
      <c r="FL740" s="47"/>
    </row>
    <row r="741" spans="164:168" ht="11.25" customHeight="1">
      <c r="FH741" s="50"/>
      <c r="FI741" s="47"/>
      <c r="FJ741" s="47"/>
      <c r="FK741" s="47"/>
      <c r="FL741" s="47"/>
    </row>
    <row r="742" spans="164:168" ht="11.25" customHeight="1">
      <c r="FH742" s="50"/>
      <c r="FI742" s="47"/>
      <c r="FJ742" s="47"/>
      <c r="FK742" s="47"/>
      <c r="FL742" s="47"/>
    </row>
    <row r="743" spans="164:168" ht="11.25" customHeight="1">
      <c r="FH743" s="50"/>
      <c r="FI743" s="47"/>
      <c r="FJ743" s="47"/>
      <c r="FK743" s="47"/>
      <c r="FL743" s="47"/>
    </row>
    <row r="744" spans="164:168" ht="11.25" customHeight="1">
      <c r="FH744" s="50"/>
      <c r="FI744" s="47"/>
      <c r="FJ744" s="47"/>
      <c r="FK744" s="47"/>
      <c r="FL744" s="47"/>
    </row>
    <row r="745" spans="164:168" ht="11.25" customHeight="1">
      <c r="FH745" s="50"/>
      <c r="FI745" s="47"/>
      <c r="FJ745" s="47"/>
      <c r="FK745" s="47"/>
      <c r="FL745" s="47"/>
    </row>
    <row r="746" spans="164:168" ht="11.25" customHeight="1">
      <c r="FH746" s="50"/>
      <c r="FI746" s="47"/>
      <c r="FJ746" s="47"/>
      <c r="FK746" s="47"/>
      <c r="FL746" s="47"/>
    </row>
    <row r="747" spans="164:168" ht="11.25" customHeight="1">
      <c r="FH747" s="50"/>
      <c r="FI747" s="47"/>
      <c r="FJ747" s="47"/>
      <c r="FK747" s="47"/>
      <c r="FL747" s="47"/>
    </row>
    <row r="748" spans="164:168" ht="11.25" customHeight="1">
      <c r="FH748" s="50"/>
      <c r="FI748" s="47"/>
      <c r="FJ748" s="47"/>
      <c r="FK748" s="47"/>
      <c r="FL748" s="47"/>
    </row>
    <row r="749" spans="164:168" ht="11.25" customHeight="1">
      <c r="FH749" s="50"/>
      <c r="FI749" s="47"/>
      <c r="FJ749" s="47"/>
      <c r="FK749" s="47"/>
      <c r="FL749" s="47"/>
    </row>
    <row r="750" spans="164:168" ht="11.25" customHeight="1">
      <c r="FH750" s="50"/>
      <c r="FI750" s="47"/>
      <c r="FJ750" s="47"/>
      <c r="FK750" s="47"/>
      <c r="FL750" s="47"/>
    </row>
    <row r="751" spans="164:168" ht="11.25" customHeight="1">
      <c r="FH751" s="50"/>
      <c r="FI751" s="47"/>
      <c r="FJ751" s="47"/>
      <c r="FK751" s="47"/>
      <c r="FL751" s="47"/>
    </row>
    <row r="752" spans="164:168" ht="11.25" customHeight="1">
      <c r="FH752" s="50"/>
      <c r="FI752" s="47"/>
      <c r="FJ752" s="47"/>
      <c r="FK752" s="47"/>
      <c r="FL752" s="47"/>
    </row>
    <row r="753" spans="164:168" ht="11.25" customHeight="1">
      <c r="FH753" s="50"/>
      <c r="FI753" s="47"/>
      <c r="FJ753" s="47"/>
      <c r="FK753" s="47"/>
      <c r="FL753" s="47"/>
    </row>
    <row r="754" spans="164:168" ht="11.25" customHeight="1">
      <c r="FH754" s="50"/>
      <c r="FI754" s="47"/>
      <c r="FJ754" s="47"/>
      <c r="FK754" s="47"/>
      <c r="FL754" s="47"/>
    </row>
    <row r="755" spans="164:168" ht="11.25" customHeight="1">
      <c r="FH755" s="50"/>
      <c r="FI755" s="47"/>
      <c r="FJ755" s="47"/>
      <c r="FK755" s="47"/>
      <c r="FL755" s="47"/>
    </row>
    <row r="756" spans="164:168" ht="11.25" customHeight="1">
      <c r="FH756" s="50"/>
      <c r="FI756" s="47"/>
      <c r="FJ756" s="47"/>
      <c r="FK756" s="47"/>
      <c r="FL756" s="47"/>
    </row>
    <row r="757" spans="164:168" ht="11.25" customHeight="1">
      <c r="FH757" s="50"/>
      <c r="FI757" s="47"/>
      <c r="FJ757" s="47"/>
      <c r="FK757" s="47"/>
      <c r="FL757" s="47"/>
    </row>
    <row r="758" spans="164:168" ht="11.25" customHeight="1">
      <c r="FH758" s="50"/>
      <c r="FI758" s="47"/>
      <c r="FJ758" s="47"/>
      <c r="FK758" s="47"/>
      <c r="FL758" s="47"/>
    </row>
    <row r="759" spans="164:168" ht="11.25" customHeight="1">
      <c r="FH759" s="50"/>
      <c r="FI759" s="47"/>
      <c r="FJ759" s="47"/>
      <c r="FK759" s="47"/>
      <c r="FL759" s="47"/>
    </row>
    <row r="760" spans="164:168" ht="11.25" customHeight="1">
      <c r="FH760" s="50"/>
      <c r="FI760" s="47"/>
      <c r="FJ760" s="47"/>
      <c r="FK760" s="47"/>
      <c r="FL760" s="47"/>
    </row>
    <row r="761" spans="164:168" ht="11.25" customHeight="1">
      <c r="FH761" s="50"/>
      <c r="FI761" s="47"/>
      <c r="FJ761" s="47"/>
      <c r="FK761" s="47"/>
      <c r="FL761" s="47"/>
    </row>
    <row r="762" spans="164:168" ht="11.25" customHeight="1">
      <c r="FH762" s="50"/>
      <c r="FI762" s="47"/>
      <c r="FJ762" s="47"/>
      <c r="FK762" s="47"/>
      <c r="FL762" s="47"/>
    </row>
    <row r="763" spans="164:168" ht="11.25" customHeight="1">
      <c r="FH763" s="50"/>
      <c r="FI763" s="47"/>
      <c r="FJ763" s="47"/>
      <c r="FK763" s="47"/>
      <c r="FL763" s="47"/>
    </row>
    <row r="764" spans="164:168" ht="11.25" customHeight="1">
      <c r="FH764" s="50"/>
      <c r="FI764" s="47"/>
      <c r="FJ764" s="47"/>
      <c r="FK764" s="47"/>
      <c r="FL764" s="47"/>
    </row>
    <row r="765" spans="164:168" ht="11.25" customHeight="1">
      <c r="FH765" s="50"/>
      <c r="FI765" s="47"/>
      <c r="FJ765" s="47"/>
      <c r="FK765" s="47"/>
      <c r="FL765" s="47"/>
    </row>
    <row r="766" spans="164:168" ht="11.25" customHeight="1">
      <c r="FH766" s="50"/>
      <c r="FI766" s="47"/>
      <c r="FJ766" s="47"/>
      <c r="FK766" s="47"/>
      <c r="FL766" s="47"/>
    </row>
    <row r="767" spans="164:168" ht="11.25" customHeight="1">
      <c r="FH767" s="50"/>
      <c r="FI767" s="47"/>
      <c r="FJ767" s="47"/>
      <c r="FK767" s="47"/>
      <c r="FL767" s="47"/>
    </row>
    <row r="768" spans="164:168" ht="11.25" customHeight="1">
      <c r="FH768" s="50"/>
      <c r="FI768" s="47"/>
      <c r="FJ768" s="47"/>
      <c r="FK768" s="47"/>
      <c r="FL768" s="47"/>
    </row>
    <row r="769" spans="164:168" ht="11.25" customHeight="1">
      <c r="FH769" s="50"/>
      <c r="FI769" s="47"/>
      <c r="FJ769" s="47"/>
      <c r="FK769" s="47"/>
      <c r="FL769" s="47"/>
    </row>
    <row r="770" spans="164:168" ht="11.25" customHeight="1">
      <c r="FH770" s="50"/>
      <c r="FI770" s="47"/>
      <c r="FJ770" s="47"/>
      <c r="FK770" s="47"/>
      <c r="FL770" s="47"/>
    </row>
    <row r="771" spans="164:168" ht="11.25" customHeight="1">
      <c r="FH771" s="50"/>
      <c r="FI771" s="47"/>
      <c r="FJ771" s="47"/>
      <c r="FK771" s="47"/>
      <c r="FL771" s="47"/>
    </row>
    <row r="772" spans="164:168" ht="11.25" customHeight="1">
      <c r="FH772" s="50"/>
      <c r="FI772" s="47"/>
      <c r="FJ772" s="47"/>
      <c r="FK772" s="47"/>
      <c r="FL772" s="47"/>
    </row>
    <row r="773" spans="164:168" ht="11.25" customHeight="1">
      <c r="FH773" s="50"/>
      <c r="FI773" s="47"/>
      <c r="FJ773" s="47"/>
      <c r="FK773" s="47"/>
      <c r="FL773" s="47"/>
    </row>
    <row r="774" spans="164:168" ht="11.25" customHeight="1">
      <c r="FH774" s="50"/>
      <c r="FI774" s="47"/>
      <c r="FJ774" s="47"/>
      <c r="FK774" s="47"/>
      <c r="FL774" s="47"/>
    </row>
    <row r="775" spans="164:168" ht="11.25" customHeight="1">
      <c r="FH775" s="50"/>
      <c r="FI775" s="47"/>
      <c r="FJ775" s="47"/>
      <c r="FK775" s="47"/>
      <c r="FL775" s="47"/>
    </row>
    <row r="776" spans="164:168" ht="11.25" customHeight="1">
      <c r="FH776" s="50"/>
      <c r="FI776" s="47"/>
      <c r="FJ776" s="47"/>
      <c r="FK776" s="47"/>
      <c r="FL776" s="47"/>
    </row>
    <row r="777" spans="164:168" ht="11.25" customHeight="1">
      <c r="FH777" s="50"/>
      <c r="FI777" s="47"/>
      <c r="FJ777" s="47"/>
      <c r="FK777" s="47"/>
      <c r="FL777" s="47"/>
    </row>
    <row r="778" spans="164:168" ht="11.25" customHeight="1">
      <c r="FH778" s="50"/>
      <c r="FI778" s="47"/>
      <c r="FJ778" s="47"/>
      <c r="FK778" s="47"/>
      <c r="FL778" s="47"/>
    </row>
    <row r="779" spans="164:168" ht="11.25" customHeight="1">
      <c r="FH779" s="50"/>
      <c r="FI779" s="47"/>
      <c r="FJ779" s="47"/>
      <c r="FK779" s="47"/>
      <c r="FL779" s="47"/>
    </row>
    <row r="780" spans="164:168" ht="11.25" customHeight="1">
      <c r="FH780" s="50"/>
      <c r="FI780" s="47"/>
      <c r="FJ780" s="47"/>
      <c r="FK780" s="47"/>
      <c r="FL780" s="47"/>
    </row>
    <row r="781" spans="164:168" ht="11.25" customHeight="1">
      <c r="FH781" s="50"/>
      <c r="FI781" s="47"/>
      <c r="FJ781" s="47"/>
      <c r="FK781" s="47"/>
      <c r="FL781" s="47"/>
    </row>
    <row r="782" spans="164:168" ht="11.25" customHeight="1">
      <c r="FH782" s="50"/>
      <c r="FI782" s="47"/>
      <c r="FJ782" s="47"/>
      <c r="FK782" s="47"/>
      <c r="FL782" s="47"/>
    </row>
    <row r="783" spans="164:168" ht="11.25" customHeight="1">
      <c r="FH783" s="50"/>
      <c r="FI783" s="47"/>
      <c r="FJ783" s="47"/>
      <c r="FK783" s="47"/>
      <c r="FL783" s="47"/>
    </row>
    <row r="784" spans="164:168" ht="11.25" customHeight="1">
      <c r="FH784" s="50"/>
      <c r="FI784" s="47"/>
      <c r="FJ784" s="47"/>
      <c r="FK784" s="47"/>
      <c r="FL784" s="47"/>
    </row>
    <row r="785" spans="164:168" ht="11.25" customHeight="1">
      <c r="FH785" s="50"/>
      <c r="FI785" s="47"/>
      <c r="FJ785" s="47"/>
      <c r="FK785" s="47"/>
      <c r="FL785" s="47"/>
    </row>
    <row r="786" spans="164:168" ht="11.25" customHeight="1">
      <c r="FH786" s="50"/>
      <c r="FI786" s="47"/>
      <c r="FJ786" s="47"/>
      <c r="FK786" s="47"/>
      <c r="FL786" s="47"/>
    </row>
    <row r="787" spans="164:168" ht="11.25" customHeight="1">
      <c r="FH787" s="50"/>
      <c r="FI787" s="47"/>
      <c r="FJ787" s="47"/>
      <c r="FK787" s="47"/>
      <c r="FL787" s="47"/>
    </row>
    <row r="788" spans="164:168" ht="11.25" customHeight="1">
      <c r="FH788" s="50"/>
      <c r="FI788" s="47"/>
      <c r="FJ788" s="47"/>
      <c r="FK788" s="47"/>
      <c r="FL788" s="47"/>
    </row>
    <row r="789" spans="164:168" ht="11.25" customHeight="1">
      <c r="FH789" s="50"/>
      <c r="FI789" s="47"/>
      <c r="FJ789" s="47"/>
      <c r="FK789" s="47"/>
      <c r="FL789" s="47"/>
    </row>
    <row r="790" spans="164:168" ht="11.25" customHeight="1">
      <c r="FH790" s="50"/>
      <c r="FI790" s="47"/>
      <c r="FJ790" s="47"/>
      <c r="FK790" s="47"/>
      <c r="FL790" s="47"/>
    </row>
    <row r="791" spans="164:168" ht="11.25" customHeight="1">
      <c r="FH791" s="50"/>
      <c r="FI791" s="47"/>
      <c r="FJ791" s="47"/>
      <c r="FK791" s="47"/>
      <c r="FL791" s="47"/>
    </row>
    <row r="792" spans="164:168" ht="11.25" customHeight="1">
      <c r="FH792" s="50"/>
      <c r="FI792" s="47"/>
      <c r="FJ792" s="47"/>
      <c r="FK792" s="47"/>
      <c r="FL792" s="47"/>
    </row>
    <row r="793" spans="164:168" ht="11.25" customHeight="1">
      <c r="FH793" s="50"/>
      <c r="FI793" s="47"/>
      <c r="FJ793" s="47"/>
      <c r="FK793" s="47"/>
      <c r="FL793" s="47"/>
    </row>
    <row r="794" spans="164:168" ht="11.25" customHeight="1">
      <c r="FH794" s="50"/>
      <c r="FI794" s="47"/>
      <c r="FJ794" s="47"/>
      <c r="FK794" s="47"/>
      <c r="FL794" s="47"/>
    </row>
    <row r="795" spans="164:168" ht="11.25" customHeight="1">
      <c r="FH795" s="50"/>
      <c r="FI795" s="47"/>
      <c r="FJ795" s="47"/>
      <c r="FK795" s="47"/>
      <c r="FL795" s="47"/>
    </row>
    <row r="796" spans="164:168" ht="11.25" customHeight="1">
      <c r="FH796" s="50"/>
      <c r="FI796" s="47"/>
      <c r="FJ796" s="47"/>
      <c r="FK796" s="47"/>
      <c r="FL796" s="47"/>
    </row>
    <row r="797" spans="164:168" ht="11.25" customHeight="1">
      <c r="FH797" s="50"/>
      <c r="FI797" s="47"/>
      <c r="FJ797" s="47"/>
      <c r="FK797" s="47"/>
      <c r="FL797" s="47"/>
    </row>
    <row r="798" spans="164:168" ht="11.25" customHeight="1">
      <c r="FH798" s="50"/>
      <c r="FI798" s="47"/>
      <c r="FJ798" s="47"/>
      <c r="FK798" s="47"/>
      <c r="FL798" s="47"/>
    </row>
    <row r="799" spans="164:168" ht="11.25" customHeight="1">
      <c r="FH799" s="50"/>
      <c r="FI799" s="47"/>
      <c r="FJ799" s="47"/>
      <c r="FK799" s="47"/>
      <c r="FL799" s="47"/>
    </row>
    <row r="800" spans="164:168" ht="11.25" customHeight="1">
      <c r="FH800" s="50"/>
      <c r="FI800" s="47"/>
      <c r="FJ800" s="47"/>
      <c r="FK800" s="47"/>
      <c r="FL800" s="47"/>
    </row>
    <row r="801" spans="164:168" ht="11.25" customHeight="1">
      <c r="FH801" s="50"/>
      <c r="FI801" s="47"/>
      <c r="FJ801" s="47"/>
      <c r="FK801" s="47"/>
      <c r="FL801" s="47"/>
    </row>
    <row r="802" spans="164:168" ht="11.25" customHeight="1">
      <c r="FH802" s="50"/>
      <c r="FI802" s="47"/>
      <c r="FJ802" s="47"/>
      <c r="FK802" s="47"/>
      <c r="FL802" s="47"/>
    </row>
    <row r="803" spans="164:168" ht="11.25" customHeight="1">
      <c r="FH803" s="50"/>
      <c r="FI803" s="47"/>
      <c r="FJ803" s="47"/>
      <c r="FK803" s="47"/>
      <c r="FL803" s="47"/>
    </row>
    <row r="804" spans="164:168" ht="11.25" customHeight="1">
      <c r="FH804" s="50"/>
      <c r="FI804" s="47"/>
      <c r="FJ804" s="47"/>
      <c r="FK804" s="47"/>
      <c r="FL804" s="47"/>
    </row>
    <row r="805" spans="164:168" ht="11.25" customHeight="1">
      <c r="FH805" s="50"/>
      <c r="FI805" s="47"/>
      <c r="FJ805" s="47"/>
      <c r="FK805" s="47"/>
      <c r="FL805" s="47"/>
    </row>
    <row r="806" spans="164:168" ht="11.25" customHeight="1">
      <c r="FH806" s="50"/>
      <c r="FI806" s="47"/>
      <c r="FJ806" s="47"/>
      <c r="FK806" s="47"/>
      <c r="FL806" s="47"/>
    </row>
    <row r="807" spans="164:168" ht="11.25" customHeight="1">
      <c r="FH807" s="50"/>
      <c r="FI807" s="47"/>
      <c r="FJ807" s="47"/>
      <c r="FK807" s="47"/>
      <c r="FL807" s="47"/>
    </row>
    <row r="808" spans="164:168" ht="11.25" customHeight="1">
      <c r="FH808" s="50"/>
      <c r="FI808" s="47"/>
      <c r="FJ808" s="47"/>
      <c r="FK808" s="47"/>
      <c r="FL808" s="47"/>
    </row>
    <row r="809" spans="164:168" ht="11.25" customHeight="1">
      <c r="FH809" s="50"/>
      <c r="FI809" s="47"/>
      <c r="FJ809" s="47"/>
      <c r="FK809" s="47"/>
      <c r="FL809" s="47"/>
    </row>
    <row r="810" spans="164:168" ht="11.25" customHeight="1">
      <c r="FH810" s="50"/>
      <c r="FI810" s="47"/>
      <c r="FJ810" s="47"/>
      <c r="FK810" s="47"/>
      <c r="FL810" s="47"/>
    </row>
    <row r="811" spans="164:168" ht="11.25" customHeight="1">
      <c r="FH811" s="50"/>
      <c r="FI811" s="47"/>
      <c r="FJ811" s="47"/>
      <c r="FK811" s="47"/>
      <c r="FL811" s="47"/>
    </row>
    <row r="812" spans="164:168" ht="11.25" customHeight="1">
      <c r="FH812" s="50"/>
      <c r="FI812" s="47"/>
      <c r="FJ812" s="47"/>
      <c r="FK812" s="47"/>
      <c r="FL812" s="47"/>
    </row>
    <row r="813" spans="164:168" ht="11.25" customHeight="1">
      <c r="FH813" s="50"/>
      <c r="FI813" s="47"/>
      <c r="FJ813" s="47"/>
      <c r="FK813" s="47"/>
      <c r="FL813" s="47"/>
    </row>
    <row r="814" spans="164:168" ht="11.25" customHeight="1">
      <c r="FH814" s="50"/>
      <c r="FI814" s="47"/>
      <c r="FJ814" s="47"/>
      <c r="FK814" s="47"/>
      <c r="FL814" s="47"/>
    </row>
    <row r="815" spans="164:168" ht="11.25" customHeight="1">
      <c r="FH815" s="50"/>
      <c r="FI815" s="47"/>
      <c r="FJ815" s="47"/>
      <c r="FK815" s="47"/>
      <c r="FL815" s="47"/>
    </row>
    <row r="816" spans="164:168" ht="11.25" customHeight="1">
      <c r="FH816" s="50"/>
      <c r="FI816" s="47"/>
      <c r="FJ816" s="47"/>
      <c r="FK816" s="47"/>
      <c r="FL816" s="47"/>
    </row>
    <row r="817" spans="164:168" ht="11.25" customHeight="1">
      <c r="FH817" s="50"/>
      <c r="FI817" s="47"/>
      <c r="FJ817" s="47"/>
      <c r="FK817" s="47"/>
      <c r="FL817" s="47"/>
    </row>
    <row r="818" spans="164:168" ht="11.25" customHeight="1">
      <c r="FH818" s="50"/>
      <c r="FI818" s="47"/>
      <c r="FJ818" s="47"/>
      <c r="FK818" s="47"/>
      <c r="FL818" s="47"/>
    </row>
    <row r="819" spans="164:168" ht="11.25" customHeight="1">
      <c r="FH819" s="50"/>
      <c r="FI819" s="47"/>
      <c r="FJ819" s="47"/>
      <c r="FK819" s="47"/>
      <c r="FL819" s="47"/>
    </row>
    <row r="820" spans="164:168" ht="11.25" customHeight="1">
      <c r="FH820" s="50"/>
      <c r="FI820" s="47"/>
      <c r="FJ820" s="47"/>
      <c r="FK820" s="47"/>
      <c r="FL820" s="47"/>
    </row>
    <row r="821" spans="164:168" ht="11.25" customHeight="1">
      <c r="FH821" s="50"/>
      <c r="FI821" s="47"/>
      <c r="FJ821" s="47"/>
      <c r="FK821" s="47"/>
      <c r="FL821" s="47"/>
    </row>
    <row r="822" spans="164:168" ht="11.25" customHeight="1">
      <c r="FH822" s="50"/>
      <c r="FI822" s="47"/>
      <c r="FJ822" s="47"/>
      <c r="FK822" s="47"/>
      <c r="FL822" s="47"/>
    </row>
    <row r="823" spans="164:168" ht="11.25" customHeight="1">
      <c r="FH823" s="50"/>
      <c r="FI823" s="47"/>
      <c r="FJ823" s="47"/>
      <c r="FK823" s="47"/>
      <c r="FL823" s="47"/>
    </row>
    <row r="824" spans="164:168" ht="11.25" customHeight="1">
      <c r="FH824" s="50"/>
      <c r="FI824" s="47"/>
      <c r="FJ824" s="47"/>
      <c r="FK824" s="47"/>
      <c r="FL824" s="47"/>
    </row>
    <row r="825" spans="164:168" ht="11.25" customHeight="1">
      <c r="FH825" s="50"/>
      <c r="FI825" s="47"/>
      <c r="FJ825" s="47"/>
      <c r="FK825" s="47"/>
      <c r="FL825" s="47"/>
    </row>
    <row r="826" spans="164:168" ht="11.25" customHeight="1">
      <c r="FH826" s="50"/>
      <c r="FI826" s="47"/>
      <c r="FJ826" s="47"/>
      <c r="FK826" s="47"/>
      <c r="FL826" s="47"/>
    </row>
    <row r="827" spans="164:168" ht="11.25" customHeight="1">
      <c r="FH827" s="50"/>
      <c r="FI827" s="47"/>
      <c r="FJ827" s="47"/>
      <c r="FK827" s="47"/>
      <c r="FL827" s="47"/>
    </row>
    <row r="828" spans="164:168" ht="11.25" customHeight="1">
      <c r="FH828" s="50"/>
      <c r="FI828" s="47"/>
      <c r="FJ828" s="47"/>
      <c r="FK828" s="47"/>
      <c r="FL828" s="47"/>
    </row>
    <row r="829" spans="164:168" ht="11.25" customHeight="1">
      <c r="FH829" s="50"/>
      <c r="FI829" s="47"/>
      <c r="FJ829" s="47"/>
      <c r="FK829" s="47"/>
      <c r="FL829" s="47"/>
    </row>
    <row r="830" spans="164:168" ht="11.25" customHeight="1">
      <c r="FH830" s="50"/>
      <c r="FI830" s="47"/>
      <c r="FJ830" s="47"/>
      <c r="FK830" s="47"/>
      <c r="FL830" s="47"/>
    </row>
    <row r="831" spans="164:168" ht="11.25" customHeight="1">
      <c r="FH831" s="50"/>
      <c r="FI831" s="47"/>
      <c r="FJ831" s="47"/>
      <c r="FK831" s="47"/>
      <c r="FL831" s="47"/>
    </row>
    <row r="832" spans="164:168" ht="11.25" customHeight="1">
      <c r="FH832" s="50"/>
      <c r="FI832" s="47"/>
      <c r="FJ832" s="47"/>
      <c r="FK832" s="47"/>
      <c r="FL832" s="47"/>
    </row>
    <row r="833" spans="164:168" ht="11.25" customHeight="1">
      <c r="FH833" s="50"/>
      <c r="FI833" s="47"/>
      <c r="FJ833" s="47"/>
      <c r="FK833" s="47"/>
      <c r="FL833" s="47"/>
    </row>
    <row r="834" spans="164:168" ht="11.25" customHeight="1">
      <c r="FH834" s="50"/>
      <c r="FI834" s="47"/>
      <c r="FJ834" s="47"/>
      <c r="FK834" s="47"/>
      <c r="FL834" s="47"/>
    </row>
    <row r="835" spans="164:168" ht="11.25" customHeight="1">
      <c r="FH835" s="50"/>
      <c r="FI835" s="47"/>
      <c r="FJ835" s="47"/>
      <c r="FK835" s="47"/>
      <c r="FL835" s="47"/>
    </row>
    <row r="836" spans="164:168" ht="11.25" customHeight="1">
      <c r="FH836" s="50"/>
      <c r="FI836" s="47"/>
      <c r="FJ836" s="47"/>
      <c r="FK836" s="47"/>
      <c r="FL836" s="47"/>
    </row>
    <row r="837" spans="164:168" ht="11.25" customHeight="1">
      <c r="FH837" s="50"/>
      <c r="FI837" s="47"/>
      <c r="FJ837" s="47"/>
      <c r="FK837" s="47"/>
      <c r="FL837" s="47"/>
    </row>
    <row r="838" spans="164:168" ht="11.25" customHeight="1">
      <c r="FH838" s="50"/>
      <c r="FI838" s="47"/>
      <c r="FJ838" s="47"/>
      <c r="FK838" s="47"/>
      <c r="FL838" s="47"/>
    </row>
    <row r="839" spans="164:168" ht="11.25" customHeight="1">
      <c r="FH839" s="50"/>
      <c r="FI839" s="47"/>
      <c r="FJ839" s="47"/>
      <c r="FK839" s="47"/>
      <c r="FL839" s="47"/>
    </row>
    <row r="840" spans="164:168" ht="11.25" customHeight="1">
      <c r="FH840" s="50"/>
      <c r="FI840" s="47"/>
      <c r="FJ840" s="47"/>
      <c r="FK840" s="47"/>
      <c r="FL840" s="47"/>
    </row>
    <row r="841" spans="164:168" ht="11.25" customHeight="1">
      <c r="FH841" s="50"/>
      <c r="FI841" s="47"/>
      <c r="FJ841" s="47"/>
      <c r="FK841" s="47"/>
      <c r="FL841" s="47"/>
    </row>
    <row r="842" spans="164:168" ht="11.25" customHeight="1">
      <c r="FH842" s="50"/>
      <c r="FI842" s="47"/>
      <c r="FJ842" s="47"/>
      <c r="FK842" s="47"/>
      <c r="FL842" s="47"/>
    </row>
    <row r="843" spans="164:168" ht="11.25" customHeight="1">
      <c r="FH843" s="50"/>
      <c r="FI843" s="47"/>
      <c r="FJ843" s="47"/>
      <c r="FK843" s="47"/>
      <c r="FL843" s="47"/>
    </row>
    <row r="844" spans="164:168" ht="11.25" customHeight="1">
      <c r="FH844" s="50"/>
      <c r="FI844" s="47"/>
      <c r="FJ844" s="47"/>
      <c r="FK844" s="47"/>
      <c r="FL844" s="47"/>
    </row>
    <row r="845" spans="164:168" ht="11.25" customHeight="1">
      <c r="FH845" s="50"/>
      <c r="FI845" s="47"/>
      <c r="FJ845" s="47"/>
      <c r="FK845" s="47"/>
      <c r="FL845" s="47"/>
    </row>
    <row r="846" spans="164:168" ht="11.25" customHeight="1">
      <c r="FH846" s="50"/>
      <c r="FI846" s="47"/>
      <c r="FJ846" s="47"/>
      <c r="FK846" s="47"/>
      <c r="FL846" s="47"/>
    </row>
    <row r="847" spans="164:168" ht="11.25" customHeight="1">
      <c r="FH847" s="50"/>
      <c r="FI847" s="47"/>
      <c r="FJ847" s="47"/>
      <c r="FK847" s="47"/>
      <c r="FL847" s="47"/>
    </row>
    <row r="848" spans="164:168" ht="11.25" customHeight="1">
      <c r="FH848" s="50"/>
      <c r="FI848" s="47"/>
      <c r="FJ848" s="47"/>
      <c r="FK848" s="47"/>
      <c r="FL848" s="47"/>
    </row>
    <row r="849" spans="164:168" ht="11.25" customHeight="1">
      <c r="FH849" s="50"/>
      <c r="FI849" s="47"/>
      <c r="FJ849" s="47"/>
      <c r="FK849" s="47"/>
      <c r="FL849" s="47"/>
    </row>
    <row r="850" spans="164:168" ht="11.25" customHeight="1">
      <c r="FH850" s="50"/>
      <c r="FI850" s="47"/>
      <c r="FJ850" s="47"/>
      <c r="FK850" s="47"/>
      <c r="FL850" s="47"/>
    </row>
    <row r="851" spans="164:168" ht="11.25" customHeight="1">
      <c r="FH851" s="50"/>
      <c r="FI851" s="47"/>
      <c r="FJ851" s="47"/>
      <c r="FK851" s="47"/>
      <c r="FL851" s="47"/>
    </row>
    <row r="852" spans="164:168" ht="11.25" customHeight="1">
      <c r="FH852" s="50"/>
      <c r="FI852" s="47"/>
      <c r="FJ852" s="47"/>
      <c r="FK852" s="47"/>
      <c r="FL852" s="47"/>
    </row>
    <row r="853" spans="164:168" ht="11.25" customHeight="1">
      <c r="FH853" s="50"/>
      <c r="FI853" s="47"/>
      <c r="FJ853" s="47"/>
      <c r="FK853" s="47"/>
      <c r="FL853" s="47"/>
    </row>
    <row r="854" spans="164:168" ht="11.25" customHeight="1">
      <c r="FH854" s="50"/>
      <c r="FI854" s="47"/>
      <c r="FJ854" s="47"/>
      <c r="FK854" s="47"/>
      <c r="FL854" s="47"/>
    </row>
    <row r="855" spans="164:168" ht="11.25" customHeight="1">
      <c r="FH855" s="50"/>
      <c r="FI855" s="47"/>
      <c r="FJ855" s="47"/>
      <c r="FK855" s="47"/>
      <c r="FL855" s="47"/>
    </row>
    <row r="856" spans="164:168" ht="11.25" customHeight="1">
      <c r="FH856" s="50"/>
      <c r="FI856" s="47"/>
      <c r="FJ856" s="47"/>
      <c r="FK856" s="47"/>
      <c r="FL856" s="47"/>
    </row>
    <row r="857" spans="164:168" ht="11.25" customHeight="1">
      <c r="FH857" s="50"/>
      <c r="FI857" s="47"/>
      <c r="FJ857" s="47"/>
      <c r="FK857" s="47"/>
      <c r="FL857" s="47"/>
    </row>
    <row r="858" spans="164:168" ht="11.25" customHeight="1">
      <c r="FH858" s="50"/>
      <c r="FI858" s="47"/>
      <c r="FJ858" s="47"/>
      <c r="FK858" s="47"/>
      <c r="FL858" s="47"/>
    </row>
    <row r="859" spans="164:168" ht="11.25" customHeight="1">
      <c r="FH859" s="50"/>
      <c r="FI859" s="47"/>
      <c r="FJ859" s="47"/>
      <c r="FK859" s="47"/>
      <c r="FL859" s="47"/>
    </row>
    <row r="860" spans="164:168" ht="11.25" customHeight="1">
      <c r="FH860" s="50"/>
      <c r="FI860" s="47"/>
      <c r="FJ860" s="47"/>
      <c r="FK860" s="47"/>
      <c r="FL860" s="47"/>
    </row>
    <row r="861" spans="164:168" ht="11.25" customHeight="1">
      <c r="FH861" s="50"/>
      <c r="FI861" s="47"/>
      <c r="FJ861" s="47"/>
      <c r="FK861" s="47"/>
      <c r="FL861" s="47"/>
    </row>
    <row r="862" spans="164:168" ht="11.25" customHeight="1">
      <c r="FH862" s="50"/>
      <c r="FI862" s="47"/>
      <c r="FJ862" s="47"/>
      <c r="FK862" s="47"/>
      <c r="FL862" s="47"/>
    </row>
    <row r="863" spans="164:168" ht="11.25" customHeight="1">
      <c r="FH863" s="50"/>
      <c r="FI863" s="47"/>
      <c r="FJ863" s="47"/>
      <c r="FK863" s="47"/>
      <c r="FL863" s="47"/>
    </row>
    <row r="864" spans="164:168" ht="11.25" customHeight="1">
      <c r="FH864" s="50"/>
      <c r="FI864" s="47"/>
      <c r="FJ864" s="47"/>
      <c r="FK864" s="47"/>
      <c r="FL864" s="47"/>
    </row>
    <row r="865" spans="164:168" ht="11.25" customHeight="1">
      <c r="FH865" s="50"/>
      <c r="FI865" s="47"/>
      <c r="FJ865" s="47"/>
      <c r="FK865" s="47"/>
      <c r="FL865" s="47"/>
    </row>
    <row r="866" spans="164:168" ht="11.25" customHeight="1">
      <c r="FH866" s="50"/>
      <c r="FI866" s="47"/>
      <c r="FJ866" s="47"/>
      <c r="FK866" s="47"/>
      <c r="FL866" s="47"/>
    </row>
    <row r="867" spans="164:168" ht="11.25" customHeight="1">
      <c r="FH867" s="50"/>
      <c r="FI867" s="47"/>
      <c r="FJ867" s="47"/>
      <c r="FK867" s="47"/>
      <c r="FL867" s="47"/>
    </row>
    <row r="868" spans="164:168" ht="11.25" customHeight="1">
      <c r="FH868" s="50"/>
      <c r="FI868" s="47"/>
      <c r="FJ868" s="47"/>
      <c r="FK868" s="47"/>
      <c r="FL868" s="47"/>
    </row>
    <row r="869" spans="164:168" ht="11.25" customHeight="1">
      <c r="FH869" s="50"/>
      <c r="FI869" s="47"/>
      <c r="FJ869" s="47"/>
      <c r="FK869" s="47"/>
      <c r="FL869" s="47"/>
    </row>
    <row r="870" spans="164:168" ht="11.25" customHeight="1">
      <c r="FH870" s="50"/>
      <c r="FI870" s="47"/>
      <c r="FJ870" s="47"/>
      <c r="FK870" s="47"/>
      <c r="FL870" s="47"/>
    </row>
    <row r="871" spans="164:168" ht="11.25" customHeight="1">
      <c r="FH871" s="50"/>
      <c r="FI871" s="47"/>
      <c r="FJ871" s="47"/>
      <c r="FK871" s="47"/>
      <c r="FL871" s="47"/>
    </row>
    <row r="872" spans="164:168" ht="11.25" customHeight="1">
      <c r="FH872" s="50"/>
      <c r="FI872" s="47"/>
      <c r="FJ872" s="47"/>
      <c r="FK872" s="47"/>
      <c r="FL872" s="47"/>
    </row>
    <row r="873" spans="164:168" ht="11.25" customHeight="1">
      <c r="FH873" s="50"/>
      <c r="FI873" s="47"/>
      <c r="FJ873" s="47"/>
      <c r="FK873" s="47"/>
      <c r="FL873" s="47"/>
    </row>
    <row r="874" spans="164:168" ht="11.25" customHeight="1">
      <c r="FH874" s="50"/>
      <c r="FI874" s="47"/>
      <c r="FJ874" s="47"/>
      <c r="FK874" s="47"/>
      <c r="FL874" s="47"/>
    </row>
    <row r="875" spans="164:168" ht="11.25" customHeight="1">
      <c r="FH875" s="50"/>
      <c r="FI875" s="47"/>
      <c r="FJ875" s="47"/>
      <c r="FK875" s="47"/>
      <c r="FL875" s="47"/>
    </row>
    <row r="876" spans="164:168" ht="11.25" customHeight="1">
      <c r="FH876" s="50"/>
      <c r="FI876" s="47"/>
      <c r="FJ876" s="47"/>
      <c r="FK876" s="47"/>
      <c r="FL876" s="47"/>
    </row>
    <row r="877" spans="164:168" ht="11.25" customHeight="1">
      <c r="FH877" s="50"/>
      <c r="FI877" s="47"/>
      <c r="FJ877" s="47"/>
      <c r="FK877" s="47"/>
      <c r="FL877" s="47"/>
    </row>
    <row r="878" spans="164:168" ht="11.25" customHeight="1">
      <c r="FH878" s="50"/>
      <c r="FI878" s="47"/>
      <c r="FJ878" s="47"/>
      <c r="FK878" s="47"/>
      <c r="FL878" s="47"/>
    </row>
    <row r="879" spans="164:168" ht="11.25" customHeight="1">
      <c r="FH879" s="50"/>
      <c r="FI879" s="47"/>
      <c r="FJ879" s="47"/>
      <c r="FK879" s="47"/>
      <c r="FL879" s="47"/>
    </row>
    <row r="880" spans="164:168" ht="11.25" customHeight="1">
      <c r="FH880" s="50"/>
      <c r="FI880" s="47"/>
      <c r="FJ880" s="47"/>
      <c r="FK880" s="47"/>
      <c r="FL880" s="47"/>
    </row>
    <row r="881" spans="164:168" ht="11.25" customHeight="1">
      <c r="FH881" s="50"/>
      <c r="FI881" s="47"/>
      <c r="FJ881" s="47"/>
      <c r="FK881" s="47"/>
      <c r="FL881" s="47"/>
    </row>
    <row r="882" spans="164:168" ht="11.25" customHeight="1">
      <c r="FH882" s="50"/>
      <c r="FI882" s="47"/>
      <c r="FJ882" s="47"/>
      <c r="FK882" s="47"/>
      <c r="FL882" s="47"/>
    </row>
    <row r="883" spans="164:168" ht="11.25" customHeight="1">
      <c r="FH883" s="50"/>
      <c r="FI883" s="47"/>
      <c r="FJ883" s="47"/>
      <c r="FK883" s="47"/>
      <c r="FL883" s="47"/>
    </row>
    <row r="884" spans="164:168" ht="11.25" customHeight="1">
      <c r="FH884" s="50"/>
      <c r="FI884" s="47"/>
      <c r="FJ884" s="47"/>
      <c r="FK884" s="47"/>
      <c r="FL884" s="47"/>
    </row>
    <row r="885" spans="164:168" ht="11.25" customHeight="1">
      <c r="FH885" s="50"/>
      <c r="FI885" s="47"/>
      <c r="FJ885" s="47"/>
      <c r="FK885" s="47"/>
      <c r="FL885" s="47"/>
    </row>
    <row r="886" spans="164:168" ht="11.25" customHeight="1">
      <c r="FH886" s="50"/>
      <c r="FI886" s="47"/>
      <c r="FJ886" s="47"/>
      <c r="FK886" s="47"/>
      <c r="FL886" s="47"/>
    </row>
    <row r="887" spans="164:168" ht="11.25" customHeight="1">
      <c r="FH887" s="50"/>
      <c r="FI887" s="47"/>
      <c r="FJ887" s="47"/>
      <c r="FK887" s="47"/>
      <c r="FL887" s="47"/>
    </row>
    <row r="888" spans="164:168" ht="11.25" customHeight="1">
      <c r="FH888" s="50"/>
      <c r="FI888" s="47"/>
      <c r="FJ888" s="47"/>
      <c r="FK888" s="47"/>
      <c r="FL888" s="47"/>
    </row>
    <row r="889" spans="164:168" ht="11.25" customHeight="1">
      <c r="FH889" s="50"/>
      <c r="FI889" s="47"/>
      <c r="FJ889" s="47"/>
      <c r="FK889" s="47"/>
      <c r="FL889" s="47"/>
    </row>
    <row r="890" spans="164:168" ht="11.25" customHeight="1">
      <c r="FH890" s="50"/>
      <c r="FI890" s="47"/>
      <c r="FJ890" s="47"/>
      <c r="FK890" s="47"/>
      <c r="FL890" s="47"/>
    </row>
    <row r="891" spans="164:168" ht="11.25" customHeight="1">
      <c r="FH891" s="50"/>
      <c r="FI891" s="47"/>
      <c r="FJ891" s="47"/>
      <c r="FK891" s="47"/>
      <c r="FL891" s="47"/>
    </row>
    <row r="892" spans="164:168" ht="11.25" customHeight="1">
      <c r="FH892" s="50"/>
      <c r="FI892" s="47"/>
      <c r="FJ892" s="47"/>
      <c r="FK892" s="47"/>
      <c r="FL892" s="47"/>
    </row>
    <row r="893" spans="164:168" ht="11.25" customHeight="1">
      <c r="FH893" s="50"/>
      <c r="FI893" s="47"/>
      <c r="FJ893" s="47"/>
      <c r="FK893" s="47"/>
      <c r="FL893" s="47"/>
    </row>
    <row r="894" spans="164:168" ht="11.25" customHeight="1">
      <c r="FH894" s="50"/>
      <c r="FI894" s="47"/>
      <c r="FJ894" s="47"/>
      <c r="FK894" s="47"/>
      <c r="FL894" s="47"/>
    </row>
    <row r="895" spans="164:168" ht="11.25" customHeight="1">
      <c r="FH895" s="50"/>
      <c r="FI895" s="47"/>
      <c r="FJ895" s="47"/>
      <c r="FK895" s="47"/>
      <c r="FL895" s="47"/>
    </row>
    <row r="896" spans="164:168" ht="11.25" customHeight="1">
      <c r="FH896" s="50"/>
      <c r="FI896" s="47"/>
      <c r="FJ896" s="47"/>
      <c r="FK896" s="47"/>
      <c r="FL896" s="47"/>
    </row>
    <row r="897" spans="164:168" ht="11.25" customHeight="1">
      <c r="FH897" s="50"/>
      <c r="FI897" s="47"/>
      <c r="FJ897" s="47"/>
      <c r="FK897" s="47"/>
      <c r="FL897" s="47"/>
    </row>
    <row r="898" spans="164:168" ht="11.25" customHeight="1">
      <c r="FH898" s="50"/>
      <c r="FI898" s="47"/>
      <c r="FJ898" s="47"/>
      <c r="FK898" s="47"/>
      <c r="FL898" s="47"/>
    </row>
    <row r="899" spans="164:168" ht="11.25" customHeight="1">
      <c r="FH899" s="50"/>
      <c r="FI899" s="47"/>
      <c r="FJ899" s="47"/>
      <c r="FK899" s="47"/>
      <c r="FL899" s="47"/>
    </row>
    <row r="900" spans="164:168" ht="11.25" customHeight="1">
      <c r="FH900" s="50"/>
      <c r="FI900" s="47"/>
      <c r="FJ900" s="47"/>
      <c r="FK900" s="47"/>
      <c r="FL900" s="47"/>
    </row>
    <row r="901" spans="164:168" ht="11.25" customHeight="1">
      <c r="FH901" s="50"/>
      <c r="FI901" s="47"/>
      <c r="FJ901" s="47"/>
      <c r="FK901" s="47"/>
      <c r="FL901" s="47"/>
    </row>
    <row r="902" spans="164:168" ht="11.25" customHeight="1">
      <c r="FH902" s="50"/>
      <c r="FI902" s="47"/>
      <c r="FJ902" s="47"/>
      <c r="FK902" s="47"/>
      <c r="FL902" s="47"/>
    </row>
    <row r="903" spans="164:168" ht="11.25" customHeight="1">
      <c r="FH903" s="50"/>
      <c r="FI903" s="47"/>
      <c r="FJ903" s="47"/>
      <c r="FK903" s="47"/>
      <c r="FL903" s="47"/>
    </row>
    <row r="904" spans="164:168" ht="11.25" customHeight="1">
      <c r="FH904" s="50"/>
      <c r="FI904" s="47"/>
      <c r="FJ904" s="47"/>
      <c r="FK904" s="47"/>
      <c r="FL904" s="47"/>
    </row>
    <row r="905" spans="164:168" ht="11.25" customHeight="1">
      <c r="FH905" s="50"/>
      <c r="FI905" s="47"/>
      <c r="FJ905" s="47"/>
      <c r="FK905" s="47"/>
      <c r="FL905" s="47"/>
    </row>
    <row r="906" spans="164:168" ht="11.25" customHeight="1">
      <c r="FH906" s="50"/>
      <c r="FI906" s="47"/>
      <c r="FJ906" s="47"/>
      <c r="FK906" s="47"/>
      <c r="FL906" s="47"/>
    </row>
    <row r="907" spans="164:168" ht="11.25" customHeight="1">
      <c r="FH907" s="50"/>
      <c r="FI907" s="47"/>
      <c r="FJ907" s="47"/>
      <c r="FK907" s="47"/>
      <c r="FL907" s="47"/>
    </row>
    <row r="908" spans="164:168" ht="11.25" customHeight="1">
      <c r="FH908" s="50"/>
      <c r="FI908" s="47"/>
      <c r="FJ908" s="47"/>
      <c r="FK908" s="47"/>
      <c r="FL908" s="47"/>
    </row>
    <row r="909" spans="164:168" ht="11.25" customHeight="1">
      <c r="FH909" s="50"/>
      <c r="FI909" s="47"/>
      <c r="FJ909" s="47"/>
      <c r="FK909" s="47"/>
      <c r="FL909" s="47"/>
    </row>
    <row r="910" spans="164:168" ht="11.25" customHeight="1">
      <c r="FH910" s="50"/>
      <c r="FI910" s="47"/>
      <c r="FJ910" s="47"/>
      <c r="FK910" s="47"/>
      <c r="FL910" s="47"/>
    </row>
    <row r="911" spans="164:168" ht="11.25" customHeight="1">
      <c r="FH911" s="50"/>
      <c r="FI911" s="47"/>
      <c r="FJ911" s="47"/>
      <c r="FK911" s="47"/>
      <c r="FL911" s="47"/>
    </row>
    <row r="912" spans="164:168" ht="11.25" customHeight="1">
      <c r="FH912" s="50"/>
      <c r="FI912" s="47"/>
      <c r="FJ912" s="47"/>
      <c r="FK912" s="47"/>
      <c r="FL912" s="47"/>
    </row>
    <row r="913" spans="164:168" ht="11.25" customHeight="1">
      <c r="FH913" s="50"/>
      <c r="FI913" s="47"/>
      <c r="FJ913" s="47"/>
      <c r="FK913" s="47"/>
      <c r="FL913" s="47"/>
    </row>
    <row r="914" spans="164:168" ht="11.25" customHeight="1">
      <c r="FH914" s="50"/>
      <c r="FI914" s="47"/>
      <c r="FJ914" s="47"/>
      <c r="FK914" s="47"/>
      <c r="FL914" s="47"/>
    </row>
    <row r="915" spans="164:168" ht="11.25" customHeight="1">
      <c r="FH915" s="50"/>
      <c r="FI915" s="47"/>
      <c r="FJ915" s="47"/>
      <c r="FK915" s="47"/>
      <c r="FL915" s="47"/>
    </row>
    <row r="916" spans="164:168" ht="11.25" customHeight="1">
      <c r="FH916" s="50"/>
      <c r="FI916" s="47"/>
      <c r="FJ916" s="47"/>
      <c r="FK916" s="47"/>
      <c r="FL916" s="47"/>
    </row>
    <row r="917" spans="164:168" ht="11.25" customHeight="1">
      <c r="FH917" s="50"/>
      <c r="FI917" s="47"/>
      <c r="FJ917" s="47"/>
      <c r="FK917" s="47"/>
      <c r="FL917" s="47"/>
    </row>
    <row r="918" spans="164:168" ht="11.25" customHeight="1">
      <c r="FH918" s="50"/>
      <c r="FI918" s="47"/>
      <c r="FJ918" s="47"/>
      <c r="FK918" s="47"/>
      <c r="FL918" s="47"/>
    </row>
    <row r="919" spans="164:168" ht="11.25" customHeight="1">
      <c r="FH919" s="50"/>
      <c r="FI919" s="47"/>
      <c r="FJ919" s="47"/>
      <c r="FK919" s="47"/>
      <c r="FL919" s="47"/>
    </row>
    <row r="920" spans="164:168" ht="11.25" customHeight="1">
      <c r="FH920" s="50"/>
      <c r="FI920" s="47"/>
      <c r="FJ920" s="47"/>
      <c r="FK920" s="47"/>
      <c r="FL920" s="47"/>
    </row>
    <row r="921" spans="164:168" ht="11.25" customHeight="1">
      <c r="FH921" s="50"/>
      <c r="FI921" s="47"/>
      <c r="FJ921" s="47"/>
      <c r="FK921" s="47"/>
      <c r="FL921" s="47"/>
    </row>
    <row r="922" spans="164:168" ht="11.25" customHeight="1">
      <c r="FH922" s="50"/>
      <c r="FI922" s="47"/>
      <c r="FJ922" s="47"/>
      <c r="FK922" s="47"/>
      <c r="FL922" s="47"/>
    </row>
    <row r="923" spans="164:168" ht="11.25" customHeight="1">
      <c r="FH923" s="50"/>
      <c r="FI923" s="47"/>
      <c r="FJ923" s="47"/>
      <c r="FK923" s="47"/>
      <c r="FL923" s="47"/>
    </row>
    <row r="924" spans="164:168" ht="11.25" customHeight="1">
      <c r="FH924" s="50"/>
      <c r="FI924" s="47"/>
      <c r="FJ924" s="47"/>
      <c r="FK924" s="47"/>
      <c r="FL924" s="47"/>
    </row>
    <row r="925" spans="164:168" ht="11.25" customHeight="1">
      <c r="FH925" s="50"/>
      <c r="FI925" s="47"/>
      <c r="FJ925" s="47"/>
      <c r="FK925" s="47"/>
      <c r="FL925" s="47"/>
    </row>
    <row r="926" spans="164:168" ht="11.25" customHeight="1">
      <c r="FH926" s="50"/>
      <c r="FI926" s="47"/>
      <c r="FJ926" s="47"/>
      <c r="FK926" s="47"/>
      <c r="FL926" s="47"/>
    </row>
    <row r="927" spans="164:168" ht="11.25" customHeight="1">
      <c r="FH927" s="50"/>
      <c r="FI927" s="47"/>
      <c r="FJ927" s="47"/>
      <c r="FK927" s="47"/>
      <c r="FL927" s="47"/>
    </row>
    <row r="928" spans="164:168" ht="11.25" customHeight="1">
      <c r="FH928" s="50"/>
      <c r="FI928" s="47"/>
      <c r="FJ928" s="47"/>
      <c r="FK928" s="47"/>
      <c r="FL928" s="47"/>
    </row>
    <row r="929" spans="164:168" ht="11.25" customHeight="1">
      <c r="FH929" s="50"/>
      <c r="FI929" s="47"/>
      <c r="FJ929" s="47"/>
      <c r="FK929" s="47"/>
      <c r="FL929" s="47"/>
    </row>
    <row r="930" spans="164:168" ht="11.25" customHeight="1">
      <c r="FH930" s="50"/>
      <c r="FI930" s="47"/>
      <c r="FJ930" s="47"/>
      <c r="FK930" s="47"/>
      <c r="FL930" s="47"/>
    </row>
    <row r="931" spans="164:168" ht="11.25" customHeight="1">
      <c r="FH931" s="50"/>
      <c r="FI931" s="47"/>
      <c r="FJ931" s="47"/>
      <c r="FK931" s="47"/>
      <c r="FL931" s="47"/>
    </row>
    <row r="932" spans="164:168" ht="11.25" customHeight="1">
      <c r="FH932" s="50"/>
      <c r="FI932" s="47"/>
      <c r="FJ932" s="47"/>
      <c r="FK932" s="47"/>
      <c r="FL932" s="47"/>
    </row>
    <row r="933" spans="164:168" ht="11.25" customHeight="1">
      <c r="FH933" s="50"/>
      <c r="FI933" s="47"/>
      <c r="FJ933" s="47"/>
      <c r="FK933" s="47"/>
      <c r="FL933" s="47"/>
    </row>
    <row r="934" spans="164:168" ht="11.25" customHeight="1">
      <c r="FH934" s="50"/>
      <c r="FI934" s="47"/>
      <c r="FJ934" s="47"/>
      <c r="FK934" s="47"/>
      <c r="FL934" s="47"/>
    </row>
    <row r="935" spans="164:168" ht="11.25" customHeight="1">
      <c r="FH935" s="50"/>
      <c r="FI935" s="47"/>
      <c r="FJ935" s="47"/>
      <c r="FK935" s="47"/>
      <c r="FL935" s="47"/>
    </row>
    <row r="936" spans="164:168" ht="11.25" customHeight="1">
      <c r="FH936" s="50"/>
      <c r="FI936" s="47"/>
      <c r="FJ936" s="47"/>
      <c r="FK936" s="47"/>
      <c r="FL936" s="47"/>
    </row>
    <row r="937" spans="164:168" ht="11.25" customHeight="1">
      <c r="FH937" s="50"/>
      <c r="FI937" s="47"/>
      <c r="FJ937" s="47"/>
      <c r="FK937" s="47"/>
      <c r="FL937" s="47"/>
    </row>
    <row r="938" spans="164:168" ht="11.25" customHeight="1">
      <c r="FH938" s="50"/>
      <c r="FI938" s="47"/>
      <c r="FJ938" s="47"/>
      <c r="FK938" s="47"/>
      <c r="FL938" s="47"/>
    </row>
    <row r="939" spans="164:168" ht="11.25" customHeight="1">
      <c r="FH939" s="50"/>
      <c r="FI939" s="47"/>
      <c r="FJ939" s="47"/>
      <c r="FK939" s="47"/>
      <c r="FL939" s="47"/>
    </row>
    <row r="940" spans="164:168" ht="11.25" customHeight="1">
      <c r="FH940" s="50"/>
      <c r="FI940" s="47"/>
      <c r="FJ940" s="47"/>
      <c r="FK940" s="47"/>
      <c r="FL940" s="47"/>
    </row>
    <row r="941" spans="164:168" ht="11.25" customHeight="1">
      <c r="FH941" s="50"/>
      <c r="FI941" s="47"/>
      <c r="FJ941" s="47"/>
      <c r="FK941" s="47"/>
      <c r="FL941" s="47"/>
    </row>
    <row r="942" spans="164:168" ht="11.25" customHeight="1">
      <c r="FH942" s="50"/>
      <c r="FI942" s="47"/>
      <c r="FJ942" s="47"/>
      <c r="FK942" s="47"/>
      <c r="FL942" s="47"/>
    </row>
    <row r="943" spans="164:168" ht="11.25" customHeight="1">
      <c r="FH943" s="50"/>
      <c r="FI943" s="47"/>
      <c r="FJ943" s="47"/>
      <c r="FK943" s="47"/>
      <c r="FL943" s="47"/>
    </row>
    <row r="944" spans="164:168" ht="11.25" customHeight="1">
      <c r="FH944" s="50"/>
      <c r="FI944" s="47"/>
      <c r="FJ944" s="47"/>
      <c r="FK944" s="47"/>
      <c r="FL944" s="47"/>
    </row>
    <row r="945" spans="164:168" ht="11.25" customHeight="1">
      <c r="FH945" s="50"/>
      <c r="FI945" s="47"/>
      <c r="FJ945" s="47"/>
      <c r="FK945" s="47"/>
      <c r="FL945" s="47"/>
    </row>
    <row r="946" spans="164:168" ht="11.25" customHeight="1">
      <c r="FH946" s="50"/>
      <c r="FI946" s="47"/>
      <c r="FJ946" s="47"/>
      <c r="FK946" s="47"/>
      <c r="FL946" s="47"/>
    </row>
    <row r="947" spans="164:168" ht="11.25" customHeight="1">
      <c r="FH947" s="50"/>
      <c r="FI947" s="47"/>
      <c r="FJ947" s="47"/>
      <c r="FK947" s="47"/>
      <c r="FL947" s="47"/>
    </row>
    <row r="948" spans="164:168" ht="11.25" customHeight="1">
      <c r="FH948" s="50"/>
      <c r="FI948" s="47"/>
      <c r="FJ948" s="47"/>
      <c r="FK948" s="47"/>
      <c r="FL948" s="47"/>
    </row>
    <row r="949" spans="164:168" ht="11.25" customHeight="1">
      <c r="FH949" s="50"/>
      <c r="FI949" s="47"/>
      <c r="FJ949" s="47"/>
      <c r="FK949" s="47"/>
      <c r="FL949" s="47"/>
    </row>
    <row r="950" spans="164:168" ht="11.25" customHeight="1">
      <c r="FH950" s="50"/>
      <c r="FI950" s="47"/>
      <c r="FJ950" s="47"/>
      <c r="FK950" s="47"/>
      <c r="FL950" s="47"/>
    </row>
    <row r="951" spans="164:168" ht="11.25" customHeight="1">
      <c r="FH951" s="50"/>
      <c r="FI951" s="47"/>
      <c r="FJ951" s="47"/>
      <c r="FK951" s="47"/>
      <c r="FL951" s="47"/>
    </row>
    <row r="952" spans="164:168" ht="11.25" customHeight="1">
      <c r="FH952" s="50"/>
      <c r="FI952" s="47"/>
      <c r="FJ952" s="47"/>
      <c r="FK952" s="47"/>
      <c r="FL952" s="47"/>
    </row>
    <row r="953" spans="164:168" ht="11.25" customHeight="1">
      <c r="FH953" s="50"/>
      <c r="FI953" s="47"/>
      <c r="FJ953" s="47"/>
      <c r="FK953" s="47"/>
      <c r="FL953" s="47"/>
    </row>
    <row r="954" spans="164:168" ht="11.25" customHeight="1">
      <c r="FH954" s="50"/>
      <c r="FI954" s="47"/>
      <c r="FJ954" s="47"/>
      <c r="FK954" s="47"/>
      <c r="FL954" s="47"/>
    </row>
    <row r="955" spans="164:168" ht="11.25" customHeight="1">
      <c r="FH955" s="50"/>
      <c r="FI955" s="47"/>
      <c r="FJ955" s="47"/>
      <c r="FK955" s="47"/>
      <c r="FL955" s="47"/>
    </row>
    <row r="956" spans="164:168" ht="11.25" customHeight="1">
      <c r="FH956" s="50"/>
      <c r="FI956" s="47"/>
      <c r="FJ956" s="47"/>
      <c r="FK956" s="47"/>
      <c r="FL956" s="47"/>
    </row>
    <row r="957" spans="164:168" ht="11.25" customHeight="1">
      <c r="FH957" s="50"/>
      <c r="FI957" s="47"/>
      <c r="FJ957" s="47"/>
      <c r="FK957" s="47"/>
      <c r="FL957" s="47"/>
    </row>
    <row r="958" spans="164:168" ht="11.25" customHeight="1">
      <c r="FH958" s="50"/>
      <c r="FI958" s="47"/>
      <c r="FJ958" s="47"/>
      <c r="FK958" s="47"/>
      <c r="FL958" s="47"/>
    </row>
    <row r="959" spans="164:168" ht="11.25" customHeight="1">
      <c r="FH959" s="50"/>
      <c r="FI959" s="47"/>
      <c r="FJ959" s="47"/>
      <c r="FK959" s="47"/>
      <c r="FL959" s="47"/>
    </row>
    <row r="960" spans="164:168" ht="11.25" customHeight="1">
      <c r="FH960" s="50"/>
      <c r="FI960" s="47"/>
      <c r="FJ960" s="47"/>
      <c r="FK960" s="47"/>
      <c r="FL960" s="47"/>
    </row>
    <row r="961" spans="164:168" ht="11.25" customHeight="1">
      <c r="FH961" s="50"/>
      <c r="FI961" s="47"/>
      <c r="FJ961" s="47"/>
      <c r="FK961" s="47"/>
      <c r="FL961" s="47"/>
    </row>
    <row r="962" spans="164:168" ht="11.25" customHeight="1">
      <c r="FH962" s="50"/>
      <c r="FI962" s="47"/>
      <c r="FJ962" s="47"/>
      <c r="FK962" s="47"/>
      <c r="FL962" s="47"/>
    </row>
    <row r="963" spans="164:168" ht="11.25" customHeight="1">
      <c r="FH963" s="50"/>
      <c r="FI963" s="47"/>
      <c r="FJ963" s="47"/>
      <c r="FK963" s="47"/>
      <c r="FL963" s="47"/>
    </row>
    <row r="964" spans="164:168" ht="11.25" customHeight="1">
      <c r="FH964" s="50"/>
      <c r="FI964" s="47"/>
      <c r="FJ964" s="47"/>
      <c r="FK964" s="47"/>
      <c r="FL964" s="47"/>
    </row>
    <row r="965" spans="164:168" ht="11.25" customHeight="1">
      <c r="FH965" s="50"/>
      <c r="FI965" s="47"/>
      <c r="FJ965" s="47"/>
      <c r="FK965" s="47"/>
      <c r="FL965" s="47"/>
    </row>
    <row r="966" spans="164:168" ht="11.25" customHeight="1">
      <c r="FH966" s="50"/>
      <c r="FI966" s="47"/>
      <c r="FJ966" s="47"/>
      <c r="FK966" s="47"/>
      <c r="FL966" s="47"/>
    </row>
    <row r="967" spans="164:168" ht="11.25" customHeight="1">
      <c r="FH967" s="50"/>
      <c r="FI967" s="47"/>
      <c r="FJ967" s="47"/>
      <c r="FK967" s="47"/>
      <c r="FL967" s="47"/>
    </row>
    <row r="968" spans="164:168" ht="11.25" customHeight="1">
      <c r="FH968" s="50"/>
      <c r="FI968" s="47"/>
      <c r="FJ968" s="47"/>
      <c r="FK968" s="47"/>
      <c r="FL968" s="47"/>
    </row>
    <row r="969" spans="164:168" ht="11.25" customHeight="1">
      <c r="FH969" s="50"/>
      <c r="FI969" s="47"/>
      <c r="FJ969" s="47"/>
      <c r="FK969" s="47"/>
      <c r="FL969" s="47"/>
    </row>
    <row r="970" spans="164:168" ht="11.25" customHeight="1">
      <c r="FH970" s="50"/>
      <c r="FI970" s="47"/>
      <c r="FJ970" s="47"/>
      <c r="FK970" s="47"/>
      <c r="FL970" s="47"/>
    </row>
    <row r="971" spans="164:168" ht="11.25" customHeight="1">
      <c r="FH971" s="50"/>
      <c r="FI971" s="47"/>
      <c r="FJ971" s="47"/>
      <c r="FK971" s="47"/>
      <c r="FL971" s="47"/>
    </row>
    <row r="972" spans="164:168" ht="11.25" customHeight="1">
      <c r="FH972" s="50"/>
      <c r="FI972" s="47"/>
      <c r="FJ972" s="47"/>
      <c r="FK972" s="47"/>
      <c r="FL972" s="47"/>
    </row>
    <row r="973" spans="164:168" ht="11.25" customHeight="1">
      <c r="FH973" s="50"/>
      <c r="FI973" s="47"/>
      <c r="FJ973" s="47"/>
      <c r="FK973" s="47"/>
      <c r="FL973" s="47"/>
    </row>
    <row r="974" spans="164:168" ht="11.25" customHeight="1">
      <c r="FH974" s="50"/>
      <c r="FI974" s="47"/>
      <c r="FJ974" s="47"/>
      <c r="FK974" s="47"/>
      <c r="FL974" s="47"/>
    </row>
    <row r="975" spans="164:168" ht="11.25" customHeight="1">
      <c r="FH975" s="50"/>
      <c r="FI975" s="47"/>
      <c r="FJ975" s="47"/>
      <c r="FK975" s="47"/>
      <c r="FL975" s="47"/>
    </row>
    <row r="976" spans="164:168" ht="11.25" customHeight="1">
      <c r="FH976" s="50"/>
      <c r="FI976" s="47"/>
      <c r="FJ976" s="47"/>
      <c r="FK976" s="47"/>
      <c r="FL976" s="47"/>
    </row>
    <row r="977" spans="164:168" ht="11.25" customHeight="1">
      <c r="FH977" s="50"/>
      <c r="FI977" s="47"/>
      <c r="FJ977" s="47"/>
      <c r="FK977" s="47"/>
      <c r="FL977" s="47"/>
    </row>
    <row r="978" spans="164:168" ht="11.25" customHeight="1">
      <c r="FH978" s="50"/>
      <c r="FI978" s="47"/>
      <c r="FJ978" s="47"/>
      <c r="FK978" s="47"/>
      <c r="FL978" s="47"/>
    </row>
    <row r="979" spans="164:168" ht="11.25" customHeight="1">
      <c r="FH979" s="50"/>
      <c r="FI979" s="47"/>
      <c r="FJ979" s="47"/>
      <c r="FK979" s="47"/>
      <c r="FL979" s="47"/>
    </row>
    <row r="980" spans="164:168" ht="11.25" customHeight="1">
      <c r="FH980" s="50"/>
      <c r="FI980" s="47"/>
      <c r="FJ980" s="47"/>
      <c r="FK980" s="47"/>
      <c r="FL980" s="47"/>
    </row>
    <row r="981" spans="164:168" ht="11.25" customHeight="1">
      <c r="FH981" s="50"/>
      <c r="FI981" s="47"/>
      <c r="FJ981" s="47"/>
      <c r="FK981" s="47"/>
      <c r="FL981" s="47"/>
    </row>
    <row r="982" spans="164:168" ht="11.25" customHeight="1">
      <c r="FH982" s="50"/>
      <c r="FI982" s="47"/>
      <c r="FJ982" s="47"/>
      <c r="FK982" s="47"/>
      <c r="FL982" s="47"/>
    </row>
    <row r="983" spans="164:168" ht="11.25" customHeight="1">
      <c r="FH983" s="50"/>
      <c r="FI983" s="47"/>
      <c r="FJ983" s="47"/>
      <c r="FK983" s="47"/>
      <c r="FL983" s="47"/>
    </row>
    <row r="984" spans="164:168" ht="11.25" customHeight="1">
      <c r="FH984" s="50"/>
      <c r="FI984" s="47"/>
      <c r="FJ984" s="47"/>
      <c r="FK984" s="47"/>
      <c r="FL984" s="47"/>
    </row>
    <row r="985" spans="164:168" ht="11.25" customHeight="1">
      <c r="FH985" s="50"/>
      <c r="FI985" s="47"/>
      <c r="FJ985" s="47"/>
      <c r="FK985" s="47"/>
      <c r="FL985" s="47"/>
    </row>
    <row r="986" spans="164:168" ht="11.25" customHeight="1">
      <c r="FH986" s="50"/>
      <c r="FI986" s="47"/>
      <c r="FJ986" s="47"/>
      <c r="FK986" s="47"/>
      <c r="FL986" s="47"/>
    </row>
    <row r="987" spans="164:168" ht="11.25" customHeight="1">
      <c r="FH987" s="50"/>
      <c r="FI987" s="47"/>
      <c r="FJ987" s="47"/>
      <c r="FK987" s="47"/>
      <c r="FL987" s="47"/>
    </row>
    <row r="988" spans="164:168" ht="11.25" customHeight="1">
      <c r="FH988" s="50"/>
      <c r="FI988" s="47"/>
      <c r="FJ988" s="47"/>
      <c r="FK988" s="47"/>
      <c r="FL988" s="47"/>
    </row>
    <row r="989" spans="164:168" ht="11.25" customHeight="1">
      <c r="FH989" s="50"/>
      <c r="FI989" s="47"/>
      <c r="FJ989" s="47"/>
      <c r="FK989" s="47"/>
      <c r="FL989" s="47"/>
    </row>
    <row r="990" spans="164:168" ht="11.25" customHeight="1">
      <c r="FH990" s="50"/>
      <c r="FI990" s="47"/>
      <c r="FJ990" s="47"/>
      <c r="FK990" s="47"/>
      <c r="FL990" s="47"/>
    </row>
    <row r="991" spans="164:168" ht="11.25" customHeight="1">
      <c r="FH991" s="50"/>
      <c r="FI991" s="47"/>
      <c r="FJ991" s="47"/>
      <c r="FK991" s="47"/>
      <c r="FL991" s="47"/>
    </row>
    <row r="992" spans="164:168" ht="11.25" customHeight="1">
      <c r="FH992" s="50"/>
      <c r="FI992" s="47"/>
      <c r="FJ992" s="47"/>
      <c r="FK992" s="47"/>
      <c r="FL992" s="47"/>
    </row>
    <row r="993" spans="164:168" ht="11.25" customHeight="1">
      <c r="FH993" s="50"/>
      <c r="FI993" s="47"/>
      <c r="FJ993" s="47"/>
      <c r="FK993" s="47"/>
      <c r="FL993" s="47"/>
    </row>
    <row r="994" spans="164:168" ht="11.25" customHeight="1">
      <c r="FH994" s="50"/>
      <c r="FI994" s="47"/>
      <c r="FJ994" s="47"/>
      <c r="FK994" s="47"/>
      <c r="FL994" s="47"/>
    </row>
    <row r="995" spans="164:168" ht="11.25" customHeight="1">
      <c r="FH995" s="50"/>
      <c r="FI995" s="47"/>
      <c r="FJ995" s="47"/>
      <c r="FK995" s="47"/>
      <c r="FL995" s="47"/>
    </row>
    <row r="996" spans="164:168" ht="11.25" customHeight="1">
      <c r="FH996" s="50"/>
      <c r="FI996" s="47"/>
      <c r="FJ996" s="47"/>
      <c r="FK996" s="47"/>
      <c r="FL996" s="47"/>
    </row>
    <row r="997" spans="164:168" ht="11.25" customHeight="1">
      <c r="FH997" s="50"/>
      <c r="FI997" s="47"/>
      <c r="FJ997" s="47"/>
      <c r="FK997" s="47"/>
      <c r="FL997" s="47"/>
    </row>
    <row r="998" spans="164:168" ht="11.25" customHeight="1">
      <c r="FH998" s="50"/>
      <c r="FI998" s="47"/>
      <c r="FJ998" s="47"/>
      <c r="FK998" s="47"/>
      <c r="FL998" s="47"/>
    </row>
    <row r="999" spans="164:168" ht="11.25" customHeight="1">
      <c r="FH999" s="50"/>
      <c r="FI999" s="47"/>
      <c r="FJ999" s="47"/>
      <c r="FK999" s="47"/>
      <c r="FL999" s="47"/>
    </row>
    <row r="1000" spans="164:168" ht="11.25" customHeight="1">
      <c r="FH1000" s="50"/>
      <c r="FI1000" s="47"/>
      <c r="FJ1000" s="47"/>
      <c r="FK1000" s="47"/>
      <c r="FL1000" s="47"/>
    </row>
    <row r="1001" spans="164:168" ht="11.25" customHeight="1">
      <c r="FH1001" s="50"/>
      <c r="FI1001" s="47"/>
      <c r="FJ1001" s="47"/>
      <c r="FK1001" s="47"/>
      <c r="FL1001" s="47"/>
    </row>
    <row r="1002" spans="164:168" ht="11.25" customHeight="1">
      <c r="FH1002" s="50"/>
      <c r="FI1002" s="47"/>
      <c r="FJ1002" s="47"/>
      <c r="FK1002" s="47"/>
      <c r="FL1002" s="47"/>
    </row>
    <row r="1003" spans="164:168" ht="11.25" customHeight="1">
      <c r="FH1003" s="50"/>
      <c r="FI1003" s="47"/>
      <c r="FJ1003" s="47"/>
      <c r="FK1003" s="47"/>
      <c r="FL1003" s="47"/>
    </row>
    <row r="1004" spans="164:168" ht="11.25" customHeight="1">
      <c r="FH1004" s="50"/>
      <c r="FI1004" s="47"/>
      <c r="FJ1004" s="47"/>
      <c r="FK1004" s="47"/>
      <c r="FL1004" s="47"/>
    </row>
    <row r="1005" spans="164:168" ht="11.25" customHeight="1">
      <c r="FH1005" s="50"/>
      <c r="FI1005" s="47"/>
      <c r="FJ1005" s="47"/>
      <c r="FK1005" s="47"/>
      <c r="FL1005" s="47"/>
    </row>
    <row r="1006" spans="164:168" ht="11.25" customHeight="1">
      <c r="FH1006" s="50"/>
      <c r="FI1006" s="47"/>
      <c r="FJ1006" s="47"/>
      <c r="FK1006" s="47"/>
      <c r="FL1006" s="47"/>
    </row>
    <row r="1007" spans="164:168" ht="11.25" customHeight="1">
      <c r="FH1007" s="50"/>
      <c r="FI1007" s="47"/>
      <c r="FJ1007" s="47"/>
      <c r="FK1007" s="47"/>
      <c r="FL1007" s="47"/>
    </row>
    <row r="1008" spans="164:168" ht="11.25" customHeight="1">
      <c r="FH1008" s="50"/>
      <c r="FI1008" s="47"/>
      <c r="FJ1008" s="47"/>
      <c r="FK1008" s="47"/>
      <c r="FL1008" s="47"/>
    </row>
    <row r="1009" spans="164:168" ht="11.25" customHeight="1">
      <c r="FH1009" s="50"/>
      <c r="FI1009" s="47"/>
      <c r="FJ1009" s="47"/>
      <c r="FK1009" s="47"/>
      <c r="FL1009" s="47"/>
    </row>
    <row r="1010" spans="164:168" ht="11.25" customHeight="1">
      <c r="FH1010" s="50"/>
      <c r="FI1010" s="47"/>
      <c r="FJ1010" s="47"/>
      <c r="FK1010" s="47"/>
      <c r="FL1010" s="47"/>
    </row>
    <row r="1011" spans="164:168" ht="11.25" customHeight="1">
      <c r="FH1011" s="50"/>
      <c r="FI1011" s="47"/>
      <c r="FJ1011" s="47"/>
      <c r="FK1011" s="47"/>
      <c r="FL1011" s="47"/>
    </row>
    <row r="1012" spans="164:168" ht="11.25" customHeight="1">
      <c r="FH1012" s="50"/>
      <c r="FI1012" s="47"/>
      <c r="FJ1012" s="47"/>
      <c r="FK1012" s="47"/>
      <c r="FL1012" s="47"/>
    </row>
    <row r="1013" spans="164:168" ht="11.25" customHeight="1">
      <c r="FH1013" s="50"/>
      <c r="FI1013" s="47"/>
      <c r="FJ1013" s="47"/>
      <c r="FK1013" s="47"/>
      <c r="FL1013" s="47"/>
    </row>
    <row r="1014" spans="164:168" ht="11.25" customHeight="1">
      <c r="FH1014" s="50"/>
      <c r="FI1014" s="47"/>
      <c r="FJ1014" s="47"/>
      <c r="FK1014" s="47"/>
      <c r="FL1014" s="47"/>
    </row>
    <row r="1015" spans="164:168" ht="11.25" customHeight="1">
      <c r="FH1015" s="50"/>
      <c r="FI1015" s="47"/>
      <c r="FJ1015" s="47"/>
      <c r="FK1015" s="47"/>
      <c r="FL1015" s="47"/>
    </row>
    <row r="1016" spans="164:168" ht="11.25" customHeight="1">
      <c r="FH1016" s="50"/>
      <c r="FI1016" s="47"/>
      <c r="FJ1016" s="47"/>
      <c r="FK1016" s="47"/>
      <c r="FL1016" s="47"/>
    </row>
    <row r="1017" spans="164:168" ht="11.25" customHeight="1">
      <c r="FH1017" s="50"/>
      <c r="FI1017" s="47"/>
      <c r="FJ1017" s="47"/>
      <c r="FK1017" s="47"/>
      <c r="FL1017" s="47"/>
    </row>
    <row r="1018" spans="164:168" ht="11.25" customHeight="1">
      <c r="FH1018" s="50"/>
      <c r="FI1018" s="47"/>
      <c r="FJ1018" s="47"/>
      <c r="FK1018" s="47"/>
      <c r="FL1018" s="47"/>
    </row>
    <row r="1019" spans="164:168" ht="11.25" customHeight="1">
      <c r="FH1019" s="50"/>
      <c r="FI1019" s="47"/>
      <c r="FJ1019" s="47"/>
      <c r="FK1019" s="47"/>
      <c r="FL1019" s="47"/>
    </row>
    <row r="1020" spans="164:168" ht="11.25" customHeight="1">
      <c r="FH1020" s="50"/>
      <c r="FI1020" s="47"/>
      <c r="FJ1020" s="47"/>
      <c r="FK1020" s="47"/>
      <c r="FL1020" s="47"/>
    </row>
    <row r="1021" spans="164:168" ht="11.25" customHeight="1">
      <c r="FH1021" s="50"/>
      <c r="FI1021" s="47"/>
      <c r="FJ1021" s="47"/>
      <c r="FK1021" s="47"/>
      <c r="FL1021" s="47"/>
    </row>
    <row r="1022" spans="164:168" ht="11.25" customHeight="1">
      <c r="FH1022" s="50"/>
      <c r="FI1022" s="47"/>
      <c r="FJ1022" s="47"/>
      <c r="FK1022" s="47"/>
      <c r="FL1022" s="47"/>
    </row>
    <row r="1023" spans="164:168" ht="11.25" customHeight="1">
      <c r="FH1023" s="50"/>
      <c r="FI1023" s="47"/>
      <c r="FJ1023" s="47"/>
      <c r="FK1023" s="47"/>
      <c r="FL1023" s="47"/>
    </row>
    <row r="1024" spans="164:168" ht="11.25" customHeight="1">
      <c r="FH1024" s="50"/>
      <c r="FI1024" s="47"/>
      <c r="FJ1024" s="47"/>
      <c r="FK1024" s="47"/>
      <c r="FL1024" s="47"/>
    </row>
    <row r="1025" spans="164:168" ht="11.25" customHeight="1">
      <c r="FH1025" s="50"/>
      <c r="FI1025" s="47"/>
      <c r="FJ1025" s="47"/>
      <c r="FK1025" s="47"/>
      <c r="FL1025" s="47"/>
    </row>
    <row r="1026" spans="164:168" ht="11.25" customHeight="1">
      <c r="FH1026" s="50"/>
      <c r="FI1026" s="47"/>
      <c r="FJ1026" s="47"/>
      <c r="FK1026" s="47"/>
      <c r="FL1026" s="47"/>
    </row>
    <row r="1027" spans="164:168" ht="11.25" customHeight="1">
      <c r="FH1027" s="50"/>
      <c r="FI1027" s="47"/>
      <c r="FJ1027" s="47"/>
      <c r="FK1027" s="47"/>
      <c r="FL1027" s="47"/>
    </row>
    <row r="1028" spans="164:168" ht="11.25" customHeight="1">
      <c r="FH1028" s="50"/>
      <c r="FI1028" s="47"/>
      <c r="FJ1028" s="47"/>
      <c r="FK1028" s="47"/>
      <c r="FL1028" s="47"/>
    </row>
    <row r="1029" spans="164:168" ht="11.25" customHeight="1">
      <c r="FH1029" s="50"/>
      <c r="FI1029" s="47"/>
      <c r="FJ1029" s="47"/>
      <c r="FK1029" s="47"/>
      <c r="FL1029" s="47"/>
    </row>
    <row r="1030" spans="164:168" ht="11.25" customHeight="1">
      <c r="FH1030" s="50"/>
      <c r="FI1030" s="47"/>
      <c r="FJ1030" s="47"/>
      <c r="FK1030" s="47"/>
      <c r="FL1030" s="47"/>
    </row>
    <row r="1031" spans="164:168" ht="11.25" customHeight="1">
      <c r="FH1031" s="50"/>
      <c r="FI1031" s="47"/>
      <c r="FJ1031" s="47"/>
      <c r="FK1031" s="47"/>
      <c r="FL1031" s="47"/>
    </row>
    <row r="1032" spans="164:168" ht="11.25" customHeight="1">
      <c r="FH1032" s="50"/>
      <c r="FI1032" s="47"/>
      <c r="FJ1032" s="47"/>
      <c r="FK1032" s="47"/>
      <c r="FL1032" s="47"/>
    </row>
    <row r="1033" spans="164:168" ht="11.25" customHeight="1">
      <c r="FH1033" s="50"/>
      <c r="FI1033" s="47"/>
      <c r="FJ1033" s="47"/>
      <c r="FK1033" s="47"/>
      <c r="FL1033" s="47"/>
    </row>
    <row r="1034" spans="164:168" ht="11.25" customHeight="1">
      <c r="FH1034" s="50"/>
      <c r="FI1034" s="47"/>
      <c r="FJ1034" s="47"/>
      <c r="FK1034" s="47"/>
      <c r="FL1034" s="47"/>
    </row>
    <row r="1035" spans="164:168" ht="11.25" customHeight="1">
      <c r="FH1035" s="50"/>
      <c r="FI1035" s="47"/>
      <c r="FJ1035" s="47"/>
      <c r="FK1035" s="47"/>
      <c r="FL1035" s="47"/>
    </row>
    <row r="1036" spans="164:168" ht="11.25" customHeight="1">
      <c r="FH1036" s="50"/>
      <c r="FI1036" s="47"/>
      <c r="FJ1036" s="47"/>
      <c r="FK1036" s="47"/>
      <c r="FL1036" s="47"/>
    </row>
    <row r="1037" spans="164:168" ht="11.25" customHeight="1">
      <c r="FH1037" s="50"/>
      <c r="FI1037" s="47"/>
      <c r="FJ1037" s="47"/>
      <c r="FK1037" s="47"/>
      <c r="FL1037" s="47"/>
    </row>
    <row r="1038" spans="164:168" ht="11.25" customHeight="1">
      <c r="FH1038" s="50"/>
      <c r="FI1038" s="47"/>
      <c r="FJ1038" s="47"/>
      <c r="FK1038" s="47"/>
      <c r="FL1038" s="47"/>
    </row>
    <row r="1039" spans="164:168" ht="11.25" customHeight="1">
      <c r="FH1039" s="50"/>
      <c r="FI1039" s="47"/>
      <c r="FJ1039" s="47"/>
      <c r="FK1039" s="47"/>
      <c r="FL1039" s="47"/>
    </row>
    <row r="1040" spans="164:168" ht="11.25" customHeight="1">
      <c r="FH1040" s="50"/>
      <c r="FI1040" s="47"/>
      <c r="FJ1040" s="47"/>
      <c r="FK1040" s="47"/>
      <c r="FL1040" s="47"/>
    </row>
    <row r="1041" spans="164:168" ht="11.25" customHeight="1">
      <c r="FH1041" s="50"/>
      <c r="FI1041" s="47"/>
      <c r="FJ1041" s="47"/>
      <c r="FK1041" s="47"/>
      <c r="FL1041" s="47"/>
    </row>
    <row r="1042" spans="164:168" ht="11.25" customHeight="1">
      <c r="FH1042" s="50"/>
      <c r="FI1042" s="47"/>
      <c r="FJ1042" s="47"/>
      <c r="FK1042" s="47"/>
      <c r="FL1042" s="47"/>
    </row>
    <row r="1043" spans="164:168" ht="11.25" customHeight="1">
      <c r="FH1043" s="50"/>
      <c r="FI1043" s="47"/>
      <c r="FJ1043" s="47"/>
      <c r="FK1043" s="47"/>
      <c r="FL1043" s="47"/>
    </row>
    <row r="1044" spans="164:168" ht="11.25" customHeight="1">
      <c r="FH1044" s="50"/>
      <c r="FI1044" s="47"/>
      <c r="FJ1044" s="47"/>
      <c r="FK1044" s="47"/>
      <c r="FL1044" s="47"/>
    </row>
    <row r="1045" spans="164:168" ht="11.25" customHeight="1">
      <c r="FH1045" s="50"/>
      <c r="FI1045" s="47"/>
      <c r="FJ1045" s="47"/>
      <c r="FK1045" s="47"/>
      <c r="FL1045" s="47"/>
    </row>
    <row r="1046" spans="164:168" ht="11.25" customHeight="1">
      <c r="FH1046" s="50"/>
      <c r="FI1046" s="47"/>
      <c r="FJ1046" s="47"/>
      <c r="FK1046" s="47"/>
      <c r="FL1046" s="47"/>
    </row>
    <row r="1047" spans="164:168" ht="11.25" customHeight="1">
      <c r="FH1047" s="50"/>
      <c r="FI1047" s="47"/>
      <c r="FJ1047" s="47"/>
      <c r="FK1047" s="47"/>
      <c r="FL1047" s="47"/>
    </row>
    <row r="1048" spans="164:168" ht="11.25" customHeight="1">
      <c r="FH1048" s="50"/>
      <c r="FI1048" s="47"/>
      <c r="FJ1048" s="47"/>
      <c r="FK1048" s="47"/>
      <c r="FL1048" s="47"/>
    </row>
    <row r="1049" spans="164:168" ht="11.25" customHeight="1">
      <c r="FH1049" s="50"/>
      <c r="FI1049" s="47"/>
      <c r="FJ1049" s="47"/>
      <c r="FK1049" s="47"/>
      <c r="FL1049" s="47"/>
    </row>
    <row r="1050" spans="164:168" ht="11.25" customHeight="1">
      <c r="FH1050" s="50"/>
      <c r="FI1050" s="47"/>
      <c r="FJ1050" s="47"/>
      <c r="FK1050" s="47"/>
      <c r="FL1050" s="47"/>
    </row>
    <row r="1051" spans="164:168" ht="11.25" customHeight="1">
      <c r="FH1051" s="50"/>
      <c r="FI1051" s="47"/>
      <c r="FJ1051" s="47"/>
      <c r="FK1051" s="47"/>
      <c r="FL1051" s="47"/>
    </row>
    <row r="1052" spans="164:168" ht="11.25" customHeight="1">
      <c r="FH1052" s="50"/>
      <c r="FI1052" s="47"/>
      <c r="FJ1052" s="47"/>
      <c r="FK1052" s="47"/>
      <c r="FL1052" s="47"/>
    </row>
    <row r="1053" spans="164:168" ht="11.25" customHeight="1">
      <c r="FH1053" s="50"/>
      <c r="FI1053" s="47"/>
      <c r="FJ1053" s="47"/>
      <c r="FK1053" s="47"/>
      <c r="FL1053" s="47"/>
    </row>
    <row r="1054" spans="164:168" ht="11.25" customHeight="1">
      <c r="FH1054" s="50"/>
      <c r="FI1054" s="47"/>
      <c r="FJ1054" s="47"/>
      <c r="FK1054" s="47"/>
      <c r="FL1054" s="47"/>
    </row>
    <row r="1055" spans="164:168" ht="11.25" customHeight="1">
      <c r="FH1055" s="50"/>
      <c r="FI1055" s="47"/>
      <c r="FJ1055" s="47"/>
      <c r="FK1055" s="47"/>
      <c r="FL1055" s="47"/>
    </row>
    <row r="1056" spans="164:168" ht="11.25" customHeight="1">
      <c r="FH1056" s="50"/>
      <c r="FI1056" s="47"/>
      <c r="FJ1056" s="47"/>
      <c r="FK1056" s="47"/>
      <c r="FL1056" s="47"/>
    </row>
    <row r="1057" spans="164:168" ht="11.25" customHeight="1">
      <c r="FH1057" s="50"/>
      <c r="FI1057" s="47"/>
      <c r="FJ1057" s="47"/>
      <c r="FK1057" s="47"/>
      <c r="FL1057" s="47"/>
    </row>
    <row r="1058" spans="164:168" ht="11.25" customHeight="1">
      <c r="FH1058" s="50"/>
      <c r="FI1058" s="47"/>
      <c r="FJ1058" s="47"/>
      <c r="FK1058" s="47"/>
      <c r="FL1058" s="47"/>
    </row>
    <row r="1059" spans="164:168" ht="11.25" customHeight="1">
      <c r="FH1059" s="50"/>
      <c r="FI1059" s="47"/>
      <c r="FJ1059" s="47"/>
      <c r="FK1059" s="47"/>
      <c r="FL1059" s="47"/>
    </row>
    <row r="1060" spans="164:168" ht="11.25" customHeight="1">
      <c r="FH1060" s="50"/>
      <c r="FI1060" s="47"/>
      <c r="FJ1060" s="47"/>
      <c r="FK1060" s="47"/>
      <c r="FL1060" s="47"/>
    </row>
    <row r="1061" spans="164:168" ht="11.25" customHeight="1">
      <c r="FH1061" s="50"/>
      <c r="FI1061" s="47"/>
      <c r="FJ1061" s="47"/>
      <c r="FK1061" s="47"/>
      <c r="FL1061" s="47"/>
    </row>
    <row r="1062" spans="164:168" ht="11.25" customHeight="1">
      <c r="FH1062" s="50"/>
      <c r="FI1062" s="47"/>
      <c r="FJ1062" s="47"/>
      <c r="FK1062" s="47"/>
      <c r="FL1062" s="47"/>
    </row>
    <row r="1063" spans="164:168" ht="11.25" customHeight="1">
      <c r="FH1063" s="50"/>
      <c r="FI1063" s="47"/>
      <c r="FJ1063" s="47"/>
      <c r="FK1063" s="47"/>
      <c r="FL1063" s="47"/>
    </row>
    <row r="1064" spans="164:168" ht="11.25" customHeight="1">
      <c r="FH1064" s="50"/>
      <c r="FI1064" s="47"/>
      <c r="FJ1064" s="47"/>
      <c r="FK1064" s="47"/>
      <c r="FL1064" s="47"/>
    </row>
    <row r="1065" spans="164:168" ht="11.25" customHeight="1">
      <c r="FH1065" s="50"/>
      <c r="FI1065" s="47"/>
      <c r="FJ1065" s="47"/>
      <c r="FK1065" s="47"/>
      <c r="FL1065" s="47"/>
    </row>
    <row r="1066" spans="164:168" ht="11.25" customHeight="1">
      <c r="FH1066" s="50"/>
      <c r="FI1066" s="47"/>
      <c r="FJ1066" s="47"/>
      <c r="FK1066" s="47"/>
      <c r="FL1066" s="47"/>
    </row>
    <row r="1067" spans="164:168" ht="11.25" customHeight="1">
      <c r="FH1067" s="50"/>
      <c r="FI1067" s="47"/>
      <c r="FJ1067" s="47"/>
      <c r="FK1067" s="47"/>
      <c r="FL1067" s="47"/>
    </row>
    <row r="1068" spans="164:168" ht="11.25" customHeight="1">
      <c r="FH1068" s="50"/>
      <c r="FI1068" s="47"/>
      <c r="FJ1068" s="47"/>
      <c r="FK1068" s="47"/>
      <c r="FL1068" s="47"/>
    </row>
    <row r="1069" spans="164:168" ht="11.25" customHeight="1">
      <c r="FH1069" s="50"/>
      <c r="FI1069" s="47"/>
      <c r="FJ1069" s="47"/>
      <c r="FK1069" s="47"/>
      <c r="FL1069" s="47"/>
    </row>
    <row r="1070" spans="164:168" ht="11.25" customHeight="1">
      <c r="FH1070" s="50"/>
      <c r="FI1070" s="47"/>
      <c r="FJ1070" s="47"/>
      <c r="FK1070" s="47"/>
      <c r="FL1070" s="47"/>
    </row>
    <row r="1071" spans="164:168" ht="11.25" customHeight="1">
      <c r="FH1071" s="50"/>
      <c r="FI1071" s="47"/>
      <c r="FJ1071" s="47"/>
      <c r="FK1071" s="47"/>
      <c r="FL1071" s="47"/>
    </row>
    <row r="1072" spans="164:168" ht="11.25" customHeight="1">
      <c r="FH1072" s="50"/>
      <c r="FI1072" s="47"/>
      <c r="FJ1072" s="47"/>
      <c r="FK1072" s="47"/>
      <c r="FL1072" s="47"/>
    </row>
    <row r="1073" spans="164:168" ht="11.25" customHeight="1">
      <c r="FH1073" s="50"/>
      <c r="FI1073" s="47"/>
      <c r="FJ1073" s="47"/>
      <c r="FK1073" s="47"/>
      <c r="FL1073" s="47"/>
    </row>
    <row r="1074" spans="164:168" ht="11.25" customHeight="1">
      <c r="FH1074" s="50"/>
      <c r="FI1074" s="47"/>
      <c r="FJ1074" s="47"/>
      <c r="FK1074" s="47"/>
      <c r="FL1074" s="47"/>
    </row>
    <row r="1075" spans="164:168" ht="11.25" customHeight="1">
      <c r="FH1075" s="50"/>
      <c r="FI1075" s="47"/>
      <c r="FJ1075" s="47"/>
      <c r="FK1075" s="47"/>
      <c r="FL1075" s="47"/>
    </row>
    <row r="1076" spans="164:168" ht="11.25" customHeight="1">
      <c r="FH1076" s="50"/>
      <c r="FI1076" s="47"/>
      <c r="FJ1076" s="47"/>
      <c r="FK1076" s="47"/>
      <c r="FL1076" s="47"/>
    </row>
    <row r="1077" spans="164:168" ht="11.25" customHeight="1">
      <c r="FH1077" s="50"/>
      <c r="FI1077" s="47"/>
      <c r="FJ1077" s="47"/>
      <c r="FK1077" s="47"/>
      <c r="FL1077" s="47"/>
    </row>
    <row r="1078" spans="164:168" ht="11.25" customHeight="1">
      <c r="FH1078" s="50"/>
      <c r="FI1078" s="47"/>
      <c r="FJ1078" s="47"/>
      <c r="FK1078" s="47"/>
      <c r="FL1078" s="47"/>
    </row>
    <row r="1079" spans="164:168" ht="11.25" customHeight="1">
      <c r="FH1079" s="50"/>
      <c r="FI1079" s="47"/>
      <c r="FJ1079" s="47"/>
      <c r="FK1079" s="47"/>
      <c r="FL1079" s="47"/>
    </row>
    <row r="1080" spans="164:168" ht="11.25" customHeight="1">
      <c r="FH1080" s="50"/>
      <c r="FI1080" s="47"/>
      <c r="FJ1080" s="47"/>
      <c r="FK1080" s="47"/>
      <c r="FL1080" s="47"/>
    </row>
    <row r="1081" spans="164:168" ht="11.25" customHeight="1">
      <c r="FH1081" s="50"/>
      <c r="FI1081" s="47"/>
      <c r="FJ1081" s="47"/>
      <c r="FK1081" s="47"/>
      <c r="FL1081" s="47"/>
    </row>
    <row r="1082" spans="164:168" ht="11.25" customHeight="1">
      <c r="FH1082" s="50"/>
      <c r="FI1082" s="47"/>
      <c r="FJ1082" s="47"/>
      <c r="FK1082" s="47"/>
      <c r="FL1082" s="47"/>
    </row>
    <row r="1083" spans="164:168" ht="11.25" customHeight="1">
      <c r="FH1083" s="50"/>
      <c r="FI1083" s="47"/>
      <c r="FJ1083" s="47"/>
      <c r="FK1083" s="47"/>
      <c r="FL1083" s="47"/>
    </row>
    <row r="1084" spans="164:168" ht="11.25" customHeight="1">
      <c r="FH1084" s="50"/>
      <c r="FI1084" s="47"/>
      <c r="FJ1084" s="47"/>
      <c r="FK1084" s="47"/>
      <c r="FL1084" s="47"/>
    </row>
    <row r="1085" spans="164:168" ht="11.25" customHeight="1">
      <c r="FH1085" s="50"/>
      <c r="FI1085" s="47"/>
      <c r="FJ1085" s="47"/>
      <c r="FK1085" s="47"/>
      <c r="FL1085" s="47"/>
    </row>
    <row r="1086" spans="164:168" ht="11.25" customHeight="1">
      <c r="FH1086" s="50"/>
      <c r="FI1086" s="47"/>
      <c r="FJ1086" s="47"/>
      <c r="FK1086" s="47"/>
      <c r="FL1086" s="47"/>
    </row>
    <row r="1087" spans="164:168" ht="11.25" customHeight="1">
      <c r="FH1087" s="50"/>
      <c r="FI1087" s="47"/>
      <c r="FJ1087" s="47"/>
      <c r="FK1087" s="47"/>
      <c r="FL1087" s="47"/>
    </row>
    <row r="1088" spans="164:168" ht="11.25" customHeight="1">
      <c r="FH1088" s="50"/>
      <c r="FI1088" s="47"/>
      <c r="FJ1088" s="47"/>
      <c r="FK1088" s="47"/>
      <c r="FL1088" s="47"/>
    </row>
    <row r="1089" spans="164:168" ht="11.25" customHeight="1">
      <c r="FH1089" s="50"/>
      <c r="FI1089" s="47"/>
      <c r="FJ1089" s="47"/>
      <c r="FK1089" s="47"/>
      <c r="FL1089" s="47"/>
    </row>
    <row r="1090" spans="164:168" ht="11.25" customHeight="1">
      <c r="FH1090" s="50"/>
      <c r="FI1090" s="47"/>
      <c r="FJ1090" s="47"/>
      <c r="FK1090" s="47"/>
      <c r="FL1090" s="47"/>
    </row>
    <row r="1091" spans="164:168" ht="11.25" customHeight="1">
      <c r="FH1091" s="50"/>
      <c r="FI1091" s="47"/>
      <c r="FJ1091" s="47"/>
      <c r="FK1091" s="47"/>
      <c r="FL1091" s="47"/>
    </row>
    <row r="1092" spans="164:168" ht="11.25" customHeight="1">
      <c r="FH1092" s="50"/>
      <c r="FI1092" s="47"/>
      <c r="FJ1092" s="47"/>
      <c r="FK1092" s="47"/>
      <c r="FL1092" s="47"/>
    </row>
    <row r="1093" spans="164:168" ht="11.25" customHeight="1">
      <c r="FH1093" s="50"/>
      <c r="FI1093" s="47"/>
      <c r="FJ1093" s="47"/>
      <c r="FK1093" s="47"/>
      <c r="FL1093" s="47"/>
    </row>
    <row r="1094" spans="164:168" ht="11.25" customHeight="1">
      <c r="FH1094" s="50"/>
      <c r="FI1094" s="47"/>
      <c r="FJ1094" s="47"/>
      <c r="FK1094" s="47"/>
      <c r="FL1094" s="47"/>
    </row>
    <row r="1095" spans="164:168" ht="11.25" customHeight="1">
      <c r="FH1095" s="50"/>
      <c r="FI1095" s="47"/>
      <c r="FJ1095" s="47"/>
      <c r="FK1095" s="47"/>
      <c r="FL1095" s="47"/>
    </row>
    <row r="1096" spans="164:168" ht="11.25" customHeight="1">
      <c r="FH1096" s="50"/>
      <c r="FI1096" s="47"/>
      <c r="FJ1096" s="47"/>
      <c r="FK1096" s="47"/>
      <c r="FL1096" s="47"/>
    </row>
    <row r="1097" spans="164:168" ht="11.25" customHeight="1">
      <c r="FH1097" s="50"/>
      <c r="FI1097" s="47"/>
      <c r="FJ1097" s="47"/>
      <c r="FK1097" s="47"/>
      <c r="FL1097" s="47"/>
    </row>
    <row r="1098" spans="164:168" ht="11.25" customHeight="1">
      <c r="FH1098" s="50"/>
      <c r="FI1098" s="47"/>
      <c r="FJ1098" s="47"/>
      <c r="FK1098" s="47"/>
      <c r="FL1098" s="47"/>
    </row>
    <row r="1099" spans="164:168" ht="11.25" customHeight="1">
      <c r="FH1099" s="50"/>
      <c r="FI1099" s="47"/>
      <c r="FJ1099" s="47"/>
      <c r="FK1099" s="47"/>
      <c r="FL1099" s="47"/>
    </row>
    <row r="1100" spans="164:168" ht="11.25" customHeight="1">
      <c r="FH1100" s="50"/>
      <c r="FI1100" s="47"/>
      <c r="FJ1100" s="47"/>
      <c r="FK1100" s="47"/>
      <c r="FL1100" s="47"/>
    </row>
    <row r="1101" spans="164:168" ht="11.25" customHeight="1">
      <c r="FH1101" s="50"/>
      <c r="FI1101" s="47"/>
      <c r="FJ1101" s="47"/>
      <c r="FK1101" s="47"/>
      <c r="FL1101" s="47"/>
    </row>
    <row r="1102" spans="164:168" ht="11.25" customHeight="1">
      <c r="FH1102" s="50"/>
      <c r="FI1102" s="47"/>
      <c r="FJ1102" s="47"/>
      <c r="FK1102" s="47"/>
      <c r="FL1102" s="47"/>
    </row>
    <row r="1103" spans="164:168" ht="11.25" customHeight="1">
      <c r="FH1103" s="50"/>
      <c r="FI1103" s="47"/>
      <c r="FJ1103" s="47"/>
      <c r="FK1103" s="47"/>
      <c r="FL1103" s="47"/>
    </row>
    <row r="1104" spans="164:168" ht="11.25" customHeight="1">
      <c r="FH1104" s="50"/>
      <c r="FI1104" s="47"/>
      <c r="FJ1104" s="47"/>
      <c r="FK1104" s="47"/>
      <c r="FL1104" s="47"/>
    </row>
    <row r="1105" spans="164:168" ht="11.25" customHeight="1">
      <c r="FH1105" s="50"/>
      <c r="FI1105" s="47"/>
      <c r="FJ1105" s="47"/>
      <c r="FK1105" s="47"/>
      <c r="FL1105" s="47"/>
    </row>
    <row r="1106" spans="164:168" ht="11.25" customHeight="1">
      <c r="FH1106" s="50"/>
      <c r="FI1106" s="47"/>
      <c r="FJ1106" s="47"/>
      <c r="FK1106" s="47"/>
      <c r="FL1106" s="47"/>
    </row>
    <row r="1107" spans="164:168" ht="11.25" customHeight="1">
      <c r="FH1107" s="50"/>
      <c r="FI1107" s="47"/>
      <c r="FJ1107" s="47"/>
      <c r="FK1107" s="47"/>
      <c r="FL1107" s="47"/>
    </row>
    <row r="1108" spans="164:168" ht="11.25" customHeight="1">
      <c r="FH1108" s="50"/>
      <c r="FI1108" s="47"/>
      <c r="FJ1108" s="47"/>
      <c r="FK1108" s="47"/>
      <c r="FL1108" s="47"/>
    </row>
    <row r="1109" spans="164:168" ht="11.25" customHeight="1">
      <c r="FH1109" s="50"/>
      <c r="FI1109" s="47"/>
      <c r="FJ1109" s="47"/>
      <c r="FK1109" s="47"/>
      <c r="FL1109" s="47"/>
    </row>
    <row r="1110" spans="164:168" ht="11.25" customHeight="1">
      <c r="FH1110" s="50"/>
      <c r="FI1110" s="47"/>
      <c r="FJ1110" s="47"/>
      <c r="FK1110" s="47"/>
      <c r="FL1110" s="47"/>
    </row>
    <row r="1111" spans="164:168" ht="11.25" customHeight="1">
      <c r="FH1111" s="50"/>
      <c r="FI1111" s="47"/>
      <c r="FJ1111" s="47"/>
      <c r="FK1111" s="47"/>
      <c r="FL1111" s="47"/>
    </row>
    <row r="1112" spans="164:168" ht="11.25" customHeight="1">
      <c r="FH1112" s="50"/>
      <c r="FI1112" s="47"/>
      <c r="FJ1112" s="47"/>
      <c r="FK1112" s="47"/>
      <c r="FL1112" s="47"/>
    </row>
    <row r="1113" spans="164:168" ht="11.25" customHeight="1">
      <c r="FH1113" s="50"/>
      <c r="FI1113" s="47"/>
      <c r="FJ1113" s="47"/>
      <c r="FK1113" s="47"/>
      <c r="FL1113" s="47"/>
    </row>
    <row r="1114" spans="164:168" ht="11.25" customHeight="1">
      <c r="FH1114" s="50"/>
      <c r="FI1114" s="47"/>
      <c r="FJ1114" s="47"/>
      <c r="FK1114" s="47"/>
      <c r="FL1114" s="47"/>
    </row>
    <row r="1115" spans="164:168" ht="11.25" customHeight="1">
      <c r="FH1115" s="50"/>
      <c r="FI1115" s="47"/>
      <c r="FJ1115" s="47"/>
      <c r="FK1115" s="47"/>
      <c r="FL1115" s="47"/>
    </row>
    <row r="1116" spans="164:168" ht="11.25" customHeight="1">
      <c r="FH1116" s="50"/>
      <c r="FI1116" s="47"/>
      <c r="FJ1116" s="47"/>
      <c r="FK1116" s="47"/>
      <c r="FL1116" s="47"/>
    </row>
    <row r="1117" spans="164:168" ht="11.25" customHeight="1">
      <c r="FH1117" s="50"/>
      <c r="FI1117" s="47"/>
      <c r="FJ1117" s="47"/>
      <c r="FK1117" s="47"/>
      <c r="FL1117" s="47"/>
    </row>
    <row r="1118" spans="164:168" ht="11.25" customHeight="1">
      <c r="FH1118" s="50"/>
      <c r="FI1118" s="47"/>
      <c r="FJ1118" s="47"/>
      <c r="FK1118" s="47"/>
      <c r="FL1118" s="47"/>
    </row>
    <row r="1119" spans="164:168" ht="11.25" customHeight="1">
      <c r="FH1119" s="50"/>
      <c r="FI1119" s="47"/>
      <c r="FJ1119" s="47"/>
      <c r="FK1119" s="47"/>
      <c r="FL1119" s="47"/>
    </row>
    <row r="1120" spans="164:168" ht="11.25" customHeight="1">
      <c r="FH1120" s="50"/>
      <c r="FI1120" s="47"/>
      <c r="FJ1120" s="47"/>
      <c r="FK1120" s="47"/>
      <c r="FL1120" s="47"/>
    </row>
    <row r="1121" spans="164:168" ht="11.25" customHeight="1">
      <c r="FH1121" s="50"/>
      <c r="FI1121" s="47"/>
      <c r="FJ1121" s="47"/>
      <c r="FK1121" s="47"/>
      <c r="FL1121" s="47"/>
    </row>
    <row r="1122" spans="164:168" ht="11.25" customHeight="1">
      <c r="FH1122" s="50"/>
      <c r="FI1122" s="47"/>
      <c r="FJ1122" s="47"/>
      <c r="FK1122" s="47"/>
      <c r="FL1122" s="47"/>
    </row>
    <row r="1123" spans="164:168" ht="11.25" customHeight="1">
      <c r="FH1123" s="50"/>
      <c r="FI1123" s="47"/>
      <c r="FJ1123" s="47"/>
      <c r="FK1123" s="47"/>
      <c r="FL1123" s="47"/>
    </row>
    <row r="1124" spans="164:168" ht="11.25" customHeight="1">
      <c r="FH1124" s="50"/>
      <c r="FI1124" s="47"/>
      <c r="FJ1124" s="47"/>
      <c r="FK1124" s="47"/>
      <c r="FL1124" s="47"/>
    </row>
    <row r="1125" spans="164:168" ht="11.25" customHeight="1">
      <c r="FH1125" s="50"/>
      <c r="FI1125" s="47"/>
      <c r="FJ1125" s="47"/>
      <c r="FK1125" s="47"/>
      <c r="FL1125" s="47"/>
    </row>
    <row r="1126" spans="164:168" ht="11.25" customHeight="1">
      <c r="FH1126" s="50"/>
      <c r="FI1126" s="47"/>
      <c r="FJ1126" s="47"/>
      <c r="FK1126" s="47"/>
      <c r="FL1126" s="47"/>
    </row>
    <row r="1127" spans="164:168" ht="11.25" customHeight="1">
      <c r="FH1127" s="50"/>
      <c r="FI1127" s="47"/>
      <c r="FJ1127" s="47"/>
      <c r="FK1127" s="47"/>
      <c r="FL1127" s="47"/>
    </row>
    <row r="1128" spans="164:168" ht="11.25" customHeight="1">
      <c r="FH1128" s="50"/>
      <c r="FI1128" s="47"/>
      <c r="FJ1128" s="47"/>
      <c r="FK1128" s="47"/>
      <c r="FL1128" s="47"/>
    </row>
    <row r="1129" spans="164:168" ht="11.25" customHeight="1">
      <c r="FH1129" s="50"/>
      <c r="FI1129" s="47"/>
      <c r="FJ1129" s="47"/>
      <c r="FK1129" s="47"/>
      <c r="FL1129" s="47"/>
    </row>
    <row r="1130" spans="164:168" ht="11.25" customHeight="1">
      <c r="FH1130" s="50"/>
      <c r="FI1130" s="47"/>
      <c r="FJ1130" s="47"/>
      <c r="FK1130" s="47"/>
      <c r="FL1130" s="47"/>
    </row>
    <row r="1131" spans="164:168" ht="11.25" customHeight="1">
      <c r="FH1131" s="50"/>
      <c r="FI1131" s="47"/>
      <c r="FJ1131" s="47"/>
      <c r="FK1131" s="47"/>
      <c r="FL1131" s="47"/>
    </row>
    <row r="1132" spans="164:168" ht="11.25" customHeight="1">
      <c r="FH1132" s="50"/>
      <c r="FI1132" s="47"/>
      <c r="FJ1132" s="47"/>
      <c r="FK1132" s="47"/>
      <c r="FL1132" s="47"/>
    </row>
    <row r="1133" spans="164:168" ht="11.25" customHeight="1">
      <c r="FH1133" s="50"/>
      <c r="FI1133" s="47"/>
      <c r="FJ1133" s="47"/>
      <c r="FK1133" s="47"/>
      <c r="FL1133" s="47"/>
    </row>
    <row r="1134" spans="164:168" ht="11.25" customHeight="1">
      <c r="FH1134" s="50"/>
      <c r="FI1134" s="47"/>
      <c r="FJ1134" s="47"/>
      <c r="FK1134" s="47"/>
      <c r="FL1134" s="47"/>
    </row>
    <row r="1135" spans="164:168" ht="11.25" customHeight="1">
      <c r="FH1135" s="50"/>
      <c r="FI1135" s="47"/>
      <c r="FJ1135" s="47"/>
      <c r="FK1135" s="47"/>
      <c r="FL1135" s="47"/>
    </row>
    <row r="1136" spans="164:168" ht="11.25" customHeight="1">
      <c r="FH1136" s="50"/>
      <c r="FI1136" s="47"/>
      <c r="FJ1136" s="47"/>
      <c r="FK1136" s="47"/>
      <c r="FL1136" s="47"/>
    </row>
    <row r="1137" spans="164:168" ht="11.25" customHeight="1">
      <c r="FH1137" s="50"/>
      <c r="FI1137" s="47"/>
      <c r="FJ1137" s="47"/>
      <c r="FK1137" s="47"/>
      <c r="FL1137" s="47"/>
    </row>
    <row r="1138" spans="164:168" ht="11.25" customHeight="1">
      <c r="FH1138" s="50"/>
      <c r="FI1138" s="47"/>
      <c r="FJ1138" s="47"/>
      <c r="FK1138" s="47"/>
      <c r="FL1138" s="47"/>
    </row>
    <row r="1139" spans="164:168" ht="11.25" customHeight="1">
      <c r="FH1139" s="50"/>
      <c r="FI1139" s="47"/>
      <c r="FJ1139" s="47"/>
      <c r="FK1139" s="47"/>
      <c r="FL1139" s="47"/>
    </row>
    <row r="1140" spans="164:168" ht="11.25" customHeight="1">
      <c r="FH1140" s="50"/>
      <c r="FI1140" s="47"/>
      <c r="FJ1140" s="47"/>
      <c r="FK1140" s="47"/>
      <c r="FL1140" s="47"/>
    </row>
    <row r="1141" spans="164:168" ht="11.25" customHeight="1">
      <c r="FH1141" s="50"/>
      <c r="FI1141" s="47"/>
      <c r="FJ1141" s="47"/>
      <c r="FK1141" s="47"/>
      <c r="FL1141" s="47"/>
    </row>
    <row r="1142" spans="164:168" ht="11.25" customHeight="1">
      <c r="FH1142" s="50"/>
      <c r="FI1142" s="47"/>
      <c r="FJ1142" s="47"/>
      <c r="FK1142" s="47"/>
      <c r="FL1142" s="47"/>
    </row>
    <row r="1143" spans="164:168" ht="11.25" customHeight="1">
      <c r="FH1143" s="50"/>
      <c r="FI1143" s="47"/>
      <c r="FJ1143" s="47"/>
      <c r="FK1143" s="47"/>
      <c r="FL1143" s="47"/>
    </row>
    <row r="1144" spans="164:168" ht="11.25" customHeight="1">
      <c r="FH1144" s="50"/>
      <c r="FI1144" s="47"/>
      <c r="FJ1144" s="47"/>
      <c r="FK1144" s="47"/>
      <c r="FL1144" s="47"/>
    </row>
    <row r="1145" spans="164:168" ht="11.25" customHeight="1">
      <c r="FH1145" s="50"/>
      <c r="FI1145" s="47"/>
      <c r="FJ1145" s="47"/>
      <c r="FK1145" s="47"/>
      <c r="FL1145" s="47"/>
    </row>
    <row r="1146" spans="164:168" ht="11.25" customHeight="1">
      <c r="FH1146" s="50"/>
      <c r="FI1146" s="47"/>
      <c r="FJ1146" s="47"/>
      <c r="FK1146" s="47"/>
      <c r="FL1146" s="47"/>
    </row>
    <row r="1147" spans="164:168" ht="11.25" customHeight="1">
      <c r="FH1147" s="50"/>
      <c r="FI1147" s="47"/>
      <c r="FJ1147" s="47"/>
      <c r="FK1147" s="47"/>
      <c r="FL1147" s="47"/>
    </row>
    <row r="1148" spans="164:168" ht="11.25" customHeight="1">
      <c r="FH1148" s="50"/>
      <c r="FI1148" s="47"/>
      <c r="FJ1148" s="47"/>
      <c r="FK1148" s="47"/>
      <c r="FL1148" s="47"/>
    </row>
    <row r="1149" spans="164:168" ht="11.25" customHeight="1">
      <c r="FH1149" s="50"/>
      <c r="FI1149" s="47"/>
      <c r="FJ1149" s="47"/>
      <c r="FK1149" s="47"/>
      <c r="FL1149" s="47"/>
    </row>
    <row r="1150" spans="164:168" ht="11.25" customHeight="1">
      <c r="FH1150" s="50"/>
      <c r="FI1150" s="47"/>
      <c r="FJ1150" s="47"/>
      <c r="FK1150" s="47"/>
      <c r="FL1150" s="47"/>
    </row>
    <row r="1151" spans="164:168" ht="11.25" customHeight="1">
      <c r="FH1151" s="50"/>
      <c r="FI1151" s="47"/>
      <c r="FJ1151" s="47"/>
      <c r="FK1151" s="47"/>
      <c r="FL1151" s="47"/>
    </row>
    <row r="1152" spans="164:168" ht="11.25" customHeight="1">
      <c r="FH1152" s="50"/>
      <c r="FI1152" s="47"/>
      <c r="FJ1152" s="47"/>
      <c r="FK1152" s="47"/>
      <c r="FL1152" s="47"/>
    </row>
    <row r="1153" spans="164:168" ht="11.25" customHeight="1">
      <c r="FH1153" s="50"/>
      <c r="FI1153" s="47"/>
      <c r="FJ1153" s="47"/>
      <c r="FK1153" s="47"/>
      <c r="FL1153" s="47"/>
    </row>
    <row r="1154" spans="164:168" ht="11.25" customHeight="1">
      <c r="FH1154" s="50"/>
      <c r="FI1154" s="47"/>
      <c r="FJ1154" s="47"/>
      <c r="FK1154" s="47"/>
      <c r="FL1154" s="47"/>
    </row>
    <row r="1155" spans="164:168" ht="11.25" customHeight="1">
      <c r="FH1155" s="50"/>
      <c r="FI1155" s="47"/>
      <c r="FJ1155" s="47"/>
      <c r="FK1155" s="47"/>
      <c r="FL1155" s="47"/>
    </row>
    <row r="1156" spans="164:168" ht="11.25" customHeight="1">
      <c r="FH1156" s="50"/>
      <c r="FI1156" s="47"/>
      <c r="FJ1156" s="47"/>
      <c r="FK1156" s="47"/>
      <c r="FL1156" s="47"/>
    </row>
    <row r="1157" spans="164:168" ht="11.25" customHeight="1">
      <c r="FH1157" s="50"/>
      <c r="FI1157" s="47"/>
      <c r="FJ1157" s="47"/>
      <c r="FK1157" s="47"/>
      <c r="FL1157" s="47"/>
    </row>
    <row r="1158" spans="164:168" ht="11.25" customHeight="1">
      <c r="FH1158" s="50"/>
      <c r="FI1158" s="47"/>
      <c r="FJ1158" s="47"/>
      <c r="FK1158" s="47"/>
      <c r="FL1158" s="47"/>
    </row>
    <row r="1159" spans="164:168" ht="11.25" customHeight="1">
      <c r="FH1159" s="50"/>
      <c r="FI1159" s="47"/>
      <c r="FJ1159" s="47"/>
      <c r="FK1159" s="47"/>
      <c r="FL1159" s="47"/>
    </row>
    <row r="1160" spans="164:168" ht="11.25" customHeight="1">
      <c r="FH1160" s="50"/>
      <c r="FI1160" s="47"/>
      <c r="FJ1160" s="47"/>
      <c r="FK1160" s="47"/>
      <c r="FL1160" s="47"/>
    </row>
    <row r="1161" spans="164:168" ht="11.25" customHeight="1">
      <c r="FH1161" s="50"/>
      <c r="FI1161" s="47"/>
      <c r="FJ1161" s="47"/>
      <c r="FK1161" s="47"/>
      <c r="FL1161" s="47"/>
    </row>
    <row r="1162" spans="164:168" ht="11.25" customHeight="1">
      <c r="FH1162" s="50"/>
      <c r="FI1162" s="47"/>
      <c r="FJ1162" s="47"/>
      <c r="FK1162" s="47"/>
      <c r="FL1162" s="47"/>
    </row>
    <row r="1163" spans="164:168" ht="11.25" customHeight="1">
      <c r="FH1163" s="50"/>
      <c r="FI1163" s="47"/>
      <c r="FJ1163" s="47"/>
      <c r="FK1163" s="47"/>
      <c r="FL1163" s="47"/>
    </row>
    <row r="1164" spans="164:168" ht="11.25" customHeight="1">
      <c r="FH1164" s="50"/>
      <c r="FI1164" s="47"/>
      <c r="FJ1164" s="47"/>
      <c r="FK1164" s="47"/>
      <c r="FL1164" s="47"/>
    </row>
    <row r="1165" spans="164:168" ht="11.25" customHeight="1">
      <c r="FH1165" s="50"/>
      <c r="FI1165" s="47"/>
      <c r="FJ1165" s="47"/>
      <c r="FK1165" s="47"/>
      <c r="FL1165" s="47"/>
    </row>
    <row r="1166" spans="164:168" ht="11.25" customHeight="1">
      <c r="FH1166" s="50"/>
      <c r="FI1166" s="47"/>
      <c r="FJ1166" s="47"/>
      <c r="FK1166" s="47"/>
      <c r="FL1166" s="47"/>
    </row>
    <row r="1167" spans="164:168" ht="11.25" customHeight="1">
      <c r="FH1167" s="50"/>
      <c r="FI1167" s="47"/>
      <c r="FJ1167" s="47"/>
      <c r="FK1167" s="47"/>
      <c r="FL1167" s="47"/>
    </row>
    <row r="1168" spans="164:168" ht="11.25" customHeight="1">
      <c r="FH1168" s="50"/>
      <c r="FI1168" s="47"/>
      <c r="FJ1168" s="47"/>
      <c r="FK1168" s="47"/>
      <c r="FL1168" s="47"/>
    </row>
    <row r="1169" spans="164:168" ht="11.25" customHeight="1">
      <c r="FH1169" s="50"/>
      <c r="FI1169" s="47"/>
      <c r="FJ1169" s="47"/>
      <c r="FK1169" s="47"/>
      <c r="FL1169" s="47"/>
    </row>
    <row r="1170" spans="164:168" ht="11.25" customHeight="1">
      <c r="FH1170" s="50"/>
      <c r="FI1170" s="47"/>
      <c r="FJ1170" s="47"/>
      <c r="FK1170" s="47"/>
      <c r="FL1170" s="47"/>
    </row>
    <row r="1171" spans="164:168" ht="11.25" customHeight="1">
      <c r="FH1171" s="50"/>
      <c r="FI1171" s="47"/>
      <c r="FJ1171" s="47"/>
      <c r="FK1171" s="47"/>
      <c r="FL1171" s="47"/>
    </row>
    <row r="1172" spans="164:168" ht="11.25" customHeight="1">
      <c r="FH1172" s="50"/>
      <c r="FI1172" s="47"/>
      <c r="FJ1172" s="47"/>
      <c r="FK1172" s="47"/>
      <c r="FL1172" s="47"/>
    </row>
    <row r="1173" spans="164:168" ht="11.25" customHeight="1">
      <c r="FH1173" s="50"/>
      <c r="FI1173" s="47"/>
      <c r="FJ1173" s="47"/>
      <c r="FK1173" s="47"/>
      <c r="FL1173" s="47"/>
    </row>
    <row r="1174" spans="164:168" ht="11.25" customHeight="1">
      <c r="FH1174" s="50"/>
      <c r="FI1174" s="47"/>
      <c r="FJ1174" s="47"/>
      <c r="FK1174" s="47"/>
      <c r="FL1174" s="47"/>
    </row>
    <row r="1175" spans="164:168" ht="11.25" customHeight="1">
      <c r="FH1175" s="50"/>
      <c r="FI1175" s="47"/>
      <c r="FJ1175" s="47"/>
      <c r="FK1175" s="47"/>
      <c r="FL1175" s="47"/>
    </row>
    <row r="1176" spans="164:168" ht="11.25" customHeight="1">
      <c r="FH1176" s="50"/>
      <c r="FI1176" s="47"/>
      <c r="FJ1176" s="47"/>
      <c r="FK1176" s="47"/>
      <c r="FL1176" s="47"/>
    </row>
    <row r="1177" spans="164:168" ht="11.25" customHeight="1">
      <c r="FH1177" s="50"/>
      <c r="FI1177" s="47"/>
      <c r="FJ1177" s="47"/>
      <c r="FK1177" s="47"/>
      <c r="FL1177" s="47"/>
    </row>
    <row r="1178" spans="164:168" ht="11.25" customHeight="1">
      <c r="FH1178" s="50"/>
      <c r="FI1178" s="47"/>
      <c r="FJ1178" s="47"/>
      <c r="FK1178" s="47"/>
      <c r="FL1178" s="47"/>
    </row>
    <row r="1179" spans="164:168" ht="11.25" customHeight="1">
      <c r="FH1179" s="50"/>
      <c r="FI1179" s="47"/>
      <c r="FJ1179" s="47"/>
      <c r="FK1179" s="47"/>
      <c r="FL1179" s="47"/>
    </row>
    <row r="1180" spans="164:168" ht="11.25" customHeight="1">
      <c r="FH1180" s="50"/>
      <c r="FI1180" s="47"/>
      <c r="FJ1180" s="47"/>
      <c r="FK1180" s="47"/>
      <c r="FL1180" s="47"/>
    </row>
    <row r="1181" spans="164:168" ht="11.25" customHeight="1">
      <c r="FH1181" s="50"/>
      <c r="FI1181" s="47"/>
      <c r="FJ1181" s="47"/>
      <c r="FK1181" s="47"/>
      <c r="FL1181" s="47"/>
    </row>
    <row r="1182" spans="164:168" ht="11.25" customHeight="1">
      <c r="FH1182" s="50"/>
      <c r="FI1182" s="47"/>
      <c r="FJ1182" s="47"/>
      <c r="FK1182" s="47"/>
      <c r="FL1182" s="47"/>
    </row>
    <row r="1183" spans="164:168" ht="11.25" customHeight="1">
      <c r="FH1183" s="50"/>
      <c r="FI1183" s="47"/>
      <c r="FJ1183" s="47"/>
      <c r="FK1183" s="47"/>
      <c r="FL1183" s="47"/>
    </row>
    <row r="1184" spans="164:168" ht="11.25" customHeight="1">
      <c r="FH1184" s="50"/>
      <c r="FI1184" s="47"/>
      <c r="FJ1184" s="47"/>
      <c r="FK1184" s="47"/>
      <c r="FL1184" s="47"/>
    </row>
    <row r="1185" spans="164:168" ht="11.25" customHeight="1">
      <c r="FH1185" s="50"/>
      <c r="FI1185" s="47"/>
      <c r="FJ1185" s="47"/>
      <c r="FK1185" s="47"/>
      <c r="FL1185" s="47"/>
    </row>
    <row r="1186" spans="164:168" ht="11.25" customHeight="1">
      <c r="FH1186" s="50"/>
      <c r="FI1186" s="47"/>
      <c r="FJ1186" s="47"/>
      <c r="FK1186" s="47"/>
      <c r="FL1186" s="47"/>
    </row>
    <row r="1187" spans="164:168" ht="11.25" customHeight="1">
      <c r="FH1187" s="50"/>
      <c r="FI1187" s="47"/>
      <c r="FJ1187" s="47"/>
      <c r="FK1187" s="47"/>
      <c r="FL1187" s="47"/>
    </row>
    <row r="1188" spans="164:168" ht="11.25" customHeight="1">
      <c r="FH1188" s="50"/>
      <c r="FI1188" s="47"/>
      <c r="FJ1188" s="47"/>
      <c r="FK1188" s="47"/>
      <c r="FL1188" s="47"/>
    </row>
    <row r="1189" spans="164:168" ht="11.25" customHeight="1">
      <c r="FH1189" s="50"/>
      <c r="FI1189" s="47"/>
      <c r="FJ1189" s="47"/>
      <c r="FK1189" s="47"/>
      <c r="FL1189" s="47"/>
    </row>
    <row r="1190" spans="164:168" ht="11.25" customHeight="1">
      <c r="FH1190" s="50"/>
      <c r="FI1190" s="47"/>
      <c r="FJ1190" s="47"/>
      <c r="FK1190" s="47"/>
      <c r="FL1190" s="47"/>
    </row>
    <row r="1191" spans="164:168" ht="11.25" customHeight="1">
      <c r="FH1191" s="50"/>
      <c r="FI1191" s="47"/>
      <c r="FJ1191" s="47"/>
      <c r="FK1191" s="47"/>
      <c r="FL1191" s="47"/>
    </row>
    <row r="1192" spans="164:168" ht="11.25" customHeight="1">
      <c r="FH1192" s="50"/>
      <c r="FI1192" s="47"/>
      <c r="FJ1192" s="47"/>
      <c r="FK1192" s="47"/>
      <c r="FL1192" s="47"/>
    </row>
    <row r="1193" spans="164:168" ht="11.25" customHeight="1">
      <c r="FH1193" s="50"/>
      <c r="FI1193" s="47"/>
      <c r="FJ1193" s="47"/>
      <c r="FK1193" s="47"/>
      <c r="FL1193" s="47"/>
    </row>
    <row r="1194" spans="164:168" ht="11.25" customHeight="1">
      <c r="FH1194" s="50"/>
      <c r="FI1194" s="47"/>
      <c r="FJ1194" s="47"/>
      <c r="FK1194" s="47"/>
      <c r="FL1194" s="47"/>
    </row>
    <row r="1195" spans="164:168" ht="11.25" customHeight="1">
      <c r="FH1195" s="50"/>
      <c r="FI1195" s="47"/>
      <c r="FJ1195" s="47"/>
      <c r="FK1195" s="47"/>
      <c r="FL1195" s="47"/>
    </row>
    <row r="1196" spans="164:168" ht="11.25" customHeight="1">
      <c r="FH1196" s="50"/>
      <c r="FI1196" s="47"/>
      <c r="FJ1196" s="47"/>
      <c r="FK1196" s="47"/>
      <c r="FL1196" s="47"/>
    </row>
    <row r="1197" spans="164:168" ht="11.25" customHeight="1">
      <c r="FH1197" s="50"/>
      <c r="FI1197" s="47"/>
      <c r="FJ1197" s="47"/>
      <c r="FK1197" s="47"/>
      <c r="FL1197" s="47"/>
    </row>
    <row r="1198" spans="164:168" ht="11.25" customHeight="1">
      <c r="FH1198" s="50"/>
      <c r="FI1198" s="47"/>
      <c r="FJ1198" s="47"/>
      <c r="FK1198" s="47"/>
      <c r="FL1198" s="47"/>
    </row>
    <row r="1199" spans="164:168" ht="11.25" customHeight="1">
      <c r="FH1199" s="50"/>
      <c r="FI1199" s="47"/>
      <c r="FJ1199" s="47"/>
      <c r="FK1199" s="47"/>
      <c r="FL1199" s="47"/>
    </row>
    <row r="1200" spans="164:168" ht="11.25" customHeight="1">
      <c r="FH1200" s="50"/>
      <c r="FI1200" s="47"/>
      <c r="FJ1200" s="47"/>
      <c r="FK1200" s="47"/>
      <c r="FL1200" s="47"/>
    </row>
    <row r="1201" spans="164:168" ht="11.25" customHeight="1">
      <c r="FH1201" s="50"/>
      <c r="FI1201" s="47"/>
      <c r="FJ1201" s="47"/>
      <c r="FK1201" s="47"/>
      <c r="FL1201" s="47"/>
    </row>
    <row r="1202" spans="164:168" ht="11.25" customHeight="1">
      <c r="FH1202" s="50"/>
      <c r="FI1202" s="47"/>
      <c r="FJ1202" s="47"/>
      <c r="FK1202" s="47"/>
      <c r="FL1202" s="47"/>
    </row>
    <row r="1203" spans="164:168" ht="11.25" customHeight="1">
      <c r="FH1203" s="50"/>
      <c r="FI1203" s="47"/>
      <c r="FJ1203" s="47"/>
      <c r="FK1203" s="47"/>
      <c r="FL1203" s="47"/>
    </row>
    <row r="1204" spans="164:168" ht="11.25" customHeight="1">
      <c r="FH1204" s="50"/>
      <c r="FI1204" s="47"/>
      <c r="FJ1204" s="47"/>
      <c r="FK1204" s="47"/>
      <c r="FL1204" s="47"/>
    </row>
    <row r="1205" spans="164:168" ht="11.25" customHeight="1">
      <c r="FH1205" s="50"/>
      <c r="FI1205" s="47"/>
      <c r="FJ1205" s="47"/>
      <c r="FK1205" s="47"/>
      <c r="FL1205" s="47"/>
    </row>
    <row r="1206" spans="164:168" ht="11.25" customHeight="1">
      <c r="FH1206" s="50"/>
      <c r="FI1206" s="47"/>
      <c r="FJ1206" s="47"/>
      <c r="FK1206" s="47"/>
      <c r="FL1206" s="47"/>
    </row>
    <row r="1207" spans="164:168" ht="11.25" customHeight="1">
      <c r="FH1207" s="50"/>
      <c r="FI1207" s="47"/>
      <c r="FJ1207" s="47"/>
      <c r="FK1207" s="47"/>
      <c r="FL1207" s="47"/>
    </row>
    <row r="1208" spans="164:168" ht="11.25" customHeight="1">
      <c r="FH1208" s="50"/>
      <c r="FI1208" s="47"/>
      <c r="FJ1208" s="47"/>
      <c r="FK1208" s="47"/>
      <c r="FL1208" s="47"/>
    </row>
    <row r="1209" spans="164:168" ht="11.25" customHeight="1">
      <c r="FH1209" s="50"/>
      <c r="FI1209" s="47"/>
      <c r="FJ1209" s="47"/>
      <c r="FK1209" s="47"/>
      <c r="FL1209" s="47"/>
    </row>
    <row r="1210" spans="164:168" ht="11.25" customHeight="1">
      <c r="FH1210" s="50"/>
      <c r="FI1210" s="47"/>
      <c r="FJ1210" s="47"/>
      <c r="FK1210" s="47"/>
      <c r="FL1210" s="47"/>
    </row>
    <row r="1211" spans="164:168" ht="11.25" customHeight="1">
      <c r="FH1211" s="50"/>
      <c r="FI1211" s="47"/>
      <c r="FJ1211" s="47"/>
      <c r="FK1211" s="47"/>
      <c r="FL1211" s="47"/>
    </row>
    <row r="1212" spans="164:168" ht="11.25" customHeight="1">
      <c r="FH1212" s="50"/>
      <c r="FI1212" s="47"/>
      <c r="FJ1212" s="47"/>
      <c r="FK1212" s="47"/>
      <c r="FL1212" s="47"/>
    </row>
    <row r="1213" spans="164:168" ht="11.25" customHeight="1">
      <c r="FH1213" s="50"/>
      <c r="FI1213" s="47"/>
      <c r="FJ1213" s="47"/>
      <c r="FK1213" s="47"/>
      <c r="FL1213" s="47"/>
    </row>
    <row r="1214" spans="164:168" ht="11.25" customHeight="1">
      <c r="FH1214" s="50"/>
      <c r="FI1214" s="47"/>
      <c r="FJ1214" s="47"/>
      <c r="FK1214" s="47"/>
      <c r="FL1214" s="47"/>
    </row>
    <row r="1215" spans="164:168" ht="11.25" customHeight="1">
      <c r="FH1215" s="50"/>
      <c r="FI1215" s="47"/>
      <c r="FJ1215" s="47"/>
      <c r="FK1215" s="47"/>
      <c r="FL1215" s="47"/>
    </row>
    <row r="1216" spans="164:168" ht="11.25" customHeight="1">
      <c r="FH1216" s="50"/>
      <c r="FI1216" s="47"/>
      <c r="FJ1216" s="47"/>
      <c r="FK1216" s="47"/>
      <c r="FL1216" s="47"/>
    </row>
    <row r="1217" spans="164:168" ht="11.25" customHeight="1">
      <c r="FH1217" s="50"/>
      <c r="FI1217" s="47"/>
      <c r="FJ1217" s="47"/>
      <c r="FK1217" s="47"/>
      <c r="FL1217" s="47"/>
    </row>
    <row r="1218" spans="164:168" ht="11.25" customHeight="1">
      <c r="FH1218" s="50"/>
      <c r="FI1218" s="47"/>
      <c r="FJ1218" s="47"/>
      <c r="FK1218" s="47"/>
      <c r="FL1218" s="47"/>
    </row>
    <row r="1219" spans="164:168" ht="11.25" customHeight="1">
      <c r="FH1219" s="50"/>
      <c r="FI1219" s="47"/>
      <c r="FJ1219" s="47"/>
      <c r="FK1219" s="47"/>
      <c r="FL1219" s="47"/>
    </row>
    <row r="1220" spans="164:168" ht="11.25" customHeight="1">
      <c r="FH1220" s="50"/>
      <c r="FI1220" s="47"/>
      <c r="FJ1220" s="47"/>
      <c r="FK1220" s="47"/>
      <c r="FL1220" s="47"/>
    </row>
    <row r="1221" spans="164:168" ht="11.25" customHeight="1">
      <c r="FH1221" s="50"/>
      <c r="FI1221" s="47"/>
      <c r="FJ1221" s="47"/>
      <c r="FK1221" s="47"/>
      <c r="FL1221" s="47"/>
    </row>
    <row r="1222" spans="164:168" ht="11.25" customHeight="1">
      <c r="FH1222" s="50"/>
      <c r="FI1222" s="47"/>
      <c r="FJ1222" s="47"/>
      <c r="FK1222" s="47"/>
      <c r="FL1222" s="47"/>
    </row>
    <row r="1223" spans="164:168" ht="11.25" customHeight="1">
      <c r="FH1223" s="50"/>
      <c r="FI1223" s="47"/>
      <c r="FJ1223" s="47"/>
      <c r="FK1223" s="47"/>
      <c r="FL1223" s="47"/>
    </row>
    <row r="1224" spans="164:168" ht="11.25" customHeight="1">
      <c r="FH1224" s="50"/>
      <c r="FI1224" s="47"/>
      <c r="FJ1224" s="47"/>
      <c r="FK1224" s="47"/>
      <c r="FL1224" s="47"/>
    </row>
    <row r="1225" spans="164:168" ht="11.25" customHeight="1">
      <c r="FH1225" s="50"/>
      <c r="FI1225" s="47"/>
      <c r="FJ1225" s="47"/>
      <c r="FK1225" s="47"/>
      <c r="FL1225" s="47"/>
    </row>
  </sheetData>
  <sheetProtection sheet="1" objects="1" scenarios="1" selectLockedCells="1"/>
  <phoneticPr fontId="2" type="noConversion"/>
  <dataValidations count="4">
    <dataValidation type="decimal" allowBlank="1" showInputMessage="1" showErrorMessage="1" errorTitle="Level of confidence" error="Min 1, max 99.9" sqref="H6">
      <formula1>1</formula1>
      <formula2>99.9</formula2>
    </dataValidation>
    <dataValidation type="whole" operator="greaterThanOrEqual" allowBlank="1" showInputMessage="1" showErrorMessage="1" errorTitle="Group size" error="Min 2" sqref="DD34 D11:I11">
      <formula1>2</formula1>
    </dataValidation>
    <dataValidation type="decimal" operator="greaterThan" allowBlank="1" showInputMessage="1" showErrorMessage="1" errorTitle="Group mean" error="Must be a number" sqref="DD35 D12:I12">
      <formula1>-9999999999998</formula1>
    </dataValidation>
    <dataValidation type="decimal" operator="greaterThan" allowBlank="1" showInputMessage="1" showErrorMessage="1" errorTitle="Group SD" error="Must be a positive number" sqref="DD36 D13:I14">
      <formula1>0</formula1>
    </dataValidation>
  </dataValidations>
  <pageMargins left="0.55118110236220474" right="0.55118110236220474" top="0.59055118110236227" bottom="0.59055118110236227" header="0.51181102362204722" footer="0.51181102362204722"/>
  <pageSetup paperSize="9" orientation="landscape"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sheetPr codeName="Sheet14"/>
  <dimension ref="A1:IV1225"/>
  <sheetViews>
    <sheetView showGridLines="0" showRowColHeaders="0" zoomScale="120" workbookViewId="0">
      <selection activeCell="D9" sqref="D9"/>
    </sheetView>
  </sheetViews>
  <sheetFormatPr defaultColWidth="8.85546875" defaultRowHeight="11.25" customHeight="1"/>
  <cols>
    <col min="1" max="1" width="0.7109375" style="43" customWidth="1"/>
    <col min="2" max="2" width="5" style="43" customWidth="1"/>
    <col min="3" max="3" width="1.85546875" style="43" customWidth="1"/>
    <col min="4" max="9" width="7.140625" style="43" customWidth="1"/>
    <col min="10" max="10" width="1.85546875" style="5" customWidth="1"/>
    <col min="11" max="11" width="8.5703125" style="5" customWidth="1"/>
    <col min="12" max="12" width="5.140625" style="5" customWidth="1"/>
    <col min="13" max="15" width="1.85546875" style="5" customWidth="1"/>
    <col min="16" max="16" width="6.5703125" style="5" customWidth="1"/>
    <col min="17" max="17" width="7.140625" style="5" customWidth="1"/>
    <col min="18" max="18" width="3.5703125" style="5" customWidth="1"/>
    <col min="19" max="19" width="7.140625" style="5" customWidth="1"/>
    <col min="20" max="20" width="3.5703125" style="5" customWidth="1"/>
    <col min="21" max="21" width="7.140625" style="5" customWidth="1"/>
    <col min="22" max="22" width="5" style="5" customWidth="1"/>
    <col min="23" max="23" width="3.85546875" style="5" customWidth="1"/>
    <col min="24" max="24" width="7.140625" style="5" customWidth="1"/>
    <col min="25" max="25" width="1.140625" style="5" customWidth="1"/>
    <col min="26" max="26" width="7.140625" style="5" customWidth="1"/>
    <col min="27" max="27" width="5.140625" style="5" customWidth="1"/>
    <col min="28" max="28" width="6.42578125" style="5" customWidth="1"/>
    <col min="29" max="29" width="1.140625" style="5" customWidth="1"/>
    <col min="30" max="30" width="6.42578125" style="5" customWidth="1"/>
    <col min="31" max="31" width="2.140625" style="5" customWidth="1"/>
    <col min="32" max="32" width="6.42578125" style="5" customWidth="1"/>
    <col min="33" max="33" width="1.42578125" style="5" customWidth="1"/>
    <col min="34" max="35" width="2.140625" style="5" customWidth="1"/>
    <col min="36" max="58" width="7.140625" style="5" customWidth="1"/>
    <col min="59" max="59" width="2.140625" style="5" customWidth="1"/>
    <col min="60" max="67" width="7.140625" style="5" customWidth="1"/>
    <col min="68" max="68" width="2.140625" style="5" customWidth="1"/>
    <col min="69" max="76" width="7.140625" style="5" customWidth="1"/>
    <col min="77" max="77" width="2.140625" style="5" customWidth="1"/>
    <col min="78" max="161" width="7.140625" style="5" customWidth="1"/>
    <col min="162" max="169" width="8.85546875" style="5"/>
    <col min="170" max="16384" width="8.85546875" style="43"/>
  </cols>
  <sheetData>
    <row r="1" spans="1:175" ht="12.75" customHeight="1">
      <c r="D1" s="44" t="s">
        <v>1542</v>
      </c>
      <c r="I1" s="45"/>
      <c r="M1" s="140" t="s">
        <v>1110</v>
      </c>
      <c r="N1" s="226"/>
      <c r="O1" s="226"/>
      <c r="P1" s="320"/>
      <c r="Q1" s="9"/>
      <c r="R1" s="9"/>
      <c r="S1" s="9"/>
      <c r="T1" s="9"/>
      <c r="U1" s="9"/>
      <c r="V1" s="9"/>
      <c r="W1" s="9"/>
      <c r="X1" s="9"/>
      <c r="Y1" s="9"/>
      <c r="Z1" s="9"/>
      <c r="AA1" s="9"/>
      <c r="AB1" s="9"/>
      <c r="AC1" s="9"/>
      <c r="AD1" s="9"/>
      <c r="AE1" s="9"/>
      <c r="AF1" s="342" t="s">
        <v>1411</v>
      </c>
      <c r="AG1" s="347"/>
      <c r="AH1" s="345"/>
      <c r="AI1" s="346"/>
      <c r="AJ1" s="96"/>
      <c r="AK1" s="96"/>
      <c r="AL1" s="96"/>
      <c r="AM1" s="96"/>
      <c r="AN1" s="96"/>
      <c r="AO1" s="96"/>
      <c r="AP1" s="96"/>
      <c r="AQ1" s="96"/>
      <c r="AR1" s="96"/>
      <c r="AS1" s="96"/>
      <c r="AT1" s="96"/>
      <c r="AU1" s="96"/>
      <c r="AV1" s="96"/>
      <c r="AW1" s="96"/>
      <c r="AX1" s="96"/>
      <c r="AY1" s="96"/>
      <c r="AZ1" s="232">
        <v>10</v>
      </c>
      <c r="BA1" s="214"/>
      <c r="BB1" s="214"/>
      <c r="BC1" s="214"/>
      <c r="BD1" s="214"/>
      <c r="BE1" s="214"/>
      <c r="BF1" s="214"/>
      <c r="BG1" s="215"/>
      <c r="BH1" s="96"/>
      <c r="BI1" s="232">
        <v>11</v>
      </c>
      <c r="BJ1" s="214"/>
      <c r="BK1" s="214"/>
      <c r="BL1" s="214"/>
      <c r="BM1" s="214"/>
      <c r="BN1" s="214"/>
      <c r="BO1" s="214"/>
      <c r="BP1" s="215"/>
      <c r="BQ1" s="96"/>
      <c r="BR1" s="232">
        <v>12</v>
      </c>
      <c r="BS1" s="214"/>
      <c r="BT1" s="214"/>
      <c r="BU1" s="214"/>
      <c r="BV1" s="214"/>
      <c r="BW1" s="214"/>
      <c r="BX1" s="214"/>
      <c r="BY1" s="215"/>
      <c r="CW1" s="5" t="s">
        <v>1124</v>
      </c>
      <c r="CZ1" s="280" t="s">
        <v>466</v>
      </c>
      <c r="DA1" s="282" t="s">
        <v>467</v>
      </c>
      <c r="DB1" s="5" t="s">
        <v>1087</v>
      </c>
      <c r="DD1" s="5" t="s">
        <v>1088</v>
      </c>
      <c r="DE1" s="5" t="s">
        <v>1090</v>
      </c>
      <c r="DF1" s="65"/>
      <c r="DG1" s="284" t="s">
        <v>466</v>
      </c>
      <c r="DH1" s="66" t="s">
        <v>468</v>
      </c>
      <c r="DI1" s="285" t="s">
        <v>467</v>
      </c>
      <c r="DJ1" s="93" t="s">
        <v>468</v>
      </c>
      <c r="DL1" s="62" t="s">
        <v>588</v>
      </c>
      <c r="DM1" s="95">
        <v>1</v>
      </c>
      <c r="DQ1" s="109"/>
      <c r="DR1" s="114" t="s">
        <v>591</v>
      </c>
      <c r="DS1" s="93" t="b">
        <f>DL5</f>
        <v>1</v>
      </c>
      <c r="FN1" s="50"/>
      <c r="FO1" s="56"/>
      <c r="FP1" s="56"/>
      <c r="FQ1" s="50"/>
      <c r="FR1" s="50"/>
      <c r="FS1" s="50"/>
    </row>
    <row r="2" spans="1:175" ht="11.25" customHeight="1">
      <c r="D2" s="43" t="s">
        <v>1543</v>
      </c>
      <c r="E2" s="46"/>
      <c r="M2" s="330"/>
      <c r="N2" s="319"/>
      <c r="O2" s="319"/>
      <c r="P2" s="12"/>
      <c r="Q2" s="357" t="str">
        <f>IF(DO58="","","(green")</f>
        <v>(green</v>
      </c>
      <c r="R2" s="321" t="s">
        <v>602</v>
      </c>
      <c r="S2" s="356" t="str">
        <f>IF(DO58="","","blue)")</f>
        <v>blue)</v>
      </c>
      <c r="T2" s="322"/>
      <c r="U2" s="12" t="s">
        <v>1532</v>
      </c>
      <c r="V2" s="12"/>
      <c r="W2" s="12"/>
      <c r="X2" s="12"/>
      <c r="Y2" s="12"/>
      <c r="Z2" s="12"/>
      <c r="AA2" s="12"/>
      <c r="AB2" s="323" t="s">
        <v>1280</v>
      </c>
      <c r="AC2" s="323"/>
      <c r="AD2" s="324" t="s">
        <v>1187</v>
      </c>
      <c r="AE2" s="324"/>
      <c r="AF2" s="348" t="s">
        <v>967</v>
      </c>
      <c r="AG2" s="13"/>
      <c r="AH2" s="343"/>
      <c r="AI2" s="19"/>
      <c r="AZ2" s="216"/>
      <c r="BA2" s="218"/>
      <c r="BB2" s="204"/>
      <c r="BC2" s="204"/>
      <c r="BD2" s="204"/>
      <c r="BE2" s="205"/>
      <c r="BF2" s="100"/>
      <c r="BG2" s="217"/>
      <c r="BH2" s="68"/>
      <c r="BI2" s="216"/>
      <c r="BJ2" s="218"/>
      <c r="BK2" s="204"/>
      <c r="BL2" s="204"/>
      <c r="BM2" s="204"/>
      <c r="BN2" s="205"/>
      <c r="BO2" s="100"/>
      <c r="BP2" s="217"/>
      <c r="BQ2" s="68"/>
      <c r="BR2" s="216"/>
      <c r="BS2" s="218"/>
      <c r="BT2" s="204"/>
      <c r="BU2" s="204"/>
      <c r="BV2" s="204"/>
      <c r="BW2" s="205"/>
      <c r="BX2" s="100"/>
      <c r="BY2" s="217"/>
      <c r="CW2" s="5" t="s">
        <v>578</v>
      </c>
      <c r="CX2" s="5" t="str">
        <f>IF(DS1,"A1","  ")</f>
        <v>A1</v>
      </c>
      <c r="CY2" s="5">
        <v>1</v>
      </c>
      <c r="CZ2" s="95" t="b">
        <v>0</v>
      </c>
      <c r="DA2" s="95" t="b">
        <v>1</v>
      </c>
      <c r="DB2" s="5" t="b">
        <f t="shared" ref="DB2:DB7" si="0">AND(CZ2,DS1)</f>
        <v>0</v>
      </c>
      <c r="DC2" s="5" t="b">
        <f t="shared" ref="DC2:DC7" si="1">AND(DA2,DS1)</f>
        <v>1</v>
      </c>
      <c r="DD2" s="5" t="b">
        <f t="shared" ref="DD2:DD7" si="2">AND(DB2,DC2)</f>
        <v>0</v>
      </c>
      <c r="DE2" s="5" t="b">
        <f t="shared" ref="DE2:DE7" si="3">OR(DB2,DC2)</f>
        <v>1</v>
      </c>
      <c r="DF2" s="286" t="s">
        <v>1526</v>
      </c>
      <c r="DG2" s="68" t="str">
        <f t="shared" ref="DG2:DG7" si="4">IF(DB2,DF2,"")</f>
        <v/>
      </c>
      <c r="DH2" s="68" t="str">
        <f>IF(AND(DG2&lt;&gt;"",NOT(AND(DG3="",DG4="",DG5="",DG6="",DG7=""))),", ","")</f>
        <v/>
      </c>
      <c r="DI2" s="68" t="str">
        <f t="shared" ref="DI2:DI7" si="5">IF(DC2,DF2,"")</f>
        <v>M1</v>
      </c>
      <c r="DJ2" s="91" t="str">
        <f>IF(AND(DI2&lt;&gt;"",NOT(AND(DI3="",DI4="",DI5="",DI6="",DI7=""))),", ","")</f>
        <v xml:space="preserve">, </v>
      </c>
      <c r="DL2" s="62" t="s">
        <v>1551</v>
      </c>
      <c r="DM2" s="95">
        <v>1</v>
      </c>
      <c r="DN2" s="48"/>
      <c r="DR2" s="260" t="s">
        <v>592</v>
      </c>
      <c r="DS2" s="91" t="b">
        <f>DM5</f>
        <v>1</v>
      </c>
      <c r="FN2" s="55"/>
      <c r="FO2" s="57"/>
      <c r="FP2" s="57"/>
      <c r="FQ2" s="50"/>
      <c r="FR2" s="50"/>
      <c r="FS2" s="50"/>
    </row>
    <row r="3" spans="1:175" ht="11.25" customHeight="1">
      <c r="D3" s="43" t="s">
        <v>1109</v>
      </c>
      <c r="M3" s="87"/>
      <c r="N3" s="319"/>
      <c r="O3" s="319"/>
      <c r="P3" s="325" t="s">
        <v>1539</v>
      </c>
      <c r="Q3" s="368">
        <f>IF(DO58="","",DN58)</f>
        <v>39.35</v>
      </c>
      <c r="R3" s="321" t="s">
        <v>602</v>
      </c>
      <c r="S3" s="369">
        <f>IF(DO58="","",DI58)</f>
        <v>35.849999999999994</v>
      </c>
      <c r="T3" s="328" t="s">
        <v>966</v>
      </c>
      <c r="U3" s="165">
        <f>IF(ISNUMBER(DO58),DO58,"")</f>
        <v>3.5000000000000071</v>
      </c>
      <c r="V3" s="329"/>
      <c r="W3" s="326" t="s">
        <v>1041</v>
      </c>
      <c r="X3" s="19">
        <f>IF(ISNUMBER(DO66),DO66,"")</f>
        <v>-1.6748068381822181</v>
      </c>
      <c r="Y3" s="341" t="s">
        <v>1535</v>
      </c>
      <c r="Z3" s="19">
        <f>IF(ISNUMBER(DO65),DO65,"")</f>
        <v>8.6748068381822314</v>
      </c>
      <c r="AA3" s="327" t="s">
        <v>1536</v>
      </c>
      <c r="AB3" s="19">
        <f>IF(ISNUMBER(DO64),DO64,"")</f>
        <v>5.1748068381822252</v>
      </c>
      <c r="AC3" s="12"/>
      <c r="AD3" s="19">
        <f>IF(ISNUMBER(AB3),DO62,"")</f>
        <v>108</v>
      </c>
      <c r="AE3" s="23"/>
      <c r="AF3" s="764">
        <f>IF(AND(ISNUMBER(AB3),$DM$3,DO67&lt;&gt;""),IF(DO67&lt;0.001,"&lt;.001",DO67),"")</f>
        <v>0.18284715393913697</v>
      </c>
      <c r="AG3" s="13"/>
      <c r="AH3" s="344"/>
      <c r="AI3" s="19"/>
      <c r="AJ3" s="68"/>
      <c r="AK3" s="68"/>
      <c r="AL3" s="68"/>
      <c r="AM3" s="68"/>
      <c r="AN3" s="68"/>
      <c r="AO3" s="68"/>
      <c r="AP3" s="68"/>
      <c r="AQ3" s="68"/>
      <c r="AR3" s="68"/>
      <c r="AS3" s="68"/>
      <c r="AT3" s="68"/>
      <c r="AU3" s="68"/>
      <c r="AV3" s="68"/>
      <c r="AW3" s="68"/>
      <c r="AX3" s="68"/>
      <c r="AY3" s="68"/>
      <c r="AZ3" s="216"/>
      <c r="BA3" s="213"/>
      <c r="BB3" s="204"/>
      <c r="BC3" s="205" t="s">
        <v>1004</v>
      </c>
      <c r="BD3" s="220" t="s">
        <v>1322</v>
      </c>
      <c r="BE3" s="221"/>
      <c r="BF3" s="100"/>
      <c r="BG3" s="217"/>
      <c r="BH3" s="68"/>
      <c r="BI3" s="216"/>
      <c r="BJ3" s="213"/>
      <c r="BK3" s="204"/>
      <c r="BL3" s="205" t="s">
        <v>1004</v>
      </c>
      <c r="BM3" s="220"/>
      <c r="BN3" s="221"/>
      <c r="BO3" s="100"/>
      <c r="BP3" s="217"/>
      <c r="BQ3" s="68"/>
      <c r="BR3" s="216"/>
      <c r="BS3" s="213"/>
      <c r="BT3" s="204"/>
      <c r="BU3" s="205" t="s">
        <v>1004</v>
      </c>
      <c r="BV3" s="220"/>
      <c r="BW3" s="221"/>
      <c r="BX3" s="100"/>
      <c r="BY3" s="217"/>
      <c r="CW3" s="5" t="s">
        <v>579</v>
      </c>
      <c r="CX3" s="5" t="str">
        <f>IF(DS2,"A2","  ")</f>
        <v>A2</v>
      </c>
      <c r="CY3" s="5">
        <v>2</v>
      </c>
      <c r="CZ3" s="95" t="b">
        <v>0</v>
      </c>
      <c r="DA3" s="95" t="b">
        <v>0</v>
      </c>
      <c r="DB3" s="5" t="b">
        <f t="shared" si="0"/>
        <v>0</v>
      </c>
      <c r="DC3" s="5" t="b">
        <f t="shared" si="1"/>
        <v>0</v>
      </c>
      <c r="DD3" s="5" t="b">
        <f t="shared" si="2"/>
        <v>0</v>
      </c>
      <c r="DE3" s="5" t="b">
        <f t="shared" si="3"/>
        <v>0</v>
      </c>
      <c r="DF3" s="286" t="s">
        <v>1527</v>
      </c>
      <c r="DG3" s="68" t="str">
        <f t="shared" si="4"/>
        <v/>
      </c>
      <c r="DH3" s="68" t="str">
        <f>IF(AND(DG3&lt;&gt;"",NOT(AND(DG4="",DG5="",DG6="",DG7=""))),", ","")</f>
        <v/>
      </c>
      <c r="DI3" s="68" t="str">
        <f t="shared" si="5"/>
        <v/>
      </c>
      <c r="DJ3" s="91" t="str">
        <f>IF(AND(DI3&lt;&gt;"",NOT(AND(DI4="",DI5="",DI6="",DI7=""))),", ","")</f>
        <v/>
      </c>
      <c r="DL3" s="62" t="s">
        <v>969</v>
      </c>
      <c r="DM3" s="95" t="b">
        <v>1</v>
      </c>
      <c r="DR3" s="260" t="s">
        <v>593</v>
      </c>
      <c r="DS3" s="91" t="b">
        <f>DN5</f>
        <v>1</v>
      </c>
      <c r="FN3" s="50"/>
      <c r="FO3" s="50"/>
      <c r="FP3" s="50"/>
      <c r="FQ3" s="50"/>
      <c r="FR3" s="50"/>
      <c r="FS3" s="50"/>
    </row>
    <row r="4" spans="1:175" ht="12.75" customHeight="1">
      <c r="J4" s="241">
        <v>7</v>
      </c>
      <c r="L4" s="19"/>
      <c r="M4" s="330"/>
      <c r="N4" s="12"/>
      <c r="O4" s="319"/>
      <c r="P4" s="325"/>
      <c r="Q4" s="129" t="s">
        <v>476</v>
      </c>
      <c r="R4" s="12"/>
      <c r="S4" s="326" t="s">
        <v>1541</v>
      </c>
      <c r="T4" s="327"/>
      <c r="U4" s="12"/>
      <c r="V4" s="12"/>
      <c r="W4" s="12"/>
      <c r="X4" s="12"/>
      <c r="Y4" s="12"/>
      <c r="Z4" s="12"/>
      <c r="AA4" s="12"/>
      <c r="AB4" s="12"/>
      <c r="AC4" s="12"/>
      <c r="AD4" s="12"/>
      <c r="AE4" s="12"/>
      <c r="AF4" s="12"/>
      <c r="AG4" s="13"/>
      <c r="AH4" s="198"/>
      <c r="AI4" s="19"/>
      <c r="AJ4" s="256"/>
      <c r="AK4" s="170"/>
      <c r="AL4" s="14"/>
      <c r="AM4" s="19"/>
      <c r="AN4" s="19"/>
      <c r="AO4" s="19"/>
      <c r="AP4" s="19"/>
      <c r="AQ4" s="19"/>
      <c r="AR4" s="19"/>
      <c r="AS4" s="19"/>
      <c r="AT4" s="19"/>
      <c r="AU4" s="19"/>
      <c r="AV4" s="19"/>
      <c r="AW4" s="19"/>
      <c r="AX4" s="19"/>
      <c r="AY4" s="19"/>
      <c r="AZ4" s="127"/>
      <c r="BA4" s="219"/>
      <c r="BB4" s="36"/>
      <c r="BC4" s="212" t="s">
        <v>1001</v>
      </c>
      <c r="BD4" s="222" t="s">
        <v>1469</v>
      </c>
      <c r="BE4" s="221"/>
      <c r="BF4" s="101"/>
      <c r="BG4" s="128"/>
      <c r="BH4" s="19"/>
      <c r="BI4" s="127"/>
      <c r="BJ4" s="219"/>
      <c r="BK4" s="36"/>
      <c r="BL4" s="212" t="s">
        <v>1001</v>
      </c>
      <c r="BM4" s="222"/>
      <c r="BN4" s="221"/>
      <c r="BO4" s="101"/>
      <c r="BP4" s="128"/>
      <c r="BQ4" s="19"/>
      <c r="BR4" s="127"/>
      <c r="BS4" s="219"/>
      <c r="BT4" s="36"/>
      <c r="BU4" s="212" t="s">
        <v>1001</v>
      </c>
      <c r="BV4" s="222"/>
      <c r="BW4" s="221"/>
      <c r="BX4" s="101"/>
      <c r="BY4" s="128"/>
      <c r="BZ4" s="14"/>
      <c r="CA4" s="14"/>
      <c r="CB4" s="14"/>
      <c r="CC4" s="14"/>
      <c r="CD4" s="14"/>
      <c r="CE4" s="14"/>
      <c r="CF4" s="14"/>
      <c r="CG4" s="14"/>
      <c r="CH4" s="14"/>
      <c r="CI4" s="14"/>
      <c r="CJ4" s="14"/>
      <c r="CK4" s="14"/>
      <c r="CL4" s="14"/>
      <c r="CM4" s="14"/>
      <c r="CN4" s="14"/>
      <c r="CO4" s="14"/>
      <c r="CP4" s="14"/>
      <c r="CQ4" s="14"/>
      <c r="CR4" s="14"/>
      <c r="CS4" s="14"/>
      <c r="CT4" s="14"/>
      <c r="CU4" s="14"/>
      <c r="CV4" s="14"/>
      <c r="CW4" s="5" t="s">
        <v>580</v>
      </c>
      <c r="CX4" s="5" t="str">
        <f>IF(DS3,"A3","  ")</f>
        <v>A3</v>
      </c>
      <c r="CY4" s="14">
        <v>3</v>
      </c>
      <c r="CZ4" s="258" t="b">
        <v>0</v>
      </c>
      <c r="DA4" s="258" t="b">
        <v>1</v>
      </c>
      <c r="DB4" s="5" t="b">
        <f t="shared" si="0"/>
        <v>0</v>
      </c>
      <c r="DC4" s="5" t="b">
        <f t="shared" si="1"/>
        <v>1</v>
      </c>
      <c r="DD4" s="5" t="b">
        <f t="shared" si="2"/>
        <v>0</v>
      </c>
      <c r="DE4" s="5" t="b">
        <f t="shared" si="3"/>
        <v>1</v>
      </c>
      <c r="DF4" s="286" t="s">
        <v>1528</v>
      </c>
      <c r="DG4" s="68" t="str">
        <f t="shared" si="4"/>
        <v/>
      </c>
      <c r="DH4" s="68" t="str">
        <f>IF(AND(DG4&lt;&gt;"",NOT(AND(DG5="",DG6="",DG7=""))),", ","")</f>
        <v/>
      </c>
      <c r="DI4" s="68" t="str">
        <f t="shared" si="5"/>
        <v>M3</v>
      </c>
      <c r="DJ4" s="91" t="str">
        <f>IF(AND(DI4&lt;&gt;"",NOT(AND(DI5="",DI6="",DI7=""))),", ","")</f>
        <v/>
      </c>
      <c r="DL4" s="114" t="s">
        <v>591</v>
      </c>
      <c r="DM4" s="259" t="s">
        <v>592</v>
      </c>
      <c r="DN4" s="259" t="s">
        <v>593</v>
      </c>
      <c r="DO4" s="259" t="s">
        <v>594</v>
      </c>
      <c r="DP4" s="259" t="s">
        <v>595</v>
      </c>
      <c r="DQ4" s="259" t="s">
        <v>596</v>
      </c>
      <c r="DR4" s="260" t="s">
        <v>594</v>
      </c>
      <c r="DS4" s="91" t="b">
        <f>DO5</f>
        <v>1</v>
      </c>
      <c r="FN4" s="50"/>
      <c r="FO4" s="56"/>
      <c r="FP4" s="56"/>
      <c r="FQ4" s="56"/>
      <c r="FR4" s="56"/>
      <c r="FS4" s="56"/>
    </row>
    <row r="5" spans="1:175" ht="11.25" customHeight="1">
      <c r="B5" s="207" t="s">
        <v>1005</v>
      </c>
      <c r="C5" s="208"/>
      <c r="D5" s="208"/>
      <c r="E5" s="208"/>
      <c r="F5" s="209"/>
      <c r="G5" s="27"/>
      <c r="H5" s="28" t="s">
        <v>1188</v>
      </c>
      <c r="I5" s="33"/>
      <c r="J5" s="169"/>
      <c r="M5" s="331"/>
      <c r="N5" s="332"/>
      <c r="O5" s="332"/>
      <c r="P5" s="333"/>
      <c r="Q5" s="334" t="str">
        <f>IF($DO$58&lt;&gt;"","( "&amp;DI2&amp;DJ2&amp;DI3&amp;DJ3&amp;DI4&amp;DJ4&amp;DI5&amp;DJ5&amp;DI6&amp;DJ6&amp;DI7&amp;" )","")</f>
        <v>( M1, M3 )</v>
      </c>
      <c r="R5" s="335" t="s">
        <v>602</v>
      </c>
      <c r="S5" s="336" t="str">
        <f>IF($DO$58&lt;&gt;"","( "&amp;DG2&amp;DH2&amp;DG3&amp;DH3&amp;DG4&amp;DH4&amp;DG5&amp;DH5&amp;DG6&amp;DH6&amp;DG7&amp;" )","")</f>
        <v>( M4, M6 )</v>
      </c>
      <c r="T5" s="337"/>
      <c r="U5" s="16"/>
      <c r="V5" s="16"/>
      <c r="W5" s="16"/>
      <c r="X5" s="16"/>
      <c r="Y5" s="16"/>
      <c r="Z5" s="16"/>
      <c r="AA5" s="16"/>
      <c r="AB5" s="16"/>
      <c r="AC5" s="16"/>
      <c r="AD5" s="338"/>
      <c r="AE5" s="338"/>
      <c r="AF5" s="16"/>
      <c r="AG5" s="17"/>
      <c r="AH5" s="19"/>
      <c r="AI5" s="19"/>
      <c r="AJ5" s="257"/>
      <c r="AK5" s="258"/>
      <c r="AL5" s="14"/>
      <c r="AM5" s="14"/>
      <c r="AN5" s="14"/>
      <c r="AO5" s="14"/>
      <c r="AP5" s="14"/>
      <c r="AQ5" s="14"/>
      <c r="AR5" s="14"/>
      <c r="AS5" s="14"/>
      <c r="AT5" s="14"/>
      <c r="AU5" s="14"/>
      <c r="AV5" s="14"/>
      <c r="AW5" s="14"/>
      <c r="AX5" s="14"/>
      <c r="AY5" s="14"/>
      <c r="AZ5" s="224"/>
      <c r="BA5" s="225"/>
      <c r="BB5" s="132"/>
      <c r="BC5" s="133"/>
      <c r="BD5" s="133"/>
      <c r="BE5" s="226"/>
      <c r="BF5" s="226"/>
      <c r="BG5" s="10"/>
      <c r="BH5" s="19"/>
      <c r="BI5" s="224"/>
      <c r="BJ5" s="225"/>
      <c r="BK5" s="132"/>
      <c r="BL5" s="133"/>
      <c r="BM5" s="133"/>
      <c r="BN5" s="226"/>
      <c r="BO5" s="226"/>
      <c r="BP5" s="10"/>
      <c r="BQ5" s="19"/>
      <c r="BR5" s="224"/>
      <c r="BS5" s="225"/>
      <c r="BT5" s="132"/>
      <c r="BU5" s="133"/>
      <c r="BV5" s="133"/>
      <c r="BW5" s="226"/>
      <c r="BX5" s="226"/>
      <c r="BY5" s="10"/>
      <c r="BZ5" s="14"/>
      <c r="CA5" s="14"/>
      <c r="CB5" s="14"/>
      <c r="CC5" s="14"/>
      <c r="CD5" s="14"/>
      <c r="CE5" s="14"/>
      <c r="CF5" s="14"/>
      <c r="CG5" s="14"/>
      <c r="CH5" s="14"/>
      <c r="CI5" s="14"/>
      <c r="CJ5" s="14"/>
      <c r="CK5" s="14"/>
      <c r="CL5" s="14"/>
      <c r="CM5" s="14"/>
      <c r="CN5" s="14"/>
      <c r="CO5" s="14"/>
      <c r="CP5" s="14"/>
      <c r="CQ5" s="14"/>
      <c r="CR5" s="14"/>
      <c r="CS5" s="14"/>
      <c r="CT5" s="14"/>
      <c r="CU5" s="14"/>
      <c r="CV5" s="14"/>
      <c r="CW5" s="5" t="s">
        <v>581</v>
      </c>
      <c r="CX5" s="5" t="str">
        <f>IF(DS4,"A4","  ")</f>
        <v>A4</v>
      </c>
      <c r="CY5" s="14">
        <v>4</v>
      </c>
      <c r="CZ5" s="258" t="b">
        <v>1</v>
      </c>
      <c r="DA5" s="95" t="b">
        <v>0</v>
      </c>
      <c r="DB5" s="5" t="b">
        <f t="shared" si="0"/>
        <v>1</v>
      </c>
      <c r="DC5" s="5" t="b">
        <f t="shared" si="1"/>
        <v>0</v>
      </c>
      <c r="DD5" s="5" t="b">
        <f t="shared" si="2"/>
        <v>0</v>
      </c>
      <c r="DE5" s="5" t="b">
        <f t="shared" si="3"/>
        <v>1</v>
      </c>
      <c r="DF5" s="286" t="s">
        <v>1529</v>
      </c>
      <c r="DG5" s="68" t="str">
        <f t="shared" si="4"/>
        <v>M4</v>
      </c>
      <c r="DH5" s="68" t="str">
        <f>IF(AND(DG5&lt;&gt;"",NOT(AND(DG6="",DG7=""))),", ","")</f>
        <v xml:space="preserve">, </v>
      </c>
      <c r="DI5" s="68" t="str">
        <f t="shared" si="5"/>
        <v/>
      </c>
      <c r="DJ5" s="91" t="str">
        <f>IF(AND(DI5&lt;&gt;"",NOT(AND(DI6="",DI7=""))),", ","")</f>
        <v/>
      </c>
      <c r="DL5" s="67" t="b">
        <f t="shared" ref="DL5:DQ5" si="6">AND(ISNUMBER(D11),ISNUMBER(D12),ISNUMBER(D13))</f>
        <v>1</v>
      </c>
      <c r="DM5" s="68" t="b">
        <f t="shared" si="6"/>
        <v>1</v>
      </c>
      <c r="DN5" s="68" t="b">
        <f t="shared" si="6"/>
        <v>1</v>
      </c>
      <c r="DO5" s="68" t="b">
        <f t="shared" si="6"/>
        <v>1</v>
      </c>
      <c r="DP5" s="68" t="b">
        <f t="shared" si="6"/>
        <v>1</v>
      </c>
      <c r="DQ5" s="68" t="b">
        <f t="shared" si="6"/>
        <v>1</v>
      </c>
      <c r="DR5" s="260" t="s">
        <v>595</v>
      </c>
      <c r="DS5" s="91" t="b">
        <f>DP5</f>
        <v>1</v>
      </c>
      <c r="DU5" s="65" t="s">
        <v>1555</v>
      </c>
      <c r="DV5" s="66"/>
      <c r="DW5" s="66"/>
      <c r="DX5" s="66"/>
      <c r="DY5" s="66"/>
      <c r="DZ5" s="93"/>
      <c r="FN5" s="50"/>
      <c r="FO5" s="56"/>
      <c r="FP5" s="56"/>
      <c r="FQ5" s="56"/>
      <c r="FR5" s="56"/>
      <c r="FS5" s="56"/>
    </row>
    <row r="6" spans="1:175" ht="12.75" customHeight="1">
      <c r="B6" s="210"/>
      <c r="C6" s="204"/>
      <c r="D6" s="205" t="s">
        <v>1004</v>
      </c>
      <c r="E6" s="203" t="s">
        <v>454</v>
      </c>
      <c r="F6" s="52"/>
      <c r="G6" s="206" t="s">
        <v>473</v>
      </c>
      <c r="H6" s="763">
        <v>95</v>
      </c>
      <c r="I6" s="168"/>
      <c r="J6" s="142" t="s">
        <v>500</v>
      </c>
      <c r="K6" s="125"/>
      <c r="L6" s="125"/>
      <c r="M6" s="214"/>
      <c r="N6" s="214"/>
      <c r="O6" s="214"/>
      <c r="P6" s="245"/>
      <c r="Q6" s="246"/>
      <c r="R6" s="247"/>
      <c r="S6" s="246"/>
      <c r="T6" s="248"/>
      <c r="U6" s="125"/>
      <c r="V6" s="125"/>
      <c r="W6" s="125"/>
      <c r="X6" s="125"/>
      <c r="Y6" s="125"/>
      <c r="Z6" s="125"/>
      <c r="AA6" s="125"/>
      <c r="AB6" s="290"/>
      <c r="AC6" s="125"/>
      <c r="AD6" s="249"/>
      <c r="AE6" s="249"/>
      <c r="AF6" s="125"/>
      <c r="AG6" s="126"/>
      <c r="AH6" s="19"/>
      <c r="AI6" s="19"/>
      <c r="AZ6" s="227" t="s">
        <v>1548</v>
      </c>
      <c r="BA6" s="223" t="s">
        <v>1470</v>
      </c>
      <c r="BB6" s="106" t="s">
        <v>252</v>
      </c>
      <c r="BC6" s="105" t="s">
        <v>1042</v>
      </c>
      <c r="BD6" s="105"/>
      <c r="BE6" s="105"/>
      <c r="BF6" s="105"/>
      <c r="BG6" s="13"/>
      <c r="BH6" s="68"/>
      <c r="BI6" s="227" t="s">
        <v>1548</v>
      </c>
      <c r="BJ6" s="223"/>
      <c r="BK6" s="106"/>
      <c r="BL6" s="105"/>
      <c r="BM6" s="105"/>
      <c r="BN6" s="105"/>
      <c r="BO6" s="105"/>
      <c r="BP6" s="13"/>
      <c r="BQ6" s="68"/>
      <c r="BR6" s="227" t="s">
        <v>1548</v>
      </c>
      <c r="BS6" s="223"/>
      <c r="BT6" s="106"/>
      <c r="BU6" s="105"/>
      <c r="BV6" s="105"/>
      <c r="BW6" s="105"/>
      <c r="BX6" s="105"/>
      <c r="BY6" s="13"/>
      <c r="CW6" s="5" t="s">
        <v>582</v>
      </c>
      <c r="CX6" s="5" t="str">
        <f>IF(DS5,"A5","  ")</f>
        <v>A5</v>
      </c>
      <c r="CY6" s="5">
        <v>5</v>
      </c>
      <c r="CZ6" s="95" t="b">
        <v>0</v>
      </c>
      <c r="DA6" s="95" t="b">
        <v>0</v>
      </c>
      <c r="DB6" s="5" t="b">
        <f t="shared" si="0"/>
        <v>0</v>
      </c>
      <c r="DC6" s="5" t="b">
        <f t="shared" si="1"/>
        <v>0</v>
      </c>
      <c r="DD6" s="5" t="b">
        <f t="shared" si="2"/>
        <v>0</v>
      </c>
      <c r="DE6" s="5" t="b">
        <f t="shared" si="3"/>
        <v>0</v>
      </c>
      <c r="DF6" s="286" t="s">
        <v>1530</v>
      </c>
      <c r="DG6" s="68" t="str">
        <f t="shared" si="4"/>
        <v/>
      </c>
      <c r="DH6" s="68" t="str">
        <f>IF(AND(DG6&lt;&gt;"",NOT(DG7="")),", ","")</f>
        <v/>
      </c>
      <c r="DI6" s="68" t="str">
        <f t="shared" si="5"/>
        <v/>
      </c>
      <c r="DJ6" s="91" t="str">
        <f>IF(AND(DI6&lt;&gt;"",NOT(DI7="")),", ","")</f>
        <v/>
      </c>
      <c r="DK6" s="114" t="s">
        <v>597</v>
      </c>
      <c r="DL6" s="66" t="b">
        <f>OR(DL5:DQ5)</f>
        <v>1</v>
      </c>
      <c r="DM6" s="66"/>
      <c r="DN6" s="66"/>
      <c r="DO6" s="66"/>
      <c r="DP6" s="66"/>
      <c r="DQ6" s="93"/>
      <c r="DR6" s="109" t="s">
        <v>596</v>
      </c>
      <c r="DS6" s="91" t="b">
        <f>DQ5</f>
        <v>1</v>
      </c>
      <c r="DU6" s="67">
        <v>10</v>
      </c>
      <c r="DV6" s="68">
        <v>10</v>
      </c>
      <c r="DW6" s="68">
        <v>10</v>
      </c>
      <c r="DX6" s="68">
        <v>10</v>
      </c>
      <c r="DY6" s="68">
        <v>10</v>
      </c>
      <c r="DZ6" s="91">
        <v>10</v>
      </c>
      <c r="FN6" s="50"/>
      <c r="FO6" s="56"/>
      <c r="FP6" s="56"/>
      <c r="FQ6" s="56"/>
      <c r="FR6" s="56"/>
      <c r="FS6" s="56"/>
    </row>
    <row r="7" spans="1:175" ht="11.25" customHeight="1">
      <c r="B7" s="211"/>
      <c r="C7" s="36"/>
      <c r="D7" s="212" t="s">
        <v>1001</v>
      </c>
      <c r="E7" s="98" t="s">
        <v>499</v>
      </c>
      <c r="F7" s="52"/>
      <c r="G7" s="16"/>
      <c r="H7" s="16"/>
      <c r="I7" s="16"/>
      <c r="J7" s="299"/>
      <c r="K7" s="360" t="s">
        <v>474</v>
      </c>
      <c r="L7" s="116"/>
      <c r="M7" s="300"/>
      <c r="N7" s="300"/>
      <c r="O7" s="300"/>
      <c r="P7" s="301"/>
      <c r="Q7" s="302"/>
      <c r="R7" s="303"/>
      <c r="S7" s="302"/>
      <c r="T7" s="304"/>
      <c r="U7" s="116"/>
      <c r="V7" s="116"/>
      <c r="W7" s="116"/>
      <c r="X7" s="116"/>
      <c r="Y7" s="116"/>
      <c r="Z7" s="317" t="s">
        <v>1541</v>
      </c>
      <c r="AA7" s="318" t="str">
        <f>IF($DN$58&lt;&gt;"","( "&amp;DI2&amp;DJ2&amp;DI3&amp;DJ3&amp;DI4&amp;DJ4&amp;DI5&amp;DJ5&amp;DI6&amp;DJ6&amp;DI7&amp;" )","")</f>
        <v>( M1, M3 )</v>
      </c>
      <c r="AB7" s="118"/>
      <c r="AC7" s="116"/>
      <c r="AD7" s="305"/>
      <c r="AE7" s="305"/>
      <c r="AF7" s="351" t="s">
        <v>1280</v>
      </c>
      <c r="AG7" s="306"/>
      <c r="AH7" s="19"/>
      <c r="AI7" s="19"/>
      <c r="AL7" s="68"/>
      <c r="AM7" s="68"/>
      <c r="AN7" s="68"/>
      <c r="AO7" s="68"/>
      <c r="AP7" s="68"/>
      <c r="AQ7" s="68"/>
      <c r="AR7" s="68"/>
      <c r="AS7" s="68"/>
      <c r="AT7" s="68"/>
      <c r="AU7" s="68"/>
      <c r="AV7" s="68"/>
      <c r="AW7" s="68"/>
      <c r="AX7" s="68"/>
      <c r="AY7" s="68"/>
      <c r="AZ7" s="87"/>
      <c r="BA7" s="135" t="s">
        <v>578</v>
      </c>
      <c r="BB7" s="135" t="s">
        <v>579</v>
      </c>
      <c r="BC7" s="135" t="s">
        <v>580</v>
      </c>
      <c r="BD7" s="135" t="s">
        <v>581</v>
      </c>
      <c r="BE7" s="135" t="s">
        <v>582</v>
      </c>
      <c r="BF7" s="135" t="s">
        <v>583</v>
      </c>
      <c r="BG7" s="88"/>
      <c r="BH7" s="68"/>
      <c r="BI7" s="87"/>
      <c r="BJ7" s="135" t="s">
        <v>578</v>
      </c>
      <c r="BK7" s="135" t="s">
        <v>579</v>
      </c>
      <c r="BL7" s="135" t="s">
        <v>580</v>
      </c>
      <c r="BM7" s="135" t="s">
        <v>581</v>
      </c>
      <c r="BN7" s="135" t="s">
        <v>582</v>
      </c>
      <c r="BO7" s="135" t="s">
        <v>583</v>
      </c>
      <c r="BP7" s="88"/>
      <c r="BQ7" s="68"/>
      <c r="BR7" s="87"/>
      <c r="BS7" s="135" t="s">
        <v>578</v>
      </c>
      <c r="BT7" s="135" t="s">
        <v>579</v>
      </c>
      <c r="BU7" s="135" t="s">
        <v>580</v>
      </c>
      <c r="BV7" s="135" t="s">
        <v>581</v>
      </c>
      <c r="BW7" s="135" t="s">
        <v>582</v>
      </c>
      <c r="BX7" s="135" t="s">
        <v>583</v>
      </c>
      <c r="BY7" s="88"/>
      <c r="CW7" s="5" t="s">
        <v>583</v>
      </c>
      <c r="CX7" s="5" t="str">
        <f>IF(DS6,"A6","  ")</f>
        <v>A6</v>
      </c>
      <c r="CY7" s="5">
        <v>6</v>
      </c>
      <c r="CZ7" s="95" t="b">
        <v>1</v>
      </c>
      <c r="DA7" s="95" t="b">
        <v>0</v>
      </c>
      <c r="DB7" s="5" t="b">
        <f t="shared" si="0"/>
        <v>1</v>
      </c>
      <c r="DC7" s="5" t="b">
        <f t="shared" si="1"/>
        <v>0</v>
      </c>
      <c r="DD7" s="5" t="b">
        <f t="shared" si="2"/>
        <v>0</v>
      </c>
      <c r="DE7" s="5" t="b">
        <f t="shared" si="3"/>
        <v>1</v>
      </c>
      <c r="DF7" s="287" t="s">
        <v>1531</v>
      </c>
      <c r="DG7" s="70" t="str">
        <f t="shared" si="4"/>
        <v>M6</v>
      </c>
      <c r="DH7" s="70"/>
      <c r="DI7" s="70" t="str">
        <f t="shared" si="5"/>
        <v/>
      </c>
      <c r="DJ7" s="97"/>
      <c r="DK7" s="260" t="s">
        <v>599</v>
      </c>
      <c r="DL7" s="68">
        <f t="shared" ref="DL7:DQ7" si="7">IF(DL5,CZ35*D13^2,0)</f>
        <v>1800</v>
      </c>
      <c r="DM7" s="68">
        <f t="shared" si="7"/>
        <v>3280.5</v>
      </c>
      <c r="DN7" s="68">
        <f t="shared" si="7"/>
        <v>3942.7200000000003</v>
      </c>
      <c r="DO7" s="68">
        <f t="shared" si="7"/>
        <v>1800</v>
      </c>
      <c r="DP7" s="68">
        <f t="shared" si="7"/>
        <v>1362.4199999999996</v>
      </c>
      <c r="DQ7" s="91">
        <f t="shared" si="7"/>
        <v>1800</v>
      </c>
      <c r="DR7" s="261" t="s">
        <v>1370</v>
      </c>
      <c r="DS7" s="97" t="b">
        <v>0</v>
      </c>
      <c r="DU7" s="67">
        <v>7</v>
      </c>
      <c r="DV7" s="68">
        <v>6.9</v>
      </c>
      <c r="DW7" s="68">
        <v>11</v>
      </c>
      <c r="DX7" s="272">
        <v>13.4</v>
      </c>
      <c r="DY7" s="68">
        <v>12</v>
      </c>
      <c r="DZ7" s="91">
        <v>12</v>
      </c>
      <c r="FN7" s="55"/>
      <c r="FO7" s="50"/>
      <c r="FP7" s="50"/>
      <c r="FQ7" s="50"/>
      <c r="FR7" s="50"/>
      <c r="FS7" s="57"/>
    </row>
    <row r="8" spans="1:175" ht="12.75" customHeight="1">
      <c r="A8" s="48"/>
      <c r="B8" s="140" t="s">
        <v>1003</v>
      </c>
      <c r="C8" s="131"/>
      <c r="D8" s="132"/>
      <c r="E8" s="132"/>
      <c r="F8" s="133"/>
      <c r="G8" s="133"/>
      <c r="H8" s="130" t="s">
        <v>1186</v>
      </c>
      <c r="I8" s="458">
        <f>IF(SUM(D11:I11)=0,"",SUM(D11:I11))</f>
        <v>114</v>
      </c>
      <c r="J8" s="269"/>
      <c r="K8" s="361" t="s">
        <v>471</v>
      </c>
      <c r="L8" s="269"/>
      <c r="M8" s="308"/>
      <c r="N8" s="308"/>
      <c r="O8" s="308"/>
      <c r="P8" s="309"/>
      <c r="Q8" s="310"/>
      <c r="R8" s="311"/>
      <c r="S8" s="310"/>
      <c r="T8" s="312"/>
      <c r="U8" s="269"/>
      <c r="V8" s="269"/>
      <c r="W8" s="269"/>
      <c r="X8" s="269"/>
      <c r="Y8" s="269"/>
      <c r="Z8" s="353">
        <f>IF(DN58="","",DN58)</f>
        <v>39.35</v>
      </c>
      <c r="AA8" s="310" t="s">
        <v>477</v>
      </c>
      <c r="AB8" s="353">
        <f>IF(DM66="","",DM66)</f>
        <v>35.690858993390833</v>
      </c>
      <c r="AC8" s="365" t="s">
        <v>1535</v>
      </c>
      <c r="AD8" s="354">
        <f>IF(DM65="","",DM65)</f>
        <v>43.00914100660917</v>
      </c>
      <c r="AE8" s="350" t="s">
        <v>1536</v>
      </c>
      <c r="AF8" s="353">
        <f>IF(DM64="","",DM64)</f>
        <v>3.6591410066091683</v>
      </c>
      <c r="AG8" s="313"/>
      <c r="AH8" s="19"/>
      <c r="AI8" s="19"/>
      <c r="AL8" s="68"/>
      <c r="AM8" s="68"/>
      <c r="AN8" s="68"/>
      <c r="AO8" s="68"/>
      <c r="AP8" s="68"/>
      <c r="AQ8" s="68"/>
      <c r="AR8" s="68"/>
      <c r="AS8" s="68"/>
      <c r="AT8" s="68"/>
      <c r="AU8" s="68"/>
      <c r="AV8" s="68"/>
      <c r="AW8" s="68"/>
      <c r="AX8" s="68"/>
      <c r="AY8" s="68"/>
      <c r="AZ8" s="138" t="s">
        <v>1006</v>
      </c>
      <c r="BA8" s="228">
        <v>5.5</v>
      </c>
      <c r="BB8" s="171">
        <v>2</v>
      </c>
      <c r="BC8" s="229">
        <v>6</v>
      </c>
      <c r="BD8" s="171"/>
      <c r="BE8" s="171"/>
      <c r="BF8" s="230"/>
      <c r="BG8" s="13"/>
      <c r="BH8" s="68"/>
      <c r="BI8" s="138" t="s">
        <v>1006</v>
      </c>
      <c r="BJ8" s="228"/>
      <c r="BK8" s="171"/>
      <c r="BL8" s="229"/>
      <c r="BM8" s="171"/>
      <c r="BN8" s="171"/>
      <c r="BO8" s="230"/>
      <c r="BP8" s="13"/>
      <c r="BQ8" s="68"/>
      <c r="BR8" s="138" t="s">
        <v>1006</v>
      </c>
      <c r="BS8" s="228"/>
      <c r="BT8" s="171"/>
      <c r="BU8" s="229"/>
      <c r="BV8" s="171"/>
      <c r="BW8" s="171"/>
      <c r="BX8" s="230"/>
      <c r="BY8" s="13"/>
      <c r="CY8" s="5" t="s">
        <v>1086</v>
      </c>
      <c r="CZ8" s="5">
        <f>COUNTIF(CZ2:CZ7,TRUE)</f>
        <v>2</v>
      </c>
      <c r="DA8" s="5">
        <f>COUNTIF(DA2:DA7,TRUE)</f>
        <v>2</v>
      </c>
      <c r="DB8" s="5">
        <f>COUNTIF(DB2:DB7,TRUE)</f>
        <v>2</v>
      </c>
      <c r="DC8" s="5">
        <f>COUNTIF(DC2:DC7,TRUE)</f>
        <v>2</v>
      </c>
      <c r="DD8" s="5">
        <f>COUNTIF(DD2:DD7,TRUE)</f>
        <v>0</v>
      </c>
      <c r="DK8" s="115" t="s">
        <v>598</v>
      </c>
      <c r="DL8" s="75">
        <f>IF(DL6,SQRT(SUM(DL7:DQ7)/SUM(CZ35:DE35)),"")</f>
        <v>11.379660217540183</v>
      </c>
      <c r="DM8" s="70"/>
      <c r="DN8" s="70"/>
      <c r="DO8" s="70"/>
      <c r="DP8" s="70"/>
      <c r="DQ8" s="97"/>
      <c r="DU8" s="69">
        <v>1.83</v>
      </c>
      <c r="DV8" s="70">
        <v>2.13</v>
      </c>
      <c r="DW8" s="70">
        <v>2.4900000000000002</v>
      </c>
      <c r="DX8" s="273">
        <v>4.5</v>
      </c>
      <c r="DY8" s="70">
        <v>3.74</v>
      </c>
      <c r="DZ8" s="97">
        <v>3.74</v>
      </c>
      <c r="FN8" s="55"/>
      <c r="FO8" s="50"/>
      <c r="FP8" s="50"/>
      <c r="FQ8" s="50"/>
      <c r="FR8" s="50"/>
      <c r="FS8" s="57"/>
    </row>
    <row r="9" spans="1:175" ht="13.5" customHeight="1">
      <c r="A9" s="92"/>
      <c r="B9" s="87"/>
      <c r="C9" s="129" t="s">
        <v>1548</v>
      </c>
      <c r="D9" s="99" t="s">
        <v>455</v>
      </c>
      <c r="E9" s="106" t="s">
        <v>456</v>
      </c>
      <c r="F9" s="99" t="s">
        <v>457</v>
      </c>
      <c r="G9" s="99" t="s">
        <v>458</v>
      </c>
      <c r="H9" s="99" t="s">
        <v>459</v>
      </c>
      <c r="I9" s="106" t="s">
        <v>460</v>
      </c>
      <c r="J9" s="290"/>
      <c r="K9" s="289"/>
      <c r="L9" s="290"/>
      <c r="M9" s="291"/>
      <c r="N9" s="291"/>
      <c r="O9" s="291"/>
      <c r="P9" s="292"/>
      <c r="Q9" s="293"/>
      <c r="R9" s="294"/>
      <c r="S9" s="295" t="s">
        <v>1366</v>
      </c>
      <c r="T9" s="296"/>
      <c r="U9" s="290"/>
      <c r="V9" s="290"/>
      <c r="W9" s="290"/>
      <c r="X9" s="290"/>
      <c r="Y9" s="290"/>
      <c r="Z9" s="290"/>
      <c r="AA9" s="290"/>
      <c r="AB9" s="290"/>
      <c r="AC9" s="290"/>
      <c r="AD9" s="297"/>
      <c r="AE9" s="297"/>
      <c r="AF9" s="290"/>
      <c r="AG9" s="298"/>
      <c r="AH9" s="19"/>
      <c r="AI9" s="19"/>
      <c r="AJ9" s="84"/>
      <c r="AK9" s="68"/>
      <c r="AL9" s="68"/>
      <c r="AM9" s="68"/>
      <c r="AN9" s="68"/>
      <c r="AO9" s="68"/>
      <c r="AP9" s="68"/>
      <c r="AQ9" s="68"/>
      <c r="AR9" s="68"/>
      <c r="AS9" s="68"/>
      <c r="AT9" s="68"/>
      <c r="AU9" s="68"/>
      <c r="AV9" s="68"/>
      <c r="AW9" s="68"/>
      <c r="AX9" s="68"/>
      <c r="AY9" s="68"/>
      <c r="AZ9" s="138" t="s">
        <v>1271</v>
      </c>
      <c r="BA9" s="172">
        <v>5</v>
      </c>
      <c r="BB9" s="173">
        <v>6</v>
      </c>
      <c r="BC9" s="174">
        <v>2.5</v>
      </c>
      <c r="BD9" s="173"/>
      <c r="BE9" s="173"/>
      <c r="BF9" s="175"/>
      <c r="BG9" s="13"/>
      <c r="BH9" s="68"/>
      <c r="BI9" s="138" t="s">
        <v>1271</v>
      </c>
      <c r="BJ9" s="172"/>
      <c r="BK9" s="173"/>
      <c r="BL9" s="174"/>
      <c r="BM9" s="173"/>
      <c r="BN9" s="173"/>
      <c r="BO9" s="175"/>
      <c r="BP9" s="13"/>
      <c r="BQ9" s="68"/>
      <c r="BR9" s="138" t="s">
        <v>1271</v>
      </c>
      <c r="BS9" s="172"/>
      <c r="BT9" s="173"/>
      <c r="BU9" s="174"/>
      <c r="BV9" s="173"/>
      <c r="BW9" s="173"/>
      <c r="BX9" s="175"/>
      <c r="BY9" s="13"/>
      <c r="CY9" s="262"/>
      <c r="CZ9" s="263" t="s">
        <v>1089</v>
      </c>
      <c r="DA9" s="264" t="b">
        <f>OR(DD8&gt;0,AND(DB8=0,DC8=0))</f>
        <v>0</v>
      </c>
      <c r="DB9" s="65" t="s">
        <v>1095</v>
      </c>
      <c r="DC9" s="93"/>
      <c r="DD9" s="69"/>
      <c r="DE9" s="261"/>
      <c r="DF9" s="97"/>
      <c r="FN9" s="50"/>
      <c r="FO9" s="55"/>
      <c r="FP9" s="50"/>
      <c r="FQ9" s="50"/>
      <c r="FR9" s="50"/>
      <c r="FS9" s="50"/>
    </row>
    <row r="10" spans="1:175" ht="12.75" customHeight="1">
      <c r="A10" s="92"/>
      <c r="B10" s="87"/>
      <c r="C10" s="12"/>
      <c r="D10" s="160" t="s">
        <v>578</v>
      </c>
      <c r="E10" s="161" t="s">
        <v>579</v>
      </c>
      <c r="F10" s="161" t="s">
        <v>580</v>
      </c>
      <c r="G10" s="161" t="s">
        <v>581</v>
      </c>
      <c r="H10" s="161" t="s">
        <v>582</v>
      </c>
      <c r="I10" s="757" t="s">
        <v>583</v>
      </c>
      <c r="J10" s="188"/>
      <c r="K10" s="362" t="s">
        <v>475</v>
      </c>
      <c r="L10" s="188"/>
      <c r="M10" s="188"/>
      <c r="N10" s="188"/>
      <c r="O10" s="188"/>
      <c r="P10" s="188"/>
      <c r="Q10" s="188"/>
      <c r="R10" s="188"/>
      <c r="S10" s="188"/>
      <c r="T10" s="188"/>
      <c r="U10" s="188"/>
      <c r="V10" s="188"/>
      <c r="W10" s="188"/>
      <c r="X10" s="188"/>
      <c r="Y10" s="188"/>
      <c r="Z10" s="339" t="s">
        <v>1541</v>
      </c>
      <c r="AA10" s="340" t="str">
        <f>IF($DI$58&lt;&gt;"","( "&amp;DG2&amp;DH2&amp;DG3&amp;DH3&amp;DG4&amp;DH4&amp;DG5&amp;DH5&amp;DG6&amp;DH6&amp;DG7&amp;" )","")</f>
        <v>( M4, M6 )</v>
      </c>
      <c r="AB10" s="188"/>
      <c r="AC10" s="188"/>
      <c r="AD10" s="188"/>
      <c r="AE10" s="188"/>
      <c r="AF10" s="352" t="s">
        <v>1280</v>
      </c>
      <c r="AG10" s="314"/>
      <c r="AH10" s="19"/>
      <c r="AI10" s="19"/>
      <c r="AJ10" s="68"/>
      <c r="AK10" s="68"/>
      <c r="AL10" s="68"/>
      <c r="AM10" s="68"/>
      <c r="AN10" s="68"/>
      <c r="AO10" s="68"/>
      <c r="AP10" s="68"/>
      <c r="AQ10" s="68"/>
      <c r="AR10" s="68"/>
      <c r="AS10" s="68"/>
      <c r="AT10" s="68"/>
      <c r="AU10" s="68"/>
      <c r="AV10" s="68"/>
      <c r="AW10" s="68"/>
      <c r="AX10" s="68"/>
      <c r="AY10" s="68"/>
      <c r="AZ10" s="87"/>
      <c r="BA10" s="172">
        <v>5.5</v>
      </c>
      <c r="BB10" s="173">
        <v>4.5</v>
      </c>
      <c r="BC10" s="174">
        <v>4.5</v>
      </c>
      <c r="BD10" s="173"/>
      <c r="BE10" s="173"/>
      <c r="BF10" s="175"/>
      <c r="BG10" s="13"/>
      <c r="BH10" s="68"/>
      <c r="BI10" s="87"/>
      <c r="BJ10" s="172"/>
      <c r="BK10" s="173"/>
      <c r="BL10" s="174"/>
      <c r="BM10" s="173"/>
      <c r="BN10" s="173"/>
      <c r="BO10" s="175"/>
      <c r="BP10" s="13"/>
      <c r="BQ10" s="68"/>
      <c r="BR10" s="87"/>
      <c r="BS10" s="172"/>
      <c r="BT10" s="173"/>
      <c r="BU10" s="174"/>
      <c r="BV10" s="173"/>
      <c r="BW10" s="173"/>
      <c r="BX10" s="175"/>
      <c r="BY10" s="13"/>
      <c r="CW10" s="5" t="s">
        <v>1121</v>
      </c>
      <c r="CX10" s="5" t="s">
        <v>1526</v>
      </c>
      <c r="CY10" s="5" t="str">
        <f>IF(DS1,"M1","  ")</f>
        <v>M1</v>
      </c>
      <c r="DB10" s="69" t="b">
        <f>AND(DB8&gt;0,$DD$8=0)</f>
        <v>1</v>
      </c>
      <c r="DC10" s="97" t="b">
        <f>AND(DC8&gt;0,$DD$8=0)</f>
        <v>1</v>
      </c>
      <c r="DE10" s="112" t="s">
        <v>1247</v>
      </c>
      <c r="DF10" s="111" t="s">
        <v>1247</v>
      </c>
      <c r="DI10" s="5" t="s">
        <v>1533</v>
      </c>
      <c r="DO10" s="5" t="s">
        <v>1252</v>
      </c>
      <c r="DR10" s="5" t="s">
        <v>1268</v>
      </c>
      <c r="DU10" s="65" t="s">
        <v>1554</v>
      </c>
      <c r="DV10" s="66"/>
      <c r="DW10" s="66"/>
      <c r="DX10" s="66"/>
      <c r="DY10" s="66"/>
      <c r="DZ10" s="93"/>
      <c r="FO10" s="49"/>
      <c r="FP10" s="49"/>
      <c r="FQ10" s="49"/>
      <c r="FR10" s="49"/>
    </row>
    <row r="11" spans="1:175" ht="12.75" customHeight="1">
      <c r="A11" s="92"/>
      <c r="B11" s="87"/>
      <c r="C11" s="102" t="s">
        <v>429</v>
      </c>
      <c r="D11" s="379">
        <v>19</v>
      </c>
      <c r="E11" s="106">
        <v>19</v>
      </c>
      <c r="F11" s="107">
        <v>19</v>
      </c>
      <c r="G11" s="106">
        <v>19</v>
      </c>
      <c r="H11" s="107">
        <v>19</v>
      </c>
      <c r="I11" s="106">
        <v>19</v>
      </c>
      <c r="J11" s="315"/>
      <c r="K11" s="363" t="s">
        <v>471</v>
      </c>
      <c r="L11" s="315"/>
      <c r="M11" s="315"/>
      <c r="N11" s="315"/>
      <c r="O11" s="315"/>
      <c r="P11" s="315"/>
      <c r="Q11" s="315"/>
      <c r="R11" s="315"/>
      <c r="S11" s="315"/>
      <c r="T11" s="315"/>
      <c r="U11" s="315"/>
      <c r="V11" s="315"/>
      <c r="W11" s="315"/>
      <c r="X11" s="315"/>
      <c r="Y11" s="315"/>
      <c r="Z11" s="355">
        <f>IF(DI58="","",DI58)</f>
        <v>35.849999999999994</v>
      </c>
      <c r="AA11" s="367" t="s">
        <v>478</v>
      </c>
      <c r="AB11" s="355">
        <f>IF(DH66="","",DH66)</f>
        <v>32.190858993390826</v>
      </c>
      <c r="AC11" s="366" t="s">
        <v>1535</v>
      </c>
      <c r="AD11" s="355">
        <f>IF(DH65="","",DH65)</f>
        <v>39.509141006609163</v>
      </c>
      <c r="AE11" s="349" t="s">
        <v>1536</v>
      </c>
      <c r="AF11" s="355">
        <f>IF(DH64="","",DH64)</f>
        <v>3.6591410066091683</v>
      </c>
      <c r="AG11" s="316"/>
      <c r="AH11" s="19"/>
      <c r="AI11" s="19"/>
      <c r="AJ11" s="68"/>
      <c r="AK11" s="68"/>
      <c r="AL11" s="68"/>
      <c r="AM11" s="68"/>
      <c r="AN11" s="68"/>
      <c r="AO11" s="68"/>
      <c r="AP11" s="68"/>
      <c r="AQ11" s="68"/>
      <c r="AR11" s="68"/>
      <c r="AS11" s="68"/>
      <c r="AT11" s="68"/>
      <c r="AU11" s="68"/>
      <c r="AV11" s="68"/>
      <c r="AW11" s="68"/>
      <c r="AX11" s="68"/>
      <c r="AY11" s="68"/>
      <c r="AZ11" s="87"/>
      <c r="BA11" s="172">
        <v>6</v>
      </c>
      <c r="BB11" s="173">
        <v>4.5</v>
      </c>
      <c r="BC11" s="174">
        <v>3.5</v>
      </c>
      <c r="BD11" s="173"/>
      <c r="BE11" s="173"/>
      <c r="BF11" s="175"/>
      <c r="BG11" s="13"/>
      <c r="BH11" s="68"/>
      <c r="BI11" s="87"/>
      <c r="BJ11" s="172"/>
      <c r="BK11" s="173"/>
      <c r="BL11" s="174"/>
      <c r="BM11" s="173"/>
      <c r="BN11" s="173"/>
      <c r="BO11" s="175"/>
      <c r="BP11" s="13"/>
      <c r="BQ11" s="68"/>
      <c r="BR11" s="87"/>
      <c r="BS11" s="172"/>
      <c r="BT11" s="173"/>
      <c r="BU11" s="174"/>
      <c r="BV11" s="173"/>
      <c r="BW11" s="173"/>
      <c r="BX11" s="175"/>
      <c r="BY11" s="13"/>
      <c r="CX11" s="5" t="s">
        <v>1527</v>
      </c>
      <c r="CY11" s="5" t="str">
        <f>IF(DS2,"M2","  ")</f>
        <v>M2</v>
      </c>
      <c r="DB11" s="5" t="s">
        <v>1217</v>
      </c>
      <c r="DE11" s="271" t="b">
        <v>0</v>
      </c>
      <c r="DF11" s="270" t="b">
        <v>1</v>
      </c>
      <c r="DG11" s="280" t="s">
        <v>466</v>
      </c>
      <c r="DH11" s="282" t="s">
        <v>467</v>
      </c>
      <c r="DO11" s="62" t="s">
        <v>1253</v>
      </c>
      <c r="DP11" s="5">
        <f>IF(DD21-DD22=0,1,DD21-DD22)</f>
        <v>21.649613676364449</v>
      </c>
      <c r="DR11" s="5">
        <f>IF(DO58="",NA(),DH48)</f>
        <v>6.8</v>
      </c>
      <c r="DS11" s="5">
        <f>IF(DO58="",NA(),DI58)</f>
        <v>35.849999999999994</v>
      </c>
      <c r="DU11" s="67">
        <v>9</v>
      </c>
      <c r="DV11" s="68">
        <v>7</v>
      </c>
      <c r="DW11" s="68">
        <v>11</v>
      </c>
      <c r="DX11" s="68">
        <v>12</v>
      </c>
      <c r="DY11" s="68">
        <v>10</v>
      </c>
      <c r="DZ11" s="91">
        <v>10</v>
      </c>
      <c r="FN11" s="53"/>
    </row>
    <row r="12" spans="1:175" ht="12.75" customHeight="1">
      <c r="A12" s="92"/>
      <c r="B12" s="87"/>
      <c r="C12" s="103" t="s">
        <v>428</v>
      </c>
      <c r="D12" s="380">
        <v>37.5</v>
      </c>
      <c r="E12" s="381">
        <v>31.9</v>
      </c>
      <c r="F12" s="382">
        <v>41.2</v>
      </c>
      <c r="G12" s="381">
        <v>33.4</v>
      </c>
      <c r="H12" s="382">
        <v>29.9</v>
      </c>
      <c r="I12" s="381">
        <v>38.299999999999997</v>
      </c>
      <c r="K12" s="82">
        <f>$H$6/10000000</f>
        <v>9.5000000000000005E-6</v>
      </c>
      <c r="L12" s="82">
        <f t="shared" ref="L12:AG12" si="8">$K$12</f>
        <v>9.5000000000000005E-6</v>
      </c>
      <c r="M12" s="82">
        <f t="shared" si="8"/>
        <v>9.5000000000000005E-6</v>
      </c>
      <c r="N12" s="82">
        <f t="shared" si="8"/>
        <v>9.5000000000000005E-6</v>
      </c>
      <c r="O12" s="82">
        <f t="shared" si="8"/>
        <v>9.5000000000000005E-6</v>
      </c>
      <c r="P12" s="82">
        <f t="shared" si="8"/>
        <v>9.5000000000000005E-6</v>
      </c>
      <c r="Q12" s="82">
        <f t="shared" si="8"/>
        <v>9.5000000000000005E-6</v>
      </c>
      <c r="R12" s="82">
        <f t="shared" si="8"/>
        <v>9.5000000000000005E-6</v>
      </c>
      <c r="S12" s="82">
        <f t="shared" si="8"/>
        <v>9.5000000000000005E-6</v>
      </c>
      <c r="T12" s="82">
        <f t="shared" si="8"/>
        <v>9.5000000000000005E-6</v>
      </c>
      <c r="U12" s="82">
        <f t="shared" si="8"/>
        <v>9.5000000000000005E-6</v>
      </c>
      <c r="V12" s="82">
        <f t="shared" si="8"/>
        <v>9.5000000000000005E-6</v>
      </c>
      <c r="W12" s="82">
        <f t="shared" si="8"/>
        <v>9.5000000000000005E-6</v>
      </c>
      <c r="X12" s="82">
        <f t="shared" si="8"/>
        <v>9.5000000000000005E-6</v>
      </c>
      <c r="Y12" s="82">
        <f t="shared" si="8"/>
        <v>9.5000000000000005E-6</v>
      </c>
      <c r="Z12" s="82">
        <f t="shared" si="8"/>
        <v>9.5000000000000005E-6</v>
      </c>
      <c r="AA12" s="84">
        <f t="shared" si="8"/>
        <v>9.5000000000000005E-6</v>
      </c>
      <c r="AB12" s="84">
        <f t="shared" si="8"/>
        <v>9.5000000000000005E-6</v>
      </c>
      <c r="AC12" s="84">
        <f t="shared" si="8"/>
        <v>9.5000000000000005E-6</v>
      </c>
      <c r="AD12" s="84">
        <f t="shared" si="8"/>
        <v>9.5000000000000005E-6</v>
      </c>
      <c r="AE12" s="84">
        <f t="shared" si="8"/>
        <v>9.5000000000000005E-6</v>
      </c>
      <c r="AF12" s="84">
        <f t="shared" si="8"/>
        <v>9.5000000000000005E-6</v>
      </c>
      <c r="AG12" s="84">
        <f t="shared" si="8"/>
        <v>9.5000000000000005E-6</v>
      </c>
      <c r="AJ12" s="68"/>
      <c r="AQ12" s="68"/>
      <c r="AR12" s="68"/>
      <c r="AS12" s="68"/>
      <c r="AT12" s="68"/>
      <c r="AU12" s="68"/>
      <c r="AV12" s="68"/>
      <c r="AW12" s="68"/>
      <c r="AX12" s="68"/>
      <c r="AY12" s="68"/>
      <c r="AZ12" s="87"/>
      <c r="BA12" s="172">
        <v>1</v>
      </c>
      <c r="BB12" s="173">
        <v>6</v>
      </c>
      <c r="BC12" s="174">
        <v>6</v>
      </c>
      <c r="BD12" s="173"/>
      <c r="BE12" s="173"/>
      <c r="BF12" s="175"/>
      <c r="BG12" s="13"/>
      <c r="BH12" s="68"/>
      <c r="BI12" s="87"/>
      <c r="BJ12" s="172"/>
      <c r="BK12" s="173"/>
      <c r="BL12" s="174"/>
      <c r="BM12" s="173"/>
      <c r="BN12" s="173"/>
      <c r="BO12" s="175"/>
      <c r="BP12" s="13"/>
      <c r="BQ12" s="68"/>
      <c r="BR12" s="87"/>
      <c r="BS12" s="172"/>
      <c r="BT12" s="173"/>
      <c r="BU12" s="174"/>
      <c r="BV12" s="173"/>
      <c r="BW12" s="173"/>
      <c r="BX12" s="175"/>
      <c r="BY12" s="13"/>
      <c r="CX12" s="5" t="s">
        <v>1528</v>
      </c>
      <c r="CY12" s="5" t="str">
        <f>IF(DS3,"M3","  ")</f>
        <v>M3</v>
      </c>
      <c r="CZ12" s="58" t="s">
        <v>1538</v>
      </c>
      <c r="DA12" s="58" t="s">
        <v>1537</v>
      </c>
      <c r="DB12" s="58" t="s">
        <v>1184</v>
      </c>
      <c r="DC12" s="58" t="s">
        <v>600</v>
      </c>
      <c r="DD12" s="58" t="s">
        <v>1184</v>
      </c>
      <c r="DE12" s="58" t="s">
        <v>600</v>
      </c>
      <c r="DF12" s="76" t="s">
        <v>1280</v>
      </c>
      <c r="DG12" s="280" t="s">
        <v>600</v>
      </c>
      <c r="DH12" s="282" t="s">
        <v>600</v>
      </c>
      <c r="DJ12" s="5" t="s">
        <v>1534</v>
      </c>
      <c r="DK12" s="76" t="s">
        <v>1184</v>
      </c>
      <c r="DL12" s="76" t="s">
        <v>600</v>
      </c>
      <c r="DM12" s="76" t="s">
        <v>1280</v>
      </c>
      <c r="DO12" s="62" t="s">
        <v>1254</v>
      </c>
      <c r="DP12" s="5">
        <f>POWER(10,INT(LOG10(DP11)))</f>
        <v>10</v>
      </c>
      <c r="DR12" s="5">
        <f>IF(DO58="",NA(),DR15)</f>
        <v>8.6999999999999993</v>
      </c>
      <c r="DS12" s="5">
        <f>DS11</f>
        <v>35.849999999999994</v>
      </c>
      <c r="DU12" s="67">
        <v>8</v>
      </c>
      <c r="DV12" s="68">
        <v>9</v>
      </c>
      <c r="DW12" s="68">
        <v>13</v>
      </c>
      <c r="DX12" s="68">
        <v>11</v>
      </c>
      <c r="DY12" s="68">
        <v>19</v>
      </c>
      <c r="DZ12" s="91">
        <v>19</v>
      </c>
      <c r="FN12" s="53"/>
    </row>
    <row r="13" spans="1:175" ht="12.75" customHeight="1">
      <c r="A13" s="92"/>
      <c r="B13" s="87"/>
      <c r="C13" s="102" t="s">
        <v>430</v>
      </c>
      <c r="D13" s="244">
        <v>10</v>
      </c>
      <c r="E13" s="106">
        <v>13.5</v>
      </c>
      <c r="F13" s="107">
        <v>14.8</v>
      </c>
      <c r="G13" s="106">
        <v>10</v>
      </c>
      <c r="H13" s="107">
        <v>8.6999999999999993</v>
      </c>
      <c r="I13" s="106">
        <v>10</v>
      </c>
      <c r="J13" s="95"/>
      <c r="K13" s="83">
        <f t="shared" ref="K13:K46" si="9">$K$12</f>
        <v>9.5000000000000005E-6</v>
      </c>
      <c r="W13" s="84">
        <f t="shared" ref="W13:W46" si="10">$K$12</f>
        <v>9.5000000000000005E-6</v>
      </c>
      <c r="X13" s="84"/>
      <c r="AA13" s="84"/>
      <c r="AB13" s="68"/>
      <c r="AC13" s="68"/>
      <c r="AF13" s="68"/>
      <c r="AG13" s="84">
        <f t="shared" ref="AG13:AG46" si="11">$K$12</f>
        <v>9.5000000000000005E-6</v>
      </c>
      <c r="AJ13" s="68"/>
      <c r="AQ13" s="68"/>
      <c r="AR13" s="68"/>
      <c r="AS13" s="68"/>
      <c r="AT13" s="68"/>
      <c r="AU13" s="68"/>
      <c r="AV13" s="68"/>
      <c r="AW13" s="68"/>
      <c r="AX13" s="68"/>
      <c r="AY13" s="68"/>
      <c r="AZ13" s="87"/>
      <c r="BA13" s="172">
        <v>2.5</v>
      </c>
      <c r="BB13" s="173">
        <v>7</v>
      </c>
      <c r="BC13" s="174">
        <v>5</v>
      </c>
      <c r="BD13" s="173"/>
      <c r="BE13" s="173"/>
      <c r="BF13" s="175"/>
      <c r="BG13" s="13"/>
      <c r="BH13" s="68"/>
      <c r="BI13" s="87"/>
      <c r="BJ13" s="172"/>
      <c r="BK13" s="173"/>
      <c r="BL13" s="174"/>
      <c r="BM13" s="173"/>
      <c r="BN13" s="173"/>
      <c r="BO13" s="175"/>
      <c r="BP13" s="13"/>
      <c r="BQ13" s="68"/>
      <c r="BR13" s="87"/>
      <c r="BS13" s="172"/>
      <c r="BT13" s="173"/>
      <c r="BU13" s="174"/>
      <c r="BV13" s="173"/>
      <c r="BW13" s="173"/>
      <c r="BX13" s="175"/>
      <c r="BY13" s="13"/>
      <c r="CX13" s="5" t="s">
        <v>1529</v>
      </c>
      <c r="CY13" s="5" t="str">
        <f>IF(DS4,"M4","  ")</f>
        <v>M4</v>
      </c>
      <c r="CZ13" s="5">
        <f t="shared" ref="CZ13:CZ18" si="12">IF(ISNA(DE13),"",DE13-DF13)</f>
        <v>32.325193161817779</v>
      </c>
      <c r="DA13" s="5">
        <f t="shared" ref="DA13:DA18" si="13">IF(ISNA(DE13),"",DE13+DF13)</f>
        <v>42.674806838182221</v>
      </c>
      <c r="DB13" s="5">
        <v>1</v>
      </c>
      <c r="DC13" s="5" t="e">
        <f t="shared" ref="DC13:DC18" si="14">IF($DA$9,DE13,NA())</f>
        <v>#N/A</v>
      </c>
      <c r="DD13" s="62">
        <v>1</v>
      </c>
      <c r="DE13" s="5">
        <f>IF(DS1,D12,NA())</f>
        <v>37.5</v>
      </c>
      <c r="DF13" s="77">
        <f>IF(AND($DF$11,DS1),CZ41,NA())</f>
        <v>5.1748068381822243</v>
      </c>
      <c r="DG13" s="279" t="e">
        <f t="shared" ref="DG13:DG18" si="15">IF(AND(NOT($DA$9),DB2),DE13,NA())</f>
        <v>#N/A</v>
      </c>
      <c r="DH13" s="281">
        <f t="shared" ref="DH13:DH18" si="16">IF(AND(NOT($DA$9),DC2),DE13,NA())</f>
        <v>37.5</v>
      </c>
      <c r="DI13" s="5">
        <v>1</v>
      </c>
      <c r="DJ13" s="5" t="b">
        <f t="shared" ref="DJ13:DJ18" si="17">AND(ISNA(DC13),ISNA(DG13),ISNA(DH13))</f>
        <v>0</v>
      </c>
      <c r="DK13" s="77" t="e">
        <f t="shared" ref="DK13:DK18" si="18">IF(AND($DF$11,DJ13),DD13,NA())</f>
        <v>#N/A</v>
      </c>
      <c r="DL13" s="77" t="e">
        <f t="shared" ref="DL13:DL18" si="19">IF(AND($DF$11,DJ13),DE13,NA())</f>
        <v>#N/A</v>
      </c>
      <c r="DM13" s="77" t="e">
        <f t="shared" ref="DM13:DM18" si="20">IF(AND($DF$11,DJ13),DF13,NA())</f>
        <v>#N/A</v>
      </c>
      <c r="DO13" s="62" t="s">
        <v>1256</v>
      </c>
      <c r="DP13" s="5">
        <f>ROUNDUP(DP11/DP12,0)</f>
        <v>3</v>
      </c>
      <c r="DR13" s="5">
        <f>IF(DO58="",NA(),DH47)</f>
        <v>7</v>
      </c>
      <c r="DS13" s="5">
        <f>IF(DO58="",NA(),DN58)</f>
        <v>39.35</v>
      </c>
      <c r="DU13" s="67">
        <v>6</v>
      </c>
      <c r="DV13" s="68">
        <v>6</v>
      </c>
      <c r="DW13" s="68">
        <v>8</v>
      </c>
      <c r="DX13" s="68">
        <v>16</v>
      </c>
      <c r="DY13" s="68">
        <v>14</v>
      </c>
      <c r="DZ13" s="91">
        <v>14</v>
      </c>
    </row>
    <row r="14" spans="1:175" ht="12.75" customHeight="1">
      <c r="A14" s="92"/>
      <c r="B14" s="85"/>
      <c r="C14" s="104"/>
      <c r="D14" s="184"/>
      <c r="E14" s="184"/>
      <c r="F14" s="184"/>
      <c r="G14" s="184"/>
      <c r="H14" s="184"/>
      <c r="I14" s="758"/>
      <c r="K14" s="83">
        <f t="shared" si="9"/>
        <v>9.5000000000000005E-6</v>
      </c>
      <c r="W14" s="84">
        <f t="shared" si="10"/>
        <v>9.5000000000000005E-6</v>
      </c>
      <c r="AA14" s="84"/>
      <c r="AB14" s="68"/>
      <c r="AC14" s="68"/>
      <c r="AF14" s="68"/>
      <c r="AG14" s="84">
        <f t="shared" si="11"/>
        <v>9.5000000000000005E-6</v>
      </c>
      <c r="AJ14" s="68"/>
      <c r="AQ14" s="68"/>
      <c r="AR14" s="68"/>
      <c r="AS14" s="68"/>
      <c r="AT14" s="68"/>
      <c r="AU14" s="68"/>
      <c r="AV14" s="68"/>
      <c r="AW14" s="68"/>
      <c r="AX14" s="68"/>
      <c r="AY14" s="68"/>
      <c r="AZ14" s="87"/>
      <c r="BA14" s="172">
        <v>4.5</v>
      </c>
      <c r="BB14" s="173">
        <v>3</v>
      </c>
      <c r="BC14" s="174">
        <v>6</v>
      </c>
      <c r="BD14" s="173"/>
      <c r="BE14" s="173"/>
      <c r="BF14" s="175"/>
      <c r="BG14" s="13"/>
      <c r="BH14" s="68"/>
      <c r="BI14" s="87"/>
      <c r="BJ14" s="172"/>
      <c r="BK14" s="173"/>
      <c r="BL14" s="174"/>
      <c r="BM14" s="173"/>
      <c r="BN14" s="173"/>
      <c r="BO14" s="175"/>
      <c r="BP14" s="13"/>
      <c r="BQ14" s="68"/>
      <c r="BR14" s="87"/>
      <c r="BS14" s="172"/>
      <c r="BT14" s="173"/>
      <c r="BU14" s="174"/>
      <c r="BV14" s="173"/>
      <c r="BW14" s="173"/>
      <c r="BX14" s="175"/>
      <c r="BY14" s="13"/>
      <c r="CX14" s="5" t="s">
        <v>1530</v>
      </c>
      <c r="CY14" s="5" t="str">
        <f>IF(DS5,"M5","  ")</f>
        <v>M5</v>
      </c>
      <c r="CZ14" s="5">
        <f t="shared" si="12"/>
        <v>26.725193161817774</v>
      </c>
      <c r="DA14" s="5">
        <f t="shared" si="13"/>
        <v>37.074806838182226</v>
      </c>
      <c r="DB14" s="5">
        <v>2</v>
      </c>
      <c r="DC14" s="5" t="e">
        <f t="shared" si="14"/>
        <v>#N/A</v>
      </c>
      <c r="DD14" s="62">
        <v>2</v>
      </c>
      <c r="DE14" s="5">
        <f>IF(DS2,E12,NA())</f>
        <v>31.9</v>
      </c>
      <c r="DF14" s="77">
        <f>IF(AND($DF$11,DS2),DA41,NA())</f>
        <v>5.1748068381822243</v>
      </c>
      <c r="DG14" s="279" t="e">
        <f t="shared" si="15"/>
        <v>#N/A</v>
      </c>
      <c r="DH14" s="281" t="e">
        <f t="shared" si="16"/>
        <v>#N/A</v>
      </c>
      <c r="DI14" s="5">
        <v>2</v>
      </c>
      <c r="DJ14" s="5" t="b">
        <f t="shared" si="17"/>
        <v>1</v>
      </c>
      <c r="DK14" s="77">
        <f t="shared" si="18"/>
        <v>2</v>
      </c>
      <c r="DL14" s="77">
        <f t="shared" si="19"/>
        <v>31.9</v>
      </c>
      <c r="DM14" s="77">
        <f t="shared" si="20"/>
        <v>5.1748068381822243</v>
      </c>
      <c r="DO14" s="62" t="s">
        <v>1257</v>
      </c>
      <c r="DP14" s="5">
        <f>CHOOSE(DP13,10,5,5,2,2,2,2,1,1,1)</f>
        <v>5</v>
      </c>
      <c r="DR14" s="5">
        <f>IF(DO58="",NA(),DR15)</f>
        <v>8.6999999999999993</v>
      </c>
      <c r="DS14" s="5">
        <f>DS13</f>
        <v>39.35</v>
      </c>
      <c r="DU14" s="67">
        <v>8</v>
      </c>
      <c r="DV14" s="68">
        <v>6</v>
      </c>
      <c r="DW14" s="68">
        <v>6</v>
      </c>
      <c r="DX14" s="68">
        <v>11</v>
      </c>
      <c r="DY14" s="68">
        <v>5</v>
      </c>
      <c r="DZ14" s="91">
        <v>5</v>
      </c>
    </row>
    <row r="15" spans="1:175" ht="12.75" customHeight="1">
      <c r="A15" s="92"/>
      <c r="B15" s="364" t="s">
        <v>495</v>
      </c>
      <c r="C15" s="145"/>
      <c r="D15" s="146"/>
      <c r="E15" s="146"/>
      <c r="F15" s="146"/>
      <c r="G15" s="146"/>
      <c r="H15" s="146"/>
      <c r="I15" s="755"/>
      <c r="K15" s="83">
        <f t="shared" si="9"/>
        <v>9.5000000000000005E-6</v>
      </c>
      <c r="W15" s="84">
        <f t="shared" si="10"/>
        <v>9.5000000000000005E-6</v>
      </c>
      <c r="AA15" s="84"/>
      <c r="AB15" s="68"/>
      <c r="AC15" s="68"/>
      <c r="AF15" s="68"/>
      <c r="AG15" s="84">
        <f t="shared" si="11"/>
        <v>9.5000000000000005E-6</v>
      </c>
      <c r="AJ15" s="68"/>
      <c r="AQ15" s="68"/>
      <c r="AR15" s="68"/>
      <c r="AS15" s="68"/>
      <c r="AT15" s="68"/>
      <c r="AU15" s="68"/>
      <c r="AV15" s="68"/>
      <c r="AW15" s="68"/>
      <c r="AX15" s="68"/>
      <c r="AY15" s="68"/>
      <c r="AZ15" s="87"/>
      <c r="BA15" s="172">
        <v>1</v>
      </c>
      <c r="BB15" s="173">
        <v>7</v>
      </c>
      <c r="BC15" s="174">
        <v>3.5</v>
      </c>
      <c r="BD15" s="173"/>
      <c r="BE15" s="173"/>
      <c r="BF15" s="175"/>
      <c r="BG15" s="13"/>
      <c r="BH15" s="68"/>
      <c r="BI15" s="87"/>
      <c r="BJ15" s="172"/>
      <c r="BK15" s="173"/>
      <c r="BL15" s="174"/>
      <c r="BM15" s="173"/>
      <c r="BN15" s="173"/>
      <c r="BO15" s="175"/>
      <c r="BP15" s="13"/>
      <c r="BQ15" s="68"/>
      <c r="BR15" s="87"/>
      <c r="BS15" s="172"/>
      <c r="BT15" s="173"/>
      <c r="BU15" s="174"/>
      <c r="BV15" s="173"/>
      <c r="BW15" s="173"/>
      <c r="BX15" s="175"/>
      <c r="BY15" s="13"/>
      <c r="CX15" s="5" t="s">
        <v>1531</v>
      </c>
      <c r="CY15" s="5" t="str">
        <f>IF(DS6,"M6","  ")</f>
        <v>M6</v>
      </c>
      <c r="CZ15" s="5">
        <f t="shared" si="12"/>
        <v>36.025193161817782</v>
      </c>
      <c r="DA15" s="5">
        <f t="shared" si="13"/>
        <v>46.374806838182224</v>
      </c>
      <c r="DB15" s="5">
        <v>3</v>
      </c>
      <c r="DC15" s="5" t="e">
        <f t="shared" si="14"/>
        <v>#N/A</v>
      </c>
      <c r="DD15" s="5">
        <v>3</v>
      </c>
      <c r="DE15" s="5">
        <f>IF(DS3,F12,NA())</f>
        <v>41.2</v>
      </c>
      <c r="DF15" s="77">
        <f>IF(AND($DF$11,DS3),DB41,NA())</f>
        <v>5.1748068381822243</v>
      </c>
      <c r="DG15" s="279" t="e">
        <f t="shared" si="15"/>
        <v>#N/A</v>
      </c>
      <c r="DH15" s="281">
        <f t="shared" si="16"/>
        <v>41.2</v>
      </c>
      <c r="DI15" s="5">
        <v>3</v>
      </c>
      <c r="DJ15" s="5" t="b">
        <f t="shared" si="17"/>
        <v>0</v>
      </c>
      <c r="DK15" s="77" t="e">
        <f t="shared" si="18"/>
        <v>#N/A</v>
      </c>
      <c r="DL15" s="77" t="e">
        <f t="shared" si="19"/>
        <v>#N/A</v>
      </c>
      <c r="DM15" s="77" t="e">
        <f t="shared" si="20"/>
        <v>#N/A</v>
      </c>
      <c r="DO15" s="62" t="s">
        <v>1258</v>
      </c>
      <c r="DP15" s="5">
        <f>DP12/DP14</f>
        <v>2</v>
      </c>
      <c r="DQ15" s="5">
        <f>DP12/DP14</f>
        <v>2</v>
      </c>
      <c r="DR15" s="163">
        <v>8.6999999999999993</v>
      </c>
      <c r="DU15" s="67">
        <v>10</v>
      </c>
      <c r="DV15" s="68">
        <v>6</v>
      </c>
      <c r="DW15" s="68">
        <v>14</v>
      </c>
      <c r="DX15" s="68">
        <v>9</v>
      </c>
      <c r="DY15" s="68">
        <v>10</v>
      </c>
      <c r="DZ15" s="91">
        <v>10</v>
      </c>
    </row>
    <row r="16" spans="1:175" ht="12.75" customHeight="1">
      <c r="A16" s="92"/>
      <c r="B16" s="428"/>
      <c r="C16" s="736" t="s">
        <v>965</v>
      </c>
      <c r="D16" s="182">
        <f t="shared" ref="D16:I19" si="21">IF(AND($DF$11,CZ41&lt;&gt;""),CZ41,"")</f>
        <v>5.1748068381822243</v>
      </c>
      <c r="E16" s="189">
        <f t="shared" si="21"/>
        <v>5.1748068381822243</v>
      </c>
      <c r="F16" s="182">
        <f t="shared" si="21"/>
        <v>5.1748068381822243</v>
      </c>
      <c r="G16" s="189">
        <f t="shared" si="21"/>
        <v>5.1748068381822243</v>
      </c>
      <c r="H16" s="182">
        <f t="shared" si="21"/>
        <v>5.1748068381822243</v>
      </c>
      <c r="I16" s="189">
        <f t="shared" si="21"/>
        <v>5.1748068381822243</v>
      </c>
      <c r="J16" s="144"/>
      <c r="K16" s="199">
        <f t="shared" si="9"/>
        <v>9.5000000000000005E-6</v>
      </c>
      <c r="L16" s="95"/>
      <c r="W16" s="84">
        <f t="shared" si="10"/>
        <v>9.5000000000000005E-6</v>
      </c>
      <c r="AA16" s="84"/>
      <c r="AB16" s="68"/>
      <c r="AC16" s="68"/>
      <c r="AF16" s="68"/>
      <c r="AG16" s="84">
        <f t="shared" si="11"/>
        <v>9.5000000000000005E-6</v>
      </c>
      <c r="AJ16" s="68"/>
      <c r="AQ16" s="68"/>
      <c r="AR16" s="68"/>
      <c r="AS16" s="68"/>
      <c r="AT16" s="68"/>
      <c r="AU16" s="68"/>
      <c r="AV16" s="68"/>
      <c r="AW16" s="68"/>
      <c r="AX16" s="68"/>
      <c r="AY16" s="68"/>
      <c r="AZ16" s="87"/>
      <c r="BA16" s="172">
        <v>3.5</v>
      </c>
      <c r="BB16" s="173">
        <v>3.5</v>
      </c>
      <c r="BC16" s="174">
        <v>4</v>
      </c>
      <c r="BD16" s="173"/>
      <c r="BE16" s="173"/>
      <c r="BF16" s="175"/>
      <c r="BG16" s="13"/>
      <c r="BH16" s="68"/>
      <c r="BI16" s="87"/>
      <c r="BJ16" s="172"/>
      <c r="BK16" s="173"/>
      <c r="BL16" s="174"/>
      <c r="BM16" s="173"/>
      <c r="BN16" s="173"/>
      <c r="BO16" s="175"/>
      <c r="BP16" s="13"/>
      <c r="BQ16" s="68"/>
      <c r="BR16" s="87"/>
      <c r="BS16" s="172"/>
      <c r="BT16" s="173"/>
      <c r="BU16" s="174"/>
      <c r="BV16" s="173"/>
      <c r="BW16" s="173"/>
      <c r="BX16" s="175"/>
      <c r="BY16" s="13"/>
      <c r="CZ16" s="5">
        <f t="shared" si="12"/>
        <v>28.225193161817774</v>
      </c>
      <c r="DA16" s="5">
        <f t="shared" si="13"/>
        <v>38.574806838182226</v>
      </c>
      <c r="DB16" s="5">
        <v>4</v>
      </c>
      <c r="DC16" s="5" t="e">
        <f t="shared" si="14"/>
        <v>#N/A</v>
      </c>
      <c r="DD16" s="5">
        <v>4</v>
      </c>
      <c r="DE16" s="5">
        <f>IF(DS4,G12,NA())</f>
        <v>33.4</v>
      </c>
      <c r="DF16" s="77">
        <f>IF(AND($DF$11,DS4),DC41,NA())</f>
        <v>5.1748068381822243</v>
      </c>
      <c r="DG16" s="279">
        <f t="shared" si="15"/>
        <v>33.4</v>
      </c>
      <c r="DH16" s="281" t="e">
        <f t="shared" si="16"/>
        <v>#N/A</v>
      </c>
      <c r="DI16" s="5">
        <v>4</v>
      </c>
      <c r="DJ16" s="5" t="b">
        <f t="shared" si="17"/>
        <v>0</v>
      </c>
      <c r="DK16" s="77" t="e">
        <f t="shared" si="18"/>
        <v>#N/A</v>
      </c>
      <c r="DL16" s="77" t="e">
        <f t="shared" si="19"/>
        <v>#N/A</v>
      </c>
      <c r="DM16" s="77" t="e">
        <f t="shared" si="20"/>
        <v>#N/A</v>
      </c>
      <c r="DO16" s="62" t="s">
        <v>1259</v>
      </c>
      <c r="DP16" s="5" t="s">
        <v>1261</v>
      </c>
      <c r="DQ16" s="58" t="s">
        <v>1262</v>
      </c>
      <c r="DR16" s="58" t="s">
        <v>1184</v>
      </c>
      <c r="DS16" s="58" t="s">
        <v>1263</v>
      </c>
      <c r="DT16" s="58" t="s">
        <v>1264</v>
      </c>
      <c r="DU16" s="67">
        <v>4</v>
      </c>
      <c r="DV16" s="68">
        <v>11</v>
      </c>
      <c r="DW16" s="68">
        <v>11</v>
      </c>
      <c r="DX16" s="68">
        <v>23</v>
      </c>
      <c r="DY16" s="68">
        <v>11</v>
      </c>
      <c r="DZ16" s="91">
        <v>11</v>
      </c>
    </row>
    <row r="17" spans="1:256" ht="11.25" customHeight="1">
      <c r="A17" s="92"/>
      <c r="B17" s="428"/>
      <c r="C17" s="736" t="s">
        <v>1549</v>
      </c>
      <c r="D17" s="190">
        <f t="shared" si="21"/>
        <v>42.674806838182221</v>
      </c>
      <c r="E17" s="191">
        <f t="shared" si="21"/>
        <v>37.074806838182226</v>
      </c>
      <c r="F17" s="19">
        <f t="shared" si="21"/>
        <v>46.374806838182224</v>
      </c>
      <c r="G17" s="191">
        <f t="shared" si="21"/>
        <v>38.574806838182226</v>
      </c>
      <c r="H17" s="19">
        <f t="shared" si="21"/>
        <v>35.074806838182226</v>
      </c>
      <c r="I17" s="191">
        <f t="shared" si="21"/>
        <v>43.474806838182218</v>
      </c>
      <c r="K17" s="83">
        <f t="shared" si="9"/>
        <v>9.5000000000000005E-6</v>
      </c>
      <c r="W17" s="84">
        <f t="shared" si="10"/>
        <v>9.5000000000000005E-6</v>
      </c>
      <c r="AA17" s="84"/>
      <c r="AB17" s="68"/>
      <c r="AC17" s="68"/>
      <c r="AF17" s="68"/>
      <c r="AG17" s="84">
        <f t="shared" si="11"/>
        <v>9.5000000000000005E-6</v>
      </c>
      <c r="AJ17" s="68"/>
      <c r="AQ17" s="68"/>
      <c r="AR17" s="68"/>
      <c r="AS17" s="68"/>
      <c r="AT17" s="68"/>
      <c r="AU17" s="68"/>
      <c r="AV17" s="68"/>
      <c r="AW17" s="68"/>
      <c r="AX17" s="68"/>
      <c r="AY17" s="68"/>
      <c r="AZ17" s="87"/>
      <c r="BA17" s="172">
        <v>1.5</v>
      </c>
      <c r="BB17" s="173">
        <v>5</v>
      </c>
      <c r="BC17" s="174">
        <v>3</v>
      </c>
      <c r="BD17" s="173"/>
      <c r="BE17" s="173"/>
      <c r="BF17" s="175"/>
      <c r="BG17" s="13"/>
      <c r="BI17" s="87"/>
      <c r="BJ17" s="172"/>
      <c r="BK17" s="173"/>
      <c r="BL17" s="174"/>
      <c r="BM17" s="173"/>
      <c r="BN17" s="173"/>
      <c r="BO17" s="175"/>
      <c r="BP17" s="13"/>
      <c r="BR17" s="87"/>
      <c r="BS17" s="172"/>
      <c r="BT17" s="173"/>
      <c r="BU17" s="174"/>
      <c r="BV17" s="173"/>
      <c r="BW17" s="173"/>
      <c r="BX17" s="175"/>
      <c r="BY17" s="13"/>
      <c r="CZ17" s="5">
        <f t="shared" si="12"/>
        <v>24.725193161817774</v>
      </c>
      <c r="DA17" s="5">
        <f t="shared" si="13"/>
        <v>35.074806838182226</v>
      </c>
      <c r="DB17" s="5">
        <v>5</v>
      </c>
      <c r="DC17" s="5" t="e">
        <f t="shared" si="14"/>
        <v>#N/A</v>
      </c>
      <c r="DD17" s="5">
        <v>5</v>
      </c>
      <c r="DE17" s="5">
        <f>IF(DS5,H12,NA())</f>
        <v>29.9</v>
      </c>
      <c r="DF17" s="77">
        <f>IF(AND($DF$11,DS5),DD41,NA())</f>
        <v>5.1748068381822243</v>
      </c>
      <c r="DG17" s="279" t="e">
        <f t="shared" si="15"/>
        <v>#N/A</v>
      </c>
      <c r="DH17" s="281" t="e">
        <f t="shared" si="16"/>
        <v>#N/A</v>
      </c>
      <c r="DI17" s="5">
        <v>5</v>
      </c>
      <c r="DJ17" s="5" t="b">
        <f t="shared" si="17"/>
        <v>1</v>
      </c>
      <c r="DK17" s="77">
        <f t="shared" si="18"/>
        <v>5</v>
      </c>
      <c r="DL17" s="77">
        <f t="shared" si="19"/>
        <v>29.9</v>
      </c>
      <c r="DM17" s="77">
        <f t="shared" si="20"/>
        <v>5.1748068381822243</v>
      </c>
      <c r="DO17" s="62">
        <v>10</v>
      </c>
      <c r="DP17" s="5">
        <f t="shared" ref="DP17:DP37" si="22">IF($DO$58="","",$DP$15*DO17)</f>
        <v>20</v>
      </c>
      <c r="DQ17" s="5">
        <f t="shared" ref="DQ17:DQ37" si="23">IF($DO$58="",NA(),$DI$58+$DP$15*DO17)</f>
        <v>55.849999999999994</v>
      </c>
      <c r="DR17" s="5">
        <f t="shared" ref="DR17:DR37" si="24">IF($DO$58&lt;&gt;"",$DR$15,NA())</f>
        <v>8.6999999999999993</v>
      </c>
      <c r="DS17" s="5" t="e">
        <f t="shared" ref="DS17:DS37" si="25">IF(AND(DQ17&lt;=$DD$21,DQ17&gt;=$DD$22),DQ17,NA())</f>
        <v>#N/A</v>
      </c>
      <c r="DT17" s="5">
        <f t="shared" ref="DT17:DT37" si="26">DQ17</f>
        <v>55.849999999999994</v>
      </c>
      <c r="DU17" s="67">
        <v>6</v>
      </c>
      <c r="DV17" s="68">
        <v>6</v>
      </c>
      <c r="DW17" s="68">
        <v>13</v>
      </c>
      <c r="DX17" s="68">
        <v>12</v>
      </c>
      <c r="DY17" s="68">
        <v>14</v>
      </c>
      <c r="DZ17" s="91">
        <v>14</v>
      </c>
      <c r="FS17" s="54"/>
      <c r="FT17" s="54"/>
      <c r="FU17" s="54"/>
      <c r="FV17" s="54"/>
      <c r="FW17" s="54"/>
      <c r="FX17" s="54"/>
      <c r="FY17" s="54"/>
      <c r="FZ17" s="54"/>
      <c r="GA17" s="54"/>
      <c r="GB17" s="54"/>
      <c r="GC17" s="54"/>
      <c r="GD17" s="54"/>
      <c r="GE17" s="54"/>
      <c r="GF17" s="54"/>
      <c r="GG17" s="54"/>
      <c r="GH17" s="54"/>
      <c r="GI17" s="54"/>
      <c r="GJ17" s="54"/>
      <c r="GK17" s="54"/>
      <c r="GL17" s="54"/>
      <c r="GM17" s="54"/>
      <c r="GN17" s="54"/>
      <c r="GO17" s="54"/>
      <c r="GP17" s="54"/>
      <c r="GQ17" s="54"/>
      <c r="GR17" s="54"/>
      <c r="GS17" s="54"/>
      <c r="GT17" s="54"/>
      <c r="GU17" s="54"/>
      <c r="GV17" s="54"/>
      <c r="GW17" s="54"/>
      <c r="GX17" s="54"/>
      <c r="GY17" s="54"/>
      <c r="GZ17" s="54"/>
      <c r="HA17" s="54"/>
      <c r="HB17" s="54"/>
      <c r="HC17" s="54"/>
      <c r="HD17" s="54"/>
      <c r="HE17" s="54"/>
      <c r="HF17" s="54"/>
      <c r="HG17" s="54"/>
      <c r="HH17" s="54"/>
      <c r="HI17" s="54"/>
      <c r="HJ17" s="54"/>
      <c r="HK17" s="54"/>
      <c r="HL17" s="54"/>
      <c r="HM17" s="54"/>
      <c r="HN17" s="54"/>
      <c r="HO17" s="54"/>
      <c r="HP17" s="54"/>
      <c r="HQ17" s="54"/>
      <c r="HR17" s="54"/>
      <c r="HS17" s="54"/>
      <c r="HT17" s="54"/>
      <c r="HU17" s="54"/>
      <c r="HV17" s="54"/>
      <c r="HW17" s="54"/>
      <c r="HX17" s="54"/>
      <c r="HY17" s="54"/>
      <c r="HZ17" s="54"/>
      <c r="IA17" s="54"/>
      <c r="IB17" s="54"/>
      <c r="IC17" s="54"/>
      <c r="ID17" s="54"/>
      <c r="IE17" s="54"/>
      <c r="IF17" s="54"/>
      <c r="IG17" s="54"/>
      <c r="IH17" s="54"/>
      <c r="II17" s="54"/>
      <c r="IJ17" s="54"/>
      <c r="IK17" s="54"/>
      <c r="IL17" s="54"/>
      <c r="IM17" s="54"/>
      <c r="IN17" s="54"/>
      <c r="IO17" s="54"/>
      <c r="IP17" s="54"/>
      <c r="IQ17" s="54"/>
      <c r="IR17" s="54"/>
      <c r="IS17" s="54"/>
      <c r="IT17" s="54"/>
      <c r="IU17" s="54"/>
      <c r="IV17" s="54"/>
    </row>
    <row r="18" spans="1:256" ht="11.25" customHeight="1">
      <c r="A18" s="92"/>
      <c r="B18" s="428"/>
      <c r="C18" s="736" t="s">
        <v>1550</v>
      </c>
      <c r="D18" s="192">
        <f t="shared" si="21"/>
        <v>32.325193161817779</v>
      </c>
      <c r="E18" s="193">
        <f t="shared" si="21"/>
        <v>26.725193161817774</v>
      </c>
      <c r="F18" s="194">
        <f t="shared" si="21"/>
        <v>36.025193161817782</v>
      </c>
      <c r="G18" s="193">
        <f t="shared" si="21"/>
        <v>28.225193161817774</v>
      </c>
      <c r="H18" s="194">
        <f t="shared" si="21"/>
        <v>24.725193161817774</v>
      </c>
      <c r="I18" s="193">
        <f t="shared" si="21"/>
        <v>33.125193161817776</v>
      </c>
      <c r="K18" s="82">
        <f t="shared" si="9"/>
        <v>9.5000000000000005E-6</v>
      </c>
      <c r="W18" s="84">
        <f t="shared" si="10"/>
        <v>9.5000000000000005E-6</v>
      </c>
      <c r="AA18" s="84"/>
      <c r="AB18" s="68"/>
      <c r="AC18" s="68"/>
      <c r="AF18" s="68"/>
      <c r="AG18" s="84">
        <f t="shared" si="11"/>
        <v>9.5000000000000005E-6</v>
      </c>
      <c r="AZ18" s="87"/>
      <c r="BA18" s="172">
        <v>5.5</v>
      </c>
      <c r="BB18" s="173">
        <v>4.5</v>
      </c>
      <c r="BC18" s="174">
        <v>5.5</v>
      </c>
      <c r="BD18" s="173"/>
      <c r="BE18" s="173"/>
      <c r="BF18" s="175"/>
      <c r="BG18" s="13"/>
      <c r="BI18" s="87"/>
      <c r="BJ18" s="172"/>
      <c r="BK18" s="173"/>
      <c r="BL18" s="174"/>
      <c r="BM18" s="173"/>
      <c r="BN18" s="173"/>
      <c r="BO18" s="175"/>
      <c r="BP18" s="13"/>
      <c r="BR18" s="87"/>
      <c r="BS18" s="172"/>
      <c r="BT18" s="173"/>
      <c r="BU18" s="174"/>
      <c r="BV18" s="173"/>
      <c r="BW18" s="173"/>
      <c r="BX18" s="175"/>
      <c r="BY18" s="13"/>
      <c r="CZ18" s="5">
        <f t="shared" si="12"/>
        <v>33.125193161817776</v>
      </c>
      <c r="DA18" s="5">
        <f t="shared" si="13"/>
        <v>43.474806838182218</v>
      </c>
      <c r="DB18" s="5">
        <v>6</v>
      </c>
      <c r="DC18" s="5" t="e">
        <f t="shared" si="14"/>
        <v>#N/A</v>
      </c>
      <c r="DD18" s="5">
        <v>6</v>
      </c>
      <c r="DE18" s="5">
        <f>IF(DS6,I12,NA())</f>
        <v>38.299999999999997</v>
      </c>
      <c r="DF18" s="77">
        <f>IF(AND($DF$11,DS6),DE41,NA())</f>
        <v>5.1748068381822243</v>
      </c>
      <c r="DG18" s="279">
        <f t="shared" si="15"/>
        <v>38.299999999999997</v>
      </c>
      <c r="DH18" s="281" t="e">
        <f t="shared" si="16"/>
        <v>#N/A</v>
      </c>
      <c r="DI18" s="5">
        <v>6</v>
      </c>
      <c r="DJ18" s="5" t="b">
        <f t="shared" si="17"/>
        <v>0</v>
      </c>
      <c r="DK18" s="77" t="e">
        <f t="shared" si="18"/>
        <v>#N/A</v>
      </c>
      <c r="DL18" s="77" t="e">
        <f t="shared" si="19"/>
        <v>#N/A</v>
      </c>
      <c r="DM18" s="77" t="e">
        <f t="shared" si="20"/>
        <v>#N/A</v>
      </c>
      <c r="DO18" s="62">
        <v>9</v>
      </c>
      <c r="DP18" s="5">
        <f t="shared" si="22"/>
        <v>18</v>
      </c>
      <c r="DQ18" s="5">
        <f t="shared" si="23"/>
        <v>53.849999999999994</v>
      </c>
      <c r="DR18" s="5">
        <f t="shared" si="24"/>
        <v>8.6999999999999993</v>
      </c>
      <c r="DS18" s="5" t="e">
        <f t="shared" si="25"/>
        <v>#N/A</v>
      </c>
      <c r="DT18" s="5">
        <f t="shared" si="26"/>
        <v>53.849999999999994</v>
      </c>
      <c r="DU18" s="67">
        <v>5</v>
      </c>
      <c r="DV18" s="68">
        <v>3</v>
      </c>
      <c r="DW18" s="68">
        <v>13</v>
      </c>
      <c r="DX18" s="68">
        <v>10</v>
      </c>
      <c r="DY18" s="68">
        <v>15</v>
      </c>
      <c r="DZ18" s="91">
        <v>15</v>
      </c>
      <c r="FN18" s="53"/>
      <c r="FP18" s="49"/>
      <c r="FQ18" s="49"/>
      <c r="FR18" s="56"/>
      <c r="FS18" s="54"/>
      <c r="FT18" s="54"/>
      <c r="FU18" s="59"/>
      <c r="FV18" s="59"/>
      <c r="FW18" s="59"/>
      <c r="FX18" s="59"/>
      <c r="FY18" s="59"/>
      <c r="FZ18" s="59"/>
      <c r="GA18" s="59"/>
      <c r="GB18" s="59"/>
      <c r="GC18" s="59"/>
      <c r="GD18" s="59"/>
      <c r="GE18" s="59"/>
      <c r="GF18" s="59"/>
      <c r="GG18" s="59"/>
      <c r="GH18" s="59"/>
      <c r="GI18" s="59"/>
      <c r="GJ18" s="59"/>
      <c r="GK18" s="59"/>
      <c r="GL18" s="59"/>
      <c r="GM18" s="59"/>
      <c r="GN18" s="59"/>
      <c r="GO18" s="59"/>
      <c r="GP18" s="59"/>
      <c r="GQ18" s="59"/>
      <c r="GR18" s="59"/>
      <c r="GS18" s="59"/>
      <c r="GT18" s="59"/>
      <c r="GU18" s="59"/>
      <c r="GV18" s="59"/>
      <c r="GW18" s="59"/>
      <c r="GX18" s="59"/>
      <c r="GY18" s="59"/>
      <c r="GZ18" s="59"/>
      <c r="HA18" s="59"/>
      <c r="HB18" s="59"/>
      <c r="HC18" s="59"/>
      <c r="HD18" s="59"/>
      <c r="HE18" s="59"/>
      <c r="HF18" s="59"/>
      <c r="HG18" s="59"/>
      <c r="HH18" s="59"/>
      <c r="HI18" s="59"/>
      <c r="HJ18" s="59"/>
      <c r="HK18" s="59"/>
      <c r="HL18" s="59"/>
      <c r="HM18" s="59"/>
      <c r="HN18" s="59"/>
      <c r="HO18" s="59"/>
      <c r="HP18" s="59"/>
      <c r="HQ18" s="59"/>
      <c r="HR18" s="59"/>
      <c r="HS18" s="59"/>
      <c r="HT18" s="59"/>
      <c r="HU18" s="59"/>
      <c r="HV18" s="59"/>
      <c r="HW18" s="59"/>
      <c r="HX18" s="59"/>
      <c r="HY18" s="59"/>
      <c r="HZ18" s="59"/>
      <c r="IA18" s="59"/>
      <c r="IB18" s="59"/>
      <c r="IC18" s="59"/>
      <c r="ID18" s="59"/>
      <c r="IE18" s="59"/>
      <c r="IF18" s="59"/>
      <c r="IG18" s="59"/>
      <c r="IH18" s="59"/>
      <c r="II18" s="59"/>
      <c r="IJ18" s="59"/>
      <c r="IK18" s="59"/>
      <c r="IL18" s="59"/>
      <c r="IM18" s="59"/>
      <c r="IN18" s="59"/>
      <c r="IO18" s="59"/>
      <c r="IP18" s="59"/>
      <c r="IQ18" s="59"/>
      <c r="IR18" s="59"/>
      <c r="IS18" s="59"/>
      <c r="IT18" s="59"/>
      <c r="IU18" s="59"/>
      <c r="IV18" s="59"/>
    </row>
    <row r="19" spans="1:256" ht="11.25" customHeight="1">
      <c r="A19" s="92"/>
      <c r="B19" s="428"/>
      <c r="C19" s="737" t="s">
        <v>1547</v>
      </c>
      <c r="D19" s="235">
        <f t="shared" si="21"/>
        <v>108</v>
      </c>
      <c r="E19" s="234">
        <f t="shared" si="21"/>
        <v>108</v>
      </c>
      <c r="F19" s="235">
        <f t="shared" si="21"/>
        <v>108</v>
      </c>
      <c r="G19" s="234">
        <f t="shared" si="21"/>
        <v>108</v>
      </c>
      <c r="H19" s="235">
        <f t="shared" si="21"/>
        <v>108</v>
      </c>
      <c r="I19" s="191">
        <f t="shared" si="21"/>
        <v>108</v>
      </c>
      <c r="K19" s="82">
        <f t="shared" si="9"/>
        <v>9.5000000000000005E-6</v>
      </c>
      <c r="W19" s="84">
        <f t="shared" si="10"/>
        <v>9.5000000000000005E-6</v>
      </c>
      <c r="AA19" s="84"/>
      <c r="AB19" s="68"/>
      <c r="AC19" s="68"/>
      <c r="AF19" s="68"/>
      <c r="AG19" s="84">
        <f t="shared" si="11"/>
        <v>9.5000000000000005E-6</v>
      </c>
      <c r="AZ19" s="87"/>
      <c r="BA19" s="172">
        <v>6</v>
      </c>
      <c r="BB19" s="173">
        <v>5.5</v>
      </c>
      <c r="BC19" s="174">
        <v>3</v>
      </c>
      <c r="BD19" s="173"/>
      <c r="BE19" s="173"/>
      <c r="BF19" s="175"/>
      <c r="BG19" s="13"/>
      <c r="BI19" s="87"/>
      <c r="BJ19" s="172"/>
      <c r="BK19" s="173"/>
      <c r="BL19" s="174"/>
      <c r="BM19" s="173"/>
      <c r="BN19" s="173"/>
      <c r="BO19" s="175"/>
      <c r="BP19" s="13"/>
      <c r="BR19" s="87"/>
      <c r="BS19" s="172"/>
      <c r="BT19" s="173"/>
      <c r="BU19" s="174"/>
      <c r="BV19" s="173"/>
      <c r="BW19" s="173"/>
      <c r="BX19" s="175"/>
      <c r="BY19" s="13"/>
      <c r="CY19" s="62" t="s">
        <v>464</v>
      </c>
      <c r="CZ19" s="5">
        <f>IF(DO58="","",DN58-DO64)</f>
        <v>34.175193161817774</v>
      </c>
      <c r="DA19" s="5">
        <f>IF(DO58="","",DN58+DO64)</f>
        <v>44.524806838182229</v>
      </c>
      <c r="DO19" s="62">
        <v>8</v>
      </c>
      <c r="DP19" s="5">
        <f t="shared" si="22"/>
        <v>16</v>
      </c>
      <c r="DQ19" s="5">
        <f t="shared" si="23"/>
        <v>51.849999999999994</v>
      </c>
      <c r="DR19" s="5">
        <f t="shared" si="24"/>
        <v>8.6999999999999993</v>
      </c>
      <c r="DS19" s="5" t="e">
        <f t="shared" si="25"/>
        <v>#N/A</v>
      </c>
      <c r="DT19" s="5">
        <f t="shared" si="26"/>
        <v>51.849999999999994</v>
      </c>
      <c r="DU19" s="67">
        <v>7</v>
      </c>
      <c r="DV19" s="68">
        <v>8</v>
      </c>
      <c r="DW19" s="68">
        <v>10</v>
      </c>
      <c r="DX19" s="68">
        <v>19</v>
      </c>
      <c r="DY19" s="68">
        <v>11</v>
      </c>
      <c r="DZ19" s="91">
        <v>11</v>
      </c>
      <c r="FN19" s="53"/>
      <c r="FO19" s="60"/>
      <c r="FP19" s="51"/>
      <c r="FS19" s="48"/>
      <c r="FT19" s="48"/>
      <c r="FU19" s="48"/>
      <c r="FV19" s="48"/>
      <c r="FW19" s="48"/>
      <c r="FX19" s="48"/>
      <c r="FY19" s="48"/>
      <c r="FZ19" s="48"/>
      <c r="GA19" s="48"/>
      <c r="GB19" s="48"/>
      <c r="GC19" s="48"/>
      <c r="GD19" s="48"/>
      <c r="GE19" s="48"/>
      <c r="GF19" s="48"/>
      <c r="GG19" s="48"/>
      <c r="GH19" s="48"/>
      <c r="GI19" s="48"/>
      <c r="GJ19" s="48"/>
      <c r="GK19" s="48"/>
      <c r="GL19" s="48"/>
      <c r="GM19" s="48"/>
      <c r="GN19" s="48"/>
      <c r="GO19" s="48"/>
      <c r="GP19" s="48"/>
      <c r="GQ19" s="48"/>
      <c r="GR19" s="48"/>
      <c r="GS19" s="48"/>
      <c r="GT19" s="48"/>
      <c r="GU19" s="48"/>
      <c r="GV19" s="48"/>
      <c r="GW19" s="48"/>
      <c r="GX19" s="48"/>
      <c r="GY19" s="48"/>
      <c r="GZ19" s="48"/>
      <c r="HA19" s="48"/>
      <c r="HB19" s="48"/>
      <c r="HC19" s="48"/>
      <c r="HD19" s="48"/>
      <c r="HE19" s="48"/>
      <c r="HF19" s="48"/>
      <c r="HG19" s="48"/>
      <c r="HH19" s="48"/>
      <c r="HI19" s="48"/>
      <c r="HJ19" s="48"/>
      <c r="HK19" s="48"/>
      <c r="HL19" s="48"/>
      <c r="HM19" s="48"/>
      <c r="HN19" s="48"/>
      <c r="HO19" s="48"/>
      <c r="HP19" s="48"/>
      <c r="HQ19" s="48"/>
      <c r="HR19" s="48"/>
      <c r="HS19" s="48"/>
      <c r="HT19" s="48"/>
      <c r="HU19" s="48"/>
      <c r="HV19" s="48"/>
      <c r="HW19" s="48"/>
      <c r="HX19" s="48"/>
      <c r="HY19" s="48"/>
      <c r="HZ19" s="48"/>
      <c r="IA19" s="48"/>
      <c r="IB19" s="48"/>
      <c r="IC19" s="48"/>
      <c r="ID19" s="48"/>
      <c r="IE19" s="48"/>
      <c r="IF19" s="48"/>
      <c r="IG19" s="48"/>
      <c r="IH19" s="48"/>
      <c r="II19" s="48"/>
      <c r="IJ19" s="48"/>
      <c r="IK19" s="48"/>
      <c r="IL19" s="48"/>
      <c r="IM19" s="48"/>
      <c r="IN19" s="48"/>
      <c r="IO19" s="48"/>
      <c r="IP19" s="48"/>
      <c r="IQ19" s="48"/>
      <c r="IR19" s="48"/>
      <c r="IS19" s="48"/>
      <c r="IT19" s="48"/>
      <c r="IU19" s="48"/>
      <c r="IV19" s="48"/>
    </row>
    <row r="20" spans="1:256" ht="11.25" customHeight="1">
      <c r="A20" s="92"/>
      <c r="B20" s="148"/>
      <c r="C20" s="149"/>
      <c r="D20" s="147"/>
      <c r="E20" s="147"/>
      <c r="F20" s="147"/>
      <c r="G20" s="147"/>
      <c r="H20" s="147"/>
      <c r="I20" s="756"/>
      <c r="K20" s="82">
        <f t="shared" si="9"/>
        <v>9.5000000000000005E-6</v>
      </c>
      <c r="W20" s="84">
        <f t="shared" si="10"/>
        <v>9.5000000000000005E-6</v>
      </c>
      <c r="AA20" s="84"/>
      <c r="AB20" s="68"/>
      <c r="AC20" s="68"/>
      <c r="AF20" s="68"/>
      <c r="AG20" s="84">
        <f t="shared" si="11"/>
        <v>9.5000000000000005E-6</v>
      </c>
      <c r="AZ20" s="87"/>
      <c r="BA20" s="172">
        <v>1.5</v>
      </c>
      <c r="BB20" s="173">
        <v>6.5</v>
      </c>
      <c r="BC20" s="174">
        <v>6</v>
      </c>
      <c r="BD20" s="173"/>
      <c r="BE20" s="173"/>
      <c r="BF20" s="175"/>
      <c r="BG20" s="13"/>
      <c r="BI20" s="87"/>
      <c r="BJ20" s="172"/>
      <c r="BK20" s="173"/>
      <c r="BL20" s="174"/>
      <c r="BM20" s="173"/>
      <c r="BN20" s="173"/>
      <c r="BO20" s="175"/>
      <c r="BP20" s="13"/>
      <c r="BR20" s="87"/>
      <c r="BS20" s="172"/>
      <c r="BT20" s="173"/>
      <c r="BU20" s="174"/>
      <c r="BV20" s="173"/>
      <c r="BW20" s="173"/>
      <c r="BX20" s="175"/>
      <c r="BY20" s="13"/>
      <c r="CY20" s="109" t="s">
        <v>1272</v>
      </c>
      <c r="DA20" s="5">
        <f>IF(DL6,MAX(DA13:DA18),1)</f>
        <v>46.374806838182224</v>
      </c>
      <c r="DB20" s="68" t="s">
        <v>1246</v>
      </c>
      <c r="DF20" s="5" t="s">
        <v>386</v>
      </c>
      <c r="DJ20" s="68"/>
      <c r="DK20" s="19"/>
      <c r="DL20" s="74"/>
      <c r="DO20" s="62">
        <v>7</v>
      </c>
      <c r="DP20" s="5">
        <f t="shared" si="22"/>
        <v>14</v>
      </c>
      <c r="DQ20" s="5">
        <f t="shared" si="23"/>
        <v>49.849999999999994</v>
      </c>
      <c r="DR20" s="5">
        <f t="shared" si="24"/>
        <v>8.6999999999999993</v>
      </c>
      <c r="DS20" s="5" t="e">
        <f t="shared" si="25"/>
        <v>#N/A</v>
      </c>
      <c r="DT20" s="5">
        <f t="shared" si="26"/>
        <v>49.849999999999994</v>
      </c>
      <c r="DU20" s="69">
        <v>7</v>
      </c>
      <c r="DV20" s="70">
        <v>7</v>
      </c>
      <c r="DW20" s="70">
        <v>11</v>
      </c>
      <c r="DX20" s="70">
        <v>11</v>
      </c>
      <c r="DY20" s="70">
        <v>11</v>
      </c>
      <c r="DZ20" s="97">
        <v>11</v>
      </c>
    </row>
    <row r="21" spans="1:256" ht="12.75" customHeight="1">
      <c r="A21" s="92"/>
      <c r="B21" s="139" t="s">
        <v>1002</v>
      </c>
      <c r="C21" s="100"/>
      <c r="D21" s="94"/>
      <c r="E21" s="94"/>
      <c r="F21" s="94"/>
      <c r="G21" s="94"/>
      <c r="H21" s="94"/>
      <c r="I21" s="94"/>
      <c r="K21" s="82">
        <f t="shared" si="9"/>
        <v>9.5000000000000005E-6</v>
      </c>
      <c r="W21" s="84">
        <f t="shared" si="10"/>
        <v>9.5000000000000005E-6</v>
      </c>
      <c r="AA21" s="84"/>
      <c r="AB21" s="68"/>
      <c r="AC21" s="68"/>
      <c r="AG21" s="84">
        <f t="shared" si="11"/>
        <v>9.5000000000000005E-6</v>
      </c>
      <c r="AZ21" s="87"/>
      <c r="BA21" s="172">
        <v>1</v>
      </c>
      <c r="BB21" s="173">
        <v>6</v>
      </c>
      <c r="BC21" s="174">
        <v>3</v>
      </c>
      <c r="BD21" s="173"/>
      <c r="BE21" s="173"/>
      <c r="BF21" s="175"/>
      <c r="BG21" s="13"/>
      <c r="BI21" s="87"/>
      <c r="BJ21" s="172"/>
      <c r="BK21" s="173"/>
      <c r="BL21" s="174"/>
      <c r="BM21" s="173"/>
      <c r="BN21" s="173"/>
      <c r="BO21" s="175"/>
      <c r="BP21" s="13"/>
      <c r="BR21" s="87"/>
      <c r="BS21" s="172"/>
      <c r="BT21" s="173"/>
      <c r="BU21" s="174"/>
      <c r="BV21" s="173"/>
      <c r="BW21" s="173"/>
      <c r="BX21" s="175"/>
      <c r="BY21" s="13"/>
      <c r="CY21" s="109" t="s">
        <v>465</v>
      </c>
      <c r="CZ21" s="5">
        <f>IF(DL6,MIN(CZ13:CZ19),0)</f>
        <v>24.725193161817774</v>
      </c>
      <c r="DC21" s="68">
        <v>1</v>
      </c>
      <c r="DD21" s="68">
        <f>DA20</f>
        <v>46.374806838182224</v>
      </c>
      <c r="DE21" s="68"/>
      <c r="DF21" s="5">
        <v>0.5</v>
      </c>
      <c r="DG21" s="5">
        <v>0</v>
      </c>
      <c r="DH21" s="5">
        <v>6</v>
      </c>
      <c r="DJ21" s="65" t="s">
        <v>1268</v>
      </c>
      <c r="DK21" s="66"/>
      <c r="DL21" s="66"/>
      <c r="DM21" s="66"/>
      <c r="DN21" s="93"/>
      <c r="DO21" s="62">
        <v>6</v>
      </c>
      <c r="DP21" s="5">
        <f t="shared" si="22"/>
        <v>12</v>
      </c>
      <c r="DQ21" s="5">
        <f t="shared" si="23"/>
        <v>47.849999999999994</v>
      </c>
      <c r="DR21" s="5">
        <f t="shared" si="24"/>
        <v>8.6999999999999993</v>
      </c>
      <c r="DS21" s="5" t="e">
        <f t="shared" si="25"/>
        <v>#N/A</v>
      </c>
      <c r="DT21" s="5">
        <f t="shared" si="26"/>
        <v>47.849999999999994</v>
      </c>
      <c r="FO21" s="61"/>
      <c r="FP21" s="47"/>
      <c r="FQ21" s="61"/>
      <c r="FR21" s="47"/>
    </row>
    <row r="22" spans="1:256" ht="11.25" customHeight="1">
      <c r="A22" s="92"/>
      <c r="B22" s="100" t="s">
        <v>1270</v>
      </c>
      <c r="C22" s="100"/>
      <c r="D22" s="94"/>
      <c r="E22" s="94" t="s">
        <v>589</v>
      </c>
      <c r="F22" s="94"/>
      <c r="G22" s="94"/>
      <c r="H22" s="94" t="s">
        <v>590</v>
      </c>
      <c r="I22" s="94"/>
      <c r="K22" s="82">
        <f t="shared" si="9"/>
        <v>9.5000000000000005E-6</v>
      </c>
      <c r="W22" s="84">
        <f t="shared" si="10"/>
        <v>9.5000000000000005E-6</v>
      </c>
      <c r="AA22" s="84"/>
      <c r="AB22" s="84"/>
      <c r="AC22" s="84"/>
      <c r="AG22" s="84">
        <f t="shared" si="11"/>
        <v>9.5000000000000005E-6</v>
      </c>
      <c r="AZ22" s="87"/>
      <c r="BA22" s="172">
        <v>3.5</v>
      </c>
      <c r="BB22" s="173">
        <v>6</v>
      </c>
      <c r="BC22" s="174">
        <v>5</v>
      </c>
      <c r="BD22" s="173"/>
      <c r="BE22" s="173"/>
      <c r="BF22" s="175"/>
      <c r="BG22" s="88"/>
      <c r="BI22" s="87"/>
      <c r="BJ22" s="172"/>
      <c r="BK22" s="173"/>
      <c r="BL22" s="174"/>
      <c r="BM22" s="173"/>
      <c r="BN22" s="173"/>
      <c r="BO22" s="175"/>
      <c r="BP22" s="88"/>
      <c r="BR22" s="87"/>
      <c r="BS22" s="172"/>
      <c r="BT22" s="173"/>
      <c r="BU22" s="174"/>
      <c r="BV22" s="173"/>
      <c r="BW22" s="173"/>
      <c r="BX22" s="175"/>
      <c r="BY22" s="88"/>
      <c r="CY22" s="275" t="s">
        <v>601</v>
      </c>
      <c r="CZ22" s="144" t="str">
        <f>IF(E7="","Dependent variable ",E7)</f>
        <v>% time near target</v>
      </c>
      <c r="DA22" s="144"/>
      <c r="DB22" s="264"/>
      <c r="DC22" s="68">
        <v>1</v>
      </c>
      <c r="DD22" s="68">
        <f>CZ21</f>
        <v>24.725193161817774</v>
      </c>
      <c r="DE22" s="68"/>
      <c r="DI22" s="283"/>
      <c r="DJ22" s="67"/>
      <c r="DK22" s="68" t="s">
        <v>1093</v>
      </c>
      <c r="DL22" s="118">
        <v>6.3</v>
      </c>
      <c r="DM22" s="68" t="s">
        <v>1091</v>
      </c>
      <c r="DN22" s="124">
        <v>6.45</v>
      </c>
      <c r="DO22" s="62">
        <v>5</v>
      </c>
      <c r="DP22" s="5">
        <f t="shared" si="22"/>
        <v>10</v>
      </c>
      <c r="DQ22" s="5">
        <f t="shared" si="23"/>
        <v>45.849999999999994</v>
      </c>
      <c r="DR22" s="5">
        <f t="shared" si="24"/>
        <v>8.6999999999999993</v>
      </c>
      <c r="DS22" s="5">
        <f t="shared" si="25"/>
        <v>45.849999999999994</v>
      </c>
      <c r="DT22" s="5">
        <f t="shared" si="26"/>
        <v>45.849999999999994</v>
      </c>
      <c r="FO22" s="47"/>
      <c r="FP22" s="61"/>
      <c r="FQ22" s="47"/>
      <c r="FR22" s="61"/>
    </row>
    <row r="23" spans="1:256" ht="11.25" customHeight="1">
      <c r="A23" s="92"/>
      <c r="B23" s="101"/>
      <c r="C23" s="100"/>
      <c r="D23" s="94"/>
      <c r="E23" s="94"/>
      <c r="F23" s="94"/>
      <c r="G23" s="94"/>
      <c r="H23" s="94"/>
      <c r="I23" s="94"/>
      <c r="K23" s="82">
        <f t="shared" si="9"/>
        <v>9.5000000000000005E-6</v>
      </c>
      <c r="W23" s="84">
        <f t="shared" si="10"/>
        <v>9.5000000000000005E-6</v>
      </c>
      <c r="Y23" s="84"/>
      <c r="Z23" s="84"/>
      <c r="AA23" s="84"/>
      <c r="AG23" s="84">
        <f t="shared" si="11"/>
        <v>9.5000000000000005E-6</v>
      </c>
      <c r="AZ23" s="87"/>
      <c r="BA23" s="172">
        <v>2.5</v>
      </c>
      <c r="BB23" s="173">
        <v>7</v>
      </c>
      <c r="BC23" s="174">
        <v>6</v>
      </c>
      <c r="BD23" s="173"/>
      <c r="BE23" s="173"/>
      <c r="BF23" s="175"/>
      <c r="BG23" s="88"/>
      <c r="BI23" s="87"/>
      <c r="BJ23" s="172"/>
      <c r="BK23" s="173"/>
      <c r="BL23" s="174"/>
      <c r="BM23" s="173"/>
      <c r="BN23" s="173"/>
      <c r="BO23" s="175"/>
      <c r="BP23" s="88"/>
      <c r="BR23" s="87"/>
      <c r="BS23" s="172"/>
      <c r="BT23" s="173"/>
      <c r="BU23" s="174"/>
      <c r="BV23" s="173"/>
      <c r="BW23" s="173"/>
      <c r="BX23" s="175"/>
      <c r="BY23" s="88"/>
      <c r="CY23" s="68"/>
      <c r="DE23" s="68"/>
      <c r="DG23" s="257"/>
      <c r="DH23" s="14"/>
      <c r="DI23" s="14"/>
      <c r="DJ23" s="67" t="s">
        <v>1094</v>
      </c>
      <c r="DK23" s="267" t="s">
        <v>1184</v>
      </c>
      <c r="DL23" s="267" t="s">
        <v>1262</v>
      </c>
      <c r="DM23" s="267" t="s">
        <v>1184</v>
      </c>
      <c r="DN23" s="268" t="s">
        <v>1262</v>
      </c>
      <c r="DO23" s="62">
        <v>4</v>
      </c>
      <c r="DP23" s="5">
        <f t="shared" si="22"/>
        <v>8</v>
      </c>
      <c r="DQ23" s="5">
        <f t="shared" si="23"/>
        <v>43.849999999999994</v>
      </c>
      <c r="DR23" s="5">
        <f t="shared" si="24"/>
        <v>8.6999999999999993</v>
      </c>
      <c r="DS23" s="5">
        <f t="shared" si="25"/>
        <v>43.849999999999994</v>
      </c>
      <c r="DT23" s="5">
        <f t="shared" si="26"/>
        <v>43.849999999999994</v>
      </c>
      <c r="FO23" s="47"/>
      <c r="FP23" s="47"/>
      <c r="FQ23" s="47"/>
      <c r="FR23" s="47"/>
    </row>
    <row r="24" spans="1:256" ht="11.25" customHeight="1">
      <c r="A24" s="92"/>
      <c r="B24" s="141" t="s">
        <v>472</v>
      </c>
      <c r="C24" s="9"/>
      <c r="D24" s="135" t="s">
        <v>578</v>
      </c>
      <c r="E24" s="135" t="s">
        <v>579</v>
      </c>
      <c r="F24" s="135" t="s">
        <v>580</v>
      </c>
      <c r="G24" s="135" t="s">
        <v>581</v>
      </c>
      <c r="H24" s="135" t="s">
        <v>582</v>
      </c>
      <c r="I24" s="136" t="s">
        <v>583</v>
      </c>
      <c r="J24" s="23"/>
      <c r="K24" s="82">
        <f t="shared" si="9"/>
        <v>9.5000000000000005E-6</v>
      </c>
      <c r="W24" s="84">
        <f t="shared" si="10"/>
        <v>9.5000000000000005E-6</v>
      </c>
      <c r="X24" s="84"/>
      <c r="Y24" s="78"/>
      <c r="AA24" s="84"/>
      <c r="AG24" s="84">
        <f t="shared" si="11"/>
        <v>9.5000000000000005E-6</v>
      </c>
      <c r="AZ24" s="87"/>
      <c r="BA24" s="172">
        <v>3</v>
      </c>
      <c r="BB24" s="173">
        <v>5.5</v>
      </c>
      <c r="BC24" s="174">
        <v>6.5</v>
      </c>
      <c r="BD24" s="173"/>
      <c r="BE24" s="173"/>
      <c r="BF24" s="175"/>
      <c r="BG24" s="88"/>
      <c r="BI24" s="87"/>
      <c r="BJ24" s="172"/>
      <c r="BK24" s="173"/>
      <c r="BL24" s="174"/>
      <c r="BM24" s="173"/>
      <c r="BN24" s="173"/>
      <c r="BO24" s="175"/>
      <c r="BP24" s="88"/>
      <c r="BR24" s="87"/>
      <c r="BS24" s="172"/>
      <c r="BT24" s="173"/>
      <c r="BU24" s="174"/>
      <c r="BV24" s="173"/>
      <c r="BW24" s="173"/>
      <c r="BX24" s="175"/>
      <c r="BY24" s="88"/>
      <c r="CY24" s="5" t="s">
        <v>1269</v>
      </c>
      <c r="DH24" s="14"/>
      <c r="DI24" s="14"/>
      <c r="DJ24" s="67">
        <v>1</v>
      </c>
      <c r="DK24" s="68" t="e">
        <f>IF(DI52="",NA(),DD13)</f>
        <v>#N/A</v>
      </c>
      <c r="DL24" s="68" t="e">
        <f>IF(DI52="",NA(),DE13)</f>
        <v>#N/A</v>
      </c>
      <c r="DM24" s="68">
        <f>IF(DN52="",NA(),DD13)</f>
        <v>1</v>
      </c>
      <c r="DN24" s="91">
        <f>IF(DN52="",NA(),DE13)</f>
        <v>37.5</v>
      </c>
      <c r="DO24" s="62">
        <v>3</v>
      </c>
      <c r="DP24" s="5">
        <f t="shared" si="22"/>
        <v>6</v>
      </c>
      <c r="DQ24" s="5">
        <f t="shared" si="23"/>
        <v>41.849999999999994</v>
      </c>
      <c r="DR24" s="5">
        <f t="shared" si="24"/>
        <v>8.6999999999999993</v>
      </c>
      <c r="DS24" s="5">
        <f t="shared" si="25"/>
        <v>41.849999999999994</v>
      </c>
      <c r="DT24" s="5">
        <f t="shared" si="26"/>
        <v>41.849999999999994</v>
      </c>
      <c r="FN24" s="56"/>
      <c r="FO24" s="56"/>
      <c r="FP24" s="56"/>
      <c r="FQ24" s="56"/>
      <c r="FR24" s="56"/>
    </row>
    <row r="25" spans="1:256" ht="11.25" customHeight="1">
      <c r="A25" s="92"/>
      <c r="B25" s="138" t="s">
        <v>1271</v>
      </c>
      <c r="C25" s="13"/>
      <c r="D25" s="370"/>
      <c r="E25" s="371"/>
      <c r="F25" s="370"/>
      <c r="G25" s="371"/>
      <c r="H25" s="371"/>
      <c r="I25" s="371"/>
      <c r="J25" s="10"/>
      <c r="K25" s="82">
        <f t="shared" si="9"/>
        <v>9.5000000000000005E-6</v>
      </c>
      <c r="W25" s="84">
        <f t="shared" si="10"/>
        <v>9.5000000000000005E-6</v>
      </c>
      <c r="X25" s="84"/>
      <c r="AA25" s="84"/>
      <c r="AG25" s="84">
        <f t="shared" si="11"/>
        <v>9.5000000000000005E-6</v>
      </c>
      <c r="AZ25" s="137"/>
      <c r="BA25" s="172">
        <v>1</v>
      </c>
      <c r="BB25" s="173"/>
      <c r="BC25" s="174">
        <v>3.5</v>
      </c>
      <c r="BD25" s="173"/>
      <c r="BE25" s="173"/>
      <c r="BF25" s="175"/>
      <c r="BG25" s="88"/>
      <c r="BI25" s="137"/>
      <c r="BJ25" s="172"/>
      <c r="BK25" s="173"/>
      <c r="BL25" s="174"/>
      <c r="BM25" s="173"/>
      <c r="BN25" s="173"/>
      <c r="BO25" s="175"/>
      <c r="BP25" s="88"/>
      <c r="BR25" s="137"/>
      <c r="BS25" s="172"/>
      <c r="BT25" s="173"/>
      <c r="BU25" s="174"/>
      <c r="BV25" s="173"/>
      <c r="BW25" s="173"/>
      <c r="BX25" s="175"/>
      <c r="BY25" s="88"/>
      <c r="CY25" s="65" t="str">
        <f t="shared" ref="CY25:DD25" si="27">IF(D9="","",D9)</f>
        <v>Control10</v>
      </c>
      <c r="CZ25" s="66" t="str">
        <f t="shared" si="27"/>
        <v>Free10</v>
      </c>
      <c r="DA25" s="66" t="str">
        <f t="shared" si="27"/>
        <v>Diet10</v>
      </c>
      <c r="DB25" s="66" t="str">
        <f t="shared" si="27"/>
        <v>Control17</v>
      </c>
      <c r="DC25" s="66" t="str">
        <f t="shared" si="27"/>
        <v>Free17</v>
      </c>
      <c r="DD25" s="66" t="str">
        <f t="shared" si="27"/>
        <v>Diet17</v>
      </c>
      <c r="DE25" s="66"/>
      <c r="DF25" s="93"/>
      <c r="DG25" s="84"/>
      <c r="DH25" s="77"/>
      <c r="DI25" s="77"/>
      <c r="DJ25" s="67"/>
      <c r="DK25" s="68" t="e">
        <f>IF(DI52="",NA(),$DL$22)</f>
        <v>#N/A</v>
      </c>
      <c r="DL25" s="68" t="e">
        <f>IF(DI52="",NA(),DE13)</f>
        <v>#N/A</v>
      </c>
      <c r="DM25" s="68">
        <f>IF(DN52="",NA(),$DN$22)</f>
        <v>6.45</v>
      </c>
      <c r="DN25" s="91">
        <f>IF(DN52="",NA(),DE13)</f>
        <v>37.5</v>
      </c>
      <c r="DO25" s="62">
        <v>2</v>
      </c>
      <c r="DP25" s="5">
        <f t="shared" si="22"/>
        <v>4</v>
      </c>
      <c r="DQ25" s="5">
        <f t="shared" si="23"/>
        <v>39.849999999999994</v>
      </c>
      <c r="DR25" s="5">
        <f t="shared" si="24"/>
        <v>8.6999999999999993</v>
      </c>
      <c r="DS25" s="5">
        <f t="shared" si="25"/>
        <v>39.849999999999994</v>
      </c>
      <c r="DT25" s="5">
        <f t="shared" si="26"/>
        <v>39.849999999999994</v>
      </c>
      <c r="FN25" s="50"/>
      <c r="FO25" s="47"/>
      <c r="FP25" s="47"/>
      <c r="FQ25" s="47"/>
      <c r="FR25" s="47"/>
    </row>
    <row r="26" spans="1:256" ht="11.25" customHeight="1">
      <c r="A26" s="48"/>
      <c r="B26" s="138"/>
      <c r="C26" s="13"/>
      <c r="D26" s="372"/>
      <c r="E26" s="373"/>
      <c r="F26" s="374"/>
      <c r="G26" s="373"/>
      <c r="H26" s="373"/>
      <c r="I26" s="373"/>
      <c r="J26" s="13"/>
      <c r="K26" s="82">
        <f t="shared" si="9"/>
        <v>9.5000000000000005E-6</v>
      </c>
      <c r="W26" s="84">
        <f t="shared" si="10"/>
        <v>9.5000000000000005E-6</v>
      </c>
      <c r="X26" s="84"/>
      <c r="AA26" s="84"/>
      <c r="AG26" s="84">
        <f t="shared" si="11"/>
        <v>9.5000000000000005E-6</v>
      </c>
      <c r="AZ26" s="137"/>
      <c r="BA26" s="172"/>
      <c r="BB26" s="173"/>
      <c r="BC26" s="174">
        <v>2</v>
      </c>
      <c r="BD26" s="173"/>
      <c r="BE26" s="173"/>
      <c r="BF26" s="175"/>
      <c r="BG26" s="88"/>
      <c r="BI26" s="137"/>
      <c r="BJ26" s="172"/>
      <c r="BK26" s="173"/>
      <c r="BL26" s="174"/>
      <c r="BM26" s="173"/>
      <c r="BN26" s="173"/>
      <c r="BO26" s="175"/>
      <c r="BP26" s="88"/>
      <c r="BR26" s="137"/>
      <c r="BS26" s="172"/>
      <c r="BT26" s="173"/>
      <c r="BU26" s="174"/>
      <c r="BV26" s="173"/>
      <c r="BW26" s="173"/>
      <c r="BX26" s="175"/>
      <c r="BY26" s="88"/>
      <c r="CY26" s="69">
        <f t="shared" ref="CY26:DD26" si="28">IF(D12="","",D12)</f>
        <v>37.5</v>
      </c>
      <c r="CZ26" s="70">
        <f t="shared" si="28"/>
        <v>31.9</v>
      </c>
      <c r="DA26" s="70">
        <f t="shared" si="28"/>
        <v>41.2</v>
      </c>
      <c r="DB26" s="70">
        <f t="shared" si="28"/>
        <v>33.4</v>
      </c>
      <c r="DC26" s="70">
        <f t="shared" si="28"/>
        <v>29.9</v>
      </c>
      <c r="DD26" s="70">
        <f t="shared" si="28"/>
        <v>38.299999999999997</v>
      </c>
      <c r="DE26" s="70" t="str">
        <f>IF(J13="","",J13)</f>
        <v/>
      </c>
      <c r="DF26" s="97"/>
      <c r="DH26" s="77"/>
      <c r="DJ26" s="67">
        <v>2</v>
      </c>
      <c r="DK26" s="68" t="e">
        <f>IF(DI53="",NA(),DD14)</f>
        <v>#N/A</v>
      </c>
      <c r="DL26" s="68" t="e">
        <f>IF(DI53="",NA(),DE14)</f>
        <v>#N/A</v>
      </c>
      <c r="DM26" s="68" t="e">
        <f>IF(DN53="",NA(),DD14)</f>
        <v>#N/A</v>
      </c>
      <c r="DN26" s="91" t="e">
        <f>IF(DN53="",NA(),DE14)</f>
        <v>#N/A</v>
      </c>
      <c r="DO26" s="62">
        <v>1</v>
      </c>
      <c r="DP26" s="5">
        <f t="shared" si="22"/>
        <v>2</v>
      </c>
      <c r="DQ26" s="5">
        <f t="shared" si="23"/>
        <v>37.849999999999994</v>
      </c>
      <c r="DR26" s="5">
        <f t="shared" si="24"/>
        <v>8.6999999999999993</v>
      </c>
      <c r="DS26" s="5">
        <f t="shared" si="25"/>
        <v>37.849999999999994</v>
      </c>
      <c r="DT26" s="5">
        <f t="shared" si="26"/>
        <v>37.849999999999994</v>
      </c>
      <c r="FN26" s="50"/>
      <c r="FO26" s="47"/>
      <c r="FP26" s="47"/>
      <c r="FQ26" s="47"/>
      <c r="FR26" s="47"/>
    </row>
    <row r="27" spans="1:256" ht="11.25" customHeight="1">
      <c r="B27" s="87"/>
      <c r="C27" s="13"/>
      <c r="D27" s="372"/>
      <c r="E27" s="373"/>
      <c r="F27" s="374"/>
      <c r="G27" s="373"/>
      <c r="H27" s="373"/>
      <c r="I27" s="373"/>
      <c r="J27" s="13"/>
      <c r="K27" s="82">
        <f t="shared" si="9"/>
        <v>9.5000000000000005E-6</v>
      </c>
      <c r="W27" s="84">
        <f t="shared" si="10"/>
        <v>9.5000000000000005E-6</v>
      </c>
      <c r="X27" s="84"/>
      <c r="AA27" s="84"/>
      <c r="AG27" s="84">
        <f t="shared" si="11"/>
        <v>9.5000000000000005E-6</v>
      </c>
      <c r="AZ27" s="137"/>
      <c r="BA27" s="172"/>
      <c r="BB27" s="173"/>
      <c r="BC27" s="174"/>
      <c r="BD27" s="173"/>
      <c r="BE27" s="173"/>
      <c r="BF27" s="175"/>
      <c r="BG27" s="88"/>
      <c r="BI27" s="137"/>
      <c r="BJ27" s="172"/>
      <c r="BK27" s="173"/>
      <c r="BL27" s="174"/>
      <c r="BM27" s="173"/>
      <c r="BN27" s="173"/>
      <c r="BO27" s="175"/>
      <c r="BP27" s="88"/>
      <c r="BR27" s="137"/>
      <c r="BS27" s="172"/>
      <c r="BT27" s="173"/>
      <c r="BU27" s="174"/>
      <c r="BV27" s="173"/>
      <c r="BW27" s="173"/>
      <c r="BX27" s="175"/>
      <c r="BY27" s="88"/>
      <c r="CY27" s="68"/>
      <c r="DA27" s="108"/>
      <c r="DB27" s="108"/>
      <c r="DC27" s="64"/>
      <c r="DD27" s="77"/>
      <c r="DE27" s="77"/>
      <c r="DG27" s="197"/>
      <c r="DH27" s="77"/>
      <c r="DJ27" s="67"/>
      <c r="DK27" s="68" t="e">
        <f>IF(DI53="",NA(),$DL$22)</f>
        <v>#N/A</v>
      </c>
      <c r="DL27" s="68" t="e">
        <f>IF(DI53="",NA(),DE14)</f>
        <v>#N/A</v>
      </c>
      <c r="DM27" s="68" t="e">
        <f>IF(DN53="",NA(),$DN$22)</f>
        <v>#N/A</v>
      </c>
      <c r="DN27" s="91" t="e">
        <f>IF(DN53="",NA(),DE14)</f>
        <v>#N/A</v>
      </c>
      <c r="DO27" s="62">
        <v>0</v>
      </c>
      <c r="DP27" s="5">
        <f t="shared" si="22"/>
        <v>0</v>
      </c>
      <c r="DQ27" s="5">
        <f t="shared" si="23"/>
        <v>35.849999999999994</v>
      </c>
      <c r="DR27" s="5">
        <f t="shared" si="24"/>
        <v>8.6999999999999993</v>
      </c>
      <c r="DS27" s="5">
        <f t="shared" si="25"/>
        <v>35.849999999999994</v>
      </c>
      <c r="DT27" s="5">
        <f t="shared" si="26"/>
        <v>35.849999999999994</v>
      </c>
      <c r="FN27" s="50"/>
      <c r="FO27" s="47"/>
      <c r="FP27" s="47"/>
      <c r="FQ27" s="47"/>
      <c r="FR27" s="47"/>
    </row>
    <row r="28" spans="1:256" ht="11.25" customHeight="1">
      <c r="B28" s="87"/>
      <c r="C28" s="13"/>
      <c r="D28" s="372"/>
      <c r="E28" s="373"/>
      <c r="F28" s="374"/>
      <c r="G28" s="373"/>
      <c r="H28" s="373"/>
      <c r="I28" s="373"/>
      <c r="J28" s="13"/>
      <c r="K28" s="82">
        <f t="shared" si="9"/>
        <v>9.5000000000000005E-6</v>
      </c>
      <c r="W28" s="84">
        <f t="shared" si="10"/>
        <v>9.5000000000000005E-6</v>
      </c>
      <c r="X28" s="84"/>
      <c r="AA28" s="84"/>
      <c r="AG28" s="84">
        <f t="shared" si="11"/>
        <v>9.5000000000000005E-6</v>
      </c>
      <c r="AZ28" s="137"/>
      <c r="BA28" s="172"/>
      <c r="BB28" s="173"/>
      <c r="BC28" s="174"/>
      <c r="BD28" s="173"/>
      <c r="BE28" s="173"/>
      <c r="BF28" s="175"/>
      <c r="BG28" s="88"/>
      <c r="BI28" s="137"/>
      <c r="BJ28" s="172"/>
      <c r="BK28" s="173"/>
      <c r="BL28" s="174"/>
      <c r="BM28" s="173"/>
      <c r="BN28" s="173"/>
      <c r="BO28" s="175"/>
      <c r="BP28" s="88"/>
      <c r="BR28" s="137"/>
      <c r="BS28" s="172"/>
      <c r="BT28" s="173"/>
      <c r="BU28" s="174"/>
      <c r="BV28" s="173"/>
      <c r="BW28" s="173"/>
      <c r="BX28" s="175"/>
      <c r="BY28" s="88"/>
      <c r="CY28" s="5" t="s">
        <v>1552</v>
      </c>
      <c r="DF28" s="5" t="s">
        <v>1553</v>
      </c>
      <c r="DI28" s="274"/>
      <c r="DJ28" s="67">
        <v>3</v>
      </c>
      <c r="DK28" s="68" t="e">
        <f>IF(DI54="",NA(),DD15)</f>
        <v>#N/A</v>
      </c>
      <c r="DL28" s="68" t="e">
        <f>IF(DI54="",NA(),DE15)</f>
        <v>#N/A</v>
      </c>
      <c r="DM28" s="68">
        <f>IF(DN54="",NA(),DD15)</f>
        <v>3</v>
      </c>
      <c r="DN28" s="91">
        <f>IF(DN54="",NA(),DE15)</f>
        <v>41.2</v>
      </c>
      <c r="DO28" s="62">
        <v>-1</v>
      </c>
      <c r="DP28" s="5">
        <f t="shared" si="22"/>
        <v>-2</v>
      </c>
      <c r="DQ28" s="5">
        <f t="shared" si="23"/>
        <v>33.849999999999994</v>
      </c>
      <c r="DR28" s="5">
        <f t="shared" si="24"/>
        <v>8.6999999999999993</v>
      </c>
      <c r="DS28" s="5">
        <f t="shared" si="25"/>
        <v>33.849999999999994</v>
      </c>
      <c r="DT28" s="5">
        <f t="shared" si="26"/>
        <v>33.849999999999994</v>
      </c>
      <c r="FN28" s="50"/>
      <c r="FO28" s="47"/>
      <c r="FP28" s="47"/>
      <c r="FQ28" s="47"/>
      <c r="FR28" s="47"/>
    </row>
    <row r="29" spans="1:256" ht="11.25" customHeight="1">
      <c r="B29" s="87"/>
      <c r="C29" s="13"/>
      <c r="D29" s="372"/>
      <c r="E29" s="373"/>
      <c r="F29" s="374"/>
      <c r="G29" s="373"/>
      <c r="H29" s="373"/>
      <c r="I29" s="373"/>
      <c r="J29" s="13"/>
      <c r="K29" s="82">
        <f t="shared" si="9"/>
        <v>9.5000000000000005E-6</v>
      </c>
      <c r="W29" s="84">
        <f t="shared" si="10"/>
        <v>9.5000000000000005E-6</v>
      </c>
      <c r="X29" s="84"/>
      <c r="AA29" s="84"/>
      <c r="AG29" s="84">
        <f t="shared" si="11"/>
        <v>9.5000000000000005E-6</v>
      </c>
      <c r="AZ29" s="137"/>
      <c r="BA29" s="172"/>
      <c r="BB29" s="173"/>
      <c r="BC29" s="174"/>
      <c r="BD29" s="173"/>
      <c r="BE29" s="173"/>
      <c r="BF29" s="175"/>
      <c r="BG29" s="88"/>
      <c r="BI29" s="137"/>
      <c r="BJ29" s="172"/>
      <c r="BK29" s="173"/>
      <c r="BL29" s="174"/>
      <c r="BM29" s="173"/>
      <c r="BN29" s="173"/>
      <c r="BO29" s="175"/>
      <c r="BP29" s="88"/>
      <c r="BR29" s="137"/>
      <c r="BS29" s="172"/>
      <c r="BT29" s="173"/>
      <c r="BU29" s="174"/>
      <c r="BV29" s="173"/>
      <c r="BW29" s="173"/>
      <c r="BX29" s="175"/>
      <c r="BY29" s="88"/>
      <c r="CY29" s="65">
        <f t="shared" ref="CY29:DD29" si="29">IF(COUNT(CY43:CY342)&gt;1,COUNT(CY43:CY342),"")</f>
        <v>6</v>
      </c>
      <c r="CZ29" s="66">
        <f t="shared" si="29"/>
        <v>8</v>
      </c>
      <c r="DA29" s="66">
        <f t="shared" si="29"/>
        <v>8</v>
      </c>
      <c r="DB29" s="66">
        <f t="shared" si="29"/>
        <v>8</v>
      </c>
      <c r="DC29" s="66">
        <f t="shared" si="29"/>
        <v>2</v>
      </c>
      <c r="DD29" s="93">
        <f t="shared" si="29"/>
        <v>2</v>
      </c>
      <c r="DF29" s="71"/>
      <c r="DI29" s="14"/>
      <c r="DJ29" s="67"/>
      <c r="DK29" s="68" t="e">
        <f>IF(DI54="",NA(),$DL$22)</f>
        <v>#N/A</v>
      </c>
      <c r="DL29" s="68" t="e">
        <f>IF(DI54="",NA(),DE15)</f>
        <v>#N/A</v>
      </c>
      <c r="DM29" s="68">
        <f>IF(DN54="",NA(),$DN$22)</f>
        <v>6.45</v>
      </c>
      <c r="DN29" s="91">
        <f>IF(DN54="",NA(),DE15)</f>
        <v>41.2</v>
      </c>
      <c r="DO29" s="62">
        <v>-2</v>
      </c>
      <c r="DP29" s="5">
        <f t="shared" si="22"/>
        <v>-4</v>
      </c>
      <c r="DQ29" s="5">
        <f t="shared" si="23"/>
        <v>31.849999999999994</v>
      </c>
      <c r="DR29" s="5">
        <f t="shared" si="24"/>
        <v>8.6999999999999993</v>
      </c>
      <c r="DS29" s="5">
        <f t="shared" si="25"/>
        <v>31.849999999999994</v>
      </c>
      <c r="DT29" s="5">
        <f t="shared" si="26"/>
        <v>31.849999999999994</v>
      </c>
      <c r="FN29" s="50"/>
      <c r="FO29" s="47"/>
      <c r="FP29" s="47"/>
      <c r="FQ29" s="47"/>
      <c r="FR29" s="47"/>
    </row>
    <row r="30" spans="1:256" ht="11.25" customHeight="1">
      <c r="B30" s="87"/>
      <c r="C30" s="13"/>
      <c r="D30" s="372"/>
      <c r="E30" s="373"/>
      <c r="F30" s="374"/>
      <c r="G30" s="373"/>
      <c r="H30" s="373"/>
      <c r="I30" s="373"/>
      <c r="J30" s="13"/>
      <c r="K30" s="82">
        <f t="shared" si="9"/>
        <v>9.5000000000000005E-6</v>
      </c>
      <c r="W30" s="84">
        <f t="shared" si="10"/>
        <v>9.5000000000000005E-6</v>
      </c>
      <c r="X30" s="84"/>
      <c r="AA30" s="84"/>
      <c r="AG30" s="84">
        <f t="shared" si="11"/>
        <v>9.5000000000000005E-6</v>
      </c>
      <c r="AZ30" s="137"/>
      <c r="BA30" s="172"/>
      <c r="BB30" s="173"/>
      <c r="BC30" s="174"/>
      <c r="BD30" s="173"/>
      <c r="BE30" s="173"/>
      <c r="BF30" s="175"/>
      <c r="BG30" s="88"/>
      <c r="BI30" s="137"/>
      <c r="BJ30" s="172"/>
      <c r="BK30" s="173"/>
      <c r="BL30" s="174"/>
      <c r="BM30" s="173"/>
      <c r="BN30" s="173"/>
      <c r="BO30" s="175"/>
      <c r="BP30" s="88"/>
      <c r="BR30" s="137"/>
      <c r="BS30" s="172"/>
      <c r="BT30" s="173"/>
      <c r="BU30" s="174"/>
      <c r="BV30" s="173"/>
      <c r="BW30" s="173"/>
      <c r="BX30" s="175"/>
      <c r="BY30" s="88"/>
      <c r="CY30" s="67">
        <f t="shared" ref="CY30:DD30" si="30">IF(COUNT(CY43:CY342)&gt;1,AVERAGE(CY43:CY342),"")</f>
        <v>3.5</v>
      </c>
      <c r="CZ30" s="68">
        <f t="shared" si="30"/>
        <v>31.790649145227221</v>
      </c>
      <c r="DA30" s="68">
        <f t="shared" si="30"/>
        <v>43.365649145227216</v>
      </c>
      <c r="DB30" s="68">
        <f t="shared" si="30"/>
        <v>21.884254273863899</v>
      </c>
      <c r="DC30" s="68">
        <f t="shared" si="30"/>
        <v>68.112596580908885</v>
      </c>
      <c r="DD30" s="91">
        <f t="shared" si="30"/>
        <v>66.362596580908885</v>
      </c>
      <c r="DF30" s="72"/>
      <c r="DI30" s="14"/>
      <c r="DJ30" s="67">
        <v>4</v>
      </c>
      <c r="DK30" s="68">
        <f>IF(DI55="",NA(),DD16)</f>
        <v>4</v>
      </c>
      <c r="DL30" s="68">
        <f>IF(DI55="",NA(),DE16)</f>
        <v>33.4</v>
      </c>
      <c r="DM30" s="68" t="e">
        <f>IF(DN55="",NA(),DD16)</f>
        <v>#N/A</v>
      </c>
      <c r="DN30" s="91" t="e">
        <f>IF(DN55="",NA(),DE16)</f>
        <v>#N/A</v>
      </c>
      <c r="DO30" s="62">
        <v>-3</v>
      </c>
      <c r="DP30" s="5">
        <f t="shared" si="22"/>
        <v>-6</v>
      </c>
      <c r="DQ30" s="5">
        <f t="shared" si="23"/>
        <v>29.849999999999994</v>
      </c>
      <c r="DR30" s="5">
        <f t="shared" si="24"/>
        <v>8.6999999999999993</v>
      </c>
      <c r="DS30" s="5">
        <f t="shared" si="25"/>
        <v>29.849999999999994</v>
      </c>
      <c r="DT30" s="5">
        <f t="shared" si="26"/>
        <v>29.849999999999994</v>
      </c>
      <c r="FN30" s="50"/>
      <c r="FO30" s="47"/>
      <c r="FP30" s="47"/>
      <c r="FQ30" s="47"/>
      <c r="FR30" s="47"/>
    </row>
    <row r="31" spans="1:256" ht="11.25" customHeight="1">
      <c r="B31" s="87"/>
      <c r="C31" s="13"/>
      <c r="D31" s="372"/>
      <c r="E31" s="373"/>
      <c r="F31" s="374"/>
      <c r="G31" s="373"/>
      <c r="H31" s="373"/>
      <c r="I31" s="373"/>
      <c r="J31" s="13"/>
      <c r="K31" s="82">
        <f t="shared" si="9"/>
        <v>9.5000000000000005E-6</v>
      </c>
      <c r="W31" s="84">
        <f t="shared" si="10"/>
        <v>9.5000000000000005E-6</v>
      </c>
      <c r="X31" s="84"/>
      <c r="AA31" s="84"/>
      <c r="AG31" s="84">
        <f t="shared" si="11"/>
        <v>9.5000000000000005E-6</v>
      </c>
      <c r="AZ31" s="137"/>
      <c r="BA31" s="172"/>
      <c r="BB31" s="173"/>
      <c r="BC31" s="174"/>
      <c r="BD31" s="173"/>
      <c r="BE31" s="173"/>
      <c r="BF31" s="175"/>
      <c r="BG31" s="88"/>
      <c r="BI31" s="137"/>
      <c r="BJ31" s="172"/>
      <c r="BK31" s="173"/>
      <c r="BL31" s="174"/>
      <c r="BM31" s="173"/>
      <c r="BN31" s="173"/>
      <c r="BO31" s="175"/>
      <c r="BP31" s="88"/>
      <c r="BR31" s="137"/>
      <c r="BS31" s="172"/>
      <c r="BT31" s="173"/>
      <c r="BU31" s="174"/>
      <c r="BV31" s="173"/>
      <c r="BW31" s="173"/>
      <c r="BX31" s="175"/>
      <c r="BY31" s="88"/>
      <c r="CY31" s="69">
        <f t="shared" ref="CY31:DD31" si="31">IF(COUNT(CY43:CY342)&gt;1,STDEV(CY43:CY342),"")</f>
        <v>1.8708286933869707</v>
      </c>
      <c r="CZ31" s="70">
        <f t="shared" si="31"/>
        <v>31.144261402955447</v>
      </c>
      <c r="DA31" s="70">
        <f t="shared" si="31"/>
        <v>26.542041430909737</v>
      </c>
      <c r="DB31" s="70">
        <f t="shared" si="31"/>
        <v>36.432171058471752</v>
      </c>
      <c r="DC31" s="70">
        <f t="shared" si="31"/>
        <v>56.409306883125616</v>
      </c>
      <c r="DD31" s="97">
        <f t="shared" si="31"/>
        <v>58.884180617278531</v>
      </c>
      <c r="DF31" s="73"/>
      <c r="DI31" s="14"/>
      <c r="DJ31" s="67"/>
      <c r="DK31" s="68">
        <f>IF(DI55="",NA(),$DL$22)</f>
        <v>6.3</v>
      </c>
      <c r="DL31" s="68">
        <f>IF(DI55="",NA(),DE16)</f>
        <v>33.4</v>
      </c>
      <c r="DM31" s="68" t="e">
        <f>IF(DN55="",NA(),$DN$22)</f>
        <v>#N/A</v>
      </c>
      <c r="DN31" s="91" t="e">
        <f>IF(DN55="",NA(),DE16)</f>
        <v>#N/A</v>
      </c>
      <c r="DO31" s="62">
        <v>-4</v>
      </c>
      <c r="DP31" s="5">
        <f t="shared" si="22"/>
        <v>-8</v>
      </c>
      <c r="DQ31" s="5">
        <f t="shared" si="23"/>
        <v>27.849999999999994</v>
      </c>
      <c r="DR31" s="5">
        <f t="shared" si="24"/>
        <v>8.6999999999999993</v>
      </c>
      <c r="DS31" s="5">
        <f t="shared" si="25"/>
        <v>27.849999999999994</v>
      </c>
      <c r="DT31" s="5">
        <f t="shared" si="26"/>
        <v>27.849999999999994</v>
      </c>
      <c r="FN31" s="50"/>
      <c r="FO31" s="47"/>
      <c r="FP31" s="47"/>
      <c r="FQ31" s="47"/>
      <c r="FR31" s="47"/>
    </row>
    <row r="32" spans="1:256" ht="11.25" customHeight="1">
      <c r="B32" s="87"/>
      <c r="C32" s="13"/>
      <c r="D32" s="372"/>
      <c r="E32" s="373"/>
      <c r="F32" s="374"/>
      <c r="G32" s="373"/>
      <c r="H32" s="373"/>
      <c r="I32" s="373"/>
      <c r="J32" s="13"/>
      <c r="K32" s="82">
        <f t="shared" si="9"/>
        <v>9.5000000000000005E-6</v>
      </c>
      <c r="W32" s="84">
        <f t="shared" si="10"/>
        <v>9.5000000000000005E-6</v>
      </c>
      <c r="X32" s="84"/>
      <c r="AA32" s="84"/>
      <c r="AG32" s="84">
        <f t="shared" si="11"/>
        <v>9.5000000000000005E-6</v>
      </c>
      <c r="AZ32" s="137"/>
      <c r="BA32" s="172"/>
      <c r="BB32" s="173"/>
      <c r="BC32" s="174"/>
      <c r="BD32" s="173"/>
      <c r="BE32" s="173"/>
      <c r="BF32" s="175"/>
      <c r="BG32" s="88"/>
      <c r="BI32" s="137"/>
      <c r="BJ32" s="172"/>
      <c r="BK32" s="173"/>
      <c r="BL32" s="174"/>
      <c r="BM32" s="173"/>
      <c r="BN32" s="173"/>
      <c r="BO32" s="175"/>
      <c r="BP32" s="88"/>
      <c r="BR32" s="137"/>
      <c r="BS32" s="172"/>
      <c r="BT32" s="173"/>
      <c r="BU32" s="174"/>
      <c r="BV32" s="173"/>
      <c r="BW32" s="173"/>
      <c r="BX32" s="175"/>
      <c r="BY32" s="88"/>
      <c r="DJ32" s="67">
        <v>5</v>
      </c>
      <c r="DK32" s="68" t="e">
        <f>IF(DI56="",NA(),DD17)</f>
        <v>#N/A</v>
      </c>
      <c r="DL32" s="68" t="e">
        <f>IF(DI56="",NA(),DE17)</f>
        <v>#N/A</v>
      </c>
      <c r="DM32" s="68" t="e">
        <f>IF(DN56="",NA(),DD17)</f>
        <v>#N/A</v>
      </c>
      <c r="DN32" s="91" t="e">
        <f>IF(DN56="",NA(),DE17)</f>
        <v>#N/A</v>
      </c>
      <c r="DO32" s="62">
        <v>-5</v>
      </c>
      <c r="DP32" s="5">
        <f t="shared" si="22"/>
        <v>-10</v>
      </c>
      <c r="DQ32" s="5">
        <f t="shared" si="23"/>
        <v>25.849999999999994</v>
      </c>
      <c r="DR32" s="5">
        <f t="shared" si="24"/>
        <v>8.6999999999999993</v>
      </c>
      <c r="DS32" s="5">
        <f t="shared" si="25"/>
        <v>25.849999999999994</v>
      </c>
      <c r="DT32" s="5">
        <f t="shared" si="26"/>
        <v>25.849999999999994</v>
      </c>
      <c r="FN32" s="50"/>
      <c r="FO32" s="47"/>
      <c r="FP32" s="47"/>
      <c r="FQ32" s="47"/>
      <c r="FR32" s="47"/>
    </row>
    <row r="33" spans="2:174" ht="11.25" customHeight="1">
      <c r="B33" s="87"/>
      <c r="C33" s="13"/>
      <c r="D33" s="372"/>
      <c r="E33" s="373"/>
      <c r="F33" s="374"/>
      <c r="G33" s="373"/>
      <c r="H33" s="373"/>
      <c r="I33" s="373"/>
      <c r="J33" s="13"/>
      <c r="K33" s="82">
        <f t="shared" si="9"/>
        <v>9.5000000000000005E-6</v>
      </c>
      <c r="W33" s="84">
        <f t="shared" si="10"/>
        <v>9.5000000000000005E-6</v>
      </c>
      <c r="X33" s="84"/>
      <c r="AA33" s="84"/>
      <c r="AG33" s="84">
        <f t="shared" si="11"/>
        <v>9.5000000000000005E-6</v>
      </c>
      <c r="AZ33" s="137"/>
      <c r="BA33" s="172"/>
      <c r="BB33" s="173"/>
      <c r="BC33" s="174"/>
      <c r="BD33" s="173"/>
      <c r="BE33" s="173"/>
      <c r="BF33" s="175"/>
      <c r="BG33" s="88"/>
      <c r="BI33" s="137"/>
      <c r="BJ33" s="172"/>
      <c r="BK33" s="173"/>
      <c r="BL33" s="174"/>
      <c r="BM33" s="173"/>
      <c r="BN33" s="173"/>
      <c r="BO33" s="175"/>
      <c r="BP33" s="88"/>
      <c r="BR33" s="137"/>
      <c r="BS33" s="172"/>
      <c r="BT33" s="173"/>
      <c r="BU33" s="174"/>
      <c r="BV33" s="173"/>
      <c r="BW33" s="173"/>
      <c r="BX33" s="175"/>
      <c r="BY33" s="88"/>
      <c r="CY33" s="65" t="s">
        <v>469</v>
      </c>
      <c r="CZ33" s="93"/>
      <c r="DA33" s="19"/>
      <c r="DB33" s="19"/>
      <c r="DC33" s="19"/>
      <c r="DD33" s="19"/>
      <c r="DE33" s="19"/>
      <c r="DJ33" s="67"/>
      <c r="DK33" s="68" t="e">
        <f>IF(DI56="",NA(),$DL$22)</f>
        <v>#N/A</v>
      </c>
      <c r="DL33" s="68" t="e">
        <f>IF(DI56="",NA(),DE17)</f>
        <v>#N/A</v>
      </c>
      <c r="DM33" s="68" t="e">
        <f>IF(DN56="",NA(),$DN$22)</f>
        <v>#N/A</v>
      </c>
      <c r="DN33" s="91" t="e">
        <f>IF(DN56="",NA(),DE17)</f>
        <v>#N/A</v>
      </c>
      <c r="DO33" s="62">
        <v>-6</v>
      </c>
      <c r="DP33" s="5">
        <f t="shared" si="22"/>
        <v>-12</v>
      </c>
      <c r="DQ33" s="5">
        <f t="shared" si="23"/>
        <v>23.849999999999994</v>
      </c>
      <c r="DR33" s="5">
        <f t="shared" si="24"/>
        <v>8.6999999999999993</v>
      </c>
      <c r="DS33" s="5" t="e">
        <f t="shared" si="25"/>
        <v>#N/A</v>
      </c>
      <c r="DT33" s="5">
        <f t="shared" si="26"/>
        <v>23.849999999999994</v>
      </c>
      <c r="FN33" s="50"/>
      <c r="FO33" s="47"/>
      <c r="FP33" s="47"/>
      <c r="FQ33" s="47"/>
      <c r="FR33" s="47"/>
    </row>
    <row r="34" spans="2:174" ht="11.25" customHeight="1">
      <c r="B34" s="87"/>
      <c r="C34" s="13"/>
      <c r="D34" s="372"/>
      <c r="E34" s="373"/>
      <c r="F34" s="374"/>
      <c r="G34" s="373"/>
      <c r="H34" s="373"/>
      <c r="I34" s="373"/>
      <c r="J34" s="13"/>
      <c r="K34" s="82">
        <f t="shared" si="9"/>
        <v>9.5000000000000005E-6</v>
      </c>
      <c r="W34" s="84">
        <f t="shared" si="10"/>
        <v>9.5000000000000005E-6</v>
      </c>
      <c r="X34" s="84"/>
      <c r="AA34" s="84"/>
      <c r="AG34" s="84">
        <f t="shared" si="11"/>
        <v>9.5000000000000005E-6</v>
      </c>
      <c r="AZ34" s="137"/>
      <c r="BA34" s="172"/>
      <c r="BB34" s="173"/>
      <c r="BC34" s="174"/>
      <c r="BD34" s="173"/>
      <c r="BE34" s="173"/>
      <c r="BF34" s="175"/>
      <c r="BG34" s="88"/>
      <c r="BI34" s="137"/>
      <c r="BJ34" s="172"/>
      <c r="BK34" s="173"/>
      <c r="BL34" s="174"/>
      <c r="BM34" s="173"/>
      <c r="BN34" s="173"/>
      <c r="BO34" s="175"/>
      <c r="BP34" s="88"/>
      <c r="BR34" s="137"/>
      <c r="BS34" s="172"/>
      <c r="BT34" s="173"/>
      <c r="BU34" s="174"/>
      <c r="BV34" s="173"/>
      <c r="BW34" s="173"/>
      <c r="BX34" s="175"/>
      <c r="BY34" s="88"/>
      <c r="CY34" s="69">
        <f>IF(SUM($CZ$35:$DE$35)&gt;0,SUM($CZ$35:$DE$35),"")</f>
        <v>108</v>
      </c>
      <c r="CZ34" s="97"/>
      <c r="DJ34" s="190">
        <v>6</v>
      </c>
      <c r="DK34" s="68">
        <f>IF(DI57="",NA(),DD18)</f>
        <v>6</v>
      </c>
      <c r="DL34" s="68">
        <f>IF(DI57="",NA(),DE18)</f>
        <v>38.299999999999997</v>
      </c>
      <c r="DM34" s="68" t="e">
        <f>IF(DN57="",NA(),DD18)</f>
        <v>#N/A</v>
      </c>
      <c r="DN34" s="91" t="e">
        <f>IF(DN57="",NA(),DE18)</f>
        <v>#N/A</v>
      </c>
      <c r="DO34" s="62">
        <v>-7</v>
      </c>
      <c r="DP34" s="5">
        <f t="shared" si="22"/>
        <v>-14</v>
      </c>
      <c r="DQ34" s="5">
        <f t="shared" si="23"/>
        <v>21.849999999999994</v>
      </c>
      <c r="DR34" s="5">
        <f t="shared" si="24"/>
        <v>8.6999999999999993</v>
      </c>
      <c r="DS34" s="5" t="e">
        <f t="shared" si="25"/>
        <v>#N/A</v>
      </c>
      <c r="DT34" s="5">
        <f t="shared" si="26"/>
        <v>21.849999999999994</v>
      </c>
      <c r="FN34" s="50"/>
      <c r="FO34" s="47"/>
      <c r="FP34" s="47"/>
      <c r="FQ34" s="47"/>
      <c r="FR34" s="47"/>
    </row>
    <row r="35" spans="2:174" ht="11.25" customHeight="1">
      <c r="B35" s="87"/>
      <c r="C35" s="13"/>
      <c r="D35" s="372"/>
      <c r="E35" s="373"/>
      <c r="F35" s="374"/>
      <c r="G35" s="373"/>
      <c r="H35" s="373"/>
      <c r="I35" s="375"/>
      <c r="J35" s="13"/>
      <c r="K35" s="82">
        <f t="shared" si="9"/>
        <v>9.5000000000000005E-6</v>
      </c>
      <c r="W35" s="84">
        <f t="shared" si="10"/>
        <v>9.5000000000000005E-6</v>
      </c>
      <c r="X35" s="84"/>
      <c r="AA35" s="84"/>
      <c r="AG35" s="84">
        <f t="shared" si="11"/>
        <v>9.5000000000000005E-6</v>
      </c>
      <c r="AZ35" s="137"/>
      <c r="BA35" s="172"/>
      <c r="BB35" s="173"/>
      <c r="BC35" s="174"/>
      <c r="BD35" s="173"/>
      <c r="BE35" s="173"/>
      <c r="BF35" s="175"/>
      <c r="BG35" s="88"/>
      <c r="BI35" s="137"/>
      <c r="BJ35" s="172"/>
      <c r="BK35" s="173"/>
      <c r="BL35" s="174"/>
      <c r="BM35" s="173"/>
      <c r="BN35" s="173"/>
      <c r="BO35" s="175"/>
      <c r="BP35" s="88"/>
      <c r="BR35" s="137"/>
      <c r="BS35" s="172"/>
      <c r="BT35" s="173"/>
      <c r="BU35" s="174"/>
      <c r="BV35" s="173"/>
      <c r="BW35" s="173"/>
      <c r="BX35" s="175"/>
      <c r="BY35" s="88"/>
      <c r="CY35" s="275" t="s">
        <v>1547</v>
      </c>
      <c r="CZ35" s="276">
        <f t="shared" ref="CZ35:DE35" si="32">IF(DL5,D11-1,"")</f>
        <v>18</v>
      </c>
      <c r="DA35" s="277">
        <f t="shared" si="32"/>
        <v>18</v>
      </c>
      <c r="DB35" s="278">
        <f t="shared" si="32"/>
        <v>18</v>
      </c>
      <c r="DC35" s="277">
        <f t="shared" si="32"/>
        <v>18</v>
      </c>
      <c r="DD35" s="278">
        <f t="shared" si="32"/>
        <v>18</v>
      </c>
      <c r="DE35" s="276">
        <f t="shared" si="32"/>
        <v>18</v>
      </c>
      <c r="DJ35" s="67"/>
      <c r="DK35" s="68">
        <f>IF(DI57="",NA(),$DL$22)</f>
        <v>6.3</v>
      </c>
      <c r="DL35" s="68">
        <f>IF(DI57="",NA(),DE18)</f>
        <v>38.299999999999997</v>
      </c>
      <c r="DM35" s="68" t="e">
        <f>IF(DN57="",NA(),$DN$22)</f>
        <v>#N/A</v>
      </c>
      <c r="DN35" s="91" t="e">
        <f>IF(DN57="",NA(),DE18)</f>
        <v>#N/A</v>
      </c>
      <c r="DO35" s="62">
        <v>-8</v>
      </c>
      <c r="DP35" s="5">
        <f t="shared" si="22"/>
        <v>-16</v>
      </c>
      <c r="DQ35" s="5">
        <f t="shared" si="23"/>
        <v>19.849999999999994</v>
      </c>
      <c r="DR35" s="5">
        <f t="shared" si="24"/>
        <v>8.6999999999999993</v>
      </c>
      <c r="DS35" s="5" t="e">
        <f t="shared" si="25"/>
        <v>#N/A</v>
      </c>
      <c r="DT35" s="5">
        <f t="shared" si="26"/>
        <v>19.849999999999994</v>
      </c>
      <c r="FN35" s="50"/>
      <c r="FO35" s="47"/>
      <c r="FP35" s="47"/>
      <c r="FQ35" s="47"/>
      <c r="FR35" s="47"/>
    </row>
    <row r="36" spans="2:174" ht="11.25" customHeight="1">
      <c r="B36" s="87"/>
      <c r="C36" s="13"/>
      <c r="D36" s="372"/>
      <c r="E36" s="373"/>
      <c r="F36" s="374"/>
      <c r="G36" s="373"/>
      <c r="H36" s="373"/>
      <c r="I36" s="375"/>
      <c r="J36" s="13"/>
      <c r="K36" s="82">
        <f t="shared" si="9"/>
        <v>9.5000000000000005E-6</v>
      </c>
      <c r="W36" s="84">
        <f t="shared" si="10"/>
        <v>9.5000000000000005E-6</v>
      </c>
      <c r="X36" s="84"/>
      <c r="AA36" s="84"/>
      <c r="AG36" s="84">
        <f t="shared" si="11"/>
        <v>9.5000000000000005E-6</v>
      </c>
      <c r="AZ36" s="137"/>
      <c r="BA36" s="172"/>
      <c r="BB36" s="173"/>
      <c r="BC36" s="174"/>
      <c r="BD36" s="173"/>
      <c r="BE36" s="173"/>
      <c r="BF36" s="175"/>
      <c r="BG36" s="88"/>
      <c r="BI36" s="137"/>
      <c r="BJ36" s="172"/>
      <c r="BK36" s="173"/>
      <c r="BL36" s="174"/>
      <c r="BM36" s="173"/>
      <c r="BN36" s="173"/>
      <c r="BO36" s="175"/>
      <c r="BP36" s="88"/>
      <c r="BR36" s="137"/>
      <c r="BS36" s="172"/>
      <c r="BT36" s="173"/>
      <c r="BU36" s="174"/>
      <c r="BV36" s="173"/>
      <c r="BW36" s="173"/>
      <c r="BX36" s="175"/>
      <c r="BY36" s="88"/>
      <c r="CY36" s="65" t="s">
        <v>1092</v>
      </c>
      <c r="CZ36" s="66"/>
      <c r="DA36" s="66"/>
      <c r="DB36" s="66"/>
      <c r="DC36" s="66"/>
      <c r="DD36" s="66"/>
      <c r="DE36" s="93"/>
      <c r="DJ36" s="67" t="s">
        <v>1113</v>
      </c>
      <c r="DK36" s="68"/>
      <c r="DL36" s="68"/>
      <c r="DM36" s="68"/>
      <c r="DN36" s="91"/>
      <c r="DO36" s="62">
        <v>-9</v>
      </c>
      <c r="DP36" s="5">
        <f t="shared" si="22"/>
        <v>-18</v>
      </c>
      <c r="DQ36" s="5">
        <f t="shared" si="23"/>
        <v>17.849999999999994</v>
      </c>
      <c r="DR36" s="5">
        <f t="shared" si="24"/>
        <v>8.6999999999999993</v>
      </c>
      <c r="DS36" s="5" t="e">
        <f t="shared" si="25"/>
        <v>#N/A</v>
      </c>
      <c r="DT36" s="5">
        <f t="shared" si="26"/>
        <v>17.849999999999994</v>
      </c>
      <c r="FN36" s="50"/>
      <c r="FO36" s="47"/>
      <c r="FP36" s="47"/>
      <c r="FQ36" s="47"/>
      <c r="FR36" s="47"/>
    </row>
    <row r="37" spans="2:174" ht="11.25" customHeight="1">
      <c r="B37" s="87"/>
      <c r="C37" s="13"/>
      <c r="D37" s="372"/>
      <c r="E37" s="373"/>
      <c r="F37" s="374"/>
      <c r="G37" s="373"/>
      <c r="H37" s="373"/>
      <c r="I37" s="375"/>
      <c r="J37" s="13"/>
      <c r="K37" s="82">
        <f t="shared" si="9"/>
        <v>9.5000000000000005E-6</v>
      </c>
      <c r="W37" s="84">
        <f t="shared" si="10"/>
        <v>9.5000000000000005E-6</v>
      </c>
      <c r="X37" s="84"/>
      <c r="AA37" s="84"/>
      <c r="AG37" s="84">
        <f t="shared" si="11"/>
        <v>9.5000000000000005E-6</v>
      </c>
      <c r="AZ37" s="137"/>
      <c r="BA37" s="172"/>
      <c r="BB37" s="173"/>
      <c r="BC37" s="174"/>
      <c r="BD37" s="173"/>
      <c r="BE37" s="173"/>
      <c r="BF37" s="175"/>
      <c r="BG37" s="88"/>
      <c r="BI37" s="137"/>
      <c r="BJ37" s="172"/>
      <c r="BK37" s="173"/>
      <c r="BL37" s="174"/>
      <c r="BM37" s="173"/>
      <c r="BN37" s="173"/>
      <c r="BO37" s="175"/>
      <c r="BP37" s="88"/>
      <c r="BR37" s="137"/>
      <c r="BS37" s="172"/>
      <c r="BT37" s="173"/>
      <c r="BU37" s="174"/>
      <c r="BV37" s="173"/>
      <c r="BW37" s="173"/>
      <c r="BX37" s="175"/>
      <c r="BY37" s="88"/>
      <c r="CY37" s="260" t="s">
        <v>1544</v>
      </c>
      <c r="CZ37" s="68">
        <f t="shared" ref="CZ37:DE39" si="33">IF(D11="","",D11)</f>
        <v>19</v>
      </c>
      <c r="DA37" s="68">
        <f t="shared" si="33"/>
        <v>19</v>
      </c>
      <c r="DB37" s="68">
        <f t="shared" si="33"/>
        <v>19</v>
      </c>
      <c r="DC37" s="68">
        <f t="shared" si="33"/>
        <v>19</v>
      </c>
      <c r="DD37" s="68">
        <f t="shared" si="33"/>
        <v>19</v>
      </c>
      <c r="DE37" s="91">
        <f t="shared" si="33"/>
        <v>19</v>
      </c>
      <c r="DJ37" s="67"/>
      <c r="DK37" s="68">
        <f>IF(DE58="",NA(),DL22)</f>
        <v>6.3</v>
      </c>
      <c r="DL37" s="68">
        <f>IF(DI59="",NA(),DI59)</f>
        <v>38.299999999999997</v>
      </c>
      <c r="DM37" s="68">
        <f>IF(DJ58="",NA(),DN22)</f>
        <v>6.45</v>
      </c>
      <c r="DN37" s="91">
        <f>IF(DN59="",NA(),DN59)</f>
        <v>41.2</v>
      </c>
      <c r="DO37" s="62">
        <v>-10</v>
      </c>
      <c r="DP37" s="5">
        <f t="shared" si="22"/>
        <v>-20</v>
      </c>
      <c r="DQ37" s="5">
        <f t="shared" si="23"/>
        <v>15.849999999999994</v>
      </c>
      <c r="DR37" s="5">
        <f t="shared" si="24"/>
        <v>8.6999999999999993</v>
      </c>
      <c r="DS37" s="5" t="e">
        <f t="shared" si="25"/>
        <v>#N/A</v>
      </c>
      <c r="DT37" s="5">
        <f t="shared" si="26"/>
        <v>15.849999999999994</v>
      </c>
      <c r="FN37" s="50"/>
      <c r="FO37" s="47"/>
      <c r="FP37" s="47"/>
      <c r="FQ37" s="47"/>
      <c r="FR37" s="47"/>
    </row>
    <row r="38" spans="2:174" ht="11.25" customHeight="1">
      <c r="B38" s="87"/>
      <c r="C38" s="13"/>
      <c r="D38" s="372"/>
      <c r="E38" s="373"/>
      <c r="F38" s="374"/>
      <c r="G38" s="373"/>
      <c r="H38" s="373"/>
      <c r="I38" s="375"/>
      <c r="J38" s="13"/>
      <c r="K38" s="82">
        <f t="shared" si="9"/>
        <v>9.5000000000000005E-6</v>
      </c>
      <c r="W38" s="84">
        <f t="shared" si="10"/>
        <v>9.5000000000000005E-6</v>
      </c>
      <c r="X38" s="84"/>
      <c r="AA38" s="84"/>
      <c r="AG38" s="84">
        <f t="shared" si="11"/>
        <v>9.5000000000000005E-6</v>
      </c>
      <c r="AZ38" s="137"/>
      <c r="BA38" s="172"/>
      <c r="BB38" s="173"/>
      <c r="BC38" s="174"/>
      <c r="BD38" s="173"/>
      <c r="BE38" s="173"/>
      <c r="BF38" s="175"/>
      <c r="BG38" s="88"/>
      <c r="BI38" s="137"/>
      <c r="BJ38" s="172"/>
      <c r="BK38" s="173"/>
      <c r="BL38" s="174"/>
      <c r="BM38" s="173"/>
      <c r="BN38" s="173"/>
      <c r="BO38" s="175"/>
      <c r="BP38" s="88"/>
      <c r="BR38" s="137"/>
      <c r="BS38" s="172"/>
      <c r="BT38" s="173"/>
      <c r="BU38" s="174"/>
      <c r="BV38" s="173"/>
      <c r="BW38" s="173"/>
      <c r="BX38" s="175"/>
      <c r="BY38" s="88"/>
      <c r="CY38" s="260" t="s">
        <v>1545</v>
      </c>
      <c r="CZ38" s="68">
        <f t="shared" si="33"/>
        <v>37.5</v>
      </c>
      <c r="DA38" s="68">
        <f t="shared" si="33"/>
        <v>31.9</v>
      </c>
      <c r="DB38" s="68">
        <f t="shared" si="33"/>
        <v>41.2</v>
      </c>
      <c r="DC38" s="68">
        <f t="shared" si="33"/>
        <v>33.4</v>
      </c>
      <c r="DD38" s="68">
        <f t="shared" si="33"/>
        <v>29.9</v>
      </c>
      <c r="DE38" s="91">
        <f t="shared" si="33"/>
        <v>38.299999999999997</v>
      </c>
      <c r="DJ38" s="67"/>
      <c r="DK38" s="68">
        <f>DK37</f>
        <v>6.3</v>
      </c>
      <c r="DL38" s="68">
        <f>IF(DI60="",NA(),DI60)</f>
        <v>33.4</v>
      </c>
      <c r="DM38" s="68">
        <f>DM37</f>
        <v>6.45</v>
      </c>
      <c r="DN38" s="91">
        <f>IF(DN60="",NA(),DN60)</f>
        <v>37.5</v>
      </c>
      <c r="FN38" s="50"/>
      <c r="FO38" s="47"/>
      <c r="FP38" s="47"/>
      <c r="FQ38" s="47"/>
      <c r="FR38" s="47"/>
    </row>
    <row r="39" spans="2:174" ht="11.25" customHeight="1">
      <c r="B39" s="87"/>
      <c r="C39" s="13"/>
      <c r="D39" s="372"/>
      <c r="E39" s="373"/>
      <c r="F39" s="374"/>
      <c r="G39" s="373"/>
      <c r="H39" s="373"/>
      <c r="I39" s="375"/>
      <c r="J39" s="88"/>
      <c r="K39" s="82">
        <f t="shared" si="9"/>
        <v>9.5000000000000005E-6</v>
      </c>
      <c r="W39" s="84">
        <f t="shared" si="10"/>
        <v>9.5000000000000005E-6</v>
      </c>
      <c r="X39" s="84"/>
      <c r="AA39" s="84"/>
      <c r="AG39" s="84">
        <f t="shared" si="11"/>
        <v>9.5000000000000005E-6</v>
      </c>
      <c r="AZ39" s="137"/>
      <c r="BA39" s="172"/>
      <c r="BB39" s="173"/>
      <c r="BC39" s="174"/>
      <c r="BD39" s="173"/>
      <c r="BE39" s="173"/>
      <c r="BF39" s="175"/>
      <c r="BG39" s="88"/>
      <c r="BI39" s="137"/>
      <c r="BJ39" s="172"/>
      <c r="BK39" s="173"/>
      <c r="BL39" s="174"/>
      <c r="BM39" s="173"/>
      <c r="BN39" s="173"/>
      <c r="BO39" s="175"/>
      <c r="BP39" s="88"/>
      <c r="BR39" s="137"/>
      <c r="BS39" s="172"/>
      <c r="BT39" s="173"/>
      <c r="BU39" s="174"/>
      <c r="BV39" s="173"/>
      <c r="BW39" s="173"/>
      <c r="BX39" s="175"/>
      <c r="BY39" s="88"/>
      <c r="CY39" s="115" t="s">
        <v>1546</v>
      </c>
      <c r="CZ39" s="70">
        <f t="shared" si="33"/>
        <v>10</v>
      </c>
      <c r="DA39" s="70">
        <f t="shared" si="33"/>
        <v>13.5</v>
      </c>
      <c r="DB39" s="70">
        <f t="shared" si="33"/>
        <v>14.8</v>
      </c>
      <c r="DC39" s="70">
        <f t="shared" si="33"/>
        <v>10</v>
      </c>
      <c r="DD39" s="70">
        <f t="shared" si="33"/>
        <v>8.6999999999999993</v>
      </c>
      <c r="DE39" s="97">
        <f t="shared" si="33"/>
        <v>10</v>
      </c>
      <c r="DJ39" s="67" t="s">
        <v>1116</v>
      </c>
      <c r="DK39" s="68"/>
      <c r="DL39" s="68"/>
      <c r="DM39" s="68"/>
      <c r="DN39" s="91"/>
      <c r="FN39" s="50"/>
      <c r="FO39" s="47"/>
      <c r="FP39" s="47"/>
      <c r="FQ39" s="47"/>
      <c r="FR39" s="47"/>
    </row>
    <row r="40" spans="2:174" ht="11.25" customHeight="1">
      <c r="B40" s="87"/>
      <c r="C40" s="13"/>
      <c r="D40" s="372"/>
      <c r="E40" s="373"/>
      <c r="F40" s="374"/>
      <c r="G40" s="373"/>
      <c r="H40" s="373"/>
      <c r="I40" s="375"/>
      <c r="J40" s="88"/>
      <c r="K40" s="82">
        <f t="shared" si="9"/>
        <v>9.5000000000000005E-6</v>
      </c>
      <c r="W40" s="84">
        <f t="shared" si="10"/>
        <v>9.5000000000000005E-6</v>
      </c>
      <c r="X40" s="84"/>
      <c r="AA40" s="84"/>
      <c r="AG40" s="84">
        <f t="shared" si="11"/>
        <v>9.5000000000000005E-6</v>
      </c>
      <c r="AZ40" s="137"/>
      <c r="BA40" s="172"/>
      <c r="BB40" s="173"/>
      <c r="BC40" s="174"/>
      <c r="BD40" s="173"/>
      <c r="BE40" s="173"/>
      <c r="BF40" s="175"/>
      <c r="BG40" s="88"/>
      <c r="BI40" s="137"/>
      <c r="BJ40" s="172"/>
      <c r="BK40" s="173"/>
      <c r="BL40" s="174"/>
      <c r="BM40" s="173"/>
      <c r="BN40" s="173"/>
      <c r="BO40" s="175"/>
      <c r="BP40" s="88"/>
      <c r="BR40" s="137"/>
      <c r="BS40" s="172"/>
      <c r="BT40" s="173"/>
      <c r="BU40" s="174"/>
      <c r="BV40" s="173"/>
      <c r="BW40" s="173"/>
      <c r="BX40" s="175"/>
      <c r="BY40" s="88"/>
      <c r="CY40" s="65" t="s">
        <v>1040</v>
      </c>
      <c r="CZ40" s="66"/>
      <c r="DA40" s="66"/>
      <c r="DB40" s="66"/>
      <c r="DC40" s="66"/>
      <c r="DD40" s="66"/>
      <c r="DE40" s="93"/>
      <c r="DJ40" s="67"/>
      <c r="DK40" s="68">
        <f>IF(DE58="",NA(),DL22)</f>
        <v>6.3</v>
      </c>
      <c r="DL40" s="68">
        <f>IF(DE58="",NA(),DI58)</f>
        <v>35.849999999999994</v>
      </c>
      <c r="DM40" s="68">
        <f>IF(DJ58="",NA(),DN22)</f>
        <v>6.45</v>
      </c>
      <c r="DN40" s="91">
        <f>IF(DJ58="",NA(),DN58)</f>
        <v>39.35</v>
      </c>
      <c r="FN40" s="50"/>
      <c r="FO40" s="47"/>
      <c r="FP40" s="47"/>
      <c r="FQ40" s="47"/>
      <c r="FR40" s="47"/>
    </row>
    <row r="41" spans="2:174" ht="11.25" customHeight="1">
      <c r="B41" s="87"/>
      <c r="C41" s="13"/>
      <c r="D41" s="372"/>
      <c r="E41" s="373"/>
      <c r="F41" s="374"/>
      <c r="G41" s="373"/>
      <c r="H41" s="373"/>
      <c r="I41" s="375"/>
      <c r="J41" s="88"/>
      <c r="K41" s="82">
        <f t="shared" si="9"/>
        <v>9.5000000000000005E-6</v>
      </c>
      <c r="W41" s="84">
        <f t="shared" si="10"/>
        <v>9.5000000000000005E-6</v>
      </c>
      <c r="X41" s="84"/>
      <c r="AA41" s="84"/>
      <c r="AG41" s="84">
        <f t="shared" si="11"/>
        <v>9.5000000000000005E-6</v>
      </c>
      <c r="AZ41" s="137"/>
      <c r="BA41" s="172"/>
      <c r="BB41" s="173"/>
      <c r="BC41" s="174"/>
      <c r="BD41" s="173"/>
      <c r="BE41" s="173"/>
      <c r="BF41" s="175"/>
      <c r="BG41" s="88"/>
      <c r="BI41" s="137"/>
      <c r="BJ41" s="172"/>
      <c r="BK41" s="173"/>
      <c r="BL41" s="174"/>
      <c r="BM41" s="173"/>
      <c r="BN41" s="173"/>
      <c r="BO41" s="175"/>
      <c r="BP41" s="88"/>
      <c r="BR41" s="137"/>
      <c r="BS41" s="172"/>
      <c r="BT41" s="173"/>
      <c r="BU41" s="174"/>
      <c r="BV41" s="173"/>
      <c r="BW41" s="173"/>
      <c r="BX41" s="175"/>
      <c r="BY41" s="88"/>
      <c r="CY41" s="260" t="s">
        <v>965</v>
      </c>
      <c r="CZ41" s="236">
        <f t="shared" ref="CZ41:DE41" si="34">IF(DL5,TINV(1-$H$6/100,CZ44)*$DL$8/SQRT(D11),"")</f>
        <v>5.1748068381822243</v>
      </c>
      <c r="DA41" s="151">
        <f t="shared" si="34"/>
        <v>5.1748068381822243</v>
      </c>
      <c r="DB41" s="150">
        <f t="shared" si="34"/>
        <v>5.1748068381822243</v>
      </c>
      <c r="DC41" s="151">
        <f t="shared" si="34"/>
        <v>5.1748068381822243</v>
      </c>
      <c r="DD41" s="150">
        <f t="shared" si="34"/>
        <v>5.1748068381822243</v>
      </c>
      <c r="DE41" s="151">
        <f t="shared" si="34"/>
        <v>5.1748068381822243</v>
      </c>
      <c r="DF41" s="19"/>
      <c r="DJ41" s="67"/>
      <c r="DK41" s="68">
        <f>IF(DE58="",NA(),DH48)</f>
        <v>6.8</v>
      </c>
      <c r="DL41" s="68">
        <f>IF(DE58="",NA(),DI58)</f>
        <v>35.849999999999994</v>
      </c>
      <c r="DM41" s="68">
        <f>IF(DJ58="",NA(),DH47)</f>
        <v>7</v>
      </c>
      <c r="DN41" s="91">
        <f>IF(DJ58="",NA(),DN58)</f>
        <v>39.35</v>
      </c>
      <c r="FN41" s="50"/>
      <c r="FO41" s="47"/>
      <c r="FP41" s="47"/>
      <c r="FQ41" s="47"/>
      <c r="FR41" s="47"/>
    </row>
    <row r="42" spans="2:174" ht="11.25" customHeight="1">
      <c r="B42" s="137"/>
      <c r="C42" s="134"/>
      <c r="D42" s="372"/>
      <c r="E42" s="373"/>
      <c r="F42" s="374"/>
      <c r="G42" s="373"/>
      <c r="H42" s="373"/>
      <c r="I42" s="375"/>
      <c r="J42" s="88"/>
      <c r="K42" s="82">
        <f t="shared" si="9"/>
        <v>9.5000000000000005E-6</v>
      </c>
      <c r="W42" s="84">
        <f t="shared" si="10"/>
        <v>9.5000000000000005E-6</v>
      </c>
      <c r="X42" s="84"/>
      <c r="AA42" s="84"/>
      <c r="AG42" s="84">
        <f t="shared" si="11"/>
        <v>9.5000000000000005E-6</v>
      </c>
      <c r="AZ42" s="137"/>
      <c r="BA42" s="172"/>
      <c r="BB42" s="173"/>
      <c r="BC42" s="174"/>
      <c r="BD42" s="173"/>
      <c r="BE42" s="173"/>
      <c r="BF42" s="175"/>
      <c r="BG42" s="88"/>
      <c r="BI42" s="137"/>
      <c r="BJ42" s="172"/>
      <c r="BK42" s="173"/>
      <c r="BL42" s="174"/>
      <c r="BM42" s="173"/>
      <c r="BN42" s="173"/>
      <c r="BO42" s="175"/>
      <c r="BP42" s="88"/>
      <c r="BR42" s="137"/>
      <c r="BS42" s="172"/>
      <c r="BT42" s="173"/>
      <c r="BU42" s="174"/>
      <c r="BV42" s="173"/>
      <c r="BW42" s="173"/>
      <c r="BX42" s="175"/>
      <c r="BY42" s="88"/>
      <c r="CY42" s="260" t="s">
        <v>1549</v>
      </c>
      <c r="CZ42" s="152">
        <f t="shared" ref="CZ42:DE42" si="35">IF(DL5,D12+CZ41,"")</f>
        <v>42.674806838182221</v>
      </c>
      <c r="DA42" s="153">
        <f t="shared" si="35"/>
        <v>37.074806838182226</v>
      </c>
      <c r="DB42" s="113">
        <f t="shared" si="35"/>
        <v>46.374806838182224</v>
      </c>
      <c r="DC42" s="153">
        <f t="shared" si="35"/>
        <v>38.574806838182226</v>
      </c>
      <c r="DD42" s="113">
        <f t="shared" si="35"/>
        <v>35.074806838182226</v>
      </c>
      <c r="DE42" s="153">
        <f t="shared" si="35"/>
        <v>43.474806838182218</v>
      </c>
      <c r="DF42" s="19"/>
      <c r="DJ42" s="67" t="s">
        <v>1117</v>
      </c>
      <c r="DK42" s="68"/>
      <c r="DL42" s="118">
        <v>8.3000000000000007</v>
      </c>
      <c r="DM42" s="68" t="s">
        <v>1280</v>
      </c>
      <c r="DN42" s="91"/>
      <c r="FN42" s="50"/>
      <c r="FO42" s="47"/>
      <c r="FP42" s="47"/>
      <c r="FQ42" s="47"/>
      <c r="FR42" s="47"/>
    </row>
    <row r="43" spans="2:174" ht="11.25" customHeight="1">
      <c r="B43" s="137"/>
      <c r="C43" s="134"/>
      <c r="D43" s="372"/>
      <c r="E43" s="373"/>
      <c r="F43" s="374"/>
      <c r="G43" s="373"/>
      <c r="H43" s="373"/>
      <c r="I43" s="375"/>
      <c r="J43" s="88"/>
      <c r="K43" s="82">
        <f t="shared" si="9"/>
        <v>9.5000000000000005E-6</v>
      </c>
      <c r="W43" s="84">
        <f t="shared" si="10"/>
        <v>9.5000000000000005E-6</v>
      </c>
      <c r="X43" s="84"/>
      <c r="AA43" s="84"/>
      <c r="AG43" s="84">
        <f t="shared" si="11"/>
        <v>9.5000000000000005E-6</v>
      </c>
      <c r="AZ43" s="137"/>
      <c r="BA43" s="172"/>
      <c r="BB43" s="173"/>
      <c r="BC43" s="174"/>
      <c r="BD43" s="173"/>
      <c r="BE43" s="173"/>
      <c r="BF43" s="175"/>
      <c r="BG43" s="88"/>
      <c r="BI43" s="137"/>
      <c r="BJ43" s="172"/>
      <c r="BK43" s="173"/>
      <c r="BL43" s="174"/>
      <c r="BM43" s="173"/>
      <c r="BN43" s="173"/>
      <c r="BO43" s="175"/>
      <c r="BP43" s="88"/>
      <c r="BR43" s="137"/>
      <c r="BS43" s="172"/>
      <c r="BT43" s="173"/>
      <c r="BU43" s="174"/>
      <c r="BV43" s="173"/>
      <c r="BW43" s="173"/>
      <c r="BX43" s="175"/>
      <c r="BY43" s="88"/>
      <c r="CY43" s="260" t="s">
        <v>1550</v>
      </c>
      <c r="CZ43" s="154">
        <f t="shared" ref="CZ43:DE43" si="36">IF(DL5,D12-CZ41,"")</f>
        <v>32.325193161817779</v>
      </c>
      <c r="DA43" s="155">
        <f t="shared" si="36"/>
        <v>26.725193161817774</v>
      </c>
      <c r="DB43" s="156">
        <f t="shared" si="36"/>
        <v>36.025193161817782</v>
      </c>
      <c r="DC43" s="155">
        <f t="shared" si="36"/>
        <v>28.225193161817774</v>
      </c>
      <c r="DD43" s="156">
        <f t="shared" si="36"/>
        <v>24.725193161817774</v>
      </c>
      <c r="DE43" s="155">
        <f t="shared" si="36"/>
        <v>33.125193161817776</v>
      </c>
      <c r="DF43" s="19"/>
      <c r="DJ43" s="69"/>
      <c r="DK43" s="70">
        <f>IF(OR(DI58="",DN58=""),NA(),DL42)</f>
        <v>8.3000000000000007</v>
      </c>
      <c r="DL43" s="70">
        <f>IF(OR(DI58="",DN58=""),NA(),DN58)</f>
        <v>39.35</v>
      </c>
      <c r="DM43" s="70">
        <f>IF(DO64="",NA(),DO64)</f>
        <v>5.1748068381822252</v>
      </c>
      <c r="DN43" s="97"/>
      <c r="FN43" s="50"/>
      <c r="FO43" s="47"/>
      <c r="FP43" s="47"/>
      <c r="FQ43" s="47"/>
      <c r="FR43" s="47"/>
    </row>
    <row r="44" spans="2:174" ht="11.25" customHeight="1">
      <c r="B44" s="137"/>
      <c r="C44" s="134"/>
      <c r="D44" s="372"/>
      <c r="E44" s="373"/>
      <c r="F44" s="374"/>
      <c r="G44" s="373"/>
      <c r="H44" s="373"/>
      <c r="I44" s="375"/>
      <c r="J44" s="88"/>
      <c r="K44" s="82">
        <f t="shared" si="9"/>
        <v>9.5000000000000005E-6</v>
      </c>
      <c r="W44" s="84">
        <f t="shared" si="10"/>
        <v>9.5000000000000005E-6</v>
      </c>
      <c r="X44" s="84"/>
      <c r="AA44" s="84"/>
      <c r="AG44" s="84">
        <f t="shared" si="11"/>
        <v>9.5000000000000005E-6</v>
      </c>
      <c r="AZ44" s="137"/>
      <c r="BA44" s="172"/>
      <c r="BB44" s="173"/>
      <c r="BC44" s="174"/>
      <c r="BD44" s="173"/>
      <c r="BE44" s="173"/>
      <c r="BF44" s="175"/>
      <c r="BG44" s="88"/>
      <c r="BI44" s="137"/>
      <c r="BJ44" s="172"/>
      <c r="BK44" s="173"/>
      <c r="BL44" s="174"/>
      <c r="BM44" s="173"/>
      <c r="BN44" s="173"/>
      <c r="BO44" s="175"/>
      <c r="BP44" s="88"/>
      <c r="BR44" s="137"/>
      <c r="BS44" s="172"/>
      <c r="BT44" s="173"/>
      <c r="BU44" s="174"/>
      <c r="BV44" s="173"/>
      <c r="BW44" s="173"/>
      <c r="BX44" s="175"/>
      <c r="BY44" s="88"/>
      <c r="CY44" s="115" t="s">
        <v>1547</v>
      </c>
      <c r="CZ44" s="237">
        <f t="shared" ref="CZ44:DE44" si="37">IF(DL5,SUM($CZ$35:$DE$35),"")</f>
        <v>108</v>
      </c>
      <c r="DA44" s="158">
        <f t="shared" si="37"/>
        <v>108</v>
      </c>
      <c r="DB44" s="157">
        <f t="shared" si="37"/>
        <v>108</v>
      </c>
      <c r="DC44" s="158">
        <f t="shared" si="37"/>
        <v>108</v>
      </c>
      <c r="DD44" s="157">
        <f t="shared" si="37"/>
        <v>108</v>
      </c>
      <c r="DE44" s="158">
        <f t="shared" si="37"/>
        <v>108</v>
      </c>
      <c r="FN44" s="50"/>
      <c r="FO44" s="47"/>
      <c r="FP44" s="47"/>
      <c r="FQ44" s="47"/>
      <c r="FR44" s="47"/>
    </row>
    <row r="45" spans="2:174" ht="11.25" customHeight="1">
      <c r="B45" s="137"/>
      <c r="C45" s="134"/>
      <c r="D45" s="372"/>
      <c r="E45" s="373"/>
      <c r="F45" s="374"/>
      <c r="G45" s="373"/>
      <c r="H45" s="373"/>
      <c r="I45" s="375"/>
      <c r="J45" s="88"/>
      <c r="K45" s="82">
        <f t="shared" si="9"/>
        <v>9.5000000000000005E-6</v>
      </c>
      <c r="W45" s="84">
        <f t="shared" si="10"/>
        <v>9.5000000000000005E-6</v>
      </c>
      <c r="X45" s="84"/>
      <c r="AA45" s="84"/>
      <c r="AG45" s="84">
        <f t="shared" si="11"/>
        <v>9.5000000000000005E-6</v>
      </c>
      <c r="AZ45" s="137"/>
      <c r="BA45" s="172"/>
      <c r="BB45" s="173"/>
      <c r="BC45" s="174"/>
      <c r="BD45" s="173"/>
      <c r="BE45" s="173"/>
      <c r="BF45" s="175"/>
      <c r="BG45" s="88"/>
      <c r="BI45" s="137"/>
      <c r="BJ45" s="172"/>
      <c r="BK45" s="173"/>
      <c r="BL45" s="174"/>
      <c r="BM45" s="173"/>
      <c r="BN45" s="173"/>
      <c r="BO45" s="175"/>
      <c r="BP45" s="88"/>
      <c r="BR45" s="137"/>
      <c r="BS45" s="172"/>
      <c r="BT45" s="173"/>
      <c r="BU45" s="174"/>
      <c r="BV45" s="173"/>
      <c r="BW45" s="173"/>
      <c r="BX45" s="175"/>
      <c r="BY45" s="88"/>
      <c r="CY45" s="5" t="s">
        <v>1091</v>
      </c>
      <c r="CZ45" s="5" t="b">
        <f>DC2</f>
        <v>1</v>
      </c>
      <c r="DA45" s="5" t="b">
        <f>DC3</f>
        <v>0</v>
      </c>
      <c r="DB45" s="5" t="b">
        <f>DC4</f>
        <v>1</v>
      </c>
      <c r="DC45" s="5" t="b">
        <f>DC5</f>
        <v>0</v>
      </c>
      <c r="DD45" s="5" t="b">
        <f>DC6</f>
        <v>0</v>
      </c>
      <c r="DE45" s="5" t="b">
        <f>DC7</f>
        <v>0</v>
      </c>
      <c r="DG45" s="65" t="s">
        <v>1103</v>
      </c>
      <c r="DH45" s="66"/>
      <c r="DI45" s="66"/>
      <c r="DJ45" s="66"/>
      <c r="DK45" s="66"/>
      <c r="DL45" s="66"/>
      <c r="DM45" s="66"/>
      <c r="DN45" s="66"/>
      <c r="DO45" s="93"/>
      <c r="FN45" s="50"/>
      <c r="FO45" s="47"/>
      <c r="FP45" s="47"/>
      <c r="FQ45" s="47"/>
      <c r="FR45" s="47"/>
    </row>
    <row r="46" spans="2:174" ht="11.25" customHeight="1">
      <c r="B46" s="137"/>
      <c r="C46" s="134"/>
      <c r="D46" s="372"/>
      <c r="E46" s="373"/>
      <c r="F46" s="374"/>
      <c r="G46" s="373"/>
      <c r="H46" s="373"/>
      <c r="I46" s="375"/>
      <c r="J46" s="88"/>
      <c r="K46" s="82">
        <f t="shared" si="9"/>
        <v>9.5000000000000005E-6</v>
      </c>
      <c r="W46" s="84">
        <f t="shared" si="10"/>
        <v>9.5000000000000005E-6</v>
      </c>
      <c r="X46" s="84"/>
      <c r="AA46" s="84"/>
      <c r="AG46" s="84">
        <f t="shared" si="11"/>
        <v>9.5000000000000005E-6</v>
      </c>
      <c r="AZ46" s="137"/>
      <c r="BA46" s="172"/>
      <c r="BB46" s="173"/>
      <c r="BC46" s="174"/>
      <c r="BD46" s="173"/>
      <c r="BE46" s="173"/>
      <c r="BF46" s="175"/>
      <c r="BG46" s="88"/>
      <c r="BI46" s="137"/>
      <c r="BJ46" s="172"/>
      <c r="BK46" s="173"/>
      <c r="BL46" s="174"/>
      <c r="BM46" s="173"/>
      <c r="BN46" s="173"/>
      <c r="BO46" s="175"/>
      <c r="BP46" s="88"/>
      <c r="BR46" s="137"/>
      <c r="BS46" s="172"/>
      <c r="BT46" s="173"/>
      <c r="BU46" s="174"/>
      <c r="BV46" s="173"/>
      <c r="BW46" s="173"/>
      <c r="BX46" s="175"/>
      <c r="BY46" s="88"/>
      <c r="CY46" s="5" t="s">
        <v>1093</v>
      </c>
      <c r="CZ46" s="5" t="b">
        <f>DB2</f>
        <v>0</v>
      </c>
      <c r="DA46" s="5" t="b">
        <f>DB3</f>
        <v>0</v>
      </c>
      <c r="DB46" s="5" t="b">
        <f>DB4</f>
        <v>0</v>
      </c>
      <c r="DC46" s="5" t="b">
        <f>DB5</f>
        <v>1</v>
      </c>
      <c r="DD46" s="5" t="b">
        <f>DB6</f>
        <v>0</v>
      </c>
      <c r="DE46" s="5" t="b">
        <f>DB7</f>
        <v>1</v>
      </c>
      <c r="DG46" s="67"/>
      <c r="DH46" s="267" t="s">
        <v>1184</v>
      </c>
      <c r="DI46" s="267" t="s">
        <v>600</v>
      </c>
      <c r="DJ46" s="267" t="s">
        <v>1280</v>
      </c>
      <c r="DK46" s="267"/>
      <c r="DL46" s="267" t="s">
        <v>1104</v>
      </c>
      <c r="DM46" s="267" t="s">
        <v>1184</v>
      </c>
      <c r="DN46" s="267" t="s">
        <v>600</v>
      </c>
      <c r="DO46" s="268" t="s">
        <v>1280</v>
      </c>
      <c r="FN46" s="50"/>
      <c r="FO46" s="47"/>
      <c r="FP46" s="47"/>
      <c r="FQ46" s="47"/>
      <c r="FR46" s="47"/>
    </row>
    <row r="47" spans="2:174" ht="11.25" customHeight="1">
      <c r="B47" s="137"/>
      <c r="C47" s="134"/>
      <c r="D47" s="372"/>
      <c r="E47" s="373"/>
      <c r="F47" s="374"/>
      <c r="G47" s="373"/>
      <c r="H47" s="373"/>
      <c r="I47" s="375"/>
      <c r="J47" s="88"/>
      <c r="W47" s="84"/>
      <c r="AA47" s="84"/>
      <c r="AG47" s="84"/>
      <c r="AZ47" s="137"/>
      <c r="BA47" s="172"/>
      <c r="BB47" s="173"/>
      <c r="BC47" s="174"/>
      <c r="BD47" s="173"/>
      <c r="BE47" s="173"/>
      <c r="BF47" s="175"/>
      <c r="BG47" s="88"/>
      <c r="BI47" s="137"/>
      <c r="BJ47" s="172"/>
      <c r="BK47" s="173"/>
      <c r="BL47" s="174"/>
      <c r="BM47" s="173"/>
      <c r="BN47" s="173"/>
      <c r="BO47" s="175"/>
      <c r="BP47" s="88"/>
      <c r="BR47" s="137"/>
      <c r="BS47" s="172"/>
      <c r="BT47" s="173"/>
      <c r="BU47" s="174"/>
      <c r="BV47" s="173"/>
      <c r="BW47" s="173"/>
      <c r="BX47" s="175"/>
      <c r="BY47" s="88"/>
      <c r="DG47" s="67" t="s">
        <v>1091</v>
      </c>
      <c r="DH47" s="118">
        <v>7</v>
      </c>
      <c r="DI47" s="68">
        <f>IF(DN58="",NA(),DN58)</f>
        <v>39.35</v>
      </c>
      <c r="DJ47" s="68">
        <f>IF(OR(NOT(DF11),DM64=""),NA(),DM64)</f>
        <v>3.6591410066091683</v>
      </c>
      <c r="DK47" s="68"/>
      <c r="DL47" s="68"/>
      <c r="DM47" s="118">
        <v>8.1</v>
      </c>
      <c r="DN47" s="68">
        <f>IF(DO58="",NA(),DO58)</f>
        <v>3.5000000000000071</v>
      </c>
      <c r="DO47" s="91">
        <f>IF(DO64="",NA(),DO64)</f>
        <v>5.1748068381822252</v>
      </c>
      <c r="FN47" s="50"/>
      <c r="FO47" s="47"/>
      <c r="FP47" s="47"/>
      <c r="FQ47" s="47"/>
      <c r="FR47" s="47"/>
    </row>
    <row r="48" spans="2:174" ht="11.25" customHeight="1">
      <c r="B48" s="137"/>
      <c r="C48" s="134"/>
      <c r="D48" s="372"/>
      <c r="E48" s="373"/>
      <c r="F48" s="374"/>
      <c r="G48" s="373"/>
      <c r="H48" s="373"/>
      <c r="I48" s="375"/>
      <c r="J48" s="88"/>
      <c r="AA48" s="84"/>
      <c r="AZ48" s="137"/>
      <c r="BA48" s="172"/>
      <c r="BB48" s="173"/>
      <c r="BC48" s="174"/>
      <c r="BD48" s="173"/>
      <c r="BE48" s="173"/>
      <c r="BF48" s="175"/>
      <c r="BG48" s="88"/>
      <c r="BI48" s="137"/>
      <c r="BJ48" s="172"/>
      <c r="BK48" s="173"/>
      <c r="BL48" s="174"/>
      <c r="BM48" s="173"/>
      <c r="BN48" s="173"/>
      <c r="BO48" s="175"/>
      <c r="BP48" s="88"/>
      <c r="BR48" s="137"/>
      <c r="BS48" s="172"/>
      <c r="BT48" s="173"/>
      <c r="BU48" s="174"/>
      <c r="BV48" s="173"/>
      <c r="BW48" s="173"/>
      <c r="BX48" s="175"/>
      <c r="BY48" s="88"/>
      <c r="DG48" s="69" t="s">
        <v>1093</v>
      </c>
      <c r="DH48" s="269">
        <v>6.8</v>
      </c>
      <c r="DI48" s="70">
        <f>IF(DI58="",NA(),DI58)</f>
        <v>35.849999999999994</v>
      </c>
      <c r="DJ48" s="70">
        <f>IF(OR(NOT(DF11),DH64=""),NA(),DH64)</f>
        <v>3.6591410066091683</v>
      </c>
      <c r="DK48" s="70"/>
      <c r="DL48" s="70"/>
      <c r="DM48" s="70"/>
      <c r="DN48" s="70"/>
      <c r="DO48" s="97"/>
      <c r="FN48" s="50"/>
      <c r="FO48" s="47"/>
      <c r="FP48" s="47"/>
      <c r="FQ48" s="47"/>
      <c r="FR48" s="47"/>
    </row>
    <row r="49" spans="2:174" ht="11.25" customHeight="1">
      <c r="B49" s="137"/>
      <c r="C49" s="134"/>
      <c r="D49" s="372"/>
      <c r="E49" s="373"/>
      <c r="F49" s="374"/>
      <c r="G49" s="373"/>
      <c r="H49" s="373"/>
      <c r="I49" s="375"/>
      <c r="J49" s="88"/>
      <c r="AZ49" s="137"/>
      <c r="BA49" s="172"/>
      <c r="BB49" s="173"/>
      <c r="BC49" s="174"/>
      <c r="BD49" s="173"/>
      <c r="BE49" s="173"/>
      <c r="BF49" s="175"/>
      <c r="BG49" s="88"/>
      <c r="BI49" s="137"/>
      <c r="BJ49" s="172"/>
      <c r="BK49" s="173"/>
      <c r="BL49" s="174"/>
      <c r="BM49" s="173"/>
      <c r="BN49" s="173"/>
      <c r="BO49" s="175"/>
      <c r="BP49" s="88"/>
      <c r="BR49" s="137"/>
      <c r="BS49" s="172"/>
      <c r="BT49" s="173"/>
      <c r="BU49" s="174"/>
      <c r="BV49" s="173"/>
      <c r="BW49" s="173"/>
      <c r="BX49" s="175"/>
      <c r="BY49" s="88"/>
      <c r="FN49" s="50"/>
      <c r="FO49" s="47"/>
      <c r="FP49" s="47"/>
      <c r="FQ49" s="47"/>
      <c r="FR49" s="47"/>
    </row>
    <row r="50" spans="2:174" ht="11.25" customHeight="1">
      <c r="B50" s="137"/>
      <c r="C50" s="134"/>
      <c r="D50" s="372"/>
      <c r="E50" s="373"/>
      <c r="F50" s="374"/>
      <c r="G50" s="373"/>
      <c r="H50" s="373"/>
      <c r="I50" s="375"/>
      <c r="J50" s="88"/>
      <c r="AZ50" s="137"/>
      <c r="BA50" s="172"/>
      <c r="BB50" s="173"/>
      <c r="BC50" s="174"/>
      <c r="BD50" s="173"/>
      <c r="BE50" s="173"/>
      <c r="BF50" s="175"/>
      <c r="BG50" s="88"/>
      <c r="BI50" s="137"/>
      <c r="BJ50" s="172"/>
      <c r="BK50" s="173"/>
      <c r="BL50" s="174"/>
      <c r="BM50" s="173"/>
      <c r="BN50" s="173"/>
      <c r="BO50" s="175"/>
      <c r="BP50" s="88"/>
      <c r="BR50" s="137"/>
      <c r="BS50" s="172"/>
      <c r="BT50" s="173"/>
      <c r="BU50" s="174"/>
      <c r="BV50" s="173"/>
      <c r="BW50" s="173"/>
      <c r="BX50" s="175"/>
      <c r="BY50" s="88"/>
      <c r="CY50" s="65" t="s">
        <v>479</v>
      </c>
      <c r="CZ50" s="66"/>
      <c r="DA50" s="66"/>
      <c r="DB50" s="66"/>
      <c r="DC50" s="66"/>
      <c r="DD50" s="66"/>
      <c r="DE50" s="66" t="s">
        <v>481</v>
      </c>
      <c r="DF50" s="66"/>
      <c r="DG50" s="66"/>
      <c r="DH50" s="66"/>
      <c r="DI50" s="66"/>
      <c r="DJ50" s="66" t="s">
        <v>480</v>
      </c>
      <c r="DK50" s="66"/>
      <c r="DL50" s="66"/>
      <c r="DM50" s="66"/>
      <c r="DN50" s="66"/>
      <c r="DO50" s="358" t="s">
        <v>1104</v>
      </c>
      <c r="FN50" s="50"/>
      <c r="FO50" s="47"/>
      <c r="FP50" s="47"/>
      <c r="FQ50" s="47"/>
      <c r="FR50" s="47"/>
    </row>
    <row r="51" spans="2:174" ht="11.25" customHeight="1">
      <c r="B51" s="137"/>
      <c r="C51" s="134"/>
      <c r="D51" s="372"/>
      <c r="E51" s="373"/>
      <c r="F51" s="374"/>
      <c r="G51" s="373"/>
      <c r="H51" s="373"/>
      <c r="I51" s="375"/>
      <c r="J51" s="88"/>
      <c r="AZ51" s="137"/>
      <c r="BA51" s="172"/>
      <c r="BB51" s="173"/>
      <c r="BC51" s="174"/>
      <c r="BD51" s="173"/>
      <c r="BE51" s="173"/>
      <c r="BF51" s="175"/>
      <c r="BG51" s="88"/>
      <c r="BI51" s="137"/>
      <c r="BJ51" s="172"/>
      <c r="BK51" s="173"/>
      <c r="BL51" s="174"/>
      <c r="BM51" s="173"/>
      <c r="BN51" s="173"/>
      <c r="BO51" s="175"/>
      <c r="BP51" s="88"/>
      <c r="BR51" s="137"/>
      <c r="BS51" s="172"/>
      <c r="BT51" s="173"/>
      <c r="BU51" s="174"/>
      <c r="BV51" s="173"/>
      <c r="BW51" s="173"/>
      <c r="BX51" s="175"/>
      <c r="BY51" s="88"/>
      <c r="CY51" s="65" t="s">
        <v>1094</v>
      </c>
      <c r="CZ51" s="66" t="s">
        <v>1523</v>
      </c>
      <c r="DA51" s="66" t="s">
        <v>1524</v>
      </c>
      <c r="DB51" s="93" t="s">
        <v>1280</v>
      </c>
      <c r="DC51" s="65" t="s">
        <v>1093</v>
      </c>
      <c r="DD51" s="93" t="s">
        <v>1091</v>
      </c>
      <c r="DE51" s="65" t="s">
        <v>1523</v>
      </c>
      <c r="DF51" s="66" t="s">
        <v>1097</v>
      </c>
      <c r="DG51" s="66" t="s">
        <v>1099</v>
      </c>
      <c r="DH51" s="66" t="s">
        <v>1100</v>
      </c>
      <c r="DI51" s="10" t="s">
        <v>1524</v>
      </c>
      <c r="DJ51" s="65" t="s">
        <v>1523</v>
      </c>
      <c r="DK51" s="66" t="s">
        <v>1097</v>
      </c>
      <c r="DL51" s="66" t="s">
        <v>1099</v>
      </c>
      <c r="DM51" s="66" t="s">
        <v>1100</v>
      </c>
      <c r="DN51" s="10" t="s">
        <v>1524</v>
      </c>
      <c r="DO51" s="91" t="s">
        <v>1111</v>
      </c>
      <c r="FN51" s="50"/>
      <c r="FO51" s="47"/>
      <c r="FP51" s="47"/>
      <c r="FQ51" s="47"/>
      <c r="FR51" s="47"/>
    </row>
    <row r="52" spans="2:174" ht="11.25" customHeight="1">
      <c r="B52" s="137"/>
      <c r="C52" s="134"/>
      <c r="D52" s="372"/>
      <c r="E52" s="373"/>
      <c r="F52" s="374"/>
      <c r="G52" s="373"/>
      <c r="H52" s="373"/>
      <c r="I52" s="375"/>
      <c r="J52" s="88"/>
      <c r="AZ52" s="137"/>
      <c r="BA52" s="172"/>
      <c r="BB52" s="173"/>
      <c r="BC52" s="174"/>
      <c r="BD52" s="173"/>
      <c r="BE52" s="173"/>
      <c r="BF52" s="175"/>
      <c r="BG52" s="88"/>
      <c r="BI52" s="137"/>
      <c r="BJ52" s="172"/>
      <c r="BK52" s="173"/>
      <c r="BL52" s="174"/>
      <c r="BM52" s="173"/>
      <c r="BN52" s="173"/>
      <c r="BO52" s="175"/>
      <c r="BP52" s="88"/>
      <c r="BR52" s="137"/>
      <c r="BS52" s="172"/>
      <c r="BT52" s="173"/>
      <c r="BU52" s="174"/>
      <c r="BV52" s="173"/>
      <c r="BW52" s="173"/>
      <c r="BX52" s="175"/>
      <c r="BY52" s="88"/>
      <c r="CY52" s="67">
        <v>1</v>
      </c>
      <c r="CZ52" s="68">
        <f>IF(D11="","",D11)</f>
        <v>19</v>
      </c>
      <c r="DA52" s="68">
        <f>IF(D12="","",D12)</f>
        <v>37.5</v>
      </c>
      <c r="DB52" s="91">
        <f>IF(CZ41="","",CZ41)</f>
        <v>5.1748068381822243</v>
      </c>
      <c r="DC52" s="67" t="b">
        <f t="shared" ref="DC52:DC57" si="38">AND($DB$10,DB2)</f>
        <v>0</v>
      </c>
      <c r="DD52" s="91" t="b">
        <f t="shared" ref="DD52:DD57" si="39">AND($DC$10,DC2)</f>
        <v>1</v>
      </c>
      <c r="DE52" s="67" t="str">
        <f t="shared" ref="DE52:DE57" si="40">IF(AND($DB$10,$DC52),CZ52,"")</f>
        <v/>
      </c>
      <c r="DF52" s="68" t="str">
        <f t="shared" ref="DF52:DF57" si="41">IF(DE52="","",1/$DE$60)</f>
        <v/>
      </c>
      <c r="DG52" s="68" t="str">
        <f t="shared" ref="DG52:DG57" si="42">IF(DF52="","",DF52^2)</f>
        <v/>
      </c>
      <c r="DH52" s="68" t="str">
        <f t="shared" ref="DH52:DH57" si="43">IF(DE52="","",DG52/DE52)</f>
        <v/>
      </c>
      <c r="DI52" s="91" t="str">
        <f t="shared" ref="DI52:DI57" si="44">IF(AND($DB$10,$DC52),DA52,"")</f>
        <v/>
      </c>
      <c r="DJ52" s="67">
        <f t="shared" ref="DJ52:DJ57" si="45">IF(AND($DC$10,$DD52),CZ52,"")</f>
        <v>19</v>
      </c>
      <c r="DK52" s="68">
        <f t="shared" ref="DK52:DK57" si="46">IF(DJ52="","",1/$DJ$60)</f>
        <v>0.5</v>
      </c>
      <c r="DL52" s="68">
        <f t="shared" ref="DL52:DL57" si="47">IF(DK52="","",DK52^2)</f>
        <v>0.25</v>
      </c>
      <c r="DM52" s="68">
        <f t="shared" ref="DM52:DM57" si="48">IF(DJ52="","",DL52/DJ52)</f>
        <v>1.3157894736842105E-2</v>
      </c>
      <c r="DN52" s="91">
        <f t="shared" ref="DN52:DN57" si="49">IF(AND($DC$10,$DD52),DA52,"")</f>
        <v>37.5</v>
      </c>
      <c r="DO52" s="91" t="s">
        <v>1112</v>
      </c>
      <c r="FN52" s="50"/>
      <c r="FO52" s="47"/>
      <c r="FP52" s="47"/>
      <c r="FQ52" s="47"/>
      <c r="FR52" s="47"/>
    </row>
    <row r="53" spans="2:174" ht="11.25" customHeight="1">
      <c r="B53" s="137"/>
      <c r="C53" s="134"/>
      <c r="D53" s="372"/>
      <c r="E53" s="373"/>
      <c r="F53" s="374"/>
      <c r="G53" s="373"/>
      <c r="H53" s="373"/>
      <c r="I53" s="375"/>
      <c r="J53" s="88"/>
      <c r="AZ53" s="137"/>
      <c r="BA53" s="172"/>
      <c r="BB53" s="173"/>
      <c r="BC53" s="174"/>
      <c r="BD53" s="173"/>
      <c r="BE53" s="173"/>
      <c r="BF53" s="175"/>
      <c r="BG53" s="88"/>
      <c r="BI53" s="137"/>
      <c r="BJ53" s="172"/>
      <c r="BK53" s="173"/>
      <c r="BL53" s="174"/>
      <c r="BM53" s="173"/>
      <c r="BN53" s="173"/>
      <c r="BO53" s="175"/>
      <c r="BP53" s="88"/>
      <c r="BR53" s="137"/>
      <c r="BS53" s="172"/>
      <c r="BT53" s="173"/>
      <c r="BU53" s="174"/>
      <c r="BV53" s="173"/>
      <c r="BW53" s="173"/>
      <c r="BX53" s="175"/>
      <c r="BY53" s="88"/>
      <c r="CY53" s="67">
        <v>2</v>
      </c>
      <c r="CZ53" s="68">
        <f>IF(E11="","",E11)</f>
        <v>19</v>
      </c>
      <c r="DA53" s="68">
        <f>IF(E12="","",E12)</f>
        <v>31.9</v>
      </c>
      <c r="DB53" s="91">
        <f>IF(DA41="","",DA41)</f>
        <v>5.1748068381822243</v>
      </c>
      <c r="DC53" s="67" t="b">
        <f t="shared" si="38"/>
        <v>0</v>
      </c>
      <c r="DD53" s="91" t="b">
        <f t="shared" si="39"/>
        <v>0</v>
      </c>
      <c r="DE53" s="67" t="str">
        <f t="shared" si="40"/>
        <v/>
      </c>
      <c r="DF53" s="68" t="str">
        <f t="shared" si="41"/>
        <v/>
      </c>
      <c r="DG53" s="68" t="str">
        <f t="shared" si="42"/>
        <v/>
      </c>
      <c r="DH53" s="68" t="str">
        <f t="shared" si="43"/>
        <v/>
      </c>
      <c r="DI53" s="91" t="str">
        <f t="shared" si="44"/>
        <v/>
      </c>
      <c r="DJ53" s="67" t="str">
        <f t="shared" si="45"/>
        <v/>
      </c>
      <c r="DK53" s="68" t="str">
        <f t="shared" si="46"/>
        <v/>
      </c>
      <c r="DL53" s="68" t="str">
        <f t="shared" si="47"/>
        <v/>
      </c>
      <c r="DM53" s="68" t="str">
        <f t="shared" si="48"/>
        <v/>
      </c>
      <c r="DN53" s="91" t="str">
        <f t="shared" si="49"/>
        <v/>
      </c>
      <c r="DO53" s="91"/>
      <c r="FN53" s="50"/>
      <c r="FO53" s="47"/>
      <c r="FP53" s="47"/>
      <c r="FQ53" s="47"/>
      <c r="FR53" s="47"/>
    </row>
    <row r="54" spans="2:174" ht="11.25" customHeight="1">
      <c r="B54" s="137"/>
      <c r="C54" s="134"/>
      <c r="D54" s="372"/>
      <c r="E54" s="373"/>
      <c r="F54" s="374"/>
      <c r="G54" s="373"/>
      <c r="H54" s="373"/>
      <c r="I54" s="375"/>
      <c r="J54" s="88"/>
      <c r="AZ54" s="137"/>
      <c r="BA54" s="172"/>
      <c r="BB54" s="173"/>
      <c r="BC54" s="174"/>
      <c r="BD54" s="173"/>
      <c r="BE54" s="173"/>
      <c r="BF54" s="175"/>
      <c r="BG54" s="88"/>
      <c r="BI54" s="137"/>
      <c r="BJ54" s="172"/>
      <c r="BK54" s="173"/>
      <c r="BL54" s="174"/>
      <c r="BM54" s="173"/>
      <c r="BN54" s="173"/>
      <c r="BO54" s="175"/>
      <c r="BP54" s="88"/>
      <c r="BR54" s="137"/>
      <c r="BS54" s="172"/>
      <c r="BT54" s="173"/>
      <c r="BU54" s="174"/>
      <c r="BV54" s="173"/>
      <c r="BW54" s="173"/>
      <c r="BX54" s="175"/>
      <c r="BY54" s="88"/>
      <c r="CY54" s="67">
        <v>3</v>
      </c>
      <c r="CZ54" s="68">
        <f>IF(F11="","",F11)</f>
        <v>19</v>
      </c>
      <c r="DA54" s="68">
        <f>IF(F12="","",F12)</f>
        <v>41.2</v>
      </c>
      <c r="DB54" s="91">
        <f>IF(DB41="","",DB41)</f>
        <v>5.1748068381822243</v>
      </c>
      <c r="DC54" s="67" t="b">
        <f t="shared" si="38"/>
        <v>0</v>
      </c>
      <c r="DD54" s="91" t="b">
        <f t="shared" si="39"/>
        <v>1</v>
      </c>
      <c r="DE54" s="67" t="str">
        <f t="shared" si="40"/>
        <v/>
      </c>
      <c r="DF54" s="68" t="str">
        <f t="shared" si="41"/>
        <v/>
      </c>
      <c r="DG54" s="68" t="str">
        <f t="shared" si="42"/>
        <v/>
      </c>
      <c r="DH54" s="68" t="str">
        <f t="shared" si="43"/>
        <v/>
      </c>
      <c r="DI54" s="91" t="str">
        <f t="shared" si="44"/>
        <v/>
      </c>
      <c r="DJ54" s="67">
        <f t="shared" si="45"/>
        <v>19</v>
      </c>
      <c r="DK54" s="68">
        <f t="shared" si="46"/>
        <v>0.5</v>
      </c>
      <c r="DL54" s="68">
        <f t="shared" si="47"/>
        <v>0.25</v>
      </c>
      <c r="DM54" s="68">
        <f t="shared" si="48"/>
        <v>1.3157894736842105E-2</v>
      </c>
      <c r="DN54" s="91">
        <f t="shared" si="49"/>
        <v>41.2</v>
      </c>
      <c r="DO54" s="91"/>
      <c r="FN54" s="50"/>
      <c r="FO54" s="47"/>
      <c r="FP54" s="47"/>
      <c r="FQ54" s="47"/>
      <c r="FR54" s="47"/>
    </row>
    <row r="55" spans="2:174" ht="11.25" customHeight="1">
      <c r="B55" s="137"/>
      <c r="C55" s="134"/>
      <c r="D55" s="372"/>
      <c r="E55" s="373"/>
      <c r="F55" s="374"/>
      <c r="G55" s="373"/>
      <c r="H55" s="373"/>
      <c r="I55" s="375"/>
      <c r="J55" s="88"/>
      <c r="AZ55" s="137"/>
      <c r="BA55" s="172"/>
      <c r="BB55" s="173"/>
      <c r="BC55" s="174"/>
      <c r="BD55" s="173"/>
      <c r="BE55" s="173"/>
      <c r="BF55" s="175"/>
      <c r="BG55" s="88"/>
      <c r="BI55" s="137"/>
      <c r="BJ55" s="172"/>
      <c r="BK55" s="173"/>
      <c r="BL55" s="174"/>
      <c r="BM55" s="173"/>
      <c r="BN55" s="173"/>
      <c r="BO55" s="175"/>
      <c r="BP55" s="88"/>
      <c r="BR55" s="137"/>
      <c r="BS55" s="172"/>
      <c r="BT55" s="173"/>
      <c r="BU55" s="174"/>
      <c r="BV55" s="173"/>
      <c r="BW55" s="173"/>
      <c r="BX55" s="175"/>
      <c r="BY55" s="88"/>
      <c r="CY55" s="67">
        <v>4</v>
      </c>
      <c r="CZ55" s="68">
        <f>IF(G11="","",G11)</f>
        <v>19</v>
      </c>
      <c r="DA55" s="68">
        <f>IF(G12="","",G12)</f>
        <v>33.4</v>
      </c>
      <c r="DB55" s="91">
        <f>IF(DC41="","",DC41)</f>
        <v>5.1748068381822243</v>
      </c>
      <c r="DC55" s="67" t="b">
        <f t="shared" si="38"/>
        <v>1</v>
      </c>
      <c r="DD55" s="91" t="b">
        <f t="shared" si="39"/>
        <v>0</v>
      </c>
      <c r="DE55" s="67">
        <f t="shared" si="40"/>
        <v>19</v>
      </c>
      <c r="DF55" s="68">
        <f t="shared" si="41"/>
        <v>0.5</v>
      </c>
      <c r="DG55" s="68">
        <f t="shared" si="42"/>
        <v>0.25</v>
      </c>
      <c r="DH55" s="68">
        <f t="shared" si="43"/>
        <v>1.3157894736842105E-2</v>
      </c>
      <c r="DI55" s="91">
        <f t="shared" si="44"/>
        <v>33.4</v>
      </c>
      <c r="DJ55" s="67" t="str">
        <f t="shared" si="45"/>
        <v/>
      </c>
      <c r="DK55" s="68" t="str">
        <f t="shared" si="46"/>
        <v/>
      </c>
      <c r="DL55" s="68" t="str">
        <f t="shared" si="47"/>
        <v/>
      </c>
      <c r="DM55" s="68" t="str">
        <f t="shared" si="48"/>
        <v/>
      </c>
      <c r="DN55" s="91" t="str">
        <f t="shared" si="49"/>
        <v/>
      </c>
      <c r="DO55" s="91"/>
      <c r="FN55" s="50"/>
      <c r="FO55" s="47"/>
      <c r="FP55" s="47"/>
      <c r="FQ55" s="47"/>
      <c r="FR55" s="47"/>
    </row>
    <row r="56" spans="2:174" ht="11.25" customHeight="1">
      <c r="B56" s="137"/>
      <c r="C56" s="134"/>
      <c r="D56" s="372"/>
      <c r="E56" s="373"/>
      <c r="F56" s="374"/>
      <c r="G56" s="373"/>
      <c r="H56" s="373"/>
      <c r="I56" s="375"/>
      <c r="J56" s="88"/>
      <c r="AZ56" s="137"/>
      <c r="BA56" s="172"/>
      <c r="BB56" s="173"/>
      <c r="BC56" s="174"/>
      <c r="BD56" s="173"/>
      <c r="BE56" s="173"/>
      <c r="BF56" s="175"/>
      <c r="BG56" s="88"/>
      <c r="BI56" s="137"/>
      <c r="BJ56" s="172"/>
      <c r="BK56" s="173"/>
      <c r="BL56" s="174"/>
      <c r="BM56" s="173"/>
      <c r="BN56" s="173"/>
      <c r="BO56" s="175"/>
      <c r="BP56" s="88"/>
      <c r="BR56" s="137"/>
      <c r="BS56" s="172"/>
      <c r="BT56" s="173"/>
      <c r="BU56" s="174"/>
      <c r="BV56" s="173"/>
      <c r="BW56" s="173"/>
      <c r="BX56" s="175"/>
      <c r="BY56" s="88"/>
      <c r="CY56" s="67">
        <v>5</v>
      </c>
      <c r="CZ56" s="68">
        <f>IF(H11="","",H11)</f>
        <v>19</v>
      </c>
      <c r="DA56" s="68">
        <f>IF(H12="","",H12)</f>
        <v>29.9</v>
      </c>
      <c r="DB56" s="91">
        <f>IF(DD41="","",DD41)</f>
        <v>5.1748068381822243</v>
      </c>
      <c r="DC56" s="67" t="b">
        <f t="shared" si="38"/>
        <v>0</v>
      </c>
      <c r="DD56" s="91" t="b">
        <f t="shared" si="39"/>
        <v>0</v>
      </c>
      <c r="DE56" s="67" t="str">
        <f t="shared" si="40"/>
        <v/>
      </c>
      <c r="DF56" s="68" t="str">
        <f t="shared" si="41"/>
        <v/>
      </c>
      <c r="DG56" s="68" t="str">
        <f t="shared" si="42"/>
        <v/>
      </c>
      <c r="DH56" s="68" t="str">
        <f t="shared" si="43"/>
        <v/>
      </c>
      <c r="DI56" s="91" t="str">
        <f t="shared" si="44"/>
        <v/>
      </c>
      <c r="DJ56" s="67" t="str">
        <f t="shared" si="45"/>
        <v/>
      </c>
      <c r="DK56" s="68" t="str">
        <f t="shared" si="46"/>
        <v/>
      </c>
      <c r="DL56" s="68" t="str">
        <f t="shared" si="47"/>
        <v/>
      </c>
      <c r="DM56" s="68" t="str">
        <f t="shared" si="48"/>
        <v/>
      </c>
      <c r="DN56" s="91" t="str">
        <f t="shared" si="49"/>
        <v/>
      </c>
      <c r="DO56" s="91"/>
      <c r="FN56" s="50"/>
      <c r="FO56" s="47"/>
      <c r="FP56" s="47"/>
      <c r="FQ56" s="47"/>
      <c r="FR56" s="47"/>
    </row>
    <row r="57" spans="2:174" ht="11.25" customHeight="1">
      <c r="B57" s="137"/>
      <c r="C57" s="134"/>
      <c r="D57" s="372"/>
      <c r="E57" s="373"/>
      <c r="F57" s="374"/>
      <c r="G57" s="373"/>
      <c r="H57" s="373"/>
      <c r="I57" s="375"/>
      <c r="J57" s="88"/>
      <c r="AZ57" s="137"/>
      <c r="BA57" s="172"/>
      <c r="BB57" s="173"/>
      <c r="BC57" s="174"/>
      <c r="BD57" s="173"/>
      <c r="BE57" s="173"/>
      <c r="BF57" s="175"/>
      <c r="BG57" s="88"/>
      <c r="BI57" s="137"/>
      <c r="BJ57" s="172"/>
      <c r="BK57" s="173"/>
      <c r="BL57" s="174"/>
      <c r="BM57" s="173"/>
      <c r="BN57" s="173"/>
      <c r="BO57" s="175"/>
      <c r="BP57" s="88"/>
      <c r="BR57" s="137"/>
      <c r="BS57" s="172"/>
      <c r="BT57" s="173"/>
      <c r="BU57" s="174"/>
      <c r="BV57" s="173"/>
      <c r="BW57" s="173"/>
      <c r="BX57" s="175"/>
      <c r="BY57" s="88"/>
      <c r="CY57" s="69">
        <v>6</v>
      </c>
      <c r="CZ57" s="70">
        <f>IF(I11="","",I11)</f>
        <v>19</v>
      </c>
      <c r="DA57" s="70">
        <f>IF(I12="","",I12)</f>
        <v>38.299999999999997</v>
      </c>
      <c r="DB57" s="97">
        <f>IF(DE41="","",DE41)</f>
        <v>5.1748068381822243</v>
      </c>
      <c r="DC57" s="69" t="b">
        <f t="shared" si="38"/>
        <v>1</v>
      </c>
      <c r="DD57" s="91" t="b">
        <f t="shared" si="39"/>
        <v>0</v>
      </c>
      <c r="DE57" s="67">
        <f t="shared" si="40"/>
        <v>19</v>
      </c>
      <c r="DF57" s="68">
        <f t="shared" si="41"/>
        <v>0.5</v>
      </c>
      <c r="DG57" s="68">
        <f t="shared" si="42"/>
        <v>0.25</v>
      </c>
      <c r="DH57" s="68">
        <f t="shared" si="43"/>
        <v>1.3157894736842105E-2</v>
      </c>
      <c r="DI57" s="91">
        <f t="shared" si="44"/>
        <v>38.299999999999997</v>
      </c>
      <c r="DJ57" s="69" t="str">
        <f t="shared" si="45"/>
        <v/>
      </c>
      <c r="DK57" s="70" t="str">
        <f t="shared" si="46"/>
        <v/>
      </c>
      <c r="DL57" s="70" t="str">
        <f t="shared" si="47"/>
        <v/>
      </c>
      <c r="DM57" s="70" t="str">
        <f t="shared" si="48"/>
        <v/>
      </c>
      <c r="DN57" s="97" t="str">
        <f t="shared" si="49"/>
        <v/>
      </c>
      <c r="DO57" s="91"/>
      <c r="FN57" s="50"/>
      <c r="FO57" s="47"/>
      <c r="FP57" s="47"/>
      <c r="FQ57" s="47"/>
      <c r="FR57" s="47"/>
    </row>
    <row r="58" spans="2:174" ht="11.25" customHeight="1">
      <c r="B58" s="137"/>
      <c r="C58" s="134"/>
      <c r="D58" s="372"/>
      <c r="E58" s="373"/>
      <c r="F58" s="374"/>
      <c r="G58" s="373"/>
      <c r="H58" s="373"/>
      <c r="I58" s="375"/>
      <c r="J58" s="88"/>
      <c r="AZ58" s="137"/>
      <c r="BA58" s="172"/>
      <c r="BB58" s="173"/>
      <c r="BC58" s="174"/>
      <c r="BD58" s="173"/>
      <c r="BE58" s="173"/>
      <c r="BF58" s="175"/>
      <c r="BG58" s="88"/>
      <c r="BI58" s="137"/>
      <c r="BJ58" s="172"/>
      <c r="BK58" s="173"/>
      <c r="BL58" s="174"/>
      <c r="BM58" s="173"/>
      <c r="BN58" s="173"/>
      <c r="BO58" s="175"/>
      <c r="BP58" s="88"/>
      <c r="BR58" s="137"/>
      <c r="BS58" s="172"/>
      <c r="BT58" s="173"/>
      <c r="BU58" s="174"/>
      <c r="BV58" s="173"/>
      <c r="BW58" s="173"/>
      <c r="BX58" s="175"/>
      <c r="BY58" s="88"/>
      <c r="CY58" s="67"/>
      <c r="CZ58" s="68"/>
      <c r="DA58" s="68"/>
      <c r="DB58" s="68"/>
      <c r="DC58" s="68"/>
      <c r="DD58" s="262" t="s">
        <v>1096</v>
      </c>
      <c r="DE58" s="144">
        <f>IF(SUM(DE52:DE57)=0,"",SUM(DE52:DE57))</f>
        <v>38</v>
      </c>
      <c r="DF58" s="144"/>
      <c r="DG58" s="144"/>
      <c r="DH58" s="144">
        <f>IF(SUM(DH52:DH57)=0,"",SUM(DH52:DH57))</f>
        <v>2.6315789473684209E-2</v>
      </c>
      <c r="DI58" s="265">
        <f>IF(DE58="","",AVERAGE(DI52:DI57))</f>
        <v>35.849999999999994</v>
      </c>
      <c r="DJ58" s="144">
        <f>IF(SUM(DJ52:DJ57)=0,"",SUM(DJ52:DJ57))</f>
        <v>38</v>
      </c>
      <c r="DK58" s="144"/>
      <c r="DL58" s="144"/>
      <c r="DM58" s="144">
        <f>IF(SUM(DM52:DM57)=0,"",SUM(DM52:DM57))</f>
        <v>2.6315789473684209E-2</v>
      </c>
      <c r="DN58" s="266">
        <f>IF(DJ58="","",AVERAGE(DN52:DN57))</f>
        <v>39.35</v>
      </c>
      <c r="DO58" s="359">
        <f>IF(OR(DI58="",DN58=""),"",DN58-DI58)</f>
        <v>3.5000000000000071</v>
      </c>
      <c r="FN58" s="50"/>
      <c r="FO58" s="47"/>
      <c r="FP58" s="47"/>
      <c r="FQ58" s="47"/>
      <c r="FR58" s="47"/>
    </row>
    <row r="59" spans="2:174" ht="11.25" customHeight="1">
      <c r="B59" s="137"/>
      <c r="C59" s="134"/>
      <c r="D59" s="372"/>
      <c r="E59" s="373"/>
      <c r="F59" s="374"/>
      <c r="G59" s="373"/>
      <c r="H59" s="373"/>
      <c r="I59" s="375"/>
      <c r="J59" s="88"/>
      <c r="AZ59" s="137"/>
      <c r="BA59" s="172"/>
      <c r="BB59" s="173"/>
      <c r="BC59" s="174"/>
      <c r="BD59" s="173"/>
      <c r="BE59" s="173"/>
      <c r="BF59" s="175"/>
      <c r="BG59" s="88"/>
      <c r="BI59" s="137"/>
      <c r="BJ59" s="172"/>
      <c r="BK59" s="173"/>
      <c r="BL59" s="174"/>
      <c r="BM59" s="173"/>
      <c r="BN59" s="173"/>
      <c r="BO59" s="175"/>
      <c r="BP59" s="88"/>
      <c r="BR59" s="137"/>
      <c r="BS59" s="172"/>
      <c r="BT59" s="173"/>
      <c r="BU59" s="174"/>
      <c r="BV59" s="173"/>
      <c r="BW59" s="173"/>
      <c r="BX59" s="175"/>
      <c r="BY59" s="88"/>
      <c r="CY59" s="67"/>
      <c r="CZ59" s="68"/>
      <c r="DA59" s="68"/>
      <c r="DB59" s="68"/>
      <c r="DC59" s="68"/>
      <c r="DD59" s="67" t="s">
        <v>1280</v>
      </c>
      <c r="DE59" s="68"/>
      <c r="DF59" s="68"/>
      <c r="DG59" s="68"/>
      <c r="DH59" s="109" t="s">
        <v>1114</v>
      </c>
      <c r="DI59" s="68">
        <f>IF(DE58="","",MAX(DI52:DI57))</f>
        <v>38.299999999999997</v>
      </c>
      <c r="DJ59" s="68"/>
      <c r="DK59" s="68"/>
      <c r="DL59" s="68"/>
      <c r="DM59" s="109" t="s">
        <v>1114</v>
      </c>
      <c r="DN59" s="68">
        <f>IF(DJ58="","",MAX(DN52:DN57))</f>
        <v>41.2</v>
      </c>
      <c r="DO59" s="91"/>
      <c r="FN59" s="50"/>
      <c r="FO59" s="47"/>
      <c r="FP59" s="47"/>
      <c r="FQ59" s="47"/>
      <c r="FR59" s="47"/>
    </row>
    <row r="60" spans="2:174" ht="11.25" customHeight="1">
      <c r="B60" s="137"/>
      <c r="C60" s="134"/>
      <c r="D60" s="372"/>
      <c r="E60" s="373"/>
      <c r="F60" s="374"/>
      <c r="G60" s="373"/>
      <c r="H60" s="373"/>
      <c r="I60" s="375"/>
      <c r="J60" s="88"/>
      <c r="AZ60" s="137"/>
      <c r="BA60" s="172"/>
      <c r="BB60" s="173"/>
      <c r="BC60" s="174"/>
      <c r="BD60" s="173"/>
      <c r="BE60" s="173"/>
      <c r="BF60" s="175"/>
      <c r="BG60" s="88"/>
      <c r="BI60" s="137"/>
      <c r="BJ60" s="172"/>
      <c r="BK60" s="173"/>
      <c r="BL60" s="174"/>
      <c r="BM60" s="173"/>
      <c r="BN60" s="173"/>
      <c r="BO60" s="175"/>
      <c r="BP60" s="88"/>
      <c r="BR60" s="137"/>
      <c r="BS60" s="172"/>
      <c r="BT60" s="173"/>
      <c r="BU60" s="174"/>
      <c r="BV60" s="173"/>
      <c r="BW60" s="173"/>
      <c r="BX60" s="175"/>
      <c r="BY60" s="88"/>
      <c r="CY60" s="67"/>
      <c r="CZ60" s="68"/>
      <c r="DA60" s="68"/>
      <c r="DB60" s="68"/>
      <c r="DC60" s="68"/>
      <c r="DD60" s="262" t="s">
        <v>1098</v>
      </c>
      <c r="DE60" s="144">
        <f>COUNT(DE52:DE57)</f>
        <v>2</v>
      </c>
      <c r="DF60" s="144"/>
      <c r="DG60" s="144"/>
      <c r="DH60" s="263" t="s">
        <v>1115</v>
      </c>
      <c r="DI60" s="144">
        <f>IF(DE58="","",MIN(DI52:DI57))</f>
        <v>33.4</v>
      </c>
      <c r="DJ60" s="144">
        <f>COUNT(DJ52:DJ57)</f>
        <v>2</v>
      </c>
      <c r="DK60" s="144"/>
      <c r="DL60" s="144"/>
      <c r="DM60" s="263" t="s">
        <v>1115</v>
      </c>
      <c r="DN60" s="144">
        <f>IF(DJ58="","",MIN(DN52:DN57))</f>
        <v>37.5</v>
      </c>
      <c r="DO60" s="91"/>
      <c r="FN60" s="50"/>
      <c r="FO60" s="47"/>
      <c r="FP60" s="47"/>
      <c r="FQ60" s="47"/>
      <c r="FR60" s="47"/>
    </row>
    <row r="61" spans="2:174" ht="11.25" customHeight="1">
      <c r="B61" s="137"/>
      <c r="C61" s="134"/>
      <c r="D61" s="372"/>
      <c r="E61" s="373"/>
      <c r="F61" s="374"/>
      <c r="G61" s="373"/>
      <c r="H61" s="373"/>
      <c r="I61" s="375"/>
      <c r="J61" s="88"/>
      <c r="AZ61" s="137"/>
      <c r="BA61" s="172"/>
      <c r="BB61" s="173"/>
      <c r="BC61" s="174"/>
      <c r="BD61" s="173"/>
      <c r="BE61" s="173"/>
      <c r="BF61" s="175"/>
      <c r="BG61" s="88"/>
      <c r="BI61" s="137"/>
      <c r="BJ61" s="172"/>
      <c r="BK61" s="173"/>
      <c r="BL61" s="174"/>
      <c r="BM61" s="173"/>
      <c r="BN61" s="173"/>
      <c r="BO61" s="175"/>
      <c r="BP61" s="88"/>
      <c r="BR61" s="137"/>
      <c r="BS61" s="172"/>
      <c r="BT61" s="173"/>
      <c r="BU61" s="174"/>
      <c r="BV61" s="173"/>
      <c r="BW61" s="173"/>
      <c r="BX61" s="175"/>
      <c r="BY61" s="88"/>
      <c r="CY61" s="67"/>
      <c r="CZ61" s="68"/>
      <c r="DA61" s="68"/>
      <c r="DB61" s="68"/>
      <c r="DC61" s="68"/>
      <c r="DD61" s="68"/>
      <c r="DE61" s="68"/>
      <c r="DF61" s="68"/>
      <c r="DG61" s="109" t="s">
        <v>1101</v>
      </c>
      <c r="DH61" s="68">
        <f>IF(DE58="","",$DL$8*SQRT(DH58))</f>
        <v>1.8460246524745709</v>
      </c>
      <c r="DI61" s="68"/>
      <c r="DJ61" s="68"/>
      <c r="DK61" s="68"/>
      <c r="DL61" s="109" t="s">
        <v>1101</v>
      </c>
      <c r="DM61" s="68">
        <f>IF(DJ58="","",$DL$8*SQRT(DM58))</f>
        <v>1.8460246524745709</v>
      </c>
      <c r="DN61" s="109" t="s">
        <v>1101</v>
      </c>
      <c r="DO61" s="91">
        <f>IF(DO58="","",$DL$8*SQRT(DH58+DM58))</f>
        <v>2.6106731000046177</v>
      </c>
      <c r="FN61" s="50"/>
      <c r="FO61" s="47"/>
      <c r="FP61" s="47"/>
      <c r="FQ61" s="47"/>
      <c r="FR61" s="47"/>
    </row>
    <row r="62" spans="2:174" ht="11.25" customHeight="1">
      <c r="B62" s="137"/>
      <c r="C62" s="134"/>
      <c r="D62" s="372"/>
      <c r="E62" s="373"/>
      <c r="F62" s="374"/>
      <c r="G62" s="373"/>
      <c r="H62" s="373"/>
      <c r="I62" s="375"/>
      <c r="J62" s="88"/>
      <c r="AZ62" s="137"/>
      <c r="BA62" s="172"/>
      <c r="BB62" s="173"/>
      <c r="BC62" s="174"/>
      <c r="BD62" s="173"/>
      <c r="BE62" s="173"/>
      <c r="BF62" s="175"/>
      <c r="BG62" s="88"/>
      <c r="BI62" s="137"/>
      <c r="BJ62" s="172"/>
      <c r="BK62" s="173"/>
      <c r="BL62" s="174"/>
      <c r="BM62" s="173"/>
      <c r="BN62" s="173"/>
      <c r="BO62" s="175"/>
      <c r="BP62" s="88"/>
      <c r="BR62" s="137"/>
      <c r="BS62" s="172"/>
      <c r="BT62" s="173"/>
      <c r="BU62" s="174"/>
      <c r="BV62" s="173"/>
      <c r="BW62" s="173"/>
      <c r="BX62" s="175"/>
      <c r="BY62" s="88"/>
      <c r="CY62" s="67"/>
      <c r="CZ62" s="68"/>
      <c r="DA62" s="68"/>
      <c r="DB62" s="68"/>
      <c r="DC62" s="68"/>
      <c r="DD62" s="68"/>
      <c r="DE62" s="68"/>
      <c r="DF62" s="68"/>
      <c r="DG62" s="109" t="s">
        <v>1187</v>
      </c>
      <c r="DH62" s="68">
        <f>IF(DE58="","",CY34)</f>
        <v>108</v>
      </c>
      <c r="DI62" s="68"/>
      <c r="DJ62" s="68"/>
      <c r="DK62" s="68"/>
      <c r="DL62" s="109" t="s">
        <v>1187</v>
      </c>
      <c r="DM62" s="68">
        <f>IF(DJ58="","",CY34)</f>
        <v>108</v>
      </c>
      <c r="DN62" s="109" t="s">
        <v>1187</v>
      </c>
      <c r="DO62" s="91">
        <f>IF(DO58="","",CY34)</f>
        <v>108</v>
      </c>
      <c r="FN62" s="50"/>
      <c r="FO62" s="47"/>
      <c r="FP62" s="47"/>
      <c r="FQ62" s="47"/>
      <c r="FR62" s="47"/>
    </row>
    <row r="63" spans="2:174" ht="11.25" customHeight="1">
      <c r="B63" s="137"/>
      <c r="C63" s="134"/>
      <c r="D63" s="372"/>
      <c r="E63" s="373"/>
      <c r="F63" s="374"/>
      <c r="G63" s="373"/>
      <c r="H63" s="373"/>
      <c r="I63" s="375"/>
      <c r="J63" s="88"/>
      <c r="AZ63" s="137"/>
      <c r="BA63" s="172"/>
      <c r="BB63" s="173"/>
      <c r="BC63" s="174"/>
      <c r="BD63" s="173"/>
      <c r="BE63" s="173"/>
      <c r="BF63" s="175"/>
      <c r="BG63" s="88"/>
      <c r="BI63" s="137"/>
      <c r="BJ63" s="172"/>
      <c r="BK63" s="173"/>
      <c r="BL63" s="174"/>
      <c r="BM63" s="173"/>
      <c r="BN63" s="173"/>
      <c r="BO63" s="175"/>
      <c r="BP63" s="88"/>
      <c r="BR63" s="137"/>
      <c r="BS63" s="172"/>
      <c r="BT63" s="173"/>
      <c r="BU63" s="174"/>
      <c r="BV63" s="173"/>
      <c r="BW63" s="173"/>
      <c r="BX63" s="175"/>
      <c r="BY63" s="88"/>
      <c r="CY63" s="67"/>
      <c r="CZ63" s="68"/>
      <c r="DA63" s="68"/>
      <c r="DB63" s="68"/>
      <c r="DC63" s="68"/>
      <c r="DD63" s="68"/>
      <c r="DE63" s="68"/>
      <c r="DF63" s="68"/>
      <c r="DG63" s="109" t="s">
        <v>1102</v>
      </c>
      <c r="DH63" s="68">
        <f>IF(DH62="","",TINV(1-$H$6/100,DH62))</f>
        <v>1.9821734242303535</v>
      </c>
      <c r="DI63" s="68"/>
      <c r="DJ63" s="68"/>
      <c r="DK63" s="68"/>
      <c r="DL63" s="109" t="s">
        <v>1102</v>
      </c>
      <c r="DM63" s="68">
        <f>IF(DM62="","",TINV(1-$H$6/100,DM62))</f>
        <v>1.9821734242303535</v>
      </c>
      <c r="DN63" s="109" t="s">
        <v>1102</v>
      </c>
      <c r="DO63" s="91">
        <f>IF(DO58="","",TINV(1-$H$6/100,DO62))</f>
        <v>1.9821734242303535</v>
      </c>
      <c r="FN63" s="50"/>
      <c r="FO63" s="47"/>
      <c r="FP63" s="47"/>
      <c r="FQ63" s="47"/>
      <c r="FR63" s="47"/>
    </row>
    <row r="64" spans="2:174" ht="11.25" customHeight="1">
      <c r="B64" s="137"/>
      <c r="C64" s="134"/>
      <c r="D64" s="372"/>
      <c r="E64" s="373"/>
      <c r="F64" s="374"/>
      <c r="G64" s="373"/>
      <c r="H64" s="373"/>
      <c r="I64" s="375"/>
      <c r="J64" s="88"/>
      <c r="AZ64" s="137"/>
      <c r="BA64" s="172"/>
      <c r="BB64" s="173"/>
      <c r="BC64" s="174"/>
      <c r="BD64" s="173"/>
      <c r="BE64" s="173"/>
      <c r="BF64" s="175"/>
      <c r="BG64" s="88"/>
      <c r="BI64" s="137"/>
      <c r="BJ64" s="172"/>
      <c r="BK64" s="173"/>
      <c r="BL64" s="174"/>
      <c r="BM64" s="173"/>
      <c r="BN64" s="173"/>
      <c r="BO64" s="175"/>
      <c r="BP64" s="88"/>
      <c r="BR64" s="137"/>
      <c r="BS64" s="172"/>
      <c r="BT64" s="173"/>
      <c r="BU64" s="174"/>
      <c r="BV64" s="173"/>
      <c r="BW64" s="173"/>
      <c r="BX64" s="175"/>
      <c r="BY64" s="88"/>
      <c r="CY64" s="67"/>
      <c r="CZ64" s="68"/>
      <c r="DA64" s="68"/>
      <c r="DB64" s="68"/>
      <c r="DC64" s="68"/>
      <c r="DD64" s="68"/>
      <c r="DE64" s="68"/>
      <c r="DF64" s="68"/>
      <c r="DG64" s="109" t="s">
        <v>1280</v>
      </c>
      <c r="DH64" s="12">
        <f>IF(DH61="","",DH61*DH63)</f>
        <v>3.6591410066091683</v>
      </c>
      <c r="DI64" s="68"/>
      <c r="DJ64" s="68"/>
      <c r="DK64" s="68"/>
      <c r="DL64" s="109" t="s">
        <v>1280</v>
      </c>
      <c r="DM64" s="12">
        <f>IF(DM61="","",DM61*DM63)</f>
        <v>3.6591410066091683</v>
      </c>
      <c r="DN64" s="109" t="s">
        <v>1280</v>
      </c>
      <c r="DO64" s="359">
        <f>IF(DO61="","",DO61*DO63)</f>
        <v>5.1748068381822252</v>
      </c>
      <c r="FN64" s="50"/>
      <c r="FO64" s="47"/>
      <c r="FP64" s="47"/>
      <c r="FQ64" s="47"/>
      <c r="FR64" s="47"/>
    </row>
    <row r="65" spans="2:174" ht="11.25" customHeight="1">
      <c r="B65" s="137"/>
      <c r="C65" s="134"/>
      <c r="D65" s="372"/>
      <c r="E65" s="373"/>
      <c r="F65" s="374"/>
      <c r="G65" s="373"/>
      <c r="H65" s="373"/>
      <c r="I65" s="375"/>
      <c r="J65" s="88"/>
      <c r="AZ65" s="137"/>
      <c r="BA65" s="172"/>
      <c r="BB65" s="173"/>
      <c r="BC65" s="174"/>
      <c r="BD65" s="173"/>
      <c r="BE65" s="173"/>
      <c r="BF65" s="175"/>
      <c r="BG65" s="88"/>
      <c r="BI65" s="137"/>
      <c r="BJ65" s="172"/>
      <c r="BK65" s="173"/>
      <c r="BL65" s="174"/>
      <c r="BM65" s="173"/>
      <c r="BN65" s="173"/>
      <c r="BO65" s="175"/>
      <c r="BP65" s="88"/>
      <c r="BR65" s="137"/>
      <c r="BS65" s="172"/>
      <c r="BT65" s="173"/>
      <c r="BU65" s="174"/>
      <c r="BV65" s="173"/>
      <c r="BW65" s="173"/>
      <c r="BX65" s="175"/>
      <c r="BY65" s="88"/>
      <c r="CY65" s="67"/>
      <c r="CZ65" s="68"/>
      <c r="DA65" s="68"/>
      <c r="DB65" s="68"/>
      <c r="DC65" s="68"/>
      <c r="DD65" s="68"/>
      <c r="DE65" s="68"/>
      <c r="DF65" s="68"/>
      <c r="DG65" s="109" t="s">
        <v>1537</v>
      </c>
      <c r="DH65" s="68">
        <f>IF(DI58="","",DI58+DH64)</f>
        <v>39.509141006609163</v>
      </c>
      <c r="DI65" s="68"/>
      <c r="DJ65" s="68"/>
      <c r="DK65" s="68"/>
      <c r="DL65" s="109" t="s">
        <v>1537</v>
      </c>
      <c r="DM65" s="68">
        <f>IF(DN58="","",DN58+DM64)</f>
        <v>43.00914100660917</v>
      </c>
      <c r="DN65" s="109" t="s">
        <v>1537</v>
      </c>
      <c r="DO65" s="91">
        <f>IF(DO58="","",DO58+DO64)</f>
        <v>8.6748068381822314</v>
      </c>
      <c r="FN65" s="50"/>
      <c r="FO65" s="47"/>
      <c r="FP65" s="47"/>
      <c r="FQ65" s="47"/>
      <c r="FR65" s="47"/>
    </row>
    <row r="66" spans="2:174" ht="11.25" customHeight="1">
      <c r="B66" s="137"/>
      <c r="C66" s="134"/>
      <c r="D66" s="372"/>
      <c r="E66" s="373"/>
      <c r="F66" s="374"/>
      <c r="G66" s="373"/>
      <c r="H66" s="373"/>
      <c r="I66" s="375"/>
      <c r="J66" s="88"/>
      <c r="AZ66" s="137"/>
      <c r="BA66" s="172"/>
      <c r="BB66" s="173"/>
      <c r="BC66" s="174"/>
      <c r="BD66" s="173"/>
      <c r="BE66" s="173"/>
      <c r="BF66" s="175"/>
      <c r="BG66" s="88"/>
      <c r="BI66" s="137"/>
      <c r="BJ66" s="172"/>
      <c r="BK66" s="173"/>
      <c r="BL66" s="174"/>
      <c r="BM66" s="173"/>
      <c r="BN66" s="173"/>
      <c r="BO66" s="175"/>
      <c r="BP66" s="88"/>
      <c r="BR66" s="137"/>
      <c r="BS66" s="172"/>
      <c r="BT66" s="173"/>
      <c r="BU66" s="174"/>
      <c r="BV66" s="173"/>
      <c r="BW66" s="173"/>
      <c r="BX66" s="175"/>
      <c r="BY66" s="88"/>
      <c r="CY66" s="67"/>
      <c r="CZ66" s="68"/>
      <c r="DA66" s="68"/>
      <c r="DB66" s="68"/>
      <c r="DC66" s="68"/>
      <c r="DD66" s="68"/>
      <c r="DE66" s="68"/>
      <c r="DF66" s="68"/>
      <c r="DG66" s="109" t="s">
        <v>1538</v>
      </c>
      <c r="DH66" s="68">
        <f>IF(DI58="","",DI58-DH64)</f>
        <v>32.190858993390826</v>
      </c>
      <c r="DI66" s="68"/>
      <c r="DJ66" s="68"/>
      <c r="DK66" s="68"/>
      <c r="DL66" s="109" t="s">
        <v>1538</v>
      </c>
      <c r="DM66" s="68">
        <f>IF(DN58="","",DN58-DM64)</f>
        <v>35.690858993390833</v>
      </c>
      <c r="DN66" s="109" t="s">
        <v>1538</v>
      </c>
      <c r="DO66" s="91">
        <f>IF(DO58="","",DO58-DO64)</f>
        <v>-1.6748068381822181</v>
      </c>
      <c r="FN66" s="50"/>
      <c r="FO66" s="47"/>
      <c r="FP66" s="47"/>
      <c r="FQ66" s="47"/>
      <c r="FR66" s="47"/>
    </row>
    <row r="67" spans="2:174" ht="11.25" customHeight="1">
      <c r="B67" s="137"/>
      <c r="C67" s="134"/>
      <c r="D67" s="372"/>
      <c r="E67" s="373"/>
      <c r="F67" s="374"/>
      <c r="G67" s="373"/>
      <c r="H67" s="373"/>
      <c r="I67" s="375"/>
      <c r="J67" s="88"/>
      <c r="AZ67" s="137"/>
      <c r="BA67" s="172"/>
      <c r="BB67" s="173"/>
      <c r="BC67" s="174"/>
      <c r="BD67" s="173"/>
      <c r="BE67" s="173"/>
      <c r="BF67" s="175"/>
      <c r="BG67" s="88"/>
      <c r="BI67" s="137"/>
      <c r="BJ67" s="172"/>
      <c r="BK67" s="173"/>
      <c r="BL67" s="174"/>
      <c r="BM67" s="173"/>
      <c r="BN67" s="173"/>
      <c r="BO67" s="175"/>
      <c r="BP67" s="88"/>
      <c r="BR67" s="137"/>
      <c r="BS67" s="172"/>
      <c r="BT67" s="173"/>
      <c r="BU67" s="174"/>
      <c r="BV67" s="173"/>
      <c r="BW67" s="173"/>
      <c r="BX67" s="175"/>
      <c r="BY67" s="88"/>
      <c r="CY67" s="69"/>
      <c r="CZ67" s="70"/>
      <c r="DA67" s="70"/>
      <c r="DB67" s="70"/>
      <c r="DC67" s="70"/>
      <c r="DD67" s="70"/>
      <c r="DE67" s="70"/>
      <c r="DF67" s="70"/>
      <c r="DG67" s="70"/>
      <c r="DH67" s="70"/>
      <c r="DI67" s="70"/>
      <c r="DJ67" s="70"/>
      <c r="DK67" s="70"/>
      <c r="DL67" s="70"/>
      <c r="DM67" s="70"/>
      <c r="DN67" s="261" t="s">
        <v>967</v>
      </c>
      <c r="DO67" s="97">
        <f>IF(DO61=0,"",IF(DO58="","",TDIST(ABS(DO58)/(DO61),DO62,2)))</f>
        <v>0.18284715393913697</v>
      </c>
      <c r="FN67" s="50"/>
      <c r="FO67" s="47"/>
      <c r="FP67" s="47"/>
      <c r="FQ67" s="47"/>
      <c r="FR67" s="47"/>
    </row>
    <row r="68" spans="2:174" ht="11.25" customHeight="1">
      <c r="B68" s="137"/>
      <c r="C68" s="134"/>
      <c r="D68" s="372"/>
      <c r="E68" s="373"/>
      <c r="F68" s="374"/>
      <c r="G68" s="373"/>
      <c r="H68" s="373"/>
      <c r="I68" s="375"/>
      <c r="J68" s="88"/>
      <c r="AZ68" s="137"/>
      <c r="BA68" s="172"/>
      <c r="BB68" s="173"/>
      <c r="BC68" s="174"/>
      <c r="BD68" s="173"/>
      <c r="BE68" s="173"/>
      <c r="BF68" s="175"/>
      <c r="BG68" s="88"/>
      <c r="BI68" s="137"/>
      <c r="BJ68" s="172"/>
      <c r="BK68" s="173"/>
      <c r="BL68" s="174"/>
      <c r="BM68" s="173"/>
      <c r="BN68" s="173"/>
      <c r="BO68" s="175"/>
      <c r="BP68" s="88"/>
      <c r="BR68" s="137"/>
      <c r="BS68" s="172"/>
      <c r="BT68" s="173"/>
      <c r="BU68" s="174"/>
      <c r="BV68" s="173"/>
      <c r="BW68" s="173"/>
      <c r="BX68" s="175"/>
      <c r="BY68" s="88"/>
      <c r="FN68" s="50"/>
      <c r="FO68" s="47"/>
      <c r="FP68" s="47"/>
      <c r="FQ68" s="47"/>
      <c r="FR68" s="47"/>
    </row>
    <row r="69" spans="2:174" ht="11.25" customHeight="1">
      <c r="B69" s="137"/>
      <c r="C69" s="134"/>
      <c r="D69" s="372"/>
      <c r="E69" s="373"/>
      <c r="F69" s="374"/>
      <c r="G69" s="373"/>
      <c r="H69" s="373"/>
      <c r="I69" s="375"/>
      <c r="J69" s="88"/>
      <c r="AZ69" s="137"/>
      <c r="BA69" s="172"/>
      <c r="BB69" s="173"/>
      <c r="BC69" s="174"/>
      <c r="BD69" s="173"/>
      <c r="BE69" s="173"/>
      <c r="BF69" s="175"/>
      <c r="BG69" s="88"/>
      <c r="BI69" s="137"/>
      <c r="BJ69" s="172"/>
      <c r="BK69" s="173"/>
      <c r="BL69" s="174"/>
      <c r="BM69" s="173"/>
      <c r="BN69" s="173"/>
      <c r="BO69" s="175"/>
      <c r="BP69" s="88"/>
      <c r="BR69" s="137"/>
      <c r="BS69" s="172"/>
      <c r="BT69" s="173"/>
      <c r="BU69" s="174"/>
      <c r="BV69" s="173"/>
      <c r="BW69" s="173"/>
      <c r="BX69" s="175"/>
      <c r="BY69" s="88"/>
      <c r="FN69" s="50"/>
      <c r="FO69" s="47"/>
      <c r="FP69" s="47"/>
      <c r="FQ69" s="47"/>
      <c r="FR69" s="47"/>
    </row>
    <row r="70" spans="2:174" ht="11.25" customHeight="1">
      <c r="B70" s="137"/>
      <c r="C70" s="134"/>
      <c r="D70" s="372"/>
      <c r="E70" s="373"/>
      <c r="F70" s="374"/>
      <c r="G70" s="373"/>
      <c r="H70" s="373"/>
      <c r="I70" s="375"/>
      <c r="J70" s="88"/>
      <c r="AZ70" s="137"/>
      <c r="BA70" s="172"/>
      <c r="BB70" s="173"/>
      <c r="BC70" s="174"/>
      <c r="BD70" s="173"/>
      <c r="BE70" s="173"/>
      <c r="BF70" s="175"/>
      <c r="BG70" s="88"/>
      <c r="BI70" s="137"/>
      <c r="BJ70" s="172"/>
      <c r="BK70" s="173"/>
      <c r="BL70" s="174"/>
      <c r="BM70" s="173"/>
      <c r="BN70" s="173"/>
      <c r="BO70" s="175"/>
      <c r="BP70" s="88"/>
      <c r="BR70" s="137"/>
      <c r="BS70" s="172"/>
      <c r="BT70" s="173"/>
      <c r="BU70" s="174"/>
      <c r="BV70" s="173"/>
      <c r="BW70" s="173"/>
      <c r="BX70" s="175"/>
      <c r="BY70" s="88"/>
      <c r="FN70" s="50"/>
      <c r="FO70" s="47"/>
      <c r="FP70" s="47"/>
      <c r="FQ70" s="47"/>
      <c r="FR70" s="47"/>
    </row>
    <row r="71" spans="2:174" ht="11.25" customHeight="1">
      <c r="B71" s="137"/>
      <c r="C71" s="134"/>
      <c r="D71" s="372"/>
      <c r="E71" s="373"/>
      <c r="F71" s="374"/>
      <c r="G71" s="373"/>
      <c r="H71" s="373"/>
      <c r="I71" s="375"/>
      <c r="J71" s="88"/>
      <c r="AZ71" s="137"/>
      <c r="BA71" s="172"/>
      <c r="BB71" s="173"/>
      <c r="BC71" s="174"/>
      <c r="BD71" s="173"/>
      <c r="BE71" s="173"/>
      <c r="BF71" s="175"/>
      <c r="BG71" s="88"/>
      <c r="BI71" s="137"/>
      <c r="BJ71" s="172"/>
      <c r="BK71" s="173"/>
      <c r="BL71" s="174"/>
      <c r="BM71" s="173"/>
      <c r="BN71" s="173"/>
      <c r="BO71" s="175"/>
      <c r="BP71" s="88"/>
      <c r="BR71" s="137"/>
      <c r="BS71" s="172"/>
      <c r="BT71" s="173"/>
      <c r="BU71" s="174"/>
      <c r="BV71" s="173"/>
      <c r="BW71" s="173"/>
      <c r="BX71" s="175"/>
      <c r="BY71" s="88"/>
      <c r="FN71" s="50"/>
      <c r="FO71" s="47"/>
      <c r="FP71" s="47"/>
      <c r="FQ71" s="47"/>
      <c r="FR71" s="47"/>
    </row>
    <row r="72" spans="2:174" ht="11.25" customHeight="1">
      <c r="B72" s="137"/>
      <c r="C72" s="134"/>
      <c r="D72" s="372"/>
      <c r="E72" s="373"/>
      <c r="F72" s="374"/>
      <c r="G72" s="373"/>
      <c r="H72" s="373"/>
      <c r="I72" s="375"/>
      <c r="J72" s="88"/>
      <c r="AZ72" s="137"/>
      <c r="BA72" s="172"/>
      <c r="BB72" s="173"/>
      <c r="BC72" s="174"/>
      <c r="BD72" s="173"/>
      <c r="BE72" s="173"/>
      <c r="BF72" s="175"/>
      <c r="BG72" s="88"/>
      <c r="BI72" s="137"/>
      <c r="BJ72" s="172"/>
      <c r="BK72" s="173"/>
      <c r="BL72" s="174"/>
      <c r="BM72" s="173"/>
      <c r="BN72" s="173"/>
      <c r="BO72" s="175"/>
      <c r="BP72" s="88"/>
      <c r="BR72" s="137"/>
      <c r="BS72" s="172"/>
      <c r="BT72" s="173"/>
      <c r="BU72" s="174"/>
      <c r="BV72" s="173"/>
      <c r="BW72" s="173"/>
      <c r="BX72" s="175"/>
      <c r="BY72" s="88"/>
      <c r="FN72" s="50"/>
      <c r="FO72" s="47"/>
      <c r="FP72" s="47"/>
      <c r="FQ72" s="47"/>
      <c r="FR72" s="47"/>
    </row>
    <row r="73" spans="2:174" ht="11.25" customHeight="1">
      <c r="B73" s="137"/>
      <c r="C73" s="134"/>
      <c r="D73" s="372"/>
      <c r="E73" s="373"/>
      <c r="F73" s="374"/>
      <c r="G73" s="373"/>
      <c r="H73" s="373"/>
      <c r="I73" s="375"/>
      <c r="J73" s="88"/>
      <c r="AZ73" s="137"/>
      <c r="BA73" s="172"/>
      <c r="BB73" s="173"/>
      <c r="BC73" s="174"/>
      <c r="BD73" s="173"/>
      <c r="BE73" s="173"/>
      <c r="BF73" s="175"/>
      <c r="BG73" s="88"/>
      <c r="BI73" s="137"/>
      <c r="BJ73" s="172"/>
      <c r="BK73" s="173"/>
      <c r="BL73" s="174"/>
      <c r="BM73" s="173"/>
      <c r="BN73" s="173"/>
      <c r="BO73" s="175"/>
      <c r="BP73" s="88"/>
      <c r="BR73" s="137"/>
      <c r="BS73" s="172"/>
      <c r="BT73" s="173"/>
      <c r="BU73" s="174"/>
      <c r="BV73" s="173"/>
      <c r="BW73" s="173"/>
      <c r="BX73" s="175"/>
      <c r="BY73" s="88"/>
      <c r="FN73" s="50"/>
      <c r="FO73" s="47"/>
      <c r="FP73" s="47"/>
      <c r="FQ73" s="47"/>
      <c r="FR73" s="47"/>
    </row>
    <row r="74" spans="2:174" ht="11.25" customHeight="1">
      <c r="B74" s="137"/>
      <c r="C74" s="134"/>
      <c r="D74" s="372"/>
      <c r="E74" s="373"/>
      <c r="F74" s="374"/>
      <c r="G74" s="373"/>
      <c r="H74" s="373"/>
      <c r="I74" s="375"/>
      <c r="J74" s="88"/>
      <c r="AZ74" s="137"/>
      <c r="BA74" s="172"/>
      <c r="BB74" s="173"/>
      <c r="BC74" s="174"/>
      <c r="BD74" s="173"/>
      <c r="BE74" s="173"/>
      <c r="BF74" s="175"/>
      <c r="BG74" s="88"/>
      <c r="BI74" s="137"/>
      <c r="BJ74" s="172"/>
      <c r="BK74" s="173"/>
      <c r="BL74" s="174"/>
      <c r="BM74" s="173"/>
      <c r="BN74" s="173"/>
      <c r="BO74" s="175"/>
      <c r="BP74" s="88"/>
      <c r="BR74" s="137"/>
      <c r="BS74" s="172"/>
      <c r="BT74" s="173"/>
      <c r="BU74" s="174"/>
      <c r="BV74" s="173"/>
      <c r="BW74" s="173"/>
      <c r="BX74" s="175"/>
      <c r="BY74" s="88"/>
      <c r="FN74" s="50"/>
      <c r="FO74" s="47"/>
      <c r="FP74" s="47"/>
      <c r="FQ74" s="47"/>
      <c r="FR74" s="47"/>
    </row>
    <row r="75" spans="2:174" ht="11.25" customHeight="1">
      <c r="B75" s="137"/>
      <c r="C75" s="134"/>
      <c r="D75" s="372"/>
      <c r="E75" s="373"/>
      <c r="F75" s="374"/>
      <c r="G75" s="373"/>
      <c r="H75" s="373"/>
      <c r="I75" s="375"/>
      <c r="J75" s="88"/>
      <c r="AZ75" s="137"/>
      <c r="BA75" s="172"/>
      <c r="BB75" s="173"/>
      <c r="BC75" s="174"/>
      <c r="BD75" s="173"/>
      <c r="BE75" s="173"/>
      <c r="BF75" s="175"/>
      <c r="BG75" s="88"/>
      <c r="BI75" s="137"/>
      <c r="BJ75" s="172"/>
      <c r="BK75" s="173"/>
      <c r="BL75" s="174"/>
      <c r="BM75" s="173"/>
      <c r="BN75" s="173"/>
      <c r="BO75" s="175"/>
      <c r="BP75" s="88"/>
      <c r="BR75" s="137"/>
      <c r="BS75" s="172"/>
      <c r="BT75" s="173"/>
      <c r="BU75" s="174"/>
      <c r="BV75" s="173"/>
      <c r="BW75" s="173"/>
      <c r="BX75" s="175"/>
      <c r="BY75" s="88"/>
      <c r="FN75" s="50"/>
      <c r="FO75" s="47"/>
      <c r="FP75" s="47"/>
      <c r="FQ75" s="47"/>
      <c r="FR75" s="47"/>
    </row>
    <row r="76" spans="2:174" ht="11.25" customHeight="1">
      <c r="B76" s="137"/>
      <c r="C76" s="134"/>
      <c r="D76" s="372"/>
      <c r="E76" s="373"/>
      <c r="F76" s="374"/>
      <c r="G76" s="373"/>
      <c r="H76" s="373"/>
      <c r="I76" s="375"/>
      <c r="J76" s="88"/>
      <c r="AZ76" s="137"/>
      <c r="BA76" s="172"/>
      <c r="BB76" s="173"/>
      <c r="BC76" s="174"/>
      <c r="BD76" s="173"/>
      <c r="BE76" s="173"/>
      <c r="BF76" s="175"/>
      <c r="BG76" s="88"/>
      <c r="BI76" s="137"/>
      <c r="BJ76" s="172"/>
      <c r="BK76" s="173"/>
      <c r="BL76" s="174"/>
      <c r="BM76" s="173"/>
      <c r="BN76" s="173"/>
      <c r="BO76" s="175"/>
      <c r="BP76" s="88"/>
      <c r="BR76" s="137"/>
      <c r="BS76" s="172"/>
      <c r="BT76" s="173"/>
      <c r="BU76" s="174"/>
      <c r="BV76" s="173"/>
      <c r="BW76" s="173"/>
      <c r="BX76" s="175"/>
      <c r="BY76" s="88"/>
      <c r="FN76" s="50"/>
      <c r="FO76" s="47"/>
      <c r="FP76" s="47"/>
      <c r="FQ76" s="47"/>
      <c r="FR76" s="47"/>
    </row>
    <row r="77" spans="2:174" ht="11.25" customHeight="1">
      <c r="B77" s="137"/>
      <c r="C77" s="134"/>
      <c r="D77" s="372"/>
      <c r="E77" s="373"/>
      <c r="F77" s="374"/>
      <c r="G77" s="373"/>
      <c r="H77" s="373"/>
      <c r="I77" s="375"/>
      <c r="J77" s="88"/>
      <c r="AZ77" s="137"/>
      <c r="BA77" s="172"/>
      <c r="BB77" s="173"/>
      <c r="BC77" s="174"/>
      <c r="BD77" s="173"/>
      <c r="BE77" s="173"/>
      <c r="BF77" s="175"/>
      <c r="BG77" s="88"/>
      <c r="BI77" s="137"/>
      <c r="BJ77" s="172"/>
      <c r="BK77" s="173"/>
      <c r="BL77" s="174"/>
      <c r="BM77" s="173"/>
      <c r="BN77" s="173"/>
      <c r="BO77" s="175"/>
      <c r="BP77" s="88"/>
      <c r="BR77" s="137"/>
      <c r="BS77" s="172"/>
      <c r="BT77" s="173"/>
      <c r="BU77" s="174"/>
      <c r="BV77" s="173"/>
      <c r="BW77" s="173"/>
      <c r="BX77" s="175"/>
      <c r="BY77" s="88"/>
      <c r="FN77" s="50"/>
      <c r="FO77" s="47"/>
      <c r="FP77" s="47"/>
      <c r="FQ77" s="47"/>
      <c r="FR77" s="47"/>
    </row>
    <row r="78" spans="2:174" ht="11.25" customHeight="1">
      <c r="B78" s="137"/>
      <c r="C78" s="134"/>
      <c r="D78" s="372"/>
      <c r="E78" s="373"/>
      <c r="F78" s="374"/>
      <c r="G78" s="373"/>
      <c r="H78" s="373"/>
      <c r="I78" s="375"/>
      <c r="J78" s="88"/>
      <c r="AZ78" s="137"/>
      <c r="BA78" s="172"/>
      <c r="BB78" s="173"/>
      <c r="BC78" s="174"/>
      <c r="BD78" s="173"/>
      <c r="BE78" s="173"/>
      <c r="BF78" s="175"/>
      <c r="BG78" s="88"/>
      <c r="BI78" s="137"/>
      <c r="BJ78" s="172"/>
      <c r="BK78" s="173"/>
      <c r="BL78" s="174"/>
      <c r="BM78" s="173"/>
      <c r="BN78" s="173"/>
      <c r="BO78" s="175"/>
      <c r="BP78" s="88"/>
      <c r="BR78" s="137"/>
      <c r="BS78" s="172"/>
      <c r="BT78" s="173"/>
      <c r="BU78" s="174"/>
      <c r="BV78" s="173"/>
      <c r="BW78" s="173"/>
      <c r="BX78" s="175"/>
      <c r="BY78" s="88"/>
      <c r="FN78" s="50"/>
      <c r="FO78" s="47"/>
      <c r="FP78" s="47"/>
      <c r="FQ78" s="47"/>
      <c r="FR78" s="47"/>
    </row>
    <row r="79" spans="2:174" ht="11.25" customHeight="1">
      <c r="B79" s="137"/>
      <c r="C79" s="134"/>
      <c r="D79" s="372"/>
      <c r="E79" s="373"/>
      <c r="F79" s="374"/>
      <c r="G79" s="373"/>
      <c r="H79" s="373"/>
      <c r="I79" s="375"/>
      <c r="J79" s="88"/>
      <c r="AZ79" s="137"/>
      <c r="BA79" s="172"/>
      <c r="BB79" s="173"/>
      <c r="BC79" s="174"/>
      <c r="BD79" s="173"/>
      <c r="BE79" s="173"/>
      <c r="BF79" s="175"/>
      <c r="BG79" s="88"/>
      <c r="BI79" s="137"/>
      <c r="BJ79" s="172"/>
      <c r="BK79" s="173"/>
      <c r="BL79" s="174"/>
      <c r="BM79" s="173"/>
      <c r="BN79" s="173"/>
      <c r="BO79" s="175"/>
      <c r="BP79" s="88"/>
      <c r="BR79" s="137"/>
      <c r="BS79" s="172"/>
      <c r="BT79" s="173"/>
      <c r="BU79" s="174"/>
      <c r="BV79" s="173"/>
      <c r="BW79" s="173"/>
      <c r="BX79" s="175"/>
      <c r="BY79" s="88"/>
      <c r="FN79" s="50"/>
      <c r="FO79" s="47"/>
      <c r="FP79" s="47"/>
      <c r="FQ79" s="47"/>
      <c r="FR79" s="47"/>
    </row>
    <row r="80" spans="2:174" ht="11.25" customHeight="1">
      <c r="B80" s="137"/>
      <c r="C80" s="134"/>
      <c r="D80" s="372"/>
      <c r="E80" s="373"/>
      <c r="F80" s="374"/>
      <c r="G80" s="373"/>
      <c r="H80" s="373"/>
      <c r="I80" s="375"/>
      <c r="J80" s="88"/>
      <c r="AZ80" s="137"/>
      <c r="BA80" s="172"/>
      <c r="BB80" s="173"/>
      <c r="BC80" s="174"/>
      <c r="BD80" s="173"/>
      <c r="BE80" s="173"/>
      <c r="BF80" s="175"/>
      <c r="BG80" s="88"/>
      <c r="BI80" s="137"/>
      <c r="BJ80" s="172"/>
      <c r="BK80" s="173"/>
      <c r="BL80" s="174"/>
      <c r="BM80" s="173"/>
      <c r="BN80" s="173"/>
      <c r="BO80" s="175"/>
      <c r="BP80" s="88"/>
      <c r="BR80" s="137"/>
      <c r="BS80" s="172"/>
      <c r="BT80" s="173"/>
      <c r="BU80" s="174"/>
      <c r="BV80" s="173"/>
      <c r="BW80" s="173"/>
      <c r="BX80" s="175"/>
      <c r="BY80" s="88"/>
      <c r="FN80" s="50"/>
      <c r="FO80" s="47"/>
      <c r="FP80" s="47"/>
      <c r="FQ80" s="47"/>
      <c r="FR80" s="47"/>
    </row>
    <row r="81" spans="2:174" ht="11.25" customHeight="1">
      <c r="B81" s="137"/>
      <c r="C81" s="134"/>
      <c r="D81" s="372"/>
      <c r="E81" s="373"/>
      <c r="F81" s="374"/>
      <c r="G81" s="373"/>
      <c r="H81" s="373"/>
      <c r="I81" s="375"/>
      <c r="J81" s="88"/>
      <c r="AZ81" s="137"/>
      <c r="BA81" s="172"/>
      <c r="BB81" s="173"/>
      <c r="BC81" s="174"/>
      <c r="BD81" s="173"/>
      <c r="BE81" s="173"/>
      <c r="BF81" s="175"/>
      <c r="BG81" s="88"/>
      <c r="BI81" s="137"/>
      <c r="BJ81" s="172"/>
      <c r="BK81" s="173"/>
      <c r="BL81" s="174"/>
      <c r="BM81" s="173"/>
      <c r="BN81" s="173"/>
      <c r="BO81" s="175"/>
      <c r="BP81" s="88"/>
      <c r="BR81" s="137"/>
      <c r="BS81" s="172"/>
      <c r="BT81" s="173"/>
      <c r="BU81" s="174"/>
      <c r="BV81" s="173"/>
      <c r="BW81" s="173"/>
      <c r="BX81" s="175"/>
      <c r="BY81" s="88"/>
      <c r="FN81" s="50"/>
      <c r="FO81" s="47"/>
      <c r="FP81" s="47"/>
      <c r="FQ81" s="47"/>
      <c r="FR81" s="47"/>
    </row>
    <row r="82" spans="2:174" ht="11.25" customHeight="1">
      <c r="B82" s="137"/>
      <c r="C82" s="134"/>
      <c r="D82" s="372"/>
      <c r="E82" s="373"/>
      <c r="F82" s="374"/>
      <c r="G82" s="373"/>
      <c r="H82" s="373"/>
      <c r="I82" s="375"/>
      <c r="J82" s="88"/>
      <c r="AZ82" s="137"/>
      <c r="BA82" s="172"/>
      <c r="BB82" s="173"/>
      <c r="BC82" s="174"/>
      <c r="BD82" s="173"/>
      <c r="BE82" s="173"/>
      <c r="BF82" s="175"/>
      <c r="BG82" s="88"/>
      <c r="BI82" s="137"/>
      <c r="BJ82" s="172"/>
      <c r="BK82" s="173"/>
      <c r="BL82" s="174"/>
      <c r="BM82" s="173"/>
      <c r="BN82" s="173"/>
      <c r="BO82" s="175"/>
      <c r="BP82" s="88"/>
      <c r="BR82" s="137"/>
      <c r="BS82" s="172"/>
      <c r="BT82" s="173"/>
      <c r="BU82" s="174"/>
      <c r="BV82" s="173"/>
      <c r="BW82" s="173"/>
      <c r="BX82" s="175"/>
      <c r="BY82" s="88"/>
      <c r="FN82" s="50"/>
      <c r="FO82" s="47"/>
      <c r="FP82" s="47"/>
      <c r="FQ82" s="47"/>
      <c r="FR82" s="47"/>
    </row>
    <row r="83" spans="2:174" ht="11.25" customHeight="1">
      <c r="B83" s="137"/>
      <c r="C83" s="134"/>
      <c r="D83" s="372"/>
      <c r="E83" s="373"/>
      <c r="F83" s="374"/>
      <c r="G83" s="373"/>
      <c r="H83" s="373"/>
      <c r="I83" s="375"/>
      <c r="J83" s="88"/>
      <c r="AZ83" s="137"/>
      <c r="BA83" s="172"/>
      <c r="BB83" s="173"/>
      <c r="BC83" s="174"/>
      <c r="BD83" s="173"/>
      <c r="BE83" s="173"/>
      <c r="BF83" s="175"/>
      <c r="BG83" s="88"/>
      <c r="BI83" s="137"/>
      <c r="BJ83" s="172"/>
      <c r="BK83" s="173"/>
      <c r="BL83" s="174"/>
      <c r="BM83" s="173"/>
      <c r="BN83" s="173"/>
      <c r="BO83" s="175"/>
      <c r="BP83" s="88"/>
      <c r="BR83" s="137"/>
      <c r="BS83" s="172"/>
      <c r="BT83" s="173"/>
      <c r="BU83" s="174"/>
      <c r="BV83" s="173"/>
      <c r="BW83" s="173"/>
      <c r="BX83" s="175"/>
      <c r="BY83" s="88"/>
      <c r="FN83" s="50"/>
      <c r="FO83" s="47"/>
      <c r="FP83" s="47"/>
      <c r="FQ83" s="47"/>
      <c r="FR83" s="47"/>
    </row>
    <row r="84" spans="2:174" ht="11.25" customHeight="1">
      <c r="B84" s="137"/>
      <c r="C84" s="134"/>
      <c r="D84" s="372"/>
      <c r="E84" s="373"/>
      <c r="F84" s="374"/>
      <c r="G84" s="373"/>
      <c r="H84" s="373"/>
      <c r="I84" s="375"/>
      <c r="J84" s="88"/>
      <c r="AZ84" s="137"/>
      <c r="BA84" s="172"/>
      <c r="BB84" s="173"/>
      <c r="BC84" s="174"/>
      <c r="BD84" s="173"/>
      <c r="BE84" s="173"/>
      <c r="BF84" s="175"/>
      <c r="BG84" s="88"/>
      <c r="BI84" s="137"/>
      <c r="BJ84" s="172"/>
      <c r="BK84" s="173"/>
      <c r="BL84" s="174"/>
      <c r="BM84" s="173"/>
      <c r="BN84" s="173"/>
      <c r="BO84" s="175"/>
      <c r="BP84" s="88"/>
      <c r="BR84" s="137"/>
      <c r="BS84" s="172"/>
      <c r="BT84" s="173"/>
      <c r="BU84" s="174"/>
      <c r="BV84" s="173"/>
      <c r="BW84" s="173"/>
      <c r="BX84" s="175"/>
      <c r="BY84" s="88"/>
      <c r="FN84" s="50"/>
      <c r="FO84" s="47"/>
      <c r="FP84" s="47"/>
      <c r="FQ84" s="47"/>
      <c r="FR84" s="47"/>
    </row>
    <row r="85" spans="2:174" ht="11.25" customHeight="1">
      <c r="B85" s="137"/>
      <c r="C85" s="134"/>
      <c r="D85" s="372"/>
      <c r="E85" s="373"/>
      <c r="F85" s="374"/>
      <c r="G85" s="373"/>
      <c r="H85" s="373"/>
      <c r="I85" s="375"/>
      <c r="J85" s="88"/>
      <c r="AZ85" s="137"/>
      <c r="BA85" s="172"/>
      <c r="BB85" s="173"/>
      <c r="BC85" s="174"/>
      <c r="BD85" s="173"/>
      <c r="BE85" s="173"/>
      <c r="BF85" s="175"/>
      <c r="BG85" s="88"/>
      <c r="BI85" s="137"/>
      <c r="BJ85" s="172"/>
      <c r="BK85" s="173"/>
      <c r="BL85" s="174"/>
      <c r="BM85" s="173"/>
      <c r="BN85" s="173"/>
      <c r="BO85" s="175"/>
      <c r="BP85" s="88"/>
      <c r="BR85" s="137"/>
      <c r="BS85" s="172"/>
      <c r="BT85" s="173"/>
      <c r="BU85" s="174"/>
      <c r="BV85" s="173"/>
      <c r="BW85" s="173"/>
      <c r="BX85" s="175"/>
      <c r="BY85" s="88"/>
      <c r="FN85" s="50"/>
      <c r="FO85" s="47"/>
      <c r="FP85" s="47"/>
      <c r="FQ85" s="47"/>
      <c r="FR85" s="47"/>
    </row>
    <row r="86" spans="2:174" ht="11.25" customHeight="1">
      <c r="B86" s="137"/>
      <c r="C86" s="134"/>
      <c r="D86" s="372"/>
      <c r="E86" s="373"/>
      <c r="F86" s="374"/>
      <c r="G86" s="373"/>
      <c r="H86" s="373"/>
      <c r="I86" s="375"/>
      <c r="J86" s="88"/>
      <c r="AZ86" s="137"/>
      <c r="BA86" s="172"/>
      <c r="BB86" s="173"/>
      <c r="BC86" s="174"/>
      <c r="BD86" s="173"/>
      <c r="BE86" s="173"/>
      <c r="BF86" s="175"/>
      <c r="BG86" s="88"/>
      <c r="BI86" s="137"/>
      <c r="BJ86" s="172"/>
      <c r="BK86" s="173"/>
      <c r="BL86" s="174"/>
      <c r="BM86" s="173"/>
      <c r="BN86" s="173"/>
      <c r="BO86" s="175"/>
      <c r="BP86" s="88"/>
      <c r="BR86" s="137"/>
      <c r="BS86" s="172"/>
      <c r="BT86" s="173"/>
      <c r="BU86" s="174"/>
      <c r="BV86" s="173"/>
      <c r="BW86" s="173"/>
      <c r="BX86" s="175"/>
      <c r="BY86" s="88"/>
      <c r="FN86" s="50"/>
      <c r="FO86" s="47"/>
      <c r="FP86" s="47"/>
      <c r="FQ86" s="47"/>
      <c r="FR86" s="47"/>
    </row>
    <row r="87" spans="2:174" ht="11.25" customHeight="1">
      <c r="B87" s="137"/>
      <c r="C87" s="134"/>
      <c r="D87" s="372"/>
      <c r="E87" s="373"/>
      <c r="F87" s="374"/>
      <c r="G87" s="373"/>
      <c r="H87" s="373"/>
      <c r="I87" s="375"/>
      <c r="J87" s="88"/>
      <c r="AZ87" s="137"/>
      <c r="BA87" s="172"/>
      <c r="BB87" s="173"/>
      <c r="BC87" s="174"/>
      <c r="BD87" s="173"/>
      <c r="BE87" s="173"/>
      <c r="BF87" s="175"/>
      <c r="BG87" s="88"/>
      <c r="BI87" s="137"/>
      <c r="BJ87" s="172"/>
      <c r="BK87" s="173"/>
      <c r="BL87" s="174"/>
      <c r="BM87" s="173"/>
      <c r="BN87" s="173"/>
      <c r="BO87" s="175"/>
      <c r="BP87" s="88"/>
      <c r="BR87" s="137"/>
      <c r="BS87" s="172"/>
      <c r="BT87" s="173"/>
      <c r="BU87" s="174"/>
      <c r="BV87" s="173"/>
      <c r="BW87" s="173"/>
      <c r="BX87" s="175"/>
      <c r="BY87" s="88"/>
      <c r="FN87" s="50"/>
      <c r="FO87" s="47"/>
      <c r="FP87" s="47"/>
      <c r="FQ87" s="47"/>
      <c r="FR87" s="47"/>
    </row>
    <row r="88" spans="2:174" ht="11.25" customHeight="1">
      <c r="B88" s="137"/>
      <c r="C88" s="134"/>
      <c r="D88" s="372"/>
      <c r="E88" s="373"/>
      <c r="F88" s="374"/>
      <c r="G88" s="373"/>
      <c r="H88" s="373"/>
      <c r="I88" s="375"/>
      <c r="J88" s="88"/>
      <c r="AZ88" s="137"/>
      <c r="BA88" s="172"/>
      <c r="BB88" s="173"/>
      <c r="BC88" s="174"/>
      <c r="BD88" s="173"/>
      <c r="BE88" s="173"/>
      <c r="BF88" s="175"/>
      <c r="BG88" s="88"/>
      <c r="BI88" s="137"/>
      <c r="BJ88" s="172"/>
      <c r="BK88" s="173"/>
      <c r="BL88" s="174"/>
      <c r="BM88" s="173"/>
      <c r="BN88" s="173"/>
      <c r="BO88" s="175"/>
      <c r="BP88" s="88"/>
      <c r="BR88" s="137"/>
      <c r="BS88" s="172"/>
      <c r="BT88" s="173"/>
      <c r="BU88" s="174"/>
      <c r="BV88" s="173"/>
      <c r="BW88" s="173"/>
      <c r="BX88" s="175"/>
      <c r="BY88" s="88"/>
      <c r="FN88" s="50"/>
      <c r="FO88" s="47"/>
      <c r="FP88" s="47"/>
      <c r="FQ88" s="47"/>
      <c r="FR88" s="47"/>
    </row>
    <row r="89" spans="2:174" ht="11.25" customHeight="1">
      <c r="B89" s="137"/>
      <c r="C89" s="134"/>
      <c r="D89" s="372"/>
      <c r="E89" s="373"/>
      <c r="F89" s="374"/>
      <c r="G89" s="373"/>
      <c r="H89" s="373"/>
      <c r="I89" s="375"/>
      <c r="J89" s="88"/>
      <c r="AZ89" s="137"/>
      <c r="BA89" s="172"/>
      <c r="BB89" s="173"/>
      <c r="BC89" s="174"/>
      <c r="BD89" s="173"/>
      <c r="BE89" s="173"/>
      <c r="BF89" s="175"/>
      <c r="BG89" s="88"/>
      <c r="BI89" s="137"/>
      <c r="BJ89" s="172"/>
      <c r="BK89" s="173"/>
      <c r="BL89" s="174"/>
      <c r="BM89" s="173"/>
      <c r="BN89" s="173"/>
      <c r="BO89" s="175"/>
      <c r="BP89" s="88"/>
      <c r="BR89" s="137"/>
      <c r="BS89" s="172"/>
      <c r="BT89" s="173"/>
      <c r="BU89" s="174"/>
      <c r="BV89" s="173"/>
      <c r="BW89" s="173"/>
      <c r="BX89" s="175"/>
      <c r="BY89" s="88"/>
      <c r="FN89" s="50"/>
      <c r="FO89" s="47"/>
      <c r="FP89" s="47"/>
      <c r="FQ89" s="47"/>
      <c r="FR89" s="47"/>
    </row>
    <row r="90" spans="2:174" ht="11.25" customHeight="1">
      <c r="B90" s="137"/>
      <c r="C90" s="134"/>
      <c r="D90" s="372"/>
      <c r="E90" s="373"/>
      <c r="F90" s="374"/>
      <c r="G90" s="373"/>
      <c r="H90" s="373"/>
      <c r="I90" s="375"/>
      <c r="J90" s="88"/>
      <c r="AZ90" s="137"/>
      <c r="BA90" s="172"/>
      <c r="BB90" s="173"/>
      <c r="BC90" s="174"/>
      <c r="BD90" s="173"/>
      <c r="BE90" s="173"/>
      <c r="BF90" s="175"/>
      <c r="BG90" s="88"/>
      <c r="BI90" s="137"/>
      <c r="BJ90" s="172"/>
      <c r="BK90" s="173"/>
      <c r="BL90" s="174"/>
      <c r="BM90" s="173"/>
      <c r="BN90" s="173"/>
      <c r="BO90" s="175"/>
      <c r="BP90" s="88"/>
      <c r="BR90" s="137"/>
      <c r="BS90" s="172"/>
      <c r="BT90" s="173"/>
      <c r="BU90" s="174"/>
      <c r="BV90" s="173"/>
      <c r="BW90" s="173"/>
      <c r="BX90" s="175"/>
      <c r="BY90" s="88"/>
      <c r="FN90" s="50"/>
      <c r="FO90" s="47"/>
      <c r="FP90" s="47"/>
      <c r="FQ90" s="47"/>
      <c r="FR90" s="47"/>
    </row>
    <row r="91" spans="2:174" ht="11.25" customHeight="1">
      <c r="B91" s="137"/>
      <c r="C91" s="134"/>
      <c r="D91" s="372"/>
      <c r="E91" s="373"/>
      <c r="F91" s="374"/>
      <c r="G91" s="373"/>
      <c r="H91" s="373"/>
      <c r="I91" s="375"/>
      <c r="J91" s="88"/>
      <c r="AZ91" s="137"/>
      <c r="BA91" s="172"/>
      <c r="BB91" s="173"/>
      <c r="BC91" s="174"/>
      <c r="BD91" s="173"/>
      <c r="BE91" s="173"/>
      <c r="BF91" s="175"/>
      <c r="BG91" s="88"/>
      <c r="BI91" s="137"/>
      <c r="BJ91" s="172"/>
      <c r="BK91" s="173"/>
      <c r="BL91" s="174"/>
      <c r="BM91" s="173"/>
      <c r="BN91" s="173"/>
      <c r="BO91" s="175"/>
      <c r="BP91" s="88"/>
      <c r="BR91" s="137"/>
      <c r="BS91" s="172"/>
      <c r="BT91" s="173"/>
      <c r="BU91" s="174"/>
      <c r="BV91" s="173"/>
      <c r="BW91" s="173"/>
      <c r="BX91" s="175"/>
      <c r="BY91" s="88"/>
      <c r="FN91" s="50"/>
      <c r="FO91" s="47"/>
      <c r="FP91" s="47"/>
      <c r="FQ91" s="47"/>
      <c r="FR91" s="47"/>
    </row>
    <row r="92" spans="2:174" ht="11.25" customHeight="1">
      <c r="B92" s="137"/>
      <c r="C92" s="134"/>
      <c r="D92" s="372"/>
      <c r="E92" s="373"/>
      <c r="F92" s="374"/>
      <c r="G92" s="373"/>
      <c r="H92" s="373"/>
      <c r="I92" s="375"/>
      <c r="J92" s="88"/>
      <c r="AZ92" s="137"/>
      <c r="BA92" s="172"/>
      <c r="BB92" s="173"/>
      <c r="BC92" s="174"/>
      <c r="BD92" s="173"/>
      <c r="BE92" s="173"/>
      <c r="BF92" s="175"/>
      <c r="BG92" s="88"/>
      <c r="BI92" s="137"/>
      <c r="BJ92" s="172"/>
      <c r="BK92" s="173"/>
      <c r="BL92" s="174"/>
      <c r="BM92" s="173"/>
      <c r="BN92" s="173"/>
      <c r="BO92" s="175"/>
      <c r="BP92" s="88"/>
      <c r="BR92" s="137"/>
      <c r="BS92" s="172"/>
      <c r="BT92" s="173"/>
      <c r="BU92" s="174"/>
      <c r="BV92" s="173"/>
      <c r="BW92" s="173"/>
      <c r="BX92" s="175"/>
      <c r="BY92" s="88"/>
      <c r="FN92" s="50"/>
      <c r="FO92" s="47"/>
      <c r="FP92" s="47"/>
      <c r="FQ92" s="47"/>
      <c r="FR92" s="47"/>
    </row>
    <row r="93" spans="2:174" ht="11.25" customHeight="1">
      <c r="B93" s="137"/>
      <c r="C93" s="134"/>
      <c r="D93" s="372"/>
      <c r="E93" s="373"/>
      <c r="F93" s="374"/>
      <c r="G93" s="373"/>
      <c r="H93" s="373"/>
      <c r="I93" s="375"/>
      <c r="J93" s="88"/>
      <c r="AZ93" s="137"/>
      <c r="BA93" s="172"/>
      <c r="BB93" s="173"/>
      <c r="BC93" s="174"/>
      <c r="BD93" s="173"/>
      <c r="BE93" s="173"/>
      <c r="BF93" s="175"/>
      <c r="BG93" s="88"/>
      <c r="BI93" s="137"/>
      <c r="BJ93" s="172"/>
      <c r="BK93" s="173"/>
      <c r="BL93" s="174"/>
      <c r="BM93" s="173"/>
      <c r="BN93" s="173"/>
      <c r="BO93" s="175"/>
      <c r="BP93" s="88"/>
      <c r="BR93" s="137"/>
      <c r="BS93" s="172"/>
      <c r="BT93" s="173"/>
      <c r="BU93" s="174"/>
      <c r="BV93" s="173"/>
      <c r="BW93" s="173"/>
      <c r="BX93" s="175"/>
      <c r="BY93" s="88"/>
      <c r="FN93" s="50"/>
      <c r="FO93" s="47"/>
      <c r="FP93" s="47"/>
      <c r="FQ93" s="47"/>
      <c r="FR93" s="47"/>
    </row>
    <row r="94" spans="2:174" ht="11.25" customHeight="1">
      <c r="B94" s="137"/>
      <c r="C94" s="134"/>
      <c r="D94" s="372"/>
      <c r="E94" s="373"/>
      <c r="F94" s="374"/>
      <c r="G94" s="373"/>
      <c r="H94" s="373"/>
      <c r="I94" s="375"/>
      <c r="J94" s="88"/>
      <c r="AZ94" s="137"/>
      <c r="BA94" s="172"/>
      <c r="BB94" s="173"/>
      <c r="BC94" s="174"/>
      <c r="BD94" s="173"/>
      <c r="BE94" s="173"/>
      <c r="BF94" s="175"/>
      <c r="BG94" s="88"/>
      <c r="BI94" s="137"/>
      <c r="BJ94" s="172"/>
      <c r="BK94" s="173"/>
      <c r="BL94" s="174"/>
      <c r="BM94" s="173"/>
      <c r="BN94" s="173"/>
      <c r="BO94" s="175"/>
      <c r="BP94" s="88"/>
      <c r="BR94" s="137"/>
      <c r="BS94" s="172"/>
      <c r="BT94" s="173"/>
      <c r="BU94" s="174"/>
      <c r="BV94" s="173"/>
      <c r="BW94" s="173"/>
      <c r="BX94" s="175"/>
      <c r="BY94" s="88"/>
      <c r="FN94" s="50"/>
      <c r="FO94" s="47"/>
      <c r="FP94" s="47"/>
      <c r="FQ94" s="47"/>
      <c r="FR94" s="47"/>
    </row>
    <row r="95" spans="2:174" ht="11.25" customHeight="1">
      <c r="B95" s="137"/>
      <c r="C95" s="134"/>
      <c r="D95" s="372"/>
      <c r="E95" s="373"/>
      <c r="F95" s="374"/>
      <c r="G95" s="373"/>
      <c r="H95" s="373"/>
      <c r="I95" s="375"/>
      <c r="J95" s="88"/>
      <c r="AZ95" s="137"/>
      <c r="BA95" s="172"/>
      <c r="BB95" s="173"/>
      <c r="BC95" s="174"/>
      <c r="BD95" s="173"/>
      <c r="BE95" s="173"/>
      <c r="BF95" s="175"/>
      <c r="BG95" s="88"/>
      <c r="BI95" s="137"/>
      <c r="BJ95" s="172"/>
      <c r="BK95" s="173"/>
      <c r="BL95" s="174"/>
      <c r="BM95" s="173"/>
      <c r="BN95" s="173"/>
      <c r="BO95" s="175"/>
      <c r="BP95" s="88"/>
      <c r="BR95" s="137"/>
      <c r="BS95" s="172"/>
      <c r="BT95" s="173"/>
      <c r="BU95" s="174"/>
      <c r="BV95" s="173"/>
      <c r="BW95" s="173"/>
      <c r="BX95" s="175"/>
      <c r="BY95" s="88"/>
      <c r="FN95" s="50"/>
      <c r="FO95" s="47"/>
      <c r="FP95" s="47"/>
      <c r="FQ95" s="47"/>
      <c r="FR95" s="47"/>
    </row>
    <row r="96" spans="2:174" ht="11.25" customHeight="1">
      <c r="B96" s="137"/>
      <c r="C96" s="134"/>
      <c r="D96" s="372"/>
      <c r="E96" s="373"/>
      <c r="F96" s="374"/>
      <c r="G96" s="373"/>
      <c r="H96" s="373"/>
      <c r="I96" s="375"/>
      <c r="J96" s="88"/>
      <c r="AZ96" s="137"/>
      <c r="BA96" s="172"/>
      <c r="BB96" s="173"/>
      <c r="BC96" s="174"/>
      <c r="BD96" s="173"/>
      <c r="BE96" s="173"/>
      <c r="BF96" s="175"/>
      <c r="BG96" s="88"/>
      <c r="BI96" s="137"/>
      <c r="BJ96" s="172"/>
      <c r="BK96" s="173"/>
      <c r="BL96" s="174"/>
      <c r="BM96" s="173"/>
      <c r="BN96" s="173"/>
      <c r="BO96" s="175"/>
      <c r="BP96" s="88"/>
      <c r="BR96" s="137"/>
      <c r="BS96" s="172"/>
      <c r="BT96" s="173"/>
      <c r="BU96" s="174"/>
      <c r="BV96" s="173"/>
      <c r="BW96" s="173"/>
      <c r="BX96" s="175"/>
      <c r="BY96" s="88"/>
      <c r="FN96" s="50"/>
      <c r="FO96" s="47"/>
      <c r="FP96" s="47"/>
      <c r="FQ96" s="47"/>
      <c r="FR96" s="47"/>
    </row>
    <row r="97" spans="2:174" ht="11.25" customHeight="1">
      <c r="B97" s="137"/>
      <c r="C97" s="134"/>
      <c r="D97" s="372"/>
      <c r="E97" s="373"/>
      <c r="F97" s="374"/>
      <c r="G97" s="373"/>
      <c r="H97" s="373"/>
      <c r="I97" s="375"/>
      <c r="J97" s="88"/>
      <c r="AZ97" s="137"/>
      <c r="BA97" s="172"/>
      <c r="BB97" s="173"/>
      <c r="BC97" s="174"/>
      <c r="BD97" s="173"/>
      <c r="BE97" s="173"/>
      <c r="BF97" s="175"/>
      <c r="BG97" s="88"/>
      <c r="BI97" s="137"/>
      <c r="BJ97" s="172"/>
      <c r="BK97" s="173"/>
      <c r="BL97" s="174"/>
      <c r="BM97" s="173"/>
      <c r="BN97" s="173"/>
      <c r="BO97" s="175"/>
      <c r="BP97" s="88"/>
      <c r="BR97" s="137"/>
      <c r="BS97" s="172"/>
      <c r="BT97" s="173"/>
      <c r="BU97" s="174"/>
      <c r="BV97" s="173"/>
      <c r="BW97" s="173"/>
      <c r="BX97" s="175"/>
      <c r="BY97" s="88"/>
      <c r="FN97" s="50"/>
      <c r="FO97" s="47"/>
      <c r="FP97" s="47"/>
      <c r="FQ97" s="47"/>
      <c r="FR97" s="47"/>
    </row>
    <row r="98" spans="2:174" ht="11.25" customHeight="1">
      <c r="B98" s="137"/>
      <c r="C98" s="134"/>
      <c r="D98" s="372"/>
      <c r="E98" s="373"/>
      <c r="F98" s="374"/>
      <c r="G98" s="373"/>
      <c r="H98" s="373"/>
      <c r="I98" s="375"/>
      <c r="J98" s="88"/>
      <c r="AZ98" s="137"/>
      <c r="BA98" s="172"/>
      <c r="BB98" s="173"/>
      <c r="BC98" s="174"/>
      <c r="BD98" s="173"/>
      <c r="BE98" s="173"/>
      <c r="BF98" s="175"/>
      <c r="BG98" s="88"/>
      <c r="BI98" s="137"/>
      <c r="BJ98" s="172"/>
      <c r="BK98" s="173"/>
      <c r="BL98" s="174"/>
      <c r="BM98" s="173"/>
      <c r="BN98" s="173"/>
      <c r="BO98" s="175"/>
      <c r="BP98" s="88"/>
      <c r="BR98" s="137"/>
      <c r="BS98" s="172"/>
      <c r="BT98" s="173"/>
      <c r="BU98" s="174"/>
      <c r="BV98" s="173"/>
      <c r="BW98" s="173"/>
      <c r="BX98" s="175"/>
      <c r="BY98" s="88"/>
      <c r="FN98" s="50"/>
      <c r="FO98" s="47"/>
      <c r="FP98" s="47"/>
      <c r="FQ98" s="47"/>
      <c r="FR98" s="47"/>
    </row>
    <row r="99" spans="2:174" ht="11.25" customHeight="1">
      <c r="B99" s="137"/>
      <c r="C99" s="134"/>
      <c r="D99" s="372"/>
      <c r="E99" s="373"/>
      <c r="F99" s="374"/>
      <c r="G99" s="373"/>
      <c r="H99" s="373"/>
      <c r="I99" s="375"/>
      <c r="J99" s="88"/>
      <c r="AZ99" s="137"/>
      <c r="BA99" s="172"/>
      <c r="BB99" s="173"/>
      <c r="BC99" s="174"/>
      <c r="BD99" s="173"/>
      <c r="BE99" s="173"/>
      <c r="BF99" s="175"/>
      <c r="BG99" s="88"/>
      <c r="BI99" s="137"/>
      <c r="BJ99" s="172"/>
      <c r="BK99" s="173"/>
      <c r="BL99" s="174"/>
      <c r="BM99" s="173"/>
      <c r="BN99" s="173"/>
      <c r="BO99" s="175"/>
      <c r="BP99" s="88"/>
      <c r="BR99" s="137"/>
      <c r="BS99" s="172"/>
      <c r="BT99" s="173"/>
      <c r="BU99" s="174"/>
      <c r="BV99" s="173"/>
      <c r="BW99" s="173"/>
      <c r="BX99" s="175"/>
      <c r="BY99" s="88"/>
      <c r="FN99" s="50"/>
      <c r="FO99" s="47"/>
      <c r="FP99" s="47"/>
      <c r="FQ99" s="47"/>
      <c r="FR99" s="47"/>
    </row>
    <row r="100" spans="2:174" ht="11.25" customHeight="1">
      <c r="B100" s="137"/>
      <c r="C100" s="134"/>
      <c r="D100" s="372"/>
      <c r="E100" s="373"/>
      <c r="F100" s="374"/>
      <c r="G100" s="373"/>
      <c r="H100" s="373"/>
      <c r="I100" s="375"/>
      <c r="J100" s="88"/>
      <c r="AZ100" s="137"/>
      <c r="BA100" s="172"/>
      <c r="BB100" s="173"/>
      <c r="BC100" s="174"/>
      <c r="BD100" s="173"/>
      <c r="BE100" s="173"/>
      <c r="BF100" s="175"/>
      <c r="BG100" s="88"/>
      <c r="BI100" s="137"/>
      <c r="BJ100" s="172"/>
      <c r="BK100" s="173"/>
      <c r="BL100" s="174"/>
      <c r="BM100" s="173"/>
      <c r="BN100" s="173"/>
      <c r="BO100" s="175"/>
      <c r="BP100" s="88"/>
      <c r="BR100" s="137"/>
      <c r="BS100" s="172"/>
      <c r="BT100" s="173"/>
      <c r="BU100" s="174"/>
      <c r="BV100" s="173"/>
      <c r="BW100" s="173"/>
      <c r="BX100" s="175"/>
      <c r="BY100" s="88"/>
      <c r="FN100" s="50"/>
      <c r="FO100" s="47"/>
      <c r="FP100" s="47"/>
      <c r="FQ100" s="47"/>
      <c r="FR100" s="47"/>
    </row>
    <row r="101" spans="2:174" ht="11.25" customHeight="1">
      <c r="B101" s="137"/>
      <c r="C101" s="134"/>
      <c r="D101" s="372"/>
      <c r="E101" s="373"/>
      <c r="F101" s="374"/>
      <c r="G101" s="373"/>
      <c r="H101" s="373"/>
      <c r="I101" s="375"/>
      <c r="J101" s="88"/>
      <c r="AZ101" s="137"/>
      <c r="BA101" s="172"/>
      <c r="BB101" s="173"/>
      <c r="BC101" s="174"/>
      <c r="BD101" s="173"/>
      <c r="BE101" s="173"/>
      <c r="BF101" s="175"/>
      <c r="BG101" s="88"/>
      <c r="BI101" s="137"/>
      <c r="BJ101" s="172"/>
      <c r="BK101" s="173"/>
      <c r="BL101" s="174"/>
      <c r="BM101" s="173"/>
      <c r="BN101" s="173"/>
      <c r="BO101" s="175"/>
      <c r="BP101" s="88"/>
      <c r="BR101" s="137"/>
      <c r="BS101" s="172"/>
      <c r="BT101" s="173"/>
      <c r="BU101" s="174"/>
      <c r="BV101" s="173"/>
      <c r="BW101" s="173"/>
      <c r="BX101" s="175"/>
      <c r="BY101" s="88"/>
      <c r="FN101" s="50"/>
      <c r="FO101" s="47"/>
      <c r="FP101" s="47"/>
      <c r="FQ101" s="47"/>
      <c r="FR101" s="47"/>
    </row>
    <row r="102" spans="2:174" ht="11.25" customHeight="1">
      <c r="B102" s="137"/>
      <c r="C102" s="134"/>
      <c r="D102" s="372"/>
      <c r="E102" s="373"/>
      <c r="F102" s="374"/>
      <c r="G102" s="373"/>
      <c r="H102" s="373"/>
      <c r="I102" s="375"/>
      <c r="J102" s="88"/>
      <c r="AZ102" s="137"/>
      <c r="BA102" s="172"/>
      <c r="BB102" s="173"/>
      <c r="BC102" s="174"/>
      <c r="BD102" s="173"/>
      <c r="BE102" s="173"/>
      <c r="BF102" s="175"/>
      <c r="BG102" s="88"/>
      <c r="BI102" s="137"/>
      <c r="BJ102" s="172"/>
      <c r="BK102" s="173"/>
      <c r="BL102" s="174"/>
      <c r="BM102" s="173"/>
      <c r="BN102" s="173"/>
      <c r="BO102" s="175"/>
      <c r="BP102" s="88"/>
      <c r="BR102" s="137"/>
      <c r="BS102" s="172"/>
      <c r="BT102" s="173"/>
      <c r="BU102" s="174"/>
      <c r="BV102" s="173"/>
      <c r="BW102" s="173"/>
      <c r="BX102" s="175"/>
      <c r="BY102" s="88"/>
      <c r="FN102" s="50"/>
      <c r="FO102" s="47"/>
      <c r="FP102" s="47"/>
      <c r="FQ102" s="47"/>
      <c r="FR102" s="47"/>
    </row>
    <row r="103" spans="2:174" ht="11.25" customHeight="1">
      <c r="B103" s="137"/>
      <c r="C103" s="134"/>
      <c r="D103" s="372"/>
      <c r="E103" s="373"/>
      <c r="F103" s="374"/>
      <c r="G103" s="373"/>
      <c r="H103" s="373"/>
      <c r="I103" s="375"/>
      <c r="J103" s="88"/>
      <c r="AZ103" s="137"/>
      <c r="BA103" s="172"/>
      <c r="BB103" s="173"/>
      <c r="BC103" s="174"/>
      <c r="BD103" s="173"/>
      <c r="BE103" s="173"/>
      <c r="BF103" s="175"/>
      <c r="BG103" s="88"/>
      <c r="BI103" s="137"/>
      <c r="BJ103" s="172"/>
      <c r="BK103" s="173"/>
      <c r="BL103" s="174"/>
      <c r="BM103" s="173"/>
      <c r="BN103" s="173"/>
      <c r="BO103" s="175"/>
      <c r="BP103" s="88"/>
      <c r="BR103" s="137"/>
      <c r="BS103" s="172"/>
      <c r="BT103" s="173"/>
      <c r="BU103" s="174"/>
      <c r="BV103" s="173"/>
      <c r="BW103" s="173"/>
      <c r="BX103" s="175"/>
      <c r="BY103" s="88"/>
      <c r="FN103" s="50"/>
      <c r="FO103" s="47"/>
      <c r="FP103" s="47"/>
      <c r="FQ103" s="47"/>
      <c r="FR103" s="47"/>
    </row>
    <row r="104" spans="2:174" ht="11.25" customHeight="1">
      <c r="B104" s="137"/>
      <c r="C104" s="134"/>
      <c r="D104" s="372"/>
      <c r="E104" s="373"/>
      <c r="F104" s="374"/>
      <c r="G104" s="373"/>
      <c r="H104" s="373"/>
      <c r="I104" s="375"/>
      <c r="J104" s="88"/>
      <c r="AZ104" s="137"/>
      <c r="BA104" s="172"/>
      <c r="BB104" s="173"/>
      <c r="BC104" s="174"/>
      <c r="BD104" s="173"/>
      <c r="BE104" s="173"/>
      <c r="BF104" s="175"/>
      <c r="BG104" s="88"/>
      <c r="BI104" s="137"/>
      <c r="BJ104" s="172"/>
      <c r="BK104" s="173"/>
      <c r="BL104" s="174"/>
      <c r="BM104" s="173"/>
      <c r="BN104" s="173"/>
      <c r="BO104" s="175"/>
      <c r="BP104" s="88"/>
      <c r="BR104" s="137"/>
      <c r="BS104" s="172"/>
      <c r="BT104" s="173"/>
      <c r="BU104" s="174"/>
      <c r="BV104" s="173"/>
      <c r="BW104" s="173"/>
      <c r="BX104" s="175"/>
      <c r="BY104" s="88"/>
      <c r="FN104" s="50"/>
      <c r="FO104" s="47"/>
      <c r="FP104" s="47"/>
      <c r="FQ104" s="47"/>
      <c r="FR104" s="47"/>
    </row>
    <row r="105" spans="2:174" ht="11.25" customHeight="1">
      <c r="B105" s="137"/>
      <c r="C105" s="134"/>
      <c r="D105" s="372"/>
      <c r="E105" s="373"/>
      <c r="F105" s="374"/>
      <c r="G105" s="373"/>
      <c r="H105" s="373"/>
      <c r="I105" s="375"/>
      <c r="J105" s="88"/>
      <c r="AZ105" s="137"/>
      <c r="BA105" s="172"/>
      <c r="BB105" s="173"/>
      <c r="BC105" s="174"/>
      <c r="BD105" s="173"/>
      <c r="BE105" s="173"/>
      <c r="BF105" s="175"/>
      <c r="BG105" s="88"/>
      <c r="BI105" s="137"/>
      <c r="BJ105" s="172"/>
      <c r="BK105" s="173"/>
      <c r="BL105" s="174"/>
      <c r="BM105" s="173"/>
      <c r="BN105" s="173"/>
      <c r="BO105" s="175"/>
      <c r="BP105" s="88"/>
      <c r="BR105" s="137"/>
      <c r="BS105" s="172"/>
      <c r="BT105" s="173"/>
      <c r="BU105" s="174"/>
      <c r="BV105" s="173"/>
      <c r="BW105" s="173"/>
      <c r="BX105" s="175"/>
      <c r="BY105" s="88"/>
      <c r="FN105" s="50"/>
      <c r="FO105" s="47"/>
      <c r="FP105" s="47"/>
      <c r="FQ105" s="47"/>
      <c r="FR105" s="47"/>
    </row>
    <row r="106" spans="2:174" ht="11.25" customHeight="1">
      <c r="B106" s="137"/>
      <c r="C106" s="134"/>
      <c r="D106" s="372"/>
      <c r="E106" s="373"/>
      <c r="F106" s="374"/>
      <c r="G106" s="373"/>
      <c r="H106" s="373"/>
      <c r="I106" s="375"/>
      <c r="J106" s="88"/>
      <c r="AZ106" s="137"/>
      <c r="BA106" s="172"/>
      <c r="BB106" s="173"/>
      <c r="BC106" s="174"/>
      <c r="BD106" s="173"/>
      <c r="BE106" s="173"/>
      <c r="BF106" s="175"/>
      <c r="BG106" s="88"/>
      <c r="BI106" s="137"/>
      <c r="BJ106" s="172"/>
      <c r="BK106" s="173"/>
      <c r="BL106" s="174"/>
      <c r="BM106" s="173"/>
      <c r="BN106" s="173"/>
      <c r="BO106" s="175"/>
      <c r="BP106" s="88"/>
      <c r="BR106" s="137"/>
      <c r="BS106" s="172"/>
      <c r="BT106" s="173"/>
      <c r="BU106" s="174"/>
      <c r="BV106" s="173"/>
      <c r="BW106" s="173"/>
      <c r="BX106" s="175"/>
      <c r="BY106" s="88"/>
      <c r="FN106" s="50"/>
      <c r="FO106" s="47"/>
      <c r="FP106" s="47"/>
      <c r="FQ106" s="47"/>
      <c r="FR106" s="47"/>
    </row>
    <row r="107" spans="2:174" ht="11.25" customHeight="1">
      <c r="B107" s="137"/>
      <c r="C107" s="134"/>
      <c r="D107" s="372"/>
      <c r="E107" s="373"/>
      <c r="F107" s="374"/>
      <c r="G107" s="373"/>
      <c r="H107" s="373"/>
      <c r="I107" s="375"/>
      <c r="J107" s="88"/>
      <c r="AZ107" s="137"/>
      <c r="BA107" s="172"/>
      <c r="BB107" s="173"/>
      <c r="BC107" s="174"/>
      <c r="BD107" s="173"/>
      <c r="BE107" s="173"/>
      <c r="BF107" s="175"/>
      <c r="BG107" s="88"/>
      <c r="BI107" s="137"/>
      <c r="BJ107" s="172"/>
      <c r="BK107" s="173"/>
      <c r="BL107" s="174"/>
      <c r="BM107" s="173"/>
      <c r="BN107" s="173"/>
      <c r="BO107" s="175"/>
      <c r="BP107" s="88"/>
      <c r="BR107" s="137"/>
      <c r="BS107" s="172"/>
      <c r="BT107" s="173"/>
      <c r="BU107" s="174"/>
      <c r="BV107" s="173"/>
      <c r="BW107" s="173"/>
      <c r="BX107" s="175"/>
      <c r="BY107" s="88"/>
      <c r="FN107" s="50"/>
      <c r="FO107" s="47"/>
      <c r="FP107" s="47"/>
      <c r="FQ107" s="47"/>
      <c r="FR107" s="47"/>
    </row>
    <row r="108" spans="2:174" ht="11.25" customHeight="1">
      <c r="B108" s="137"/>
      <c r="C108" s="134"/>
      <c r="D108" s="372"/>
      <c r="E108" s="373"/>
      <c r="F108" s="374"/>
      <c r="G108" s="373"/>
      <c r="H108" s="373"/>
      <c r="I108" s="375"/>
      <c r="J108" s="88"/>
      <c r="AZ108" s="137"/>
      <c r="BA108" s="172"/>
      <c r="BB108" s="173"/>
      <c r="BC108" s="174"/>
      <c r="BD108" s="173"/>
      <c r="BE108" s="173"/>
      <c r="BF108" s="175"/>
      <c r="BG108" s="88"/>
      <c r="BI108" s="137"/>
      <c r="BJ108" s="172"/>
      <c r="BK108" s="173"/>
      <c r="BL108" s="174"/>
      <c r="BM108" s="173"/>
      <c r="BN108" s="173"/>
      <c r="BO108" s="175"/>
      <c r="BP108" s="88"/>
      <c r="BR108" s="137"/>
      <c r="BS108" s="172"/>
      <c r="BT108" s="173"/>
      <c r="BU108" s="174"/>
      <c r="BV108" s="173"/>
      <c r="BW108" s="173"/>
      <c r="BX108" s="175"/>
      <c r="BY108" s="88"/>
      <c r="FN108" s="50"/>
      <c r="FO108" s="47"/>
      <c r="FP108" s="47"/>
      <c r="FQ108" s="47"/>
      <c r="FR108" s="47"/>
    </row>
    <row r="109" spans="2:174" ht="11.25" customHeight="1">
      <c r="B109" s="137"/>
      <c r="C109" s="134"/>
      <c r="D109" s="372"/>
      <c r="E109" s="373"/>
      <c r="F109" s="374"/>
      <c r="G109" s="373"/>
      <c r="H109" s="373"/>
      <c r="I109" s="375"/>
      <c r="J109" s="88"/>
      <c r="AZ109" s="137"/>
      <c r="BA109" s="172"/>
      <c r="BB109" s="173"/>
      <c r="BC109" s="174"/>
      <c r="BD109" s="173"/>
      <c r="BE109" s="173"/>
      <c r="BF109" s="175"/>
      <c r="BG109" s="88"/>
      <c r="BI109" s="137"/>
      <c r="BJ109" s="172"/>
      <c r="BK109" s="173"/>
      <c r="BL109" s="174"/>
      <c r="BM109" s="173"/>
      <c r="BN109" s="173"/>
      <c r="BO109" s="175"/>
      <c r="BP109" s="88"/>
      <c r="BR109" s="137"/>
      <c r="BS109" s="172"/>
      <c r="BT109" s="173"/>
      <c r="BU109" s="174"/>
      <c r="BV109" s="173"/>
      <c r="BW109" s="173"/>
      <c r="BX109" s="175"/>
      <c r="BY109" s="88"/>
      <c r="FN109" s="50"/>
      <c r="FO109" s="47"/>
      <c r="FP109" s="47"/>
      <c r="FQ109" s="47"/>
      <c r="FR109" s="47"/>
    </row>
    <row r="110" spans="2:174" ht="11.25" customHeight="1">
      <c r="B110" s="137"/>
      <c r="C110" s="134"/>
      <c r="D110" s="372"/>
      <c r="E110" s="373"/>
      <c r="F110" s="374"/>
      <c r="G110" s="373"/>
      <c r="H110" s="373"/>
      <c r="I110" s="375"/>
      <c r="J110" s="88"/>
      <c r="AZ110" s="137"/>
      <c r="BA110" s="172"/>
      <c r="BB110" s="173"/>
      <c r="BC110" s="174"/>
      <c r="BD110" s="173"/>
      <c r="BE110" s="173"/>
      <c r="BF110" s="175"/>
      <c r="BG110" s="88"/>
      <c r="BI110" s="137"/>
      <c r="BJ110" s="172"/>
      <c r="BK110" s="173"/>
      <c r="BL110" s="174"/>
      <c r="BM110" s="173"/>
      <c r="BN110" s="173"/>
      <c r="BO110" s="175"/>
      <c r="BP110" s="88"/>
      <c r="BR110" s="137"/>
      <c r="BS110" s="172"/>
      <c r="BT110" s="173"/>
      <c r="BU110" s="174"/>
      <c r="BV110" s="173"/>
      <c r="BW110" s="173"/>
      <c r="BX110" s="175"/>
      <c r="BY110" s="88"/>
      <c r="FN110" s="50"/>
      <c r="FO110" s="47"/>
      <c r="FP110" s="47"/>
      <c r="FQ110" s="47"/>
      <c r="FR110" s="47"/>
    </row>
    <row r="111" spans="2:174" ht="11.25" customHeight="1">
      <c r="B111" s="137"/>
      <c r="C111" s="134"/>
      <c r="D111" s="372"/>
      <c r="E111" s="373"/>
      <c r="F111" s="374"/>
      <c r="G111" s="373"/>
      <c r="H111" s="373"/>
      <c r="I111" s="375"/>
      <c r="J111" s="88"/>
      <c r="AZ111" s="137"/>
      <c r="BA111" s="172"/>
      <c r="BB111" s="173"/>
      <c r="BC111" s="174"/>
      <c r="BD111" s="173"/>
      <c r="BE111" s="173"/>
      <c r="BF111" s="175"/>
      <c r="BG111" s="88"/>
      <c r="BI111" s="137"/>
      <c r="BJ111" s="172"/>
      <c r="BK111" s="173"/>
      <c r="BL111" s="174"/>
      <c r="BM111" s="173"/>
      <c r="BN111" s="173"/>
      <c r="BO111" s="175"/>
      <c r="BP111" s="88"/>
      <c r="BR111" s="137"/>
      <c r="BS111" s="172"/>
      <c r="BT111" s="173"/>
      <c r="BU111" s="174"/>
      <c r="BV111" s="173"/>
      <c r="BW111" s="173"/>
      <c r="BX111" s="175"/>
      <c r="BY111" s="88"/>
      <c r="FN111" s="50"/>
      <c r="FO111" s="47"/>
      <c r="FP111" s="47"/>
      <c r="FQ111" s="47"/>
      <c r="FR111" s="47"/>
    </row>
    <row r="112" spans="2:174" ht="11.25" customHeight="1">
      <c r="B112" s="137"/>
      <c r="C112" s="134"/>
      <c r="D112" s="372"/>
      <c r="E112" s="373"/>
      <c r="F112" s="374"/>
      <c r="G112" s="373"/>
      <c r="H112" s="373"/>
      <c r="I112" s="375"/>
      <c r="J112" s="88"/>
      <c r="AZ112" s="137"/>
      <c r="BA112" s="172"/>
      <c r="BB112" s="173"/>
      <c r="BC112" s="174"/>
      <c r="BD112" s="173"/>
      <c r="BE112" s="173"/>
      <c r="BF112" s="175"/>
      <c r="BG112" s="88"/>
      <c r="BI112" s="137"/>
      <c r="BJ112" s="172"/>
      <c r="BK112" s="173"/>
      <c r="BL112" s="174"/>
      <c r="BM112" s="173"/>
      <c r="BN112" s="173"/>
      <c r="BO112" s="175"/>
      <c r="BP112" s="88"/>
      <c r="BR112" s="137"/>
      <c r="BS112" s="172"/>
      <c r="BT112" s="173"/>
      <c r="BU112" s="174"/>
      <c r="BV112" s="173"/>
      <c r="BW112" s="173"/>
      <c r="BX112" s="175"/>
      <c r="BY112" s="88"/>
      <c r="FN112" s="50"/>
      <c r="FO112" s="47"/>
      <c r="FP112" s="47"/>
      <c r="FQ112" s="47"/>
      <c r="FR112" s="47"/>
    </row>
    <row r="113" spans="2:174" ht="11.25" customHeight="1">
      <c r="B113" s="137"/>
      <c r="C113" s="134"/>
      <c r="D113" s="372"/>
      <c r="E113" s="373"/>
      <c r="F113" s="374"/>
      <c r="G113" s="373"/>
      <c r="H113" s="373"/>
      <c r="I113" s="375"/>
      <c r="J113" s="88"/>
      <c r="AZ113" s="137"/>
      <c r="BA113" s="172"/>
      <c r="BB113" s="173"/>
      <c r="BC113" s="174"/>
      <c r="BD113" s="173"/>
      <c r="BE113" s="173"/>
      <c r="BF113" s="175"/>
      <c r="BG113" s="88"/>
      <c r="BI113" s="137"/>
      <c r="BJ113" s="172"/>
      <c r="BK113" s="173"/>
      <c r="BL113" s="174"/>
      <c r="BM113" s="173"/>
      <c r="BN113" s="173"/>
      <c r="BO113" s="175"/>
      <c r="BP113" s="88"/>
      <c r="BR113" s="137"/>
      <c r="BS113" s="172"/>
      <c r="BT113" s="173"/>
      <c r="BU113" s="174"/>
      <c r="BV113" s="173"/>
      <c r="BW113" s="173"/>
      <c r="BX113" s="175"/>
      <c r="BY113" s="88"/>
      <c r="FN113" s="50"/>
      <c r="FO113" s="47"/>
      <c r="FP113" s="47"/>
      <c r="FQ113" s="47"/>
      <c r="FR113" s="47"/>
    </row>
    <row r="114" spans="2:174" ht="11.25" customHeight="1">
      <c r="B114" s="137"/>
      <c r="C114" s="134"/>
      <c r="D114" s="372"/>
      <c r="E114" s="373"/>
      <c r="F114" s="374"/>
      <c r="G114" s="373"/>
      <c r="H114" s="373"/>
      <c r="I114" s="375"/>
      <c r="J114" s="88"/>
      <c r="AZ114" s="137"/>
      <c r="BA114" s="172"/>
      <c r="BB114" s="173"/>
      <c r="BC114" s="174"/>
      <c r="BD114" s="173"/>
      <c r="BE114" s="173"/>
      <c r="BF114" s="175"/>
      <c r="BG114" s="88"/>
      <c r="BI114" s="137"/>
      <c r="BJ114" s="172"/>
      <c r="BK114" s="173"/>
      <c r="BL114" s="174"/>
      <c r="BM114" s="173"/>
      <c r="BN114" s="173"/>
      <c r="BO114" s="175"/>
      <c r="BP114" s="88"/>
      <c r="BR114" s="137"/>
      <c r="BS114" s="172"/>
      <c r="BT114" s="173"/>
      <c r="BU114" s="174"/>
      <c r="BV114" s="173"/>
      <c r="BW114" s="173"/>
      <c r="BX114" s="175"/>
      <c r="BY114" s="88"/>
      <c r="FN114" s="50"/>
      <c r="FO114" s="47"/>
      <c r="FP114" s="47"/>
      <c r="FQ114" s="47"/>
      <c r="FR114" s="47"/>
    </row>
    <row r="115" spans="2:174" ht="11.25" customHeight="1">
      <c r="B115" s="137"/>
      <c r="C115" s="134"/>
      <c r="D115" s="372"/>
      <c r="E115" s="373"/>
      <c r="F115" s="374"/>
      <c r="G115" s="373"/>
      <c r="H115" s="373"/>
      <c r="I115" s="375"/>
      <c r="J115" s="88"/>
      <c r="AZ115" s="137"/>
      <c r="BA115" s="172"/>
      <c r="BB115" s="173"/>
      <c r="BC115" s="174"/>
      <c r="BD115" s="173"/>
      <c r="BE115" s="173"/>
      <c r="BF115" s="175"/>
      <c r="BG115" s="88"/>
      <c r="BI115" s="137"/>
      <c r="BJ115" s="172"/>
      <c r="BK115" s="173"/>
      <c r="BL115" s="174"/>
      <c r="BM115" s="173"/>
      <c r="BN115" s="173"/>
      <c r="BO115" s="175"/>
      <c r="BP115" s="88"/>
      <c r="BR115" s="137"/>
      <c r="BS115" s="172"/>
      <c r="BT115" s="173"/>
      <c r="BU115" s="174"/>
      <c r="BV115" s="173"/>
      <c r="BW115" s="173"/>
      <c r="BX115" s="175"/>
      <c r="BY115" s="88"/>
      <c r="FN115" s="50"/>
      <c r="FO115" s="47"/>
      <c r="FP115" s="47"/>
      <c r="FQ115" s="47"/>
      <c r="FR115" s="47"/>
    </row>
    <row r="116" spans="2:174" ht="11.25" customHeight="1">
      <c r="B116" s="137"/>
      <c r="C116" s="134"/>
      <c r="D116" s="372"/>
      <c r="E116" s="373"/>
      <c r="F116" s="374"/>
      <c r="G116" s="373"/>
      <c r="H116" s="373"/>
      <c r="I116" s="375"/>
      <c r="J116" s="88"/>
      <c r="AZ116" s="137"/>
      <c r="BA116" s="172"/>
      <c r="BB116" s="173"/>
      <c r="BC116" s="174"/>
      <c r="BD116" s="173"/>
      <c r="BE116" s="173"/>
      <c r="BF116" s="175"/>
      <c r="BG116" s="88"/>
      <c r="BI116" s="137"/>
      <c r="BJ116" s="172"/>
      <c r="BK116" s="173"/>
      <c r="BL116" s="174"/>
      <c r="BM116" s="173"/>
      <c r="BN116" s="173"/>
      <c r="BO116" s="175"/>
      <c r="BP116" s="88"/>
      <c r="BR116" s="137"/>
      <c r="BS116" s="172"/>
      <c r="BT116" s="173"/>
      <c r="BU116" s="174"/>
      <c r="BV116" s="173"/>
      <c r="BW116" s="173"/>
      <c r="BX116" s="175"/>
      <c r="BY116" s="88"/>
      <c r="FN116" s="50"/>
      <c r="FO116" s="47"/>
      <c r="FP116" s="47"/>
      <c r="FQ116" s="47"/>
      <c r="FR116" s="47"/>
    </row>
    <row r="117" spans="2:174" ht="11.25" customHeight="1">
      <c r="B117" s="137"/>
      <c r="C117" s="134"/>
      <c r="D117" s="372"/>
      <c r="E117" s="373"/>
      <c r="F117" s="374"/>
      <c r="G117" s="373"/>
      <c r="H117" s="373"/>
      <c r="I117" s="375"/>
      <c r="J117" s="88"/>
      <c r="AZ117" s="137"/>
      <c r="BA117" s="172"/>
      <c r="BB117" s="173"/>
      <c r="BC117" s="174"/>
      <c r="BD117" s="173"/>
      <c r="BE117" s="173"/>
      <c r="BF117" s="175"/>
      <c r="BG117" s="88"/>
      <c r="BI117" s="137"/>
      <c r="BJ117" s="172"/>
      <c r="BK117" s="173"/>
      <c r="BL117" s="174"/>
      <c r="BM117" s="173"/>
      <c r="BN117" s="173"/>
      <c r="BO117" s="175"/>
      <c r="BP117" s="88"/>
      <c r="BR117" s="137"/>
      <c r="BS117" s="172"/>
      <c r="BT117" s="173"/>
      <c r="BU117" s="174"/>
      <c r="BV117" s="173"/>
      <c r="BW117" s="173"/>
      <c r="BX117" s="175"/>
      <c r="BY117" s="88"/>
      <c r="FN117" s="50"/>
      <c r="FO117" s="47"/>
      <c r="FP117" s="47"/>
      <c r="FQ117" s="47"/>
      <c r="FR117" s="47"/>
    </row>
    <row r="118" spans="2:174" ht="11.25" customHeight="1">
      <c r="B118" s="137"/>
      <c r="C118" s="134"/>
      <c r="D118" s="372"/>
      <c r="E118" s="373"/>
      <c r="F118" s="374"/>
      <c r="G118" s="373"/>
      <c r="H118" s="373"/>
      <c r="I118" s="375"/>
      <c r="J118" s="88"/>
      <c r="AZ118" s="137"/>
      <c r="BA118" s="172"/>
      <c r="BB118" s="173"/>
      <c r="BC118" s="174"/>
      <c r="BD118" s="173"/>
      <c r="BE118" s="173"/>
      <c r="BF118" s="175"/>
      <c r="BG118" s="88"/>
      <c r="BI118" s="137"/>
      <c r="BJ118" s="172"/>
      <c r="BK118" s="173"/>
      <c r="BL118" s="174"/>
      <c r="BM118" s="173"/>
      <c r="BN118" s="173"/>
      <c r="BO118" s="175"/>
      <c r="BP118" s="88"/>
      <c r="BR118" s="137"/>
      <c r="BS118" s="172"/>
      <c r="BT118" s="173"/>
      <c r="BU118" s="174"/>
      <c r="BV118" s="173"/>
      <c r="BW118" s="173"/>
      <c r="BX118" s="175"/>
      <c r="BY118" s="88"/>
      <c r="FN118" s="50"/>
      <c r="FO118" s="47"/>
      <c r="FP118" s="47"/>
      <c r="FQ118" s="47"/>
      <c r="FR118" s="47"/>
    </row>
    <row r="119" spans="2:174" ht="11.25" customHeight="1">
      <c r="B119" s="137"/>
      <c r="C119" s="134"/>
      <c r="D119" s="372"/>
      <c r="E119" s="373"/>
      <c r="F119" s="374"/>
      <c r="G119" s="373"/>
      <c r="H119" s="373"/>
      <c r="I119" s="375"/>
      <c r="J119" s="88"/>
      <c r="AZ119" s="137"/>
      <c r="BA119" s="172"/>
      <c r="BB119" s="173"/>
      <c r="BC119" s="174"/>
      <c r="BD119" s="173"/>
      <c r="BE119" s="173"/>
      <c r="BF119" s="175"/>
      <c r="BG119" s="88"/>
      <c r="BI119" s="137"/>
      <c r="BJ119" s="172"/>
      <c r="BK119" s="173"/>
      <c r="BL119" s="174"/>
      <c r="BM119" s="173"/>
      <c r="BN119" s="173"/>
      <c r="BO119" s="175"/>
      <c r="BP119" s="88"/>
      <c r="BR119" s="137"/>
      <c r="BS119" s="172"/>
      <c r="BT119" s="173"/>
      <c r="BU119" s="174"/>
      <c r="BV119" s="173"/>
      <c r="BW119" s="173"/>
      <c r="BX119" s="175"/>
      <c r="BY119" s="88"/>
      <c r="FN119" s="50"/>
      <c r="FO119" s="47"/>
      <c r="FP119" s="47"/>
      <c r="FQ119" s="47"/>
      <c r="FR119" s="47"/>
    </row>
    <row r="120" spans="2:174" ht="11.25" customHeight="1">
      <c r="B120" s="137"/>
      <c r="C120" s="134"/>
      <c r="D120" s="372"/>
      <c r="E120" s="373"/>
      <c r="F120" s="374"/>
      <c r="G120" s="373"/>
      <c r="H120" s="373"/>
      <c r="I120" s="375"/>
      <c r="J120" s="88"/>
      <c r="AZ120" s="137"/>
      <c r="BA120" s="172"/>
      <c r="BB120" s="173"/>
      <c r="BC120" s="174"/>
      <c r="BD120" s="173"/>
      <c r="BE120" s="173"/>
      <c r="BF120" s="175"/>
      <c r="BG120" s="88"/>
      <c r="BI120" s="137"/>
      <c r="BJ120" s="172"/>
      <c r="BK120" s="173"/>
      <c r="BL120" s="174"/>
      <c r="BM120" s="173"/>
      <c r="BN120" s="173"/>
      <c r="BO120" s="175"/>
      <c r="BP120" s="88"/>
      <c r="BR120" s="137"/>
      <c r="BS120" s="172"/>
      <c r="BT120" s="173"/>
      <c r="BU120" s="174"/>
      <c r="BV120" s="173"/>
      <c r="BW120" s="173"/>
      <c r="BX120" s="175"/>
      <c r="BY120" s="88"/>
      <c r="FN120" s="50"/>
      <c r="FO120" s="47"/>
      <c r="FP120" s="47"/>
      <c r="FQ120" s="47"/>
      <c r="FR120" s="47"/>
    </row>
    <row r="121" spans="2:174" ht="11.25" customHeight="1">
      <c r="B121" s="137"/>
      <c r="C121" s="134"/>
      <c r="D121" s="372"/>
      <c r="E121" s="373"/>
      <c r="F121" s="374"/>
      <c r="G121" s="373"/>
      <c r="H121" s="373"/>
      <c r="I121" s="375"/>
      <c r="J121" s="88"/>
      <c r="AZ121" s="137"/>
      <c r="BA121" s="172"/>
      <c r="BB121" s="173"/>
      <c r="BC121" s="174"/>
      <c r="BD121" s="173"/>
      <c r="BE121" s="173"/>
      <c r="BF121" s="175"/>
      <c r="BG121" s="88"/>
      <c r="BI121" s="137"/>
      <c r="BJ121" s="172"/>
      <c r="BK121" s="173"/>
      <c r="BL121" s="174"/>
      <c r="BM121" s="173"/>
      <c r="BN121" s="173"/>
      <c r="BO121" s="175"/>
      <c r="BP121" s="88"/>
      <c r="BR121" s="137"/>
      <c r="BS121" s="172"/>
      <c r="BT121" s="173"/>
      <c r="BU121" s="174"/>
      <c r="BV121" s="173"/>
      <c r="BW121" s="173"/>
      <c r="BX121" s="175"/>
      <c r="BY121" s="88"/>
      <c r="FN121" s="50"/>
      <c r="FO121" s="47"/>
      <c r="FP121" s="47"/>
      <c r="FQ121" s="47"/>
      <c r="FR121" s="47"/>
    </row>
    <row r="122" spans="2:174" ht="11.25" customHeight="1">
      <c r="B122" s="137"/>
      <c r="C122" s="134"/>
      <c r="D122" s="372"/>
      <c r="E122" s="373"/>
      <c r="F122" s="374"/>
      <c r="G122" s="373"/>
      <c r="H122" s="373"/>
      <c r="I122" s="375"/>
      <c r="J122" s="88"/>
      <c r="AZ122" s="137"/>
      <c r="BA122" s="172"/>
      <c r="BB122" s="173"/>
      <c r="BC122" s="174"/>
      <c r="BD122" s="173"/>
      <c r="BE122" s="173"/>
      <c r="BF122" s="175"/>
      <c r="BG122" s="88"/>
      <c r="BI122" s="137"/>
      <c r="BJ122" s="172"/>
      <c r="BK122" s="173"/>
      <c r="BL122" s="174"/>
      <c r="BM122" s="173"/>
      <c r="BN122" s="173"/>
      <c r="BO122" s="175"/>
      <c r="BP122" s="88"/>
      <c r="BR122" s="137"/>
      <c r="BS122" s="172"/>
      <c r="BT122" s="173"/>
      <c r="BU122" s="174"/>
      <c r="BV122" s="173"/>
      <c r="BW122" s="173"/>
      <c r="BX122" s="175"/>
      <c r="BY122" s="88"/>
      <c r="FN122" s="50"/>
      <c r="FO122" s="47"/>
      <c r="FP122" s="47"/>
      <c r="FQ122" s="47"/>
      <c r="FR122" s="47"/>
    </row>
    <row r="123" spans="2:174" ht="11.25" customHeight="1">
      <c r="B123" s="137"/>
      <c r="C123" s="134"/>
      <c r="D123" s="372"/>
      <c r="E123" s="373"/>
      <c r="F123" s="374"/>
      <c r="G123" s="373"/>
      <c r="H123" s="373"/>
      <c r="I123" s="375"/>
      <c r="J123" s="88"/>
      <c r="AZ123" s="137"/>
      <c r="BA123" s="172"/>
      <c r="BB123" s="173"/>
      <c r="BC123" s="174"/>
      <c r="BD123" s="173"/>
      <c r="BE123" s="173"/>
      <c r="BF123" s="175"/>
      <c r="BG123" s="88"/>
      <c r="BI123" s="137"/>
      <c r="BJ123" s="172"/>
      <c r="BK123" s="173"/>
      <c r="BL123" s="174"/>
      <c r="BM123" s="173"/>
      <c r="BN123" s="173"/>
      <c r="BO123" s="175"/>
      <c r="BP123" s="88"/>
      <c r="BR123" s="137"/>
      <c r="BS123" s="172"/>
      <c r="BT123" s="173"/>
      <c r="BU123" s="174"/>
      <c r="BV123" s="173"/>
      <c r="BW123" s="173"/>
      <c r="BX123" s="175"/>
      <c r="BY123" s="88"/>
      <c r="FN123" s="50"/>
      <c r="FO123" s="47"/>
      <c r="FP123" s="47"/>
      <c r="FQ123" s="47"/>
      <c r="FR123" s="47"/>
    </row>
    <row r="124" spans="2:174" ht="11.25" customHeight="1">
      <c r="B124" s="137"/>
      <c r="C124" s="134"/>
      <c r="D124" s="372"/>
      <c r="E124" s="373"/>
      <c r="F124" s="374"/>
      <c r="G124" s="373"/>
      <c r="H124" s="373"/>
      <c r="I124" s="375"/>
      <c r="J124" s="88"/>
      <c r="AZ124" s="137"/>
      <c r="BA124" s="172"/>
      <c r="BB124" s="173"/>
      <c r="BC124" s="174"/>
      <c r="BD124" s="173"/>
      <c r="BE124" s="173"/>
      <c r="BF124" s="175"/>
      <c r="BG124" s="88"/>
      <c r="BI124" s="137"/>
      <c r="BJ124" s="172"/>
      <c r="BK124" s="173"/>
      <c r="BL124" s="174"/>
      <c r="BM124" s="173"/>
      <c r="BN124" s="173"/>
      <c r="BO124" s="175"/>
      <c r="BP124" s="88"/>
      <c r="BR124" s="137"/>
      <c r="BS124" s="172"/>
      <c r="BT124" s="173"/>
      <c r="BU124" s="174"/>
      <c r="BV124" s="173"/>
      <c r="BW124" s="173"/>
      <c r="BX124" s="175"/>
      <c r="BY124" s="88"/>
      <c r="FN124" s="50"/>
      <c r="FO124" s="47"/>
      <c r="FP124" s="47"/>
      <c r="FQ124" s="47"/>
      <c r="FR124" s="47"/>
    </row>
    <row r="125" spans="2:174" ht="11.25" customHeight="1">
      <c r="B125" s="137"/>
      <c r="C125" s="134"/>
      <c r="D125" s="372"/>
      <c r="E125" s="373"/>
      <c r="F125" s="374"/>
      <c r="G125" s="373"/>
      <c r="H125" s="373"/>
      <c r="I125" s="375"/>
      <c r="J125" s="88"/>
      <c r="AZ125" s="137"/>
      <c r="BA125" s="172"/>
      <c r="BB125" s="173"/>
      <c r="BC125" s="174"/>
      <c r="BD125" s="173"/>
      <c r="BE125" s="173"/>
      <c r="BF125" s="175"/>
      <c r="BG125" s="88"/>
      <c r="BI125" s="137"/>
      <c r="BJ125" s="172"/>
      <c r="BK125" s="173"/>
      <c r="BL125" s="174"/>
      <c r="BM125" s="173"/>
      <c r="BN125" s="173"/>
      <c r="BO125" s="175"/>
      <c r="BP125" s="88"/>
      <c r="BR125" s="137"/>
      <c r="BS125" s="172"/>
      <c r="BT125" s="173"/>
      <c r="BU125" s="174"/>
      <c r="BV125" s="173"/>
      <c r="BW125" s="173"/>
      <c r="BX125" s="175"/>
      <c r="BY125" s="88"/>
      <c r="FN125" s="50"/>
      <c r="FO125" s="47"/>
      <c r="FP125" s="47"/>
      <c r="FQ125" s="47"/>
      <c r="FR125" s="47"/>
    </row>
    <row r="126" spans="2:174" ht="11.25" customHeight="1">
      <c r="B126" s="137"/>
      <c r="C126" s="134"/>
      <c r="D126" s="372"/>
      <c r="E126" s="373"/>
      <c r="F126" s="374"/>
      <c r="G126" s="373"/>
      <c r="H126" s="373"/>
      <c r="I126" s="375"/>
      <c r="J126" s="88"/>
      <c r="AZ126" s="137"/>
      <c r="BA126" s="172"/>
      <c r="BB126" s="173"/>
      <c r="BC126" s="174"/>
      <c r="BD126" s="173"/>
      <c r="BE126" s="173"/>
      <c r="BF126" s="175"/>
      <c r="BG126" s="88"/>
      <c r="BI126" s="137"/>
      <c r="BJ126" s="172"/>
      <c r="BK126" s="173"/>
      <c r="BL126" s="174"/>
      <c r="BM126" s="173"/>
      <c r="BN126" s="173"/>
      <c r="BO126" s="175"/>
      <c r="BP126" s="88"/>
      <c r="BR126" s="137"/>
      <c r="BS126" s="172"/>
      <c r="BT126" s="173"/>
      <c r="BU126" s="174"/>
      <c r="BV126" s="173"/>
      <c r="BW126" s="173"/>
      <c r="BX126" s="175"/>
      <c r="BY126" s="88"/>
      <c r="FN126" s="50"/>
      <c r="FO126" s="47"/>
      <c r="FP126" s="47"/>
      <c r="FQ126" s="47"/>
      <c r="FR126" s="47"/>
    </row>
    <row r="127" spans="2:174" ht="11.25" customHeight="1">
      <c r="B127" s="137"/>
      <c r="C127" s="134"/>
      <c r="D127" s="372"/>
      <c r="E127" s="373"/>
      <c r="F127" s="374"/>
      <c r="G127" s="373"/>
      <c r="H127" s="373"/>
      <c r="I127" s="375"/>
      <c r="J127" s="88"/>
      <c r="AZ127" s="137"/>
      <c r="BA127" s="172"/>
      <c r="BB127" s="173"/>
      <c r="BC127" s="174"/>
      <c r="BD127" s="173"/>
      <c r="BE127" s="173"/>
      <c r="BF127" s="175"/>
      <c r="BG127" s="88"/>
      <c r="BI127" s="137"/>
      <c r="BJ127" s="172"/>
      <c r="BK127" s="173"/>
      <c r="BL127" s="174"/>
      <c r="BM127" s="173"/>
      <c r="BN127" s="173"/>
      <c r="BO127" s="175"/>
      <c r="BP127" s="88"/>
      <c r="BR127" s="137"/>
      <c r="BS127" s="172"/>
      <c r="BT127" s="173"/>
      <c r="BU127" s="174"/>
      <c r="BV127" s="173"/>
      <c r="BW127" s="173"/>
      <c r="BX127" s="175"/>
      <c r="BY127" s="88"/>
      <c r="FN127" s="50"/>
      <c r="FO127" s="47"/>
      <c r="FP127" s="47"/>
      <c r="FQ127" s="47"/>
      <c r="FR127" s="47"/>
    </row>
    <row r="128" spans="2:174" ht="11.25" customHeight="1">
      <c r="B128" s="137"/>
      <c r="C128" s="134"/>
      <c r="D128" s="372"/>
      <c r="E128" s="373"/>
      <c r="F128" s="374"/>
      <c r="G128" s="373"/>
      <c r="H128" s="373"/>
      <c r="I128" s="375"/>
      <c r="J128" s="88"/>
      <c r="AZ128" s="137"/>
      <c r="BA128" s="172"/>
      <c r="BB128" s="173"/>
      <c r="BC128" s="174"/>
      <c r="BD128" s="173"/>
      <c r="BE128" s="173"/>
      <c r="BF128" s="175"/>
      <c r="BG128" s="88"/>
      <c r="BI128" s="137"/>
      <c r="BJ128" s="172"/>
      <c r="BK128" s="173"/>
      <c r="BL128" s="174"/>
      <c r="BM128" s="173"/>
      <c r="BN128" s="173"/>
      <c r="BO128" s="175"/>
      <c r="BP128" s="88"/>
      <c r="BR128" s="137"/>
      <c r="BS128" s="172"/>
      <c r="BT128" s="173"/>
      <c r="BU128" s="174"/>
      <c r="BV128" s="173"/>
      <c r="BW128" s="173"/>
      <c r="BX128" s="175"/>
      <c r="BY128" s="88"/>
      <c r="FN128" s="50"/>
      <c r="FO128" s="47"/>
      <c r="FP128" s="47"/>
      <c r="FQ128" s="47"/>
      <c r="FR128" s="47"/>
    </row>
    <row r="129" spans="2:174" ht="11.25" customHeight="1">
      <c r="B129" s="137"/>
      <c r="C129" s="134"/>
      <c r="D129" s="372"/>
      <c r="E129" s="373"/>
      <c r="F129" s="374"/>
      <c r="G129" s="373"/>
      <c r="H129" s="373"/>
      <c r="I129" s="375"/>
      <c r="J129" s="88"/>
      <c r="AZ129" s="137"/>
      <c r="BA129" s="172"/>
      <c r="BB129" s="173"/>
      <c r="BC129" s="174"/>
      <c r="BD129" s="173"/>
      <c r="BE129" s="173"/>
      <c r="BF129" s="175"/>
      <c r="BG129" s="88"/>
      <c r="BI129" s="137"/>
      <c r="BJ129" s="172"/>
      <c r="BK129" s="173"/>
      <c r="BL129" s="174"/>
      <c r="BM129" s="173"/>
      <c r="BN129" s="173"/>
      <c r="BO129" s="175"/>
      <c r="BP129" s="88"/>
      <c r="BR129" s="137"/>
      <c r="BS129" s="172"/>
      <c r="BT129" s="173"/>
      <c r="BU129" s="174"/>
      <c r="BV129" s="173"/>
      <c r="BW129" s="173"/>
      <c r="BX129" s="175"/>
      <c r="BY129" s="88"/>
      <c r="FN129" s="50"/>
      <c r="FO129" s="47"/>
      <c r="FP129" s="47"/>
      <c r="FQ129" s="47"/>
      <c r="FR129" s="47"/>
    </row>
    <row r="130" spans="2:174" ht="11.25" customHeight="1">
      <c r="B130" s="137"/>
      <c r="C130" s="134"/>
      <c r="D130" s="372"/>
      <c r="E130" s="373"/>
      <c r="F130" s="374"/>
      <c r="G130" s="373"/>
      <c r="H130" s="373"/>
      <c r="I130" s="375"/>
      <c r="J130" s="88"/>
      <c r="AZ130" s="137"/>
      <c r="BA130" s="172"/>
      <c r="BB130" s="173"/>
      <c r="BC130" s="174"/>
      <c r="BD130" s="173"/>
      <c r="BE130" s="173"/>
      <c r="BF130" s="175"/>
      <c r="BG130" s="88"/>
      <c r="BI130" s="137"/>
      <c r="BJ130" s="172"/>
      <c r="BK130" s="173"/>
      <c r="BL130" s="174"/>
      <c r="BM130" s="173"/>
      <c r="BN130" s="173"/>
      <c r="BO130" s="175"/>
      <c r="BP130" s="88"/>
      <c r="BR130" s="137"/>
      <c r="BS130" s="172"/>
      <c r="BT130" s="173"/>
      <c r="BU130" s="174"/>
      <c r="BV130" s="173"/>
      <c r="BW130" s="173"/>
      <c r="BX130" s="175"/>
      <c r="BY130" s="88"/>
      <c r="FN130" s="50"/>
      <c r="FO130" s="47"/>
      <c r="FP130" s="47"/>
      <c r="FQ130" s="47"/>
      <c r="FR130" s="47"/>
    </row>
    <row r="131" spans="2:174" ht="11.25" customHeight="1">
      <c r="B131" s="137"/>
      <c r="C131" s="134"/>
      <c r="D131" s="372"/>
      <c r="E131" s="373"/>
      <c r="F131" s="374"/>
      <c r="G131" s="373"/>
      <c r="H131" s="373"/>
      <c r="I131" s="375"/>
      <c r="J131" s="88"/>
      <c r="AZ131" s="137"/>
      <c r="BA131" s="172"/>
      <c r="BB131" s="173"/>
      <c r="BC131" s="174"/>
      <c r="BD131" s="173"/>
      <c r="BE131" s="173"/>
      <c r="BF131" s="175"/>
      <c r="BG131" s="88"/>
      <c r="BI131" s="137"/>
      <c r="BJ131" s="172"/>
      <c r="BK131" s="173"/>
      <c r="BL131" s="174"/>
      <c r="BM131" s="173"/>
      <c r="BN131" s="173"/>
      <c r="BO131" s="175"/>
      <c r="BP131" s="88"/>
      <c r="BR131" s="137"/>
      <c r="BS131" s="172"/>
      <c r="BT131" s="173"/>
      <c r="BU131" s="174"/>
      <c r="BV131" s="173"/>
      <c r="BW131" s="173"/>
      <c r="BX131" s="175"/>
      <c r="BY131" s="88"/>
      <c r="FN131" s="50"/>
      <c r="FO131" s="47"/>
      <c r="FP131" s="47"/>
      <c r="FQ131" s="47"/>
      <c r="FR131" s="47"/>
    </row>
    <row r="132" spans="2:174" ht="11.25" customHeight="1">
      <c r="B132" s="137"/>
      <c r="C132" s="134"/>
      <c r="D132" s="372"/>
      <c r="E132" s="373"/>
      <c r="F132" s="374"/>
      <c r="G132" s="373"/>
      <c r="H132" s="373"/>
      <c r="I132" s="375"/>
      <c r="J132" s="88"/>
      <c r="AZ132" s="137"/>
      <c r="BA132" s="172"/>
      <c r="BB132" s="173"/>
      <c r="BC132" s="174"/>
      <c r="BD132" s="173"/>
      <c r="BE132" s="173"/>
      <c r="BF132" s="175"/>
      <c r="BG132" s="88"/>
      <c r="BI132" s="137"/>
      <c r="BJ132" s="172"/>
      <c r="BK132" s="173"/>
      <c r="BL132" s="174"/>
      <c r="BM132" s="173"/>
      <c r="BN132" s="173"/>
      <c r="BO132" s="175"/>
      <c r="BP132" s="88"/>
      <c r="BR132" s="137"/>
      <c r="BS132" s="172"/>
      <c r="BT132" s="173"/>
      <c r="BU132" s="174"/>
      <c r="BV132" s="173"/>
      <c r="BW132" s="173"/>
      <c r="BX132" s="175"/>
      <c r="BY132" s="88"/>
      <c r="FN132" s="50"/>
      <c r="FO132" s="47"/>
      <c r="FP132" s="47"/>
      <c r="FQ132" s="47"/>
      <c r="FR132" s="47"/>
    </row>
    <row r="133" spans="2:174" ht="11.25" customHeight="1">
      <c r="B133" s="137"/>
      <c r="C133" s="134"/>
      <c r="D133" s="372"/>
      <c r="E133" s="373"/>
      <c r="F133" s="374"/>
      <c r="G133" s="373"/>
      <c r="H133" s="373"/>
      <c r="I133" s="375"/>
      <c r="J133" s="88"/>
      <c r="AZ133" s="137"/>
      <c r="BA133" s="172"/>
      <c r="BB133" s="173"/>
      <c r="BC133" s="174"/>
      <c r="BD133" s="173"/>
      <c r="BE133" s="173"/>
      <c r="BF133" s="175"/>
      <c r="BG133" s="88"/>
      <c r="BI133" s="137"/>
      <c r="BJ133" s="172"/>
      <c r="BK133" s="173"/>
      <c r="BL133" s="174"/>
      <c r="BM133" s="173"/>
      <c r="BN133" s="173"/>
      <c r="BO133" s="175"/>
      <c r="BP133" s="88"/>
      <c r="BR133" s="137"/>
      <c r="BS133" s="172"/>
      <c r="BT133" s="173"/>
      <c r="BU133" s="174"/>
      <c r="BV133" s="173"/>
      <c r="BW133" s="173"/>
      <c r="BX133" s="175"/>
      <c r="BY133" s="88"/>
      <c r="FN133" s="50"/>
      <c r="FO133" s="47"/>
      <c r="FP133" s="47"/>
      <c r="FQ133" s="47"/>
      <c r="FR133" s="47"/>
    </row>
    <row r="134" spans="2:174" ht="11.25" customHeight="1">
      <c r="B134" s="137"/>
      <c r="C134" s="134"/>
      <c r="D134" s="372"/>
      <c r="E134" s="373"/>
      <c r="F134" s="374"/>
      <c r="G134" s="373"/>
      <c r="H134" s="373"/>
      <c r="I134" s="375"/>
      <c r="J134" s="88"/>
      <c r="AZ134" s="137"/>
      <c r="BA134" s="172"/>
      <c r="BB134" s="173"/>
      <c r="BC134" s="174"/>
      <c r="BD134" s="173"/>
      <c r="BE134" s="173"/>
      <c r="BF134" s="175"/>
      <c r="BG134" s="88"/>
      <c r="BI134" s="137"/>
      <c r="BJ134" s="172"/>
      <c r="BK134" s="173"/>
      <c r="BL134" s="174"/>
      <c r="BM134" s="173"/>
      <c r="BN134" s="173"/>
      <c r="BO134" s="175"/>
      <c r="BP134" s="88"/>
      <c r="BR134" s="137"/>
      <c r="BS134" s="172"/>
      <c r="BT134" s="173"/>
      <c r="BU134" s="174"/>
      <c r="BV134" s="173"/>
      <c r="BW134" s="173"/>
      <c r="BX134" s="175"/>
      <c r="BY134" s="88"/>
      <c r="FN134" s="50"/>
      <c r="FO134" s="47"/>
      <c r="FP134" s="47"/>
      <c r="FQ134" s="47"/>
      <c r="FR134" s="47"/>
    </row>
    <row r="135" spans="2:174" ht="11.25" customHeight="1">
      <c r="B135" s="137"/>
      <c r="C135" s="134"/>
      <c r="D135" s="372"/>
      <c r="E135" s="373"/>
      <c r="F135" s="374"/>
      <c r="G135" s="373"/>
      <c r="H135" s="373"/>
      <c r="I135" s="375"/>
      <c r="J135" s="88"/>
      <c r="AZ135" s="137"/>
      <c r="BA135" s="172"/>
      <c r="BB135" s="173"/>
      <c r="BC135" s="174"/>
      <c r="BD135" s="173"/>
      <c r="BE135" s="173"/>
      <c r="BF135" s="175"/>
      <c r="BG135" s="88"/>
      <c r="BI135" s="137"/>
      <c r="BJ135" s="172"/>
      <c r="BK135" s="173"/>
      <c r="BL135" s="174"/>
      <c r="BM135" s="173"/>
      <c r="BN135" s="173"/>
      <c r="BO135" s="175"/>
      <c r="BP135" s="88"/>
      <c r="BR135" s="137"/>
      <c r="BS135" s="172"/>
      <c r="BT135" s="173"/>
      <c r="BU135" s="174"/>
      <c r="BV135" s="173"/>
      <c r="BW135" s="173"/>
      <c r="BX135" s="175"/>
      <c r="BY135" s="88"/>
      <c r="FN135" s="50"/>
      <c r="FO135" s="47"/>
      <c r="FP135" s="47"/>
      <c r="FQ135" s="47"/>
      <c r="FR135" s="47"/>
    </row>
    <row r="136" spans="2:174" ht="11.25" customHeight="1">
      <c r="B136" s="137"/>
      <c r="C136" s="134"/>
      <c r="D136" s="372"/>
      <c r="E136" s="373"/>
      <c r="F136" s="374"/>
      <c r="G136" s="373"/>
      <c r="H136" s="373"/>
      <c r="I136" s="375"/>
      <c r="J136" s="88"/>
      <c r="AZ136" s="137"/>
      <c r="BA136" s="172"/>
      <c r="BB136" s="173"/>
      <c r="BC136" s="174"/>
      <c r="BD136" s="173"/>
      <c r="BE136" s="173"/>
      <c r="BF136" s="175"/>
      <c r="BG136" s="88"/>
      <c r="BI136" s="137"/>
      <c r="BJ136" s="172"/>
      <c r="BK136" s="173"/>
      <c r="BL136" s="174"/>
      <c r="BM136" s="173"/>
      <c r="BN136" s="173"/>
      <c r="BO136" s="175"/>
      <c r="BP136" s="88"/>
      <c r="BR136" s="137"/>
      <c r="BS136" s="172"/>
      <c r="BT136" s="173"/>
      <c r="BU136" s="174"/>
      <c r="BV136" s="173"/>
      <c r="BW136" s="173"/>
      <c r="BX136" s="175"/>
      <c r="BY136" s="88"/>
      <c r="FN136" s="50"/>
      <c r="FO136" s="47"/>
      <c r="FP136" s="47"/>
      <c r="FQ136" s="47"/>
      <c r="FR136" s="47"/>
    </row>
    <row r="137" spans="2:174" ht="11.25" customHeight="1">
      <c r="B137" s="137"/>
      <c r="C137" s="134"/>
      <c r="D137" s="372"/>
      <c r="E137" s="373"/>
      <c r="F137" s="374"/>
      <c r="G137" s="373"/>
      <c r="H137" s="373"/>
      <c r="I137" s="375"/>
      <c r="J137" s="88"/>
      <c r="AZ137" s="137"/>
      <c r="BA137" s="172"/>
      <c r="BB137" s="173"/>
      <c r="BC137" s="174"/>
      <c r="BD137" s="173"/>
      <c r="BE137" s="173"/>
      <c r="BF137" s="175"/>
      <c r="BG137" s="88"/>
      <c r="BI137" s="137"/>
      <c r="BJ137" s="172"/>
      <c r="BK137" s="173"/>
      <c r="BL137" s="174"/>
      <c r="BM137" s="173"/>
      <c r="BN137" s="173"/>
      <c r="BO137" s="175"/>
      <c r="BP137" s="88"/>
      <c r="BR137" s="137"/>
      <c r="BS137" s="172"/>
      <c r="BT137" s="173"/>
      <c r="BU137" s="174"/>
      <c r="BV137" s="173"/>
      <c r="BW137" s="173"/>
      <c r="BX137" s="175"/>
      <c r="BY137" s="88"/>
      <c r="FN137" s="50"/>
      <c r="FO137" s="47"/>
      <c r="FP137" s="47"/>
      <c r="FQ137" s="47"/>
      <c r="FR137" s="47"/>
    </row>
    <row r="138" spans="2:174" ht="11.25" customHeight="1">
      <c r="B138" s="137"/>
      <c r="C138" s="134"/>
      <c r="D138" s="372"/>
      <c r="E138" s="373"/>
      <c r="F138" s="374"/>
      <c r="G138" s="373"/>
      <c r="H138" s="373"/>
      <c r="I138" s="375"/>
      <c r="J138" s="88"/>
      <c r="AZ138" s="137"/>
      <c r="BA138" s="172"/>
      <c r="BB138" s="173"/>
      <c r="BC138" s="174"/>
      <c r="BD138" s="173"/>
      <c r="BE138" s="173"/>
      <c r="BF138" s="175"/>
      <c r="BG138" s="88"/>
      <c r="BI138" s="137"/>
      <c r="BJ138" s="172"/>
      <c r="BK138" s="173"/>
      <c r="BL138" s="174"/>
      <c r="BM138" s="173"/>
      <c r="BN138" s="173"/>
      <c r="BO138" s="175"/>
      <c r="BP138" s="88"/>
      <c r="BR138" s="137"/>
      <c r="BS138" s="172"/>
      <c r="BT138" s="173"/>
      <c r="BU138" s="174"/>
      <c r="BV138" s="173"/>
      <c r="BW138" s="173"/>
      <c r="BX138" s="175"/>
      <c r="BY138" s="88"/>
      <c r="DQ138" s="5">
        <v>80</v>
      </c>
      <c r="FN138" s="50"/>
      <c r="FO138" s="47"/>
      <c r="FP138" s="47"/>
      <c r="FQ138" s="47"/>
      <c r="FR138" s="47"/>
    </row>
    <row r="139" spans="2:174" ht="11.25" customHeight="1">
      <c r="B139" s="137"/>
      <c r="C139" s="134"/>
      <c r="D139" s="372"/>
      <c r="E139" s="373"/>
      <c r="F139" s="374"/>
      <c r="G139" s="373"/>
      <c r="H139" s="373"/>
      <c r="I139" s="375"/>
      <c r="J139" s="88"/>
      <c r="AZ139" s="137"/>
      <c r="BA139" s="172"/>
      <c r="BB139" s="173"/>
      <c r="BC139" s="174"/>
      <c r="BD139" s="173"/>
      <c r="BE139" s="173"/>
      <c r="BF139" s="175"/>
      <c r="BG139" s="88"/>
      <c r="BI139" s="137"/>
      <c r="BJ139" s="172"/>
      <c r="BK139" s="173"/>
      <c r="BL139" s="174"/>
      <c r="BM139" s="173"/>
      <c r="BN139" s="173"/>
      <c r="BO139" s="175"/>
      <c r="BP139" s="88"/>
      <c r="BR139" s="137"/>
      <c r="BS139" s="172"/>
      <c r="BT139" s="173"/>
      <c r="BU139" s="174"/>
      <c r="BV139" s="173"/>
      <c r="BW139" s="173"/>
      <c r="BX139" s="175"/>
      <c r="BY139" s="88"/>
      <c r="FN139" s="50"/>
      <c r="FO139" s="47"/>
      <c r="FP139" s="47"/>
      <c r="FQ139" s="47"/>
      <c r="FR139" s="47"/>
    </row>
    <row r="140" spans="2:174" ht="11.25" customHeight="1">
      <c r="B140" s="137"/>
      <c r="C140" s="134"/>
      <c r="D140" s="372"/>
      <c r="E140" s="373"/>
      <c r="F140" s="374"/>
      <c r="G140" s="373"/>
      <c r="H140" s="373"/>
      <c r="I140" s="375"/>
      <c r="J140" s="88"/>
      <c r="AZ140" s="137"/>
      <c r="BA140" s="172"/>
      <c r="BB140" s="173"/>
      <c r="BC140" s="174"/>
      <c r="BD140" s="173"/>
      <c r="BE140" s="173"/>
      <c r="BF140" s="175"/>
      <c r="BG140" s="88"/>
      <c r="BI140" s="137"/>
      <c r="BJ140" s="172"/>
      <c r="BK140" s="173"/>
      <c r="BL140" s="174"/>
      <c r="BM140" s="173"/>
      <c r="BN140" s="173"/>
      <c r="BO140" s="175"/>
      <c r="BP140" s="88"/>
      <c r="BR140" s="137"/>
      <c r="BS140" s="172"/>
      <c r="BT140" s="173"/>
      <c r="BU140" s="174"/>
      <c r="BV140" s="173"/>
      <c r="BW140" s="173"/>
      <c r="BX140" s="175"/>
      <c r="BY140" s="88"/>
      <c r="FN140" s="50"/>
      <c r="FO140" s="47"/>
      <c r="FP140" s="47"/>
      <c r="FQ140" s="47"/>
      <c r="FR140" s="47"/>
    </row>
    <row r="141" spans="2:174" ht="11.25" customHeight="1">
      <c r="B141" s="137"/>
      <c r="C141" s="134"/>
      <c r="D141" s="372"/>
      <c r="E141" s="373"/>
      <c r="F141" s="374"/>
      <c r="G141" s="373"/>
      <c r="H141" s="373"/>
      <c r="I141" s="375"/>
      <c r="J141" s="88"/>
      <c r="AZ141" s="137"/>
      <c r="BA141" s="172"/>
      <c r="BB141" s="173"/>
      <c r="BC141" s="174"/>
      <c r="BD141" s="173"/>
      <c r="BE141" s="173"/>
      <c r="BF141" s="175"/>
      <c r="BG141" s="88"/>
      <c r="BI141" s="137"/>
      <c r="BJ141" s="172"/>
      <c r="BK141" s="173"/>
      <c r="BL141" s="174"/>
      <c r="BM141" s="173"/>
      <c r="BN141" s="173"/>
      <c r="BO141" s="175"/>
      <c r="BP141" s="88"/>
      <c r="BR141" s="137"/>
      <c r="BS141" s="172"/>
      <c r="BT141" s="173"/>
      <c r="BU141" s="174"/>
      <c r="BV141" s="173"/>
      <c r="BW141" s="173"/>
      <c r="BX141" s="175"/>
      <c r="BY141" s="88"/>
      <c r="FN141" s="50"/>
      <c r="FO141" s="47"/>
      <c r="FP141" s="47"/>
      <c r="FQ141" s="47"/>
      <c r="FR141" s="47"/>
    </row>
    <row r="142" spans="2:174" ht="11.25" customHeight="1">
      <c r="B142" s="137"/>
      <c r="C142" s="134"/>
      <c r="D142" s="372"/>
      <c r="E142" s="373"/>
      <c r="F142" s="374"/>
      <c r="G142" s="373"/>
      <c r="H142" s="373"/>
      <c r="I142" s="375"/>
      <c r="J142" s="88"/>
      <c r="AZ142" s="137"/>
      <c r="BA142" s="172"/>
      <c r="BB142" s="173"/>
      <c r="BC142" s="174"/>
      <c r="BD142" s="173"/>
      <c r="BE142" s="173"/>
      <c r="BF142" s="175"/>
      <c r="BG142" s="88"/>
      <c r="BI142" s="137"/>
      <c r="BJ142" s="172"/>
      <c r="BK142" s="173"/>
      <c r="BL142" s="174"/>
      <c r="BM142" s="173"/>
      <c r="BN142" s="173"/>
      <c r="BO142" s="175"/>
      <c r="BP142" s="88"/>
      <c r="BR142" s="137"/>
      <c r="BS142" s="172"/>
      <c r="BT142" s="173"/>
      <c r="BU142" s="174"/>
      <c r="BV142" s="173"/>
      <c r="BW142" s="173"/>
      <c r="BX142" s="175"/>
      <c r="BY142" s="88"/>
      <c r="FN142" s="50"/>
      <c r="FO142" s="47"/>
      <c r="FP142" s="47"/>
      <c r="FQ142" s="47"/>
      <c r="FR142" s="47"/>
    </row>
    <row r="143" spans="2:174" ht="11.25" customHeight="1">
      <c r="B143" s="137"/>
      <c r="C143" s="134"/>
      <c r="D143" s="372"/>
      <c r="E143" s="373"/>
      <c r="F143" s="374"/>
      <c r="G143" s="373"/>
      <c r="H143" s="373"/>
      <c r="I143" s="375"/>
      <c r="J143" s="88"/>
      <c r="AZ143" s="137"/>
      <c r="BA143" s="172"/>
      <c r="BB143" s="173"/>
      <c r="BC143" s="174"/>
      <c r="BD143" s="173"/>
      <c r="BE143" s="173"/>
      <c r="BF143" s="175"/>
      <c r="BG143" s="88"/>
      <c r="BI143" s="137"/>
      <c r="BJ143" s="172"/>
      <c r="BK143" s="173"/>
      <c r="BL143" s="174"/>
      <c r="BM143" s="173"/>
      <c r="BN143" s="173"/>
      <c r="BO143" s="175"/>
      <c r="BP143" s="88"/>
      <c r="BR143" s="137"/>
      <c r="BS143" s="172"/>
      <c r="BT143" s="173"/>
      <c r="BU143" s="174"/>
      <c r="BV143" s="173"/>
      <c r="BW143" s="173"/>
      <c r="BX143" s="175"/>
      <c r="BY143" s="88"/>
      <c r="FN143" s="50"/>
      <c r="FO143" s="47"/>
      <c r="FP143" s="47"/>
      <c r="FQ143" s="47"/>
      <c r="FR143" s="47"/>
    </row>
    <row r="144" spans="2:174" ht="11.25" customHeight="1">
      <c r="B144" s="137"/>
      <c r="C144" s="134"/>
      <c r="D144" s="372"/>
      <c r="E144" s="373"/>
      <c r="F144" s="374"/>
      <c r="G144" s="373"/>
      <c r="H144" s="373"/>
      <c r="I144" s="375"/>
      <c r="J144" s="88"/>
      <c r="AZ144" s="137"/>
      <c r="BA144" s="172"/>
      <c r="BB144" s="173"/>
      <c r="BC144" s="174"/>
      <c r="BD144" s="173"/>
      <c r="BE144" s="173"/>
      <c r="BF144" s="175"/>
      <c r="BG144" s="88"/>
      <c r="BI144" s="137"/>
      <c r="BJ144" s="172"/>
      <c r="BK144" s="173"/>
      <c r="BL144" s="174"/>
      <c r="BM144" s="173"/>
      <c r="BN144" s="173"/>
      <c r="BO144" s="175"/>
      <c r="BP144" s="88"/>
      <c r="BR144" s="137"/>
      <c r="BS144" s="172"/>
      <c r="BT144" s="173"/>
      <c r="BU144" s="174"/>
      <c r="BV144" s="173"/>
      <c r="BW144" s="173"/>
      <c r="BX144" s="175"/>
      <c r="BY144" s="88"/>
      <c r="FN144" s="50"/>
      <c r="FO144" s="47"/>
      <c r="FP144" s="47"/>
      <c r="FQ144" s="47"/>
      <c r="FR144" s="47"/>
    </row>
    <row r="145" spans="2:174" ht="11.25" customHeight="1">
      <c r="B145" s="137"/>
      <c r="C145" s="134"/>
      <c r="D145" s="372"/>
      <c r="E145" s="373"/>
      <c r="F145" s="374"/>
      <c r="G145" s="373"/>
      <c r="H145" s="373"/>
      <c r="I145" s="375"/>
      <c r="J145" s="88"/>
      <c r="AZ145" s="137"/>
      <c r="BA145" s="172"/>
      <c r="BB145" s="173"/>
      <c r="BC145" s="174"/>
      <c r="BD145" s="173"/>
      <c r="BE145" s="173"/>
      <c r="BF145" s="175"/>
      <c r="BG145" s="88"/>
      <c r="BI145" s="137"/>
      <c r="BJ145" s="172"/>
      <c r="BK145" s="173"/>
      <c r="BL145" s="174"/>
      <c r="BM145" s="173"/>
      <c r="BN145" s="173"/>
      <c r="BO145" s="175"/>
      <c r="BP145" s="88"/>
      <c r="BR145" s="137"/>
      <c r="BS145" s="172"/>
      <c r="BT145" s="173"/>
      <c r="BU145" s="174"/>
      <c r="BV145" s="173"/>
      <c r="BW145" s="173"/>
      <c r="BX145" s="175"/>
      <c r="BY145" s="88"/>
      <c r="FN145" s="50"/>
      <c r="FO145" s="47"/>
      <c r="FP145" s="47"/>
      <c r="FQ145" s="47"/>
      <c r="FR145" s="47"/>
    </row>
    <row r="146" spans="2:174" ht="11.25" customHeight="1">
      <c r="B146" s="137"/>
      <c r="C146" s="134"/>
      <c r="D146" s="372"/>
      <c r="E146" s="373"/>
      <c r="F146" s="374"/>
      <c r="G146" s="373"/>
      <c r="H146" s="373"/>
      <c r="I146" s="375"/>
      <c r="J146" s="88"/>
      <c r="AZ146" s="137"/>
      <c r="BA146" s="172"/>
      <c r="BB146" s="173"/>
      <c r="BC146" s="174"/>
      <c r="BD146" s="173"/>
      <c r="BE146" s="173"/>
      <c r="BF146" s="175"/>
      <c r="BG146" s="88"/>
      <c r="BI146" s="137"/>
      <c r="BJ146" s="172"/>
      <c r="BK146" s="173"/>
      <c r="BL146" s="174"/>
      <c r="BM146" s="173"/>
      <c r="BN146" s="173"/>
      <c r="BO146" s="175"/>
      <c r="BP146" s="88"/>
      <c r="BR146" s="137"/>
      <c r="BS146" s="172"/>
      <c r="BT146" s="173"/>
      <c r="BU146" s="174"/>
      <c r="BV146" s="173"/>
      <c r="BW146" s="173"/>
      <c r="BX146" s="175"/>
      <c r="BY146" s="88"/>
      <c r="FN146" s="50"/>
      <c r="FO146" s="47"/>
      <c r="FP146" s="47"/>
      <c r="FQ146" s="47"/>
      <c r="FR146" s="47"/>
    </row>
    <row r="147" spans="2:174" ht="11.25" customHeight="1">
      <c r="B147" s="137"/>
      <c r="C147" s="134"/>
      <c r="D147" s="372"/>
      <c r="E147" s="373"/>
      <c r="F147" s="374"/>
      <c r="G147" s="373"/>
      <c r="H147" s="373"/>
      <c r="I147" s="375"/>
      <c r="J147" s="88"/>
      <c r="AZ147" s="137"/>
      <c r="BA147" s="172"/>
      <c r="BB147" s="173"/>
      <c r="BC147" s="174"/>
      <c r="BD147" s="173"/>
      <c r="BE147" s="173"/>
      <c r="BF147" s="175"/>
      <c r="BG147" s="88"/>
      <c r="BI147" s="137"/>
      <c r="BJ147" s="172"/>
      <c r="BK147" s="173"/>
      <c r="BL147" s="174"/>
      <c r="BM147" s="173"/>
      <c r="BN147" s="173"/>
      <c r="BO147" s="175"/>
      <c r="BP147" s="88"/>
      <c r="BR147" s="137"/>
      <c r="BS147" s="172"/>
      <c r="BT147" s="173"/>
      <c r="BU147" s="174"/>
      <c r="BV147" s="173"/>
      <c r="BW147" s="173"/>
      <c r="BX147" s="175"/>
      <c r="BY147" s="88"/>
      <c r="FN147" s="50"/>
      <c r="FO147" s="47"/>
      <c r="FP147" s="47"/>
      <c r="FQ147" s="47"/>
      <c r="FR147" s="47"/>
    </row>
    <row r="148" spans="2:174" ht="11.25" customHeight="1">
      <c r="B148" s="137"/>
      <c r="C148" s="134"/>
      <c r="D148" s="372"/>
      <c r="E148" s="373"/>
      <c r="F148" s="374"/>
      <c r="G148" s="373"/>
      <c r="H148" s="373"/>
      <c r="I148" s="375"/>
      <c r="J148" s="88"/>
      <c r="AZ148" s="137"/>
      <c r="BA148" s="172"/>
      <c r="BB148" s="173"/>
      <c r="BC148" s="174"/>
      <c r="BD148" s="173"/>
      <c r="BE148" s="173"/>
      <c r="BF148" s="175"/>
      <c r="BG148" s="88"/>
      <c r="BI148" s="137"/>
      <c r="BJ148" s="172"/>
      <c r="BK148" s="173"/>
      <c r="BL148" s="174"/>
      <c r="BM148" s="173"/>
      <c r="BN148" s="173"/>
      <c r="BO148" s="175"/>
      <c r="BP148" s="88"/>
      <c r="BR148" s="137"/>
      <c r="BS148" s="172"/>
      <c r="BT148" s="173"/>
      <c r="BU148" s="174"/>
      <c r="BV148" s="173"/>
      <c r="BW148" s="173"/>
      <c r="BX148" s="175"/>
      <c r="BY148" s="88"/>
      <c r="FN148" s="50"/>
      <c r="FO148" s="47"/>
      <c r="FP148" s="47"/>
      <c r="FQ148" s="47"/>
      <c r="FR148" s="47"/>
    </row>
    <row r="149" spans="2:174" ht="11.25" customHeight="1">
      <c r="B149" s="137"/>
      <c r="C149" s="134"/>
      <c r="D149" s="372"/>
      <c r="E149" s="373"/>
      <c r="F149" s="374"/>
      <c r="G149" s="373"/>
      <c r="H149" s="373"/>
      <c r="I149" s="375"/>
      <c r="J149" s="88"/>
      <c r="AZ149" s="137"/>
      <c r="BA149" s="172"/>
      <c r="BB149" s="173"/>
      <c r="BC149" s="174"/>
      <c r="BD149" s="173"/>
      <c r="BE149" s="173"/>
      <c r="BF149" s="175"/>
      <c r="BG149" s="88"/>
      <c r="BI149" s="137"/>
      <c r="BJ149" s="172"/>
      <c r="BK149" s="173"/>
      <c r="BL149" s="174"/>
      <c r="BM149" s="173"/>
      <c r="BN149" s="173"/>
      <c r="BO149" s="175"/>
      <c r="BP149" s="88"/>
      <c r="BR149" s="137"/>
      <c r="BS149" s="172"/>
      <c r="BT149" s="173"/>
      <c r="BU149" s="174"/>
      <c r="BV149" s="173"/>
      <c r="BW149" s="173"/>
      <c r="BX149" s="175"/>
      <c r="BY149" s="88"/>
      <c r="FN149" s="50"/>
      <c r="FO149" s="47"/>
      <c r="FP149" s="47"/>
      <c r="FQ149" s="47"/>
      <c r="FR149" s="47"/>
    </row>
    <row r="150" spans="2:174" ht="11.25" customHeight="1">
      <c r="B150" s="137"/>
      <c r="C150" s="134"/>
      <c r="D150" s="372"/>
      <c r="E150" s="373"/>
      <c r="F150" s="374"/>
      <c r="G150" s="373"/>
      <c r="H150" s="373"/>
      <c r="I150" s="375"/>
      <c r="J150" s="88"/>
      <c r="AZ150" s="137"/>
      <c r="BA150" s="172"/>
      <c r="BB150" s="173"/>
      <c r="BC150" s="174"/>
      <c r="BD150" s="173"/>
      <c r="BE150" s="173"/>
      <c r="BF150" s="175"/>
      <c r="BG150" s="88"/>
      <c r="BI150" s="137"/>
      <c r="BJ150" s="172"/>
      <c r="BK150" s="173"/>
      <c r="BL150" s="174"/>
      <c r="BM150" s="173"/>
      <c r="BN150" s="173"/>
      <c r="BO150" s="175"/>
      <c r="BP150" s="88"/>
      <c r="BR150" s="137"/>
      <c r="BS150" s="172"/>
      <c r="BT150" s="173"/>
      <c r="BU150" s="174"/>
      <c r="BV150" s="173"/>
      <c r="BW150" s="173"/>
      <c r="BX150" s="175"/>
      <c r="BY150" s="88"/>
      <c r="FN150" s="50"/>
      <c r="FO150" s="47"/>
      <c r="FP150" s="47"/>
      <c r="FQ150" s="47"/>
      <c r="FR150" s="47"/>
    </row>
    <row r="151" spans="2:174" ht="11.25" customHeight="1">
      <c r="B151" s="137"/>
      <c r="C151" s="134"/>
      <c r="D151" s="372"/>
      <c r="E151" s="373"/>
      <c r="F151" s="374"/>
      <c r="G151" s="373"/>
      <c r="H151" s="373"/>
      <c r="I151" s="375"/>
      <c r="J151" s="88"/>
      <c r="AZ151" s="137"/>
      <c r="BA151" s="172"/>
      <c r="BB151" s="173"/>
      <c r="BC151" s="174"/>
      <c r="BD151" s="173"/>
      <c r="BE151" s="173"/>
      <c r="BF151" s="175"/>
      <c r="BG151" s="88"/>
      <c r="BI151" s="137"/>
      <c r="BJ151" s="172"/>
      <c r="BK151" s="173"/>
      <c r="BL151" s="174"/>
      <c r="BM151" s="173"/>
      <c r="BN151" s="173"/>
      <c r="BO151" s="175"/>
      <c r="BP151" s="88"/>
      <c r="BR151" s="137"/>
      <c r="BS151" s="172"/>
      <c r="BT151" s="173"/>
      <c r="BU151" s="174"/>
      <c r="BV151" s="173"/>
      <c r="BW151" s="173"/>
      <c r="BX151" s="175"/>
      <c r="BY151" s="88"/>
      <c r="FN151" s="50"/>
      <c r="FO151" s="47"/>
      <c r="FP151" s="47"/>
      <c r="FQ151" s="47"/>
      <c r="FR151" s="47"/>
    </row>
    <row r="152" spans="2:174" ht="11.25" customHeight="1">
      <c r="B152" s="137"/>
      <c r="C152" s="134"/>
      <c r="D152" s="372"/>
      <c r="E152" s="373"/>
      <c r="F152" s="374"/>
      <c r="G152" s="373"/>
      <c r="H152" s="373"/>
      <c r="I152" s="375"/>
      <c r="J152" s="88"/>
      <c r="AZ152" s="137"/>
      <c r="BA152" s="172"/>
      <c r="BB152" s="173"/>
      <c r="BC152" s="174"/>
      <c r="BD152" s="173"/>
      <c r="BE152" s="173"/>
      <c r="BF152" s="175"/>
      <c r="BG152" s="88"/>
      <c r="BI152" s="137"/>
      <c r="BJ152" s="172"/>
      <c r="BK152" s="173"/>
      <c r="BL152" s="174"/>
      <c r="BM152" s="173"/>
      <c r="BN152" s="173"/>
      <c r="BO152" s="175"/>
      <c r="BP152" s="88"/>
      <c r="BR152" s="137"/>
      <c r="BS152" s="172"/>
      <c r="BT152" s="173"/>
      <c r="BU152" s="174"/>
      <c r="BV152" s="173"/>
      <c r="BW152" s="173"/>
      <c r="BX152" s="175"/>
      <c r="BY152" s="88"/>
      <c r="FN152" s="50"/>
      <c r="FO152" s="47"/>
      <c r="FP152" s="47"/>
      <c r="FQ152" s="47"/>
      <c r="FR152" s="47"/>
    </row>
    <row r="153" spans="2:174" ht="11.25" customHeight="1">
      <c r="B153" s="137"/>
      <c r="C153" s="134"/>
      <c r="D153" s="372"/>
      <c r="E153" s="373"/>
      <c r="F153" s="374"/>
      <c r="G153" s="373"/>
      <c r="H153" s="373"/>
      <c r="I153" s="375"/>
      <c r="J153" s="88"/>
      <c r="AZ153" s="137"/>
      <c r="BA153" s="172"/>
      <c r="BB153" s="173"/>
      <c r="BC153" s="174"/>
      <c r="BD153" s="173"/>
      <c r="BE153" s="173"/>
      <c r="BF153" s="175"/>
      <c r="BG153" s="88"/>
      <c r="BI153" s="137"/>
      <c r="BJ153" s="172"/>
      <c r="BK153" s="173"/>
      <c r="BL153" s="174"/>
      <c r="BM153" s="173"/>
      <c r="BN153" s="173"/>
      <c r="BO153" s="175"/>
      <c r="BP153" s="88"/>
      <c r="BR153" s="137"/>
      <c r="BS153" s="172"/>
      <c r="BT153" s="173"/>
      <c r="BU153" s="174"/>
      <c r="BV153" s="173"/>
      <c r="BW153" s="173"/>
      <c r="BX153" s="175"/>
      <c r="BY153" s="88"/>
      <c r="FN153" s="50"/>
      <c r="FO153" s="47"/>
      <c r="FP153" s="47"/>
      <c r="FQ153" s="47"/>
      <c r="FR153" s="47"/>
    </row>
    <row r="154" spans="2:174" ht="11.25" customHeight="1">
      <c r="B154" s="137"/>
      <c r="C154" s="134"/>
      <c r="D154" s="372"/>
      <c r="E154" s="373"/>
      <c r="F154" s="374"/>
      <c r="G154" s="373"/>
      <c r="H154" s="373"/>
      <c r="I154" s="375"/>
      <c r="J154" s="88"/>
      <c r="AZ154" s="137"/>
      <c r="BA154" s="172"/>
      <c r="BB154" s="173"/>
      <c r="BC154" s="174"/>
      <c r="BD154" s="173"/>
      <c r="BE154" s="173"/>
      <c r="BF154" s="175"/>
      <c r="BG154" s="88"/>
      <c r="BI154" s="137"/>
      <c r="BJ154" s="172"/>
      <c r="BK154" s="173"/>
      <c r="BL154" s="174"/>
      <c r="BM154" s="173"/>
      <c r="BN154" s="173"/>
      <c r="BO154" s="175"/>
      <c r="BP154" s="88"/>
      <c r="BR154" s="137"/>
      <c r="BS154" s="172"/>
      <c r="BT154" s="173"/>
      <c r="BU154" s="174"/>
      <c r="BV154" s="173"/>
      <c r="BW154" s="173"/>
      <c r="BX154" s="175"/>
      <c r="BY154" s="88"/>
      <c r="FN154" s="50"/>
      <c r="FO154" s="47"/>
      <c r="FP154" s="47"/>
      <c r="FQ154" s="47"/>
      <c r="FR154" s="47"/>
    </row>
    <row r="155" spans="2:174" ht="11.25" customHeight="1">
      <c r="B155" s="137"/>
      <c r="C155" s="134"/>
      <c r="D155" s="372"/>
      <c r="E155" s="373"/>
      <c r="F155" s="374"/>
      <c r="G155" s="373"/>
      <c r="H155" s="373"/>
      <c r="I155" s="375"/>
      <c r="J155" s="88"/>
      <c r="AZ155" s="137"/>
      <c r="BA155" s="172"/>
      <c r="BB155" s="173"/>
      <c r="BC155" s="174"/>
      <c r="BD155" s="173"/>
      <c r="BE155" s="173"/>
      <c r="BF155" s="175"/>
      <c r="BG155" s="88"/>
      <c r="BI155" s="137"/>
      <c r="BJ155" s="172"/>
      <c r="BK155" s="173"/>
      <c r="BL155" s="174"/>
      <c r="BM155" s="173"/>
      <c r="BN155" s="173"/>
      <c r="BO155" s="175"/>
      <c r="BP155" s="88"/>
      <c r="BR155" s="137"/>
      <c r="BS155" s="172"/>
      <c r="BT155" s="173"/>
      <c r="BU155" s="174"/>
      <c r="BV155" s="173"/>
      <c r="BW155" s="173"/>
      <c r="BX155" s="175"/>
      <c r="BY155" s="88"/>
      <c r="FN155" s="50"/>
      <c r="FO155" s="47"/>
      <c r="FP155" s="47"/>
      <c r="FQ155" s="47"/>
      <c r="FR155" s="47"/>
    </row>
    <row r="156" spans="2:174" ht="11.25" customHeight="1">
      <c r="B156" s="137"/>
      <c r="C156" s="134"/>
      <c r="D156" s="372"/>
      <c r="E156" s="373"/>
      <c r="F156" s="374"/>
      <c r="G156" s="373"/>
      <c r="H156" s="373"/>
      <c r="I156" s="375"/>
      <c r="J156" s="88"/>
      <c r="AZ156" s="137"/>
      <c r="BA156" s="172"/>
      <c r="BB156" s="173"/>
      <c r="BC156" s="174"/>
      <c r="BD156" s="173"/>
      <c r="BE156" s="173"/>
      <c r="BF156" s="175"/>
      <c r="BG156" s="88"/>
      <c r="BI156" s="137"/>
      <c r="BJ156" s="172"/>
      <c r="BK156" s="173"/>
      <c r="BL156" s="174"/>
      <c r="BM156" s="173"/>
      <c r="BN156" s="173"/>
      <c r="BO156" s="175"/>
      <c r="BP156" s="88"/>
      <c r="BR156" s="137"/>
      <c r="BS156" s="172"/>
      <c r="BT156" s="173"/>
      <c r="BU156" s="174"/>
      <c r="BV156" s="173"/>
      <c r="BW156" s="173"/>
      <c r="BX156" s="175"/>
      <c r="BY156" s="88"/>
      <c r="FN156" s="50"/>
      <c r="FO156" s="47"/>
      <c r="FP156" s="47"/>
      <c r="FQ156" s="47"/>
      <c r="FR156" s="47"/>
    </row>
    <row r="157" spans="2:174" ht="11.25" customHeight="1">
      <c r="B157" s="137"/>
      <c r="C157" s="134"/>
      <c r="D157" s="372"/>
      <c r="E157" s="373"/>
      <c r="F157" s="374"/>
      <c r="G157" s="373"/>
      <c r="H157" s="373"/>
      <c r="I157" s="375"/>
      <c r="J157" s="88"/>
      <c r="AZ157" s="137"/>
      <c r="BA157" s="172"/>
      <c r="BB157" s="173"/>
      <c r="BC157" s="174"/>
      <c r="BD157" s="173"/>
      <c r="BE157" s="173"/>
      <c r="BF157" s="175"/>
      <c r="BG157" s="88"/>
      <c r="BI157" s="137"/>
      <c r="BJ157" s="172"/>
      <c r="BK157" s="173"/>
      <c r="BL157" s="174"/>
      <c r="BM157" s="173"/>
      <c r="BN157" s="173"/>
      <c r="BO157" s="175"/>
      <c r="BP157" s="88"/>
      <c r="BR157" s="137"/>
      <c r="BS157" s="172"/>
      <c r="BT157" s="173"/>
      <c r="BU157" s="174"/>
      <c r="BV157" s="173"/>
      <c r="BW157" s="173"/>
      <c r="BX157" s="175"/>
      <c r="BY157" s="88"/>
      <c r="FN157" s="50"/>
      <c r="FO157" s="47"/>
      <c r="FP157" s="47"/>
      <c r="FQ157" s="47"/>
      <c r="FR157" s="47"/>
    </row>
    <row r="158" spans="2:174" ht="11.25" customHeight="1">
      <c r="B158" s="137"/>
      <c r="C158" s="134"/>
      <c r="D158" s="372"/>
      <c r="E158" s="373"/>
      <c r="F158" s="374"/>
      <c r="G158" s="373"/>
      <c r="H158" s="373"/>
      <c r="I158" s="375"/>
      <c r="J158" s="88"/>
      <c r="AZ158" s="137"/>
      <c r="BA158" s="172"/>
      <c r="BB158" s="173"/>
      <c r="BC158" s="174"/>
      <c r="BD158" s="173"/>
      <c r="BE158" s="173"/>
      <c r="BF158" s="175"/>
      <c r="BG158" s="88"/>
      <c r="BI158" s="137"/>
      <c r="BJ158" s="172"/>
      <c r="BK158" s="173"/>
      <c r="BL158" s="174"/>
      <c r="BM158" s="173"/>
      <c r="BN158" s="173"/>
      <c r="BO158" s="175"/>
      <c r="BP158" s="88"/>
      <c r="BR158" s="137"/>
      <c r="BS158" s="172"/>
      <c r="BT158" s="173"/>
      <c r="BU158" s="174"/>
      <c r="BV158" s="173"/>
      <c r="BW158" s="173"/>
      <c r="BX158" s="175"/>
      <c r="BY158" s="88"/>
      <c r="FN158" s="50"/>
      <c r="FO158" s="47"/>
      <c r="FP158" s="47"/>
      <c r="FQ158" s="47"/>
      <c r="FR158" s="47"/>
    </row>
    <row r="159" spans="2:174" ht="11.25" customHeight="1">
      <c r="B159" s="137"/>
      <c r="C159" s="134"/>
      <c r="D159" s="372"/>
      <c r="E159" s="373"/>
      <c r="F159" s="374"/>
      <c r="G159" s="373"/>
      <c r="H159" s="373"/>
      <c r="I159" s="375"/>
      <c r="J159" s="88"/>
      <c r="AZ159" s="137"/>
      <c r="BA159" s="172"/>
      <c r="BB159" s="173"/>
      <c r="BC159" s="174"/>
      <c r="BD159" s="173"/>
      <c r="BE159" s="173"/>
      <c r="BF159" s="175"/>
      <c r="BG159" s="88"/>
      <c r="BI159" s="137"/>
      <c r="BJ159" s="172"/>
      <c r="BK159" s="173"/>
      <c r="BL159" s="174"/>
      <c r="BM159" s="173"/>
      <c r="BN159" s="173"/>
      <c r="BO159" s="175"/>
      <c r="BP159" s="88"/>
      <c r="BR159" s="137"/>
      <c r="BS159" s="172"/>
      <c r="BT159" s="173"/>
      <c r="BU159" s="174"/>
      <c r="BV159" s="173"/>
      <c r="BW159" s="173"/>
      <c r="BX159" s="175"/>
      <c r="BY159" s="88"/>
      <c r="FN159" s="50"/>
      <c r="FO159" s="47"/>
      <c r="FP159" s="47"/>
      <c r="FQ159" s="47"/>
      <c r="FR159" s="47"/>
    </row>
    <row r="160" spans="2:174" ht="11.25" customHeight="1">
      <c r="B160" s="137"/>
      <c r="C160" s="134"/>
      <c r="D160" s="372"/>
      <c r="E160" s="373"/>
      <c r="F160" s="374"/>
      <c r="G160" s="373"/>
      <c r="H160" s="373"/>
      <c r="I160" s="375"/>
      <c r="J160" s="88"/>
      <c r="AZ160" s="137"/>
      <c r="BA160" s="172"/>
      <c r="BB160" s="173"/>
      <c r="BC160" s="174"/>
      <c r="BD160" s="173"/>
      <c r="BE160" s="173"/>
      <c r="BF160" s="175"/>
      <c r="BG160" s="88"/>
      <c r="BI160" s="137"/>
      <c r="BJ160" s="172"/>
      <c r="BK160" s="173"/>
      <c r="BL160" s="174"/>
      <c r="BM160" s="173"/>
      <c r="BN160" s="173"/>
      <c r="BO160" s="175"/>
      <c r="BP160" s="88"/>
      <c r="BR160" s="137"/>
      <c r="BS160" s="172"/>
      <c r="BT160" s="173"/>
      <c r="BU160" s="174"/>
      <c r="BV160" s="173"/>
      <c r="BW160" s="173"/>
      <c r="BX160" s="175"/>
      <c r="BY160" s="88"/>
      <c r="FN160" s="50"/>
      <c r="FO160" s="47"/>
      <c r="FP160" s="47"/>
      <c r="FQ160" s="47"/>
      <c r="FR160" s="47"/>
    </row>
    <row r="161" spans="2:174" ht="11.25" customHeight="1">
      <c r="B161" s="137"/>
      <c r="C161" s="134"/>
      <c r="D161" s="372"/>
      <c r="E161" s="373"/>
      <c r="F161" s="374"/>
      <c r="G161" s="373"/>
      <c r="H161" s="373"/>
      <c r="I161" s="375"/>
      <c r="J161" s="88"/>
      <c r="AZ161" s="137"/>
      <c r="BA161" s="172"/>
      <c r="BB161" s="173"/>
      <c r="BC161" s="174"/>
      <c r="BD161" s="173"/>
      <c r="BE161" s="173"/>
      <c r="BF161" s="175"/>
      <c r="BG161" s="88"/>
      <c r="BI161" s="137"/>
      <c r="BJ161" s="172"/>
      <c r="BK161" s="173"/>
      <c r="BL161" s="174"/>
      <c r="BM161" s="173"/>
      <c r="BN161" s="173"/>
      <c r="BO161" s="175"/>
      <c r="BP161" s="88"/>
      <c r="BR161" s="137"/>
      <c r="BS161" s="172"/>
      <c r="BT161" s="173"/>
      <c r="BU161" s="174"/>
      <c r="BV161" s="173"/>
      <c r="BW161" s="173"/>
      <c r="BX161" s="175"/>
      <c r="BY161" s="88"/>
      <c r="FN161" s="50"/>
      <c r="FO161" s="47"/>
      <c r="FP161" s="47"/>
      <c r="FQ161" s="47"/>
      <c r="FR161" s="47"/>
    </row>
    <row r="162" spans="2:174" ht="11.25" customHeight="1">
      <c r="B162" s="137"/>
      <c r="C162" s="134"/>
      <c r="D162" s="372"/>
      <c r="E162" s="373"/>
      <c r="F162" s="374"/>
      <c r="G162" s="373"/>
      <c r="H162" s="373"/>
      <c r="I162" s="375"/>
      <c r="J162" s="88"/>
      <c r="AZ162" s="137"/>
      <c r="BA162" s="172"/>
      <c r="BB162" s="173"/>
      <c r="BC162" s="174"/>
      <c r="BD162" s="173"/>
      <c r="BE162" s="173"/>
      <c r="BF162" s="175"/>
      <c r="BG162" s="88"/>
      <c r="BI162" s="137"/>
      <c r="BJ162" s="172"/>
      <c r="BK162" s="173"/>
      <c r="BL162" s="174"/>
      <c r="BM162" s="173"/>
      <c r="BN162" s="173"/>
      <c r="BO162" s="175"/>
      <c r="BP162" s="88"/>
      <c r="BR162" s="137"/>
      <c r="BS162" s="172"/>
      <c r="BT162" s="173"/>
      <c r="BU162" s="174"/>
      <c r="BV162" s="173"/>
      <c r="BW162" s="173"/>
      <c r="BX162" s="175"/>
      <c r="BY162" s="88"/>
      <c r="FN162" s="50"/>
      <c r="FO162" s="47"/>
      <c r="FP162" s="47"/>
      <c r="FQ162" s="47"/>
      <c r="FR162" s="47"/>
    </row>
    <row r="163" spans="2:174" ht="11.25" customHeight="1">
      <c r="B163" s="137"/>
      <c r="C163" s="134"/>
      <c r="D163" s="372"/>
      <c r="E163" s="373"/>
      <c r="F163" s="374"/>
      <c r="G163" s="373"/>
      <c r="H163" s="373"/>
      <c r="I163" s="375"/>
      <c r="J163" s="88"/>
      <c r="AZ163" s="137"/>
      <c r="BA163" s="172"/>
      <c r="BB163" s="173"/>
      <c r="BC163" s="174"/>
      <c r="BD163" s="173"/>
      <c r="BE163" s="173"/>
      <c r="BF163" s="175"/>
      <c r="BG163" s="88"/>
      <c r="BI163" s="137"/>
      <c r="BJ163" s="172"/>
      <c r="BK163" s="173"/>
      <c r="BL163" s="174"/>
      <c r="BM163" s="173"/>
      <c r="BN163" s="173"/>
      <c r="BO163" s="175"/>
      <c r="BP163" s="88"/>
      <c r="BR163" s="137"/>
      <c r="BS163" s="172"/>
      <c r="BT163" s="173"/>
      <c r="BU163" s="174"/>
      <c r="BV163" s="173"/>
      <c r="BW163" s="173"/>
      <c r="BX163" s="175"/>
      <c r="BY163" s="88"/>
      <c r="FN163" s="50"/>
      <c r="FO163" s="47"/>
      <c r="FP163" s="47"/>
      <c r="FQ163" s="47"/>
      <c r="FR163" s="47"/>
    </row>
    <row r="164" spans="2:174" ht="11.25" customHeight="1">
      <c r="B164" s="137"/>
      <c r="C164" s="134"/>
      <c r="D164" s="372"/>
      <c r="E164" s="373"/>
      <c r="F164" s="374"/>
      <c r="G164" s="373"/>
      <c r="H164" s="373"/>
      <c r="I164" s="375"/>
      <c r="J164" s="88"/>
      <c r="AZ164" s="137"/>
      <c r="BA164" s="172"/>
      <c r="BB164" s="173"/>
      <c r="BC164" s="174"/>
      <c r="BD164" s="173"/>
      <c r="BE164" s="173"/>
      <c r="BF164" s="175"/>
      <c r="BG164" s="88"/>
      <c r="BI164" s="137"/>
      <c r="BJ164" s="172"/>
      <c r="BK164" s="173"/>
      <c r="BL164" s="174"/>
      <c r="BM164" s="173"/>
      <c r="BN164" s="173"/>
      <c r="BO164" s="175"/>
      <c r="BP164" s="88"/>
      <c r="BR164" s="137"/>
      <c r="BS164" s="172"/>
      <c r="BT164" s="173"/>
      <c r="BU164" s="174"/>
      <c r="BV164" s="173"/>
      <c r="BW164" s="173"/>
      <c r="BX164" s="175"/>
      <c r="BY164" s="88"/>
      <c r="FN164" s="50"/>
      <c r="FO164" s="47"/>
      <c r="FP164" s="47"/>
      <c r="FQ164" s="47"/>
      <c r="FR164" s="47"/>
    </row>
    <row r="165" spans="2:174" ht="11.25" customHeight="1">
      <c r="B165" s="137"/>
      <c r="C165" s="134"/>
      <c r="D165" s="372"/>
      <c r="E165" s="373"/>
      <c r="F165" s="374"/>
      <c r="G165" s="373"/>
      <c r="H165" s="373"/>
      <c r="I165" s="375"/>
      <c r="J165" s="88"/>
      <c r="AZ165" s="137"/>
      <c r="BA165" s="172"/>
      <c r="BB165" s="173"/>
      <c r="BC165" s="174"/>
      <c r="BD165" s="173"/>
      <c r="BE165" s="173"/>
      <c r="BF165" s="175"/>
      <c r="BG165" s="88"/>
      <c r="BI165" s="137"/>
      <c r="BJ165" s="172"/>
      <c r="BK165" s="173"/>
      <c r="BL165" s="174"/>
      <c r="BM165" s="173"/>
      <c r="BN165" s="173"/>
      <c r="BO165" s="175"/>
      <c r="BP165" s="88"/>
      <c r="BR165" s="137"/>
      <c r="BS165" s="172"/>
      <c r="BT165" s="173"/>
      <c r="BU165" s="174"/>
      <c r="BV165" s="173"/>
      <c r="BW165" s="173"/>
      <c r="BX165" s="175"/>
      <c r="BY165" s="88"/>
      <c r="FN165" s="50"/>
      <c r="FO165" s="47"/>
      <c r="FP165" s="47"/>
      <c r="FQ165" s="47"/>
      <c r="FR165" s="47"/>
    </row>
    <row r="166" spans="2:174" ht="11.25" customHeight="1">
      <c r="B166" s="137"/>
      <c r="C166" s="134"/>
      <c r="D166" s="372"/>
      <c r="E166" s="373"/>
      <c r="F166" s="374"/>
      <c r="G166" s="373"/>
      <c r="H166" s="373"/>
      <c r="I166" s="375"/>
      <c r="J166" s="88"/>
      <c r="AZ166" s="137"/>
      <c r="BA166" s="172"/>
      <c r="BB166" s="173"/>
      <c r="BC166" s="174"/>
      <c r="BD166" s="173"/>
      <c r="BE166" s="173"/>
      <c r="BF166" s="175"/>
      <c r="BG166" s="88"/>
      <c r="BI166" s="137"/>
      <c r="BJ166" s="172"/>
      <c r="BK166" s="173"/>
      <c r="BL166" s="174"/>
      <c r="BM166" s="173"/>
      <c r="BN166" s="173"/>
      <c r="BO166" s="175"/>
      <c r="BP166" s="88"/>
      <c r="BR166" s="137"/>
      <c r="BS166" s="172"/>
      <c r="BT166" s="173"/>
      <c r="BU166" s="174"/>
      <c r="BV166" s="173"/>
      <c r="BW166" s="173"/>
      <c r="BX166" s="175"/>
      <c r="BY166" s="88"/>
      <c r="FN166" s="50"/>
      <c r="FO166" s="47"/>
      <c r="FP166" s="47"/>
      <c r="FQ166" s="47"/>
      <c r="FR166" s="47"/>
    </row>
    <row r="167" spans="2:174" ht="11.25" customHeight="1">
      <c r="B167" s="137"/>
      <c r="C167" s="134"/>
      <c r="D167" s="372"/>
      <c r="E167" s="373"/>
      <c r="F167" s="374"/>
      <c r="G167" s="373"/>
      <c r="H167" s="373"/>
      <c r="I167" s="375"/>
      <c r="J167" s="88"/>
      <c r="AZ167" s="137"/>
      <c r="BA167" s="172"/>
      <c r="BB167" s="173"/>
      <c r="BC167" s="174"/>
      <c r="BD167" s="173"/>
      <c r="BE167" s="173"/>
      <c r="BF167" s="175"/>
      <c r="BG167" s="88"/>
      <c r="BI167" s="137"/>
      <c r="BJ167" s="172"/>
      <c r="BK167" s="173"/>
      <c r="BL167" s="174"/>
      <c r="BM167" s="173"/>
      <c r="BN167" s="173"/>
      <c r="BO167" s="175"/>
      <c r="BP167" s="88"/>
      <c r="BR167" s="137"/>
      <c r="BS167" s="172"/>
      <c r="BT167" s="173"/>
      <c r="BU167" s="174"/>
      <c r="BV167" s="173"/>
      <c r="BW167" s="173"/>
      <c r="BX167" s="175"/>
      <c r="BY167" s="88"/>
      <c r="FN167" s="50"/>
      <c r="FO167" s="47"/>
      <c r="FP167" s="47"/>
      <c r="FQ167" s="47"/>
      <c r="FR167" s="47"/>
    </row>
    <row r="168" spans="2:174" ht="11.25" customHeight="1">
      <c r="B168" s="137"/>
      <c r="C168" s="134"/>
      <c r="D168" s="372"/>
      <c r="E168" s="373"/>
      <c r="F168" s="374"/>
      <c r="G168" s="373"/>
      <c r="H168" s="373"/>
      <c r="I168" s="375"/>
      <c r="J168" s="88"/>
      <c r="AZ168" s="137"/>
      <c r="BA168" s="172"/>
      <c r="BB168" s="173"/>
      <c r="BC168" s="174"/>
      <c r="BD168" s="173"/>
      <c r="BE168" s="173"/>
      <c r="BF168" s="175"/>
      <c r="BG168" s="88"/>
      <c r="BI168" s="137"/>
      <c r="BJ168" s="172"/>
      <c r="BK168" s="173"/>
      <c r="BL168" s="174"/>
      <c r="BM168" s="173"/>
      <c r="BN168" s="173"/>
      <c r="BO168" s="175"/>
      <c r="BP168" s="88"/>
      <c r="BR168" s="137"/>
      <c r="BS168" s="172"/>
      <c r="BT168" s="173"/>
      <c r="BU168" s="174"/>
      <c r="BV168" s="173"/>
      <c r="BW168" s="173"/>
      <c r="BX168" s="175"/>
      <c r="BY168" s="88"/>
      <c r="FN168" s="50"/>
      <c r="FO168" s="47"/>
      <c r="FP168" s="47"/>
      <c r="FQ168" s="47"/>
      <c r="FR168" s="47"/>
    </row>
    <row r="169" spans="2:174" ht="11.25" customHeight="1">
      <c r="B169" s="137"/>
      <c r="C169" s="134"/>
      <c r="D169" s="372"/>
      <c r="E169" s="373"/>
      <c r="F169" s="374"/>
      <c r="G169" s="373"/>
      <c r="H169" s="373"/>
      <c r="I169" s="375"/>
      <c r="J169" s="88"/>
      <c r="AZ169" s="137"/>
      <c r="BA169" s="172"/>
      <c r="BB169" s="173"/>
      <c r="BC169" s="174"/>
      <c r="BD169" s="173"/>
      <c r="BE169" s="173"/>
      <c r="BF169" s="175"/>
      <c r="BG169" s="88"/>
      <c r="BI169" s="137"/>
      <c r="BJ169" s="172"/>
      <c r="BK169" s="173"/>
      <c r="BL169" s="174"/>
      <c r="BM169" s="173"/>
      <c r="BN169" s="173"/>
      <c r="BO169" s="175"/>
      <c r="BP169" s="88"/>
      <c r="BR169" s="137"/>
      <c r="BS169" s="172"/>
      <c r="BT169" s="173"/>
      <c r="BU169" s="174"/>
      <c r="BV169" s="173"/>
      <c r="BW169" s="173"/>
      <c r="BX169" s="175"/>
      <c r="BY169" s="88"/>
      <c r="FN169" s="50"/>
      <c r="FO169" s="47"/>
      <c r="FP169" s="47"/>
      <c r="FQ169" s="47"/>
      <c r="FR169" s="47"/>
    </row>
    <row r="170" spans="2:174" ht="11.25" customHeight="1">
      <c r="B170" s="137"/>
      <c r="C170" s="134"/>
      <c r="D170" s="372"/>
      <c r="E170" s="373"/>
      <c r="F170" s="374"/>
      <c r="G170" s="373"/>
      <c r="H170" s="373"/>
      <c r="I170" s="375"/>
      <c r="J170" s="88"/>
      <c r="AZ170" s="137"/>
      <c r="BA170" s="172"/>
      <c r="BB170" s="173"/>
      <c r="BC170" s="174"/>
      <c r="BD170" s="173"/>
      <c r="BE170" s="173"/>
      <c r="BF170" s="175"/>
      <c r="BG170" s="88"/>
      <c r="BI170" s="137"/>
      <c r="BJ170" s="172"/>
      <c r="BK170" s="173"/>
      <c r="BL170" s="174"/>
      <c r="BM170" s="173"/>
      <c r="BN170" s="173"/>
      <c r="BO170" s="175"/>
      <c r="BP170" s="88"/>
      <c r="BR170" s="137"/>
      <c r="BS170" s="172"/>
      <c r="BT170" s="173"/>
      <c r="BU170" s="174"/>
      <c r="BV170" s="173"/>
      <c r="BW170" s="173"/>
      <c r="BX170" s="175"/>
      <c r="BY170" s="88"/>
      <c r="FN170" s="50"/>
      <c r="FO170" s="47"/>
      <c r="FP170" s="47"/>
      <c r="FQ170" s="47"/>
      <c r="FR170" s="47"/>
    </row>
    <row r="171" spans="2:174" ht="11.25" customHeight="1">
      <c r="B171" s="137"/>
      <c r="C171" s="134"/>
      <c r="D171" s="372"/>
      <c r="E171" s="373"/>
      <c r="F171" s="374"/>
      <c r="G171" s="373"/>
      <c r="H171" s="373"/>
      <c r="I171" s="375"/>
      <c r="J171" s="88"/>
      <c r="AZ171" s="137"/>
      <c r="BA171" s="172"/>
      <c r="BB171" s="173"/>
      <c r="BC171" s="174"/>
      <c r="BD171" s="173"/>
      <c r="BE171" s="173"/>
      <c r="BF171" s="175"/>
      <c r="BG171" s="88"/>
      <c r="BI171" s="137"/>
      <c r="BJ171" s="172"/>
      <c r="BK171" s="173"/>
      <c r="BL171" s="174"/>
      <c r="BM171" s="173"/>
      <c r="BN171" s="173"/>
      <c r="BO171" s="175"/>
      <c r="BP171" s="88"/>
      <c r="BR171" s="137"/>
      <c r="BS171" s="172"/>
      <c r="BT171" s="173"/>
      <c r="BU171" s="174"/>
      <c r="BV171" s="173"/>
      <c r="BW171" s="173"/>
      <c r="BX171" s="175"/>
      <c r="BY171" s="88"/>
      <c r="FN171" s="50"/>
      <c r="FO171" s="47"/>
      <c r="FP171" s="47"/>
      <c r="FQ171" s="47"/>
      <c r="FR171" s="47"/>
    </row>
    <row r="172" spans="2:174" ht="11.25" customHeight="1">
      <c r="B172" s="137"/>
      <c r="C172" s="134"/>
      <c r="D172" s="372"/>
      <c r="E172" s="373"/>
      <c r="F172" s="374"/>
      <c r="G172" s="373"/>
      <c r="H172" s="373"/>
      <c r="I172" s="375"/>
      <c r="J172" s="88"/>
      <c r="AZ172" s="137"/>
      <c r="BA172" s="172"/>
      <c r="BB172" s="173"/>
      <c r="BC172" s="174"/>
      <c r="BD172" s="173"/>
      <c r="BE172" s="173"/>
      <c r="BF172" s="175"/>
      <c r="BG172" s="88"/>
      <c r="BI172" s="137"/>
      <c r="BJ172" s="172"/>
      <c r="BK172" s="173"/>
      <c r="BL172" s="174"/>
      <c r="BM172" s="173"/>
      <c r="BN172" s="173"/>
      <c r="BO172" s="175"/>
      <c r="BP172" s="88"/>
      <c r="BR172" s="137"/>
      <c r="BS172" s="172"/>
      <c r="BT172" s="173"/>
      <c r="BU172" s="174"/>
      <c r="BV172" s="173"/>
      <c r="BW172" s="173"/>
      <c r="BX172" s="175"/>
      <c r="BY172" s="88"/>
      <c r="FN172" s="50"/>
      <c r="FO172" s="47"/>
      <c r="FP172" s="47"/>
      <c r="FQ172" s="47"/>
      <c r="FR172" s="47"/>
    </row>
    <row r="173" spans="2:174" ht="11.25" customHeight="1">
      <c r="B173" s="137"/>
      <c r="C173" s="134"/>
      <c r="D173" s="372"/>
      <c r="E173" s="373"/>
      <c r="F173" s="374"/>
      <c r="G173" s="373"/>
      <c r="H173" s="373"/>
      <c r="I173" s="375"/>
      <c r="J173" s="88"/>
      <c r="AZ173" s="137"/>
      <c r="BA173" s="172"/>
      <c r="BB173" s="173"/>
      <c r="BC173" s="174"/>
      <c r="BD173" s="173"/>
      <c r="BE173" s="173"/>
      <c r="BF173" s="175"/>
      <c r="BG173" s="88"/>
      <c r="BI173" s="137"/>
      <c r="BJ173" s="172"/>
      <c r="BK173" s="173"/>
      <c r="BL173" s="174"/>
      <c r="BM173" s="173"/>
      <c r="BN173" s="173"/>
      <c r="BO173" s="175"/>
      <c r="BP173" s="88"/>
      <c r="BR173" s="137"/>
      <c r="BS173" s="172"/>
      <c r="BT173" s="173"/>
      <c r="BU173" s="174"/>
      <c r="BV173" s="173"/>
      <c r="BW173" s="173"/>
      <c r="BX173" s="175"/>
      <c r="BY173" s="88"/>
      <c r="FN173" s="50"/>
      <c r="FO173" s="47"/>
      <c r="FP173" s="47"/>
      <c r="FQ173" s="47"/>
      <c r="FR173" s="47"/>
    </row>
    <row r="174" spans="2:174" ht="11.25" customHeight="1">
      <c r="B174" s="137"/>
      <c r="C174" s="134"/>
      <c r="D174" s="372"/>
      <c r="E174" s="373"/>
      <c r="F174" s="374"/>
      <c r="G174" s="373"/>
      <c r="H174" s="373"/>
      <c r="I174" s="375"/>
      <c r="J174" s="88"/>
      <c r="AZ174" s="137"/>
      <c r="BA174" s="172"/>
      <c r="BB174" s="173"/>
      <c r="BC174" s="174"/>
      <c r="BD174" s="173"/>
      <c r="BE174" s="173"/>
      <c r="BF174" s="175"/>
      <c r="BG174" s="88"/>
      <c r="BI174" s="137"/>
      <c r="BJ174" s="172"/>
      <c r="BK174" s="173"/>
      <c r="BL174" s="174"/>
      <c r="BM174" s="173"/>
      <c r="BN174" s="173"/>
      <c r="BO174" s="175"/>
      <c r="BP174" s="88"/>
      <c r="BR174" s="137"/>
      <c r="BS174" s="172"/>
      <c r="BT174" s="173"/>
      <c r="BU174" s="174"/>
      <c r="BV174" s="173"/>
      <c r="BW174" s="173"/>
      <c r="BX174" s="175"/>
      <c r="BY174" s="88"/>
      <c r="FN174" s="50"/>
      <c r="FO174" s="47"/>
      <c r="FP174" s="47"/>
      <c r="FQ174" s="47"/>
      <c r="FR174" s="47"/>
    </row>
    <row r="175" spans="2:174" ht="11.25" customHeight="1">
      <c r="B175" s="137"/>
      <c r="C175" s="134"/>
      <c r="D175" s="372"/>
      <c r="E175" s="373"/>
      <c r="F175" s="374"/>
      <c r="G175" s="373"/>
      <c r="H175" s="373"/>
      <c r="I175" s="375"/>
      <c r="J175" s="88"/>
      <c r="AZ175" s="137"/>
      <c r="BA175" s="172"/>
      <c r="BB175" s="173"/>
      <c r="BC175" s="174"/>
      <c r="BD175" s="173"/>
      <c r="BE175" s="173"/>
      <c r="BF175" s="175"/>
      <c r="BG175" s="88"/>
      <c r="BI175" s="137"/>
      <c r="BJ175" s="172"/>
      <c r="BK175" s="173"/>
      <c r="BL175" s="174"/>
      <c r="BM175" s="173"/>
      <c r="BN175" s="173"/>
      <c r="BO175" s="175"/>
      <c r="BP175" s="88"/>
      <c r="BR175" s="137"/>
      <c r="BS175" s="172"/>
      <c r="BT175" s="173"/>
      <c r="BU175" s="174"/>
      <c r="BV175" s="173"/>
      <c r="BW175" s="173"/>
      <c r="BX175" s="175"/>
      <c r="BY175" s="88"/>
      <c r="FN175" s="50"/>
      <c r="FO175" s="47"/>
      <c r="FP175" s="47"/>
      <c r="FQ175" s="47"/>
      <c r="FR175" s="47"/>
    </row>
    <row r="176" spans="2:174" ht="11.25" customHeight="1">
      <c r="B176" s="137"/>
      <c r="C176" s="134"/>
      <c r="D176" s="372"/>
      <c r="E176" s="373"/>
      <c r="F176" s="374"/>
      <c r="G176" s="373"/>
      <c r="H176" s="373"/>
      <c r="I176" s="375"/>
      <c r="J176" s="88"/>
      <c r="AZ176" s="137"/>
      <c r="BA176" s="172"/>
      <c r="BB176" s="173"/>
      <c r="BC176" s="174"/>
      <c r="BD176" s="173"/>
      <c r="BE176" s="173"/>
      <c r="BF176" s="175"/>
      <c r="BG176" s="88"/>
      <c r="BI176" s="137"/>
      <c r="BJ176" s="172"/>
      <c r="BK176" s="173"/>
      <c r="BL176" s="174"/>
      <c r="BM176" s="173"/>
      <c r="BN176" s="173"/>
      <c r="BO176" s="175"/>
      <c r="BP176" s="88"/>
      <c r="BR176" s="137"/>
      <c r="BS176" s="172"/>
      <c r="BT176" s="173"/>
      <c r="BU176" s="174"/>
      <c r="BV176" s="173"/>
      <c r="BW176" s="173"/>
      <c r="BX176" s="175"/>
      <c r="BY176" s="88"/>
      <c r="FN176" s="50"/>
      <c r="FO176" s="47"/>
      <c r="FP176" s="47"/>
      <c r="FQ176" s="47"/>
      <c r="FR176" s="47"/>
    </row>
    <row r="177" spans="2:174" ht="11.25" customHeight="1">
      <c r="B177" s="137"/>
      <c r="C177" s="134"/>
      <c r="D177" s="372"/>
      <c r="E177" s="373"/>
      <c r="F177" s="374"/>
      <c r="G177" s="373"/>
      <c r="H177" s="373"/>
      <c r="I177" s="375"/>
      <c r="J177" s="88"/>
      <c r="AZ177" s="137"/>
      <c r="BA177" s="172"/>
      <c r="BB177" s="173"/>
      <c r="BC177" s="174"/>
      <c r="BD177" s="173"/>
      <c r="BE177" s="173"/>
      <c r="BF177" s="175"/>
      <c r="BG177" s="88"/>
      <c r="BI177" s="137"/>
      <c r="BJ177" s="172"/>
      <c r="BK177" s="173"/>
      <c r="BL177" s="174"/>
      <c r="BM177" s="173"/>
      <c r="BN177" s="173"/>
      <c r="BO177" s="175"/>
      <c r="BP177" s="88"/>
      <c r="BR177" s="137"/>
      <c r="BS177" s="172"/>
      <c r="BT177" s="173"/>
      <c r="BU177" s="174"/>
      <c r="BV177" s="173"/>
      <c r="BW177" s="173"/>
      <c r="BX177" s="175"/>
      <c r="BY177" s="88"/>
      <c r="FN177" s="50"/>
      <c r="FO177" s="47"/>
      <c r="FP177" s="47"/>
      <c r="FQ177" s="47"/>
      <c r="FR177" s="47"/>
    </row>
    <row r="178" spans="2:174" ht="11.25" customHeight="1">
      <c r="B178" s="137"/>
      <c r="C178" s="134"/>
      <c r="D178" s="372"/>
      <c r="E178" s="373"/>
      <c r="F178" s="374"/>
      <c r="G178" s="373"/>
      <c r="H178" s="373"/>
      <c r="I178" s="375"/>
      <c r="J178" s="88"/>
      <c r="AZ178" s="137"/>
      <c r="BA178" s="172"/>
      <c r="BB178" s="173"/>
      <c r="BC178" s="174"/>
      <c r="BD178" s="173"/>
      <c r="BE178" s="173"/>
      <c r="BF178" s="175"/>
      <c r="BG178" s="88"/>
      <c r="BI178" s="137"/>
      <c r="BJ178" s="172"/>
      <c r="BK178" s="173"/>
      <c r="BL178" s="174"/>
      <c r="BM178" s="173"/>
      <c r="BN178" s="173"/>
      <c r="BO178" s="175"/>
      <c r="BP178" s="88"/>
      <c r="BR178" s="137"/>
      <c r="BS178" s="172"/>
      <c r="BT178" s="173"/>
      <c r="BU178" s="174"/>
      <c r="BV178" s="173"/>
      <c r="BW178" s="173"/>
      <c r="BX178" s="175"/>
      <c r="BY178" s="88"/>
      <c r="FN178" s="50"/>
      <c r="FO178" s="47"/>
      <c r="FP178" s="47"/>
      <c r="FQ178" s="47"/>
      <c r="FR178" s="47"/>
    </row>
    <row r="179" spans="2:174" ht="11.25" customHeight="1">
      <c r="B179" s="137"/>
      <c r="C179" s="134"/>
      <c r="D179" s="372"/>
      <c r="E179" s="373"/>
      <c r="F179" s="374"/>
      <c r="G179" s="373"/>
      <c r="H179" s="373"/>
      <c r="I179" s="375"/>
      <c r="J179" s="88"/>
      <c r="AZ179" s="137"/>
      <c r="BA179" s="172"/>
      <c r="BB179" s="173"/>
      <c r="BC179" s="174"/>
      <c r="BD179" s="173"/>
      <c r="BE179" s="173"/>
      <c r="BF179" s="175"/>
      <c r="BG179" s="88"/>
      <c r="BI179" s="137"/>
      <c r="BJ179" s="172"/>
      <c r="BK179" s="173"/>
      <c r="BL179" s="174"/>
      <c r="BM179" s="173"/>
      <c r="BN179" s="173"/>
      <c r="BO179" s="175"/>
      <c r="BP179" s="88"/>
      <c r="BR179" s="137"/>
      <c r="BS179" s="172"/>
      <c r="BT179" s="173"/>
      <c r="BU179" s="174"/>
      <c r="BV179" s="173"/>
      <c r="BW179" s="173"/>
      <c r="BX179" s="175"/>
      <c r="BY179" s="88"/>
      <c r="FN179" s="50"/>
      <c r="FO179" s="47"/>
      <c r="FP179" s="47"/>
      <c r="FQ179" s="47"/>
      <c r="FR179" s="47"/>
    </row>
    <row r="180" spans="2:174" ht="11.25" customHeight="1">
      <c r="B180" s="137"/>
      <c r="C180" s="134"/>
      <c r="D180" s="372"/>
      <c r="E180" s="373"/>
      <c r="F180" s="374"/>
      <c r="G180" s="373"/>
      <c r="H180" s="373"/>
      <c r="I180" s="375"/>
      <c r="J180" s="88"/>
      <c r="AZ180" s="137"/>
      <c r="BA180" s="172"/>
      <c r="BB180" s="173"/>
      <c r="BC180" s="174"/>
      <c r="BD180" s="173"/>
      <c r="BE180" s="173"/>
      <c r="BF180" s="175"/>
      <c r="BG180" s="88"/>
      <c r="BI180" s="137"/>
      <c r="BJ180" s="172"/>
      <c r="BK180" s="173"/>
      <c r="BL180" s="174"/>
      <c r="BM180" s="173"/>
      <c r="BN180" s="173"/>
      <c r="BO180" s="175"/>
      <c r="BP180" s="88"/>
      <c r="BR180" s="137"/>
      <c r="BS180" s="172"/>
      <c r="BT180" s="173"/>
      <c r="BU180" s="174"/>
      <c r="BV180" s="173"/>
      <c r="BW180" s="173"/>
      <c r="BX180" s="175"/>
      <c r="BY180" s="88"/>
      <c r="FN180" s="50"/>
      <c r="FO180" s="47"/>
      <c r="FP180" s="47"/>
      <c r="FQ180" s="47"/>
      <c r="FR180" s="47"/>
    </row>
    <row r="181" spans="2:174" ht="11.25" customHeight="1">
      <c r="B181" s="137"/>
      <c r="C181" s="134"/>
      <c r="D181" s="372"/>
      <c r="E181" s="373"/>
      <c r="F181" s="374"/>
      <c r="G181" s="373"/>
      <c r="H181" s="373"/>
      <c r="I181" s="375"/>
      <c r="J181" s="88"/>
      <c r="AZ181" s="137"/>
      <c r="BA181" s="172"/>
      <c r="BB181" s="173"/>
      <c r="BC181" s="174"/>
      <c r="BD181" s="173"/>
      <c r="BE181" s="173"/>
      <c r="BF181" s="175"/>
      <c r="BG181" s="88"/>
      <c r="BI181" s="137"/>
      <c r="BJ181" s="172"/>
      <c r="BK181" s="173"/>
      <c r="BL181" s="174"/>
      <c r="BM181" s="173"/>
      <c r="BN181" s="173"/>
      <c r="BO181" s="175"/>
      <c r="BP181" s="88"/>
      <c r="BR181" s="137"/>
      <c r="BS181" s="172"/>
      <c r="BT181" s="173"/>
      <c r="BU181" s="174"/>
      <c r="BV181" s="173"/>
      <c r="BW181" s="173"/>
      <c r="BX181" s="175"/>
      <c r="BY181" s="88"/>
      <c r="FN181" s="50"/>
      <c r="FO181" s="47"/>
      <c r="FP181" s="47"/>
      <c r="FQ181" s="47"/>
      <c r="FR181" s="47"/>
    </row>
    <row r="182" spans="2:174" ht="11.25" customHeight="1">
      <c r="B182" s="137"/>
      <c r="C182" s="134"/>
      <c r="D182" s="372"/>
      <c r="E182" s="373"/>
      <c r="F182" s="374"/>
      <c r="G182" s="373"/>
      <c r="H182" s="373"/>
      <c r="I182" s="375"/>
      <c r="J182" s="88"/>
      <c r="AZ182" s="137"/>
      <c r="BA182" s="172"/>
      <c r="BB182" s="173"/>
      <c r="BC182" s="174"/>
      <c r="BD182" s="173"/>
      <c r="BE182" s="173"/>
      <c r="BF182" s="175"/>
      <c r="BG182" s="88"/>
      <c r="BI182" s="137"/>
      <c r="BJ182" s="172"/>
      <c r="BK182" s="173"/>
      <c r="BL182" s="174"/>
      <c r="BM182" s="173"/>
      <c r="BN182" s="173"/>
      <c r="BO182" s="175"/>
      <c r="BP182" s="88"/>
      <c r="BR182" s="137"/>
      <c r="BS182" s="172"/>
      <c r="BT182" s="173"/>
      <c r="BU182" s="174"/>
      <c r="BV182" s="173"/>
      <c r="BW182" s="173"/>
      <c r="BX182" s="175"/>
      <c r="BY182" s="88"/>
      <c r="FN182" s="50"/>
      <c r="FO182" s="47"/>
      <c r="FP182" s="47"/>
      <c r="FQ182" s="47"/>
      <c r="FR182" s="47"/>
    </row>
    <row r="183" spans="2:174" ht="11.25" customHeight="1">
      <c r="B183" s="137"/>
      <c r="C183" s="134"/>
      <c r="D183" s="372"/>
      <c r="E183" s="373"/>
      <c r="F183" s="374"/>
      <c r="G183" s="373"/>
      <c r="H183" s="373"/>
      <c r="I183" s="375"/>
      <c r="J183" s="88"/>
      <c r="AZ183" s="137"/>
      <c r="BA183" s="172"/>
      <c r="BB183" s="173"/>
      <c r="BC183" s="174"/>
      <c r="BD183" s="173"/>
      <c r="BE183" s="173"/>
      <c r="BF183" s="175"/>
      <c r="BG183" s="88"/>
      <c r="BI183" s="137"/>
      <c r="BJ183" s="172"/>
      <c r="BK183" s="173"/>
      <c r="BL183" s="174"/>
      <c r="BM183" s="173"/>
      <c r="BN183" s="173"/>
      <c r="BO183" s="175"/>
      <c r="BP183" s="88"/>
      <c r="BR183" s="137"/>
      <c r="BS183" s="172"/>
      <c r="BT183" s="173"/>
      <c r="BU183" s="174"/>
      <c r="BV183" s="173"/>
      <c r="BW183" s="173"/>
      <c r="BX183" s="175"/>
      <c r="BY183" s="88"/>
      <c r="FN183" s="50"/>
      <c r="FO183" s="47"/>
      <c r="FP183" s="47"/>
      <c r="FQ183" s="47"/>
      <c r="FR183" s="47"/>
    </row>
    <row r="184" spans="2:174" ht="11.25" customHeight="1">
      <c r="B184" s="137"/>
      <c r="C184" s="134"/>
      <c r="D184" s="372"/>
      <c r="E184" s="373"/>
      <c r="F184" s="374"/>
      <c r="G184" s="373"/>
      <c r="H184" s="373"/>
      <c r="I184" s="375"/>
      <c r="J184" s="88"/>
      <c r="AZ184" s="137"/>
      <c r="BA184" s="172"/>
      <c r="BB184" s="173"/>
      <c r="BC184" s="174"/>
      <c r="BD184" s="173"/>
      <c r="BE184" s="173"/>
      <c r="BF184" s="175"/>
      <c r="BG184" s="88"/>
      <c r="BI184" s="137"/>
      <c r="BJ184" s="172"/>
      <c r="BK184" s="173"/>
      <c r="BL184" s="174"/>
      <c r="BM184" s="173"/>
      <c r="BN184" s="173"/>
      <c r="BO184" s="175"/>
      <c r="BP184" s="88"/>
      <c r="BR184" s="137"/>
      <c r="BS184" s="172"/>
      <c r="BT184" s="173"/>
      <c r="BU184" s="174"/>
      <c r="BV184" s="173"/>
      <c r="BW184" s="173"/>
      <c r="BX184" s="175"/>
      <c r="BY184" s="88"/>
      <c r="FN184" s="50"/>
      <c r="FO184" s="47"/>
      <c r="FP184" s="47"/>
      <c r="FQ184" s="47"/>
      <c r="FR184" s="47"/>
    </row>
    <row r="185" spans="2:174" ht="11.25" customHeight="1">
      <c r="B185" s="137"/>
      <c r="C185" s="134"/>
      <c r="D185" s="372"/>
      <c r="E185" s="373"/>
      <c r="F185" s="374"/>
      <c r="G185" s="373"/>
      <c r="H185" s="373"/>
      <c r="I185" s="375"/>
      <c r="J185" s="88"/>
      <c r="AZ185" s="137"/>
      <c r="BA185" s="172"/>
      <c r="BB185" s="173"/>
      <c r="BC185" s="174"/>
      <c r="BD185" s="173"/>
      <c r="BE185" s="173"/>
      <c r="BF185" s="175"/>
      <c r="BG185" s="88"/>
      <c r="BI185" s="137"/>
      <c r="BJ185" s="172"/>
      <c r="BK185" s="173"/>
      <c r="BL185" s="174"/>
      <c r="BM185" s="173"/>
      <c r="BN185" s="173"/>
      <c r="BO185" s="175"/>
      <c r="BP185" s="88"/>
      <c r="BR185" s="137"/>
      <c r="BS185" s="172"/>
      <c r="BT185" s="173"/>
      <c r="BU185" s="174"/>
      <c r="BV185" s="173"/>
      <c r="BW185" s="173"/>
      <c r="BX185" s="175"/>
      <c r="BY185" s="88"/>
      <c r="FN185" s="50"/>
      <c r="FO185" s="47"/>
      <c r="FP185" s="47"/>
      <c r="FQ185" s="47"/>
      <c r="FR185" s="47"/>
    </row>
    <row r="186" spans="2:174" ht="11.25" customHeight="1">
      <c r="B186" s="137"/>
      <c r="C186" s="134"/>
      <c r="D186" s="372"/>
      <c r="E186" s="373"/>
      <c r="F186" s="374"/>
      <c r="G186" s="373"/>
      <c r="H186" s="373"/>
      <c r="I186" s="375"/>
      <c r="J186" s="88"/>
      <c r="AZ186" s="137"/>
      <c r="BA186" s="172"/>
      <c r="BB186" s="173"/>
      <c r="BC186" s="174"/>
      <c r="BD186" s="173"/>
      <c r="BE186" s="173"/>
      <c r="BF186" s="175"/>
      <c r="BG186" s="88"/>
      <c r="BI186" s="137"/>
      <c r="BJ186" s="172"/>
      <c r="BK186" s="173"/>
      <c r="BL186" s="174"/>
      <c r="BM186" s="173"/>
      <c r="BN186" s="173"/>
      <c r="BO186" s="175"/>
      <c r="BP186" s="88"/>
      <c r="BR186" s="137"/>
      <c r="BS186" s="172"/>
      <c r="BT186" s="173"/>
      <c r="BU186" s="174"/>
      <c r="BV186" s="173"/>
      <c r="BW186" s="173"/>
      <c r="BX186" s="175"/>
      <c r="BY186" s="88"/>
      <c r="FN186" s="50"/>
      <c r="FO186" s="47"/>
      <c r="FP186" s="47"/>
      <c r="FQ186" s="47"/>
      <c r="FR186" s="47"/>
    </row>
    <row r="187" spans="2:174" ht="11.25" customHeight="1">
      <c r="B187" s="137"/>
      <c r="C187" s="134"/>
      <c r="D187" s="372"/>
      <c r="E187" s="373"/>
      <c r="F187" s="374"/>
      <c r="G187" s="373"/>
      <c r="H187" s="373"/>
      <c r="I187" s="375"/>
      <c r="J187" s="88"/>
      <c r="AZ187" s="137"/>
      <c r="BA187" s="172"/>
      <c r="BB187" s="173"/>
      <c r="BC187" s="174"/>
      <c r="BD187" s="173"/>
      <c r="BE187" s="173"/>
      <c r="BF187" s="175"/>
      <c r="BG187" s="88"/>
      <c r="BI187" s="137"/>
      <c r="BJ187" s="172"/>
      <c r="BK187" s="173"/>
      <c r="BL187" s="174"/>
      <c r="BM187" s="173"/>
      <c r="BN187" s="173"/>
      <c r="BO187" s="175"/>
      <c r="BP187" s="88"/>
      <c r="BR187" s="137"/>
      <c r="BS187" s="172"/>
      <c r="BT187" s="173"/>
      <c r="BU187" s="174"/>
      <c r="BV187" s="173"/>
      <c r="BW187" s="173"/>
      <c r="BX187" s="175"/>
      <c r="BY187" s="88"/>
      <c r="FN187" s="50"/>
      <c r="FO187" s="47"/>
      <c r="FP187" s="47"/>
      <c r="FQ187" s="47"/>
      <c r="FR187" s="47"/>
    </row>
    <row r="188" spans="2:174" ht="11.25" customHeight="1">
      <c r="B188" s="137"/>
      <c r="C188" s="134"/>
      <c r="D188" s="372"/>
      <c r="E188" s="373"/>
      <c r="F188" s="374"/>
      <c r="G188" s="373"/>
      <c r="H188" s="373"/>
      <c r="I188" s="375"/>
      <c r="J188" s="88"/>
      <c r="AZ188" s="137"/>
      <c r="BA188" s="172"/>
      <c r="BB188" s="173"/>
      <c r="BC188" s="174"/>
      <c r="BD188" s="173"/>
      <c r="BE188" s="173"/>
      <c r="BF188" s="175"/>
      <c r="BG188" s="88"/>
      <c r="BI188" s="137"/>
      <c r="BJ188" s="172"/>
      <c r="BK188" s="173"/>
      <c r="BL188" s="174"/>
      <c r="BM188" s="173"/>
      <c r="BN188" s="173"/>
      <c r="BO188" s="175"/>
      <c r="BP188" s="88"/>
      <c r="BR188" s="137"/>
      <c r="BS188" s="172"/>
      <c r="BT188" s="173"/>
      <c r="BU188" s="174"/>
      <c r="BV188" s="173"/>
      <c r="BW188" s="173"/>
      <c r="BX188" s="175"/>
      <c r="BY188" s="88"/>
      <c r="FN188" s="50"/>
      <c r="FO188" s="47"/>
      <c r="FP188" s="47"/>
      <c r="FQ188" s="47"/>
      <c r="FR188" s="47"/>
    </row>
    <row r="189" spans="2:174" ht="11.25" customHeight="1">
      <c r="B189" s="137"/>
      <c r="C189" s="134"/>
      <c r="D189" s="372"/>
      <c r="E189" s="373"/>
      <c r="F189" s="374"/>
      <c r="G189" s="373"/>
      <c r="H189" s="373"/>
      <c r="I189" s="375"/>
      <c r="J189" s="88"/>
      <c r="AZ189" s="137"/>
      <c r="BA189" s="172"/>
      <c r="BB189" s="173"/>
      <c r="BC189" s="174"/>
      <c r="BD189" s="173"/>
      <c r="BE189" s="173"/>
      <c r="BF189" s="175"/>
      <c r="BG189" s="88"/>
      <c r="BI189" s="137"/>
      <c r="BJ189" s="172"/>
      <c r="BK189" s="173"/>
      <c r="BL189" s="174"/>
      <c r="BM189" s="173"/>
      <c r="BN189" s="173"/>
      <c r="BO189" s="175"/>
      <c r="BP189" s="88"/>
      <c r="BR189" s="137"/>
      <c r="BS189" s="172"/>
      <c r="BT189" s="173"/>
      <c r="BU189" s="174"/>
      <c r="BV189" s="173"/>
      <c r="BW189" s="173"/>
      <c r="BX189" s="175"/>
      <c r="BY189" s="88"/>
      <c r="FN189" s="50"/>
      <c r="FO189" s="47"/>
      <c r="FP189" s="47"/>
      <c r="FQ189" s="47"/>
      <c r="FR189" s="47"/>
    </row>
    <row r="190" spans="2:174" ht="11.25" customHeight="1">
      <c r="B190" s="137"/>
      <c r="C190" s="134"/>
      <c r="D190" s="372"/>
      <c r="E190" s="373"/>
      <c r="F190" s="374"/>
      <c r="G190" s="373"/>
      <c r="H190" s="373"/>
      <c r="I190" s="375"/>
      <c r="J190" s="88"/>
      <c r="AZ190" s="137"/>
      <c r="BA190" s="172"/>
      <c r="BB190" s="173"/>
      <c r="BC190" s="174"/>
      <c r="BD190" s="173"/>
      <c r="BE190" s="173"/>
      <c r="BF190" s="175"/>
      <c r="BG190" s="88"/>
      <c r="BI190" s="137"/>
      <c r="BJ190" s="172"/>
      <c r="BK190" s="173"/>
      <c r="BL190" s="174"/>
      <c r="BM190" s="173"/>
      <c r="BN190" s="173"/>
      <c r="BO190" s="175"/>
      <c r="BP190" s="88"/>
      <c r="BR190" s="137"/>
      <c r="BS190" s="172"/>
      <c r="BT190" s="173"/>
      <c r="BU190" s="174"/>
      <c r="BV190" s="173"/>
      <c r="BW190" s="173"/>
      <c r="BX190" s="175"/>
      <c r="BY190" s="88"/>
      <c r="FN190" s="50"/>
      <c r="FO190" s="47"/>
      <c r="FP190" s="47"/>
      <c r="FQ190" s="47"/>
      <c r="FR190" s="47"/>
    </row>
    <row r="191" spans="2:174" ht="11.25" customHeight="1">
      <c r="B191" s="137"/>
      <c r="C191" s="134"/>
      <c r="D191" s="372"/>
      <c r="E191" s="373"/>
      <c r="F191" s="374"/>
      <c r="G191" s="373"/>
      <c r="H191" s="373"/>
      <c r="I191" s="375"/>
      <c r="J191" s="88"/>
      <c r="AZ191" s="137"/>
      <c r="BA191" s="172"/>
      <c r="BB191" s="173"/>
      <c r="BC191" s="174"/>
      <c r="BD191" s="173"/>
      <c r="BE191" s="173"/>
      <c r="BF191" s="175"/>
      <c r="BG191" s="88"/>
      <c r="BI191" s="137"/>
      <c r="BJ191" s="172"/>
      <c r="BK191" s="173"/>
      <c r="BL191" s="174"/>
      <c r="BM191" s="173"/>
      <c r="BN191" s="173"/>
      <c r="BO191" s="175"/>
      <c r="BP191" s="88"/>
      <c r="BR191" s="137"/>
      <c r="BS191" s="172"/>
      <c r="BT191" s="173"/>
      <c r="BU191" s="174"/>
      <c r="BV191" s="173"/>
      <c r="BW191" s="173"/>
      <c r="BX191" s="175"/>
      <c r="BY191" s="88"/>
      <c r="FN191" s="50"/>
      <c r="FO191" s="47"/>
      <c r="FP191" s="47"/>
      <c r="FQ191" s="47"/>
      <c r="FR191" s="47"/>
    </row>
    <row r="192" spans="2:174" ht="11.25" customHeight="1">
      <c r="B192" s="137"/>
      <c r="C192" s="134"/>
      <c r="D192" s="372"/>
      <c r="E192" s="373"/>
      <c r="F192" s="374"/>
      <c r="G192" s="373"/>
      <c r="H192" s="373"/>
      <c r="I192" s="375"/>
      <c r="J192" s="88"/>
      <c r="AZ192" s="137"/>
      <c r="BA192" s="172"/>
      <c r="BB192" s="173"/>
      <c r="BC192" s="174"/>
      <c r="BD192" s="173"/>
      <c r="BE192" s="173"/>
      <c r="BF192" s="175"/>
      <c r="BG192" s="88"/>
      <c r="BI192" s="137"/>
      <c r="BJ192" s="172"/>
      <c r="BK192" s="173"/>
      <c r="BL192" s="174"/>
      <c r="BM192" s="173"/>
      <c r="BN192" s="173"/>
      <c r="BO192" s="175"/>
      <c r="BP192" s="88"/>
      <c r="BR192" s="137"/>
      <c r="BS192" s="172"/>
      <c r="BT192" s="173"/>
      <c r="BU192" s="174"/>
      <c r="BV192" s="173"/>
      <c r="BW192" s="173"/>
      <c r="BX192" s="175"/>
      <c r="BY192" s="88"/>
      <c r="FN192" s="50"/>
      <c r="FO192" s="47"/>
      <c r="FP192" s="47"/>
      <c r="FQ192" s="47"/>
      <c r="FR192" s="47"/>
    </row>
    <row r="193" spans="2:174" ht="11.25" customHeight="1">
      <c r="B193" s="137"/>
      <c r="C193" s="134"/>
      <c r="D193" s="372"/>
      <c r="E193" s="373"/>
      <c r="F193" s="374"/>
      <c r="G193" s="373"/>
      <c r="H193" s="373"/>
      <c r="I193" s="375"/>
      <c r="J193" s="88"/>
      <c r="AZ193" s="137"/>
      <c r="BA193" s="172"/>
      <c r="BB193" s="173"/>
      <c r="BC193" s="174"/>
      <c r="BD193" s="173"/>
      <c r="BE193" s="173"/>
      <c r="BF193" s="175"/>
      <c r="BG193" s="88"/>
      <c r="BI193" s="137"/>
      <c r="BJ193" s="172"/>
      <c r="BK193" s="173"/>
      <c r="BL193" s="174"/>
      <c r="BM193" s="173"/>
      <c r="BN193" s="173"/>
      <c r="BO193" s="175"/>
      <c r="BP193" s="88"/>
      <c r="BR193" s="137"/>
      <c r="BS193" s="172"/>
      <c r="BT193" s="173"/>
      <c r="BU193" s="174"/>
      <c r="BV193" s="173"/>
      <c r="BW193" s="173"/>
      <c r="BX193" s="175"/>
      <c r="BY193" s="88"/>
      <c r="FN193" s="50"/>
      <c r="FO193" s="47"/>
      <c r="FP193" s="47"/>
      <c r="FQ193" s="47"/>
      <c r="FR193" s="47"/>
    </row>
    <row r="194" spans="2:174" ht="11.25" customHeight="1">
      <c r="B194" s="137"/>
      <c r="C194" s="134"/>
      <c r="D194" s="372"/>
      <c r="E194" s="373"/>
      <c r="F194" s="374"/>
      <c r="G194" s="373"/>
      <c r="H194" s="373"/>
      <c r="I194" s="375"/>
      <c r="J194" s="88"/>
      <c r="AZ194" s="137"/>
      <c r="BA194" s="172"/>
      <c r="BB194" s="173"/>
      <c r="BC194" s="174"/>
      <c r="BD194" s="173"/>
      <c r="BE194" s="173"/>
      <c r="BF194" s="175"/>
      <c r="BG194" s="88"/>
      <c r="BI194" s="137"/>
      <c r="BJ194" s="172"/>
      <c r="BK194" s="173"/>
      <c r="BL194" s="174"/>
      <c r="BM194" s="173"/>
      <c r="BN194" s="173"/>
      <c r="BO194" s="175"/>
      <c r="BP194" s="88"/>
      <c r="BR194" s="137"/>
      <c r="BS194" s="172"/>
      <c r="BT194" s="173"/>
      <c r="BU194" s="174"/>
      <c r="BV194" s="173"/>
      <c r="BW194" s="173"/>
      <c r="BX194" s="175"/>
      <c r="BY194" s="88"/>
      <c r="FN194" s="50"/>
      <c r="FO194" s="47"/>
      <c r="FP194" s="47"/>
      <c r="FQ194" s="47"/>
      <c r="FR194" s="47"/>
    </row>
    <row r="195" spans="2:174" ht="11.25" customHeight="1">
      <c r="B195" s="137"/>
      <c r="C195" s="134"/>
      <c r="D195" s="372"/>
      <c r="E195" s="373"/>
      <c r="F195" s="374"/>
      <c r="G195" s="373"/>
      <c r="H195" s="373"/>
      <c r="I195" s="375"/>
      <c r="J195" s="88"/>
      <c r="AZ195" s="137"/>
      <c r="BA195" s="172"/>
      <c r="BB195" s="173"/>
      <c r="BC195" s="174"/>
      <c r="BD195" s="173"/>
      <c r="BE195" s="173"/>
      <c r="BF195" s="175"/>
      <c r="BG195" s="88"/>
      <c r="BI195" s="137"/>
      <c r="BJ195" s="172"/>
      <c r="BK195" s="173"/>
      <c r="BL195" s="174"/>
      <c r="BM195" s="173"/>
      <c r="BN195" s="173"/>
      <c r="BO195" s="175"/>
      <c r="BP195" s="88"/>
      <c r="BR195" s="137"/>
      <c r="BS195" s="172"/>
      <c r="BT195" s="173"/>
      <c r="BU195" s="174"/>
      <c r="BV195" s="173"/>
      <c r="BW195" s="173"/>
      <c r="BX195" s="175"/>
      <c r="BY195" s="88"/>
      <c r="FN195" s="50"/>
      <c r="FO195" s="47"/>
      <c r="FP195" s="47"/>
      <c r="FQ195" s="47"/>
      <c r="FR195" s="47"/>
    </row>
    <row r="196" spans="2:174" ht="11.25" customHeight="1">
      <c r="B196" s="137"/>
      <c r="C196" s="134"/>
      <c r="D196" s="372"/>
      <c r="E196" s="373"/>
      <c r="F196" s="374"/>
      <c r="G196" s="373"/>
      <c r="H196" s="373"/>
      <c r="I196" s="375"/>
      <c r="J196" s="88"/>
      <c r="AZ196" s="137"/>
      <c r="BA196" s="172"/>
      <c r="BB196" s="173"/>
      <c r="BC196" s="174"/>
      <c r="BD196" s="173"/>
      <c r="BE196" s="173"/>
      <c r="BF196" s="175"/>
      <c r="BG196" s="88"/>
      <c r="BI196" s="137"/>
      <c r="BJ196" s="172"/>
      <c r="BK196" s="173"/>
      <c r="BL196" s="174"/>
      <c r="BM196" s="173"/>
      <c r="BN196" s="173"/>
      <c r="BO196" s="175"/>
      <c r="BP196" s="88"/>
      <c r="BR196" s="137"/>
      <c r="BS196" s="172"/>
      <c r="BT196" s="173"/>
      <c r="BU196" s="174"/>
      <c r="BV196" s="173"/>
      <c r="BW196" s="173"/>
      <c r="BX196" s="175"/>
      <c r="BY196" s="88"/>
      <c r="FN196" s="50"/>
      <c r="FO196" s="47"/>
      <c r="FP196" s="47"/>
      <c r="FQ196" s="47"/>
      <c r="FR196" s="47"/>
    </row>
    <row r="197" spans="2:174" ht="11.25" customHeight="1">
      <c r="B197" s="137"/>
      <c r="C197" s="134"/>
      <c r="D197" s="372"/>
      <c r="E197" s="373"/>
      <c r="F197" s="374"/>
      <c r="G197" s="373"/>
      <c r="H197" s="373"/>
      <c r="I197" s="375"/>
      <c r="J197" s="88"/>
      <c r="AZ197" s="137"/>
      <c r="BA197" s="172"/>
      <c r="BB197" s="173"/>
      <c r="BC197" s="174"/>
      <c r="BD197" s="173"/>
      <c r="BE197" s="173"/>
      <c r="BF197" s="175"/>
      <c r="BG197" s="88"/>
      <c r="BI197" s="137"/>
      <c r="BJ197" s="172"/>
      <c r="BK197" s="173"/>
      <c r="BL197" s="174"/>
      <c r="BM197" s="173"/>
      <c r="BN197" s="173"/>
      <c r="BO197" s="175"/>
      <c r="BP197" s="88"/>
      <c r="BR197" s="137"/>
      <c r="BS197" s="172"/>
      <c r="BT197" s="173"/>
      <c r="BU197" s="174"/>
      <c r="BV197" s="173"/>
      <c r="BW197" s="173"/>
      <c r="BX197" s="175"/>
      <c r="BY197" s="88"/>
      <c r="FN197" s="50"/>
      <c r="FO197" s="47"/>
      <c r="FP197" s="47"/>
      <c r="FQ197" s="47"/>
      <c r="FR197" s="47"/>
    </row>
    <row r="198" spans="2:174" ht="11.25" customHeight="1">
      <c r="B198" s="137"/>
      <c r="C198" s="134"/>
      <c r="D198" s="372"/>
      <c r="E198" s="373"/>
      <c r="F198" s="374"/>
      <c r="G198" s="373"/>
      <c r="H198" s="373"/>
      <c r="I198" s="375"/>
      <c r="J198" s="88"/>
      <c r="AZ198" s="137"/>
      <c r="BA198" s="172"/>
      <c r="BB198" s="173"/>
      <c r="BC198" s="174"/>
      <c r="BD198" s="173"/>
      <c r="BE198" s="173"/>
      <c r="BF198" s="175"/>
      <c r="BG198" s="88"/>
      <c r="BI198" s="137"/>
      <c r="BJ198" s="172"/>
      <c r="BK198" s="173"/>
      <c r="BL198" s="174"/>
      <c r="BM198" s="173"/>
      <c r="BN198" s="173"/>
      <c r="BO198" s="175"/>
      <c r="BP198" s="88"/>
      <c r="BR198" s="137"/>
      <c r="BS198" s="172"/>
      <c r="BT198" s="173"/>
      <c r="BU198" s="174"/>
      <c r="BV198" s="173"/>
      <c r="BW198" s="173"/>
      <c r="BX198" s="175"/>
      <c r="BY198" s="88"/>
      <c r="FN198" s="50"/>
      <c r="FO198" s="47"/>
      <c r="FP198" s="47"/>
      <c r="FQ198" s="47"/>
      <c r="FR198" s="47"/>
    </row>
    <row r="199" spans="2:174" ht="11.25" customHeight="1">
      <c r="B199" s="137"/>
      <c r="C199" s="134"/>
      <c r="D199" s="372"/>
      <c r="E199" s="373"/>
      <c r="F199" s="374"/>
      <c r="G199" s="373"/>
      <c r="H199" s="373"/>
      <c r="I199" s="375"/>
      <c r="J199" s="88"/>
      <c r="AZ199" s="137"/>
      <c r="BA199" s="172"/>
      <c r="BB199" s="173"/>
      <c r="BC199" s="174"/>
      <c r="BD199" s="173"/>
      <c r="BE199" s="173"/>
      <c r="BF199" s="175"/>
      <c r="BG199" s="88"/>
      <c r="BI199" s="137"/>
      <c r="BJ199" s="172"/>
      <c r="BK199" s="173"/>
      <c r="BL199" s="174"/>
      <c r="BM199" s="173"/>
      <c r="BN199" s="173"/>
      <c r="BO199" s="175"/>
      <c r="BP199" s="88"/>
      <c r="BR199" s="137"/>
      <c r="BS199" s="172"/>
      <c r="BT199" s="173"/>
      <c r="BU199" s="174"/>
      <c r="BV199" s="173"/>
      <c r="BW199" s="173"/>
      <c r="BX199" s="175"/>
      <c r="BY199" s="88"/>
      <c r="FN199" s="50"/>
      <c r="FO199" s="47"/>
      <c r="FP199" s="47"/>
      <c r="FQ199" s="47"/>
      <c r="FR199" s="47"/>
    </row>
    <row r="200" spans="2:174" ht="11.25" customHeight="1">
      <c r="B200" s="137"/>
      <c r="C200" s="134"/>
      <c r="D200" s="372"/>
      <c r="E200" s="373"/>
      <c r="F200" s="374"/>
      <c r="G200" s="373"/>
      <c r="H200" s="373"/>
      <c r="I200" s="375"/>
      <c r="J200" s="88"/>
      <c r="AZ200" s="137"/>
      <c r="BA200" s="172"/>
      <c r="BB200" s="173"/>
      <c r="BC200" s="174"/>
      <c r="BD200" s="173"/>
      <c r="BE200" s="173"/>
      <c r="BF200" s="175"/>
      <c r="BG200" s="88"/>
      <c r="BI200" s="137"/>
      <c r="BJ200" s="172"/>
      <c r="BK200" s="173"/>
      <c r="BL200" s="174"/>
      <c r="BM200" s="173"/>
      <c r="BN200" s="173"/>
      <c r="BO200" s="175"/>
      <c r="BP200" s="88"/>
      <c r="BR200" s="137"/>
      <c r="BS200" s="172"/>
      <c r="BT200" s="173"/>
      <c r="BU200" s="174"/>
      <c r="BV200" s="173"/>
      <c r="BW200" s="173"/>
      <c r="BX200" s="175"/>
      <c r="BY200" s="88"/>
      <c r="FN200" s="50"/>
      <c r="FO200" s="47"/>
      <c r="FP200" s="47"/>
      <c r="FQ200" s="47"/>
      <c r="FR200" s="47"/>
    </row>
    <row r="201" spans="2:174" ht="11.25" customHeight="1">
      <c r="B201" s="137"/>
      <c r="C201" s="134"/>
      <c r="D201" s="372"/>
      <c r="E201" s="373"/>
      <c r="F201" s="374"/>
      <c r="G201" s="373"/>
      <c r="H201" s="373"/>
      <c r="I201" s="375"/>
      <c r="J201" s="88"/>
      <c r="AZ201" s="137"/>
      <c r="BA201" s="172"/>
      <c r="BB201" s="173"/>
      <c r="BC201" s="174"/>
      <c r="BD201" s="173"/>
      <c r="BE201" s="173"/>
      <c r="BF201" s="175"/>
      <c r="BG201" s="88"/>
      <c r="BI201" s="137"/>
      <c r="BJ201" s="172"/>
      <c r="BK201" s="173"/>
      <c r="BL201" s="174"/>
      <c r="BM201" s="173"/>
      <c r="BN201" s="173"/>
      <c r="BO201" s="175"/>
      <c r="BP201" s="88"/>
      <c r="BR201" s="137"/>
      <c r="BS201" s="172"/>
      <c r="BT201" s="173"/>
      <c r="BU201" s="174"/>
      <c r="BV201" s="173"/>
      <c r="BW201" s="173"/>
      <c r="BX201" s="175"/>
      <c r="BY201" s="88"/>
      <c r="FN201" s="50"/>
      <c r="FO201" s="47"/>
      <c r="FP201" s="47"/>
      <c r="FQ201" s="47"/>
      <c r="FR201" s="47"/>
    </row>
    <row r="202" spans="2:174" ht="11.25" customHeight="1">
      <c r="B202" s="137"/>
      <c r="C202" s="134"/>
      <c r="D202" s="372"/>
      <c r="E202" s="373"/>
      <c r="F202" s="374"/>
      <c r="G202" s="373"/>
      <c r="H202" s="373"/>
      <c r="I202" s="375"/>
      <c r="J202" s="88"/>
      <c r="AZ202" s="137"/>
      <c r="BA202" s="172"/>
      <c r="BB202" s="173"/>
      <c r="BC202" s="174"/>
      <c r="BD202" s="173"/>
      <c r="BE202" s="173"/>
      <c r="BF202" s="175"/>
      <c r="BG202" s="88"/>
      <c r="BI202" s="137"/>
      <c r="BJ202" s="172"/>
      <c r="BK202" s="173"/>
      <c r="BL202" s="174"/>
      <c r="BM202" s="173"/>
      <c r="BN202" s="173"/>
      <c r="BO202" s="175"/>
      <c r="BP202" s="88"/>
      <c r="BR202" s="137"/>
      <c r="BS202" s="172"/>
      <c r="BT202" s="173"/>
      <c r="BU202" s="174"/>
      <c r="BV202" s="173"/>
      <c r="BW202" s="173"/>
      <c r="BX202" s="175"/>
      <c r="BY202" s="88"/>
      <c r="FN202" s="50"/>
      <c r="FO202" s="47"/>
      <c r="FP202" s="47"/>
      <c r="FQ202" s="47"/>
      <c r="FR202" s="47"/>
    </row>
    <row r="203" spans="2:174" ht="11.25" customHeight="1">
      <c r="B203" s="137"/>
      <c r="C203" s="134"/>
      <c r="D203" s="372"/>
      <c r="E203" s="373"/>
      <c r="F203" s="374"/>
      <c r="G203" s="373"/>
      <c r="H203" s="373"/>
      <c r="I203" s="375"/>
      <c r="J203" s="88"/>
      <c r="AZ203" s="137"/>
      <c r="BA203" s="172"/>
      <c r="BB203" s="173"/>
      <c r="BC203" s="174"/>
      <c r="BD203" s="173"/>
      <c r="BE203" s="173"/>
      <c r="BF203" s="175"/>
      <c r="BG203" s="88"/>
      <c r="BI203" s="137"/>
      <c r="BJ203" s="172"/>
      <c r="BK203" s="173"/>
      <c r="BL203" s="174"/>
      <c r="BM203" s="173"/>
      <c r="BN203" s="173"/>
      <c r="BO203" s="175"/>
      <c r="BP203" s="88"/>
      <c r="BR203" s="137"/>
      <c r="BS203" s="172"/>
      <c r="BT203" s="173"/>
      <c r="BU203" s="174"/>
      <c r="BV203" s="173"/>
      <c r="BW203" s="173"/>
      <c r="BX203" s="175"/>
      <c r="BY203" s="88"/>
      <c r="FN203" s="50"/>
      <c r="FO203" s="47"/>
      <c r="FP203" s="47"/>
      <c r="FQ203" s="47"/>
      <c r="FR203" s="47"/>
    </row>
    <row r="204" spans="2:174" ht="11.25" customHeight="1">
      <c r="B204" s="137"/>
      <c r="C204" s="134"/>
      <c r="D204" s="372"/>
      <c r="E204" s="373"/>
      <c r="F204" s="374"/>
      <c r="G204" s="373"/>
      <c r="H204" s="373"/>
      <c r="I204" s="375"/>
      <c r="J204" s="88"/>
      <c r="AZ204" s="137"/>
      <c r="BA204" s="172"/>
      <c r="BB204" s="173"/>
      <c r="BC204" s="174"/>
      <c r="BD204" s="173"/>
      <c r="BE204" s="173"/>
      <c r="BF204" s="175"/>
      <c r="BG204" s="88"/>
      <c r="BI204" s="137"/>
      <c r="BJ204" s="172"/>
      <c r="BK204" s="173"/>
      <c r="BL204" s="174"/>
      <c r="BM204" s="173"/>
      <c r="BN204" s="173"/>
      <c r="BO204" s="175"/>
      <c r="BP204" s="88"/>
      <c r="BR204" s="137"/>
      <c r="BS204" s="172"/>
      <c r="BT204" s="173"/>
      <c r="BU204" s="174"/>
      <c r="BV204" s="173"/>
      <c r="BW204" s="173"/>
      <c r="BX204" s="175"/>
      <c r="BY204" s="88"/>
      <c r="FN204" s="50"/>
      <c r="FO204" s="47"/>
      <c r="FP204" s="47"/>
      <c r="FQ204" s="47"/>
      <c r="FR204" s="47"/>
    </row>
    <row r="205" spans="2:174" ht="11.25" customHeight="1">
      <c r="B205" s="137"/>
      <c r="C205" s="134"/>
      <c r="D205" s="372"/>
      <c r="E205" s="373"/>
      <c r="F205" s="374"/>
      <c r="G205" s="373"/>
      <c r="H205" s="373"/>
      <c r="I205" s="375"/>
      <c r="J205" s="88"/>
      <c r="AZ205" s="137"/>
      <c r="BA205" s="172"/>
      <c r="BB205" s="173"/>
      <c r="BC205" s="174"/>
      <c r="BD205" s="173"/>
      <c r="BE205" s="173"/>
      <c r="BF205" s="175"/>
      <c r="BG205" s="88"/>
      <c r="BI205" s="137"/>
      <c r="BJ205" s="172"/>
      <c r="BK205" s="173"/>
      <c r="BL205" s="174"/>
      <c r="BM205" s="173"/>
      <c r="BN205" s="173"/>
      <c r="BO205" s="175"/>
      <c r="BP205" s="88"/>
      <c r="BR205" s="137"/>
      <c r="BS205" s="172"/>
      <c r="BT205" s="173"/>
      <c r="BU205" s="174"/>
      <c r="BV205" s="173"/>
      <c r="BW205" s="173"/>
      <c r="BX205" s="175"/>
      <c r="BY205" s="88"/>
      <c r="FN205" s="50"/>
      <c r="FO205" s="47"/>
      <c r="FP205" s="47"/>
      <c r="FQ205" s="47"/>
      <c r="FR205" s="47"/>
    </row>
    <row r="206" spans="2:174" ht="11.25" customHeight="1">
      <c r="B206" s="137"/>
      <c r="C206" s="134"/>
      <c r="D206" s="372"/>
      <c r="E206" s="373"/>
      <c r="F206" s="374"/>
      <c r="G206" s="373"/>
      <c r="H206" s="373"/>
      <c r="I206" s="375"/>
      <c r="J206" s="88"/>
      <c r="AZ206" s="137"/>
      <c r="BA206" s="172"/>
      <c r="BB206" s="173"/>
      <c r="BC206" s="174"/>
      <c r="BD206" s="173"/>
      <c r="BE206" s="173"/>
      <c r="BF206" s="175"/>
      <c r="BG206" s="88"/>
      <c r="BI206" s="137"/>
      <c r="BJ206" s="172"/>
      <c r="BK206" s="173"/>
      <c r="BL206" s="174"/>
      <c r="BM206" s="173"/>
      <c r="BN206" s="173"/>
      <c r="BO206" s="175"/>
      <c r="BP206" s="88"/>
      <c r="BR206" s="137"/>
      <c r="BS206" s="172"/>
      <c r="BT206" s="173"/>
      <c r="BU206" s="174"/>
      <c r="BV206" s="173"/>
      <c r="BW206" s="173"/>
      <c r="BX206" s="175"/>
      <c r="BY206" s="88"/>
      <c r="FN206" s="50"/>
      <c r="FO206" s="47"/>
      <c r="FP206" s="47"/>
      <c r="FQ206" s="47"/>
      <c r="FR206" s="47"/>
    </row>
    <row r="207" spans="2:174" ht="11.25" customHeight="1">
      <c r="B207" s="137"/>
      <c r="C207" s="134"/>
      <c r="D207" s="372"/>
      <c r="E207" s="373"/>
      <c r="F207" s="374"/>
      <c r="G207" s="373"/>
      <c r="H207" s="373"/>
      <c r="I207" s="375"/>
      <c r="J207" s="88"/>
      <c r="AZ207" s="137"/>
      <c r="BA207" s="172"/>
      <c r="BB207" s="173"/>
      <c r="BC207" s="174"/>
      <c r="BD207" s="173"/>
      <c r="BE207" s="173"/>
      <c r="BF207" s="175"/>
      <c r="BG207" s="88"/>
      <c r="BI207" s="137"/>
      <c r="BJ207" s="172"/>
      <c r="BK207" s="173"/>
      <c r="BL207" s="174"/>
      <c r="BM207" s="173"/>
      <c r="BN207" s="173"/>
      <c r="BO207" s="175"/>
      <c r="BP207" s="88"/>
      <c r="BR207" s="137"/>
      <c r="BS207" s="172"/>
      <c r="BT207" s="173"/>
      <c r="BU207" s="174"/>
      <c r="BV207" s="173"/>
      <c r="BW207" s="173"/>
      <c r="BX207" s="175"/>
      <c r="BY207" s="88"/>
      <c r="FN207" s="50"/>
      <c r="FO207" s="47"/>
      <c r="FP207" s="47"/>
      <c r="FQ207" s="47"/>
      <c r="FR207" s="47"/>
    </row>
    <row r="208" spans="2:174" ht="11.25" customHeight="1">
      <c r="B208" s="137"/>
      <c r="C208" s="134"/>
      <c r="D208" s="372"/>
      <c r="E208" s="373"/>
      <c r="F208" s="374"/>
      <c r="G208" s="373"/>
      <c r="H208" s="373"/>
      <c r="I208" s="375"/>
      <c r="J208" s="88"/>
      <c r="AZ208" s="137"/>
      <c r="BA208" s="172"/>
      <c r="BB208" s="173"/>
      <c r="BC208" s="174"/>
      <c r="BD208" s="173"/>
      <c r="BE208" s="173"/>
      <c r="BF208" s="175"/>
      <c r="BG208" s="88"/>
      <c r="BI208" s="137"/>
      <c r="BJ208" s="172"/>
      <c r="BK208" s="173"/>
      <c r="BL208" s="174"/>
      <c r="BM208" s="173"/>
      <c r="BN208" s="173"/>
      <c r="BO208" s="175"/>
      <c r="BP208" s="88"/>
      <c r="BR208" s="137"/>
      <c r="BS208" s="172"/>
      <c r="BT208" s="173"/>
      <c r="BU208" s="174"/>
      <c r="BV208" s="173"/>
      <c r="BW208" s="173"/>
      <c r="BX208" s="175"/>
      <c r="BY208" s="88"/>
      <c r="FN208" s="50"/>
      <c r="FO208" s="47"/>
      <c r="FP208" s="47"/>
      <c r="FQ208" s="47"/>
      <c r="FR208" s="47"/>
    </row>
    <row r="209" spans="2:174" ht="11.25" customHeight="1">
      <c r="B209" s="137"/>
      <c r="C209" s="134"/>
      <c r="D209" s="372"/>
      <c r="E209" s="373"/>
      <c r="F209" s="374"/>
      <c r="G209" s="373"/>
      <c r="H209" s="373"/>
      <c r="I209" s="375"/>
      <c r="J209" s="88"/>
      <c r="AZ209" s="137"/>
      <c r="BA209" s="172"/>
      <c r="BB209" s="173"/>
      <c r="BC209" s="174"/>
      <c r="BD209" s="173"/>
      <c r="BE209" s="173"/>
      <c r="BF209" s="175"/>
      <c r="BG209" s="88"/>
      <c r="BI209" s="137"/>
      <c r="BJ209" s="172"/>
      <c r="BK209" s="173"/>
      <c r="BL209" s="174"/>
      <c r="BM209" s="173"/>
      <c r="BN209" s="173"/>
      <c r="BO209" s="175"/>
      <c r="BP209" s="88"/>
      <c r="BR209" s="137"/>
      <c r="BS209" s="172"/>
      <c r="BT209" s="173"/>
      <c r="BU209" s="174"/>
      <c r="BV209" s="173"/>
      <c r="BW209" s="173"/>
      <c r="BX209" s="175"/>
      <c r="BY209" s="88"/>
      <c r="FN209" s="50"/>
      <c r="FO209" s="47"/>
      <c r="FP209" s="47"/>
      <c r="FQ209" s="47"/>
      <c r="FR209" s="47"/>
    </row>
    <row r="210" spans="2:174" ht="11.25" customHeight="1">
      <c r="B210" s="137"/>
      <c r="C210" s="134"/>
      <c r="D210" s="372"/>
      <c r="E210" s="373"/>
      <c r="F210" s="374"/>
      <c r="G210" s="373"/>
      <c r="H210" s="373"/>
      <c r="I210" s="375"/>
      <c r="J210" s="88"/>
      <c r="AZ210" s="137"/>
      <c r="BA210" s="172"/>
      <c r="BB210" s="173"/>
      <c r="BC210" s="174"/>
      <c r="BD210" s="173"/>
      <c r="BE210" s="173"/>
      <c r="BF210" s="175"/>
      <c r="BG210" s="88"/>
      <c r="BI210" s="137"/>
      <c r="BJ210" s="172"/>
      <c r="BK210" s="173"/>
      <c r="BL210" s="174"/>
      <c r="BM210" s="173"/>
      <c r="BN210" s="173"/>
      <c r="BO210" s="175"/>
      <c r="BP210" s="88"/>
      <c r="BR210" s="137"/>
      <c r="BS210" s="172"/>
      <c r="BT210" s="173"/>
      <c r="BU210" s="174"/>
      <c r="BV210" s="173"/>
      <c r="BW210" s="173"/>
      <c r="BX210" s="175"/>
      <c r="BY210" s="88"/>
      <c r="FN210" s="50"/>
      <c r="FO210" s="47"/>
      <c r="FP210" s="47"/>
      <c r="FQ210" s="47"/>
      <c r="FR210" s="47"/>
    </row>
    <row r="211" spans="2:174" ht="11.25" customHeight="1">
      <c r="B211" s="137"/>
      <c r="C211" s="134"/>
      <c r="D211" s="372"/>
      <c r="E211" s="373"/>
      <c r="F211" s="374"/>
      <c r="G211" s="373"/>
      <c r="H211" s="373"/>
      <c r="I211" s="375"/>
      <c r="J211" s="88"/>
      <c r="AZ211" s="137"/>
      <c r="BA211" s="172"/>
      <c r="BB211" s="173"/>
      <c r="BC211" s="174"/>
      <c r="BD211" s="173"/>
      <c r="BE211" s="173"/>
      <c r="BF211" s="175"/>
      <c r="BG211" s="88"/>
      <c r="BI211" s="137"/>
      <c r="BJ211" s="172"/>
      <c r="BK211" s="173"/>
      <c r="BL211" s="174"/>
      <c r="BM211" s="173"/>
      <c r="BN211" s="173"/>
      <c r="BO211" s="175"/>
      <c r="BP211" s="88"/>
      <c r="BR211" s="137"/>
      <c r="BS211" s="172"/>
      <c r="BT211" s="173"/>
      <c r="BU211" s="174"/>
      <c r="BV211" s="173"/>
      <c r="BW211" s="173"/>
      <c r="BX211" s="175"/>
      <c r="BY211" s="88"/>
      <c r="FN211" s="50"/>
      <c r="FO211" s="47"/>
      <c r="FP211" s="47"/>
      <c r="FQ211" s="47"/>
      <c r="FR211" s="47"/>
    </row>
    <row r="212" spans="2:174" ht="11.25" customHeight="1">
      <c r="B212" s="137"/>
      <c r="C212" s="134"/>
      <c r="D212" s="372"/>
      <c r="E212" s="373"/>
      <c r="F212" s="374"/>
      <c r="G212" s="373"/>
      <c r="H212" s="373"/>
      <c r="I212" s="375"/>
      <c r="J212" s="88"/>
      <c r="AZ212" s="137"/>
      <c r="BA212" s="172"/>
      <c r="BB212" s="173"/>
      <c r="BC212" s="174"/>
      <c r="BD212" s="173"/>
      <c r="BE212" s="173"/>
      <c r="BF212" s="175"/>
      <c r="BG212" s="88"/>
      <c r="BI212" s="137"/>
      <c r="BJ212" s="172"/>
      <c r="BK212" s="173"/>
      <c r="BL212" s="174"/>
      <c r="BM212" s="173"/>
      <c r="BN212" s="173"/>
      <c r="BO212" s="175"/>
      <c r="BP212" s="88"/>
      <c r="BR212" s="137"/>
      <c r="BS212" s="172"/>
      <c r="BT212" s="173"/>
      <c r="BU212" s="174"/>
      <c r="BV212" s="173"/>
      <c r="BW212" s="173"/>
      <c r="BX212" s="175"/>
      <c r="BY212" s="88"/>
      <c r="FN212" s="50"/>
      <c r="FO212" s="47"/>
      <c r="FP212" s="47"/>
      <c r="FQ212" s="47"/>
      <c r="FR212" s="47"/>
    </row>
    <row r="213" spans="2:174" ht="11.25" customHeight="1">
      <c r="B213" s="137"/>
      <c r="C213" s="134"/>
      <c r="D213" s="372"/>
      <c r="E213" s="373"/>
      <c r="F213" s="374"/>
      <c r="G213" s="373"/>
      <c r="H213" s="373"/>
      <c r="I213" s="375"/>
      <c r="J213" s="88"/>
      <c r="AZ213" s="137"/>
      <c r="BA213" s="172"/>
      <c r="BB213" s="173"/>
      <c r="BC213" s="174"/>
      <c r="BD213" s="173"/>
      <c r="BE213" s="173"/>
      <c r="BF213" s="175"/>
      <c r="BG213" s="88"/>
      <c r="BI213" s="137"/>
      <c r="BJ213" s="172"/>
      <c r="BK213" s="173"/>
      <c r="BL213" s="174"/>
      <c r="BM213" s="173"/>
      <c r="BN213" s="173"/>
      <c r="BO213" s="175"/>
      <c r="BP213" s="88"/>
      <c r="BR213" s="137"/>
      <c r="BS213" s="172"/>
      <c r="BT213" s="173"/>
      <c r="BU213" s="174"/>
      <c r="BV213" s="173"/>
      <c r="BW213" s="173"/>
      <c r="BX213" s="175"/>
      <c r="BY213" s="88"/>
      <c r="FN213" s="50"/>
      <c r="FO213" s="47"/>
      <c r="FP213" s="47"/>
      <c r="FQ213" s="47"/>
      <c r="FR213" s="47"/>
    </row>
    <row r="214" spans="2:174" ht="11.25" customHeight="1">
      <c r="B214" s="137"/>
      <c r="C214" s="134"/>
      <c r="D214" s="372"/>
      <c r="E214" s="373"/>
      <c r="F214" s="374"/>
      <c r="G214" s="373"/>
      <c r="H214" s="373"/>
      <c r="I214" s="375"/>
      <c r="J214" s="88"/>
      <c r="AZ214" s="137"/>
      <c r="BA214" s="172"/>
      <c r="BB214" s="173"/>
      <c r="BC214" s="174"/>
      <c r="BD214" s="173"/>
      <c r="BE214" s="173"/>
      <c r="BF214" s="175"/>
      <c r="BG214" s="88"/>
      <c r="BI214" s="137"/>
      <c r="BJ214" s="172"/>
      <c r="BK214" s="173"/>
      <c r="BL214" s="174"/>
      <c r="BM214" s="173"/>
      <c r="BN214" s="173"/>
      <c r="BO214" s="175"/>
      <c r="BP214" s="88"/>
      <c r="BR214" s="137"/>
      <c r="BS214" s="172"/>
      <c r="BT214" s="173"/>
      <c r="BU214" s="174"/>
      <c r="BV214" s="173"/>
      <c r="BW214" s="173"/>
      <c r="BX214" s="175"/>
      <c r="BY214" s="88"/>
      <c r="FN214" s="50"/>
      <c r="FO214" s="47"/>
      <c r="FP214" s="47"/>
      <c r="FQ214" s="47"/>
      <c r="FR214" s="47"/>
    </row>
    <row r="215" spans="2:174" ht="11.25" customHeight="1">
      <c r="B215" s="137"/>
      <c r="C215" s="134"/>
      <c r="D215" s="372"/>
      <c r="E215" s="373"/>
      <c r="F215" s="374"/>
      <c r="G215" s="373"/>
      <c r="H215" s="373"/>
      <c r="I215" s="375"/>
      <c r="J215" s="88"/>
      <c r="AZ215" s="137"/>
      <c r="BA215" s="172"/>
      <c r="BB215" s="173"/>
      <c r="BC215" s="174"/>
      <c r="BD215" s="173"/>
      <c r="BE215" s="173"/>
      <c r="BF215" s="175"/>
      <c r="BG215" s="88"/>
      <c r="BI215" s="137"/>
      <c r="BJ215" s="172"/>
      <c r="BK215" s="173"/>
      <c r="BL215" s="174"/>
      <c r="BM215" s="173"/>
      <c r="BN215" s="173"/>
      <c r="BO215" s="175"/>
      <c r="BP215" s="88"/>
      <c r="BR215" s="137"/>
      <c r="BS215" s="172"/>
      <c r="BT215" s="173"/>
      <c r="BU215" s="174"/>
      <c r="BV215" s="173"/>
      <c r="BW215" s="173"/>
      <c r="BX215" s="175"/>
      <c r="BY215" s="88"/>
      <c r="FN215" s="50"/>
      <c r="FO215" s="47"/>
      <c r="FP215" s="47"/>
      <c r="FQ215" s="47"/>
      <c r="FR215" s="47"/>
    </row>
    <row r="216" spans="2:174" ht="11.25" customHeight="1">
      <c r="B216" s="137"/>
      <c r="C216" s="134"/>
      <c r="D216" s="372"/>
      <c r="E216" s="373"/>
      <c r="F216" s="374"/>
      <c r="G216" s="373"/>
      <c r="H216" s="373"/>
      <c r="I216" s="375"/>
      <c r="J216" s="88"/>
      <c r="AZ216" s="137"/>
      <c r="BA216" s="172"/>
      <c r="BB216" s="173"/>
      <c r="BC216" s="174"/>
      <c r="BD216" s="173"/>
      <c r="BE216" s="173"/>
      <c r="BF216" s="175"/>
      <c r="BG216" s="88"/>
      <c r="BI216" s="137"/>
      <c r="BJ216" s="172"/>
      <c r="BK216" s="173"/>
      <c r="BL216" s="174"/>
      <c r="BM216" s="173"/>
      <c r="BN216" s="173"/>
      <c r="BO216" s="175"/>
      <c r="BP216" s="88"/>
      <c r="BR216" s="137"/>
      <c r="BS216" s="172"/>
      <c r="BT216" s="173"/>
      <c r="BU216" s="174"/>
      <c r="BV216" s="173"/>
      <c r="BW216" s="173"/>
      <c r="BX216" s="175"/>
      <c r="BY216" s="88"/>
      <c r="FN216" s="50"/>
      <c r="FO216" s="47"/>
      <c r="FP216" s="47"/>
      <c r="FQ216" s="47"/>
      <c r="FR216" s="47"/>
    </row>
    <row r="217" spans="2:174" ht="11.25" customHeight="1">
      <c r="B217" s="137"/>
      <c r="C217" s="134"/>
      <c r="D217" s="372"/>
      <c r="E217" s="373"/>
      <c r="F217" s="374"/>
      <c r="G217" s="373"/>
      <c r="H217" s="373"/>
      <c r="I217" s="375"/>
      <c r="J217" s="88"/>
      <c r="AZ217" s="137"/>
      <c r="BA217" s="172"/>
      <c r="BB217" s="173"/>
      <c r="BC217" s="174"/>
      <c r="BD217" s="173"/>
      <c r="BE217" s="173"/>
      <c r="BF217" s="175"/>
      <c r="BG217" s="88"/>
      <c r="BI217" s="137"/>
      <c r="BJ217" s="172"/>
      <c r="BK217" s="173"/>
      <c r="BL217" s="174"/>
      <c r="BM217" s="173"/>
      <c r="BN217" s="173"/>
      <c r="BO217" s="175"/>
      <c r="BP217" s="88"/>
      <c r="BR217" s="137"/>
      <c r="BS217" s="172"/>
      <c r="BT217" s="173"/>
      <c r="BU217" s="174"/>
      <c r="BV217" s="173"/>
      <c r="BW217" s="173"/>
      <c r="BX217" s="175"/>
      <c r="BY217" s="88"/>
      <c r="FN217" s="50"/>
      <c r="FO217" s="47"/>
      <c r="FP217" s="47"/>
      <c r="FQ217" s="47"/>
      <c r="FR217" s="47"/>
    </row>
    <row r="218" spans="2:174" ht="11.25" customHeight="1">
      <c r="B218" s="137"/>
      <c r="C218" s="134"/>
      <c r="D218" s="372"/>
      <c r="E218" s="373"/>
      <c r="F218" s="374"/>
      <c r="G218" s="373"/>
      <c r="H218" s="373"/>
      <c r="I218" s="375"/>
      <c r="J218" s="88"/>
      <c r="AZ218" s="137"/>
      <c r="BA218" s="172"/>
      <c r="BB218" s="173"/>
      <c r="BC218" s="174"/>
      <c r="BD218" s="173"/>
      <c r="BE218" s="173"/>
      <c r="BF218" s="175"/>
      <c r="BG218" s="88"/>
      <c r="BI218" s="137"/>
      <c r="BJ218" s="172"/>
      <c r="BK218" s="173"/>
      <c r="BL218" s="174"/>
      <c r="BM218" s="173"/>
      <c r="BN218" s="173"/>
      <c r="BO218" s="175"/>
      <c r="BP218" s="88"/>
      <c r="BR218" s="137"/>
      <c r="BS218" s="172"/>
      <c r="BT218" s="173"/>
      <c r="BU218" s="174"/>
      <c r="BV218" s="173"/>
      <c r="BW218" s="173"/>
      <c r="BX218" s="175"/>
      <c r="BY218" s="88"/>
      <c r="FN218" s="50"/>
      <c r="FO218" s="47"/>
      <c r="FP218" s="47"/>
      <c r="FQ218" s="47"/>
      <c r="FR218" s="47"/>
    </row>
    <row r="219" spans="2:174" ht="11.25" customHeight="1">
      <c r="B219" s="137"/>
      <c r="C219" s="134"/>
      <c r="D219" s="372"/>
      <c r="E219" s="373"/>
      <c r="F219" s="374"/>
      <c r="G219" s="373"/>
      <c r="H219" s="373"/>
      <c r="I219" s="375"/>
      <c r="J219" s="88"/>
      <c r="AZ219" s="137"/>
      <c r="BA219" s="172"/>
      <c r="BB219" s="173"/>
      <c r="BC219" s="174"/>
      <c r="BD219" s="173"/>
      <c r="BE219" s="173"/>
      <c r="BF219" s="175"/>
      <c r="BG219" s="88"/>
      <c r="BI219" s="137"/>
      <c r="BJ219" s="172"/>
      <c r="BK219" s="173"/>
      <c r="BL219" s="174"/>
      <c r="BM219" s="173"/>
      <c r="BN219" s="173"/>
      <c r="BO219" s="175"/>
      <c r="BP219" s="88"/>
      <c r="BR219" s="137"/>
      <c r="BS219" s="172"/>
      <c r="BT219" s="173"/>
      <c r="BU219" s="174"/>
      <c r="BV219" s="173"/>
      <c r="BW219" s="173"/>
      <c r="BX219" s="175"/>
      <c r="BY219" s="88"/>
      <c r="FN219" s="50"/>
      <c r="FO219" s="47"/>
      <c r="FP219" s="47"/>
      <c r="FQ219" s="47"/>
      <c r="FR219" s="47"/>
    </row>
    <row r="220" spans="2:174" ht="11.25" customHeight="1">
      <c r="B220" s="137"/>
      <c r="C220" s="134"/>
      <c r="D220" s="372"/>
      <c r="E220" s="373"/>
      <c r="F220" s="374"/>
      <c r="G220" s="373"/>
      <c r="H220" s="373"/>
      <c r="I220" s="375"/>
      <c r="J220" s="88"/>
      <c r="AZ220" s="137"/>
      <c r="BA220" s="172"/>
      <c r="BB220" s="173"/>
      <c r="BC220" s="174"/>
      <c r="BD220" s="173"/>
      <c r="BE220" s="173"/>
      <c r="BF220" s="175"/>
      <c r="BG220" s="88"/>
      <c r="BI220" s="137"/>
      <c r="BJ220" s="172"/>
      <c r="BK220" s="173"/>
      <c r="BL220" s="174"/>
      <c r="BM220" s="173"/>
      <c r="BN220" s="173"/>
      <c r="BO220" s="175"/>
      <c r="BP220" s="88"/>
      <c r="BR220" s="137"/>
      <c r="BS220" s="172"/>
      <c r="BT220" s="173"/>
      <c r="BU220" s="174"/>
      <c r="BV220" s="173"/>
      <c r="BW220" s="173"/>
      <c r="BX220" s="175"/>
      <c r="BY220" s="88"/>
      <c r="FN220" s="50"/>
      <c r="FO220" s="47"/>
      <c r="FP220" s="47"/>
      <c r="FQ220" s="47"/>
      <c r="FR220" s="47"/>
    </row>
    <row r="221" spans="2:174" ht="11.25" customHeight="1">
      <c r="B221" s="137"/>
      <c r="C221" s="134"/>
      <c r="D221" s="372"/>
      <c r="E221" s="373"/>
      <c r="F221" s="374"/>
      <c r="G221" s="373"/>
      <c r="H221" s="373"/>
      <c r="I221" s="375"/>
      <c r="J221" s="88"/>
      <c r="AZ221" s="137"/>
      <c r="BA221" s="172"/>
      <c r="BB221" s="173"/>
      <c r="BC221" s="174"/>
      <c r="BD221" s="173"/>
      <c r="BE221" s="173"/>
      <c r="BF221" s="175"/>
      <c r="BG221" s="88"/>
      <c r="BI221" s="137"/>
      <c r="BJ221" s="172"/>
      <c r="BK221" s="173"/>
      <c r="BL221" s="174"/>
      <c r="BM221" s="173"/>
      <c r="BN221" s="173"/>
      <c r="BO221" s="175"/>
      <c r="BP221" s="88"/>
      <c r="BR221" s="137"/>
      <c r="BS221" s="172"/>
      <c r="BT221" s="173"/>
      <c r="BU221" s="174"/>
      <c r="BV221" s="173"/>
      <c r="BW221" s="173"/>
      <c r="BX221" s="175"/>
      <c r="BY221" s="88"/>
      <c r="FN221" s="50"/>
      <c r="FO221" s="47"/>
      <c r="FP221" s="47"/>
      <c r="FQ221" s="47"/>
      <c r="FR221" s="47"/>
    </row>
    <row r="222" spans="2:174" ht="11.25" customHeight="1">
      <c r="B222" s="137"/>
      <c r="C222" s="134"/>
      <c r="D222" s="372"/>
      <c r="E222" s="373"/>
      <c r="F222" s="374"/>
      <c r="G222" s="373"/>
      <c r="H222" s="373"/>
      <c r="I222" s="375"/>
      <c r="J222" s="88"/>
      <c r="AZ222" s="137"/>
      <c r="BA222" s="172"/>
      <c r="BB222" s="173"/>
      <c r="BC222" s="174"/>
      <c r="BD222" s="173"/>
      <c r="BE222" s="173"/>
      <c r="BF222" s="175"/>
      <c r="BG222" s="88"/>
      <c r="BI222" s="137"/>
      <c r="BJ222" s="172"/>
      <c r="BK222" s="173"/>
      <c r="BL222" s="174"/>
      <c r="BM222" s="173"/>
      <c r="BN222" s="173"/>
      <c r="BO222" s="175"/>
      <c r="BP222" s="88"/>
      <c r="BR222" s="137"/>
      <c r="BS222" s="172"/>
      <c r="BT222" s="173"/>
      <c r="BU222" s="174"/>
      <c r="BV222" s="173"/>
      <c r="BW222" s="173"/>
      <c r="BX222" s="175"/>
      <c r="BY222" s="88"/>
      <c r="FN222" s="50"/>
      <c r="FO222" s="47"/>
      <c r="FP222" s="47"/>
      <c r="FQ222" s="47"/>
      <c r="FR222" s="47"/>
    </row>
    <row r="223" spans="2:174" ht="11.25" customHeight="1">
      <c r="B223" s="137"/>
      <c r="C223" s="134"/>
      <c r="D223" s="372"/>
      <c r="E223" s="373"/>
      <c r="F223" s="374"/>
      <c r="G223" s="373"/>
      <c r="H223" s="373"/>
      <c r="I223" s="375"/>
      <c r="J223" s="88"/>
      <c r="AZ223" s="137"/>
      <c r="BA223" s="172"/>
      <c r="BB223" s="173"/>
      <c r="BC223" s="174"/>
      <c r="BD223" s="173"/>
      <c r="BE223" s="173"/>
      <c r="BF223" s="175"/>
      <c r="BG223" s="88"/>
      <c r="BI223" s="137"/>
      <c r="BJ223" s="172"/>
      <c r="BK223" s="173"/>
      <c r="BL223" s="174"/>
      <c r="BM223" s="173"/>
      <c r="BN223" s="173"/>
      <c r="BO223" s="175"/>
      <c r="BP223" s="88"/>
      <c r="BR223" s="137"/>
      <c r="BS223" s="172"/>
      <c r="BT223" s="173"/>
      <c r="BU223" s="174"/>
      <c r="BV223" s="173"/>
      <c r="BW223" s="173"/>
      <c r="BX223" s="175"/>
      <c r="BY223" s="88"/>
      <c r="FN223" s="50"/>
      <c r="FO223" s="47"/>
      <c r="FP223" s="47"/>
      <c r="FQ223" s="47"/>
      <c r="FR223" s="47"/>
    </row>
    <row r="224" spans="2:174" ht="11.25" customHeight="1">
      <c r="B224" s="137"/>
      <c r="C224" s="134"/>
      <c r="D224" s="372"/>
      <c r="E224" s="373"/>
      <c r="F224" s="374"/>
      <c r="G224" s="373"/>
      <c r="H224" s="373"/>
      <c r="I224" s="375"/>
      <c r="J224" s="88"/>
      <c r="AZ224" s="137"/>
      <c r="BA224" s="172"/>
      <c r="BB224" s="173"/>
      <c r="BC224" s="174"/>
      <c r="BD224" s="173"/>
      <c r="BE224" s="173"/>
      <c r="BF224" s="175"/>
      <c r="BG224" s="88"/>
      <c r="BI224" s="137"/>
      <c r="BJ224" s="172"/>
      <c r="BK224" s="173"/>
      <c r="BL224" s="174"/>
      <c r="BM224" s="173"/>
      <c r="BN224" s="173"/>
      <c r="BO224" s="175"/>
      <c r="BP224" s="88"/>
      <c r="BR224" s="137"/>
      <c r="BS224" s="172"/>
      <c r="BT224" s="173"/>
      <c r="BU224" s="174"/>
      <c r="BV224" s="173"/>
      <c r="BW224" s="173"/>
      <c r="BX224" s="175"/>
      <c r="BY224" s="88"/>
      <c r="FN224" s="50"/>
      <c r="FO224" s="47"/>
      <c r="FP224" s="47"/>
      <c r="FQ224" s="47"/>
      <c r="FR224" s="47"/>
    </row>
    <row r="225" spans="2:174" ht="11.25" customHeight="1">
      <c r="B225" s="137"/>
      <c r="C225" s="134"/>
      <c r="D225" s="372"/>
      <c r="E225" s="373"/>
      <c r="F225" s="374"/>
      <c r="G225" s="373"/>
      <c r="H225" s="373"/>
      <c r="I225" s="375"/>
      <c r="J225" s="88"/>
      <c r="AZ225" s="137"/>
      <c r="BA225" s="172"/>
      <c r="BB225" s="173"/>
      <c r="BC225" s="174"/>
      <c r="BD225" s="173"/>
      <c r="BE225" s="173"/>
      <c r="BF225" s="175"/>
      <c r="BG225" s="88"/>
      <c r="BI225" s="137"/>
      <c r="BJ225" s="172"/>
      <c r="BK225" s="173"/>
      <c r="BL225" s="174"/>
      <c r="BM225" s="173"/>
      <c r="BN225" s="173"/>
      <c r="BO225" s="175"/>
      <c r="BP225" s="88"/>
      <c r="BR225" s="137"/>
      <c r="BS225" s="172"/>
      <c r="BT225" s="173"/>
      <c r="BU225" s="174"/>
      <c r="BV225" s="173"/>
      <c r="BW225" s="173"/>
      <c r="BX225" s="175"/>
      <c r="BY225" s="88"/>
      <c r="FN225" s="50"/>
      <c r="FO225" s="47"/>
      <c r="FP225" s="47"/>
      <c r="FQ225" s="47"/>
      <c r="FR225" s="47"/>
    </row>
    <row r="226" spans="2:174" ht="11.25" customHeight="1">
      <c r="B226" s="137"/>
      <c r="C226" s="134"/>
      <c r="D226" s="372"/>
      <c r="E226" s="373"/>
      <c r="F226" s="374"/>
      <c r="G226" s="373"/>
      <c r="H226" s="373"/>
      <c r="I226" s="375"/>
      <c r="J226" s="88"/>
      <c r="AZ226" s="137"/>
      <c r="BA226" s="172"/>
      <c r="BB226" s="173"/>
      <c r="BC226" s="174"/>
      <c r="BD226" s="173"/>
      <c r="BE226" s="173"/>
      <c r="BF226" s="175"/>
      <c r="BG226" s="88"/>
      <c r="BI226" s="137"/>
      <c r="BJ226" s="172"/>
      <c r="BK226" s="173"/>
      <c r="BL226" s="174"/>
      <c r="BM226" s="173"/>
      <c r="BN226" s="173"/>
      <c r="BO226" s="175"/>
      <c r="BP226" s="88"/>
      <c r="BR226" s="137"/>
      <c r="BS226" s="172"/>
      <c r="BT226" s="173"/>
      <c r="BU226" s="174"/>
      <c r="BV226" s="173"/>
      <c r="BW226" s="173"/>
      <c r="BX226" s="175"/>
      <c r="BY226" s="88"/>
      <c r="FN226" s="50"/>
      <c r="FO226" s="47"/>
      <c r="FP226" s="47"/>
      <c r="FQ226" s="47"/>
      <c r="FR226" s="47"/>
    </row>
    <row r="227" spans="2:174" ht="11.25" customHeight="1">
      <c r="B227" s="137"/>
      <c r="C227" s="134"/>
      <c r="D227" s="372"/>
      <c r="E227" s="373"/>
      <c r="F227" s="374"/>
      <c r="G227" s="373"/>
      <c r="H227" s="373"/>
      <c r="I227" s="375"/>
      <c r="J227" s="88"/>
      <c r="AZ227" s="137"/>
      <c r="BA227" s="172"/>
      <c r="BB227" s="173"/>
      <c r="BC227" s="174"/>
      <c r="BD227" s="173"/>
      <c r="BE227" s="173"/>
      <c r="BF227" s="175"/>
      <c r="BG227" s="88"/>
      <c r="BI227" s="137"/>
      <c r="BJ227" s="172"/>
      <c r="BK227" s="173"/>
      <c r="BL227" s="174"/>
      <c r="BM227" s="173"/>
      <c r="BN227" s="173"/>
      <c r="BO227" s="175"/>
      <c r="BP227" s="88"/>
      <c r="BR227" s="137"/>
      <c r="BS227" s="172"/>
      <c r="BT227" s="173"/>
      <c r="BU227" s="174"/>
      <c r="BV227" s="173"/>
      <c r="BW227" s="173"/>
      <c r="BX227" s="175"/>
      <c r="BY227" s="88"/>
      <c r="FN227" s="50"/>
      <c r="FO227" s="47"/>
      <c r="FP227" s="47"/>
      <c r="FQ227" s="47"/>
      <c r="FR227" s="47"/>
    </row>
    <row r="228" spans="2:174" ht="11.25" customHeight="1">
      <c r="B228" s="137"/>
      <c r="C228" s="134"/>
      <c r="D228" s="372"/>
      <c r="E228" s="373"/>
      <c r="F228" s="374"/>
      <c r="G228" s="373"/>
      <c r="H228" s="373"/>
      <c r="I228" s="375"/>
      <c r="J228" s="88"/>
      <c r="AZ228" s="137"/>
      <c r="BA228" s="172"/>
      <c r="BB228" s="173"/>
      <c r="BC228" s="174"/>
      <c r="BD228" s="173"/>
      <c r="BE228" s="173"/>
      <c r="BF228" s="175"/>
      <c r="BG228" s="88"/>
      <c r="BI228" s="137"/>
      <c r="BJ228" s="172"/>
      <c r="BK228" s="173"/>
      <c r="BL228" s="174"/>
      <c r="BM228" s="173"/>
      <c r="BN228" s="173"/>
      <c r="BO228" s="175"/>
      <c r="BP228" s="88"/>
      <c r="BR228" s="137"/>
      <c r="BS228" s="172"/>
      <c r="BT228" s="173"/>
      <c r="BU228" s="174"/>
      <c r="BV228" s="173"/>
      <c r="BW228" s="173"/>
      <c r="BX228" s="175"/>
      <c r="BY228" s="88"/>
      <c r="FN228" s="50"/>
      <c r="FO228" s="47"/>
      <c r="FP228" s="47"/>
      <c r="FQ228" s="47"/>
      <c r="FR228" s="47"/>
    </row>
    <row r="229" spans="2:174" ht="11.25" customHeight="1">
      <c r="B229" s="137"/>
      <c r="C229" s="134"/>
      <c r="D229" s="372"/>
      <c r="E229" s="373"/>
      <c r="F229" s="374"/>
      <c r="G229" s="373"/>
      <c r="H229" s="373"/>
      <c r="I229" s="375"/>
      <c r="J229" s="88"/>
      <c r="AZ229" s="137"/>
      <c r="BA229" s="172"/>
      <c r="BB229" s="173"/>
      <c r="BC229" s="174"/>
      <c r="BD229" s="173"/>
      <c r="BE229" s="173"/>
      <c r="BF229" s="175"/>
      <c r="BG229" s="88"/>
      <c r="BI229" s="137"/>
      <c r="BJ229" s="172"/>
      <c r="BK229" s="173"/>
      <c r="BL229" s="174"/>
      <c r="BM229" s="173"/>
      <c r="BN229" s="173"/>
      <c r="BO229" s="175"/>
      <c r="BP229" s="88"/>
      <c r="BR229" s="137"/>
      <c r="BS229" s="172"/>
      <c r="BT229" s="173"/>
      <c r="BU229" s="174"/>
      <c r="BV229" s="173"/>
      <c r="BW229" s="173"/>
      <c r="BX229" s="175"/>
      <c r="BY229" s="88"/>
      <c r="FN229" s="50"/>
      <c r="FO229" s="47"/>
      <c r="FP229" s="47"/>
      <c r="FQ229" s="47"/>
      <c r="FR229" s="47"/>
    </row>
    <row r="230" spans="2:174" ht="11.25" customHeight="1">
      <c r="B230" s="137"/>
      <c r="C230" s="134"/>
      <c r="D230" s="372"/>
      <c r="E230" s="373"/>
      <c r="F230" s="374"/>
      <c r="G230" s="373"/>
      <c r="H230" s="373"/>
      <c r="I230" s="375"/>
      <c r="J230" s="88"/>
      <c r="AZ230" s="137"/>
      <c r="BA230" s="172"/>
      <c r="BB230" s="173"/>
      <c r="BC230" s="174"/>
      <c r="BD230" s="173"/>
      <c r="BE230" s="173"/>
      <c r="BF230" s="175"/>
      <c r="BG230" s="88"/>
      <c r="BI230" s="137"/>
      <c r="BJ230" s="172"/>
      <c r="BK230" s="173"/>
      <c r="BL230" s="174"/>
      <c r="BM230" s="173"/>
      <c r="BN230" s="173"/>
      <c r="BO230" s="175"/>
      <c r="BP230" s="88"/>
      <c r="BR230" s="137"/>
      <c r="BS230" s="172"/>
      <c r="BT230" s="173"/>
      <c r="BU230" s="174"/>
      <c r="BV230" s="173"/>
      <c r="BW230" s="173"/>
      <c r="BX230" s="175"/>
      <c r="BY230" s="88"/>
      <c r="FN230" s="50"/>
      <c r="FO230" s="47"/>
      <c r="FP230" s="47"/>
      <c r="FQ230" s="47"/>
      <c r="FR230" s="47"/>
    </row>
    <row r="231" spans="2:174" ht="11.25" customHeight="1">
      <c r="B231" s="137"/>
      <c r="C231" s="134"/>
      <c r="D231" s="372"/>
      <c r="E231" s="373"/>
      <c r="F231" s="374"/>
      <c r="G231" s="373"/>
      <c r="H231" s="373"/>
      <c r="I231" s="375"/>
      <c r="J231" s="88"/>
      <c r="AZ231" s="137"/>
      <c r="BA231" s="172"/>
      <c r="BB231" s="173"/>
      <c r="BC231" s="174"/>
      <c r="BD231" s="173"/>
      <c r="BE231" s="173"/>
      <c r="BF231" s="175"/>
      <c r="BG231" s="88"/>
      <c r="BI231" s="137"/>
      <c r="BJ231" s="172"/>
      <c r="BK231" s="173"/>
      <c r="BL231" s="174"/>
      <c r="BM231" s="173"/>
      <c r="BN231" s="173"/>
      <c r="BO231" s="175"/>
      <c r="BP231" s="88"/>
      <c r="BR231" s="137"/>
      <c r="BS231" s="172"/>
      <c r="BT231" s="173"/>
      <c r="BU231" s="174"/>
      <c r="BV231" s="173"/>
      <c r="BW231" s="173"/>
      <c r="BX231" s="175"/>
      <c r="BY231" s="88"/>
      <c r="FN231" s="50"/>
      <c r="FO231" s="47"/>
      <c r="FP231" s="47"/>
      <c r="FQ231" s="47"/>
      <c r="FR231" s="47"/>
    </row>
    <row r="232" spans="2:174" ht="11.25" customHeight="1">
      <c r="B232" s="137"/>
      <c r="C232" s="134"/>
      <c r="D232" s="372"/>
      <c r="E232" s="373"/>
      <c r="F232" s="374"/>
      <c r="G232" s="373"/>
      <c r="H232" s="373"/>
      <c r="I232" s="375"/>
      <c r="J232" s="88"/>
      <c r="AZ232" s="137"/>
      <c r="BA232" s="172"/>
      <c r="BB232" s="173"/>
      <c r="BC232" s="174"/>
      <c r="BD232" s="173"/>
      <c r="BE232" s="173"/>
      <c r="BF232" s="175"/>
      <c r="BG232" s="88"/>
      <c r="BI232" s="137"/>
      <c r="BJ232" s="172"/>
      <c r="BK232" s="173"/>
      <c r="BL232" s="174"/>
      <c r="BM232" s="173"/>
      <c r="BN232" s="173"/>
      <c r="BO232" s="175"/>
      <c r="BP232" s="88"/>
      <c r="BR232" s="137"/>
      <c r="BS232" s="172"/>
      <c r="BT232" s="173"/>
      <c r="BU232" s="174"/>
      <c r="BV232" s="173"/>
      <c r="BW232" s="173"/>
      <c r="BX232" s="175"/>
      <c r="BY232" s="88"/>
      <c r="FN232" s="50"/>
      <c r="FO232" s="47"/>
      <c r="FP232" s="47"/>
      <c r="FQ232" s="47"/>
      <c r="FR232" s="47"/>
    </row>
    <row r="233" spans="2:174" ht="11.25" customHeight="1">
      <c r="B233" s="137"/>
      <c r="C233" s="134"/>
      <c r="D233" s="372"/>
      <c r="E233" s="373"/>
      <c r="F233" s="374"/>
      <c r="G233" s="373"/>
      <c r="H233" s="373"/>
      <c r="I233" s="375"/>
      <c r="J233" s="88"/>
      <c r="AZ233" s="137"/>
      <c r="BA233" s="172"/>
      <c r="BB233" s="173"/>
      <c r="BC233" s="174"/>
      <c r="BD233" s="173"/>
      <c r="BE233" s="173"/>
      <c r="BF233" s="175"/>
      <c r="BG233" s="88"/>
      <c r="BI233" s="137"/>
      <c r="BJ233" s="172"/>
      <c r="BK233" s="173"/>
      <c r="BL233" s="174"/>
      <c r="BM233" s="173"/>
      <c r="BN233" s="173"/>
      <c r="BO233" s="175"/>
      <c r="BP233" s="88"/>
      <c r="BR233" s="137"/>
      <c r="BS233" s="172"/>
      <c r="BT233" s="173"/>
      <c r="BU233" s="174"/>
      <c r="BV233" s="173"/>
      <c r="BW233" s="173"/>
      <c r="BX233" s="175"/>
      <c r="BY233" s="88"/>
      <c r="FN233" s="50"/>
      <c r="FO233" s="47"/>
      <c r="FP233" s="47"/>
      <c r="FQ233" s="47"/>
      <c r="FR233" s="47"/>
    </row>
    <row r="234" spans="2:174" ht="11.25" customHeight="1">
      <c r="B234" s="137"/>
      <c r="C234" s="134"/>
      <c r="D234" s="372"/>
      <c r="E234" s="373"/>
      <c r="F234" s="374"/>
      <c r="G234" s="373"/>
      <c r="H234" s="373"/>
      <c r="I234" s="375"/>
      <c r="J234" s="88"/>
      <c r="AZ234" s="137"/>
      <c r="BA234" s="172"/>
      <c r="BB234" s="173"/>
      <c r="BC234" s="174"/>
      <c r="BD234" s="173"/>
      <c r="BE234" s="173"/>
      <c r="BF234" s="175"/>
      <c r="BG234" s="88"/>
      <c r="BI234" s="137"/>
      <c r="BJ234" s="172"/>
      <c r="BK234" s="173"/>
      <c r="BL234" s="174"/>
      <c r="BM234" s="173"/>
      <c r="BN234" s="173"/>
      <c r="BO234" s="175"/>
      <c r="BP234" s="88"/>
      <c r="BR234" s="137"/>
      <c r="BS234" s="172"/>
      <c r="BT234" s="173"/>
      <c r="BU234" s="174"/>
      <c r="BV234" s="173"/>
      <c r="BW234" s="173"/>
      <c r="BX234" s="175"/>
      <c r="BY234" s="88"/>
      <c r="FN234" s="50"/>
      <c r="FO234" s="47"/>
      <c r="FP234" s="47"/>
      <c r="FQ234" s="47"/>
      <c r="FR234" s="47"/>
    </row>
    <row r="235" spans="2:174" ht="11.25" customHeight="1">
      <c r="B235" s="137"/>
      <c r="C235" s="134"/>
      <c r="D235" s="372"/>
      <c r="E235" s="373"/>
      <c r="F235" s="374"/>
      <c r="G235" s="373"/>
      <c r="H235" s="373"/>
      <c r="I235" s="375"/>
      <c r="J235" s="88"/>
      <c r="AZ235" s="137"/>
      <c r="BA235" s="172"/>
      <c r="BB235" s="173"/>
      <c r="BC235" s="174"/>
      <c r="BD235" s="173"/>
      <c r="BE235" s="173"/>
      <c r="BF235" s="175"/>
      <c r="BG235" s="88"/>
      <c r="BI235" s="137"/>
      <c r="BJ235" s="172"/>
      <c r="BK235" s="173"/>
      <c r="BL235" s="174"/>
      <c r="BM235" s="173"/>
      <c r="BN235" s="173"/>
      <c r="BO235" s="175"/>
      <c r="BP235" s="88"/>
      <c r="BR235" s="137"/>
      <c r="BS235" s="172"/>
      <c r="BT235" s="173"/>
      <c r="BU235" s="174"/>
      <c r="BV235" s="173"/>
      <c r="BW235" s="173"/>
      <c r="BX235" s="175"/>
      <c r="BY235" s="88"/>
      <c r="FN235" s="50"/>
      <c r="FO235" s="47"/>
      <c r="FP235" s="47"/>
      <c r="FQ235" s="47"/>
      <c r="FR235" s="47"/>
    </row>
    <row r="236" spans="2:174" ht="11.25" customHeight="1">
      <c r="B236" s="137"/>
      <c r="C236" s="134"/>
      <c r="D236" s="372"/>
      <c r="E236" s="373"/>
      <c r="F236" s="374"/>
      <c r="G236" s="373"/>
      <c r="H236" s="373"/>
      <c r="I236" s="375"/>
      <c r="J236" s="88"/>
      <c r="AZ236" s="137"/>
      <c r="BA236" s="172"/>
      <c r="BB236" s="173"/>
      <c r="BC236" s="174"/>
      <c r="BD236" s="173"/>
      <c r="BE236" s="173"/>
      <c r="BF236" s="175"/>
      <c r="BG236" s="88"/>
      <c r="BI236" s="137"/>
      <c r="BJ236" s="172"/>
      <c r="BK236" s="173"/>
      <c r="BL236" s="174"/>
      <c r="BM236" s="173"/>
      <c r="BN236" s="173"/>
      <c r="BO236" s="175"/>
      <c r="BP236" s="88"/>
      <c r="BR236" s="137"/>
      <c r="BS236" s="172"/>
      <c r="BT236" s="173"/>
      <c r="BU236" s="174"/>
      <c r="BV236" s="173"/>
      <c r="BW236" s="173"/>
      <c r="BX236" s="175"/>
      <c r="BY236" s="88"/>
      <c r="FN236" s="50"/>
      <c r="FO236" s="47"/>
      <c r="FP236" s="47"/>
      <c r="FQ236" s="47"/>
      <c r="FR236" s="47"/>
    </row>
    <row r="237" spans="2:174" ht="11.25" customHeight="1">
      <c r="B237" s="137"/>
      <c r="C237" s="134"/>
      <c r="D237" s="372"/>
      <c r="E237" s="373"/>
      <c r="F237" s="374"/>
      <c r="G237" s="373"/>
      <c r="H237" s="373"/>
      <c r="I237" s="375"/>
      <c r="J237" s="88"/>
      <c r="AZ237" s="137"/>
      <c r="BA237" s="172"/>
      <c r="BB237" s="173"/>
      <c r="BC237" s="174"/>
      <c r="BD237" s="173"/>
      <c r="BE237" s="173"/>
      <c r="BF237" s="175"/>
      <c r="BG237" s="88"/>
      <c r="BI237" s="137"/>
      <c r="BJ237" s="172"/>
      <c r="BK237" s="173"/>
      <c r="BL237" s="174"/>
      <c r="BM237" s="173"/>
      <c r="BN237" s="173"/>
      <c r="BO237" s="175"/>
      <c r="BP237" s="88"/>
      <c r="BR237" s="137"/>
      <c r="BS237" s="172"/>
      <c r="BT237" s="173"/>
      <c r="BU237" s="174"/>
      <c r="BV237" s="173"/>
      <c r="BW237" s="173"/>
      <c r="BX237" s="175"/>
      <c r="BY237" s="88"/>
      <c r="FN237" s="50"/>
      <c r="FO237" s="47"/>
      <c r="FP237" s="47"/>
      <c r="FQ237" s="47"/>
      <c r="FR237" s="47"/>
    </row>
    <row r="238" spans="2:174" ht="11.25" customHeight="1">
      <c r="B238" s="137"/>
      <c r="C238" s="134"/>
      <c r="D238" s="372"/>
      <c r="E238" s="373"/>
      <c r="F238" s="374"/>
      <c r="G238" s="373"/>
      <c r="H238" s="373"/>
      <c r="I238" s="375"/>
      <c r="J238" s="88"/>
      <c r="AZ238" s="137"/>
      <c r="BA238" s="172"/>
      <c r="BB238" s="173"/>
      <c r="BC238" s="174"/>
      <c r="BD238" s="173"/>
      <c r="BE238" s="173"/>
      <c r="BF238" s="175"/>
      <c r="BG238" s="88"/>
      <c r="BI238" s="137"/>
      <c r="BJ238" s="172"/>
      <c r="BK238" s="173"/>
      <c r="BL238" s="174"/>
      <c r="BM238" s="173"/>
      <c r="BN238" s="173"/>
      <c r="BO238" s="175"/>
      <c r="BP238" s="88"/>
      <c r="BR238" s="137"/>
      <c r="BS238" s="172"/>
      <c r="BT238" s="173"/>
      <c r="BU238" s="174"/>
      <c r="BV238" s="173"/>
      <c r="BW238" s="173"/>
      <c r="BX238" s="175"/>
      <c r="BY238" s="88"/>
      <c r="FN238" s="50"/>
      <c r="FO238" s="47"/>
      <c r="FP238" s="47"/>
      <c r="FQ238" s="47"/>
      <c r="FR238" s="47"/>
    </row>
    <row r="239" spans="2:174" ht="11.25" customHeight="1">
      <c r="B239" s="137"/>
      <c r="C239" s="134"/>
      <c r="D239" s="372"/>
      <c r="E239" s="373"/>
      <c r="F239" s="374"/>
      <c r="G239" s="373"/>
      <c r="H239" s="373"/>
      <c r="I239" s="375"/>
      <c r="J239" s="88"/>
      <c r="AZ239" s="137"/>
      <c r="BA239" s="172"/>
      <c r="BB239" s="173"/>
      <c r="BC239" s="174"/>
      <c r="BD239" s="173"/>
      <c r="BE239" s="173"/>
      <c r="BF239" s="175"/>
      <c r="BG239" s="88"/>
      <c r="BI239" s="137"/>
      <c r="BJ239" s="172"/>
      <c r="BK239" s="173"/>
      <c r="BL239" s="174"/>
      <c r="BM239" s="173"/>
      <c r="BN239" s="173"/>
      <c r="BO239" s="175"/>
      <c r="BP239" s="88"/>
      <c r="BR239" s="137"/>
      <c r="BS239" s="172"/>
      <c r="BT239" s="173"/>
      <c r="BU239" s="174"/>
      <c r="BV239" s="173"/>
      <c r="BW239" s="173"/>
      <c r="BX239" s="175"/>
      <c r="BY239" s="88"/>
      <c r="FN239" s="50"/>
      <c r="FO239" s="47"/>
      <c r="FP239" s="47"/>
      <c r="FQ239" s="47"/>
      <c r="FR239" s="47"/>
    </row>
    <row r="240" spans="2:174" ht="11.25" customHeight="1">
      <c r="B240" s="137"/>
      <c r="C240" s="134"/>
      <c r="D240" s="372"/>
      <c r="E240" s="373"/>
      <c r="F240" s="374"/>
      <c r="G240" s="373"/>
      <c r="H240" s="373"/>
      <c r="I240" s="375"/>
      <c r="J240" s="88"/>
      <c r="AZ240" s="137"/>
      <c r="BA240" s="172"/>
      <c r="BB240" s="173"/>
      <c r="BC240" s="174"/>
      <c r="BD240" s="173"/>
      <c r="BE240" s="173"/>
      <c r="BF240" s="175"/>
      <c r="BG240" s="88"/>
      <c r="BI240" s="137"/>
      <c r="BJ240" s="172"/>
      <c r="BK240" s="173"/>
      <c r="BL240" s="174"/>
      <c r="BM240" s="173"/>
      <c r="BN240" s="173"/>
      <c r="BO240" s="175"/>
      <c r="BP240" s="88"/>
      <c r="BR240" s="137"/>
      <c r="BS240" s="172"/>
      <c r="BT240" s="173"/>
      <c r="BU240" s="174"/>
      <c r="BV240" s="173"/>
      <c r="BW240" s="173"/>
      <c r="BX240" s="175"/>
      <c r="BY240" s="88"/>
      <c r="FN240" s="50"/>
      <c r="FO240" s="47"/>
      <c r="FP240" s="47"/>
      <c r="FQ240" s="47"/>
      <c r="FR240" s="47"/>
    </row>
    <row r="241" spans="2:174" ht="11.25" customHeight="1">
      <c r="B241" s="137"/>
      <c r="C241" s="134"/>
      <c r="D241" s="372"/>
      <c r="E241" s="373"/>
      <c r="F241" s="374"/>
      <c r="G241" s="373"/>
      <c r="H241" s="373"/>
      <c r="I241" s="375"/>
      <c r="J241" s="88"/>
      <c r="AZ241" s="137"/>
      <c r="BA241" s="172"/>
      <c r="BB241" s="173"/>
      <c r="BC241" s="174"/>
      <c r="BD241" s="173"/>
      <c r="BE241" s="173"/>
      <c r="BF241" s="175"/>
      <c r="BG241" s="88"/>
      <c r="BI241" s="137"/>
      <c r="BJ241" s="172"/>
      <c r="BK241" s="173"/>
      <c r="BL241" s="174"/>
      <c r="BM241" s="173"/>
      <c r="BN241" s="173"/>
      <c r="BO241" s="175"/>
      <c r="BP241" s="88"/>
      <c r="BR241" s="137"/>
      <c r="BS241" s="172"/>
      <c r="BT241" s="173"/>
      <c r="BU241" s="174"/>
      <c r="BV241" s="173"/>
      <c r="BW241" s="173"/>
      <c r="BX241" s="175"/>
      <c r="BY241" s="88"/>
      <c r="FN241" s="50"/>
      <c r="FO241" s="47"/>
      <c r="FP241" s="47"/>
      <c r="FQ241" s="47"/>
      <c r="FR241" s="47"/>
    </row>
    <row r="242" spans="2:174" ht="11.25" customHeight="1">
      <c r="B242" s="137"/>
      <c r="C242" s="134"/>
      <c r="D242" s="372"/>
      <c r="E242" s="373"/>
      <c r="F242" s="374"/>
      <c r="G242" s="373"/>
      <c r="H242" s="373"/>
      <c r="I242" s="375"/>
      <c r="J242" s="88"/>
      <c r="AZ242" s="137"/>
      <c r="BA242" s="172"/>
      <c r="BB242" s="173"/>
      <c r="BC242" s="174"/>
      <c r="BD242" s="173"/>
      <c r="BE242" s="173"/>
      <c r="BF242" s="175"/>
      <c r="BG242" s="88"/>
      <c r="BI242" s="137"/>
      <c r="BJ242" s="172"/>
      <c r="BK242" s="173"/>
      <c r="BL242" s="174"/>
      <c r="BM242" s="173"/>
      <c r="BN242" s="173"/>
      <c r="BO242" s="175"/>
      <c r="BP242" s="88"/>
      <c r="BR242" s="137"/>
      <c r="BS242" s="172"/>
      <c r="BT242" s="173"/>
      <c r="BU242" s="174"/>
      <c r="BV242" s="173"/>
      <c r="BW242" s="173"/>
      <c r="BX242" s="175"/>
      <c r="BY242" s="88"/>
      <c r="FN242" s="50"/>
      <c r="FO242" s="47"/>
      <c r="FP242" s="47"/>
      <c r="FQ242" s="47"/>
      <c r="FR242" s="47"/>
    </row>
    <row r="243" spans="2:174" ht="11.25" customHeight="1">
      <c r="B243" s="137"/>
      <c r="C243" s="134"/>
      <c r="D243" s="372"/>
      <c r="E243" s="373"/>
      <c r="F243" s="374"/>
      <c r="G243" s="373"/>
      <c r="H243" s="373"/>
      <c r="I243" s="375"/>
      <c r="J243" s="88"/>
      <c r="AZ243" s="137"/>
      <c r="BA243" s="172"/>
      <c r="BB243" s="173"/>
      <c r="BC243" s="174"/>
      <c r="BD243" s="173"/>
      <c r="BE243" s="173"/>
      <c r="BF243" s="175"/>
      <c r="BG243" s="88"/>
      <c r="BI243" s="137"/>
      <c r="BJ243" s="172"/>
      <c r="BK243" s="173"/>
      <c r="BL243" s="174"/>
      <c r="BM243" s="173"/>
      <c r="BN243" s="173"/>
      <c r="BO243" s="175"/>
      <c r="BP243" s="88"/>
      <c r="BR243" s="137"/>
      <c r="BS243" s="172"/>
      <c r="BT243" s="173"/>
      <c r="BU243" s="174"/>
      <c r="BV243" s="173"/>
      <c r="BW243" s="173"/>
      <c r="BX243" s="175"/>
      <c r="BY243" s="88"/>
      <c r="FN243" s="50"/>
      <c r="FO243" s="47"/>
      <c r="FP243" s="47"/>
      <c r="FQ243" s="47"/>
      <c r="FR243" s="47"/>
    </row>
    <row r="244" spans="2:174" ht="11.25" customHeight="1">
      <c r="B244" s="137"/>
      <c r="C244" s="134"/>
      <c r="D244" s="372"/>
      <c r="E244" s="373"/>
      <c r="F244" s="374"/>
      <c r="G244" s="373"/>
      <c r="H244" s="373"/>
      <c r="I244" s="375"/>
      <c r="J244" s="88"/>
      <c r="AZ244" s="137"/>
      <c r="BA244" s="172"/>
      <c r="BB244" s="173"/>
      <c r="BC244" s="174"/>
      <c r="BD244" s="173"/>
      <c r="BE244" s="173"/>
      <c r="BF244" s="175"/>
      <c r="BG244" s="88"/>
      <c r="BI244" s="137"/>
      <c r="BJ244" s="172"/>
      <c r="BK244" s="173"/>
      <c r="BL244" s="174"/>
      <c r="BM244" s="173"/>
      <c r="BN244" s="173"/>
      <c r="BO244" s="175"/>
      <c r="BP244" s="88"/>
      <c r="BR244" s="137"/>
      <c r="BS244" s="172"/>
      <c r="BT244" s="173"/>
      <c r="BU244" s="174"/>
      <c r="BV244" s="173"/>
      <c r="BW244" s="173"/>
      <c r="BX244" s="175"/>
      <c r="BY244" s="88"/>
      <c r="FN244" s="50"/>
      <c r="FO244" s="47"/>
      <c r="FP244" s="47"/>
      <c r="FQ244" s="47"/>
      <c r="FR244" s="47"/>
    </row>
    <row r="245" spans="2:174" ht="11.25" customHeight="1">
      <c r="B245" s="137"/>
      <c r="C245" s="134"/>
      <c r="D245" s="372"/>
      <c r="E245" s="373"/>
      <c r="F245" s="374"/>
      <c r="G245" s="373"/>
      <c r="H245" s="373"/>
      <c r="I245" s="375"/>
      <c r="J245" s="88"/>
      <c r="AZ245" s="137"/>
      <c r="BA245" s="172"/>
      <c r="BB245" s="173"/>
      <c r="BC245" s="174"/>
      <c r="BD245" s="173"/>
      <c r="BE245" s="173"/>
      <c r="BF245" s="175"/>
      <c r="BG245" s="88"/>
      <c r="BI245" s="137"/>
      <c r="BJ245" s="172"/>
      <c r="BK245" s="173"/>
      <c r="BL245" s="174"/>
      <c r="BM245" s="173"/>
      <c r="BN245" s="173"/>
      <c r="BO245" s="175"/>
      <c r="BP245" s="88"/>
      <c r="BR245" s="137"/>
      <c r="BS245" s="172"/>
      <c r="BT245" s="173"/>
      <c r="BU245" s="174"/>
      <c r="BV245" s="173"/>
      <c r="BW245" s="173"/>
      <c r="BX245" s="175"/>
      <c r="BY245" s="88"/>
      <c r="FN245" s="50"/>
      <c r="FO245" s="47"/>
      <c r="FP245" s="47"/>
      <c r="FQ245" s="47"/>
      <c r="FR245" s="47"/>
    </row>
    <row r="246" spans="2:174" ht="11.25" customHeight="1">
      <c r="B246" s="137"/>
      <c r="C246" s="134"/>
      <c r="D246" s="372"/>
      <c r="E246" s="373"/>
      <c r="F246" s="374"/>
      <c r="G246" s="373"/>
      <c r="H246" s="373"/>
      <c r="I246" s="375"/>
      <c r="J246" s="88"/>
      <c r="AZ246" s="137"/>
      <c r="BA246" s="172"/>
      <c r="BB246" s="173"/>
      <c r="BC246" s="174"/>
      <c r="BD246" s="173"/>
      <c r="BE246" s="173"/>
      <c r="BF246" s="175"/>
      <c r="BG246" s="88"/>
      <c r="BI246" s="137"/>
      <c r="BJ246" s="172"/>
      <c r="BK246" s="173"/>
      <c r="BL246" s="174"/>
      <c r="BM246" s="173"/>
      <c r="BN246" s="173"/>
      <c r="BO246" s="175"/>
      <c r="BP246" s="88"/>
      <c r="BR246" s="137"/>
      <c r="BS246" s="172"/>
      <c r="BT246" s="173"/>
      <c r="BU246" s="174"/>
      <c r="BV246" s="173"/>
      <c r="BW246" s="173"/>
      <c r="BX246" s="175"/>
      <c r="BY246" s="88"/>
      <c r="FN246" s="50"/>
      <c r="FO246" s="47"/>
      <c r="FP246" s="47"/>
      <c r="FQ246" s="47"/>
      <c r="FR246" s="47"/>
    </row>
    <row r="247" spans="2:174" ht="11.25" customHeight="1">
      <c r="B247" s="137"/>
      <c r="C247" s="134"/>
      <c r="D247" s="372"/>
      <c r="E247" s="373"/>
      <c r="F247" s="374"/>
      <c r="G247" s="373"/>
      <c r="H247" s="373"/>
      <c r="I247" s="375"/>
      <c r="J247" s="88"/>
      <c r="AZ247" s="137"/>
      <c r="BA247" s="172"/>
      <c r="BB247" s="173"/>
      <c r="BC247" s="174"/>
      <c r="BD247" s="173"/>
      <c r="BE247" s="173"/>
      <c r="BF247" s="175"/>
      <c r="BG247" s="88"/>
      <c r="BI247" s="137"/>
      <c r="BJ247" s="172"/>
      <c r="BK247" s="173"/>
      <c r="BL247" s="174"/>
      <c r="BM247" s="173"/>
      <c r="BN247" s="173"/>
      <c r="BO247" s="175"/>
      <c r="BP247" s="88"/>
      <c r="BR247" s="137"/>
      <c r="BS247" s="172"/>
      <c r="BT247" s="173"/>
      <c r="BU247" s="174"/>
      <c r="BV247" s="173"/>
      <c r="BW247" s="173"/>
      <c r="BX247" s="175"/>
      <c r="BY247" s="88"/>
      <c r="FN247" s="50"/>
      <c r="FO247" s="47"/>
      <c r="FP247" s="47"/>
      <c r="FQ247" s="47"/>
      <c r="FR247" s="47"/>
    </row>
    <row r="248" spans="2:174" ht="11.25" customHeight="1">
      <c r="B248" s="137"/>
      <c r="C248" s="134"/>
      <c r="D248" s="372"/>
      <c r="E248" s="373"/>
      <c r="F248" s="374"/>
      <c r="G248" s="373"/>
      <c r="H248" s="373"/>
      <c r="I248" s="375"/>
      <c r="J248" s="88"/>
      <c r="AZ248" s="137"/>
      <c r="BA248" s="172"/>
      <c r="BB248" s="173"/>
      <c r="BC248" s="174"/>
      <c r="BD248" s="173"/>
      <c r="BE248" s="173"/>
      <c r="BF248" s="175"/>
      <c r="BG248" s="88"/>
      <c r="BI248" s="137"/>
      <c r="BJ248" s="172"/>
      <c r="BK248" s="173"/>
      <c r="BL248" s="174"/>
      <c r="BM248" s="173"/>
      <c r="BN248" s="173"/>
      <c r="BO248" s="175"/>
      <c r="BP248" s="88"/>
      <c r="BR248" s="137"/>
      <c r="BS248" s="172"/>
      <c r="BT248" s="173"/>
      <c r="BU248" s="174"/>
      <c r="BV248" s="173"/>
      <c r="BW248" s="173"/>
      <c r="BX248" s="175"/>
      <c r="BY248" s="88"/>
      <c r="FN248" s="50"/>
      <c r="FO248" s="47"/>
      <c r="FP248" s="47"/>
      <c r="FQ248" s="47"/>
      <c r="FR248" s="47"/>
    </row>
    <row r="249" spans="2:174" ht="11.25" customHeight="1">
      <c r="B249" s="137"/>
      <c r="C249" s="134"/>
      <c r="D249" s="372"/>
      <c r="E249" s="373"/>
      <c r="F249" s="374"/>
      <c r="G249" s="373"/>
      <c r="H249" s="373"/>
      <c r="I249" s="375"/>
      <c r="J249" s="88"/>
      <c r="AZ249" s="137"/>
      <c r="BA249" s="172"/>
      <c r="BB249" s="173"/>
      <c r="BC249" s="174"/>
      <c r="BD249" s="173"/>
      <c r="BE249" s="173"/>
      <c r="BF249" s="175"/>
      <c r="BG249" s="88"/>
      <c r="BI249" s="137"/>
      <c r="BJ249" s="172"/>
      <c r="BK249" s="173"/>
      <c r="BL249" s="174"/>
      <c r="BM249" s="173"/>
      <c r="BN249" s="173"/>
      <c r="BO249" s="175"/>
      <c r="BP249" s="88"/>
      <c r="BR249" s="137"/>
      <c r="BS249" s="172"/>
      <c r="BT249" s="173"/>
      <c r="BU249" s="174"/>
      <c r="BV249" s="173"/>
      <c r="BW249" s="173"/>
      <c r="BX249" s="175"/>
      <c r="BY249" s="88"/>
      <c r="FN249" s="50"/>
      <c r="FO249" s="47"/>
      <c r="FP249" s="47"/>
      <c r="FQ249" s="47"/>
      <c r="FR249" s="47"/>
    </row>
    <row r="250" spans="2:174" ht="11.25" customHeight="1">
      <c r="B250" s="137"/>
      <c r="C250" s="134"/>
      <c r="D250" s="372"/>
      <c r="E250" s="373"/>
      <c r="F250" s="374"/>
      <c r="G250" s="373"/>
      <c r="H250" s="373"/>
      <c r="I250" s="375"/>
      <c r="J250" s="88"/>
      <c r="AZ250" s="137"/>
      <c r="BA250" s="172"/>
      <c r="BB250" s="173"/>
      <c r="BC250" s="174"/>
      <c r="BD250" s="173"/>
      <c r="BE250" s="173"/>
      <c r="BF250" s="175"/>
      <c r="BG250" s="88"/>
      <c r="BI250" s="137"/>
      <c r="BJ250" s="172"/>
      <c r="BK250" s="173"/>
      <c r="BL250" s="174"/>
      <c r="BM250" s="173"/>
      <c r="BN250" s="173"/>
      <c r="BO250" s="175"/>
      <c r="BP250" s="88"/>
      <c r="BR250" s="137"/>
      <c r="BS250" s="172"/>
      <c r="BT250" s="173"/>
      <c r="BU250" s="174"/>
      <c r="BV250" s="173"/>
      <c r="BW250" s="173"/>
      <c r="BX250" s="175"/>
      <c r="BY250" s="88"/>
      <c r="FN250" s="50"/>
      <c r="FO250" s="47"/>
      <c r="FP250" s="47"/>
      <c r="FQ250" s="47"/>
      <c r="FR250" s="47"/>
    </row>
    <row r="251" spans="2:174" ht="11.25" customHeight="1">
      <c r="B251" s="137"/>
      <c r="C251" s="134"/>
      <c r="D251" s="372"/>
      <c r="E251" s="373"/>
      <c r="F251" s="374"/>
      <c r="G251" s="373"/>
      <c r="H251" s="373"/>
      <c r="I251" s="375"/>
      <c r="J251" s="88"/>
      <c r="AZ251" s="137"/>
      <c r="BA251" s="172"/>
      <c r="BB251" s="173"/>
      <c r="BC251" s="174"/>
      <c r="BD251" s="173"/>
      <c r="BE251" s="173"/>
      <c r="BF251" s="175"/>
      <c r="BG251" s="88"/>
      <c r="BI251" s="137"/>
      <c r="BJ251" s="172"/>
      <c r="BK251" s="173"/>
      <c r="BL251" s="174"/>
      <c r="BM251" s="173"/>
      <c r="BN251" s="173"/>
      <c r="BO251" s="175"/>
      <c r="BP251" s="88"/>
      <c r="BR251" s="137"/>
      <c r="BS251" s="172"/>
      <c r="BT251" s="173"/>
      <c r="BU251" s="174"/>
      <c r="BV251" s="173"/>
      <c r="BW251" s="173"/>
      <c r="BX251" s="175"/>
      <c r="BY251" s="88"/>
      <c r="FN251" s="50"/>
      <c r="FO251" s="47"/>
      <c r="FP251" s="47"/>
      <c r="FQ251" s="47"/>
      <c r="FR251" s="47"/>
    </row>
    <row r="252" spans="2:174" ht="11.25" customHeight="1">
      <c r="B252" s="137"/>
      <c r="C252" s="134"/>
      <c r="D252" s="372"/>
      <c r="E252" s="373"/>
      <c r="F252" s="374"/>
      <c r="G252" s="373"/>
      <c r="H252" s="373"/>
      <c r="I252" s="375"/>
      <c r="J252" s="88"/>
      <c r="AZ252" s="137"/>
      <c r="BA252" s="172"/>
      <c r="BB252" s="173"/>
      <c r="BC252" s="174"/>
      <c r="BD252" s="173"/>
      <c r="BE252" s="173"/>
      <c r="BF252" s="175"/>
      <c r="BG252" s="88"/>
      <c r="BI252" s="137"/>
      <c r="BJ252" s="172"/>
      <c r="BK252" s="173"/>
      <c r="BL252" s="174"/>
      <c r="BM252" s="173"/>
      <c r="BN252" s="173"/>
      <c r="BO252" s="175"/>
      <c r="BP252" s="88"/>
      <c r="BR252" s="137"/>
      <c r="BS252" s="172"/>
      <c r="BT252" s="173"/>
      <c r="BU252" s="174"/>
      <c r="BV252" s="173"/>
      <c r="BW252" s="173"/>
      <c r="BX252" s="175"/>
      <c r="BY252" s="88"/>
      <c r="FN252" s="50"/>
      <c r="FO252" s="47"/>
      <c r="FP252" s="47"/>
      <c r="FQ252" s="47"/>
      <c r="FR252" s="47"/>
    </row>
    <row r="253" spans="2:174" ht="11.25" customHeight="1">
      <c r="B253" s="137"/>
      <c r="C253" s="134"/>
      <c r="D253" s="372"/>
      <c r="E253" s="373"/>
      <c r="F253" s="374"/>
      <c r="G253" s="373"/>
      <c r="H253" s="373"/>
      <c r="I253" s="375"/>
      <c r="J253" s="88"/>
      <c r="AZ253" s="137"/>
      <c r="BA253" s="172"/>
      <c r="BB253" s="173"/>
      <c r="BC253" s="174"/>
      <c r="BD253" s="173"/>
      <c r="BE253" s="173"/>
      <c r="BF253" s="175"/>
      <c r="BG253" s="88"/>
      <c r="BI253" s="137"/>
      <c r="BJ253" s="172"/>
      <c r="BK253" s="173"/>
      <c r="BL253" s="174"/>
      <c r="BM253" s="173"/>
      <c r="BN253" s="173"/>
      <c r="BO253" s="175"/>
      <c r="BP253" s="88"/>
      <c r="BR253" s="137"/>
      <c r="BS253" s="172"/>
      <c r="BT253" s="173"/>
      <c r="BU253" s="174"/>
      <c r="BV253" s="173"/>
      <c r="BW253" s="173"/>
      <c r="BX253" s="175"/>
      <c r="BY253" s="88"/>
      <c r="FN253" s="50"/>
      <c r="FO253" s="47"/>
      <c r="FP253" s="47"/>
      <c r="FQ253" s="47"/>
      <c r="FR253" s="47"/>
    </row>
    <row r="254" spans="2:174" ht="11.25" customHeight="1">
      <c r="B254" s="137"/>
      <c r="C254" s="134"/>
      <c r="D254" s="372"/>
      <c r="E254" s="373"/>
      <c r="F254" s="374"/>
      <c r="G254" s="373"/>
      <c r="H254" s="373"/>
      <c r="I254" s="375"/>
      <c r="J254" s="88"/>
      <c r="AZ254" s="137"/>
      <c r="BA254" s="172"/>
      <c r="BB254" s="173"/>
      <c r="BC254" s="174"/>
      <c r="BD254" s="173"/>
      <c r="BE254" s="173"/>
      <c r="BF254" s="175"/>
      <c r="BG254" s="88"/>
      <c r="BI254" s="137"/>
      <c r="BJ254" s="172"/>
      <c r="BK254" s="173"/>
      <c r="BL254" s="174"/>
      <c r="BM254" s="173"/>
      <c r="BN254" s="173"/>
      <c r="BO254" s="175"/>
      <c r="BP254" s="88"/>
      <c r="BR254" s="137"/>
      <c r="BS254" s="172"/>
      <c r="BT254" s="173"/>
      <c r="BU254" s="174"/>
      <c r="BV254" s="173"/>
      <c r="BW254" s="173"/>
      <c r="BX254" s="175"/>
      <c r="BY254" s="88"/>
      <c r="FN254" s="50"/>
      <c r="FO254" s="47"/>
      <c r="FP254" s="47"/>
      <c r="FQ254" s="47"/>
      <c r="FR254" s="47"/>
    </row>
    <row r="255" spans="2:174" ht="11.25" customHeight="1">
      <c r="B255" s="137"/>
      <c r="C255" s="134"/>
      <c r="D255" s="372"/>
      <c r="E255" s="373"/>
      <c r="F255" s="374"/>
      <c r="G255" s="373"/>
      <c r="H255" s="373"/>
      <c r="I255" s="375"/>
      <c r="J255" s="88"/>
      <c r="AZ255" s="137"/>
      <c r="BA255" s="172"/>
      <c r="BB255" s="173"/>
      <c r="BC255" s="174"/>
      <c r="BD255" s="173"/>
      <c r="BE255" s="173"/>
      <c r="BF255" s="175"/>
      <c r="BG255" s="88"/>
      <c r="BI255" s="137"/>
      <c r="BJ255" s="172"/>
      <c r="BK255" s="173"/>
      <c r="BL255" s="174"/>
      <c r="BM255" s="173"/>
      <c r="BN255" s="173"/>
      <c r="BO255" s="175"/>
      <c r="BP255" s="88"/>
      <c r="BR255" s="137"/>
      <c r="BS255" s="172"/>
      <c r="BT255" s="173"/>
      <c r="BU255" s="174"/>
      <c r="BV255" s="173"/>
      <c r="BW255" s="173"/>
      <c r="BX255" s="175"/>
      <c r="BY255" s="88"/>
      <c r="FN255" s="50"/>
      <c r="FO255" s="47"/>
      <c r="FP255" s="47"/>
      <c r="FQ255" s="47"/>
      <c r="FR255" s="47"/>
    </row>
    <row r="256" spans="2:174" ht="11.25" customHeight="1">
      <c r="B256" s="137"/>
      <c r="C256" s="134"/>
      <c r="D256" s="372"/>
      <c r="E256" s="373"/>
      <c r="F256" s="374"/>
      <c r="G256" s="373"/>
      <c r="H256" s="373"/>
      <c r="I256" s="375"/>
      <c r="J256" s="88"/>
      <c r="AZ256" s="137"/>
      <c r="BA256" s="172"/>
      <c r="BB256" s="173"/>
      <c r="BC256" s="174"/>
      <c r="BD256" s="173"/>
      <c r="BE256" s="173"/>
      <c r="BF256" s="175"/>
      <c r="BG256" s="88"/>
      <c r="BI256" s="137"/>
      <c r="BJ256" s="172"/>
      <c r="BK256" s="173"/>
      <c r="BL256" s="174"/>
      <c r="BM256" s="173"/>
      <c r="BN256" s="173"/>
      <c r="BO256" s="175"/>
      <c r="BP256" s="88"/>
      <c r="BR256" s="137"/>
      <c r="BS256" s="172"/>
      <c r="BT256" s="173"/>
      <c r="BU256" s="174"/>
      <c r="BV256" s="173"/>
      <c r="BW256" s="173"/>
      <c r="BX256" s="175"/>
      <c r="BY256" s="88"/>
      <c r="FN256" s="50"/>
      <c r="FO256" s="47"/>
      <c r="FP256" s="47"/>
      <c r="FQ256" s="47"/>
      <c r="FR256" s="47"/>
    </row>
    <row r="257" spans="2:174" ht="11.25" customHeight="1">
      <c r="B257" s="137"/>
      <c r="C257" s="134"/>
      <c r="D257" s="372"/>
      <c r="E257" s="373"/>
      <c r="F257" s="374"/>
      <c r="G257" s="373"/>
      <c r="H257" s="373"/>
      <c r="I257" s="375"/>
      <c r="J257" s="88"/>
      <c r="AZ257" s="137"/>
      <c r="BA257" s="172"/>
      <c r="BB257" s="173"/>
      <c r="BC257" s="174"/>
      <c r="BD257" s="173"/>
      <c r="BE257" s="173"/>
      <c r="BF257" s="175"/>
      <c r="BG257" s="88"/>
      <c r="BI257" s="137"/>
      <c r="BJ257" s="172"/>
      <c r="BK257" s="173"/>
      <c r="BL257" s="174"/>
      <c r="BM257" s="173"/>
      <c r="BN257" s="173"/>
      <c r="BO257" s="175"/>
      <c r="BP257" s="88"/>
      <c r="BR257" s="137"/>
      <c r="BS257" s="172"/>
      <c r="BT257" s="173"/>
      <c r="BU257" s="174"/>
      <c r="BV257" s="173"/>
      <c r="BW257" s="173"/>
      <c r="BX257" s="175"/>
      <c r="BY257" s="88"/>
      <c r="FN257" s="50"/>
      <c r="FO257" s="47"/>
      <c r="FP257" s="47"/>
      <c r="FQ257" s="47"/>
      <c r="FR257" s="47"/>
    </row>
    <row r="258" spans="2:174" ht="11.25" customHeight="1">
      <c r="B258" s="137"/>
      <c r="C258" s="134"/>
      <c r="D258" s="372"/>
      <c r="E258" s="373"/>
      <c r="F258" s="374"/>
      <c r="G258" s="373"/>
      <c r="H258" s="373"/>
      <c r="I258" s="375"/>
      <c r="J258" s="88"/>
      <c r="AZ258" s="137"/>
      <c r="BA258" s="172"/>
      <c r="BB258" s="173"/>
      <c r="BC258" s="174"/>
      <c r="BD258" s="173"/>
      <c r="BE258" s="173"/>
      <c r="BF258" s="175"/>
      <c r="BG258" s="88"/>
      <c r="BI258" s="137"/>
      <c r="BJ258" s="172"/>
      <c r="BK258" s="173"/>
      <c r="BL258" s="174"/>
      <c r="BM258" s="173"/>
      <c r="BN258" s="173"/>
      <c r="BO258" s="175"/>
      <c r="BP258" s="88"/>
      <c r="BR258" s="137"/>
      <c r="BS258" s="172"/>
      <c r="BT258" s="173"/>
      <c r="BU258" s="174"/>
      <c r="BV258" s="173"/>
      <c r="BW258" s="173"/>
      <c r="BX258" s="175"/>
      <c r="BY258" s="88"/>
      <c r="FN258" s="50"/>
      <c r="FO258" s="47"/>
      <c r="FP258" s="47"/>
      <c r="FQ258" s="47"/>
      <c r="FR258" s="47"/>
    </row>
    <row r="259" spans="2:174" ht="11.25" customHeight="1">
      <c r="B259" s="137"/>
      <c r="C259" s="134"/>
      <c r="D259" s="372"/>
      <c r="E259" s="373"/>
      <c r="F259" s="374"/>
      <c r="G259" s="373"/>
      <c r="H259" s="373"/>
      <c r="I259" s="375"/>
      <c r="J259" s="88"/>
      <c r="AZ259" s="137"/>
      <c r="BA259" s="172"/>
      <c r="BB259" s="173"/>
      <c r="BC259" s="174"/>
      <c r="BD259" s="173"/>
      <c r="BE259" s="173"/>
      <c r="BF259" s="175"/>
      <c r="BG259" s="88"/>
      <c r="BI259" s="137"/>
      <c r="BJ259" s="172"/>
      <c r="BK259" s="173"/>
      <c r="BL259" s="174"/>
      <c r="BM259" s="173"/>
      <c r="BN259" s="173"/>
      <c r="BO259" s="175"/>
      <c r="BP259" s="88"/>
      <c r="BR259" s="137"/>
      <c r="BS259" s="172"/>
      <c r="BT259" s="173"/>
      <c r="BU259" s="174"/>
      <c r="BV259" s="173"/>
      <c r="BW259" s="173"/>
      <c r="BX259" s="175"/>
      <c r="BY259" s="88"/>
      <c r="FN259" s="50"/>
      <c r="FO259" s="47"/>
      <c r="FP259" s="47"/>
      <c r="FQ259" s="47"/>
      <c r="FR259" s="47"/>
    </row>
    <row r="260" spans="2:174" ht="11.25" customHeight="1">
      <c r="B260" s="137"/>
      <c r="C260" s="134"/>
      <c r="D260" s="372"/>
      <c r="E260" s="373"/>
      <c r="F260" s="374"/>
      <c r="G260" s="373"/>
      <c r="H260" s="373"/>
      <c r="I260" s="375"/>
      <c r="J260" s="88"/>
      <c r="AZ260" s="137"/>
      <c r="BA260" s="172"/>
      <c r="BB260" s="173"/>
      <c r="BC260" s="174"/>
      <c r="BD260" s="173"/>
      <c r="BE260" s="173"/>
      <c r="BF260" s="175"/>
      <c r="BG260" s="88"/>
      <c r="BI260" s="137"/>
      <c r="BJ260" s="172"/>
      <c r="BK260" s="173"/>
      <c r="BL260" s="174"/>
      <c r="BM260" s="173"/>
      <c r="BN260" s="173"/>
      <c r="BO260" s="175"/>
      <c r="BP260" s="88"/>
      <c r="BR260" s="137"/>
      <c r="BS260" s="172"/>
      <c r="BT260" s="173"/>
      <c r="BU260" s="174"/>
      <c r="BV260" s="173"/>
      <c r="BW260" s="173"/>
      <c r="BX260" s="175"/>
      <c r="BY260" s="88"/>
      <c r="FN260" s="50"/>
      <c r="FO260" s="47"/>
      <c r="FP260" s="47"/>
      <c r="FQ260" s="47"/>
      <c r="FR260" s="47"/>
    </row>
    <row r="261" spans="2:174" ht="11.25" customHeight="1">
      <c r="B261" s="137"/>
      <c r="C261" s="134"/>
      <c r="D261" s="372"/>
      <c r="E261" s="373"/>
      <c r="F261" s="374"/>
      <c r="G261" s="373"/>
      <c r="H261" s="373"/>
      <c r="I261" s="375"/>
      <c r="J261" s="88"/>
      <c r="AZ261" s="137"/>
      <c r="BA261" s="172"/>
      <c r="BB261" s="173"/>
      <c r="BC261" s="174"/>
      <c r="BD261" s="173"/>
      <c r="BE261" s="173"/>
      <c r="BF261" s="175"/>
      <c r="BG261" s="88"/>
      <c r="BI261" s="137"/>
      <c r="BJ261" s="172"/>
      <c r="BK261" s="173"/>
      <c r="BL261" s="174"/>
      <c r="BM261" s="173"/>
      <c r="BN261" s="173"/>
      <c r="BO261" s="175"/>
      <c r="BP261" s="88"/>
      <c r="BR261" s="137"/>
      <c r="BS261" s="172"/>
      <c r="BT261" s="173"/>
      <c r="BU261" s="174"/>
      <c r="BV261" s="173"/>
      <c r="BW261" s="173"/>
      <c r="BX261" s="175"/>
      <c r="BY261" s="88"/>
      <c r="FN261" s="50"/>
      <c r="FO261" s="47"/>
      <c r="FP261" s="47"/>
      <c r="FQ261" s="47"/>
      <c r="FR261" s="47"/>
    </row>
    <row r="262" spans="2:174" ht="11.25" customHeight="1">
      <c r="B262" s="137"/>
      <c r="C262" s="134"/>
      <c r="D262" s="372"/>
      <c r="E262" s="373"/>
      <c r="F262" s="374"/>
      <c r="G262" s="373"/>
      <c r="H262" s="373"/>
      <c r="I262" s="375"/>
      <c r="J262" s="88"/>
      <c r="AZ262" s="137"/>
      <c r="BA262" s="172"/>
      <c r="BB262" s="173"/>
      <c r="BC262" s="174"/>
      <c r="BD262" s="173"/>
      <c r="BE262" s="173"/>
      <c r="BF262" s="175"/>
      <c r="BG262" s="88"/>
      <c r="BI262" s="137"/>
      <c r="BJ262" s="172"/>
      <c r="BK262" s="173"/>
      <c r="BL262" s="174"/>
      <c r="BM262" s="173"/>
      <c r="BN262" s="173"/>
      <c r="BO262" s="175"/>
      <c r="BP262" s="88"/>
      <c r="BR262" s="137"/>
      <c r="BS262" s="172"/>
      <c r="BT262" s="173"/>
      <c r="BU262" s="174"/>
      <c r="BV262" s="173"/>
      <c r="BW262" s="173"/>
      <c r="BX262" s="175"/>
      <c r="BY262" s="88"/>
      <c r="FN262" s="50"/>
      <c r="FO262" s="47"/>
      <c r="FP262" s="47"/>
      <c r="FQ262" s="47"/>
      <c r="FR262" s="47"/>
    </row>
    <row r="263" spans="2:174" ht="11.25" customHeight="1">
      <c r="B263" s="137"/>
      <c r="C263" s="134"/>
      <c r="D263" s="372"/>
      <c r="E263" s="373"/>
      <c r="F263" s="374"/>
      <c r="G263" s="373"/>
      <c r="H263" s="373"/>
      <c r="I263" s="375"/>
      <c r="J263" s="88"/>
      <c r="AZ263" s="137"/>
      <c r="BA263" s="172"/>
      <c r="BB263" s="173"/>
      <c r="BC263" s="174"/>
      <c r="BD263" s="173"/>
      <c r="BE263" s="173"/>
      <c r="BF263" s="175"/>
      <c r="BG263" s="88"/>
      <c r="BI263" s="137"/>
      <c r="BJ263" s="172"/>
      <c r="BK263" s="173"/>
      <c r="BL263" s="174"/>
      <c r="BM263" s="173"/>
      <c r="BN263" s="173"/>
      <c r="BO263" s="175"/>
      <c r="BP263" s="88"/>
      <c r="BR263" s="137"/>
      <c r="BS263" s="172"/>
      <c r="BT263" s="173"/>
      <c r="BU263" s="174"/>
      <c r="BV263" s="173"/>
      <c r="BW263" s="173"/>
      <c r="BX263" s="175"/>
      <c r="BY263" s="88"/>
      <c r="FN263" s="50"/>
      <c r="FO263" s="47"/>
      <c r="FP263" s="47"/>
      <c r="FQ263" s="47"/>
      <c r="FR263" s="47"/>
    </row>
    <row r="264" spans="2:174" ht="11.25" customHeight="1">
      <c r="B264" s="137"/>
      <c r="C264" s="134"/>
      <c r="D264" s="372"/>
      <c r="E264" s="373"/>
      <c r="F264" s="374"/>
      <c r="G264" s="373"/>
      <c r="H264" s="373"/>
      <c r="I264" s="375"/>
      <c r="J264" s="88"/>
      <c r="AZ264" s="137"/>
      <c r="BA264" s="172"/>
      <c r="BB264" s="173"/>
      <c r="BC264" s="174"/>
      <c r="BD264" s="173"/>
      <c r="BE264" s="173"/>
      <c r="BF264" s="175"/>
      <c r="BG264" s="88"/>
      <c r="BI264" s="137"/>
      <c r="BJ264" s="172"/>
      <c r="BK264" s="173"/>
      <c r="BL264" s="174"/>
      <c r="BM264" s="173"/>
      <c r="BN264" s="173"/>
      <c r="BO264" s="175"/>
      <c r="BP264" s="88"/>
      <c r="BR264" s="137"/>
      <c r="BS264" s="172"/>
      <c r="BT264" s="173"/>
      <c r="BU264" s="174"/>
      <c r="BV264" s="173"/>
      <c r="BW264" s="173"/>
      <c r="BX264" s="175"/>
      <c r="BY264" s="88"/>
      <c r="FN264" s="50"/>
      <c r="FO264" s="47"/>
      <c r="FP264" s="47"/>
      <c r="FQ264" s="47"/>
      <c r="FR264" s="47"/>
    </row>
    <row r="265" spans="2:174" ht="11.25" customHeight="1">
      <c r="B265" s="137"/>
      <c r="C265" s="134"/>
      <c r="D265" s="372"/>
      <c r="E265" s="373"/>
      <c r="F265" s="374"/>
      <c r="G265" s="373"/>
      <c r="H265" s="373"/>
      <c r="I265" s="375"/>
      <c r="J265" s="88"/>
      <c r="AZ265" s="137"/>
      <c r="BA265" s="172"/>
      <c r="BB265" s="173"/>
      <c r="BC265" s="174"/>
      <c r="BD265" s="173"/>
      <c r="BE265" s="173"/>
      <c r="BF265" s="175"/>
      <c r="BG265" s="88"/>
      <c r="BI265" s="137"/>
      <c r="BJ265" s="172"/>
      <c r="BK265" s="173"/>
      <c r="BL265" s="174"/>
      <c r="BM265" s="173"/>
      <c r="BN265" s="173"/>
      <c r="BO265" s="175"/>
      <c r="BP265" s="88"/>
      <c r="BR265" s="137"/>
      <c r="BS265" s="172"/>
      <c r="BT265" s="173"/>
      <c r="BU265" s="174"/>
      <c r="BV265" s="173"/>
      <c r="BW265" s="173"/>
      <c r="BX265" s="175"/>
      <c r="BY265" s="88"/>
      <c r="FN265" s="50"/>
      <c r="FO265" s="47"/>
      <c r="FP265" s="47"/>
      <c r="FQ265" s="47"/>
      <c r="FR265" s="47"/>
    </row>
    <row r="266" spans="2:174" ht="11.25" customHeight="1">
      <c r="B266" s="137"/>
      <c r="C266" s="134"/>
      <c r="D266" s="372"/>
      <c r="E266" s="373"/>
      <c r="F266" s="374"/>
      <c r="G266" s="373"/>
      <c r="H266" s="373"/>
      <c r="I266" s="375"/>
      <c r="J266" s="88"/>
      <c r="AZ266" s="137"/>
      <c r="BA266" s="172"/>
      <c r="BB266" s="173"/>
      <c r="BC266" s="174"/>
      <c r="BD266" s="173"/>
      <c r="BE266" s="173"/>
      <c r="BF266" s="175"/>
      <c r="BG266" s="88"/>
      <c r="BI266" s="137"/>
      <c r="BJ266" s="172"/>
      <c r="BK266" s="173"/>
      <c r="BL266" s="174"/>
      <c r="BM266" s="173"/>
      <c r="BN266" s="173"/>
      <c r="BO266" s="175"/>
      <c r="BP266" s="88"/>
      <c r="BR266" s="137"/>
      <c r="BS266" s="172"/>
      <c r="BT266" s="173"/>
      <c r="BU266" s="174"/>
      <c r="BV266" s="173"/>
      <c r="BW266" s="173"/>
      <c r="BX266" s="175"/>
      <c r="BY266" s="88"/>
      <c r="FN266" s="50"/>
      <c r="FO266" s="47"/>
      <c r="FP266" s="47"/>
      <c r="FQ266" s="47"/>
      <c r="FR266" s="47"/>
    </row>
    <row r="267" spans="2:174" ht="11.25" customHeight="1">
      <c r="B267" s="137"/>
      <c r="C267" s="134"/>
      <c r="D267" s="372"/>
      <c r="E267" s="373"/>
      <c r="F267" s="374"/>
      <c r="G267" s="373"/>
      <c r="H267" s="373"/>
      <c r="I267" s="375"/>
      <c r="J267" s="88"/>
      <c r="AZ267" s="137"/>
      <c r="BA267" s="172"/>
      <c r="BB267" s="173"/>
      <c r="BC267" s="174"/>
      <c r="BD267" s="173"/>
      <c r="BE267" s="173"/>
      <c r="BF267" s="175"/>
      <c r="BG267" s="88"/>
      <c r="BI267" s="137"/>
      <c r="BJ267" s="172"/>
      <c r="BK267" s="173"/>
      <c r="BL267" s="174"/>
      <c r="BM267" s="173"/>
      <c r="BN267" s="173"/>
      <c r="BO267" s="175"/>
      <c r="BP267" s="88"/>
      <c r="BR267" s="137"/>
      <c r="BS267" s="172"/>
      <c r="BT267" s="173"/>
      <c r="BU267" s="174"/>
      <c r="BV267" s="173"/>
      <c r="BW267" s="173"/>
      <c r="BX267" s="175"/>
      <c r="BY267" s="88"/>
      <c r="FN267" s="50"/>
      <c r="FO267" s="47"/>
      <c r="FP267" s="47"/>
      <c r="FQ267" s="47"/>
      <c r="FR267" s="47"/>
    </row>
    <row r="268" spans="2:174" ht="11.25" customHeight="1">
      <c r="B268" s="137"/>
      <c r="C268" s="134"/>
      <c r="D268" s="372"/>
      <c r="E268" s="373"/>
      <c r="F268" s="374"/>
      <c r="G268" s="373"/>
      <c r="H268" s="373"/>
      <c r="I268" s="375"/>
      <c r="J268" s="88"/>
      <c r="AZ268" s="137"/>
      <c r="BA268" s="172"/>
      <c r="BB268" s="173"/>
      <c r="BC268" s="174"/>
      <c r="BD268" s="173"/>
      <c r="BE268" s="173"/>
      <c r="BF268" s="175"/>
      <c r="BG268" s="88"/>
      <c r="BI268" s="137"/>
      <c r="BJ268" s="172"/>
      <c r="BK268" s="173"/>
      <c r="BL268" s="174"/>
      <c r="BM268" s="173"/>
      <c r="BN268" s="173"/>
      <c r="BO268" s="175"/>
      <c r="BP268" s="88"/>
      <c r="BR268" s="137"/>
      <c r="BS268" s="172"/>
      <c r="BT268" s="173"/>
      <c r="BU268" s="174"/>
      <c r="BV268" s="173"/>
      <c r="BW268" s="173"/>
      <c r="BX268" s="175"/>
      <c r="BY268" s="88"/>
      <c r="FN268" s="50"/>
      <c r="FO268" s="47"/>
      <c r="FP268" s="47"/>
      <c r="FQ268" s="47"/>
      <c r="FR268" s="47"/>
    </row>
    <row r="269" spans="2:174" ht="11.25" customHeight="1">
      <c r="B269" s="137"/>
      <c r="C269" s="134"/>
      <c r="D269" s="372"/>
      <c r="E269" s="373"/>
      <c r="F269" s="374"/>
      <c r="G269" s="373"/>
      <c r="H269" s="373"/>
      <c r="I269" s="375"/>
      <c r="J269" s="88"/>
      <c r="AZ269" s="137"/>
      <c r="BA269" s="172"/>
      <c r="BB269" s="173"/>
      <c r="BC269" s="174"/>
      <c r="BD269" s="173"/>
      <c r="BE269" s="173"/>
      <c r="BF269" s="175"/>
      <c r="BG269" s="88"/>
      <c r="BI269" s="137"/>
      <c r="BJ269" s="172"/>
      <c r="BK269" s="173"/>
      <c r="BL269" s="174"/>
      <c r="BM269" s="173"/>
      <c r="BN269" s="173"/>
      <c r="BO269" s="175"/>
      <c r="BP269" s="88"/>
      <c r="BR269" s="137"/>
      <c r="BS269" s="172"/>
      <c r="BT269" s="173"/>
      <c r="BU269" s="174"/>
      <c r="BV269" s="173"/>
      <c r="BW269" s="173"/>
      <c r="BX269" s="175"/>
      <c r="BY269" s="88"/>
      <c r="FN269" s="50"/>
      <c r="FO269" s="47"/>
      <c r="FP269" s="47"/>
      <c r="FQ269" s="47"/>
      <c r="FR269" s="47"/>
    </row>
    <row r="270" spans="2:174" ht="11.25" customHeight="1">
      <c r="B270" s="137"/>
      <c r="C270" s="134"/>
      <c r="D270" s="372"/>
      <c r="E270" s="373"/>
      <c r="F270" s="374"/>
      <c r="G270" s="373"/>
      <c r="H270" s="373"/>
      <c r="I270" s="375"/>
      <c r="J270" s="88"/>
      <c r="AZ270" s="137"/>
      <c r="BA270" s="172"/>
      <c r="BB270" s="173"/>
      <c r="BC270" s="174"/>
      <c r="BD270" s="173"/>
      <c r="BE270" s="173"/>
      <c r="BF270" s="175"/>
      <c r="BG270" s="88"/>
      <c r="BI270" s="137"/>
      <c r="BJ270" s="172"/>
      <c r="BK270" s="173"/>
      <c r="BL270" s="174"/>
      <c r="BM270" s="173"/>
      <c r="BN270" s="173"/>
      <c r="BO270" s="175"/>
      <c r="BP270" s="88"/>
      <c r="BR270" s="137"/>
      <c r="BS270" s="172"/>
      <c r="BT270" s="173"/>
      <c r="BU270" s="174"/>
      <c r="BV270" s="173"/>
      <c r="BW270" s="173"/>
      <c r="BX270" s="175"/>
      <c r="BY270" s="88"/>
      <c r="FN270" s="50"/>
      <c r="FO270" s="47"/>
      <c r="FP270" s="47"/>
      <c r="FQ270" s="47"/>
      <c r="FR270" s="47"/>
    </row>
    <row r="271" spans="2:174" ht="11.25" customHeight="1">
      <c r="B271" s="137"/>
      <c r="C271" s="134"/>
      <c r="D271" s="372"/>
      <c r="E271" s="373"/>
      <c r="F271" s="374"/>
      <c r="G271" s="373"/>
      <c r="H271" s="373"/>
      <c r="I271" s="375"/>
      <c r="J271" s="88"/>
      <c r="AZ271" s="137"/>
      <c r="BA271" s="172"/>
      <c r="BB271" s="173"/>
      <c r="BC271" s="174"/>
      <c r="BD271" s="173"/>
      <c r="BE271" s="173"/>
      <c r="BF271" s="175"/>
      <c r="BG271" s="88"/>
      <c r="BI271" s="137"/>
      <c r="BJ271" s="172"/>
      <c r="BK271" s="173"/>
      <c r="BL271" s="174"/>
      <c r="BM271" s="173"/>
      <c r="BN271" s="173"/>
      <c r="BO271" s="175"/>
      <c r="BP271" s="88"/>
      <c r="BR271" s="137"/>
      <c r="BS271" s="172"/>
      <c r="BT271" s="173"/>
      <c r="BU271" s="174"/>
      <c r="BV271" s="173"/>
      <c r="BW271" s="173"/>
      <c r="BX271" s="175"/>
      <c r="BY271" s="88"/>
      <c r="FN271" s="50"/>
      <c r="FO271" s="47"/>
      <c r="FP271" s="47"/>
      <c r="FQ271" s="47"/>
      <c r="FR271" s="47"/>
    </row>
    <row r="272" spans="2:174" ht="11.25" customHeight="1">
      <c r="B272" s="137"/>
      <c r="C272" s="134"/>
      <c r="D272" s="372"/>
      <c r="E272" s="373"/>
      <c r="F272" s="374"/>
      <c r="G272" s="373"/>
      <c r="H272" s="373"/>
      <c r="I272" s="375"/>
      <c r="J272" s="88"/>
      <c r="AZ272" s="137"/>
      <c r="BA272" s="172"/>
      <c r="BB272" s="173"/>
      <c r="BC272" s="174"/>
      <c r="BD272" s="173"/>
      <c r="BE272" s="173"/>
      <c r="BF272" s="175"/>
      <c r="BG272" s="88"/>
      <c r="BI272" s="137"/>
      <c r="BJ272" s="172"/>
      <c r="BK272" s="173"/>
      <c r="BL272" s="174"/>
      <c r="BM272" s="173"/>
      <c r="BN272" s="173"/>
      <c r="BO272" s="175"/>
      <c r="BP272" s="88"/>
      <c r="BR272" s="137"/>
      <c r="BS272" s="172"/>
      <c r="BT272" s="173"/>
      <c r="BU272" s="174"/>
      <c r="BV272" s="173"/>
      <c r="BW272" s="173"/>
      <c r="BX272" s="175"/>
      <c r="BY272" s="88"/>
      <c r="FN272" s="50"/>
      <c r="FO272" s="47"/>
      <c r="FP272" s="47"/>
      <c r="FQ272" s="47"/>
      <c r="FR272" s="47"/>
    </row>
    <row r="273" spans="2:174" ht="11.25" customHeight="1">
      <c r="B273" s="137"/>
      <c r="C273" s="134"/>
      <c r="D273" s="372"/>
      <c r="E273" s="373"/>
      <c r="F273" s="374"/>
      <c r="G273" s="373"/>
      <c r="H273" s="373"/>
      <c r="I273" s="375"/>
      <c r="J273" s="88"/>
      <c r="AZ273" s="137"/>
      <c r="BA273" s="172"/>
      <c r="BB273" s="173"/>
      <c r="BC273" s="174"/>
      <c r="BD273" s="173"/>
      <c r="BE273" s="173"/>
      <c r="BF273" s="175"/>
      <c r="BG273" s="88"/>
      <c r="BI273" s="137"/>
      <c r="BJ273" s="172"/>
      <c r="BK273" s="173"/>
      <c r="BL273" s="174"/>
      <c r="BM273" s="173"/>
      <c r="BN273" s="173"/>
      <c r="BO273" s="175"/>
      <c r="BP273" s="88"/>
      <c r="BR273" s="137"/>
      <c r="BS273" s="172"/>
      <c r="BT273" s="173"/>
      <c r="BU273" s="174"/>
      <c r="BV273" s="173"/>
      <c r="BW273" s="173"/>
      <c r="BX273" s="175"/>
      <c r="BY273" s="88"/>
      <c r="FN273" s="50"/>
      <c r="FO273" s="47"/>
      <c r="FP273" s="47"/>
      <c r="FQ273" s="47"/>
      <c r="FR273" s="47"/>
    </row>
    <row r="274" spans="2:174" ht="11.25" customHeight="1">
      <c r="B274" s="137"/>
      <c r="C274" s="134"/>
      <c r="D274" s="372"/>
      <c r="E274" s="373"/>
      <c r="F274" s="374"/>
      <c r="G274" s="373"/>
      <c r="H274" s="373"/>
      <c r="I274" s="375"/>
      <c r="J274" s="88"/>
      <c r="AZ274" s="137"/>
      <c r="BA274" s="172"/>
      <c r="BB274" s="173"/>
      <c r="BC274" s="174"/>
      <c r="BD274" s="173"/>
      <c r="BE274" s="173"/>
      <c r="BF274" s="175"/>
      <c r="BG274" s="88"/>
      <c r="BI274" s="137"/>
      <c r="BJ274" s="172"/>
      <c r="BK274" s="173"/>
      <c r="BL274" s="174"/>
      <c r="BM274" s="173"/>
      <c r="BN274" s="173"/>
      <c r="BO274" s="175"/>
      <c r="BP274" s="88"/>
      <c r="BR274" s="137"/>
      <c r="BS274" s="172"/>
      <c r="BT274" s="173"/>
      <c r="BU274" s="174"/>
      <c r="BV274" s="173"/>
      <c r="BW274" s="173"/>
      <c r="BX274" s="175"/>
      <c r="BY274" s="88"/>
      <c r="FN274" s="50"/>
      <c r="FO274" s="47"/>
      <c r="FP274" s="47"/>
      <c r="FQ274" s="47"/>
      <c r="FR274" s="47"/>
    </row>
    <row r="275" spans="2:174" ht="11.25" customHeight="1">
      <c r="B275" s="137"/>
      <c r="C275" s="134"/>
      <c r="D275" s="372"/>
      <c r="E275" s="373"/>
      <c r="F275" s="374"/>
      <c r="G275" s="373"/>
      <c r="H275" s="373"/>
      <c r="I275" s="375"/>
      <c r="J275" s="88"/>
      <c r="AZ275" s="137"/>
      <c r="BA275" s="172"/>
      <c r="BB275" s="173"/>
      <c r="BC275" s="174"/>
      <c r="BD275" s="173"/>
      <c r="BE275" s="173"/>
      <c r="BF275" s="175"/>
      <c r="BG275" s="88"/>
      <c r="BI275" s="137"/>
      <c r="BJ275" s="172"/>
      <c r="BK275" s="173"/>
      <c r="BL275" s="174"/>
      <c r="BM275" s="173"/>
      <c r="BN275" s="173"/>
      <c r="BO275" s="175"/>
      <c r="BP275" s="88"/>
      <c r="BR275" s="137"/>
      <c r="BS275" s="172"/>
      <c r="BT275" s="173"/>
      <c r="BU275" s="174"/>
      <c r="BV275" s="173"/>
      <c r="BW275" s="173"/>
      <c r="BX275" s="175"/>
      <c r="BY275" s="88"/>
      <c r="FN275" s="50"/>
      <c r="FO275" s="47"/>
      <c r="FP275" s="47"/>
      <c r="FQ275" s="47"/>
      <c r="FR275" s="47"/>
    </row>
    <row r="276" spans="2:174" ht="11.25" customHeight="1">
      <c r="B276" s="137"/>
      <c r="C276" s="134"/>
      <c r="D276" s="372"/>
      <c r="E276" s="373"/>
      <c r="F276" s="374"/>
      <c r="G276" s="373"/>
      <c r="H276" s="373"/>
      <c r="I276" s="375"/>
      <c r="J276" s="88"/>
      <c r="AZ276" s="137"/>
      <c r="BA276" s="172"/>
      <c r="BB276" s="173"/>
      <c r="BC276" s="174"/>
      <c r="BD276" s="173"/>
      <c r="BE276" s="173"/>
      <c r="BF276" s="175"/>
      <c r="BG276" s="88"/>
      <c r="BI276" s="137"/>
      <c r="BJ276" s="172"/>
      <c r="BK276" s="173"/>
      <c r="BL276" s="174"/>
      <c r="BM276" s="173"/>
      <c r="BN276" s="173"/>
      <c r="BO276" s="175"/>
      <c r="BP276" s="88"/>
      <c r="BR276" s="137"/>
      <c r="BS276" s="172"/>
      <c r="BT276" s="173"/>
      <c r="BU276" s="174"/>
      <c r="BV276" s="173"/>
      <c r="BW276" s="173"/>
      <c r="BX276" s="175"/>
      <c r="BY276" s="88"/>
      <c r="FN276" s="50"/>
      <c r="FO276" s="47"/>
      <c r="FP276" s="47"/>
      <c r="FQ276" s="47"/>
      <c r="FR276" s="47"/>
    </row>
    <row r="277" spans="2:174" ht="11.25" customHeight="1">
      <c r="B277" s="137"/>
      <c r="C277" s="134"/>
      <c r="D277" s="372"/>
      <c r="E277" s="373"/>
      <c r="F277" s="374"/>
      <c r="G277" s="373"/>
      <c r="H277" s="373"/>
      <c r="I277" s="375"/>
      <c r="J277" s="88"/>
      <c r="AZ277" s="137"/>
      <c r="BA277" s="172"/>
      <c r="BB277" s="173"/>
      <c r="BC277" s="174"/>
      <c r="BD277" s="173"/>
      <c r="BE277" s="173"/>
      <c r="BF277" s="175"/>
      <c r="BG277" s="88"/>
      <c r="BI277" s="137"/>
      <c r="BJ277" s="172"/>
      <c r="BK277" s="173"/>
      <c r="BL277" s="174"/>
      <c r="BM277" s="173"/>
      <c r="BN277" s="173"/>
      <c r="BO277" s="175"/>
      <c r="BP277" s="88"/>
      <c r="BR277" s="137"/>
      <c r="BS277" s="172"/>
      <c r="BT277" s="173"/>
      <c r="BU277" s="174"/>
      <c r="BV277" s="173"/>
      <c r="BW277" s="173"/>
      <c r="BX277" s="175"/>
      <c r="BY277" s="88"/>
      <c r="FN277" s="50"/>
      <c r="FO277" s="47"/>
      <c r="FP277" s="47"/>
      <c r="FQ277" s="47"/>
      <c r="FR277" s="47"/>
    </row>
    <row r="278" spans="2:174" ht="11.25" customHeight="1">
      <c r="B278" s="137"/>
      <c r="C278" s="134"/>
      <c r="D278" s="372"/>
      <c r="E278" s="373"/>
      <c r="F278" s="374"/>
      <c r="G278" s="373"/>
      <c r="H278" s="373"/>
      <c r="I278" s="375"/>
      <c r="J278" s="88"/>
      <c r="AZ278" s="137"/>
      <c r="BA278" s="172"/>
      <c r="BB278" s="173"/>
      <c r="BC278" s="174"/>
      <c r="BD278" s="173"/>
      <c r="BE278" s="173"/>
      <c r="BF278" s="175"/>
      <c r="BG278" s="88"/>
      <c r="BI278" s="137"/>
      <c r="BJ278" s="172"/>
      <c r="BK278" s="173"/>
      <c r="BL278" s="174"/>
      <c r="BM278" s="173"/>
      <c r="BN278" s="173"/>
      <c r="BO278" s="175"/>
      <c r="BP278" s="88"/>
      <c r="BR278" s="137"/>
      <c r="BS278" s="172"/>
      <c r="BT278" s="173"/>
      <c r="BU278" s="174"/>
      <c r="BV278" s="173"/>
      <c r="BW278" s="173"/>
      <c r="BX278" s="175"/>
      <c r="BY278" s="88"/>
      <c r="FN278" s="50"/>
      <c r="FO278" s="47"/>
      <c r="FP278" s="47"/>
      <c r="FQ278" s="47"/>
      <c r="FR278" s="47"/>
    </row>
    <row r="279" spans="2:174" ht="11.25" customHeight="1">
      <c r="B279" s="137"/>
      <c r="C279" s="134"/>
      <c r="D279" s="372"/>
      <c r="E279" s="373"/>
      <c r="F279" s="374"/>
      <c r="G279" s="373"/>
      <c r="H279" s="373"/>
      <c r="I279" s="375"/>
      <c r="J279" s="88"/>
      <c r="AZ279" s="137"/>
      <c r="BA279" s="172"/>
      <c r="BB279" s="173"/>
      <c r="BC279" s="174"/>
      <c r="BD279" s="173"/>
      <c r="BE279" s="173"/>
      <c r="BF279" s="175"/>
      <c r="BG279" s="88"/>
      <c r="BI279" s="137"/>
      <c r="BJ279" s="172"/>
      <c r="BK279" s="173"/>
      <c r="BL279" s="174"/>
      <c r="BM279" s="173"/>
      <c r="BN279" s="173"/>
      <c r="BO279" s="175"/>
      <c r="BP279" s="88"/>
      <c r="BR279" s="137"/>
      <c r="BS279" s="172"/>
      <c r="BT279" s="173"/>
      <c r="BU279" s="174"/>
      <c r="BV279" s="173"/>
      <c r="BW279" s="173"/>
      <c r="BX279" s="175"/>
      <c r="BY279" s="88"/>
      <c r="FN279" s="50"/>
      <c r="FO279" s="47"/>
      <c r="FP279" s="47"/>
      <c r="FQ279" s="47"/>
      <c r="FR279" s="47"/>
    </row>
    <row r="280" spans="2:174" ht="11.25" customHeight="1">
      <c r="B280" s="137"/>
      <c r="C280" s="134"/>
      <c r="D280" s="372"/>
      <c r="E280" s="373"/>
      <c r="F280" s="374"/>
      <c r="G280" s="373"/>
      <c r="H280" s="373"/>
      <c r="I280" s="375"/>
      <c r="J280" s="88"/>
      <c r="AZ280" s="137"/>
      <c r="BA280" s="172"/>
      <c r="BB280" s="173"/>
      <c r="BC280" s="174"/>
      <c r="BD280" s="173"/>
      <c r="BE280" s="173"/>
      <c r="BF280" s="175"/>
      <c r="BG280" s="88"/>
      <c r="BI280" s="137"/>
      <c r="BJ280" s="172"/>
      <c r="BK280" s="173"/>
      <c r="BL280" s="174"/>
      <c r="BM280" s="173"/>
      <c r="BN280" s="173"/>
      <c r="BO280" s="175"/>
      <c r="BP280" s="88"/>
      <c r="BR280" s="137"/>
      <c r="BS280" s="172"/>
      <c r="BT280" s="173"/>
      <c r="BU280" s="174"/>
      <c r="BV280" s="173"/>
      <c r="BW280" s="173"/>
      <c r="BX280" s="175"/>
      <c r="BY280" s="88"/>
      <c r="FN280" s="50"/>
      <c r="FO280" s="47"/>
      <c r="FP280" s="47"/>
      <c r="FQ280" s="47"/>
      <c r="FR280" s="47"/>
    </row>
    <row r="281" spans="2:174" ht="11.25" customHeight="1">
      <c r="B281" s="137"/>
      <c r="C281" s="134"/>
      <c r="D281" s="372"/>
      <c r="E281" s="373"/>
      <c r="F281" s="374"/>
      <c r="G281" s="373"/>
      <c r="H281" s="373"/>
      <c r="I281" s="375"/>
      <c r="J281" s="88"/>
      <c r="AZ281" s="137"/>
      <c r="BA281" s="172"/>
      <c r="BB281" s="173"/>
      <c r="BC281" s="174"/>
      <c r="BD281" s="173"/>
      <c r="BE281" s="173"/>
      <c r="BF281" s="175"/>
      <c r="BG281" s="88"/>
      <c r="BI281" s="137"/>
      <c r="BJ281" s="172"/>
      <c r="BK281" s="173"/>
      <c r="BL281" s="174"/>
      <c r="BM281" s="173"/>
      <c r="BN281" s="173"/>
      <c r="BO281" s="175"/>
      <c r="BP281" s="88"/>
      <c r="BR281" s="137"/>
      <c r="BS281" s="172"/>
      <c r="BT281" s="173"/>
      <c r="BU281" s="174"/>
      <c r="BV281" s="173"/>
      <c r="BW281" s="173"/>
      <c r="BX281" s="175"/>
      <c r="BY281" s="88"/>
      <c r="FN281" s="50"/>
      <c r="FO281" s="47"/>
      <c r="FP281" s="47"/>
      <c r="FQ281" s="47"/>
      <c r="FR281" s="47"/>
    </row>
    <row r="282" spans="2:174" ht="11.25" customHeight="1">
      <c r="B282" s="137"/>
      <c r="C282" s="134"/>
      <c r="D282" s="372"/>
      <c r="E282" s="373"/>
      <c r="F282" s="374"/>
      <c r="G282" s="373"/>
      <c r="H282" s="373"/>
      <c r="I282" s="375"/>
      <c r="J282" s="88"/>
      <c r="AZ282" s="137"/>
      <c r="BA282" s="172"/>
      <c r="BB282" s="173"/>
      <c r="BC282" s="174"/>
      <c r="BD282" s="173"/>
      <c r="BE282" s="173"/>
      <c r="BF282" s="175"/>
      <c r="BG282" s="88"/>
      <c r="BI282" s="137"/>
      <c r="BJ282" s="172"/>
      <c r="BK282" s="173"/>
      <c r="BL282" s="174"/>
      <c r="BM282" s="173"/>
      <c r="BN282" s="173"/>
      <c r="BO282" s="175"/>
      <c r="BP282" s="88"/>
      <c r="BR282" s="137"/>
      <c r="BS282" s="172"/>
      <c r="BT282" s="173"/>
      <c r="BU282" s="174"/>
      <c r="BV282" s="173"/>
      <c r="BW282" s="173"/>
      <c r="BX282" s="175"/>
      <c r="BY282" s="88"/>
      <c r="FN282" s="50"/>
      <c r="FO282" s="47"/>
      <c r="FP282" s="47"/>
      <c r="FQ282" s="47"/>
      <c r="FR282" s="47"/>
    </row>
    <row r="283" spans="2:174" ht="11.25" customHeight="1">
      <c r="B283" s="137"/>
      <c r="C283" s="134"/>
      <c r="D283" s="372"/>
      <c r="E283" s="373"/>
      <c r="F283" s="374"/>
      <c r="G283" s="373"/>
      <c r="H283" s="373"/>
      <c r="I283" s="375"/>
      <c r="J283" s="88"/>
      <c r="AZ283" s="137"/>
      <c r="BA283" s="172"/>
      <c r="BB283" s="173"/>
      <c r="BC283" s="174"/>
      <c r="BD283" s="173"/>
      <c r="BE283" s="173"/>
      <c r="BF283" s="175"/>
      <c r="BG283" s="88"/>
      <c r="BI283" s="137"/>
      <c r="BJ283" s="172"/>
      <c r="BK283" s="173"/>
      <c r="BL283" s="174"/>
      <c r="BM283" s="173"/>
      <c r="BN283" s="173"/>
      <c r="BO283" s="175"/>
      <c r="BP283" s="88"/>
      <c r="BR283" s="137"/>
      <c r="BS283" s="172"/>
      <c r="BT283" s="173"/>
      <c r="BU283" s="174"/>
      <c r="BV283" s="173"/>
      <c r="BW283" s="173"/>
      <c r="BX283" s="175"/>
      <c r="BY283" s="88"/>
      <c r="FN283" s="50"/>
      <c r="FO283" s="47"/>
      <c r="FP283" s="47"/>
      <c r="FQ283" s="47"/>
      <c r="FR283" s="47"/>
    </row>
    <row r="284" spans="2:174" ht="11.25" customHeight="1">
      <c r="B284" s="137"/>
      <c r="C284" s="134"/>
      <c r="D284" s="372"/>
      <c r="E284" s="373"/>
      <c r="F284" s="374"/>
      <c r="G284" s="373"/>
      <c r="H284" s="373"/>
      <c r="I284" s="375"/>
      <c r="J284" s="88"/>
      <c r="AZ284" s="137"/>
      <c r="BA284" s="172"/>
      <c r="BB284" s="173"/>
      <c r="BC284" s="174"/>
      <c r="BD284" s="173"/>
      <c r="BE284" s="173"/>
      <c r="BF284" s="175"/>
      <c r="BG284" s="88"/>
      <c r="BI284" s="137"/>
      <c r="BJ284" s="172"/>
      <c r="BK284" s="173"/>
      <c r="BL284" s="174"/>
      <c r="BM284" s="173"/>
      <c r="BN284" s="173"/>
      <c r="BO284" s="175"/>
      <c r="BP284" s="88"/>
      <c r="BR284" s="137"/>
      <c r="BS284" s="172"/>
      <c r="BT284" s="173"/>
      <c r="BU284" s="174"/>
      <c r="BV284" s="173"/>
      <c r="BW284" s="173"/>
      <c r="BX284" s="175"/>
      <c r="BY284" s="88"/>
      <c r="FN284" s="50"/>
      <c r="FO284" s="47"/>
      <c r="FP284" s="47"/>
      <c r="FQ284" s="47"/>
      <c r="FR284" s="47"/>
    </row>
    <row r="285" spans="2:174" ht="11.25" customHeight="1">
      <c r="B285" s="137"/>
      <c r="C285" s="134"/>
      <c r="D285" s="372"/>
      <c r="E285" s="373"/>
      <c r="F285" s="374"/>
      <c r="G285" s="373"/>
      <c r="H285" s="373"/>
      <c r="I285" s="375"/>
      <c r="J285" s="88"/>
      <c r="AZ285" s="137"/>
      <c r="BA285" s="172"/>
      <c r="BB285" s="173"/>
      <c r="BC285" s="174"/>
      <c r="BD285" s="173"/>
      <c r="BE285" s="173"/>
      <c r="BF285" s="175"/>
      <c r="BG285" s="88"/>
      <c r="BI285" s="137"/>
      <c r="BJ285" s="172"/>
      <c r="BK285" s="173"/>
      <c r="BL285" s="174"/>
      <c r="BM285" s="173"/>
      <c r="BN285" s="173"/>
      <c r="BO285" s="175"/>
      <c r="BP285" s="88"/>
      <c r="BR285" s="137"/>
      <c r="BS285" s="172"/>
      <c r="BT285" s="173"/>
      <c r="BU285" s="174"/>
      <c r="BV285" s="173"/>
      <c r="BW285" s="173"/>
      <c r="BX285" s="175"/>
      <c r="BY285" s="88"/>
      <c r="FN285" s="50"/>
      <c r="FO285" s="47"/>
      <c r="FP285" s="47"/>
      <c r="FQ285" s="47"/>
      <c r="FR285" s="47"/>
    </row>
    <row r="286" spans="2:174" ht="11.25" customHeight="1">
      <c r="B286" s="137"/>
      <c r="C286" s="134"/>
      <c r="D286" s="372"/>
      <c r="E286" s="373"/>
      <c r="F286" s="374"/>
      <c r="G286" s="373"/>
      <c r="H286" s="373"/>
      <c r="I286" s="375"/>
      <c r="J286" s="88"/>
      <c r="AZ286" s="137"/>
      <c r="BA286" s="172"/>
      <c r="BB286" s="173"/>
      <c r="BC286" s="174"/>
      <c r="BD286" s="173"/>
      <c r="BE286" s="173"/>
      <c r="BF286" s="175"/>
      <c r="BG286" s="88"/>
      <c r="BI286" s="137"/>
      <c r="BJ286" s="172"/>
      <c r="BK286" s="173"/>
      <c r="BL286" s="174"/>
      <c r="BM286" s="173"/>
      <c r="BN286" s="173"/>
      <c r="BO286" s="175"/>
      <c r="BP286" s="88"/>
      <c r="BR286" s="137"/>
      <c r="BS286" s="172"/>
      <c r="BT286" s="173"/>
      <c r="BU286" s="174"/>
      <c r="BV286" s="173"/>
      <c r="BW286" s="173"/>
      <c r="BX286" s="175"/>
      <c r="BY286" s="88"/>
      <c r="FN286" s="50"/>
      <c r="FO286" s="47"/>
      <c r="FP286" s="47"/>
      <c r="FQ286" s="47"/>
      <c r="FR286" s="47"/>
    </row>
    <row r="287" spans="2:174" ht="11.25" customHeight="1">
      <c r="B287" s="137"/>
      <c r="C287" s="134"/>
      <c r="D287" s="372"/>
      <c r="E287" s="373"/>
      <c r="F287" s="374"/>
      <c r="G287" s="373"/>
      <c r="H287" s="373"/>
      <c r="I287" s="375"/>
      <c r="J287" s="88"/>
      <c r="AZ287" s="137"/>
      <c r="BA287" s="172"/>
      <c r="BB287" s="173"/>
      <c r="BC287" s="174"/>
      <c r="BD287" s="173"/>
      <c r="BE287" s="173"/>
      <c r="BF287" s="175"/>
      <c r="BG287" s="88"/>
      <c r="BI287" s="137"/>
      <c r="BJ287" s="172"/>
      <c r="BK287" s="173"/>
      <c r="BL287" s="174"/>
      <c r="BM287" s="173"/>
      <c r="BN287" s="173"/>
      <c r="BO287" s="175"/>
      <c r="BP287" s="88"/>
      <c r="BR287" s="137"/>
      <c r="BS287" s="172"/>
      <c r="BT287" s="173"/>
      <c r="BU287" s="174"/>
      <c r="BV287" s="173"/>
      <c r="BW287" s="173"/>
      <c r="BX287" s="175"/>
      <c r="BY287" s="88"/>
      <c r="FN287" s="50"/>
      <c r="FO287" s="47"/>
      <c r="FP287" s="47"/>
      <c r="FQ287" s="47"/>
      <c r="FR287" s="47"/>
    </row>
    <row r="288" spans="2:174" ht="11.25" customHeight="1">
      <c r="B288" s="137"/>
      <c r="C288" s="134"/>
      <c r="D288" s="372"/>
      <c r="E288" s="373"/>
      <c r="F288" s="374"/>
      <c r="G288" s="373"/>
      <c r="H288" s="373"/>
      <c r="I288" s="375"/>
      <c r="J288" s="88"/>
      <c r="AZ288" s="137"/>
      <c r="BA288" s="172"/>
      <c r="BB288" s="173"/>
      <c r="BC288" s="174"/>
      <c r="BD288" s="173"/>
      <c r="BE288" s="173"/>
      <c r="BF288" s="175"/>
      <c r="BG288" s="88"/>
      <c r="BI288" s="137"/>
      <c r="BJ288" s="172"/>
      <c r="BK288" s="173"/>
      <c r="BL288" s="174"/>
      <c r="BM288" s="173"/>
      <c r="BN288" s="173"/>
      <c r="BO288" s="175"/>
      <c r="BP288" s="88"/>
      <c r="BR288" s="137"/>
      <c r="BS288" s="172"/>
      <c r="BT288" s="173"/>
      <c r="BU288" s="174"/>
      <c r="BV288" s="173"/>
      <c r="BW288" s="173"/>
      <c r="BX288" s="175"/>
      <c r="BY288" s="88"/>
      <c r="FN288" s="50"/>
      <c r="FO288" s="47"/>
      <c r="FP288" s="47"/>
      <c r="FQ288" s="47"/>
      <c r="FR288" s="47"/>
    </row>
    <row r="289" spans="2:174" ht="11.25" customHeight="1">
      <c r="B289" s="137"/>
      <c r="C289" s="134"/>
      <c r="D289" s="372"/>
      <c r="E289" s="373"/>
      <c r="F289" s="374"/>
      <c r="G289" s="373"/>
      <c r="H289" s="373"/>
      <c r="I289" s="375"/>
      <c r="J289" s="88"/>
      <c r="AZ289" s="137"/>
      <c r="BA289" s="172"/>
      <c r="BB289" s="173"/>
      <c r="BC289" s="174"/>
      <c r="BD289" s="173"/>
      <c r="BE289" s="173"/>
      <c r="BF289" s="175"/>
      <c r="BG289" s="88"/>
      <c r="BI289" s="137"/>
      <c r="BJ289" s="172"/>
      <c r="BK289" s="173"/>
      <c r="BL289" s="174"/>
      <c r="BM289" s="173"/>
      <c r="BN289" s="173"/>
      <c r="BO289" s="175"/>
      <c r="BP289" s="88"/>
      <c r="BR289" s="137"/>
      <c r="BS289" s="172"/>
      <c r="BT289" s="173"/>
      <c r="BU289" s="174"/>
      <c r="BV289" s="173"/>
      <c r="BW289" s="173"/>
      <c r="BX289" s="175"/>
      <c r="BY289" s="88"/>
      <c r="FN289" s="50"/>
      <c r="FO289" s="47"/>
      <c r="FP289" s="47"/>
      <c r="FQ289" s="47"/>
      <c r="FR289" s="47"/>
    </row>
    <row r="290" spans="2:174" ht="11.25" customHeight="1">
      <c r="B290" s="137"/>
      <c r="C290" s="134"/>
      <c r="D290" s="372"/>
      <c r="E290" s="373"/>
      <c r="F290" s="374"/>
      <c r="G290" s="373"/>
      <c r="H290" s="373"/>
      <c r="I290" s="375"/>
      <c r="J290" s="88"/>
      <c r="AZ290" s="137"/>
      <c r="BA290" s="172"/>
      <c r="BB290" s="173"/>
      <c r="BC290" s="174"/>
      <c r="BD290" s="173"/>
      <c r="BE290" s="173"/>
      <c r="BF290" s="175"/>
      <c r="BG290" s="88"/>
      <c r="BI290" s="137"/>
      <c r="BJ290" s="172"/>
      <c r="BK290" s="173"/>
      <c r="BL290" s="174"/>
      <c r="BM290" s="173"/>
      <c r="BN290" s="173"/>
      <c r="BO290" s="175"/>
      <c r="BP290" s="88"/>
      <c r="BR290" s="137"/>
      <c r="BS290" s="172"/>
      <c r="BT290" s="173"/>
      <c r="BU290" s="174"/>
      <c r="BV290" s="173"/>
      <c r="BW290" s="173"/>
      <c r="BX290" s="175"/>
      <c r="BY290" s="88"/>
      <c r="FN290" s="50"/>
      <c r="FO290" s="47"/>
      <c r="FP290" s="47"/>
      <c r="FQ290" s="47"/>
      <c r="FR290" s="47"/>
    </row>
    <row r="291" spans="2:174" ht="11.25" customHeight="1">
      <c r="B291" s="137"/>
      <c r="C291" s="134"/>
      <c r="D291" s="372"/>
      <c r="E291" s="373"/>
      <c r="F291" s="374"/>
      <c r="G291" s="373"/>
      <c r="H291" s="373"/>
      <c r="I291" s="375"/>
      <c r="J291" s="88"/>
      <c r="AZ291" s="137"/>
      <c r="BA291" s="172"/>
      <c r="BB291" s="173"/>
      <c r="BC291" s="174"/>
      <c r="BD291" s="173"/>
      <c r="BE291" s="173"/>
      <c r="BF291" s="175"/>
      <c r="BG291" s="88"/>
      <c r="BI291" s="137"/>
      <c r="BJ291" s="172"/>
      <c r="BK291" s="173"/>
      <c r="BL291" s="174"/>
      <c r="BM291" s="173"/>
      <c r="BN291" s="173"/>
      <c r="BO291" s="175"/>
      <c r="BP291" s="88"/>
      <c r="BR291" s="137"/>
      <c r="BS291" s="172"/>
      <c r="BT291" s="173"/>
      <c r="BU291" s="174"/>
      <c r="BV291" s="173"/>
      <c r="BW291" s="173"/>
      <c r="BX291" s="175"/>
      <c r="BY291" s="88"/>
      <c r="FN291" s="50"/>
      <c r="FO291" s="47"/>
      <c r="FP291" s="47"/>
      <c r="FQ291" s="47"/>
      <c r="FR291" s="47"/>
    </row>
    <row r="292" spans="2:174" ht="11.25" customHeight="1">
      <c r="B292" s="137"/>
      <c r="C292" s="134"/>
      <c r="D292" s="372"/>
      <c r="E292" s="373"/>
      <c r="F292" s="374"/>
      <c r="G292" s="373"/>
      <c r="H292" s="373"/>
      <c r="I292" s="375"/>
      <c r="J292" s="88"/>
      <c r="AZ292" s="137"/>
      <c r="BA292" s="172"/>
      <c r="BB292" s="173"/>
      <c r="BC292" s="174"/>
      <c r="BD292" s="173"/>
      <c r="BE292" s="173"/>
      <c r="BF292" s="175"/>
      <c r="BG292" s="88"/>
      <c r="BI292" s="137"/>
      <c r="BJ292" s="172"/>
      <c r="BK292" s="173"/>
      <c r="BL292" s="174"/>
      <c r="BM292" s="173"/>
      <c r="BN292" s="173"/>
      <c r="BO292" s="175"/>
      <c r="BP292" s="88"/>
      <c r="BR292" s="137"/>
      <c r="BS292" s="172"/>
      <c r="BT292" s="173"/>
      <c r="BU292" s="174"/>
      <c r="BV292" s="173"/>
      <c r="BW292" s="173"/>
      <c r="BX292" s="175"/>
      <c r="BY292" s="88"/>
      <c r="FN292" s="50"/>
      <c r="FO292" s="47"/>
      <c r="FP292" s="47"/>
      <c r="FQ292" s="47"/>
      <c r="FR292" s="47"/>
    </row>
    <row r="293" spans="2:174" ht="11.25" customHeight="1">
      <c r="B293" s="137"/>
      <c r="C293" s="134"/>
      <c r="D293" s="372"/>
      <c r="E293" s="373"/>
      <c r="F293" s="374"/>
      <c r="G293" s="373"/>
      <c r="H293" s="373"/>
      <c r="I293" s="375"/>
      <c r="J293" s="88"/>
      <c r="AZ293" s="137"/>
      <c r="BA293" s="172"/>
      <c r="BB293" s="173"/>
      <c r="BC293" s="174"/>
      <c r="BD293" s="173"/>
      <c r="BE293" s="173"/>
      <c r="BF293" s="175"/>
      <c r="BG293" s="88"/>
      <c r="BI293" s="137"/>
      <c r="BJ293" s="172"/>
      <c r="BK293" s="173"/>
      <c r="BL293" s="174"/>
      <c r="BM293" s="173"/>
      <c r="BN293" s="173"/>
      <c r="BO293" s="175"/>
      <c r="BP293" s="88"/>
      <c r="BR293" s="137"/>
      <c r="BS293" s="172"/>
      <c r="BT293" s="173"/>
      <c r="BU293" s="174"/>
      <c r="BV293" s="173"/>
      <c r="BW293" s="173"/>
      <c r="BX293" s="175"/>
      <c r="BY293" s="88"/>
      <c r="FN293" s="50"/>
      <c r="FO293" s="47"/>
      <c r="FP293" s="47"/>
      <c r="FQ293" s="47"/>
      <c r="FR293" s="47"/>
    </row>
    <row r="294" spans="2:174" ht="11.25" customHeight="1">
      <c r="B294" s="137"/>
      <c r="C294" s="134"/>
      <c r="D294" s="372"/>
      <c r="E294" s="373"/>
      <c r="F294" s="374"/>
      <c r="G294" s="373"/>
      <c r="H294" s="373"/>
      <c r="I294" s="375"/>
      <c r="J294" s="88"/>
      <c r="AZ294" s="137"/>
      <c r="BA294" s="172"/>
      <c r="BB294" s="173"/>
      <c r="BC294" s="174"/>
      <c r="BD294" s="173"/>
      <c r="BE294" s="173"/>
      <c r="BF294" s="175"/>
      <c r="BG294" s="88"/>
      <c r="BI294" s="137"/>
      <c r="BJ294" s="172"/>
      <c r="BK294" s="173"/>
      <c r="BL294" s="174"/>
      <c r="BM294" s="173"/>
      <c r="BN294" s="173"/>
      <c r="BO294" s="175"/>
      <c r="BP294" s="88"/>
      <c r="BR294" s="137"/>
      <c r="BS294" s="172"/>
      <c r="BT294" s="173"/>
      <c r="BU294" s="174"/>
      <c r="BV294" s="173"/>
      <c r="BW294" s="173"/>
      <c r="BX294" s="175"/>
      <c r="BY294" s="88"/>
      <c r="FN294" s="50"/>
      <c r="FO294" s="47"/>
      <c r="FP294" s="47"/>
      <c r="FQ294" s="47"/>
      <c r="FR294" s="47"/>
    </row>
    <row r="295" spans="2:174" ht="11.25" customHeight="1">
      <c r="B295" s="137"/>
      <c r="C295" s="134"/>
      <c r="D295" s="372"/>
      <c r="E295" s="373"/>
      <c r="F295" s="374"/>
      <c r="G295" s="373"/>
      <c r="H295" s="373"/>
      <c r="I295" s="375"/>
      <c r="J295" s="88"/>
      <c r="AZ295" s="137"/>
      <c r="BA295" s="172"/>
      <c r="BB295" s="173"/>
      <c r="BC295" s="174"/>
      <c r="BD295" s="173"/>
      <c r="BE295" s="173"/>
      <c r="BF295" s="175"/>
      <c r="BG295" s="88"/>
      <c r="BI295" s="137"/>
      <c r="BJ295" s="172"/>
      <c r="BK295" s="173"/>
      <c r="BL295" s="174"/>
      <c r="BM295" s="173"/>
      <c r="BN295" s="173"/>
      <c r="BO295" s="175"/>
      <c r="BP295" s="88"/>
      <c r="BR295" s="137"/>
      <c r="BS295" s="172"/>
      <c r="BT295" s="173"/>
      <c r="BU295" s="174"/>
      <c r="BV295" s="173"/>
      <c r="BW295" s="173"/>
      <c r="BX295" s="175"/>
      <c r="BY295" s="88"/>
      <c r="FN295" s="50"/>
      <c r="FO295" s="47"/>
      <c r="FP295" s="47"/>
      <c r="FQ295" s="47"/>
      <c r="FR295" s="47"/>
    </row>
    <row r="296" spans="2:174" ht="11.25" customHeight="1">
      <c r="B296" s="137"/>
      <c r="C296" s="134"/>
      <c r="D296" s="372"/>
      <c r="E296" s="373"/>
      <c r="F296" s="374"/>
      <c r="G296" s="373"/>
      <c r="H296" s="373"/>
      <c r="I296" s="375"/>
      <c r="J296" s="88"/>
      <c r="AZ296" s="137"/>
      <c r="BA296" s="172"/>
      <c r="BB296" s="173"/>
      <c r="BC296" s="174"/>
      <c r="BD296" s="173"/>
      <c r="BE296" s="173"/>
      <c r="BF296" s="175"/>
      <c r="BG296" s="88"/>
      <c r="BI296" s="137"/>
      <c r="BJ296" s="172"/>
      <c r="BK296" s="173"/>
      <c r="BL296" s="174"/>
      <c r="BM296" s="173"/>
      <c r="BN296" s="173"/>
      <c r="BO296" s="175"/>
      <c r="BP296" s="88"/>
      <c r="BR296" s="137"/>
      <c r="BS296" s="172"/>
      <c r="BT296" s="173"/>
      <c r="BU296" s="174"/>
      <c r="BV296" s="173"/>
      <c r="BW296" s="173"/>
      <c r="BX296" s="175"/>
      <c r="BY296" s="88"/>
      <c r="FN296" s="50"/>
      <c r="FO296" s="47"/>
      <c r="FP296" s="47"/>
      <c r="FQ296" s="47"/>
      <c r="FR296" s="47"/>
    </row>
    <row r="297" spans="2:174" ht="11.25" customHeight="1">
      <c r="B297" s="137"/>
      <c r="C297" s="134"/>
      <c r="D297" s="372"/>
      <c r="E297" s="373"/>
      <c r="F297" s="374"/>
      <c r="G297" s="373"/>
      <c r="H297" s="373"/>
      <c r="I297" s="375"/>
      <c r="J297" s="88"/>
      <c r="AZ297" s="137"/>
      <c r="BA297" s="172"/>
      <c r="BB297" s="173"/>
      <c r="BC297" s="174"/>
      <c r="BD297" s="173"/>
      <c r="BE297" s="173"/>
      <c r="BF297" s="175"/>
      <c r="BG297" s="88"/>
      <c r="BI297" s="137"/>
      <c r="BJ297" s="172"/>
      <c r="BK297" s="173"/>
      <c r="BL297" s="174"/>
      <c r="BM297" s="173"/>
      <c r="BN297" s="173"/>
      <c r="BO297" s="175"/>
      <c r="BP297" s="88"/>
      <c r="BR297" s="137"/>
      <c r="BS297" s="172"/>
      <c r="BT297" s="173"/>
      <c r="BU297" s="174"/>
      <c r="BV297" s="173"/>
      <c r="BW297" s="173"/>
      <c r="BX297" s="175"/>
      <c r="BY297" s="88"/>
      <c r="FN297" s="50"/>
      <c r="FO297" s="47"/>
      <c r="FP297" s="47"/>
      <c r="FQ297" s="47"/>
      <c r="FR297" s="47"/>
    </row>
    <row r="298" spans="2:174" ht="11.25" customHeight="1">
      <c r="B298" s="137"/>
      <c r="C298" s="134"/>
      <c r="D298" s="372"/>
      <c r="E298" s="373"/>
      <c r="F298" s="374"/>
      <c r="G298" s="373"/>
      <c r="H298" s="373"/>
      <c r="I298" s="375"/>
      <c r="J298" s="88"/>
      <c r="AZ298" s="137"/>
      <c r="BA298" s="172"/>
      <c r="BB298" s="173"/>
      <c r="BC298" s="174"/>
      <c r="BD298" s="173"/>
      <c r="BE298" s="173"/>
      <c r="BF298" s="175"/>
      <c r="BG298" s="88"/>
      <c r="BI298" s="137"/>
      <c r="BJ298" s="172"/>
      <c r="BK298" s="173"/>
      <c r="BL298" s="174"/>
      <c r="BM298" s="173"/>
      <c r="BN298" s="173"/>
      <c r="BO298" s="175"/>
      <c r="BP298" s="88"/>
      <c r="BR298" s="137"/>
      <c r="BS298" s="172"/>
      <c r="BT298" s="173"/>
      <c r="BU298" s="174"/>
      <c r="BV298" s="173"/>
      <c r="BW298" s="173"/>
      <c r="BX298" s="175"/>
      <c r="BY298" s="88"/>
      <c r="FN298" s="50"/>
      <c r="FO298" s="47"/>
      <c r="FP298" s="47"/>
      <c r="FQ298" s="47"/>
      <c r="FR298" s="47"/>
    </row>
    <row r="299" spans="2:174" ht="11.25" customHeight="1">
      <c r="B299" s="137"/>
      <c r="C299" s="134"/>
      <c r="D299" s="372"/>
      <c r="E299" s="373"/>
      <c r="F299" s="374"/>
      <c r="G299" s="373"/>
      <c r="H299" s="373"/>
      <c r="I299" s="375"/>
      <c r="J299" s="88"/>
      <c r="AZ299" s="137"/>
      <c r="BA299" s="172"/>
      <c r="BB299" s="173"/>
      <c r="BC299" s="174"/>
      <c r="BD299" s="173"/>
      <c r="BE299" s="173"/>
      <c r="BF299" s="175"/>
      <c r="BG299" s="88"/>
      <c r="BI299" s="137"/>
      <c r="BJ299" s="172"/>
      <c r="BK299" s="173"/>
      <c r="BL299" s="174"/>
      <c r="BM299" s="173"/>
      <c r="BN299" s="173"/>
      <c r="BO299" s="175"/>
      <c r="BP299" s="88"/>
      <c r="BR299" s="137"/>
      <c r="BS299" s="172"/>
      <c r="BT299" s="173"/>
      <c r="BU299" s="174"/>
      <c r="BV299" s="173"/>
      <c r="BW299" s="173"/>
      <c r="BX299" s="175"/>
      <c r="BY299" s="88"/>
      <c r="FN299" s="50"/>
      <c r="FO299" s="47"/>
      <c r="FP299" s="47"/>
      <c r="FQ299" s="47"/>
      <c r="FR299" s="47"/>
    </row>
    <row r="300" spans="2:174" ht="11.25" customHeight="1">
      <c r="B300" s="137"/>
      <c r="C300" s="134"/>
      <c r="D300" s="372"/>
      <c r="E300" s="373"/>
      <c r="F300" s="374"/>
      <c r="G300" s="373"/>
      <c r="H300" s="373"/>
      <c r="I300" s="375"/>
      <c r="J300" s="88"/>
      <c r="AZ300" s="137"/>
      <c r="BA300" s="172"/>
      <c r="BB300" s="173"/>
      <c r="BC300" s="174"/>
      <c r="BD300" s="173"/>
      <c r="BE300" s="173"/>
      <c r="BF300" s="175"/>
      <c r="BG300" s="88"/>
      <c r="BI300" s="137"/>
      <c r="BJ300" s="172"/>
      <c r="BK300" s="173"/>
      <c r="BL300" s="174"/>
      <c r="BM300" s="173"/>
      <c r="BN300" s="173"/>
      <c r="BO300" s="175"/>
      <c r="BP300" s="88"/>
      <c r="BR300" s="137"/>
      <c r="BS300" s="172"/>
      <c r="BT300" s="173"/>
      <c r="BU300" s="174"/>
      <c r="BV300" s="173"/>
      <c r="BW300" s="173"/>
      <c r="BX300" s="175"/>
      <c r="BY300" s="88"/>
      <c r="FN300" s="50"/>
      <c r="FO300" s="47"/>
      <c r="FP300" s="47"/>
      <c r="FQ300" s="47"/>
      <c r="FR300" s="47"/>
    </row>
    <row r="301" spans="2:174" ht="11.25" customHeight="1">
      <c r="B301" s="137"/>
      <c r="C301" s="134"/>
      <c r="D301" s="372"/>
      <c r="E301" s="373"/>
      <c r="F301" s="374"/>
      <c r="G301" s="373"/>
      <c r="H301" s="373"/>
      <c r="I301" s="375"/>
      <c r="J301" s="88"/>
      <c r="AZ301" s="137"/>
      <c r="BA301" s="172"/>
      <c r="BB301" s="173"/>
      <c r="BC301" s="174"/>
      <c r="BD301" s="173"/>
      <c r="BE301" s="173"/>
      <c r="BF301" s="175"/>
      <c r="BG301" s="88"/>
      <c r="BI301" s="137"/>
      <c r="BJ301" s="172"/>
      <c r="BK301" s="173"/>
      <c r="BL301" s="174"/>
      <c r="BM301" s="173"/>
      <c r="BN301" s="173"/>
      <c r="BO301" s="175"/>
      <c r="BP301" s="88"/>
      <c r="BR301" s="137"/>
      <c r="BS301" s="172"/>
      <c r="BT301" s="173"/>
      <c r="BU301" s="174"/>
      <c r="BV301" s="173"/>
      <c r="BW301" s="173"/>
      <c r="BX301" s="175"/>
      <c r="BY301" s="88"/>
      <c r="FN301" s="50"/>
      <c r="FO301" s="47"/>
      <c r="FP301" s="47"/>
      <c r="FQ301" s="47"/>
      <c r="FR301" s="47"/>
    </row>
    <row r="302" spans="2:174" ht="11.25" customHeight="1">
      <c r="B302" s="137"/>
      <c r="C302" s="134"/>
      <c r="D302" s="372"/>
      <c r="E302" s="373"/>
      <c r="F302" s="374"/>
      <c r="G302" s="373"/>
      <c r="H302" s="373"/>
      <c r="I302" s="375"/>
      <c r="J302" s="88"/>
      <c r="AZ302" s="137"/>
      <c r="BA302" s="172"/>
      <c r="BB302" s="173"/>
      <c r="BC302" s="174"/>
      <c r="BD302" s="173"/>
      <c r="BE302" s="173"/>
      <c r="BF302" s="175"/>
      <c r="BG302" s="88"/>
      <c r="BI302" s="137"/>
      <c r="BJ302" s="172"/>
      <c r="BK302" s="173"/>
      <c r="BL302" s="174"/>
      <c r="BM302" s="173"/>
      <c r="BN302" s="173"/>
      <c r="BO302" s="175"/>
      <c r="BP302" s="88"/>
      <c r="BR302" s="137"/>
      <c r="BS302" s="172"/>
      <c r="BT302" s="173"/>
      <c r="BU302" s="174"/>
      <c r="BV302" s="173"/>
      <c r="BW302" s="173"/>
      <c r="BX302" s="175"/>
      <c r="BY302" s="88"/>
      <c r="FN302" s="50"/>
      <c r="FO302" s="47"/>
      <c r="FP302" s="47"/>
      <c r="FQ302" s="47"/>
      <c r="FR302" s="47"/>
    </row>
    <row r="303" spans="2:174" ht="11.25" customHeight="1">
      <c r="B303" s="137"/>
      <c r="C303" s="134"/>
      <c r="D303" s="372"/>
      <c r="E303" s="373"/>
      <c r="F303" s="374"/>
      <c r="G303" s="373"/>
      <c r="H303" s="373"/>
      <c r="I303" s="375"/>
      <c r="J303" s="88"/>
      <c r="AZ303" s="137"/>
      <c r="BA303" s="172"/>
      <c r="BB303" s="173"/>
      <c r="BC303" s="174"/>
      <c r="BD303" s="173"/>
      <c r="BE303" s="173"/>
      <c r="BF303" s="175"/>
      <c r="BG303" s="88"/>
      <c r="BI303" s="137"/>
      <c r="BJ303" s="172"/>
      <c r="BK303" s="173"/>
      <c r="BL303" s="174"/>
      <c r="BM303" s="173"/>
      <c r="BN303" s="173"/>
      <c r="BO303" s="175"/>
      <c r="BP303" s="88"/>
      <c r="BR303" s="137"/>
      <c r="BS303" s="172"/>
      <c r="BT303" s="173"/>
      <c r="BU303" s="174"/>
      <c r="BV303" s="173"/>
      <c r="BW303" s="173"/>
      <c r="BX303" s="175"/>
      <c r="BY303" s="88"/>
      <c r="FN303" s="50"/>
      <c r="FO303" s="47"/>
      <c r="FP303" s="47"/>
      <c r="FQ303" s="47"/>
      <c r="FR303" s="47"/>
    </row>
    <row r="304" spans="2:174" ht="11.25" customHeight="1">
      <c r="B304" s="137"/>
      <c r="C304" s="134"/>
      <c r="D304" s="372"/>
      <c r="E304" s="373"/>
      <c r="F304" s="374"/>
      <c r="G304" s="373"/>
      <c r="H304" s="373"/>
      <c r="I304" s="375"/>
      <c r="J304" s="88"/>
      <c r="AZ304" s="137"/>
      <c r="BA304" s="172"/>
      <c r="BB304" s="173"/>
      <c r="BC304" s="174"/>
      <c r="BD304" s="173"/>
      <c r="BE304" s="173"/>
      <c r="BF304" s="175"/>
      <c r="BG304" s="88"/>
      <c r="BI304" s="137"/>
      <c r="BJ304" s="172"/>
      <c r="BK304" s="173"/>
      <c r="BL304" s="174"/>
      <c r="BM304" s="173"/>
      <c r="BN304" s="173"/>
      <c r="BO304" s="175"/>
      <c r="BP304" s="88"/>
      <c r="BR304" s="137"/>
      <c r="BS304" s="172"/>
      <c r="BT304" s="173"/>
      <c r="BU304" s="174"/>
      <c r="BV304" s="173"/>
      <c r="BW304" s="173"/>
      <c r="BX304" s="175"/>
      <c r="BY304" s="88"/>
      <c r="FN304" s="50"/>
      <c r="FO304" s="47"/>
      <c r="FP304" s="47"/>
      <c r="FQ304" s="47"/>
      <c r="FR304" s="47"/>
    </row>
    <row r="305" spans="2:174" ht="11.25" customHeight="1">
      <c r="B305" s="137"/>
      <c r="C305" s="134"/>
      <c r="D305" s="372"/>
      <c r="E305" s="373"/>
      <c r="F305" s="374"/>
      <c r="G305" s="373"/>
      <c r="H305" s="373"/>
      <c r="I305" s="375"/>
      <c r="J305" s="88"/>
      <c r="AZ305" s="137"/>
      <c r="BA305" s="172"/>
      <c r="BB305" s="173"/>
      <c r="BC305" s="174"/>
      <c r="BD305" s="173"/>
      <c r="BE305" s="173"/>
      <c r="BF305" s="175"/>
      <c r="BG305" s="88"/>
      <c r="BI305" s="137"/>
      <c r="BJ305" s="172"/>
      <c r="BK305" s="173"/>
      <c r="BL305" s="174"/>
      <c r="BM305" s="173"/>
      <c r="BN305" s="173"/>
      <c r="BO305" s="175"/>
      <c r="BP305" s="88"/>
      <c r="BR305" s="137"/>
      <c r="BS305" s="172"/>
      <c r="BT305" s="173"/>
      <c r="BU305" s="174"/>
      <c r="BV305" s="173"/>
      <c r="BW305" s="173"/>
      <c r="BX305" s="175"/>
      <c r="BY305" s="88"/>
      <c r="FN305" s="50"/>
      <c r="FO305" s="47"/>
      <c r="FP305" s="47"/>
      <c r="FQ305" s="47"/>
      <c r="FR305" s="47"/>
    </row>
    <row r="306" spans="2:174" ht="11.25" customHeight="1">
      <c r="B306" s="137"/>
      <c r="C306" s="134"/>
      <c r="D306" s="372"/>
      <c r="E306" s="373"/>
      <c r="F306" s="374"/>
      <c r="G306" s="373"/>
      <c r="H306" s="373"/>
      <c r="I306" s="375"/>
      <c r="J306" s="88"/>
      <c r="AZ306" s="137"/>
      <c r="BA306" s="172"/>
      <c r="BB306" s="173"/>
      <c r="BC306" s="174"/>
      <c r="BD306" s="173"/>
      <c r="BE306" s="173"/>
      <c r="BF306" s="175"/>
      <c r="BG306" s="88"/>
      <c r="BI306" s="137"/>
      <c r="BJ306" s="172"/>
      <c r="BK306" s="173"/>
      <c r="BL306" s="174"/>
      <c r="BM306" s="173"/>
      <c r="BN306" s="173"/>
      <c r="BO306" s="175"/>
      <c r="BP306" s="88"/>
      <c r="BR306" s="137"/>
      <c r="BS306" s="172"/>
      <c r="BT306" s="173"/>
      <c r="BU306" s="174"/>
      <c r="BV306" s="173"/>
      <c r="BW306" s="173"/>
      <c r="BX306" s="175"/>
      <c r="BY306" s="88"/>
      <c r="FN306" s="50"/>
      <c r="FO306" s="47"/>
      <c r="FP306" s="47"/>
      <c r="FQ306" s="47"/>
      <c r="FR306" s="47"/>
    </row>
    <row r="307" spans="2:174" ht="11.25" customHeight="1">
      <c r="B307" s="137"/>
      <c r="C307" s="134"/>
      <c r="D307" s="372"/>
      <c r="E307" s="373"/>
      <c r="F307" s="374"/>
      <c r="G307" s="373"/>
      <c r="H307" s="373"/>
      <c r="I307" s="375"/>
      <c r="J307" s="88"/>
      <c r="AZ307" s="137"/>
      <c r="BA307" s="176"/>
      <c r="BB307" s="177"/>
      <c r="BC307" s="178"/>
      <c r="BD307" s="177"/>
      <c r="BE307" s="177"/>
      <c r="BF307" s="231"/>
      <c r="BG307" s="88"/>
      <c r="BI307" s="137"/>
      <c r="BJ307" s="176"/>
      <c r="BK307" s="177"/>
      <c r="BL307" s="178"/>
      <c r="BM307" s="177"/>
      <c r="BN307" s="177"/>
      <c r="BO307" s="231"/>
      <c r="BP307" s="88"/>
      <c r="BR307" s="137"/>
      <c r="BS307" s="176"/>
      <c r="BT307" s="177"/>
      <c r="BU307" s="178"/>
      <c r="BV307" s="177"/>
      <c r="BW307" s="177"/>
      <c r="BX307" s="231"/>
      <c r="BY307" s="88"/>
      <c r="FN307" s="50"/>
      <c r="FO307" s="47"/>
      <c r="FP307" s="47"/>
      <c r="FQ307" s="47"/>
      <c r="FR307" s="47"/>
    </row>
    <row r="308" spans="2:174" ht="11.25" customHeight="1">
      <c r="B308" s="137"/>
      <c r="C308" s="134"/>
      <c r="D308" s="372"/>
      <c r="E308" s="373"/>
      <c r="F308" s="374"/>
      <c r="G308" s="373"/>
      <c r="H308" s="373"/>
      <c r="I308" s="375"/>
      <c r="J308" s="88"/>
      <c r="AZ308" s="90"/>
      <c r="BA308" s="89"/>
      <c r="BB308" s="89"/>
      <c r="BC308" s="89"/>
      <c r="BD308" s="89"/>
      <c r="BE308" s="89"/>
      <c r="BF308" s="89"/>
      <c r="BG308" s="17"/>
      <c r="BI308" s="90"/>
      <c r="BJ308" s="89"/>
      <c r="BK308" s="89"/>
      <c r="BL308" s="89"/>
      <c r="BM308" s="89"/>
      <c r="BN308" s="89"/>
      <c r="BO308" s="89"/>
      <c r="BP308" s="17"/>
      <c r="BR308" s="90"/>
      <c r="BS308" s="89"/>
      <c r="BT308" s="89"/>
      <c r="BU308" s="89"/>
      <c r="BV308" s="89"/>
      <c r="BW308" s="89"/>
      <c r="BX308" s="89"/>
      <c r="BY308" s="17"/>
      <c r="FN308" s="50"/>
      <c r="FO308" s="47"/>
      <c r="FP308" s="47"/>
      <c r="FQ308" s="47"/>
      <c r="FR308" s="47"/>
    </row>
    <row r="309" spans="2:174" ht="11.25" customHeight="1">
      <c r="B309" s="137"/>
      <c r="C309" s="134"/>
      <c r="D309" s="372"/>
      <c r="E309" s="373"/>
      <c r="F309" s="374"/>
      <c r="G309" s="373"/>
      <c r="H309" s="373"/>
      <c r="I309" s="375"/>
      <c r="J309" s="88"/>
      <c r="FN309" s="50"/>
      <c r="FO309" s="47"/>
      <c r="FP309" s="47"/>
      <c r="FQ309" s="47"/>
      <c r="FR309" s="47"/>
    </row>
    <row r="310" spans="2:174" ht="11.25" customHeight="1">
      <c r="B310" s="137"/>
      <c r="C310" s="134"/>
      <c r="D310" s="372"/>
      <c r="E310" s="373"/>
      <c r="F310" s="374"/>
      <c r="G310" s="373"/>
      <c r="H310" s="373"/>
      <c r="I310" s="375"/>
      <c r="J310" s="88"/>
      <c r="FN310" s="50"/>
      <c r="FO310" s="47"/>
      <c r="FP310" s="47"/>
      <c r="FQ310" s="47"/>
      <c r="FR310" s="47"/>
    </row>
    <row r="311" spans="2:174" ht="11.25" customHeight="1">
      <c r="B311" s="137"/>
      <c r="C311" s="134"/>
      <c r="D311" s="372"/>
      <c r="E311" s="373"/>
      <c r="F311" s="374"/>
      <c r="G311" s="373"/>
      <c r="H311" s="373"/>
      <c r="I311" s="375"/>
      <c r="J311" s="88"/>
      <c r="FN311" s="50"/>
      <c r="FO311" s="47"/>
      <c r="FP311" s="47"/>
      <c r="FQ311" s="47"/>
      <c r="FR311" s="47"/>
    </row>
    <row r="312" spans="2:174" ht="11.25" customHeight="1">
      <c r="B312" s="137"/>
      <c r="C312" s="134"/>
      <c r="D312" s="372"/>
      <c r="E312" s="373"/>
      <c r="F312" s="374"/>
      <c r="G312" s="373"/>
      <c r="H312" s="373"/>
      <c r="I312" s="375"/>
      <c r="J312" s="88"/>
      <c r="FN312" s="50"/>
      <c r="FO312" s="47"/>
      <c r="FP312" s="47"/>
      <c r="FQ312" s="47"/>
      <c r="FR312" s="47"/>
    </row>
    <row r="313" spans="2:174" ht="11.25" customHeight="1">
      <c r="B313" s="137"/>
      <c r="C313" s="134"/>
      <c r="D313" s="372"/>
      <c r="E313" s="373"/>
      <c r="F313" s="374"/>
      <c r="G313" s="373"/>
      <c r="H313" s="373"/>
      <c r="I313" s="375"/>
      <c r="J313" s="88"/>
      <c r="FN313" s="50"/>
      <c r="FO313" s="47"/>
      <c r="FP313" s="47"/>
      <c r="FQ313" s="47"/>
      <c r="FR313" s="47"/>
    </row>
    <row r="314" spans="2:174" ht="11.25" customHeight="1">
      <c r="B314" s="137"/>
      <c r="C314" s="134"/>
      <c r="D314" s="372"/>
      <c r="E314" s="373"/>
      <c r="F314" s="374"/>
      <c r="G314" s="373"/>
      <c r="H314" s="373"/>
      <c r="I314" s="375"/>
      <c r="J314" s="88"/>
      <c r="FN314" s="50"/>
      <c r="FO314" s="47"/>
      <c r="FP314" s="47"/>
      <c r="FQ314" s="47"/>
      <c r="FR314" s="47"/>
    </row>
    <row r="315" spans="2:174" ht="11.25" customHeight="1">
      <c r="B315" s="137"/>
      <c r="C315" s="134"/>
      <c r="D315" s="372"/>
      <c r="E315" s="373"/>
      <c r="F315" s="374"/>
      <c r="G315" s="373"/>
      <c r="H315" s="373"/>
      <c r="I315" s="375"/>
      <c r="J315" s="88"/>
      <c r="FN315" s="50"/>
      <c r="FO315" s="47"/>
      <c r="FP315" s="47"/>
      <c r="FQ315" s="47"/>
      <c r="FR315" s="47"/>
    </row>
    <row r="316" spans="2:174" ht="11.25" customHeight="1">
      <c r="B316" s="137"/>
      <c r="C316" s="134"/>
      <c r="D316" s="372"/>
      <c r="E316" s="373"/>
      <c r="F316" s="374"/>
      <c r="G316" s="373"/>
      <c r="H316" s="373"/>
      <c r="I316" s="375"/>
      <c r="J316" s="88"/>
      <c r="FN316" s="50"/>
      <c r="FO316" s="47"/>
      <c r="FP316" s="47"/>
      <c r="FQ316" s="47"/>
      <c r="FR316" s="47"/>
    </row>
    <row r="317" spans="2:174" ht="11.25" customHeight="1">
      <c r="B317" s="137"/>
      <c r="C317" s="134"/>
      <c r="D317" s="372"/>
      <c r="E317" s="373"/>
      <c r="F317" s="374"/>
      <c r="G317" s="373"/>
      <c r="H317" s="373"/>
      <c r="I317" s="375"/>
      <c r="J317" s="88"/>
      <c r="FN317" s="50"/>
      <c r="FO317" s="47"/>
      <c r="FP317" s="47"/>
      <c r="FQ317" s="47"/>
      <c r="FR317" s="47"/>
    </row>
    <row r="318" spans="2:174" ht="11.25" customHeight="1">
      <c r="B318" s="137"/>
      <c r="C318" s="134"/>
      <c r="D318" s="372"/>
      <c r="E318" s="373"/>
      <c r="F318" s="374"/>
      <c r="G318" s="373"/>
      <c r="H318" s="373"/>
      <c r="I318" s="375"/>
      <c r="J318" s="88"/>
      <c r="FN318" s="50"/>
      <c r="FO318" s="47"/>
      <c r="FP318" s="47"/>
      <c r="FQ318" s="47"/>
      <c r="FR318" s="47"/>
    </row>
    <row r="319" spans="2:174" ht="11.25" customHeight="1">
      <c r="B319" s="137"/>
      <c r="C319" s="134"/>
      <c r="D319" s="372"/>
      <c r="E319" s="373"/>
      <c r="F319" s="374"/>
      <c r="G319" s="373"/>
      <c r="H319" s="373"/>
      <c r="I319" s="375"/>
      <c r="J319" s="88"/>
      <c r="FN319" s="50"/>
      <c r="FO319" s="47"/>
      <c r="FP319" s="47"/>
      <c r="FQ319" s="47"/>
      <c r="FR319" s="47"/>
    </row>
    <row r="320" spans="2:174" ht="11.25" customHeight="1">
      <c r="B320" s="137"/>
      <c r="C320" s="134"/>
      <c r="D320" s="372"/>
      <c r="E320" s="373"/>
      <c r="F320" s="374"/>
      <c r="G320" s="373"/>
      <c r="H320" s="373"/>
      <c r="I320" s="375"/>
      <c r="J320" s="88"/>
      <c r="FN320" s="50"/>
      <c r="FO320" s="47"/>
      <c r="FP320" s="47"/>
      <c r="FQ320" s="47"/>
      <c r="FR320" s="47"/>
    </row>
    <row r="321" spans="2:174" ht="11.25" customHeight="1">
      <c r="B321" s="137"/>
      <c r="C321" s="134"/>
      <c r="D321" s="372"/>
      <c r="E321" s="373"/>
      <c r="F321" s="374"/>
      <c r="G321" s="373"/>
      <c r="H321" s="373"/>
      <c r="I321" s="375"/>
      <c r="J321" s="88"/>
      <c r="FN321" s="50"/>
      <c r="FO321" s="47"/>
      <c r="FP321" s="47"/>
      <c r="FQ321" s="47"/>
      <c r="FR321" s="47"/>
    </row>
    <row r="322" spans="2:174" ht="11.25" customHeight="1">
      <c r="B322" s="137"/>
      <c r="C322" s="134"/>
      <c r="D322" s="372"/>
      <c r="E322" s="373"/>
      <c r="F322" s="374"/>
      <c r="G322" s="373"/>
      <c r="H322" s="373"/>
      <c r="I322" s="375"/>
      <c r="J322" s="88"/>
      <c r="FN322" s="50"/>
      <c r="FO322" s="47"/>
      <c r="FP322" s="47"/>
      <c r="FQ322" s="47"/>
      <c r="FR322" s="47"/>
    </row>
    <row r="323" spans="2:174" ht="11.25" customHeight="1">
      <c r="B323" s="137"/>
      <c r="C323" s="134"/>
      <c r="D323" s="372"/>
      <c r="E323" s="373"/>
      <c r="F323" s="374"/>
      <c r="G323" s="373"/>
      <c r="H323" s="373"/>
      <c r="I323" s="375"/>
      <c r="J323" s="88"/>
      <c r="FN323" s="50"/>
      <c r="FO323" s="47"/>
      <c r="FP323" s="47"/>
      <c r="FQ323" s="47"/>
      <c r="FR323" s="47"/>
    </row>
    <row r="324" spans="2:174" ht="11.25" customHeight="1">
      <c r="B324" s="137"/>
      <c r="C324" s="134"/>
      <c r="D324" s="376"/>
      <c r="E324" s="377"/>
      <c r="F324" s="378"/>
      <c r="G324" s="377"/>
      <c r="H324" s="377"/>
      <c r="I324" s="378"/>
      <c r="J324" s="88"/>
      <c r="FN324" s="50"/>
      <c r="FO324" s="47"/>
      <c r="FP324" s="47"/>
      <c r="FQ324" s="47"/>
      <c r="FR324" s="47"/>
    </row>
    <row r="325" spans="2:174" ht="11.25" customHeight="1">
      <c r="B325" s="90"/>
      <c r="C325" s="89"/>
      <c r="D325" s="89"/>
      <c r="E325" s="89"/>
      <c r="F325" s="89"/>
      <c r="G325" s="89"/>
      <c r="H325" s="89"/>
      <c r="I325" s="89"/>
      <c r="J325" s="17"/>
      <c r="FN325" s="50"/>
      <c r="FO325" s="47"/>
      <c r="FP325" s="47"/>
      <c r="FQ325" s="47"/>
      <c r="FR325" s="47"/>
    </row>
    <row r="326" spans="2:174" ht="11.25" customHeight="1">
      <c r="J326" s="19"/>
      <c r="FN326" s="50"/>
      <c r="FO326" s="47"/>
      <c r="FP326" s="47"/>
      <c r="FQ326" s="47"/>
      <c r="FR326" s="47"/>
    </row>
    <row r="327" spans="2:174" ht="11.25" customHeight="1">
      <c r="FN327" s="50"/>
      <c r="FO327" s="47"/>
      <c r="FP327" s="47"/>
      <c r="FQ327" s="47"/>
      <c r="FR327" s="47"/>
    </row>
    <row r="328" spans="2:174" ht="11.25" customHeight="1">
      <c r="FN328" s="50"/>
      <c r="FO328" s="47"/>
      <c r="FP328" s="47"/>
      <c r="FQ328" s="47"/>
      <c r="FR328" s="47"/>
    </row>
    <row r="329" spans="2:174" ht="11.25" customHeight="1">
      <c r="FN329" s="50"/>
      <c r="FO329" s="47"/>
      <c r="FP329" s="47"/>
      <c r="FQ329" s="47"/>
      <c r="FR329" s="47"/>
    </row>
    <row r="330" spans="2:174" ht="11.25" customHeight="1">
      <c r="FN330" s="50"/>
      <c r="FO330" s="47"/>
      <c r="FP330" s="47"/>
      <c r="FQ330" s="47"/>
      <c r="FR330" s="47"/>
    </row>
    <row r="331" spans="2:174" ht="11.25" customHeight="1">
      <c r="FN331" s="50"/>
      <c r="FO331" s="47"/>
      <c r="FP331" s="47"/>
      <c r="FQ331" s="47"/>
      <c r="FR331" s="47"/>
    </row>
    <row r="332" spans="2:174" ht="11.25" customHeight="1">
      <c r="FN332" s="50"/>
      <c r="FO332" s="47"/>
      <c r="FP332" s="47"/>
      <c r="FQ332" s="47"/>
      <c r="FR332" s="47"/>
    </row>
    <row r="333" spans="2:174" ht="11.25" customHeight="1">
      <c r="FN333" s="50"/>
      <c r="FO333" s="47"/>
      <c r="FP333" s="47"/>
      <c r="FQ333" s="47"/>
      <c r="FR333" s="47"/>
    </row>
    <row r="334" spans="2:174" ht="11.25" customHeight="1">
      <c r="FN334" s="50"/>
      <c r="FO334" s="47"/>
      <c r="FP334" s="47"/>
      <c r="FQ334" s="47"/>
      <c r="FR334" s="47"/>
    </row>
    <row r="335" spans="2:174" ht="11.25" customHeight="1">
      <c r="FN335" s="50"/>
      <c r="FO335" s="47"/>
      <c r="FP335" s="47"/>
      <c r="FQ335" s="47"/>
      <c r="FR335" s="47"/>
    </row>
    <row r="336" spans="2:174" ht="11.25" customHeight="1">
      <c r="FN336" s="50"/>
      <c r="FO336" s="47"/>
      <c r="FP336" s="47"/>
      <c r="FQ336" s="47"/>
      <c r="FR336" s="47"/>
    </row>
    <row r="337" spans="170:174" ht="11.25" customHeight="1">
      <c r="FN337" s="50"/>
      <c r="FO337" s="47"/>
      <c r="FP337" s="47"/>
      <c r="FQ337" s="47"/>
      <c r="FR337" s="47"/>
    </row>
    <row r="338" spans="170:174" ht="11.25" customHeight="1">
      <c r="FN338" s="50"/>
      <c r="FO338" s="47"/>
      <c r="FP338" s="47"/>
      <c r="FQ338" s="47"/>
      <c r="FR338" s="47"/>
    </row>
    <row r="339" spans="170:174" ht="11.25" customHeight="1">
      <c r="FN339" s="50"/>
      <c r="FO339" s="47"/>
      <c r="FP339" s="47"/>
      <c r="FQ339" s="47"/>
      <c r="FR339" s="47"/>
    </row>
    <row r="340" spans="170:174" ht="11.25" customHeight="1">
      <c r="FN340" s="50"/>
      <c r="FO340" s="47"/>
      <c r="FP340" s="47"/>
      <c r="FQ340" s="47"/>
      <c r="FR340" s="47"/>
    </row>
    <row r="341" spans="170:174" ht="11.25" customHeight="1">
      <c r="FN341" s="50"/>
      <c r="FO341" s="47"/>
      <c r="FP341" s="47"/>
      <c r="FQ341" s="47"/>
      <c r="FR341" s="47"/>
    </row>
    <row r="342" spans="170:174" ht="11.25" customHeight="1">
      <c r="FN342" s="50"/>
      <c r="FO342" s="47"/>
      <c r="FP342" s="47"/>
      <c r="FQ342" s="47"/>
      <c r="FR342" s="47"/>
    </row>
    <row r="343" spans="170:174" ht="11.25" customHeight="1">
      <c r="FN343" s="50"/>
      <c r="FO343" s="47"/>
      <c r="FP343" s="47"/>
      <c r="FQ343" s="47"/>
      <c r="FR343" s="47"/>
    </row>
    <row r="344" spans="170:174" ht="11.25" customHeight="1">
      <c r="FN344" s="50"/>
      <c r="FO344" s="47"/>
      <c r="FP344" s="47"/>
      <c r="FQ344" s="47"/>
      <c r="FR344" s="47"/>
    </row>
    <row r="345" spans="170:174" ht="11.25" customHeight="1">
      <c r="FN345" s="50"/>
      <c r="FO345" s="47"/>
      <c r="FP345" s="47"/>
      <c r="FQ345" s="47"/>
      <c r="FR345" s="47"/>
    </row>
    <row r="346" spans="170:174" ht="11.25" customHeight="1">
      <c r="FN346" s="50"/>
      <c r="FO346" s="47"/>
      <c r="FP346" s="47"/>
      <c r="FQ346" s="47"/>
      <c r="FR346" s="47"/>
    </row>
    <row r="347" spans="170:174" ht="11.25" customHeight="1">
      <c r="FN347" s="50"/>
      <c r="FO347" s="47"/>
      <c r="FP347" s="47"/>
      <c r="FQ347" s="47"/>
      <c r="FR347" s="47"/>
    </row>
    <row r="348" spans="170:174" ht="11.25" customHeight="1">
      <c r="FN348" s="50"/>
      <c r="FO348" s="47"/>
      <c r="FP348" s="47"/>
      <c r="FQ348" s="47"/>
      <c r="FR348" s="47"/>
    </row>
    <row r="349" spans="170:174" ht="11.25" customHeight="1">
      <c r="FN349" s="50"/>
      <c r="FO349" s="47"/>
      <c r="FP349" s="47"/>
      <c r="FQ349" s="47"/>
      <c r="FR349" s="47"/>
    </row>
    <row r="350" spans="170:174" ht="11.25" customHeight="1">
      <c r="FN350" s="50"/>
      <c r="FO350" s="47"/>
      <c r="FP350" s="47"/>
      <c r="FQ350" s="47"/>
      <c r="FR350" s="47"/>
    </row>
    <row r="351" spans="170:174" ht="11.25" customHeight="1">
      <c r="FN351" s="50"/>
      <c r="FO351" s="47"/>
      <c r="FP351" s="47"/>
      <c r="FQ351" s="47"/>
      <c r="FR351" s="47"/>
    </row>
    <row r="352" spans="170:174" ht="11.25" customHeight="1">
      <c r="FN352" s="50"/>
      <c r="FO352" s="47"/>
      <c r="FP352" s="47"/>
      <c r="FQ352" s="47"/>
      <c r="FR352" s="47"/>
    </row>
    <row r="353" spans="170:174" ht="11.25" customHeight="1">
      <c r="FN353" s="50"/>
      <c r="FO353" s="47"/>
      <c r="FP353" s="47"/>
      <c r="FQ353" s="47"/>
      <c r="FR353" s="47"/>
    </row>
    <row r="354" spans="170:174" ht="11.25" customHeight="1">
      <c r="FN354" s="50"/>
      <c r="FO354" s="47"/>
      <c r="FP354" s="47"/>
      <c r="FQ354" s="47"/>
      <c r="FR354" s="47"/>
    </row>
    <row r="355" spans="170:174" ht="11.25" customHeight="1">
      <c r="FN355" s="50"/>
      <c r="FO355" s="47"/>
      <c r="FP355" s="47"/>
      <c r="FQ355" s="47"/>
      <c r="FR355" s="47"/>
    </row>
    <row r="356" spans="170:174" ht="11.25" customHeight="1">
      <c r="FN356" s="50"/>
      <c r="FO356" s="47"/>
      <c r="FP356" s="47"/>
      <c r="FQ356" s="47"/>
      <c r="FR356" s="47"/>
    </row>
    <row r="357" spans="170:174" ht="11.25" customHeight="1">
      <c r="FN357" s="50"/>
      <c r="FO357" s="47"/>
      <c r="FP357" s="47"/>
      <c r="FQ357" s="47"/>
      <c r="FR357" s="47"/>
    </row>
    <row r="358" spans="170:174" ht="11.25" customHeight="1">
      <c r="FN358" s="50"/>
      <c r="FO358" s="47"/>
      <c r="FP358" s="47"/>
      <c r="FQ358" s="47"/>
      <c r="FR358" s="47"/>
    </row>
    <row r="359" spans="170:174" ht="11.25" customHeight="1">
      <c r="FN359" s="50"/>
      <c r="FO359" s="47"/>
      <c r="FP359" s="47"/>
      <c r="FQ359" s="47"/>
      <c r="FR359" s="47"/>
    </row>
    <row r="360" spans="170:174" ht="11.25" customHeight="1">
      <c r="FN360" s="50"/>
      <c r="FO360" s="47"/>
      <c r="FP360" s="47"/>
      <c r="FQ360" s="47"/>
      <c r="FR360" s="47"/>
    </row>
    <row r="361" spans="170:174" ht="11.25" customHeight="1">
      <c r="FN361" s="50"/>
      <c r="FO361" s="47"/>
      <c r="FP361" s="47"/>
      <c r="FQ361" s="47"/>
      <c r="FR361" s="47"/>
    </row>
    <row r="362" spans="170:174" ht="11.25" customHeight="1">
      <c r="FN362" s="50"/>
      <c r="FO362" s="47"/>
      <c r="FP362" s="47"/>
      <c r="FQ362" s="47"/>
      <c r="FR362" s="47"/>
    </row>
    <row r="363" spans="170:174" ht="11.25" customHeight="1">
      <c r="FN363" s="50"/>
      <c r="FO363" s="47"/>
      <c r="FP363" s="47"/>
      <c r="FQ363" s="47"/>
      <c r="FR363" s="47"/>
    </row>
    <row r="364" spans="170:174" ht="11.25" customHeight="1">
      <c r="FN364" s="50"/>
      <c r="FO364" s="47"/>
      <c r="FP364" s="47"/>
      <c r="FQ364" s="47"/>
      <c r="FR364" s="47"/>
    </row>
    <row r="365" spans="170:174" ht="11.25" customHeight="1">
      <c r="FN365" s="50"/>
      <c r="FO365" s="47"/>
      <c r="FP365" s="47"/>
      <c r="FQ365" s="47"/>
      <c r="FR365" s="47"/>
    </row>
    <row r="366" spans="170:174" ht="11.25" customHeight="1">
      <c r="FN366" s="50"/>
      <c r="FO366" s="47"/>
      <c r="FP366" s="47"/>
      <c r="FQ366" s="47"/>
      <c r="FR366" s="47"/>
    </row>
    <row r="367" spans="170:174" ht="11.25" customHeight="1">
      <c r="FN367" s="50"/>
      <c r="FO367" s="47"/>
      <c r="FP367" s="47"/>
      <c r="FQ367" s="47"/>
      <c r="FR367" s="47"/>
    </row>
    <row r="368" spans="170:174" ht="11.25" customHeight="1">
      <c r="FN368" s="50"/>
      <c r="FO368" s="47"/>
      <c r="FP368" s="47"/>
      <c r="FQ368" s="47"/>
      <c r="FR368" s="47"/>
    </row>
    <row r="369" spans="170:174" ht="11.25" customHeight="1">
      <c r="FN369" s="50"/>
      <c r="FO369" s="47"/>
      <c r="FP369" s="47"/>
      <c r="FQ369" s="47"/>
      <c r="FR369" s="47"/>
    </row>
    <row r="370" spans="170:174" ht="11.25" customHeight="1">
      <c r="FN370" s="50"/>
      <c r="FO370" s="47"/>
      <c r="FP370" s="47"/>
      <c r="FQ370" s="47"/>
      <c r="FR370" s="47"/>
    </row>
    <row r="371" spans="170:174" ht="11.25" customHeight="1">
      <c r="FN371" s="50"/>
      <c r="FO371" s="47"/>
      <c r="FP371" s="47"/>
      <c r="FQ371" s="47"/>
      <c r="FR371" s="47"/>
    </row>
    <row r="372" spans="170:174" ht="11.25" customHeight="1">
      <c r="FN372" s="50"/>
      <c r="FO372" s="47"/>
      <c r="FP372" s="47"/>
      <c r="FQ372" s="47"/>
      <c r="FR372" s="47"/>
    </row>
    <row r="373" spans="170:174" ht="11.25" customHeight="1">
      <c r="FN373" s="50"/>
      <c r="FO373" s="47"/>
      <c r="FP373" s="47"/>
      <c r="FQ373" s="47"/>
      <c r="FR373" s="47"/>
    </row>
    <row r="374" spans="170:174" ht="11.25" customHeight="1">
      <c r="FN374" s="50"/>
      <c r="FO374" s="47"/>
      <c r="FP374" s="47"/>
      <c r="FQ374" s="47"/>
      <c r="FR374" s="47"/>
    </row>
    <row r="375" spans="170:174" ht="11.25" customHeight="1">
      <c r="FN375" s="50"/>
      <c r="FO375" s="47"/>
      <c r="FP375" s="47"/>
      <c r="FQ375" s="47"/>
      <c r="FR375" s="47"/>
    </row>
    <row r="376" spans="170:174" ht="11.25" customHeight="1">
      <c r="FN376" s="50"/>
      <c r="FO376" s="47"/>
      <c r="FP376" s="47"/>
      <c r="FQ376" s="47"/>
      <c r="FR376" s="47"/>
    </row>
    <row r="377" spans="170:174" ht="11.25" customHeight="1">
      <c r="FN377" s="50"/>
      <c r="FO377" s="47"/>
      <c r="FP377" s="47"/>
      <c r="FQ377" s="47"/>
      <c r="FR377" s="47"/>
    </row>
    <row r="378" spans="170:174" ht="11.25" customHeight="1">
      <c r="FN378" s="50"/>
      <c r="FO378" s="47"/>
      <c r="FP378" s="47"/>
      <c r="FQ378" s="47"/>
      <c r="FR378" s="47"/>
    </row>
    <row r="379" spans="170:174" ht="11.25" customHeight="1">
      <c r="FN379" s="50"/>
      <c r="FO379" s="47"/>
      <c r="FP379" s="47"/>
      <c r="FQ379" s="47"/>
      <c r="FR379" s="47"/>
    </row>
    <row r="380" spans="170:174" ht="11.25" customHeight="1">
      <c r="FN380" s="50"/>
      <c r="FO380" s="47"/>
      <c r="FP380" s="47"/>
      <c r="FQ380" s="47"/>
      <c r="FR380" s="47"/>
    </row>
    <row r="381" spans="170:174" ht="11.25" customHeight="1">
      <c r="FN381" s="50"/>
      <c r="FO381" s="47"/>
      <c r="FP381" s="47"/>
      <c r="FQ381" s="47"/>
      <c r="FR381" s="47"/>
    </row>
    <row r="382" spans="170:174" ht="11.25" customHeight="1">
      <c r="FN382" s="50"/>
      <c r="FO382" s="47"/>
      <c r="FP382" s="47"/>
      <c r="FQ382" s="47"/>
      <c r="FR382" s="47"/>
    </row>
    <row r="383" spans="170:174" ht="11.25" customHeight="1">
      <c r="FN383" s="50"/>
      <c r="FO383" s="47"/>
      <c r="FP383" s="47"/>
      <c r="FQ383" s="47"/>
      <c r="FR383" s="47"/>
    </row>
    <row r="384" spans="170:174" ht="11.25" customHeight="1">
      <c r="FN384" s="50"/>
      <c r="FO384" s="47"/>
      <c r="FP384" s="47"/>
      <c r="FQ384" s="47"/>
      <c r="FR384" s="47"/>
    </row>
    <row r="385" spans="170:174" ht="11.25" customHeight="1">
      <c r="FN385" s="50"/>
      <c r="FO385" s="47"/>
      <c r="FP385" s="47"/>
      <c r="FQ385" s="47"/>
      <c r="FR385" s="47"/>
    </row>
    <row r="386" spans="170:174" ht="11.25" customHeight="1">
      <c r="FN386" s="50"/>
      <c r="FO386" s="47"/>
      <c r="FP386" s="47"/>
      <c r="FQ386" s="47"/>
      <c r="FR386" s="47"/>
    </row>
    <row r="387" spans="170:174" ht="11.25" customHeight="1">
      <c r="FN387" s="50"/>
      <c r="FO387" s="47"/>
      <c r="FP387" s="47"/>
      <c r="FQ387" s="47"/>
      <c r="FR387" s="47"/>
    </row>
    <row r="388" spans="170:174" ht="11.25" customHeight="1">
      <c r="FN388" s="50"/>
      <c r="FO388" s="47"/>
      <c r="FP388" s="47"/>
      <c r="FQ388" s="47"/>
      <c r="FR388" s="47"/>
    </row>
    <row r="389" spans="170:174" ht="11.25" customHeight="1">
      <c r="FN389" s="50"/>
      <c r="FO389" s="47"/>
      <c r="FP389" s="47"/>
      <c r="FQ389" s="47"/>
      <c r="FR389" s="47"/>
    </row>
    <row r="390" spans="170:174" ht="11.25" customHeight="1">
      <c r="FN390" s="50"/>
      <c r="FO390" s="47"/>
      <c r="FP390" s="47"/>
      <c r="FQ390" s="47"/>
      <c r="FR390" s="47"/>
    </row>
    <row r="391" spans="170:174" ht="11.25" customHeight="1">
      <c r="FN391" s="50"/>
      <c r="FO391" s="47"/>
      <c r="FP391" s="47"/>
      <c r="FQ391" s="47"/>
      <c r="FR391" s="47"/>
    </row>
    <row r="392" spans="170:174" ht="11.25" customHeight="1">
      <c r="FN392" s="50"/>
      <c r="FO392" s="47"/>
      <c r="FP392" s="47"/>
      <c r="FQ392" s="47"/>
      <c r="FR392" s="47"/>
    </row>
    <row r="393" spans="170:174" ht="11.25" customHeight="1">
      <c r="FN393" s="50"/>
      <c r="FO393" s="47"/>
      <c r="FP393" s="47"/>
      <c r="FQ393" s="47"/>
      <c r="FR393" s="47"/>
    </row>
    <row r="394" spans="170:174" ht="11.25" customHeight="1">
      <c r="FN394" s="50"/>
      <c r="FO394" s="47"/>
      <c r="FP394" s="47"/>
      <c r="FQ394" s="47"/>
      <c r="FR394" s="47"/>
    </row>
    <row r="395" spans="170:174" ht="11.25" customHeight="1">
      <c r="FN395" s="50"/>
      <c r="FO395" s="47"/>
      <c r="FP395" s="47"/>
      <c r="FQ395" s="47"/>
      <c r="FR395" s="47"/>
    </row>
    <row r="396" spans="170:174" ht="11.25" customHeight="1">
      <c r="FN396" s="50"/>
      <c r="FO396" s="47"/>
      <c r="FP396" s="47"/>
      <c r="FQ396" s="47"/>
      <c r="FR396" s="47"/>
    </row>
    <row r="397" spans="170:174" ht="11.25" customHeight="1">
      <c r="FN397" s="50"/>
      <c r="FO397" s="47"/>
      <c r="FP397" s="47"/>
      <c r="FQ397" s="47"/>
      <c r="FR397" s="47"/>
    </row>
    <row r="398" spans="170:174" ht="11.25" customHeight="1">
      <c r="FN398" s="50"/>
      <c r="FO398" s="47"/>
      <c r="FP398" s="47"/>
      <c r="FQ398" s="47"/>
      <c r="FR398" s="47"/>
    </row>
    <row r="399" spans="170:174" ht="11.25" customHeight="1">
      <c r="FN399" s="50"/>
      <c r="FO399" s="47"/>
      <c r="FP399" s="47"/>
      <c r="FQ399" s="47"/>
      <c r="FR399" s="47"/>
    </row>
    <row r="400" spans="170:174" ht="11.25" customHeight="1">
      <c r="FN400" s="50"/>
      <c r="FO400" s="47"/>
      <c r="FP400" s="47"/>
      <c r="FQ400" s="47"/>
      <c r="FR400" s="47"/>
    </row>
    <row r="401" spans="170:174" ht="11.25" customHeight="1">
      <c r="FN401" s="50"/>
      <c r="FO401" s="47"/>
      <c r="FP401" s="47"/>
      <c r="FQ401" s="47"/>
      <c r="FR401" s="47"/>
    </row>
    <row r="402" spans="170:174" ht="11.25" customHeight="1">
      <c r="FN402" s="50"/>
      <c r="FO402" s="47"/>
      <c r="FP402" s="47"/>
      <c r="FQ402" s="47"/>
      <c r="FR402" s="47"/>
    </row>
    <row r="403" spans="170:174" ht="11.25" customHeight="1">
      <c r="FN403" s="50"/>
      <c r="FO403" s="47"/>
      <c r="FP403" s="47"/>
      <c r="FQ403" s="47"/>
      <c r="FR403" s="47"/>
    </row>
    <row r="404" spans="170:174" ht="11.25" customHeight="1">
      <c r="FN404" s="50"/>
      <c r="FO404" s="47"/>
      <c r="FP404" s="47"/>
      <c r="FQ404" s="47"/>
      <c r="FR404" s="47"/>
    </row>
    <row r="405" spans="170:174" ht="11.25" customHeight="1">
      <c r="FN405" s="50"/>
      <c r="FO405" s="47"/>
      <c r="FP405" s="47"/>
      <c r="FQ405" s="47"/>
      <c r="FR405" s="47"/>
    </row>
    <row r="406" spans="170:174" ht="11.25" customHeight="1">
      <c r="FN406" s="50"/>
      <c r="FO406" s="47"/>
      <c r="FP406" s="47"/>
      <c r="FQ406" s="47"/>
      <c r="FR406" s="47"/>
    </row>
    <row r="407" spans="170:174" ht="11.25" customHeight="1">
      <c r="FN407" s="50"/>
      <c r="FO407" s="47"/>
      <c r="FP407" s="47"/>
      <c r="FQ407" s="47"/>
      <c r="FR407" s="47"/>
    </row>
    <row r="408" spans="170:174" ht="11.25" customHeight="1">
      <c r="FN408" s="50"/>
      <c r="FO408" s="47"/>
      <c r="FP408" s="47"/>
      <c r="FQ408" s="47"/>
      <c r="FR408" s="47"/>
    </row>
    <row r="409" spans="170:174" ht="11.25" customHeight="1">
      <c r="FN409" s="50"/>
      <c r="FO409" s="47"/>
      <c r="FP409" s="47"/>
      <c r="FQ409" s="47"/>
      <c r="FR409" s="47"/>
    </row>
    <row r="410" spans="170:174" ht="11.25" customHeight="1">
      <c r="FN410" s="50"/>
      <c r="FO410" s="47"/>
      <c r="FP410" s="47"/>
      <c r="FQ410" s="47"/>
      <c r="FR410" s="47"/>
    </row>
    <row r="411" spans="170:174" ht="11.25" customHeight="1">
      <c r="FN411" s="50"/>
      <c r="FO411" s="47"/>
      <c r="FP411" s="47"/>
      <c r="FQ411" s="47"/>
      <c r="FR411" s="47"/>
    </row>
    <row r="412" spans="170:174" ht="11.25" customHeight="1">
      <c r="FN412" s="50"/>
      <c r="FO412" s="47"/>
      <c r="FP412" s="47"/>
      <c r="FQ412" s="47"/>
      <c r="FR412" s="47"/>
    </row>
    <row r="413" spans="170:174" ht="11.25" customHeight="1">
      <c r="FN413" s="50"/>
      <c r="FO413" s="47"/>
      <c r="FP413" s="47"/>
      <c r="FQ413" s="47"/>
      <c r="FR413" s="47"/>
    </row>
    <row r="414" spans="170:174" ht="11.25" customHeight="1">
      <c r="FN414" s="50"/>
      <c r="FO414" s="47"/>
      <c r="FP414" s="47"/>
      <c r="FQ414" s="47"/>
      <c r="FR414" s="47"/>
    </row>
    <row r="415" spans="170:174" ht="11.25" customHeight="1">
      <c r="FN415" s="50"/>
      <c r="FO415" s="47"/>
      <c r="FP415" s="47"/>
      <c r="FQ415" s="47"/>
      <c r="FR415" s="47"/>
    </row>
    <row r="416" spans="170:174" ht="11.25" customHeight="1">
      <c r="FN416" s="50"/>
      <c r="FO416" s="47"/>
      <c r="FP416" s="47"/>
      <c r="FQ416" s="47"/>
      <c r="FR416" s="47"/>
    </row>
    <row r="417" spans="170:174" ht="11.25" customHeight="1">
      <c r="FN417" s="50"/>
      <c r="FO417" s="47"/>
      <c r="FP417" s="47"/>
      <c r="FQ417" s="47"/>
      <c r="FR417" s="47"/>
    </row>
    <row r="418" spans="170:174" ht="11.25" customHeight="1">
      <c r="FN418" s="50"/>
      <c r="FO418" s="47"/>
      <c r="FP418" s="47"/>
      <c r="FQ418" s="47"/>
      <c r="FR418" s="47"/>
    </row>
    <row r="419" spans="170:174" ht="11.25" customHeight="1">
      <c r="FN419" s="50"/>
      <c r="FO419" s="47"/>
      <c r="FP419" s="47"/>
      <c r="FQ419" s="47"/>
      <c r="FR419" s="47"/>
    </row>
    <row r="420" spans="170:174" ht="11.25" customHeight="1">
      <c r="FN420" s="50"/>
      <c r="FO420" s="47"/>
      <c r="FP420" s="47"/>
      <c r="FQ420" s="47"/>
      <c r="FR420" s="47"/>
    </row>
    <row r="421" spans="170:174" ht="11.25" customHeight="1">
      <c r="FN421" s="50"/>
      <c r="FO421" s="47"/>
      <c r="FP421" s="47"/>
      <c r="FQ421" s="47"/>
      <c r="FR421" s="47"/>
    </row>
    <row r="422" spans="170:174" ht="11.25" customHeight="1">
      <c r="FN422" s="50"/>
      <c r="FO422" s="47"/>
      <c r="FP422" s="47"/>
      <c r="FQ422" s="47"/>
      <c r="FR422" s="47"/>
    </row>
    <row r="423" spans="170:174" ht="11.25" customHeight="1">
      <c r="FN423" s="50"/>
      <c r="FO423" s="47"/>
      <c r="FP423" s="47"/>
      <c r="FQ423" s="47"/>
      <c r="FR423" s="47"/>
    </row>
    <row r="424" spans="170:174" ht="11.25" customHeight="1">
      <c r="FN424" s="50"/>
      <c r="FO424" s="47"/>
      <c r="FP424" s="47"/>
      <c r="FQ424" s="47"/>
      <c r="FR424" s="47"/>
    </row>
    <row r="425" spans="170:174" ht="11.25" customHeight="1">
      <c r="FN425" s="50"/>
      <c r="FO425" s="47"/>
      <c r="FP425" s="47"/>
      <c r="FQ425" s="47"/>
      <c r="FR425" s="47"/>
    </row>
    <row r="426" spans="170:174" ht="11.25" customHeight="1">
      <c r="FN426" s="50"/>
      <c r="FO426" s="47"/>
      <c r="FP426" s="47"/>
      <c r="FQ426" s="47"/>
      <c r="FR426" s="47"/>
    </row>
    <row r="427" spans="170:174" ht="11.25" customHeight="1">
      <c r="FN427" s="50"/>
      <c r="FO427" s="47"/>
      <c r="FP427" s="47"/>
      <c r="FQ427" s="47"/>
      <c r="FR427" s="47"/>
    </row>
    <row r="428" spans="170:174" ht="11.25" customHeight="1">
      <c r="FN428" s="50"/>
      <c r="FO428" s="47"/>
      <c r="FP428" s="47"/>
      <c r="FQ428" s="47"/>
      <c r="FR428" s="47"/>
    </row>
    <row r="429" spans="170:174" ht="11.25" customHeight="1">
      <c r="FN429" s="50"/>
      <c r="FO429" s="47"/>
      <c r="FP429" s="47"/>
      <c r="FQ429" s="47"/>
      <c r="FR429" s="47"/>
    </row>
    <row r="430" spans="170:174" ht="11.25" customHeight="1">
      <c r="FN430" s="50"/>
      <c r="FO430" s="47"/>
      <c r="FP430" s="47"/>
      <c r="FQ430" s="47"/>
      <c r="FR430" s="47"/>
    </row>
    <row r="431" spans="170:174" ht="11.25" customHeight="1">
      <c r="FN431" s="50"/>
      <c r="FO431" s="47"/>
      <c r="FP431" s="47"/>
      <c r="FQ431" s="47"/>
      <c r="FR431" s="47"/>
    </row>
    <row r="432" spans="170:174" ht="11.25" customHeight="1">
      <c r="FN432" s="50"/>
      <c r="FO432" s="47"/>
      <c r="FP432" s="47"/>
      <c r="FQ432" s="47"/>
      <c r="FR432" s="47"/>
    </row>
    <row r="433" spans="170:174" ht="11.25" customHeight="1">
      <c r="FN433" s="50"/>
      <c r="FO433" s="47"/>
      <c r="FP433" s="47"/>
      <c r="FQ433" s="47"/>
      <c r="FR433" s="47"/>
    </row>
    <row r="434" spans="170:174" ht="11.25" customHeight="1">
      <c r="FN434" s="50"/>
      <c r="FO434" s="47"/>
      <c r="FP434" s="47"/>
      <c r="FQ434" s="47"/>
      <c r="FR434" s="47"/>
    </row>
    <row r="435" spans="170:174" ht="11.25" customHeight="1">
      <c r="FN435" s="50"/>
      <c r="FO435" s="47"/>
      <c r="FP435" s="47"/>
      <c r="FQ435" s="47"/>
      <c r="FR435" s="47"/>
    </row>
    <row r="436" spans="170:174" ht="11.25" customHeight="1">
      <c r="FN436" s="50"/>
      <c r="FO436" s="47"/>
      <c r="FP436" s="47"/>
      <c r="FQ436" s="47"/>
      <c r="FR436" s="47"/>
    </row>
    <row r="437" spans="170:174" ht="11.25" customHeight="1">
      <c r="FN437" s="50"/>
      <c r="FO437" s="47"/>
      <c r="FP437" s="47"/>
      <c r="FQ437" s="47"/>
      <c r="FR437" s="47"/>
    </row>
    <row r="438" spans="170:174" ht="11.25" customHeight="1">
      <c r="FN438" s="50"/>
      <c r="FO438" s="47"/>
      <c r="FP438" s="47"/>
      <c r="FQ438" s="47"/>
      <c r="FR438" s="47"/>
    </row>
    <row r="439" spans="170:174" ht="11.25" customHeight="1">
      <c r="FN439" s="50"/>
      <c r="FO439" s="47"/>
      <c r="FP439" s="47"/>
      <c r="FQ439" s="47"/>
      <c r="FR439" s="47"/>
    </row>
    <row r="440" spans="170:174" ht="11.25" customHeight="1">
      <c r="FN440" s="50"/>
      <c r="FO440" s="47"/>
      <c r="FP440" s="47"/>
      <c r="FQ440" s="47"/>
      <c r="FR440" s="47"/>
    </row>
    <row r="441" spans="170:174" ht="11.25" customHeight="1">
      <c r="FN441" s="50"/>
      <c r="FO441" s="47"/>
      <c r="FP441" s="47"/>
      <c r="FQ441" s="47"/>
      <c r="FR441" s="47"/>
    </row>
    <row r="442" spans="170:174" ht="11.25" customHeight="1">
      <c r="FN442" s="50"/>
      <c r="FO442" s="47"/>
      <c r="FP442" s="47"/>
      <c r="FQ442" s="47"/>
      <c r="FR442" s="47"/>
    </row>
    <row r="443" spans="170:174" ht="11.25" customHeight="1">
      <c r="FN443" s="50"/>
      <c r="FO443" s="47"/>
      <c r="FP443" s="47"/>
      <c r="FQ443" s="47"/>
      <c r="FR443" s="47"/>
    </row>
    <row r="444" spans="170:174" ht="11.25" customHeight="1">
      <c r="FN444" s="50"/>
      <c r="FO444" s="47"/>
      <c r="FP444" s="47"/>
      <c r="FQ444" s="47"/>
      <c r="FR444" s="47"/>
    </row>
    <row r="445" spans="170:174" ht="11.25" customHeight="1">
      <c r="FN445" s="50"/>
      <c r="FO445" s="47"/>
      <c r="FP445" s="47"/>
      <c r="FQ445" s="47"/>
      <c r="FR445" s="47"/>
    </row>
    <row r="446" spans="170:174" ht="11.25" customHeight="1">
      <c r="FN446" s="50"/>
      <c r="FO446" s="47"/>
      <c r="FP446" s="47"/>
      <c r="FQ446" s="47"/>
      <c r="FR446" s="47"/>
    </row>
    <row r="447" spans="170:174" ht="11.25" customHeight="1">
      <c r="FN447" s="50"/>
      <c r="FO447" s="47"/>
      <c r="FP447" s="47"/>
      <c r="FQ447" s="47"/>
      <c r="FR447" s="47"/>
    </row>
    <row r="448" spans="170:174" ht="11.25" customHeight="1">
      <c r="FN448" s="50"/>
      <c r="FO448" s="47"/>
      <c r="FP448" s="47"/>
      <c r="FQ448" s="47"/>
      <c r="FR448" s="47"/>
    </row>
    <row r="449" spans="170:174" ht="11.25" customHeight="1">
      <c r="FN449" s="50"/>
      <c r="FO449" s="47"/>
      <c r="FP449" s="47"/>
      <c r="FQ449" s="47"/>
      <c r="FR449" s="47"/>
    </row>
    <row r="450" spans="170:174" ht="11.25" customHeight="1">
      <c r="FN450" s="50"/>
      <c r="FO450" s="47"/>
      <c r="FP450" s="47"/>
      <c r="FQ450" s="47"/>
      <c r="FR450" s="47"/>
    </row>
    <row r="451" spans="170:174" ht="11.25" customHeight="1">
      <c r="FN451" s="50"/>
      <c r="FO451" s="47"/>
      <c r="FP451" s="47"/>
      <c r="FQ451" s="47"/>
      <c r="FR451" s="47"/>
    </row>
    <row r="452" spans="170:174" ht="11.25" customHeight="1">
      <c r="FN452" s="50"/>
      <c r="FO452" s="47"/>
      <c r="FP452" s="47"/>
      <c r="FQ452" s="47"/>
      <c r="FR452" s="47"/>
    </row>
    <row r="453" spans="170:174" ht="11.25" customHeight="1">
      <c r="FN453" s="50"/>
      <c r="FO453" s="47"/>
      <c r="FP453" s="47"/>
      <c r="FQ453" s="47"/>
      <c r="FR453" s="47"/>
    </row>
    <row r="454" spans="170:174" ht="11.25" customHeight="1">
      <c r="FN454" s="50"/>
      <c r="FO454" s="47"/>
      <c r="FP454" s="47"/>
      <c r="FQ454" s="47"/>
      <c r="FR454" s="47"/>
    </row>
    <row r="455" spans="170:174" ht="11.25" customHeight="1">
      <c r="FN455" s="50"/>
      <c r="FO455" s="47"/>
      <c r="FP455" s="47"/>
      <c r="FQ455" s="47"/>
      <c r="FR455" s="47"/>
    </row>
    <row r="456" spans="170:174" ht="11.25" customHeight="1">
      <c r="FN456" s="50"/>
      <c r="FO456" s="47"/>
      <c r="FP456" s="47"/>
      <c r="FQ456" s="47"/>
      <c r="FR456" s="47"/>
    </row>
    <row r="457" spans="170:174" ht="11.25" customHeight="1">
      <c r="FN457" s="50"/>
      <c r="FO457" s="47"/>
      <c r="FP457" s="47"/>
      <c r="FQ457" s="47"/>
      <c r="FR457" s="47"/>
    </row>
    <row r="458" spans="170:174" ht="11.25" customHeight="1">
      <c r="FN458" s="50"/>
      <c r="FO458" s="47"/>
      <c r="FP458" s="47"/>
      <c r="FQ458" s="47"/>
      <c r="FR458" s="47"/>
    </row>
    <row r="459" spans="170:174" ht="11.25" customHeight="1">
      <c r="FN459" s="50"/>
      <c r="FO459" s="47"/>
      <c r="FP459" s="47"/>
      <c r="FQ459" s="47"/>
      <c r="FR459" s="47"/>
    </row>
    <row r="460" spans="170:174" ht="11.25" customHeight="1">
      <c r="FN460" s="50"/>
      <c r="FO460" s="47"/>
      <c r="FP460" s="47"/>
      <c r="FQ460" s="47"/>
      <c r="FR460" s="47"/>
    </row>
    <row r="461" spans="170:174" ht="11.25" customHeight="1">
      <c r="FN461" s="50"/>
      <c r="FO461" s="47"/>
      <c r="FP461" s="47"/>
      <c r="FQ461" s="47"/>
      <c r="FR461" s="47"/>
    </row>
    <row r="462" spans="170:174" ht="11.25" customHeight="1">
      <c r="FN462" s="50"/>
      <c r="FO462" s="47"/>
      <c r="FP462" s="47"/>
      <c r="FQ462" s="47"/>
      <c r="FR462" s="47"/>
    </row>
    <row r="463" spans="170:174" ht="11.25" customHeight="1">
      <c r="FN463" s="50"/>
      <c r="FO463" s="47"/>
      <c r="FP463" s="47"/>
      <c r="FQ463" s="47"/>
      <c r="FR463" s="47"/>
    </row>
    <row r="464" spans="170:174" ht="11.25" customHeight="1">
      <c r="FN464" s="50"/>
      <c r="FO464" s="47"/>
      <c r="FP464" s="47"/>
      <c r="FQ464" s="47"/>
      <c r="FR464" s="47"/>
    </row>
    <row r="465" spans="170:174" ht="11.25" customHeight="1">
      <c r="FN465" s="50"/>
      <c r="FO465" s="47"/>
      <c r="FP465" s="47"/>
      <c r="FQ465" s="47"/>
      <c r="FR465" s="47"/>
    </row>
    <row r="466" spans="170:174" ht="11.25" customHeight="1">
      <c r="FN466" s="50"/>
      <c r="FO466" s="47"/>
      <c r="FP466" s="47"/>
      <c r="FQ466" s="47"/>
      <c r="FR466" s="47"/>
    </row>
    <row r="467" spans="170:174" ht="11.25" customHeight="1">
      <c r="FN467" s="50"/>
      <c r="FO467" s="47"/>
      <c r="FP467" s="47"/>
      <c r="FQ467" s="47"/>
      <c r="FR467" s="47"/>
    </row>
    <row r="468" spans="170:174" ht="11.25" customHeight="1">
      <c r="FN468" s="50"/>
      <c r="FO468" s="47"/>
      <c r="FP468" s="47"/>
      <c r="FQ468" s="47"/>
      <c r="FR468" s="47"/>
    </row>
    <row r="469" spans="170:174" ht="11.25" customHeight="1">
      <c r="FN469" s="50"/>
      <c r="FO469" s="47"/>
      <c r="FP469" s="47"/>
      <c r="FQ469" s="47"/>
      <c r="FR469" s="47"/>
    </row>
    <row r="470" spans="170:174" ht="11.25" customHeight="1">
      <c r="FN470" s="50"/>
      <c r="FO470" s="47"/>
      <c r="FP470" s="47"/>
      <c r="FQ470" s="47"/>
      <c r="FR470" s="47"/>
    </row>
    <row r="471" spans="170:174" ht="11.25" customHeight="1">
      <c r="FN471" s="50"/>
      <c r="FO471" s="47"/>
      <c r="FP471" s="47"/>
      <c r="FQ471" s="47"/>
      <c r="FR471" s="47"/>
    </row>
    <row r="472" spans="170:174" ht="11.25" customHeight="1">
      <c r="FN472" s="50"/>
      <c r="FO472" s="47"/>
      <c r="FP472" s="47"/>
      <c r="FQ472" s="47"/>
      <c r="FR472" s="47"/>
    </row>
    <row r="473" spans="170:174" ht="11.25" customHeight="1">
      <c r="FN473" s="50"/>
      <c r="FO473" s="47"/>
      <c r="FP473" s="47"/>
      <c r="FQ473" s="47"/>
      <c r="FR473" s="47"/>
    </row>
    <row r="474" spans="170:174" ht="11.25" customHeight="1">
      <c r="FN474" s="50"/>
      <c r="FO474" s="47"/>
      <c r="FP474" s="47"/>
      <c r="FQ474" s="47"/>
      <c r="FR474" s="47"/>
    </row>
    <row r="475" spans="170:174" ht="11.25" customHeight="1">
      <c r="FN475" s="50"/>
      <c r="FO475" s="47"/>
      <c r="FP475" s="47"/>
      <c r="FQ475" s="47"/>
      <c r="FR475" s="47"/>
    </row>
    <row r="476" spans="170:174" ht="11.25" customHeight="1">
      <c r="FN476" s="50"/>
      <c r="FO476" s="47"/>
      <c r="FP476" s="47"/>
      <c r="FQ476" s="47"/>
      <c r="FR476" s="47"/>
    </row>
    <row r="477" spans="170:174" ht="11.25" customHeight="1">
      <c r="FN477" s="50"/>
      <c r="FO477" s="47"/>
      <c r="FP477" s="47"/>
      <c r="FQ477" s="47"/>
      <c r="FR477" s="47"/>
    </row>
    <row r="478" spans="170:174" ht="11.25" customHeight="1">
      <c r="FN478" s="50"/>
      <c r="FO478" s="47"/>
      <c r="FP478" s="47"/>
      <c r="FQ478" s="47"/>
      <c r="FR478" s="47"/>
    </row>
    <row r="479" spans="170:174" ht="11.25" customHeight="1">
      <c r="FN479" s="50"/>
      <c r="FO479" s="47"/>
      <c r="FP479" s="47"/>
      <c r="FQ479" s="47"/>
      <c r="FR479" s="47"/>
    </row>
    <row r="480" spans="170:174" ht="11.25" customHeight="1">
      <c r="FN480" s="50"/>
      <c r="FO480" s="47"/>
      <c r="FP480" s="47"/>
      <c r="FQ480" s="47"/>
      <c r="FR480" s="47"/>
    </row>
    <row r="481" spans="170:174" ht="11.25" customHeight="1">
      <c r="FN481" s="50"/>
      <c r="FO481" s="47"/>
      <c r="FP481" s="47"/>
      <c r="FQ481" s="47"/>
      <c r="FR481" s="47"/>
    </row>
    <row r="482" spans="170:174" ht="11.25" customHeight="1">
      <c r="FN482" s="50"/>
      <c r="FO482" s="47"/>
      <c r="FP482" s="47"/>
      <c r="FQ482" s="47"/>
      <c r="FR482" s="47"/>
    </row>
    <row r="483" spans="170:174" ht="11.25" customHeight="1">
      <c r="FN483" s="50"/>
      <c r="FO483" s="47"/>
      <c r="FP483" s="47"/>
      <c r="FQ483" s="47"/>
      <c r="FR483" s="47"/>
    </row>
    <row r="484" spans="170:174" ht="11.25" customHeight="1">
      <c r="FN484" s="50"/>
      <c r="FO484" s="47"/>
      <c r="FP484" s="47"/>
      <c r="FQ484" s="47"/>
      <c r="FR484" s="47"/>
    </row>
    <row r="485" spans="170:174" ht="11.25" customHeight="1">
      <c r="FN485" s="50"/>
      <c r="FO485" s="47"/>
      <c r="FP485" s="47"/>
      <c r="FQ485" s="47"/>
      <c r="FR485" s="47"/>
    </row>
    <row r="486" spans="170:174" ht="11.25" customHeight="1">
      <c r="FN486" s="50"/>
      <c r="FO486" s="47"/>
      <c r="FP486" s="47"/>
      <c r="FQ486" s="47"/>
      <c r="FR486" s="47"/>
    </row>
    <row r="487" spans="170:174" ht="11.25" customHeight="1">
      <c r="FN487" s="50"/>
      <c r="FO487" s="47"/>
      <c r="FP487" s="47"/>
      <c r="FQ487" s="47"/>
      <c r="FR487" s="47"/>
    </row>
    <row r="488" spans="170:174" ht="11.25" customHeight="1">
      <c r="FN488" s="50"/>
      <c r="FO488" s="47"/>
      <c r="FP488" s="47"/>
      <c r="FQ488" s="47"/>
      <c r="FR488" s="47"/>
    </row>
    <row r="489" spans="170:174" ht="11.25" customHeight="1">
      <c r="FN489" s="50"/>
      <c r="FO489" s="47"/>
      <c r="FP489" s="47"/>
      <c r="FQ489" s="47"/>
      <c r="FR489" s="47"/>
    </row>
    <row r="490" spans="170:174" ht="11.25" customHeight="1">
      <c r="FN490" s="50"/>
      <c r="FO490" s="47"/>
      <c r="FP490" s="47"/>
      <c r="FQ490" s="47"/>
      <c r="FR490" s="47"/>
    </row>
    <row r="491" spans="170:174" ht="11.25" customHeight="1">
      <c r="FN491" s="50"/>
      <c r="FO491" s="47"/>
      <c r="FP491" s="47"/>
      <c r="FQ491" s="47"/>
      <c r="FR491" s="47"/>
    </row>
    <row r="492" spans="170:174" ht="11.25" customHeight="1">
      <c r="FN492" s="50"/>
      <c r="FO492" s="47"/>
      <c r="FP492" s="47"/>
      <c r="FQ492" s="47"/>
      <c r="FR492" s="47"/>
    </row>
    <row r="493" spans="170:174" ht="11.25" customHeight="1">
      <c r="FN493" s="50"/>
      <c r="FO493" s="47"/>
      <c r="FP493" s="47"/>
      <c r="FQ493" s="47"/>
      <c r="FR493" s="47"/>
    </row>
    <row r="494" spans="170:174" ht="11.25" customHeight="1">
      <c r="FN494" s="50"/>
      <c r="FO494" s="47"/>
      <c r="FP494" s="47"/>
      <c r="FQ494" s="47"/>
      <c r="FR494" s="47"/>
    </row>
    <row r="495" spans="170:174" ht="11.25" customHeight="1">
      <c r="FN495" s="50"/>
      <c r="FO495" s="47"/>
      <c r="FP495" s="47"/>
      <c r="FQ495" s="47"/>
      <c r="FR495" s="47"/>
    </row>
    <row r="496" spans="170:174" ht="11.25" customHeight="1">
      <c r="FN496" s="50"/>
      <c r="FO496" s="47"/>
      <c r="FP496" s="47"/>
      <c r="FQ496" s="47"/>
      <c r="FR496" s="47"/>
    </row>
    <row r="497" spans="170:174" ht="11.25" customHeight="1">
      <c r="FN497" s="50"/>
      <c r="FO497" s="47"/>
      <c r="FP497" s="47"/>
      <c r="FQ497" s="47"/>
      <c r="FR497" s="47"/>
    </row>
    <row r="498" spans="170:174" ht="11.25" customHeight="1">
      <c r="FN498" s="50"/>
      <c r="FO498" s="47"/>
      <c r="FP498" s="47"/>
      <c r="FQ498" s="47"/>
      <c r="FR498" s="47"/>
    </row>
    <row r="499" spans="170:174" ht="11.25" customHeight="1">
      <c r="FN499" s="50"/>
      <c r="FO499" s="47"/>
      <c r="FP499" s="47"/>
      <c r="FQ499" s="47"/>
      <c r="FR499" s="47"/>
    </row>
    <row r="500" spans="170:174" ht="11.25" customHeight="1">
      <c r="FN500" s="50"/>
      <c r="FO500" s="47"/>
      <c r="FP500" s="47"/>
      <c r="FQ500" s="47"/>
      <c r="FR500" s="47"/>
    </row>
    <row r="501" spans="170:174" ht="11.25" customHeight="1">
      <c r="FN501" s="50"/>
      <c r="FO501" s="47"/>
      <c r="FP501" s="47"/>
      <c r="FQ501" s="47"/>
      <c r="FR501" s="47"/>
    </row>
    <row r="502" spans="170:174" ht="11.25" customHeight="1">
      <c r="FN502" s="50"/>
      <c r="FO502" s="47"/>
      <c r="FP502" s="47"/>
      <c r="FQ502" s="47"/>
      <c r="FR502" s="47"/>
    </row>
    <row r="503" spans="170:174" ht="11.25" customHeight="1">
      <c r="FN503" s="50"/>
      <c r="FO503" s="47"/>
      <c r="FP503" s="47"/>
      <c r="FQ503" s="47"/>
      <c r="FR503" s="47"/>
    </row>
    <row r="504" spans="170:174" ht="11.25" customHeight="1">
      <c r="FN504" s="50"/>
      <c r="FO504" s="47"/>
      <c r="FP504" s="47"/>
      <c r="FQ504" s="47"/>
      <c r="FR504" s="47"/>
    </row>
    <row r="505" spans="170:174" ht="11.25" customHeight="1">
      <c r="FN505" s="50"/>
      <c r="FO505" s="47"/>
      <c r="FP505" s="47"/>
      <c r="FQ505" s="47"/>
      <c r="FR505" s="47"/>
    </row>
    <row r="506" spans="170:174" ht="11.25" customHeight="1">
      <c r="FN506" s="50"/>
      <c r="FO506" s="47"/>
      <c r="FP506" s="47"/>
      <c r="FQ506" s="47"/>
      <c r="FR506" s="47"/>
    </row>
    <row r="507" spans="170:174" ht="11.25" customHeight="1">
      <c r="FN507" s="50"/>
      <c r="FO507" s="47"/>
      <c r="FP507" s="47"/>
      <c r="FQ507" s="47"/>
      <c r="FR507" s="47"/>
    </row>
    <row r="508" spans="170:174" ht="11.25" customHeight="1">
      <c r="FN508" s="50"/>
      <c r="FO508" s="47"/>
      <c r="FP508" s="47"/>
      <c r="FQ508" s="47"/>
      <c r="FR508" s="47"/>
    </row>
    <row r="509" spans="170:174" ht="11.25" customHeight="1">
      <c r="FN509" s="50"/>
      <c r="FO509" s="47"/>
      <c r="FP509" s="47"/>
      <c r="FQ509" s="47"/>
      <c r="FR509" s="47"/>
    </row>
    <row r="510" spans="170:174" ht="11.25" customHeight="1">
      <c r="FN510" s="50"/>
      <c r="FO510" s="47"/>
      <c r="FP510" s="47"/>
      <c r="FQ510" s="47"/>
      <c r="FR510" s="47"/>
    </row>
    <row r="511" spans="170:174" ht="11.25" customHeight="1">
      <c r="FN511" s="50"/>
      <c r="FO511" s="47"/>
      <c r="FP511" s="47"/>
      <c r="FQ511" s="47"/>
      <c r="FR511" s="47"/>
    </row>
    <row r="512" spans="170:174" ht="11.25" customHeight="1">
      <c r="FN512" s="50"/>
      <c r="FO512" s="47"/>
      <c r="FP512" s="47"/>
      <c r="FQ512" s="47"/>
      <c r="FR512" s="47"/>
    </row>
    <row r="513" spans="170:174" ht="11.25" customHeight="1">
      <c r="FN513" s="50"/>
      <c r="FO513" s="47"/>
      <c r="FP513" s="47"/>
      <c r="FQ513" s="47"/>
      <c r="FR513" s="47"/>
    </row>
    <row r="514" spans="170:174" ht="11.25" customHeight="1">
      <c r="FN514" s="50"/>
      <c r="FO514" s="47"/>
      <c r="FP514" s="47"/>
      <c r="FQ514" s="47"/>
      <c r="FR514" s="47"/>
    </row>
    <row r="515" spans="170:174" ht="11.25" customHeight="1">
      <c r="FN515" s="50"/>
      <c r="FO515" s="47"/>
      <c r="FP515" s="47"/>
      <c r="FQ515" s="47"/>
      <c r="FR515" s="47"/>
    </row>
    <row r="516" spans="170:174" ht="11.25" customHeight="1">
      <c r="FN516" s="50"/>
      <c r="FO516" s="47"/>
      <c r="FP516" s="47"/>
      <c r="FQ516" s="47"/>
      <c r="FR516" s="47"/>
    </row>
    <row r="517" spans="170:174" ht="11.25" customHeight="1">
      <c r="FN517" s="50"/>
      <c r="FO517" s="47"/>
      <c r="FP517" s="47"/>
      <c r="FQ517" s="47"/>
      <c r="FR517" s="47"/>
    </row>
    <row r="518" spans="170:174" ht="11.25" customHeight="1">
      <c r="FN518" s="50"/>
      <c r="FO518" s="47"/>
      <c r="FP518" s="47"/>
      <c r="FQ518" s="47"/>
      <c r="FR518" s="47"/>
    </row>
    <row r="519" spans="170:174" ht="11.25" customHeight="1">
      <c r="FN519" s="50"/>
      <c r="FO519" s="47"/>
      <c r="FP519" s="47"/>
      <c r="FQ519" s="47"/>
      <c r="FR519" s="47"/>
    </row>
    <row r="520" spans="170:174" ht="11.25" customHeight="1">
      <c r="FN520" s="50"/>
      <c r="FO520" s="47"/>
      <c r="FP520" s="47"/>
      <c r="FQ520" s="47"/>
      <c r="FR520" s="47"/>
    </row>
    <row r="521" spans="170:174" ht="11.25" customHeight="1">
      <c r="FN521" s="50"/>
      <c r="FO521" s="47"/>
      <c r="FP521" s="47"/>
      <c r="FQ521" s="47"/>
      <c r="FR521" s="47"/>
    </row>
    <row r="522" spans="170:174" ht="11.25" customHeight="1">
      <c r="FN522" s="50"/>
      <c r="FO522" s="47"/>
      <c r="FP522" s="47"/>
      <c r="FQ522" s="47"/>
      <c r="FR522" s="47"/>
    </row>
    <row r="523" spans="170:174" ht="11.25" customHeight="1">
      <c r="FN523" s="50"/>
      <c r="FO523" s="47"/>
      <c r="FP523" s="47"/>
      <c r="FQ523" s="47"/>
      <c r="FR523" s="47"/>
    </row>
    <row r="524" spans="170:174" ht="11.25" customHeight="1">
      <c r="FN524" s="50"/>
      <c r="FO524" s="47"/>
      <c r="FP524" s="47"/>
      <c r="FQ524" s="47"/>
      <c r="FR524" s="47"/>
    </row>
    <row r="525" spans="170:174" ht="11.25" customHeight="1">
      <c r="FN525" s="50"/>
      <c r="FO525" s="47"/>
      <c r="FP525" s="47"/>
      <c r="FQ525" s="47"/>
      <c r="FR525" s="47"/>
    </row>
    <row r="526" spans="170:174" ht="11.25" customHeight="1">
      <c r="FN526" s="50"/>
      <c r="FO526" s="47"/>
      <c r="FP526" s="47"/>
      <c r="FQ526" s="47"/>
      <c r="FR526" s="47"/>
    </row>
    <row r="527" spans="170:174" ht="11.25" customHeight="1">
      <c r="FN527" s="50"/>
      <c r="FO527" s="47"/>
      <c r="FP527" s="47"/>
      <c r="FQ527" s="47"/>
      <c r="FR527" s="47"/>
    </row>
    <row r="528" spans="170:174" ht="11.25" customHeight="1">
      <c r="FN528" s="50"/>
      <c r="FO528" s="47"/>
      <c r="FP528" s="47"/>
      <c r="FQ528" s="47"/>
      <c r="FR528" s="47"/>
    </row>
    <row r="529" spans="170:174" ht="11.25" customHeight="1">
      <c r="FN529" s="50"/>
      <c r="FO529" s="47"/>
      <c r="FP529" s="47"/>
      <c r="FQ529" s="47"/>
      <c r="FR529" s="47"/>
    </row>
    <row r="530" spans="170:174" ht="11.25" customHeight="1">
      <c r="FN530" s="50"/>
      <c r="FO530" s="47"/>
      <c r="FP530" s="47"/>
      <c r="FQ530" s="47"/>
      <c r="FR530" s="47"/>
    </row>
    <row r="531" spans="170:174" ht="11.25" customHeight="1">
      <c r="FN531" s="50"/>
      <c r="FO531" s="47"/>
      <c r="FP531" s="47"/>
      <c r="FQ531" s="47"/>
      <c r="FR531" s="47"/>
    </row>
    <row r="532" spans="170:174" ht="11.25" customHeight="1">
      <c r="FN532" s="50"/>
      <c r="FO532" s="47"/>
      <c r="FP532" s="47"/>
      <c r="FQ532" s="47"/>
      <c r="FR532" s="47"/>
    </row>
    <row r="533" spans="170:174" ht="11.25" customHeight="1">
      <c r="FN533" s="50"/>
      <c r="FO533" s="47"/>
      <c r="FP533" s="47"/>
      <c r="FQ533" s="47"/>
      <c r="FR533" s="47"/>
    </row>
    <row r="534" spans="170:174" ht="11.25" customHeight="1">
      <c r="FN534" s="50"/>
      <c r="FO534" s="47"/>
      <c r="FP534" s="47"/>
      <c r="FQ534" s="47"/>
      <c r="FR534" s="47"/>
    </row>
    <row r="535" spans="170:174" ht="11.25" customHeight="1">
      <c r="FN535" s="50"/>
      <c r="FO535" s="47"/>
      <c r="FP535" s="47"/>
      <c r="FQ535" s="47"/>
      <c r="FR535" s="47"/>
    </row>
    <row r="536" spans="170:174" ht="11.25" customHeight="1">
      <c r="FN536" s="50"/>
      <c r="FO536" s="47"/>
      <c r="FP536" s="47"/>
      <c r="FQ536" s="47"/>
      <c r="FR536" s="47"/>
    </row>
    <row r="537" spans="170:174" ht="11.25" customHeight="1">
      <c r="FN537" s="50"/>
      <c r="FO537" s="47"/>
      <c r="FP537" s="47"/>
      <c r="FQ537" s="47"/>
      <c r="FR537" s="47"/>
    </row>
    <row r="538" spans="170:174" ht="11.25" customHeight="1">
      <c r="FN538" s="50"/>
      <c r="FO538" s="47"/>
      <c r="FP538" s="47"/>
      <c r="FQ538" s="47"/>
      <c r="FR538" s="47"/>
    </row>
    <row r="539" spans="170:174" ht="11.25" customHeight="1">
      <c r="FN539" s="50"/>
      <c r="FO539" s="47"/>
      <c r="FP539" s="47"/>
      <c r="FQ539" s="47"/>
      <c r="FR539" s="47"/>
    </row>
    <row r="540" spans="170:174" ht="11.25" customHeight="1">
      <c r="FN540" s="50"/>
      <c r="FO540" s="47"/>
      <c r="FP540" s="47"/>
      <c r="FQ540" s="47"/>
      <c r="FR540" s="47"/>
    </row>
    <row r="541" spans="170:174" ht="11.25" customHeight="1">
      <c r="FN541" s="50"/>
      <c r="FO541" s="47"/>
      <c r="FP541" s="47"/>
      <c r="FQ541" s="47"/>
      <c r="FR541" s="47"/>
    </row>
    <row r="542" spans="170:174" ht="11.25" customHeight="1">
      <c r="FN542" s="50"/>
      <c r="FO542" s="47"/>
      <c r="FP542" s="47"/>
      <c r="FQ542" s="47"/>
      <c r="FR542" s="47"/>
    </row>
    <row r="543" spans="170:174" ht="11.25" customHeight="1">
      <c r="FN543" s="50"/>
      <c r="FO543" s="47"/>
      <c r="FP543" s="47"/>
      <c r="FQ543" s="47"/>
      <c r="FR543" s="47"/>
    </row>
    <row r="544" spans="170:174" ht="11.25" customHeight="1">
      <c r="FN544" s="50"/>
      <c r="FO544" s="47"/>
      <c r="FP544" s="47"/>
      <c r="FQ544" s="47"/>
      <c r="FR544" s="47"/>
    </row>
    <row r="545" spans="170:174" ht="11.25" customHeight="1">
      <c r="FN545" s="50"/>
      <c r="FO545" s="47"/>
      <c r="FP545" s="47"/>
      <c r="FQ545" s="47"/>
      <c r="FR545" s="47"/>
    </row>
    <row r="546" spans="170:174" ht="11.25" customHeight="1">
      <c r="FN546" s="50"/>
      <c r="FO546" s="47"/>
      <c r="FP546" s="47"/>
      <c r="FQ546" s="47"/>
      <c r="FR546" s="47"/>
    </row>
    <row r="547" spans="170:174" ht="11.25" customHeight="1">
      <c r="FN547" s="50"/>
      <c r="FO547" s="47"/>
      <c r="FP547" s="47"/>
      <c r="FQ547" s="47"/>
      <c r="FR547" s="47"/>
    </row>
    <row r="548" spans="170:174" ht="11.25" customHeight="1">
      <c r="FN548" s="50"/>
      <c r="FO548" s="47"/>
      <c r="FP548" s="47"/>
      <c r="FQ548" s="47"/>
      <c r="FR548" s="47"/>
    </row>
    <row r="549" spans="170:174" ht="11.25" customHeight="1">
      <c r="FN549" s="50"/>
      <c r="FO549" s="47"/>
      <c r="FP549" s="47"/>
      <c r="FQ549" s="47"/>
      <c r="FR549" s="47"/>
    </row>
    <row r="550" spans="170:174" ht="11.25" customHeight="1">
      <c r="FN550" s="50"/>
      <c r="FO550" s="47"/>
      <c r="FP550" s="47"/>
      <c r="FQ550" s="47"/>
      <c r="FR550" s="47"/>
    </row>
    <row r="551" spans="170:174" ht="11.25" customHeight="1">
      <c r="FN551" s="50"/>
      <c r="FO551" s="47"/>
      <c r="FP551" s="47"/>
      <c r="FQ551" s="47"/>
      <c r="FR551" s="47"/>
    </row>
    <row r="552" spans="170:174" ht="11.25" customHeight="1">
      <c r="FN552" s="50"/>
      <c r="FO552" s="47"/>
      <c r="FP552" s="47"/>
      <c r="FQ552" s="47"/>
      <c r="FR552" s="47"/>
    </row>
    <row r="553" spans="170:174" ht="11.25" customHeight="1">
      <c r="FN553" s="50"/>
      <c r="FO553" s="47"/>
      <c r="FP553" s="47"/>
      <c r="FQ553" s="47"/>
      <c r="FR553" s="47"/>
    </row>
    <row r="554" spans="170:174" ht="11.25" customHeight="1">
      <c r="FN554" s="50"/>
      <c r="FO554" s="47"/>
      <c r="FP554" s="47"/>
      <c r="FQ554" s="47"/>
      <c r="FR554" s="47"/>
    </row>
    <row r="555" spans="170:174" ht="11.25" customHeight="1">
      <c r="FN555" s="50"/>
      <c r="FO555" s="47"/>
      <c r="FP555" s="47"/>
      <c r="FQ555" s="47"/>
      <c r="FR555" s="47"/>
    </row>
    <row r="556" spans="170:174" ht="11.25" customHeight="1">
      <c r="FN556" s="50"/>
      <c r="FO556" s="47"/>
      <c r="FP556" s="47"/>
      <c r="FQ556" s="47"/>
      <c r="FR556" s="47"/>
    </row>
    <row r="557" spans="170:174" ht="11.25" customHeight="1">
      <c r="FN557" s="50"/>
      <c r="FO557" s="47"/>
      <c r="FP557" s="47"/>
      <c r="FQ557" s="47"/>
      <c r="FR557" s="47"/>
    </row>
    <row r="558" spans="170:174" ht="11.25" customHeight="1">
      <c r="FN558" s="50"/>
      <c r="FO558" s="47"/>
      <c r="FP558" s="47"/>
      <c r="FQ558" s="47"/>
      <c r="FR558" s="47"/>
    </row>
    <row r="559" spans="170:174" ht="11.25" customHeight="1">
      <c r="FN559" s="50"/>
      <c r="FO559" s="47"/>
      <c r="FP559" s="47"/>
      <c r="FQ559" s="47"/>
      <c r="FR559" s="47"/>
    </row>
    <row r="560" spans="170:174" ht="11.25" customHeight="1">
      <c r="FN560" s="50"/>
      <c r="FO560" s="47"/>
      <c r="FP560" s="47"/>
      <c r="FQ560" s="47"/>
      <c r="FR560" s="47"/>
    </row>
    <row r="561" spans="170:174" ht="11.25" customHeight="1">
      <c r="FN561" s="50"/>
      <c r="FO561" s="47"/>
      <c r="FP561" s="47"/>
      <c r="FQ561" s="47"/>
      <c r="FR561" s="47"/>
    </row>
    <row r="562" spans="170:174" ht="11.25" customHeight="1">
      <c r="FN562" s="50"/>
      <c r="FO562" s="47"/>
      <c r="FP562" s="47"/>
      <c r="FQ562" s="47"/>
      <c r="FR562" s="47"/>
    </row>
    <row r="563" spans="170:174" ht="11.25" customHeight="1">
      <c r="FN563" s="50"/>
      <c r="FO563" s="47"/>
      <c r="FP563" s="47"/>
      <c r="FQ563" s="47"/>
      <c r="FR563" s="47"/>
    </row>
    <row r="564" spans="170:174" ht="11.25" customHeight="1">
      <c r="FN564" s="50"/>
      <c r="FO564" s="47"/>
      <c r="FP564" s="47"/>
      <c r="FQ564" s="47"/>
      <c r="FR564" s="47"/>
    </row>
    <row r="565" spans="170:174" ht="11.25" customHeight="1">
      <c r="FN565" s="50"/>
      <c r="FO565" s="47"/>
      <c r="FP565" s="47"/>
      <c r="FQ565" s="47"/>
      <c r="FR565" s="47"/>
    </row>
    <row r="566" spans="170:174" ht="11.25" customHeight="1">
      <c r="FN566" s="50"/>
      <c r="FO566" s="47"/>
      <c r="FP566" s="47"/>
      <c r="FQ566" s="47"/>
      <c r="FR566" s="47"/>
    </row>
    <row r="567" spans="170:174" ht="11.25" customHeight="1">
      <c r="FN567" s="50"/>
      <c r="FO567" s="47"/>
      <c r="FP567" s="47"/>
      <c r="FQ567" s="47"/>
      <c r="FR567" s="47"/>
    </row>
    <row r="568" spans="170:174" ht="11.25" customHeight="1">
      <c r="FN568" s="50"/>
      <c r="FO568" s="47"/>
      <c r="FP568" s="47"/>
      <c r="FQ568" s="47"/>
      <c r="FR568" s="47"/>
    </row>
    <row r="569" spans="170:174" ht="11.25" customHeight="1">
      <c r="FN569" s="50"/>
      <c r="FO569" s="47"/>
      <c r="FP569" s="47"/>
      <c r="FQ569" s="47"/>
      <c r="FR569" s="47"/>
    </row>
    <row r="570" spans="170:174" ht="11.25" customHeight="1">
      <c r="FN570" s="50"/>
      <c r="FO570" s="47"/>
      <c r="FP570" s="47"/>
      <c r="FQ570" s="47"/>
      <c r="FR570" s="47"/>
    </row>
    <row r="571" spans="170:174" ht="11.25" customHeight="1">
      <c r="FN571" s="50"/>
      <c r="FO571" s="47"/>
      <c r="FP571" s="47"/>
      <c r="FQ571" s="47"/>
      <c r="FR571" s="47"/>
    </row>
    <row r="572" spans="170:174" ht="11.25" customHeight="1">
      <c r="FN572" s="50"/>
      <c r="FO572" s="47"/>
      <c r="FP572" s="47"/>
      <c r="FQ572" s="47"/>
      <c r="FR572" s="47"/>
    </row>
    <row r="573" spans="170:174" ht="11.25" customHeight="1">
      <c r="FN573" s="50"/>
      <c r="FO573" s="47"/>
      <c r="FP573" s="47"/>
      <c r="FQ573" s="47"/>
      <c r="FR573" s="47"/>
    </row>
    <row r="574" spans="170:174" ht="11.25" customHeight="1">
      <c r="FN574" s="50"/>
      <c r="FO574" s="47"/>
      <c r="FP574" s="47"/>
      <c r="FQ574" s="47"/>
      <c r="FR574" s="47"/>
    </row>
    <row r="575" spans="170:174" ht="11.25" customHeight="1">
      <c r="FN575" s="50"/>
      <c r="FO575" s="47"/>
      <c r="FP575" s="47"/>
      <c r="FQ575" s="47"/>
      <c r="FR575" s="47"/>
    </row>
    <row r="576" spans="170:174" ht="11.25" customHeight="1">
      <c r="FN576" s="50"/>
      <c r="FO576" s="47"/>
      <c r="FP576" s="47"/>
      <c r="FQ576" s="47"/>
      <c r="FR576" s="47"/>
    </row>
    <row r="577" spans="170:174" ht="11.25" customHeight="1">
      <c r="FN577" s="50"/>
      <c r="FO577" s="47"/>
      <c r="FP577" s="47"/>
      <c r="FQ577" s="47"/>
      <c r="FR577" s="47"/>
    </row>
    <row r="578" spans="170:174" ht="11.25" customHeight="1">
      <c r="FN578" s="50"/>
      <c r="FO578" s="47"/>
      <c r="FP578" s="47"/>
      <c r="FQ578" s="47"/>
      <c r="FR578" s="47"/>
    </row>
    <row r="579" spans="170:174" ht="11.25" customHeight="1">
      <c r="FN579" s="50"/>
      <c r="FO579" s="47"/>
      <c r="FP579" s="47"/>
      <c r="FQ579" s="47"/>
      <c r="FR579" s="47"/>
    </row>
    <row r="580" spans="170:174" ht="11.25" customHeight="1">
      <c r="FN580" s="50"/>
      <c r="FO580" s="47"/>
      <c r="FP580" s="47"/>
      <c r="FQ580" s="47"/>
      <c r="FR580" s="47"/>
    </row>
    <row r="581" spans="170:174" ht="11.25" customHeight="1">
      <c r="FN581" s="50"/>
      <c r="FO581" s="47"/>
      <c r="FP581" s="47"/>
      <c r="FQ581" s="47"/>
      <c r="FR581" s="47"/>
    </row>
    <row r="582" spans="170:174" ht="11.25" customHeight="1">
      <c r="FN582" s="50"/>
      <c r="FO582" s="47"/>
      <c r="FP582" s="47"/>
      <c r="FQ582" s="47"/>
      <c r="FR582" s="47"/>
    </row>
    <row r="583" spans="170:174" ht="11.25" customHeight="1">
      <c r="FN583" s="50"/>
      <c r="FO583" s="47"/>
      <c r="FP583" s="47"/>
      <c r="FQ583" s="47"/>
      <c r="FR583" s="47"/>
    </row>
    <row r="584" spans="170:174" ht="11.25" customHeight="1">
      <c r="FN584" s="50"/>
      <c r="FO584" s="47"/>
      <c r="FP584" s="47"/>
      <c r="FQ584" s="47"/>
      <c r="FR584" s="47"/>
    </row>
    <row r="585" spans="170:174" ht="11.25" customHeight="1">
      <c r="FN585" s="50"/>
      <c r="FO585" s="47"/>
      <c r="FP585" s="47"/>
      <c r="FQ585" s="47"/>
      <c r="FR585" s="47"/>
    </row>
    <row r="586" spans="170:174" ht="11.25" customHeight="1">
      <c r="FN586" s="50"/>
      <c r="FO586" s="47"/>
      <c r="FP586" s="47"/>
      <c r="FQ586" s="47"/>
      <c r="FR586" s="47"/>
    </row>
    <row r="587" spans="170:174" ht="11.25" customHeight="1">
      <c r="FN587" s="50"/>
      <c r="FO587" s="47"/>
      <c r="FP587" s="47"/>
      <c r="FQ587" s="47"/>
      <c r="FR587" s="47"/>
    </row>
    <row r="588" spans="170:174" ht="11.25" customHeight="1">
      <c r="FN588" s="50"/>
      <c r="FO588" s="47"/>
      <c r="FP588" s="47"/>
      <c r="FQ588" s="47"/>
      <c r="FR588" s="47"/>
    </row>
    <row r="589" spans="170:174" ht="11.25" customHeight="1">
      <c r="FN589" s="50"/>
      <c r="FO589" s="47"/>
      <c r="FP589" s="47"/>
      <c r="FQ589" s="47"/>
      <c r="FR589" s="47"/>
    </row>
    <row r="590" spans="170:174" ht="11.25" customHeight="1">
      <c r="FN590" s="50"/>
      <c r="FO590" s="47"/>
      <c r="FP590" s="47"/>
      <c r="FQ590" s="47"/>
      <c r="FR590" s="47"/>
    </row>
    <row r="591" spans="170:174" ht="11.25" customHeight="1">
      <c r="FN591" s="50"/>
      <c r="FO591" s="47"/>
      <c r="FP591" s="47"/>
      <c r="FQ591" s="47"/>
      <c r="FR591" s="47"/>
    </row>
    <row r="592" spans="170:174" ht="11.25" customHeight="1">
      <c r="FN592" s="50"/>
      <c r="FO592" s="47"/>
      <c r="FP592" s="47"/>
      <c r="FQ592" s="47"/>
      <c r="FR592" s="47"/>
    </row>
    <row r="593" spans="170:174" ht="11.25" customHeight="1">
      <c r="FN593" s="50"/>
      <c r="FO593" s="47"/>
      <c r="FP593" s="47"/>
      <c r="FQ593" s="47"/>
      <c r="FR593" s="47"/>
    </row>
    <row r="594" spans="170:174" ht="11.25" customHeight="1">
      <c r="FN594" s="50"/>
      <c r="FO594" s="47"/>
      <c r="FP594" s="47"/>
      <c r="FQ594" s="47"/>
      <c r="FR594" s="47"/>
    </row>
    <row r="595" spans="170:174" ht="11.25" customHeight="1">
      <c r="FN595" s="50"/>
      <c r="FO595" s="47"/>
      <c r="FP595" s="47"/>
      <c r="FQ595" s="47"/>
      <c r="FR595" s="47"/>
    </row>
    <row r="596" spans="170:174" ht="11.25" customHeight="1">
      <c r="FN596" s="50"/>
      <c r="FO596" s="47"/>
      <c r="FP596" s="47"/>
      <c r="FQ596" s="47"/>
      <c r="FR596" s="47"/>
    </row>
    <row r="597" spans="170:174" ht="11.25" customHeight="1">
      <c r="FN597" s="50"/>
      <c r="FO597" s="47"/>
      <c r="FP597" s="47"/>
      <c r="FQ597" s="47"/>
      <c r="FR597" s="47"/>
    </row>
    <row r="598" spans="170:174" ht="11.25" customHeight="1">
      <c r="FN598" s="50"/>
      <c r="FO598" s="47"/>
      <c r="FP598" s="47"/>
      <c r="FQ598" s="47"/>
      <c r="FR598" s="47"/>
    </row>
    <row r="599" spans="170:174" ht="11.25" customHeight="1">
      <c r="FN599" s="50"/>
      <c r="FO599" s="47"/>
      <c r="FP599" s="47"/>
      <c r="FQ599" s="47"/>
      <c r="FR599" s="47"/>
    </row>
    <row r="600" spans="170:174" ht="11.25" customHeight="1">
      <c r="FN600" s="50"/>
      <c r="FO600" s="47"/>
      <c r="FP600" s="47"/>
      <c r="FQ600" s="47"/>
      <c r="FR600" s="47"/>
    </row>
    <row r="601" spans="170:174" ht="11.25" customHeight="1">
      <c r="FN601" s="50"/>
      <c r="FO601" s="47"/>
      <c r="FP601" s="47"/>
      <c r="FQ601" s="47"/>
      <c r="FR601" s="47"/>
    </row>
    <row r="602" spans="170:174" ht="11.25" customHeight="1">
      <c r="FN602" s="50"/>
      <c r="FO602" s="47"/>
      <c r="FP602" s="47"/>
      <c r="FQ602" s="47"/>
      <c r="FR602" s="47"/>
    </row>
    <row r="603" spans="170:174" ht="11.25" customHeight="1">
      <c r="FN603" s="50"/>
      <c r="FO603" s="47"/>
      <c r="FP603" s="47"/>
      <c r="FQ603" s="47"/>
      <c r="FR603" s="47"/>
    </row>
    <row r="604" spans="170:174" ht="11.25" customHeight="1">
      <c r="FN604" s="50"/>
      <c r="FO604" s="47"/>
      <c r="FP604" s="47"/>
      <c r="FQ604" s="47"/>
      <c r="FR604" s="47"/>
    </row>
    <row r="605" spans="170:174" ht="11.25" customHeight="1">
      <c r="FN605" s="50"/>
      <c r="FO605" s="47"/>
      <c r="FP605" s="47"/>
      <c r="FQ605" s="47"/>
      <c r="FR605" s="47"/>
    </row>
    <row r="606" spans="170:174" ht="11.25" customHeight="1">
      <c r="FN606" s="50"/>
      <c r="FO606" s="47"/>
      <c r="FP606" s="47"/>
      <c r="FQ606" s="47"/>
      <c r="FR606" s="47"/>
    </row>
    <row r="607" spans="170:174" ht="11.25" customHeight="1">
      <c r="FN607" s="50"/>
      <c r="FO607" s="47"/>
      <c r="FP607" s="47"/>
      <c r="FQ607" s="47"/>
      <c r="FR607" s="47"/>
    </row>
    <row r="608" spans="170:174" ht="11.25" customHeight="1">
      <c r="FN608" s="50"/>
      <c r="FO608" s="47"/>
      <c r="FP608" s="47"/>
      <c r="FQ608" s="47"/>
      <c r="FR608" s="47"/>
    </row>
    <row r="609" spans="170:174" ht="11.25" customHeight="1">
      <c r="FN609" s="50"/>
      <c r="FO609" s="47"/>
      <c r="FP609" s="47"/>
      <c r="FQ609" s="47"/>
      <c r="FR609" s="47"/>
    </row>
    <row r="610" spans="170:174" ht="11.25" customHeight="1">
      <c r="FN610" s="50"/>
      <c r="FO610" s="47"/>
      <c r="FP610" s="47"/>
      <c r="FQ610" s="47"/>
      <c r="FR610" s="47"/>
    </row>
    <row r="611" spans="170:174" ht="11.25" customHeight="1">
      <c r="FN611" s="50"/>
      <c r="FO611" s="47"/>
      <c r="FP611" s="47"/>
      <c r="FQ611" s="47"/>
      <c r="FR611" s="47"/>
    </row>
    <row r="612" spans="170:174" ht="11.25" customHeight="1">
      <c r="FN612" s="50"/>
      <c r="FO612" s="47"/>
      <c r="FP612" s="47"/>
      <c r="FQ612" s="47"/>
      <c r="FR612" s="47"/>
    </row>
    <row r="613" spans="170:174" ht="11.25" customHeight="1">
      <c r="FN613" s="50"/>
      <c r="FO613" s="47"/>
      <c r="FP613" s="47"/>
      <c r="FQ613" s="47"/>
      <c r="FR613" s="47"/>
    </row>
    <row r="614" spans="170:174" ht="11.25" customHeight="1">
      <c r="FN614" s="50"/>
      <c r="FO614" s="47"/>
      <c r="FP614" s="47"/>
      <c r="FQ614" s="47"/>
      <c r="FR614" s="47"/>
    </row>
    <row r="615" spans="170:174" ht="11.25" customHeight="1">
      <c r="FN615" s="50"/>
      <c r="FO615" s="47"/>
      <c r="FP615" s="47"/>
      <c r="FQ615" s="47"/>
      <c r="FR615" s="47"/>
    </row>
    <row r="616" spans="170:174" ht="11.25" customHeight="1">
      <c r="FN616" s="50"/>
      <c r="FO616" s="47"/>
      <c r="FP616" s="47"/>
      <c r="FQ616" s="47"/>
      <c r="FR616" s="47"/>
    </row>
    <row r="617" spans="170:174" ht="11.25" customHeight="1">
      <c r="FN617" s="50"/>
      <c r="FO617" s="47"/>
      <c r="FP617" s="47"/>
      <c r="FQ617" s="47"/>
      <c r="FR617" s="47"/>
    </row>
    <row r="618" spans="170:174" ht="11.25" customHeight="1">
      <c r="FN618" s="50"/>
      <c r="FO618" s="47"/>
      <c r="FP618" s="47"/>
      <c r="FQ618" s="47"/>
      <c r="FR618" s="47"/>
    </row>
    <row r="619" spans="170:174" ht="11.25" customHeight="1">
      <c r="FN619" s="50"/>
      <c r="FO619" s="47"/>
      <c r="FP619" s="47"/>
      <c r="FQ619" s="47"/>
      <c r="FR619" s="47"/>
    </row>
    <row r="620" spans="170:174" ht="11.25" customHeight="1">
      <c r="FN620" s="50"/>
      <c r="FO620" s="47"/>
      <c r="FP620" s="47"/>
      <c r="FQ620" s="47"/>
      <c r="FR620" s="47"/>
    </row>
    <row r="621" spans="170:174" ht="11.25" customHeight="1">
      <c r="FN621" s="50"/>
      <c r="FO621" s="47"/>
      <c r="FP621" s="47"/>
      <c r="FQ621" s="47"/>
      <c r="FR621" s="47"/>
    </row>
    <row r="622" spans="170:174" ht="11.25" customHeight="1">
      <c r="FN622" s="50"/>
      <c r="FO622" s="47"/>
      <c r="FP622" s="47"/>
      <c r="FQ622" s="47"/>
      <c r="FR622" s="47"/>
    </row>
    <row r="623" spans="170:174" ht="11.25" customHeight="1">
      <c r="FN623" s="50"/>
      <c r="FO623" s="47"/>
      <c r="FP623" s="47"/>
      <c r="FQ623" s="47"/>
      <c r="FR623" s="47"/>
    </row>
    <row r="624" spans="170:174" ht="11.25" customHeight="1">
      <c r="FN624" s="50"/>
      <c r="FO624" s="47"/>
      <c r="FP624" s="47"/>
      <c r="FQ624" s="47"/>
      <c r="FR624" s="47"/>
    </row>
    <row r="625" spans="170:174" ht="11.25" customHeight="1">
      <c r="FN625" s="50"/>
      <c r="FO625" s="47"/>
      <c r="FP625" s="47"/>
      <c r="FQ625" s="47"/>
      <c r="FR625" s="47"/>
    </row>
    <row r="626" spans="170:174" ht="11.25" customHeight="1">
      <c r="FN626" s="50"/>
      <c r="FO626" s="47"/>
      <c r="FP626" s="47"/>
      <c r="FQ626" s="47"/>
      <c r="FR626" s="47"/>
    </row>
    <row r="627" spans="170:174" ht="11.25" customHeight="1">
      <c r="FN627" s="50"/>
      <c r="FO627" s="47"/>
      <c r="FP627" s="47"/>
      <c r="FQ627" s="47"/>
      <c r="FR627" s="47"/>
    </row>
    <row r="628" spans="170:174" ht="11.25" customHeight="1">
      <c r="FN628" s="50"/>
      <c r="FO628" s="47"/>
      <c r="FP628" s="47"/>
      <c r="FQ628" s="47"/>
      <c r="FR628" s="47"/>
    </row>
    <row r="629" spans="170:174" ht="11.25" customHeight="1">
      <c r="FN629" s="50"/>
      <c r="FO629" s="47"/>
      <c r="FP629" s="47"/>
      <c r="FQ629" s="47"/>
      <c r="FR629" s="47"/>
    </row>
    <row r="630" spans="170:174" ht="11.25" customHeight="1">
      <c r="FN630" s="50"/>
      <c r="FO630" s="47"/>
      <c r="FP630" s="47"/>
      <c r="FQ630" s="47"/>
      <c r="FR630" s="47"/>
    </row>
    <row r="631" spans="170:174" ht="11.25" customHeight="1">
      <c r="FN631" s="50"/>
      <c r="FO631" s="47"/>
      <c r="FP631" s="47"/>
      <c r="FQ631" s="47"/>
      <c r="FR631" s="47"/>
    </row>
    <row r="632" spans="170:174" ht="11.25" customHeight="1">
      <c r="FN632" s="50"/>
      <c r="FO632" s="47"/>
      <c r="FP632" s="47"/>
      <c r="FQ632" s="47"/>
      <c r="FR632" s="47"/>
    </row>
    <row r="633" spans="170:174" ht="11.25" customHeight="1">
      <c r="FN633" s="50"/>
      <c r="FO633" s="47"/>
      <c r="FP633" s="47"/>
      <c r="FQ633" s="47"/>
      <c r="FR633" s="47"/>
    </row>
    <row r="634" spans="170:174" ht="11.25" customHeight="1">
      <c r="FN634" s="50"/>
      <c r="FO634" s="47"/>
      <c r="FP634" s="47"/>
      <c r="FQ634" s="47"/>
      <c r="FR634" s="47"/>
    </row>
    <row r="635" spans="170:174" ht="11.25" customHeight="1">
      <c r="FN635" s="50"/>
      <c r="FO635" s="47"/>
      <c r="FP635" s="47"/>
      <c r="FQ635" s="47"/>
      <c r="FR635" s="47"/>
    </row>
    <row r="636" spans="170:174" ht="11.25" customHeight="1">
      <c r="FN636" s="50"/>
      <c r="FO636" s="47"/>
      <c r="FP636" s="47"/>
      <c r="FQ636" s="47"/>
      <c r="FR636" s="47"/>
    </row>
    <row r="637" spans="170:174" ht="11.25" customHeight="1">
      <c r="FN637" s="50"/>
      <c r="FO637" s="47"/>
      <c r="FP637" s="47"/>
      <c r="FQ637" s="47"/>
      <c r="FR637" s="47"/>
    </row>
    <row r="638" spans="170:174" ht="11.25" customHeight="1">
      <c r="FN638" s="50"/>
      <c r="FO638" s="47"/>
      <c r="FP638" s="47"/>
      <c r="FQ638" s="47"/>
      <c r="FR638" s="47"/>
    </row>
    <row r="639" spans="170:174" ht="11.25" customHeight="1">
      <c r="FN639" s="50"/>
      <c r="FO639" s="47"/>
      <c r="FP639" s="47"/>
      <c r="FQ639" s="47"/>
      <c r="FR639" s="47"/>
    </row>
    <row r="640" spans="170:174" ht="11.25" customHeight="1">
      <c r="FN640" s="50"/>
      <c r="FO640" s="47"/>
      <c r="FP640" s="47"/>
      <c r="FQ640" s="47"/>
      <c r="FR640" s="47"/>
    </row>
    <row r="641" spans="170:174" ht="11.25" customHeight="1">
      <c r="FN641" s="50"/>
      <c r="FO641" s="47"/>
      <c r="FP641" s="47"/>
      <c r="FQ641" s="47"/>
      <c r="FR641" s="47"/>
    </row>
    <row r="642" spans="170:174" ht="11.25" customHeight="1">
      <c r="FN642" s="50"/>
      <c r="FO642" s="47"/>
      <c r="FP642" s="47"/>
      <c r="FQ642" s="47"/>
      <c r="FR642" s="47"/>
    </row>
    <row r="643" spans="170:174" ht="11.25" customHeight="1">
      <c r="FN643" s="50"/>
      <c r="FO643" s="47"/>
      <c r="FP643" s="47"/>
      <c r="FQ643" s="47"/>
      <c r="FR643" s="47"/>
    </row>
    <row r="644" spans="170:174" ht="11.25" customHeight="1">
      <c r="FN644" s="50"/>
      <c r="FO644" s="47"/>
      <c r="FP644" s="47"/>
      <c r="FQ644" s="47"/>
      <c r="FR644" s="47"/>
    </row>
    <row r="645" spans="170:174" ht="11.25" customHeight="1">
      <c r="FN645" s="50"/>
      <c r="FO645" s="47"/>
      <c r="FP645" s="47"/>
      <c r="FQ645" s="47"/>
      <c r="FR645" s="47"/>
    </row>
    <row r="646" spans="170:174" ht="11.25" customHeight="1">
      <c r="FN646" s="50"/>
      <c r="FO646" s="47"/>
      <c r="FP646" s="47"/>
      <c r="FQ646" s="47"/>
      <c r="FR646" s="47"/>
    </row>
    <row r="647" spans="170:174" ht="11.25" customHeight="1">
      <c r="FN647" s="50"/>
      <c r="FO647" s="47"/>
      <c r="FP647" s="47"/>
      <c r="FQ647" s="47"/>
      <c r="FR647" s="47"/>
    </row>
    <row r="648" spans="170:174" ht="11.25" customHeight="1">
      <c r="FN648" s="50"/>
      <c r="FO648" s="47"/>
      <c r="FP648" s="47"/>
      <c r="FQ648" s="47"/>
      <c r="FR648" s="47"/>
    </row>
    <row r="649" spans="170:174" ht="11.25" customHeight="1">
      <c r="FN649" s="50"/>
      <c r="FO649" s="47"/>
      <c r="FP649" s="47"/>
      <c r="FQ649" s="47"/>
      <c r="FR649" s="47"/>
    </row>
    <row r="650" spans="170:174" ht="11.25" customHeight="1">
      <c r="FN650" s="50"/>
      <c r="FO650" s="47"/>
      <c r="FP650" s="47"/>
      <c r="FQ650" s="47"/>
      <c r="FR650" s="47"/>
    </row>
    <row r="651" spans="170:174" ht="11.25" customHeight="1">
      <c r="FN651" s="50"/>
      <c r="FO651" s="47"/>
      <c r="FP651" s="47"/>
      <c r="FQ651" s="47"/>
      <c r="FR651" s="47"/>
    </row>
    <row r="652" spans="170:174" ht="11.25" customHeight="1">
      <c r="FN652" s="50"/>
      <c r="FO652" s="47"/>
      <c r="FP652" s="47"/>
      <c r="FQ652" s="47"/>
      <c r="FR652" s="47"/>
    </row>
    <row r="653" spans="170:174" ht="11.25" customHeight="1">
      <c r="FN653" s="50"/>
      <c r="FO653" s="47"/>
      <c r="FP653" s="47"/>
      <c r="FQ653" s="47"/>
      <c r="FR653" s="47"/>
    </row>
    <row r="654" spans="170:174" ht="11.25" customHeight="1">
      <c r="FN654" s="50"/>
      <c r="FO654" s="47"/>
      <c r="FP654" s="47"/>
      <c r="FQ654" s="47"/>
      <c r="FR654" s="47"/>
    </row>
    <row r="655" spans="170:174" ht="11.25" customHeight="1">
      <c r="FN655" s="50"/>
      <c r="FO655" s="47"/>
      <c r="FP655" s="47"/>
      <c r="FQ655" s="47"/>
      <c r="FR655" s="47"/>
    </row>
    <row r="656" spans="170:174" ht="11.25" customHeight="1">
      <c r="FN656" s="50"/>
      <c r="FO656" s="47"/>
      <c r="FP656" s="47"/>
      <c r="FQ656" s="47"/>
      <c r="FR656" s="47"/>
    </row>
    <row r="657" spans="170:174" ht="11.25" customHeight="1">
      <c r="FN657" s="50"/>
      <c r="FO657" s="47"/>
      <c r="FP657" s="47"/>
      <c r="FQ657" s="47"/>
      <c r="FR657" s="47"/>
    </row>
    <row r="658" spans="170:174" ht="11.25" customHeight="1">
      <c r="FN658" s="50"/>
      <c r="FO658" s="47"/>
      <c r="FP658" s="47"/>
      <c r="FQ658" s="47"/>
      <c r="FR658" s="47"/>
    </row>
    <row r="659" spans="170:174" ht="11.25" customHeight="1">
      <c r="FN659" s="50"/>
      <c r="FO659" s="47"/>
      <c r="FP659" s="47"/>
      <c r="FQ659" s="47"/>
      <c r="FR659" s="47"/>
    </row>
    <row r="660" spans="170:174" ht="11.25" customHeight="1">
      <c r="FN660" s="50"/>
      <c r="FO660" s="47"/>
      <c r="FP660" s="47"/>
      <c r="FQ660" s="47"/>
      <c r="FR660" s="47"/>
    </row>
    <row r="661" spans="170:174" ht="11.25" customHeight="1">
      <c r="FN661" s="50"/>
      <c r="FO661" s="47"/>
      <c r="FP661" s="47"/>
      <c r="FQ661" s="47"/>
      <c r="FR661" s="47"/>
    </row>
    <row r="662" spans="170:174" ht="11.25" customHeight="1">
      <c r="FN662" s="50"/>
      <c r="FO662" s="47"/>
      <c r="FP662" s="47"/>
      <c r="FQ662" s="47"/>
      <c r="FR662" s="47"/>
    </row>
    <row r="663" spans="170:174" ht="11.25" customHeight="1">
      <c r="FN663" s="50"/>
      <c r="FO663" s="47"/>
      <c r="FP663" s="47"/>
      <c r="FQ663" s="47"/>
      <c r="FR663" s="47"/>
    </row>
    <row r="664" spans="170:174" ht="11.25" customHeight="1">
      <c r="FN664" s="50"/>
      <c r="FO664" s="47"/>
      <c r="FP664" s="47"/>
      <c r="FQ664" s="47"/>
      <c r="FR664" s="47"/>
    </row>
    <row r="665" spans="170:174" ht="11.25" customHeight="1">
      <c r="FN665" s="50"/>
      <c r="FO665" s="47"/>
      <c r="FP665" s="47"/>
      <c r="FQ665" s="47"/>
      <c r="FR665" s="47"/>
    </row>
    <row r="666" spans="170:174" ht="11.25" customHeight="1">
      <c r="FN666" s="50"/>
      <c r="FO666" s="47"/>
      <c r="FP666" s="47"/>
      <c r="FQ666" s="47"/>
      <c r="FR666" s="47"/>
    </row>
    <row r="667" spans="170:174" ht="11.25" customHeight="1">
      <c r="FN667" s="50"/>
      <c r="FO667" s="47"/>
      <c r="FP667" s="47"/>
      <c r="FQ667" s="47"/>
      <c r="FR667" s="47"/>
    </row>
    <row r="668" spans="170:174" ht="11.25" customHeight="1">
      <c r="FN668" s="50"/>
      <c r="FO668" s="47"/>
      <c r="FP668" s="47"/>
      <c r="FQ668" s="47"/>
      <c r="FR668" s="47"/>
    </row>
    <row r="669" spans="170:174" ht="11.25" customHeight="1">
      <c r="FN669" s="50"/>
      <c r="FO669" s="47"/>
      <c r="FP669" s="47"/>
      <c r="FQ669" s="47"/>
      <c r="FR669" s="47"/>
    </row>
    <row r="670" spans="170:174" ht="11.25" customHeight="1">
      <c r="FN670" s="50"/>
      <c r="FO670" s="47"/>
      <c r="FP670" s="47"/>
      <c r="FQ670" s="47"/>
      <c r="FR670" s="47"/>
    </row>
    <row r="671" spans="170:174" ht="11.25" customHeight="1">
      <c r="FN671" s="50"/>
      <c r="FO671" s="47"/>
      <c r="FP671" s="47"/>
      <c r="FQ671" s="47"/>
      <c r="FR671" s="47"/>
    </row>
    <row r="672" spans="170:174" ht="11.25" customHeight="1">
      <c r="FN672" s="50"/>
      <c r="FO672" s="47"/>
      <c r="FP672" s="47"/>
      <c r="FQ672" s="47"/>
      <c r="FR672" s="47"/>
    </row>
    <row r="673" spans="170:174" ht="11.25" customHeight="1">
      <c r="FN673" s="50"/>
      <c r="FO673" s="47"/>
      <c r="FP673" s="47"/>
      <c r="FQ673" s="47"/>
      <c r="FR673" s="47"/>
    </row>
    <row r="674" spans="170:174" ht="11.25" customHeight="1">
      <c r="FN674" s="50"/>
      <c r="FO674" s="47"/>
      <c r="FP674" s="47"/>
      <c r="FQ674" s="47"/>
      <c r="FR674" s="47"/>
    </row>
    <row r="675" spans="170:174" ht="11.25" customHeight="1">
      <c r="FN675" s="50"/>
      <c r="FO675" s="47"/>
      <c r="FP675" s="47"/>
      <c r="FQ675" s="47"/>
      <c r="FR675" s="47"/>
    </row>
    <row r="676" spans="170:174" ht="11.25" customHeight="1">
      <c r="FN676" s="50"/>
      <c r="FO676" s="47"/>
      <c r="FP676" s="47"/>
      <c r="FQ676" s="47"/>
      <c r="FR676" s="47"/>
    </row>
    <row r="677" spans="170:174" ht="11.25" customHeight="1">
      <c r="FN677" s="50"/>
      <c r="FO677" s="47"/>
      <c r="FP677" s="47"/>
      <c r="FQ677" s="47"/>
      <c r="FR677" s="47"/>
    </row>
    <row r="678" spans="170:174" ht="11.25" customHeight="1">
      <c r="FN678" s="50"/>
      <c r="FO678" s="47"/>
      <c r="FP678" s="47"/>
      <c r="FQ678" s="47"/>
      <c r="FR678" s="47"/>
    </row>
    <row r="679" spans="170:174" ht="11.25" customHeight="1">
      <c r="FN679" s="50"/>
      <c r="FO679" s="47"/>
      <c r="FP679" s="47"/>
      <c r="FQ679" s="47"/>
      <c r="FR679" s="47"/>
    </row>
    <row r="680" spans="170:174" ht="11.25" customHeight="1">
      <c r="FN680" s="50"/>
      <c r="FO680" s="47"/>
      <c r="FP680" s="47"/>
      <c r="FQ680" s="47"/>
      <c r="FR680" s="47"/>
    </row>
    <row r="681" spans="170:174" ht="11.25" customHeight="1">
      <c r="FN681" s="50"/>
      <c r="FO681" s="47"/>
      <c r="FP681" s="47"/>
      <c r="FQ681" s="47"/>
      <c r="FR681" s="47"/>
    </row>
    <row r="682" spans="170:174" ht="11.25" customHeight="1">
      <c r="FN682" s="50"/>
      <c r="FO682" s="47"/>
      <c r="FP682" s="47"/>
      <c r="FQ682" s="47"/>
      <c r="FR682" s="47"/>
    </row>
    <row r="683" spans="170:174" ht="11.25" customHeight="1">
      <c r="FN683" s="50"/>
      <c r="FO683" s="47"/>
      <c r="FP683" s="47"/>
      <c r="FQ683" s="47"/>
      <c r="FR683" s="47"/>
    </row>
    <row r="684" spans="170:174" ht="11.25" customHeight="1">
      <c r="FN684" s="50"/>
      <c r="FO684" s="47"/>
      <c r="FP684" s="47"/>
      <c r="FQ684" s="47"/>
      <c r="FR684" s="47"/>
    </row>
    <row r="685" spans="170:174" ht="11.25" customHeight="1">
      <c r="FN685" s="50"/>
      <c r="FO685" s="47"/>
      <c r="FP685" s="47"/>
      <c r="FQ685" s="47"/>
      <c r="FR685" s="47"/>
    </row>
    <row r="686" spans="170:174" ht="11.25" customHeight="1">
      <c r="FN686" s="50"/>
      <c r="FO686" s="47"/>
      <c r="FP686" s="47"/>
      <c r="FQ686" s="47"/>
      <c r="FR686" s="47"/>
    </row>
    <row r="687" spans="170:174" ht="11.25" customHeight="1">
      <c r="FN687" s="50"/>
      <c r="FO687" s="47"/>
      <c r="FP687" s="47"/>
      <c r="FQ687" s="47"/>
      <c r="FR687" s="47"/>
    </row>
    <row r="688" spans="170:174" ht="11.25" customHeight="1">
      <c r="FN688" s="50"/>
      <c r="FO688" s="47"/>
      <c r="FP688" s="47"/>
      <c r="FQ688" s="47"/>
      <c r="FR688" s="47"/>
    </row>
    <row r="689" spans="170:174" ht="11.25" customHeight="1">
      <c r="FN689" s="50"/>
      <c r="FO689" s="47"/>
      <c r="FP689" s="47"/>
      <c r="FQ689" s="47"/>
      <c r="FR689" s="47"/>
    </row>
    <row r="690" spans="170:174" ht="11.25" customHeight="1">
      <c r="FN690" s="50"/>
      <c r="FO690" s="47"/>
      <c r="FP690" s="47"/>
      <c r="FQ690" s="47"/>
      <c r="FR690" s="47"/>
    </row>
    <row r="691" spans="170:174" ht="11.25" customHeight="1">
      <c r="FN691" s="50"/>
      <c r="FO691" s="47"/>
      <c r="FP691" s="47"/>
      <c r="FQ691" s="47"/>
      <c r="FR691" s="47"/>
    </row>
    <row r="692" spans="170:174" ht="11.25" customHeight="1">
      <c r="FN692" s="50"/>
      <c r="FO692" s="47"/>
      <c r="FP692" s="47"/>
      <c r="FQ692" s="47"/>
      <c r="FR692" s="47"/>
    </row>
    <row r="693" spans="170:174" ht="11.25" customHeight="1">
      <c r="FN693" s="50"/>
      <c r="FO693" s="47"/>
      <c r="FP693" s="47"/>
      <c r="FQ693" s="47"/>
      <c r="FR693" s="47"/>
    </row>
    <row r="694" spans="170:174" ht="11.25" customHeight="1">
      <c r="FN694" s="50"/>
      <c r="FO694" s="47"/>
      <c r="FP694" s="47"/>
      <c r="FQ694" s="47"/>
      <c r="FR694" s="47"/>
    </row>
    <row r="695" spans="170:174" ht="11.25" customHeight="1">
      <c r="FN695" s="50"/>
      <c r="FO695" s="47"/>
      <c r="FP695" s="47"/>
      <c r="FQ695" s="47"/>
      <c r="FR695" s="47"/>
    </row>
    <row r="696" spans="170:174" ht="11.25" customHeight="1">
      <c r="FN696" s="50"/>
      <c r="FO696" s="47"/>
      <c r="FP696" s="47"/>
      <c r="FQ696" s="47"/>
      <c r="FR696" s="47"/>
    </row>
    <row r="697" spans="170:174" ht="11.25" customHeight="1">
      <c r="FN697" s="50"/>
      <c r="FO697" s="47"/>
      <c r="FP697" s="47"/>
      <c r="FQ697" s="47"/>
      <c r="FR697" s="47"/>
    </row>
    <row r="698" spans="170:174" ht="11.25" customHeight="1">
      <c r="FN698" s="50"/>
      <c r="FO698" s="47"/>
      <c r="FP698" s="47"/>
      <c r="FQ698" s="47"/>
      <c r="FR698" s="47"/>
    </row>
    <row r="699" spans="170:174" ht="11.25" customHeight="1">
      <c r="FN699" s="50"/>
      <c r="FO699" s="47"/>
      <c r="FP699" s="47"/>
      <c r="FQ699" s="47"/>
      <c r="FR699" s="47"/>
    </row>
    <row r="700" spans="170:174" ht="11.25" customHeight="1">
      <c r="FN700" s="50"/>
      <c r="FO700" s="47"/>
      <c r="FP700" s="47"/>
      <c r="FQ700" s="47"/>
      <c r="FR700" s="47"/>
    </row>
    <row r="701" spans="170:174" ht="11.25" customHeight="1">
      <c r="FN701" s="50"/>
      <c r="FO701" s="47"/>
      <c r="FP701" s="47"/>
      <c r="FQ701" s="47"/>
      <c r="FR701" s="47"/>
    </row>
    <row r="702" spans="170:174" ht="11.25" customHeight="1">
      <c r="FN702" s="50"/>
      <c r="FO702" s="47"/>
      <c r="FP702" s="47"/>
      <c r="FQ702" s="47"/>
      <c r="FR702" s="47"/>
    </row>
    <row r="703" spans="170:174" ht="11.25" customHeight="1">
      <c r="FN703" s="50"/>
      <c r="FO703" s="47"/>
      <c r="FP703" s="47"/>
      <c r="FQ703" s="47"/>
      <c r="FR703" s="47"/>
    </row>
    <row r="704" spans="170:174" ht="11.25" customHeight="1">
      <c r="FN704" s="50"/>
      <c r="FO704" s="47"/>
      <c r="FP704" s="47"/>
      <c r="FQ704" s="47"/>
      <c r="FR704" s="47"/>
    </row>
    <row r="705" spans="170:174" ht="11.25" customHeight="1">
      <c r="FN705" s="50"/>
      <c r="FO705" s="47"/>
      <c r="FP705" s="47"/>
      <c r="FQ705" s="47"/>
      <c r="FR705" s="47"/>
    </row>
    <row r="706" spans="170:174" ht="11.25" customHeight="1">
      <c r="FN706" s="50"/>
      <c r="FO706" s="47"/>
      <c r="FP706" s="47"/>
      <c r="FQ706" s="47"/>
      <c r="FR706" s="47"/>
    </row>
    <row r="707" spans="170:174" ht="11.25" customHeight="1">
      <c r="FN707" s="50"/>
      <c r="FO707" s="47"/>
      <c r="FP707" s="47"/>
      <c r="FQ707" s="47"/>
      <c r="FR707" s="47"/>
    </row>
    <row r="708" spans="170:174" ht="11.25" customHeight="1">
      <c r="FN708" s="50"/>
      <c r="FO708" s="47"/>
      <c r="FP708" s="47"/>
      <c r="FQ708" s="47"/>
      <c r="FR708" s="47"/>
    </row>
    <row r="709" spans="170:174" ht="11.25" customHeight="1">
      <c r="FN709" s="50"/>
      <c r="FO709" s="47"/>
      <c r="FP709" s="47"/>
      <c r="FQ709" s="47"/>
      <c r="FR709" s="47"/>
    </row>
    <row r="710" spans="170:174" ht="11.25" customHeight="1">
      <c r="FN710" s="50"/>
      <c r="FO710" s="47"/>
      <c r="FP710" s="47"/>
      <c r="FQ710" s="47"/>
      <c r="FR710" s="47"/>
    </row>
    <row r="711" spans="170:174" ht="11.25" customHeight="1">
      <c r="FN711" s="50"/>
      <c r="FO711" s="47"/>
      <c r="FP711" s="47"/>
      <c r="FQ711" s="47"/>
      <c r="FR711" s="47"/>
    </row>
    <row r="712" spans="170:174" ht="11.25" customHeight="1">
      <c r="FN712" s="50"/>
      <c r="FO712" s="47"/>
      <c r="FP712" s="47"/>
      <c r="FQ712" s="47"/>
      <c r="FR712" s="47"/>
    </row>
    <row r="713" spans="170:174" ht="11.25" customHeight="1">
      <c r="FN713" s="50"/>
      <c r="FO713" s="47"/>
      <c r="FP713" s="47"/>
      <c r="FQ713" s="47"/>
      <c r="FR713" s="47"/>
    </row>
    <row r="714" spans="170:174" ht="11.25" customHeight="1">
      <c r="FN714" s="50"/>
      <c r="FO714" s="47"/>
      <c r="FP714" s="47"/>
      <c r="FQ714" s="47"/>
      <c r="FR714" s="47"/>
    </row>
    <row r="715" spans="170:174" ht="11.25" customHeight="1">
      <c r="FN715" s="50"/>
      <c r="FO715" s="47"/>
      <c r="FP715" s="47"/>
      <c r="FQ715" s="47"/>
      <c r="FR715" s="47"/>
    </row>
    <row r="716" spans="170:174" ht="11.25" customHeight="1">
      <c r="FN716" s="50"/>
      <c r="FO716" s="47"/>
      <c r="FP716" s="47"/>
      <c r="FQ716" s="47"/>
      <c r="FR716" s="47"/>
    </row>
    <row r="717" spans="170:174" ht="11.25" customHeight="1">
      <c r="FN717" s="50"/>
      <c r="FO717" s="47"/>
      <c r="FP717" s="47"/>
      <c r="FQ717" s="47"/>
      <c r="FR717" s="47"/>
    </row>
    <row r="718" spans="170:174" ht="11.25" customHeight="1">
      <c r="FN718" s="50"/>
      <c r="FO718" s="47"/>
      <c r="FP718" s="47"/>
      <c r="FQ718" s="47"/>
      <c r="FR718" s="47"/>
    </row>
    <row r="719" spans="170:174" ht="11.25" customHeight="1">
      <c r="FN719" s="50"/>
      <c r="FO719" s="47"/>
      <c r="FP719" s="47"/>
      <c r="FQ719" s="47"/>
      <c r="FR719" s="47"/>
    </row>
    <row r="720" spans="170:174" ht="11.25" customHeight="1">
      <c r="FN720" s="50"/>
      <c r="FO720" s="47"/>
      <c r="FP720" s="47"/>
      <c r="FQ720" s="47"/>
      <c r="FR720" s="47"/>
    </row>
    <row r="721" spans="170:174" ht="11.25" customHeight="1">
      <c r="FN721" s="50"/>
      <c r="FO721" s="47"/>
      <c r="FP721" s="47"/>
      <c r="FQ721" s="47"/>
      <c r="FR721" s="47"/>
    </row>
    <row r="722" spans="170:174" ht="11.25" customHeight="1">
      <c r="FN722" s="50"/>
      <c r="FO722" s="47"/>
      <c r="FP722" s="47"/>
      <c r="FQ722" s="47"/>
      <c r="FR722" s="47"/>
    </row>
    <row r="723" spans="170:174" ht="11.25" customHeight="1">
      <c r="FN723" s="50"/>
      <c r="FO723" s="47"/>
      <c r="FP723" s="47"/>
      <c r="FQ723" s="47"/>
      <c r="FR723" s="47"/>
    </row>
    <row r="724" spans="170:174" ht="11.25" customHeight="1">
      <c r="FN724" s="50"/>
      <c r="FO724" s="47"/>
      <c r="FP724" s="47"/>
      <c r="FQ724" s="47"/>
      <c r="FR724" s="47"/>
    </row>
    <row r="725" spans="170:174" ht="11.25" customHeight="1">
      <c r="FN725" s="50"/>
      <c r="FO725" s="47"/>
      <c r="FP725" s="47"/>
      <c r="FQ725" s="47"/>
      <c r="FR725" s="47"/>
    </row>
    <row r="726" spans="170:174" ht="11.25" customHeight="1">
      <c r="FN726" s="50"/>
      <c r="FO726" s="47"/>
      <c r="FP726" s="47"/>
      <c r="FQ726" s="47"/>
      <c r="FR726" s="47"/>
    </row>
    <row r="727" spans="170:174" ht="11.25" customHeight="1">
      <c r="FN727" s="50"/>
      <c r="FO727" s="47"/>
      <c r="FP727" s="47"/>
      <c r="FQ727" s="47"/>
      <c r="FR727" s="47"/>
    </row>
    <row r="728" spans="170:174" ht="11.25" customHeight="1">
      <c r="FN728" s="50"/>
      <c r="FO728" s="47"/>
      <c r="FP728" s="47"/>
      <c r="FQ728" s="47"/>
      <c r="FR728" s="47"/>
    </row>
    <row r="729" spans="170:174" ht="11.25" customHeight="1">
      <c r="FN729" s="50"/>
      <c r="FO729" s="47"/>
      <c r="FP729" s="47"/>
      <c r="FQ729" s="47"/>
      <c r="FR729" s="47"/>
    </row>
    <row r="730" spans="170:174" ht="11.25" customHeight="1">
      <c r="FN730" s="50"/>
      <c r="FO730" s="47"/>
      <c r="FP730" s="47"/>
      <c r="FQ730" s="47"/>
      <c r="FR730" s="47"/>
    </row>
    <row r="731" spans="170:174" ht="11.25" customHeight="1">
      <c r="FN731" s="50"/>
      <c r="FO731" s="47"/>
      <c r="FP731" s="47"/>
      <c r="FQ731" s="47"/>
      <c r="FR731" s="47"/>
    </row>
    <row r="732" spans="170:174" ht="11.25" customHeight="1">
      <c r="FN732" s="50"/>
      <c r="FO732" s="47"/>
      <c r="FP732" s="47"/>
      <c r="FQ732" s="47"/>
      <c r="FR732" s="47"/>
    </row>
    <row r="733" spans="170:174" ht="11.25" customHeight="1">
      <c r="FN733" s="50"/>
      <c r="FO733" s="47"/>
      <c r="FP733" s="47"/>
      <c r="FQ733" s="47"/>
      <c r="FR733" s="47"/>
    </row>
    <row r="734" spans="170:174" ht="11.25" customHeight="1">
      <c r="FN734" s="50"/>
      <c r="FO734" s="47"/>
      <c r="FP734" s="47"/>
      <c r="FQ734" s="47"/>
      <c r="FR734" s="47"/>
    </row>
    <row r="735" spans="170:174" ht="11.25" customHeight="1">
      <c r="FN735" s="50"/>
      <c r="FO735" s="47"/>
      <c r="FP735" s="47"/>
      <c r="FQ735" s="47"/>
      <c r="FR735" s="47"/>
    </row>
    <row r="736" spans="170:174" ht="11.25" customHeight="1">
      <c r="FN736" s="50"/>
      <c r="FO736" s="47"/>
      <c r="FP736" s="47"/>
      <c r="FQ736" s="47"/>
      <c r="FR736" s="47"/>
    </row>
    <row r="737" spans="170:174" ht="11.25" customHeight="1">
      <c r="FN737" s="50"/>
      <c r="FO737" s="47"/>
      <c r="FP737" s="47"/>
      <c r="FQ737" s="47"/>
      <c r="FR737" s="47"/>
    </row>
    <row r="738" spans="170:174" ht="11.25" customHeight="1">
      <c r="FN738" s="50"/>
      <c r="FO738" s="47"/>
      <c r="FP738" s="47"/>
      <c r="FQ738" s="47"/>
      <c r="FR738" s="47"/>
    </row>
    <row r="739" spans="170:174" ht="11.25" customHeight="1">
      <c r="FN739" s="50"/>
      <c r="FO739" s="47"/>
      <c r="FP739" s="47"/>
      <c r="FQ739" s="47"/>
      <c r="FR739" s="47"/>
    </row>
    <row r="740" spans="170:174" ht="11.25" customHeight="1">
      <c r="FN740" s="50"/>
      <c r="FO740" s="47"/>
      <c r="FP740" s="47"/>
      <c r="FQ740" s="47"/>
      <c r="FR740" s="47"/>
    </row>
    <row r="741" spans="170:174" ht="11.25" customHeight="1">
      <c r="FN741" s="50"/>
      <c r="FO741" s="47"/>
      <c r="FP741" s="47"/>
      <c r="FQ741" s="47"/>
      <c r="FR741" s="47"/>
    </row>
    <row r="742" spans="170:174" ht="11.25" customHeight="1">
      <c r="FN742" s="50"/>
      <c r="FO742" s="47"/>
      <c r="FP742" s="47"/>
      <c r="FQ742" s="47"/>
      <c r="FR742" s="47"/>
    </row>
    <row r="743" spans="170:174" ht="11.25" customHeight="1">
      <c r="FN743" s="50"/>
      <c r="FO743" s="47"/>
      <c r="FP743" s="47"/>
      <c r="FQ743" s="47"/>
      <c r="FR743" s="47"/>
    </row>
    <row r="744" spans="170:174" ht="11.25" customHeight="1">
      <c r="FN744" s="50"/>
      <c r="FO744" s="47"/>
      <c r="FP744" s="47"/>
      <c r="FQ744" s="47"/>
      <c r="FR744" s="47"/>
    </row>
    <row r="745" spans="170:174" ht="11.25" customHeight="1">
      <c r="FN745" s="50"/>
      <c r="FO745" s="47"/>
      <c r="FP745" s="47"/>
      <c r="FQ745" s="47"/>
      <c r="FR745" s="47"/>
    </row>
    <row r="746" spans="170:174" ht="11.25" customHeight="1">
      <c r="FN746" s="50"/>
      <c r="FO746" s="47"/>
      <c r="FP746" s="47"/>
      <c r="FQ746" s="47"/>
      <c r="FR746" s="47"/>
    </row>
    <row r="747" spans="170:174" ht="11.25" customHeight="1">
      <c r="FN747" s="50"/>
      <c r="FO747" s="47"/>
      <c r="FP747" s="47"/>
      <c r="FQ747" s="47"/>
      <c r="FR747" s="47"/>
    </row>
    <row r="748" spans="170:174" ht="11.25" customHeight="1">
      <c r="FN748" s="50"/>
      <c r="FO748" s="47"/>
      <c r="FP748" s="47"/>
      <c r="FQ748" s="47"/>
      <c r="FR748" s="47"/>
    </row>
    <row r="749" spans="170:174" ht="11.25" customHeight="1">
      <c r="FN749" s="50"/>
      <c r="FO749" s="47"/>
      <c r="FP749" s="47"/>
      <c r="FQ749" s="47"/>
      <c r="FR749" s="47"/>
    </row>
    <row r="750" spans="170:174" ht="11.25" customHeight="1">
      <c r="FN750" s="50"/>
      <c r="FO750" s="47"/>
      <c r="FP750" s="47"/>
      <c r="FQ750" s="47"/>
      <c r="FR750" s="47"/>
    </row>
    <row r="751" spans="170:174" ht="11.25" customHeight="1">
      <c r="FN751" s="50"/>
      <c r="FO751" s="47"/>
      <c r="FP751" s="47"/>
      <c r="FQ751" s="47"/>
      <c r="FR751" s="47"/>
    </row>
    <row r="752" spans="170:174" ht="11.25" customHeight="1">
      <c r="FN752" s="50"/>
      <c r="FO752" s="47"/>
      <c r="FP752" s="47"/>
      <c r="FQ752" s="47"/>
      <c r="FR752" s="47"/>
    </row>
    <row r="753" spans="170:174" ht="11.25" customHeight="1">
      <c r="FN753" s="50"/>
      <c r="FO753" s="47"/>
      <c r="FP753" s="47"/>
      <c r="FQ753" s="47"/>
      <c r="FR753" s="47"/>
    </row>
    <row r="754" spans="170:174" ht="11.25" customHeight="1">
      <c r="FN754" s="50"/>
      <c r="FO754" s="47"/>
      <c r="FP754" s="47"/>
      <c r="FQ754" s="47"/>
      <c r="FR754" s="47"/>
    </row>
    <row r="755" spans="170:174" ht="11.25" customHeight="1">
      <c r="FN755" s="50"/>
      <c r="FO755" s="47"/>
      <c r="FP755" s="47"/>
      <c r="FQ755" s="47"/>
      <c r="FR755" s="47"/>
    </row>
    <row r="756" spans="170:174" ht="11.25" customHeight="1">
      <c r="FN756" s="50"/>
      <c r="FO756" s="47"/>
      <c r="FP756" s="47"/>
      <c r="FQ756" s="47"/>
      <c r="FR756" s="47"/>
    </row>
    <row r="757" spans="170:174" ht="11.25" customHeight="1">
      <c r="FN757" s="50"/>
      <c r="FO757" s="47"/>
      <c r="FP757" s="47"/>
      <c r="FQ757" s="47"/>
      <c r="FR757" s="47"/>
    </row>
    <row r="758" spans="170:174" ht="11.25" customHeight="1">
      <c r="FN758" s="50"/>
      <c r="FO758" s="47"/>
      <c r="FP758" s="47"/>
      <c r="FQ758" s="47"/>
      <c r="FR758" s="47"/>
    </row>
    <row r="759" spans="170:174" ht="11.25" customHeight="1">
      <c r="FN759" s="50"/>
      <c r="FO759" s="47"/>
      <c r="FP759" s="47"/>
      <c r="FQ759" s="47"/>
      <c r="FR759" s="47"/>
    </row>
    <row r="760" spans="170:174" ht="11.25" customHeight="1">
      <c r="FN760" s="50"/>
      <c r="FO760" s="47"/>
      <c r="FP760" s="47"/>
      <c r="FQ760" s="47"/>
      <c r="FR760" s="47"/>
    </row>
    <row r="761" spans="170:174" ht="11.25" customHeight="1">
      <c r="FN761" s="50"/>
      <c r="FO761" s="47"/>
      <c r="FP761" s="47"/>
      <c r="FQ761" s="47"/>
      <c r="FR761" s="47"/>
    </row>
    <row r="762" spans="170:174" ht="11.25" customHeight="1">
      <c r="FN762" s="50"/>
      <c r="FO762" s="47"/>
      <c r="FP762" s="47"/>
      <c r="FQ762" s="47"/>
      <c r="FR762" s="47"/>
    </row>
    <row r="763" spans="170:174" ht="11.25" customHeight="1">
      <c r="FN763" s="50"/>
      <c r="FO763" s="47"/>
      <c r="FP763" s="47"/>
      <c r="FQ763" s="47"/>
      <c r="FR763" s="47"/>
    </row>
    <row r="764" spans="170:174" ht="11.25" customHeight="1">
      <c r="FN764" s="50"/>
      <c r="FO764" s="47"/>
      <c r="FP764" s="47"/>
      <c r="FQ764" s="47"/>
      <c r="FR764" s="47"/>
    </row>
    <row r="765" spans="170:174" ht="11.25" customHeight="1">
      <c r="FN765" s="50"/>
      <c r="FO765" s="47"/>
      <c r="FP765" s="47"/>
      <c r="FQ765" s="47"/>
      <c r="FR765" s="47"/>
    </row>
    <row r="766" spans="170:174" ht="11.25" customHeight="1">
      <c r="FN766" s="50"/>
      <c r="FO766" s="47"/>
      <c r="FP766" s="47"/>
      <c r="FQ766" s="47"/>
      <c r="FR766" s="47"/>
    </row>
    <row r="767" spans="170:174" ht="11.25" customHeight="1">
      <c r="FN767" s="50"/>
      <c r="FO767" s="47"/>
      <c r="FP767" s="47"/>
      <c r="FQ767" s="47"/>
      <c r="FR767" s="47"/>
    </row>
    <row r="768" spans="170:174" ht="11.25" customHeight="1">
      <c r="FN768" s="50"/>
      <c r="FO768" s="47"/>
      <c r="FP768" s="47"/>
      <c r="FQ768" s="47"/>
      <c r="FR768" s="47"/>
    </row>
    <row r="769" spans="170:174" ht="11.25" customHeight="1">
      <c r="FN769" s="50"/>
      <c r="FO769" s="47"/>
      <c r="FP769" s="47"/>
      <c r="FQ769" s="47"/>
      <c r="FR769" s="47"/>
    </row>
    <row r="770" spans="170:174" ht="11.25" customHeight="1">
      <c r="FN770" s="50"/>
      <c r="FO770" s="47"/>
      <c r="FP770" s="47"/>
      <c r="FQ770" s="47"/>
      <c r="FR770" s="47"/>
    </row>
    <row r="771" spans="170:174" ht="11.25" customHeight="1">
      <c r="FN771" s="50"/>
      <c r="FO771" s="47"/>
      <c r="FP771" s="47"/>
      <c r="FQ771" s="47"/>
      <c r="FR771" s="47"/>
    </row>
    <row r="772" spans="170:174" ht="11.25" customHeight="1">
      <c r="FN772" s="50"/>
      <c r="FO772" s="47"/>
      <c r="FP772" s="47"/>
      <c r="FQ772" s="47"/>
      <c r="FR772" s="47"/>
    </row>
    <row r="773" spans="170:174" ht="11.25" customHeight="1">
      <c r="FN773" s="50"/>
      <c r="FO773" s="47"/>
      <c r="FP773" s="47"/>
      <c r="FQ773" s="47"/>
      <c r="FR773" s="47"/>
    </row>
    <row r="774" spans="170:174" ht="11.25" customHeight="1">
      <c r="FN774" s="50"/>
      <c r="FO774" s="47"/>
      <c r="FP774" s="47"/>
      <c r="FQ774" s="47"/>
      <c r="FR774" s="47"/>
    </row>
    <row r="775" spans="170:174" ht="11.25" customHeight="1">
      <c r="FN775" s="50"/>
      <c r="FO775" s="47"/>
      <c r="FP775" s="47"/>
      <c r="FQ775" s="47"/>
      <c r="FR775" s="47"/>
    </row>
    <row r="776" spans="170:174" ht="11.25" customHeight="1">
      <c r="FN776" s="50"/>
      <c r="FO776" s="47"/>
      <c r="FP776" s="47"/>
      <c r="FQ776" s="47"/>
      <c r="FR776" s="47"/>
    </row>
    <row r="777" spans="170:174" ht="11.25" customHeight="1">
      <c r="FN777" s="50"/>
      <c r="FO777" s="47"/>
      <c r="FP777" s="47"/>
      <c r="FQ777" s="47"/>
      <c r="FR777" s="47"/>
    </row>
    <row r="778" spans="170:174" ht="11.25" customHeight="1">
      <c r="FN778" s="50"/>
      <c r="FO778" s="47"/>
      <c r="FP778" s="47"/>
      <c r="FQ778" s="47"/>
      <c r="FR778" s="47"/>
    </row>
    <row r="779" spans="170:174" ht="11.25" customHeight="1">
      <c r="FN779" s="50"/>
      <c r="FO779" s="47"/>
      <c r="FP779" s="47"/>
      <c r="FQ779" s="47"/>
      <c r="FR779" s="47"/>
    </row>
    <row r="780" spans="170:174" ht="11.25" customHeight="1">
      <c r="FN780" s="50"/>
      <c r="FO780" s="47"/>
      <c r="FP780" s="47"/>
      <c r="FQ780" s="47"/>
      <c r="FR780" s="47"/>
    </row>
    <row r="781" spans="170:174" ht="11.25" customHeight="1">
      <c r="FN781" s="50"/>
      <c r="FO781" s="47"/>
      <c r="FP781" s="47"/>
      <c r="FQ781" s="47"/>
      <c r="FR781" s="47"/>
    </row>
    <row r="782" spans="170:174" ht="11.25" customHeight="1">
      <c r="FN782" s="50"/>
      <c r="FO782" s="47"/>
      <c r="FP782" s="47"/>
      <c r="FQ782" s="47"/>
      <c r="FR782" s="47"/>
    </row>
    <row r="783" spans="170:174" ht="11.25" customHeight="1">
      <c r="FN783" s="50"/>
      <c r="FO783" s="47"/>
      <c r="FP783" s="47"/>
      <c r="FQ783" s="47"/>
      <c r="FR783" s="47"/>
    </row>
    <row r="784" spans="170:174" ht="11.25" customHeight="1">
      <c r="FN784" s="50"/>
      <c r="FO784" s="47"/>
      <c r="FP784" s="47"/>
      <c r="FQ784" s="47"/>
      <c r="FR784" s="47"/>
    </row>
    <row r="785" spans="170:174" ht="11.25" customHeight="1">
      <c r="FN785" s="50"/>
      <c r="FO785" s="47"/>
      <c r="FP785" s="47"/>
      <c r="FQ785" s="47"/>
      <c r="FR785" s="47"/>
    </row>
    <row r="786" spans="170:174" ht="11.25" customHeight="1">
      <c r="FN786" s="50"/>
      <c r="FO786" s="47"/>
      <c r="FP786" s="47"/>
      <c r="FQ786" s="47"/>
      <c r="FR786" s="47"/>
    </row>
    <row r="787" spans="170:174" ht="11.25" customHeight="1">
      <c r="FN787" s="50"/>
      <c r="FO787" s="47"/>
      <c r="FP787" s="47"/>
      <c r="FQ787" s="47"/>
      <c r="FR787" s="47"/>
    </row>
    <row r="788" spans="170:174" ht="11.25" customHeight="1">
      <c r="FN788" s="50"/>
      <c r="FO788" s="47"/>
      <c r="FP788" s="47"/>
      <c r="FQ788" s="47"/>
      <c r="FR788" s="47"/>
    </row>
    <row r="789" spans="170:174" ht="11.25" customHeight="1">
      <c r="FN789" s="50"/>
      <c r="FO789" s="47"/>
      <c r="FP789" s="47"/>
      <c r="FQ789" s="47"/>
      <c r="FR789" s="47"/>
    </row>
    <row r="790" spans="170:174" ht="11.25" customHeight="1">
      <c r="FN790" s="50"/>
      <c r="FO790" s="47"/>
      <c r="FP790" s="47"/>
      <c r="FQ790" s="47"/>
      <c r="FR790" s="47"/>
    </row>
    <row r="791" spans="170:174" ht="11.25" customHeight="1">
      <c r="FN791" s="50"/>
      <c r="FO791" s="47"/>
      <c r="FP791" s="47"/>
      <c r="FQ791" s="47"/>
      <c r="FR791" s="47"/>
    </row>
    <row r="792" spans="170:174" ht="11.25" customHeight="1">
      <c r="FN792" s="50"/>
      <c r="FO792" s="47"/>
      <c r="FP792" s="47"/>
      <c r="FQ792" s="47"/>
      <c r="FR792" s="47"/>
    </row>
    <row r="793" spans="170:174" ht="11.25" customHeight="1">
      <c r="FN793" s="50"/>
      <c r="FO793" s="47"/>
      <c r="FP793" s="47"/>
      <c r="FQ793" s="47"/>
      <c r="FR793" s="47"/>
    </row>
    <row r="794" spans="170:174" ht="11.25" customHeight="1">
      <c r="FN794" s="50"/>
      <c r="FO794" s="47"/>
      <c r="FP794" s="47"/>
      <c r="FQ794" s="47"/>
      <c r="FR794" s="47"/>
    </row>
    <row r="795" spans="170:174" ht="11.25" customHeight="1">
      <c r="FN795" s="50"/>
      <c r="FO795" s="47"/>
      <c r="FP795" s="47"/>
      <c r="FQ795" s="47"/>
      <c r="FR795" s="47"/>
    </row>
    <row r="796" spans="170:174" ht="11.25" customHeight="1">
      <c r="FN796" s="50"/>
      <c r="FO796" s="47"/>
      <c r="FP796" s="47"/>
      <c r="FQ796" s="47"/>
      <c r="FR796" s="47"/>
    </row>
    <row r="797" spans="170:174" ht="11.25" customHeight="1">
      <c r="FN797" s="50"/>
      <c r="FO797" s="47"/>
      <c r="FP797" s="47"/>
      <c r="FQ797" s="47"/>
      <c r="FR797" s="47"/>
    </row>
    <row r="798" spans="170:174" ht="11.25" customHeight="1">
      <c r="FN798" s="50"/>
      <c r="FO798" s="47"/>
      <c r="FP798" s="47"/>
      <c r="FQ798" s="47"/>
      <c r="FR798" s="47"/>
    </row>
    <row r="799" spans="170:174" ht="11.25" customHeight="1">
      <c r="FN799" s="50"/>
      <c r="FO799" s="47"/>
      <c r="FP799" s="47"/>
      <c r="FQ799" s="47"/>
      <c r="FR799" s="47"/>
    </row>
    <row r="800" spans="170:174" ht="11.25" customHeight="1">
      <c r="FN800" s="50"/>
      <c r="FO800" s="47"/>
      <c r="FP800" s="47"/>
      <c r="FQ800" s="47"/>
      <c r="FR800" s="47"/>
    </row>
    <row r="801" spans="170:174" ht="11.25" customHeight="1">
      <c r="FN801" s="50"/>
      <c r="FO801" s="47"/>
      <c r="FP801" s="47"/>
      <c r="FQ801" s="47"/>
      <c r="FR801" s="47"/>
    </row>
    <row r="802" spans="170:174" ht="11.25" customHeight="1">
      <c r="FN802" s="50"/>
      <c r="FO802" s="47"/>
      <c r="FP802" s="47"/>
      <c r="FQ802" s="47"/>
      <c r="FR802" s="47"/>
    </row>
    <row r="803" spans="170:174" ht="11.25" customHeight="1">
      <c r="FN803" s="50"/>
      <c r="FO803" s="47"/>
      <c r="FP803" s="47"/>
      <c r="FQ803" s="47"/>
      <c r="FR803" s="47"/>
    </row>
    <row r="804" spans="170:174" ht="11.25" customHeight="1">
      <c r="FN804" s="50"/>
      <c r="FO804" s="47"/>
      <c r="FP804" s="47"/>
      <c r="FQ804" s="47"/>
      <c r="FR804" s="47"/>
    </row>
    <row r="805" spans="170:174" ht="11.25" customHeight="1">
      <c r="FN805" s="50"/>
      <c r="FO805" s="47"/>
      <c r="FP805" s="47"/>
      <c r="FQ805" s="47"/>
      <c r="FR805" s="47"/>
    </row>
    <row r="806" spans="170:174" ht="11.25" customHeight="1">
      <c r="FN806" s="50"/>
      <c r="FO806" s="47"/>
      <c r="FP806" s="47"/>
      <c r="FQ806" s="47"/>
      <c r="FR806" s="47"/>
    </row>
    <row r="807" spans="170:174" ht="11.25" customHeight="1">
      <c r="FN807" s="50"/>
      <c r="FO807" s="47"/>
      <c r="FP807" s="47"/>
      <c r="FQ807" s="47"/>
      <c r="FR807" s="47"/>
    </row>
    <row r="808" spans="170:174" ht="11.25" customHeight="1">
      <c r="FN808" s="50"/>
      <c r="FO808" s="47"/>
      <c r="FP808" s="47"/>
      <c r="FQ808" s="47"/>
      <c r="FR808" s="47"/>
    </row>
    <row r="809" spans="170:174" ht="11.25" customHeight="1">
      <c r="FN809" s="50"/>
      <c r="FO809" s="47"/>
      <c r="FP809" s="47"/>
      <c r="FQ809" s="47"/>
      <c r="FR809" s="47"/>
    </row>
    <row r="810" spans="170:174" ht="11.25" customHeight="1">
      <c r="FN810" s="50"/>
      <c r="FO810" s="47"/>
      <c r="FP810" s="47"/>
      <c r="FQ810" s="47"/>
      <c r="FR810" s="47"/>
    </row>
    <row r="811" spans="170:174" ht="11.25" customHeight="1">
      <c r="FN811" s="50"/>
      <c r="FO811" s="47"/>
      <c r="FP811" s="47"/>
      <c r="FQ811" s="47"/>
      <c r="FR811" s="47"/>
    </row>
    <row r="812" spans="170:174" ht="11.25" customHeight="1">
      <c r="FN812" s="50"/>
      <c r="FO812" s="47"/>
      <c r="FP812" s="47"/>
      <c r="FQ812" s="47"/>
      <c r="FR812" s="47"/>
    </row>
    <row r="813" spans="170:174" ht="11.25" customHeight="1">
      <c r="FN813" s="50"/>
      <c r="FO813" s="47"/>
      <c r="FP813" s="47"/>
      <c r="FQ813" s="47"/>
      <c r="FR813" s="47"/>
    </row>
    <row r="814" spans="170:174" ht="11.25" customHeight="1">
      <c r="FN814" s="50"/>
      <c r="FO814" s="47"/>
      <c r="FP814" s="47"/>
      <c r="FQ814" s="47"/>
      <c r="FR814" s="47"/>
    </row>
    <row r="815" spans="170:174" ht="11.25" customHeight="1">
      <c r="FN815" s="50"/>
      <c r="FO815" s="47"/>
      <c r="FP815" s="47"/>
      <c r="FQ815" s="47"/>
      <c r="FR815" s="47"/>
    </row>
    <row r="816" spans="170:174" ht="11.25" customHeight="1">
      <c r="FN816" s="50"/>
      <c r="FO816" s="47"/>
      <c r="FP816" s="47"/>
      <c r="FQ816" s="47"/>
      <c r="FR816" s="47"/>
    </row>
    <row r="817" spans="170:174" ht="11.25" customHeight="1">
      <c r="FN817" s="50"/>
      <c r="FO817" s="47"/>
      <c r="FP817" s="47"/>
      <c r="FQ817" s="47"/>
      <c r="FR817" s="47"/>
    </row>
    <row r="818" spans="170:174" ht="11.25" customHeight="1">
      <c r="FN818" s="50"/>
      <c r="FO818" s="47"/>
      <c r="FP818" s="47"/>
      <c r="FQ818" s="47"/>
      <c r="FR818" s="47"/>
    </row>
    <row r="819" spans="170:174" ht="11.25" customHeight="1">
      <c r="FN819" s="50"/>
      <c r="FO819" s="47"/>
      <c r="FP819" s="47"/>
      <c r="FQ819" s="47"/>
      <c r="FR819" s="47"/>
    </row>
    <row r="820" spans="170:174" ht="11.25" customHeight="1">
      <c r="FN820" s="50"/>
      <c r="FO820" s="47"/>
      <c r="FP820" s="47"/>
      <c r="FQ820" s="47"/>
      <c r="FR820" s="47"/>
    </row>
    <row r="821" spans="170:174" ht="11.25" customHeight="1">
      <c r="FN821" s="50"/>
      <c r="FO821" s="47"/>
      <c r="FP821" s="47"/>
      <c r="FQ821" s="47"/>
      <c r="FR821" s="47"/>
    </row>
    <row r="822" spans="170:174" ht="11.25" customHeight="1">
      <c r="FN822" s="50"/>
      <c r="FO822" s="47"/>
      <c r="FP822" s="47"/>
      <c r="FQ822" s="47"/>
      <c r="FR822" s="47"/>
    </row>
    <row r="823" spans="170:174" ht="11.25" customHeight="1">
      <c r="FN823" s="50"/>
      <c r="FO823" s="47"/>
      <c r="FP823" s="47"/>
      <c r="FQ823" s="47"/>
      <c r="FR823" s="47"/>
    </row>
    <row r="824" spans="170:174" ht="11.25" customHeight="1">
      <c r="FN824" s="50"/>
      <c r="FO824" s="47"/>
      <c r="FP824" s="47"/>
      <c r="FQ824" s="47"/>
      <c r="FR824" s="47"/>
    </row>
    <row r="825" spans="170:174" ht="11.25" customHeight="1">
      <c r="FN825" s="50"/>
      <c r="FO825" s="47"/>
      <c r="FP825" s="47"/>
      <c r="FQ825" s="47"/>
      <c r="FR825" s="47"/>
    </row>
    <row r="826" spans="170:174" ht="11.25" customHeight="1">
      <c r="FN826" s="50"/>
      <c r="FO826" s="47"/>
      <c r="FP826" s="47"/>
      <c r="FQ826" s="47"/>
      <c r="FR826" s="47"/>
    </row>
    <row r="827" spans="170:174" ht="11.25" customHeight="1">
      <c r="FN827" s="50"/>
      <c r="FO827" s="47"/>
      <c r="FP827" s="47"/>
      <c r="FQ827" s="47"/>
      <c r="FR827" s="47"/>
    </row>
    <row r="828" spans="170:174" ht="11.25" customHeight="1">
      <c r="FN828" s="50"/>
      <c r="FO828" s="47"/>
      <c r="FP828" s="47"/>
      <c r="FQ828" s="47"/>
      <c r="FR828" s="47"/>
    </row>
    <row r="829" spans="170:174" ht="11.25" customHeight="1">
      <c r="FN829" s="50"/>
      <c r="FO829" s="47"/>
      <c r="FP829" s="47"/>
      <c r="FQ829" s="47"/>
      <c r="FR829" s="47"/>
    </row>
    <row r="830" spans="170:174" ht="11.25" customHeight="1">
      <c r="FN830" s="50"/>
      <c r="FO830" s="47"/>
      <c r="FP830" s="47"/>
      <c r="FQ830" s="47"/>
      <c r="FR830" s="47"/>
    </row>
    <row r="831" spans="170:174" ht="11.25" customHeight="1">
      <c r="FN831" s="50"/>
      <c r="FO831" s="47"/>
      <c r="FP831" s="47"/>
      <c r="FQ831" s="47"/>
      <c r="FR831" s="47"/>
    </row>
    <row r="832" spans="170:174" ht="11.25" customHeight="1">
      <c r="FN832" s="50"/>
      <c r="FO832" s="47"/>
      <c r="FP832" s="47"/>
      <c r="FQ832" s="47"/>
      <c r="FR832" s="47"/>
    </row>
    <row r="833" spans="170:174" ht="11.25" customHeight="1">
      <c r="FN833" s="50"/>
      <c r="FO833" s="47"/>
      <c r="FP833" s="47"/>
      <c r="FQ833" s="47"/>
      <c r="FR833" s="47"/>
    </row>
    <row r="834" spans="170:174" ht="11.25" customHeight="1">
      <c r="FN834" s="50"/>
      <c r="FO834" s="47"/>
      <c r="FP834" s="47"/>
      <c r="FQ834" s="47"/>
      <c r="FR834" s="47"/>
    </row>
    <row r="835" spans="170:174" ht="11.25" customHeight="1">
      <c r="FN835" s="50"/>
      <c r="FO835" s="47"/>
      <c r="FP835" s="47"/>
      <c r="FQ835" s="47"/>
      <c r="FR835" s="47"/>
    </row>
    <row r="836" spans="170:174" ht="11.25" customHeight="1">
      <c r="FN836" s="50"/>
      <c r="FO836" s="47"/>
      <c r="FP836" s="47"/>
      <c r="FQ836" s="47"/>
      <c r="FR836" s="47"/>
    </row>
    <row r="837" spans="170:174" ht="11.25" customHeight="1">
      <c r="FN837" s="50"/>
      <c r="FO837" s="47"/>
      <c r="FP837" s="47"/>
      <c r="FQ837" s="47"/>
      <c r="FR837" s="47"/>
    </row>
    <row r="838" spans="170:174" ht="11.25" customHeight="1">
      <c r="FN838" s="50"/>
      <c r="FO838" s="47"/>
      <c r="FP838" s="47"/>
      <c r="FQ838" s="47"/>
      <c r="FR838" s="47"/>
    </row>
    <row r="839" spans="170:174" ht="11.25" customHeight="1">
      <c r="FN839" s="50"/>
      <c r="FO839" s="47"/>
      <c r="FP839" s="47"/>
      <c r="FQ839" s="47"/>
      <c r="FR839" s="47"/>
    </row>
    <row r="840" spans="170:174" ht="11.25" customHeight="1">
      <c r="FN840" s="50"/>
      <c r="FO840" s="47"/>
      <c r="FP840" s="47"/>
      <c r="FQ840" s="47"/>
      <c r="FR840" s="47"/>
    </row>
    <row r="841" spans="170:174" ht="11.25" customHeight="1">
      <c r="FN841" s="50"/>
      <c r="FO841" s="47"/>
      <c r="FP841" s="47"/>
      <c r="FQ841" s="47"/>
      <c r="FR841" s="47"/>
    </row>
    <row r="842" spans="170:174" ht="11.25" customHeight="1">
      <c r="FN842" s="50"/>
      <c r="FO842" s="47"/>
      <c r="FP842" s="47"/>
      <c r="FQ842" s="47"/>
      <c r="FR842" s="47"/>
    </row>
    <row r="843" spans="170:174" ht="11.25" customHeight="1">
      <c r="FN843" s="50"/>
      <c r="FO843" s="47"/>
      <c r="FP843" s="47"/>
      <c r="FQ843" s="47"/>
      <c r="FR843" s="47"/>
    </row>
    <row r="844" spans="170:174" ht="11.25" customHeight="1">
      <c r="FN844" s="50"/>
      <c r="FO844" s="47"/>
      <c r="FP844" s="47"/>
      <c r="FQ844" s="47"/>
      <c r="FR844" s="47"/>
    </row>
    <row r="845" spans="170:174" ht="11.25" customHeight="1">
      <c r="FN845" s="50"/>
      <c r="FO845" s="47"/>
      <c r="FP845" s="47"/>
      <c r="FQ845" s="47"/>
      <c r="FR845" s="47"/>
    </row>
    <row r="846" spans="170:174" ht="11.25" customHeight="1">
      <c r="FN846" s="50"/>
      <c r="FO846" s="47"/>
      <c r="FP846" s="47"/>
      <c r="FQ846" s="47"/>
      <c r="FR846" s="47"/>
    </row>
    <row r="847" spans="170:174" ht="11.25" customHeight="1">
      <c r="FN847" s="50"/>
      <c r="FO847" s="47"/>
      <c r="FP847" s="47"/>
      <c r="FQ847" s="47"/>
      <c r="FR847" s="47"/>
    </row>
    <row r="848" spans="170:174" ht="11.25" customHeight="1">
      <c r="FN848" s="50"/>
      <c r="FO848" s="47"/>
      <c r="FP848" s="47"/>
      <c r="FQ848" s="47"/>
      <c r="FR848" s="47"/>
    </row>
    <row r="849" spans="170:174" ht="11.25" customHeight="1">
      <c r="FN849" s="50"/>
      <c r="FO849" s="47"/>
      <c r="FP849" s="47"/>
      <c r="FQ849" s="47"/>
      <c r="FR849" s="47"/>
    </row>
    <row r="850" spans="170:174" ht="11.25" customHeight="1">
      <c r="FN850" s="50"/>
      <c r="FO850" s="47"/>
      <c r="FP850" s="47"/>
      <c r="FQ850" s="47"/>
      <c r="FR850" s="47"/>
    </row>
    <row r="851" spans="170:174" ht="11.25" customHeight="1">
      <c r="FN851" s="50"/>
      <c r="FO851" s="47"/>
      <c r="FP851" s="47"/>
      <c r="FQ851" s="47"/>
      <c r="FR851" s="47"/>
    </row>
    <row r="852" spans="170:174" ht="11.25" customHeight="1">
      <c r="FN852" s="50"/>
      <c r="FO852" s="47"/>
      <c r="FP852" s="47"/>
      <c r="FQ852" s="47"/>
      <c r="FR852" s="47"/>
    </row>
    <row r="853" spans="170:174" ht="11.25" customHeight="1">
      <c r="FN853" s="50"/>
      <c r="FO853" s="47"/>
      <c r="FP853" s="47"/>
      <c r="FQ853" s="47"/>
      <c r="FR853" s="47"/>
    </row>
    <row r="854" spans="170:174" ht="11.25" customHeight="1">
      <c r="FN854" s="50"/>
      <c r="FO854" s="47"/>
      <c r="FP854" s="47"/>
      <c r="FQ854" s="47"/>
      <c r="FR854" s="47"/>
    </row>
    <row r="855" spans="170:174" ht="11.25" customHeight="1">
      <c r="FN855" s="50"/>
      <c r="FO855" s="47"/>
      <c r="FP855" s="47"/>
      <c r="FQ855" s="47"/>
      <c r="FR855" s="47"/>
    </row>
    <row r="856" spans="170:174" ht="11.25" customHeight="1">
      <c r="FN856" s="50"/>
      <c r="FO856" s="47"/>
      <c r="FP856" s="47"/>
      <c r="FQ856" s="47"/>
      <c r="FR856" s="47"/>
    </row>
    <row r="857" spans="170:174" ht="11.25" customHeight="1">
      <c r="FN857" s="50"/>
      <c r="FO857" s="47"/>
      <c r="FP857" s="47"/>
      <c r="FQ857" s="47"/>
      <c r="FR857" s="47"/>
    </row>
    <row r="858" spans="170:174" ht="11.25" customHeight="1">
      <c r="FN858" s="50"/>
      <c r="FO858" s="47"/>
      <c r="FP858" s="47"/>
      <c r="FQ858" s="47"/>
      <c r="FR858" s="47"/>
    </row>
    <row r="859" spans="170:174" ht="11.25" customHeight="1">
      <c r="FN859" s="50"/>
      <c r="FO859" s="47"/>
      <c r="FP859" s="47"/>
      <c r="FQ859" s="47"/>
      <c r="FR859" s="47"/>
    </row>
    <row r="860" spans="170:174" ht="11.25" customHeight="1">
      <c r="FN860" s="50"/>
      <c r="FO860" s="47"/>
      <c r="FP860" s="47"/>
      <c r="FQ860" s="47"/>
      <c r="FR860" s="47"/>
    </row>
    <row r="861" spans="170:174" ht="11.25" customHeight="1">
      <c r="FN861" s="50"/>
      <c r="FO861" s="47"/>
      <c r="FP861" s="47"/>
      <c r="FQ861" s="47"/>
      <c r="FR861" s="47"/>
    </row>
    <row r="862" spans="170:174" ht="11.25" customHeight="1">
      <c r="FN862" s="50"/>
      <c r="FO862" s="47"/>
      <c r="FP862" s="47"/>
      <c r="FQ862" s="47"/>
      <c r="FR862" s="47"/>
    </row>
    <row r="863" spans="170:174" ht="11.25" customHeight="1">
      <c r="FN863" s="50"/>
      <c r="FO863" s="47"/>
      <c r="FP863" s="47"/>
      <c r="FQ863" s="47"/>
      <c r="FR863" s="47"/>
    </row>
    <row r="864" spans="170:174" ht="11.25" customHeight="1">
      <c r="FN864" s="50"/>
      <c r="FO864" s="47"/>
      <c r="FP864" s="47"/>
      <c r="FQ864" s="47"/>
      <c r="FR864" s="47"/>
    </row>
    <row r="865" spans="170:174" ht="11.25" customHeight="1">
      <c r="FN865" s="50"/>
      <c r="FO865" s="47"/>
      <c r="FP865" s="47"/>
      <c r="FQ865" s="47"/>
      <c r="FR865" s="47"/>
    </row>
    <row r="866" spans="170:174" ht="11.25" customHeight="1">
      <c r="FN866" s="50"/>
      <c r="FO866" s="47"/>
      <c r="FP866" s="47"/>
      <c r="FQ866" s="47"/>
      <c r="FR866" s="47"/>
    </row>
    <row r="867" spans="170:174" ht="11.25" customHeight="1">
      <c r="FN867" s="50"/>
      <c r="FO867" s="47"/>
      <c r="FP867" s="47"/>
      <c r="FQ867" s="47"/>
      <c r="FR867" s="47"/>
    </row>
    <row r="868" spans="170:174" ht="11.25" customHeight="1">
      <c r="FN868" s="50"/>
      <c r="FO868" s="47"/>
      <c r="FP868" s="47"/>
      <c r="FQ868" s="47"/>
      <c r="FR868" s="47"/>
    </row>
    <row r="869" spans="170:174" ht="11.25" customHeight="1">
      <c r="FN869" s="50"/>
      <c r="FO869" s="47"/>
      <c r="FP869" s="47"/>
      <c r="FQ869" s="47"/>
      <c r="FR869" s="47"/>
    </row>
    <row r="870" spans="170:174" ht="11.25" customHeight="1">
      <c r="FN870" s="50"/>
      <c r="FO870" s="47"/>
      <c r="FP870" s="47"/>
      <c r="FQ870" s="47"/>
      <c r="FR870" s="47"/>
    </row>
    <row r="871" spans="170:174" ht="11.25" customHeight="1">
      <c r="FN871" s="50"/>
      <c r="FO871" s="47"/>
      <c r="FP871" s="47"/>
      <c r="FQ871" s="47"/>
      <c r="FR871" s="47"/>
    </row>
    <row r="872" spans="170:174" ht="11.25" customHeight="1">
      <c r="FN872" s="50"/>
      <c r="FO872" s="47"/>
      <c r="FP872" s="47"/>
      <c r="FQ872" s="47"/>
      <c r="FR872" s="47"/>
    </row>
    <row r="873" spans="170:174" ht="11.25" customHeight="1">
      <c r="FN873" s="50"/>
      <c r="FO873" s="47"/>
      <c r="FP873" s="47"/>
      <c r="FQ873" s="47"/>
      <c r="FR873" s="47"/>
    </row>
    <row r="874" spans="170:174" ht="11.25" customHeight="1">
      <c r="FN874" s="50"/>
      <c r="FO874" s="47"/>
      <c r="FP874" s="47"/>
      <c r="FQ874" s="47"/>
      <c r="FR874" s="47"/>
    </row>
    <row r="875" spans="170:174" ht="11.25" customHeight="1">
      <c r="FN875" s="50"/>
      <c r="FO875" s="47"/>
      <c r="FP875" s="47"/>
      <c r="FQ875" s="47"/>
      <c r="FR875" s="47"/>
    </row>
    <row r="876" spans="170:174" ht="11.25" customHeight="1">
      <c r="FN876" s="50"/>
      <c r="FO876" s="47"/>
      <c r="FP876" s="47"/>
      <c r="FQ876" s="47"/>
      <c r="FR876" s="47"/>
    </row>
    <row r="877" spans="170:174" ht="11.25" customHeight="1">
      <c r="FN877" s="50"/>
      <c r="FO877" s="47"/>
      <c r="FP877" s="47"/>
      <c r="FQ877" s="47"/>
      <c r="FR877" s="47"/>
    </row>
    <row r="878" spans="170:174" ht="11.25" customHeight="1">
      <c r="FN878" s="50"/>
      <c r="FO878" s="47"/>
      <c r="FP878" s="47"/>
      <c r="FQ878" s="47"/>
      <c r="FR878" s="47"/>
    </row>
    <row r="879" spans="170:174" ht="11.25" customHeight="1">
      <c r="FN879" s="50"/>
      <c r="FO879" s="47"/>
      <c r="FP879" s="47"/>
      <c r="FQ879" s="47"/>
      <c r="FR879" s="47"/>
    </row>
    <row r="880" spans="170:174" ht="11.25" customHeight="1">
      <c r="FN880" s="50"/>
      <c r="FO880" s="47"/>
      <c r="FP880" s="47"/>
      <c r="FQ880" s="47"/>
      <c r="FR880" s="47"/>
    </row>
    <row r="881" spans="170:174" ht="11.25" customHeight="1">
      <c r="FN881" s="50"/>
      <c r="FO881" s="47"/>
      <c r="FP881" s="47"/>
      <c r="FQ881" s="47"/>
      <c r="FR881" s="47"/>
    </row>
    <row r="882" spans="170:174" ht="11.25" customHeight="1">
      <c r="FN882" s="50"/>
      <c r="FO882" s="47"/>
      <c r="FP882" s="47"/>
      <c r="FQ882" s="47"/>
      <c r="FR882" s="47"/>
    </row>
    <row r="883" spans="170:174" ht="11.25" customHeight="1">
      <c r="FN883" s="50"/>
      <c r="FO883" s="47"/>
      <c r="FP883" s="47"/>
      <c r="FQ883" s="47"/>
      <c r="FR883" s="47"/>
    </row>
    <row r="884" spans="170:174" ht="11.25" customHeight="1">
      <c r="FN884" s="50"/>
      <c r="FO884" s="47"/>
      <c r="FP884" s="47"/>
      <c r="FQ884" s="47"/>
      <c r="FR884" s="47"/>
    </row>
    <row r="885" spans="170:174" ht="11.25" customHeight="1">
      <c r="FN885" s="50"/>
      <c r="FO885" s="47"/>
      <c r="FP885" s="47"/>
      <c r="FQ885" s="47"/>
      <c r="FR885" s="47"/>
    </row>
    <row r="886" spans="170:174" ht="11.25" customHeight="1">
      <c r="FN886" s="50"/>
      <c r="FO886" s="47"/>
      <c r="FP886" s="47"/>
      <c r="FQ886" s="47"/>
      <c r="FR886" s="47"/>
    </row>
    <row r="887" spans="170:174" ht="11.25" customHeight="1">
      <c r="FN887" s="50"/>
      <c r="FO887" s="47"/>
      <c r="FP887" s="47"/>
      <c r="FQ887" s="47"/>
      <c r="FR887" s="47"/>
    </row>
    <row r="888" spans="170:174" ht="11.25" customHeight="1">
      <c r="FN888" s="50"/>
      <c r="FO888" s="47"/>
      <c r="FP888" s="47"/>
      <c r="FQ888" s="47"/>
      <c r="FR888" s="47"/>
    </row>
    <row r="889" spans="170:174" ht="11.25" customHeight="1">
      <c r="FN889" s="50"/>
      <c r="FO889" s="47"/>
      <c r="FP889" s="47"/>
      <c r="FQ889" s="47"/>
      <c r="FR889" s="47"/>
    </row>
    <row r="890" spans="170:174" ht="11.25" customHeight="1">
      <c r="FN890" s="50"/>
      <c r="FO890" s="47"/>
      <c r="FP890" s="47"/>
      <c r="FQ890" s="47"/>
      <c r="FR890" s="47"/>
    </row>
    <row r="891" spans="170:174" ht="11.25" customHeight="1">
      <c r="FN891" s="50"/>
      <c r="FO891" s="47"/>
      <c r="FP891" s="47"/>
      <c r="FQ891" s="47"/>
      <c r="FR891" s="47"/>
    </row>
    <row r="892" spans="170:174" ht="11.25" customHeight="1">
      <c r="FN892" s="50"/>
      <c r="FO892" s="47"/>
      <c r="FP892" s="47"/>
      <c r="FQ892" s="47"/>
      <c r="FR892" s="47"/>
    </row>
    <row r="893" spans="170:174" ht="11.25" customHeight="1">
      <c r="FN893" s="50"/>
      <c r="FO893" s="47"/>
      <c r="FP893" s="47"/>
      <c r="FQ893" s="47"/>
      <c r="FR893" s="47"/>
    </row>
    <row r="894" spans="170:174" ht="11.25" customHeight="1">
      <c r="FN894" s="50"/>
      <c r="FO894" s="47"/>
      <c r="FP894" s="47"/>
      <c r="FQ894" s="47"/>
      <c r="FR894" s="47"/>
    </row>
    <row r="895" spans="170:174" ht="11.25" customHeight="1">
      <c r="FN895" s="50"/>
      <c r="FO895" s="47"/>
      <c r="FP895" s="47"/>
      <c r="FQ895" s="47"/>
      <c r="FR895" s="47"/>
    </row>
    <row r="896" spans="170:174" ht="11.25" customHeight="1">
      <c r="FN896" s="50"/>
      <c r="FO896" s="47"/>
      <c r="FP896" s="47"/>
      <c r="FQ896" s="47"/>
      <c r="FR896" s="47"/>
    </row>
    <row r="897" spans="170:174" ht="11.25" customHeight="1">
      <c r="FN897" s="50"/>
      <c r="FO897" s="47"/>
      <c r="FP897" s="47"/>
      <c r="FQ897" s="47"/>
      <c r="FR897" s="47"/>
    </row>
    <row r="898" spans="170:174" ht="11.25" customHeight="1">
      <c r="FN898" s="50"/>
      <c r="FO898" s="47"/>
      <c r="FP898" s="47"/>
      <c r="FQ898" s="47"/>
      <c r="FR898" s="47"/>
    </row>
    <row r="899" spans="170:174" ht="11.25" customHeight="1">
      <c r="FN899" s="50"/>
      <c r="FO899" s="47"/>
      <c r="FP899" s="47"/>
      <c r="FQ899" s="47"/>
      <c r="FR899" s="47"/>
    </row>
    <row r="900" spans="170:174" ht="11.25" customHeight="1">
      <c r="FN900" s="50"/>
      <c r="FO900" s="47"/>
      <c r="FP900" s="47"/>
      <c r="FQ900" s="47"/>
      <c r="FR900" s="47"/>
    </row>
    <row r="901" spans="170:174" ht="11.25" customHeight="1">
      <c r="FN901" s="50"/>
      <c r="FO901" s="47"/>
      <c r="FP901" s="47"/>
      <c r="FQ901" s="47"/>
      <c r="FR901" s="47"/>
    </row>
    <row r="902" spans="170:174" ht="11.25" customHeight="1">
      <c r="FN902" s="50"/>
      <c r="FO902" s="47"/>
      <c r="FP902" s="47"/>
      <c r="FQ902" s="47"/>
      <c r="FR902" s="47"/>
    </row>
    <row r="903" spans="170:174" ht="11.25" customHeight="1">
      <c r="FN903" s="50"/>
      <c r="FO903" s="47"/>
      <c r="FP903" s="47"/>
      <c r="FQ903" s="47"/>
      <c r="FR903" s="47"/>
    </row>
    <row r="904" spans="170:174" ht="11.25" customHeight="1">
      <c r="FN904" s="50"/>
      <c r="FO904" s="47"/>
      <c r="FP904" s="47"/>
      <c r="FQ904" s="47"/>
      <c r="FR904" s="47"/>
    </row>
    <row r="905" spans="170:174" ht="11.25" customHeight="1">
      <c r="FN905" s="50"/>
      <c r="FO905" s="47"/>
      <c r="FP905" s="47"/>
      <c r="FQ905" s="47"/>
      <c r="FR905" s="47"/>
    </row>
    <row r="906" spans="170:174" ht="11.25" customHeight="1">
      <c r="FN906" s="50"/>
      <c r="FO906" s="47"/>
      <c r="FP906" s="47"/>
      <c r="FQ906" s="47"/>
      <c r="FR906" s="47"/>
    </row>
    <row r="907" spans="170:174" ht="11.25" customHeight="1">
      <c r="FN907" s="50"/>
      <c r="FO907" s="47"/>
      <c r="FP907" s="47"/>
      <c r="FQ907" s="47"/>
      <c r="FR907" s="47"/>
    </row>
    <row r="908" spans="170:174" ht="11.25" customHeight="1">
      <c r="FN908" s="50"/>
      <c r="FO908" s="47"/>
      <c r="FP908" s="47"/>
      <c r="FQ908" s="47"/>
      <c r="FR908" s="47"/>
    </row>
    <row r="909" spans="170:174" ht="11.25" customHeight="1">
      <c r="FN909" s="50"/>
      <c r="FO909" s="47"/>
      <c r="FP909" s="47"/>
      <c r="FQ909" s="47"/>
      <c r="FR909" s="47"/>
    </row>
    <row r="910" spans="170:174" ht="11.25" customHeight="1">
      <c r="FN910" s="50"/>
      <c r="FO910" s="47"/>
      <c r="FP910" s="47"/>
      <c r="FQ910" s="47"/>
      <c r="FR910" s="47"/>
    </row>
    <row r="911" spans="170:174" ht="11.25" customHeight="1">
      <c r="FN911" s="50"/>
      <c r="FO911" s="47"/>
      <c r="FP911" s="47"/>
      <c r="FQ911" s="47"/>
      <c r="FR911" s="47"/>
    </row>
    <row r="912" spans="170:174" ht="11.25" customHeight="1">
      <c r="FN912" s="50"/>
      <c r="FO912" s="47"/>
      <c r="FP912" s="47"/>
      <c r="FQ912" s="47"/>
      <c r="FR912" s="47"/>
    </row>
    <row r="913" spans="170:174" ht="11.25" customHeight="1">
      <c r="FN913" s="50"/>
      <c r="FO913" s="47"/>
      <c r="FP913" s="47"/>
      <c r="FQ913" s="47"/>
      <c r="FR913" s="47"/>
    </row>
    <row r="914" spans="170:174" ht="11.25" customHeight="1">
      <c r="FN914" s="50"/>
      <c r="FO914" s="47"/>
      <c r="FP914" s="47"/>
      <c r="FQ914" s="47"/>
      <c r="FR914" s="47"/>
    </row>
    <row r="915" spans="170:174" ht="11.25" customHeight="1">
      <c r="FN915" s="50"/>
      <c r="FO915" s="47"/>
      <c r="FP915" s="47"/>
      <c r="FQ915" s="47"/>
      <c r="FR915" s="47"/>
    </row>
    <row r="916" spans="170:174" ht="11.25" customHeight="1">
      <c r="FN916" s="50"/>
      <c r="FO916" s="47"/>
      <c r="FP916" s="47"/>
      <c r="FQ916" s="47"/>
      <c r="FR916" s="47"/>
    </row>
    <row r="917" spans="170:174" ht="11.25" customHeight="1">
      <c r="FN917" s="50"/>
      <c r="FO917" s="47"/>
      <c r="FP917" s="47"/>
      <c r="FQ917" s="47"/>
      <c r="FR917" s="47"/>
    </row>
    <row r="918" spans="170:174" ht="11.25" customHeight="1">
      <c r="FN918" s="50"/>
      <c r="FO918" s="47"/>
      <c r="FP918" s="47"/>
      <c r="FQ918" s="47"/>
      <c r="FR918" s="47"/>
    </row>
    <row r="919" spans="170:174" ht="11.25" customHeight="1">
      <c r="FN919" s="50"/>
      <c r="FO919" s="47"/>
      <c r="FP919" s="47"/>
      <c r="FQ919" s="47"/>
      <c r="FR919" s="47"/>
    </row>
    <row r="920" spans="170:174" ht="11.25" customHeight="1">
      <c r="FN920" s="50"/>
      <c r="FO920" s="47"/>
      <c r="FP920" s="47"/>
      <c r="FQ920" s="47"/>
      <c r="FR920" s="47"/>
    </row>
    <row r="921" spans="170:174" ht="11.25" customHeight="1">
      <c r="FN921" s="50"/>
      <c r="FO921" s="47"/>
      <c r="FP921" s="47"/>
      <c r="FQ921" s="47"/>
      <c r="FR921" s="47"/>
    </row>
    <row r="922" spans="170:174" ht="11.25" customHeight="1">
      <c r="FN922" s="50"/>
      <c r="FO922" s="47"/>
      <c r="FP922" s="47"/>
      <c r="FQ922" s="47"/>
      <c r="FR922" s="47"/>
    </row>
    <row r="923" spans="170:174" ht="11.25" customHeight="1">
      <c r="FN923" s="50"/>
      <c r="FO923" s="47"/>
      <c r="FP923" s="47"/>
      <c r="FQ923" s="47"/>
      <c r="FR923" s="47"/>
    </row>
    <row r="924" spans="170:174" ht="11.25" customHeight="1">
      <c r="FN924" s="50"/>
      <c r="FO924" s="47"/>
      <c r="FP924" s="47"/>
      <c r="FQ924" s="47"/>
      <c r="FR924" s="47"/>
    </row>
    <row r="925" spans="170:174" ht="11.25" customHeight="1">
      <c r="FN925" s="50"/>
      <c r="FO925" s="47"/>
      <c r="FP925" s="47"/>
      <c r="FQ925" s="47"/>
      <c r="FR925" s="47"/>
    </row>
    <row r="926" spans="170:174" ht="11.25" customHeight="1">
      <c r="FN926" s="50"/>
      <c r="FO926" s="47"/>
      <c r="FP926" s="47"/>
      <c r="FQ926" s="47"/>
      <c r="FR926" s="47"/>
    </row>
    <row r="927" spans="170:174" ht="11.25" customHeight="1">
      <c r="FN927" s="50"/>
      <c r="FO927" s="47"/>
      <c r="FP927" s="47"/>
      <c r="FQ927" s="47"/>
      <c r="FR927" s="47"/>
    </row>
    <row r="928" spans="170:174" ht="11.25" customHeight="1">
      <c r="FN928" s="50"/>
      <c r="FO928" s="47"/>
      <c r="FP928" s="47"/>
      <c r="FQ928" s="47"/>
      <c r="FR928" s="47"/>
    </row>
    <row r="929" spans="170:174" ht="11.25" customHeight="1">
      <c r="FN929" s="50"/>
      <c r="FO929" s="47"/>
      <c r="FP929" s="47"/>
      <c r="FQ929" s="47"/>
      <c r="FR929" s="47"/>
    </row>
    <row r="930" spans="170:174" ht="11.25" customHeight="1">
      <c r="FN930" s="50"/>
      <c r="FO930" s="47"/>
      <c r="FP930" s="47"/>
      <c r="FQ930" s="47"/>
      <c r="FR930" s="47"/>
    </row>
    <row r="931" spans="170:174" ht="11.25" customHeight="1">
      <c r="FN931" s="50"/>
      <c r="FO931" s="47"/>
      <c r="FP931" s="47"/>
      <c r="FQ931" s="47"/>
      <c r="FR931" s="47"/>
    </row>
    <row r="932" spans="170:174" ht="11.25" customHeight="1">
      <c r="FN932" s="50"/>
      <c r="FO932" s="47"/>
      <c r="FP932" s="47"/>
      <c r="FQ932" s="47"/>
      <c r="FR932" s="47"/>
    </row>
    <row r="933" spans="170:174" ht="11.25" customHeight="1">
      <c r="FN933" s="50"/>
      <c r="FO933" s="47"/>
      <c r="FP933" s="47"/>
      <c r="FQ933" s="47"/>
      <c r="FR933" s="47"/>
    </row>
    <row r="934" spans="170:174" ht="11.25" customHeight="1">
      <c r="FN934" s="50"/>
      <c r="FO934" s="47"/>
      <c r="FP934" s="47"/>
      <c r="FQ934" s="47"/>
      <c r="FR934" s="47"/>
    </row>
    <row r="935" spans="170:174" ht="11.25" customHeight="1">
      <c r="FN935" s="50"/>
      <c r="FO935" s="47"/>
      <c r="FP935" s="47"/>
      <c r="FQ935" s="47"/>
      <c r="FR935" s="47"/>
    </row>
    <row r="936" spans="170:174" ht="11.25" customHeight="1">
      <c r="FN936" s="50"/>
      <c r="FO936" s="47"/>
      <c r="FP936" s="47"/>
      <c r="FQ936" s="47"/>
      <c r="FR936" s="47"/>
    </row>
    <row r="937" spans="170:174" ht="11.25" customHeight="1">
      <c r="FN937" s="50"/>
      <c r="FO937" s="47"/>
      <c r="FP937" s="47"/>
      <c r="FQ937" s="47"/>
      <c r="FR937" s="47"/>
    </row>
    <row r="938" spans="170:174" ht="11.25" customHeight="1">
      <c r="FN938" s="50"/>
      <c r="FO938" s="47"/>
      <c r="FP938" s="47"/>
      <c r="FQ938" s="47"/>
      <c r="FR938" s="47"/>
    </row>
    <row r="939" spans="170:174" ht="11.25" customHeight="1">
      <c r="FN939" s="50"/>
      <c r="FO939" s="47"/>
      <c r="FP939" s="47"/>
      <c r="FQ939" s="47"/>
      <c r="FR939" s="47"/>
    </row>
    <row r="940" spans="170:174" ht="11.25" customHeight="1">
      <c r="FN940" s="50"/>
      <c r="FO940" s="47"/>
      <c r="FP940" s="47"/>
      <c r="FQ940" s="47"/>
      <c r="FR940" s="47"/>
    </row>
    <row r="941" spans="170:174" ht="11.25" customHeight="1">
      <c r="FN941" s="50"/>
      <c r="FO941" s="47"/>
      <c r="FP941" s="47"/>
      <c r="FQ941" s="47"/>
      <c r="FR941" s="47"/>
    </row>
    <row r="942" spans="170:174" ht="11.25" customHeight="1">
      <c r="FN942" s="50"/>
      <c r="FO942" s="47"/>
      <c r="FP942" s="47"/>
      <c r="FQ942" s="47"/>
      <c r="FR942" s="47"/>
    </row>
    <row r="943" spans="170:174" ht="11.25" customHeight="1">
      <c r="FN943" s="50"/>
      <c r="FO943" s="47"/>
      <c r="FP943" s="47"/>
      <c r="FQ943" s="47"/>
      <c r="FR943" s="47"/>
    </row>
    <row r="944" spans="170:174" ht="11.25" customHeight="1">
      <c r="FN944" s="50"/>
      <c r="FO944" s="47"/>
      <c r="FP944" s="47"/>
      <c r="FQ944" s="47"/>
      <c r="FR944" s="47"/>
    </row>
    <row r="945" spans="170:174" ht="11.25" customHeight="1">
      <c r="FN945" s="50"/>
      <c r="FO945" s="47"/>
      <c r="FP945" s="47"/>
      <c r="FQ945" s="47"/>
      <c r="FR945" s="47"/>
    </row>
    <row r="946" spans="170:174" ht="11.25" customHeight="1">
      <c r="FN946" s="50"/>
      <c r="FO946" s="47"/>
      <c r="FP946" s="47"/>
      <c r="FQ946" s="47"/>
      <c r="FR946" s="47"/>
    </row>
    <row r="947" spans="170:174" ht="11.25" customHeight="1">
      <c r="FN947" s="50"/>
      <c r="FO947" s="47"/>
      <c r="FP947" s="47"/>
      <c r="FQ947" s="47"/>
      <c r="FR947" s="47"/>
    </row>
    <row r="948" spans="170:174" ht="11.25" customHeight="1">
      <c r="FN948" s="50"/>
      <c r="FO948" s="47"/>
      <c r="FP948" s="47"/>
      <c r="FQ948" s="47"/>
      <c r="FR948" s="47"/>
    </row>
    <row r="949" spans="170:174" ht="11.25" customHeight="1">
      <c r="FN949" s="50"/>
      <c r="FO949" s="47"/>
      <c r="FP949" s="47"/>
      <c r="FQ949" s="47"/>
      <c r="FR949" s="47"/>
    </row>
    <row r="950" spans="170:174" ht="11.25" customHeight="1">
      <c r="FN950" s="50"/>
      <c r="FO950" s="47"/>
      <c r="FP950" s="47"/>
      <c r="FQ950" s="47"/>
      <c r="FR950" s="47"/>
    </row>
    <row r="951" spans="170:174" ht="11.25" customHeight="1">
      <c r="FN951" s="50"/>
      <c r="FO951" s="47"/>
      <c r="FP951" s="47"/>
      <c r="FQ951" s="47"/>
      <c r="FR951" s="47"/>
    </row>
    <row r="952" spans="170:174" ht="11.25" customHeight="1">
      <c r="FN952" s="50"/>
      <c r="FO952" s="47"/>
      <c r="FP952" s="47"/>
      <c r="FQ952" s="47"/>
      <c r="FR952" s="47"/>
    </row>
    <row r="953" spans="170:174" ht="11.25" customHeight="1">
      <c r="FN953" s="50"/>
      <c r="FO953" s="47"/>
      <c r="FP953" s="47"/>
      <c r="FQ953" s="47"/>
      <c r="FR953" s="47"/>
    </row>
    <row r="954" spans="170:174" ht="11.25" customHeight="1">
      <c r="FN954" s="50"/>
      <c r="FO954" s="47"/>
      <c r="FP954" s="47"/>
      <c r="FQ954" s="47"/>
      <c r="FR954" s="47"/>
    </row>
    <row r="955" spans="170:174" ht="11.25" customHeight="1">
      <c r="FN955" s="50"/>
      <c r="FO955" s="47"/>
      <c r="FP955" s="47"/>
      <c r="FQ955" s="47"/>
      <c r="FR955" s="47"/>
    </row>
    <row r="956" spans="170:174" ht="11.25" customHeight="1">
      <c r="FN956" s="50"/>
      <c r="FO956" s="47"/>
      <c r="FP956" s="47"/>
      <c r="FQ956" s="47"/>
      <c r="FR956" s="47"/>
    </row>
    <row r="957" spans="170:174" ht="11.25" customHeight="1">
      <c r="FN957" s="50"/>
      <c r="FO957" s="47"/>
      <c r="FP957" s="47"/>
      <c r="FQ957" s="47"/>
      <c r="FR957" s="47"/>
    </row>
    <row r="958" spans="170:174" ht="11.25" customHeight="1">
      <c r="FN958" s="50"/>
      <c r="FO958" s="47"/>
      <c r="FP958" s="47"/>
      <c r="FQ958" s="47"/>
      <c r="FR958" s="47"/>
    </row>
    <row r="959" spans="170:174" ht="11.25" customHeight="1">
      <c r="FN959" s="50"/>
      <c r="FO959" s="47"/>
      <c r="FP959" s="47"/>
      <c r="FQ959" s="47"/>
      <c r="FR959" s="47"/>
    </row>
    <row r="960" spans="170:174" ht="11.25" customHeight="1">
      <c r="FN960" s="50"/>
      <c r="FO960" s="47"/>
      <c r="FP960" s="47"/>
      <c r="FQ960" s="47"/>
      <c r="FR960" s="47"/>
    </row>
    <row r="961" spans="170:174" ht="11.25" customHeight="1">
      <c r="FN961" s="50"/>
      <c r="FO961" s="47"/>
      <c r="FP961" s="47"/>
      <c r="FQ961" s="47"/>
      <c r="FR961" s="47"/>
    </row>
    <row r="962" spans="170:174" ht="11.25" customHeight="1">
      <c r="FN962" s="50"/>
      <c r="FO962" s="47"/>
      <c r="FP962" s="47"/>
      <c r="FQ962" s="47"/>
      <c r="FR962" s="47"/>
    </row>
    <row r="963" spans="170:174" ht="11.25" customHeight="1">
      <c r="FN963" s="50"/>
      <c r="FO963" s="47"/>
      <c r="FP963" s="47"/>
      <c r="FQ963" s="47"/>
      <c r="FR963" s="47"/>
    </row>
    <row r="964" spans="170:174" ht="11.25" customHeight="1">
      <c r="FN964" s="50"/>
      <c r="FO964" s="47"/>
      <c r="FP964" s="47"/>
      <c r="FQ964" s="47"/>
      <c r="FR964" s="47"/>
    </row>
    <row r="965" spans="170:174" ht="11.25" customHeight="1">
      <c r="FN965" s="50"/>
      <c r="FO965" s="47"/>
      <c r="FP965" s="47"/>
      <c r="FQ965" s="47"/>
      <c r="FR965" s="47"/>
    </row>
    <row r="966" spans="170:174" ht="11.25" customHeight="1">
      <c r="FN966" s="50"/>
      <c r="FO966" s="47"/>
      <c r="FP966" s="47"/>
      <c r="FQ966" s="47"/>
      <c r="FR966" s="47"/>
    </row>
    <row r="967" spans="170:174" ht="11.25" customHeight="1">
      <c r="FN967" s="50"/>
      <c r="FO967" s="47"/>
      <c r="FP967" s="47"/>
      <c r="FQ967" s="47"/>
      <c r="FR967" s="47"/>
    </row>
    <row r="968" spans="170:174" ht="11.25" customHeight="1">
      <c r="FN968" s="50"/>
      <c r="FO968" s="47"/>
      <c r="FP968" s="47"/>
      <c r="FQ968" s="47"/>
      <c r="FR968" s="47"/>
    </row>
    <row r="969" spans="170:174" ht="11.25" customHeight="1">
      <c r="FN969" s="50"/>
      <c r="FO969" s="47"/>
      <c r="FP969" s="47"/>
      <c r="FQ969" s="47"/>
      <c r="FR969" s="47"/>
    </row>
    <row r="970" spans="170:174" ht="11.25" customHeight="1">
      <c r="FN970" s="50"/>
      <c r="FO970" s="47"/>
      <c r="FP970" s="47"/>
      <c r="FQ970" s="47"/>
      <c r="FR970" s="47"/>
    </row>
    <row r="971" spans="170:174" ht="11.25" customHeight="1">
      <c r="FN971" s="50"/>
      <c r="FO971" s="47"/>
      <c r="FP971" s="47"/>
      <c r="FQ971" s="47"/>
      <c r="FR971" s="47"/>
    </row>
    <row r="972" spans="170:174" ht="11.25" customHeight="1">
      <c r="FN972" s="50"/>
      <c r="FO972" s="47"/>
      <c r="FP972" s="47"/>
      <c r="FQ972" s="47"/>
      <c r="FR972" s="47"/>
    </row>
    <row r="973" spans="170:174" ht="11.25" customHeight="1">
      <c r="FN973" s="50"/>
      <c r="FO973" s="47"/>
      <c r="FP973" s="47"/>
      <c r="FQ973" s="47"/>
      <c r="FR973" s="47"/>
    </row>
    <row r="974" spans="170:174" ht="11.25" customHeight="1">
      <c r="FN974" s="50"/>
      <c r="FO974" s="47"/>
      <c r="FP974" s="47"/>
      <c r="FQ974" s="47"/>
      <c r="FR974" s="47"/>
    </row>
    <row r="975" spans="170:174" ht="11.25" customHeight="1">
      <c r="FN975" s="50"/>
      <c r="FO975" s="47"/>
      <c r="FP975" s="47"/>
      <c r="FQ975" s="47"/>
      <c r="FR975" s="47"/>
    </row>
    <row r="976" spans="170:174" ht="11.25" customHeight="1">
      <c r="FN976" s="50"/>
      <c r="FO976" s="47"/>
      <c r="FP976" s="47"/>
      <c r="FQ976" s="47"/>
      <c r="FR976" s="47"/>
    </row>
    <row r="977" spans="170:174" ht="11.25" customHeight="1">
      <c r="FN977" s="50"/>
      <c r="FO977" s="47"/>
      <c r="FP977" s="47"/>
      <c r="FQ977" s="47"/>
      <c r="FR977" s="47"/>
    </row>
    <row r="978" spans="170:174" ht="11.25" customHeight="1">
      <c r="FN978" s="50"/>
      <c r="FO978" s="47"/>
      <c r="FP978" s="47"/>
      <c r="FQ978" s="47"/>
      <c r="FR978" s="47"/>
    </row>
    <row r="979" spans="170:174" ht="11.25" customHeight="1">
      <c r="FN979" s="50"/>
      <c r="FO979" s="47"/>
      <c r="FP979" s="47"/>
      <c r="FQ979" s="47"/>
      <c r="FR979" s="47"/>
    </row>
    <row r="980" spans="170:174" ht="11.25" customHeight="1">
      <c r="FN980" s="50"/>
      <c r="FO980" s="47"/>
      <c r="FP980" s="47"/>
      <c r="FQ980" s="47"/>
      <c r="FR980" s="47"/>
    </row>
    <row r="981" spans="170:174" ht="11.25" customHeight="1">
      <c r="FN981" s="50"/>
      <c r="FO981" s="47"/>
      <c r="FP981" s="47"/>
      <c r="FQ981" s="47"/>
      <c r="FR981" s="47"/>
    </row>
    <row r="982" spans="170:174" ht="11.25" customHeight="1">
      <c r="FN982" s="50"/>
      <c r="FO982" s="47"/>
      <c r="FP982" s="47"/>
      <c r="FQ982" s="47"/>
      <c r="FR982" s="47"/>
    </row>
    <row r="983" spans="170:174" ht="11.25" customHeight="1">
      <c r="FN983" s="50"/>
      <c r="FO983" s="47"/>
      <c r="FP983" s="47"/>
      <c r="FQ983" s="47"/>
      <c r="FR983" s="47"/>
    </row>
    <row r="984" spans="170:174" ht="11.25" customHeight="1">
      <c r="FN984" s="50"/>
      <c r="FO984" s="47"/>
      <c r="FP984" s="47"/>
      <c r="FQ984" s="47"/>
      <c r="FR984" s="47"/>
    </row>
    <row r="985" spans="170:174" ht="11.25" customHeight="1">
      <c r="FN985" s="50"/>
      <c r="FO985" s="47"/>
      <c r="FP985" s="47"/>
      <c r="FQ985" s="47"/>
      <c r="FR985" s="47"/>
    </row>
    <row r="986" spans="170:174" ht="11.25" customHeight="1">
      <c r="FN986" s="50"/>
      <c r="FO986" s="47"/>
      <c r="FP986" s="47"/>
      <c r="FQ986" s="47"/>
      <c r="FR986" s="47"/>
    </row>
    <row r="987" spans="170:174" ht="11.25" customHeight="1">
      <c r="FN987" s="50"/>
      <c r="FO987" s="47"/>
      <c r="FP987" s="47"/>
      <c r="FQ987" s="47"/>
      <c r="FR987" s="47"/>
    </row>
    <row r="988" spans="170:174" ht="11.25" customHeight="1">
      <c r="FN988" s="50"/>
      <c r="FO988" s="47"/>
      <c r="FP988" s="47"/>
      <c r="FQ988" s="47"/>
      <c r="FR988" s="47"/>
    </row>
    <row r="989" spans="170:174" ht="11.25" customHeight="1">
      <c r="FN989" s="50"/>
      <c r="FO989" s="47"/>
      <c r="FP989" s="47"/>
      <c r="FQ989" s="47"/>
      <c r="FR989" s="47"/>
    </row>
    <row r="990" spans="170:174" ht="11.25" customHeight="1">
      <c r="FN990" s="50"/>
      <c r="FO990" s="47"/>
      <c r="FP990" s="47"/>
      <c r="FQ990" s="47"/>
      <c r="FR990" s="47"/>
    </row>
    <row r="991" spans="170:174" ht="11.25" customHeight="1">
      <c r="FN991" s="50"/>
      <c r="FO991" s="47"/>
      <c r="FP991" s="47"/>
      <c r="FQ991" s="47"/>
      <c r="FR991" s="47"/>
    </row>
    <row r="992" spans="170:174" ht="11.25" customHeight="1">
      <c r="FN992" s="50"/>
      <c r="FO992" s="47"/>
      <c r="FP992" s="47"/>
      <c r="FQ992" s="47"/>
      <c r="FR992" s="47"/>
    </row>
    <row r="993" spans="170:174" ht="11.25" customHeight="1">
      <c r="FN993" s="50"/>
      <c r="FO993" s="47"/>
      <c r="FP993" s="47"/>
      <c r="FQ993" s="47"/>
      <c r="FR993" s="47"/>
    </row>
    <row r="994" spans="170:174" ht="11.25" customHeight="1">
      <c r="FN994" s="50"/>
      <c r="FO994" s="47"/>
      <c r="FP994" s="47"/>
      <c r="FQ994" s="47"/>
      <c r="FR994" s="47"/>
    </row>
    <row r="995" spans="170:174" ht="11.25" customHeight="1">
      <c r="FN995" s="50"/>
      <c r="FO995" s="47"/>
      <c r="FP995" s="47"/>
      <c r="FQ995" s="47"/>
      <c r="FR995" s="47"/>
    </row>
    <row r="996" spans="170:174" ht="11.25" customHeight="1">
      <c r="FN996" s="50"/>
      <c r="FO996" s="47"/>
      <c r="FP996" s="47"/>
      <c r="FQ996" s="47"/>
      <c r="FR996" s="47"/>
    </row>
    <row r="997" spans="170:174" ht="11.25" customHeight="1">
      <c r="FN997" s="50"/>
      <c r="FO997" s="47"/>
      <c r="FP997" s="47"/>
      <c r="FQ997" s="47"/>
      <c r="FR997" s="47"/>
    </row>
    <row r="998" spans="170:174" ht="11.25" customHeight="1">
      <c r="FN998" s="50"/>
      <c r="FO998" s="47"/>
      <c r="FP998" s="47"/>
      <c r="FQ998" s="47"/>
      <c r="FR998" s="47"/>
    </row>
    <row r="999" spans="170:174" ht="11.25" customHeight="1">
      <c r="FN999" s="50"/>
      <c r="FO999" s="47"/>
      <c r="FP999" s="47"/>
      <c r="FQ999" s="47"/>
      <c r="FR999" s="47"/>
    </row>
    <row r="1000" spans="170:174" ht="11.25" customHeight="1">
      <c r="FN1000" s="50"/>
      <c r="FO1000" s="47"/>
      <c r="FP1000" s="47"/>
      <c r="FQ1000" s="47"/>
      <c r="FR1000" s="47"/>
    </row>
    <row r="1001" spans="170:174" ht="11.25" customHeight="1">
      <c r="FN1001" s="50"/>
      <c r="FO1001" s="47"/>
      <c r="FP1001" s="47"/>
      <c r="FQ1001" s="47"/>
      <c r="FR1001" s="47"/>
    </row>
    <row r="1002" spans="170:174" ht="11.25" customHeight="1">
      <c r="FN1002" s="50"/>
      <c r="FO1002" s="47"/>
      <c r="FP1002" s="47"/>
      <c r="FQ1002" s="47"/>
      <c r="FR1002" s="47"/>
    </row>
    <row r="1003" spans="170:174" ht="11.25" customHeight="1">
      <c r="FN1003" s="50"/>
      <c r="FO1003" s="47"/>
      <c r="FP1003" s="47"/>
      <c r="FQ1003" s="47"/>
      <c r="FR1003" s="47"/>
    </row>
    <row r="1004" spans="170:174" ht="11.25" customHeight="1">
      <c r="FN1004" s="50"/>
      <c r="FO1004" s="47"/>
      <c r="FP1004" s="47"/>
      <c r="FQ1004" s="47"/>
      <c r="FR1004" s="47"/>
    </row>
    <row r="1005" spans="170:174" ht="11.25" customHeight="1">
      <c r="FN1005" s="50"/>
      <c r="FO1005" s="47"/>
      <c r="FP1005" s="47"/>
      <c r="FQ1005" s="47"/>
      <c r="FR1005" s="47"/>
    </row>
    <row r="1006" spans="170:174" ht="11.25" customHeight="1">
      <c r="FN1006" s="50"/>
      <c r="FO1006" s="47"/>
      <c r="FP1006" s="47"/>
      <c r="FQ1006" s="47"/>
      <c r="FR1006" s="47"/>
    </row>
    <row r="1007" spans="170:174" ht="11.25" customHeight="1">
      <c r="FN1007" s="50"/>
      <c r="FO1007" s="47"/>
      <c r="FP1007" s="47"/>
      <c r="FQ1007" s="47"/>
      <c r="FR1007" s="47"/>
    </row>
    <row r="1008" spans="170:174" ht="11.25" customHeight="1">
      <c r="FN1008" s="50"/>
      <c r="FO1008" s="47"/>
      <c r="FP1008" s="47"/>
      <c r="FQ1008" s="47"/>
      <c r="FR1008" s="47"/>
    </row>
    <row r="1009" spans="170:174" ht="11.25" customHeight="1">
      <c r="FN1009" s="50"/>
      <c r="FO1009" s="47"/>
      <c r="FP1009" s="47"/>
      <c r="FQ1009" s="47"/>
      <c r="FR1009" s="47"/>
    </row>
    <row r="1010" spans="170:174" ht="11.25" customHeight="1">
      <c r="FN1010" s="50"/>
      <c r="FO1010" s="47"/>
      <c r="FP1010" s="47"/>
      <c r="FQ1010" s="47"/>
      <c r="FR1010" s="47"/>
    </row>
    <row r="1011" spans="170:174" ht="11.25" customHeight="1">
      <c r="FN1011" s="50"/>
      <c r="FO1011" s="47"/>
      <c r="FP1011" s="47"/>
      <c r="FQ1011" s="47"/>
      <c r="FR1011" s="47"/>
    </row>
    <row r="1012" spans="170:174" ht="11.25" customHeight="1">
      <c r="FN1012" s="50"/>
      <c r="FO1012" s="47"/>
      <c r="FP1012" s="47"/>
      <c r="FQ1012" s="47"/>
      <c r="FR1012" s="47"/>
    </row>
    <row r="1013" spans="170:174" ht="11.25" customHeight="1">
      <c r="FN1013" s="50"/>
      <c r="FO1013" s="47"/>
      <c r="FP1013" s="47"/>
      <c r="FQ1013" s="47"/>
      <c r="FR1013" s="47"/>
    </row>
    <row r="1014" spans="170:174" ht="11.25" customHeight="1">
      <c r="FN1014" s="50"/>
      <c r="FO1014" s="47"/>
      <c r="FP1014" s="47"/>
      <c r="FQ1014" s="47"/>
      <c r="FR1014" s="47"/>
    </row>
    <row r="1015" spans="170:174" ht="11.25" customHeight="1">
      <c r="FN1015" s="50"/>
      <c r="FO1015" s="47"/>
      <c r="FP1015" s="47"/>
      <c r="FQ1015" s="47"/>
      <c r="FR1015" s="47"/>
    </row>
    <row r="1016" spans="170:174" ht="11.25" customHeight="1">
      <c r="FN1016" s="50"/>
      <c r="FO1016" s="47"/>
      <c r="FP1016" s="47"/>
      <c r="FQ1016" s="47"/>
      <c r="FR1016" s="47"/>
    </row>
    <row r="1017" spans="170:174" ht="11.25" customHeight="1">
      <c r="FN1017" s="50"/>
      <c r="FO1017" s="47"/>
      <c r="FP1017" s="47"/>
      <c r="FQ1017" s="47"/>
      <c r="FR1017" s="47"/>
    </row>
    <row r="1018" spans="170:174" ht="11.25" customHeight="1">
      <c r="FN1018" s="50"/>
      <c r="FO1018" s="47"/>
      <c r="FP1018" s="47"/>
      <c r="FQ1018" s="47"/>
      <c r="FR1018" s="47"/>
    </row>
    <row r="1019" spans="170:174" ht="11.25" customHeight="1">
      <c r="FN1019" s="50"/>
      <c r="FO1019" s="47"/>
      <c r="FP1019" s="47"/>
      <c r="FQ1019" s="47"/>
      <c r="FR1019" s="47"/>
    </row>
    <row r="1020" spans="170:174" ht="11.25" customHeight="1">
      <c r="FN1020" s="50"/>
      <c r="FO1020" s="47"/>
      <c r="FP1020" s="47"/>
      <c r="FQ1020" s="47"/>
      <c r="FR1020" s="47"/>
    </row>
    <row r="1021" spans="170:174" ht="11.25" customHeight="1">
      <c r="FN1021" s="50"/>
      <c r="FO1021" s="47"/>
      <c r="FP1021" s="47"/>
      <c r="FQ1021" s="47"/>
      <c r="FR1021" s="47"/>
    </row>
    <row r="1022" spans="170:174" ht="11.25" customHeight="1">
      <c r="FN1022" s="50"/>
      <c r="FO1022" s="47"/>
      <c r="FP1022" s="47"/>
      <c r="FQ1022" s="47"/>
      <c r="FR1022" s="47"/>
    </row>
    <row r="1023" spans="170:174" ht="11.25" customHeight="1">
      <c r="FN1023" s="50"/>
      <c r="FO1023" s="47"/>
      <c r="FP1023" s="47"/>
      <c r="FQ1023" s="47"/>
      <c r="FR1023" s="47"/>
    </row>
    <row r="1024" spans="170:174" ht="11.25" customHeight="1">
      <c r="FN1024" s="50"/>
      <c r="FO1024" s="47"/>
      <c r="FP1024" s="47"/>
      <c r="FQ1024" s="47"/>
      <c r="FR1024" s="47"/>
    </row>
    <row r="1025" spans="170:174" ht="11.25" customHeight="1">
      <c r="FN1025" s="50"/>
      <c r="FO1025" s="47"/>
      <c r="FP1025" s="47"/>
      <c r="FQ1025" s="47"/>
      <c r="FR1025" s="47"/>
    </row>
    <row r="1026" spans="170:174" ht="11.25" customHeight="1">
      <c r="FN1026" s="50"/>
      <c r="FO1026" s="47"/>
      <c r="FP1026" s="47"/>
      <c r="FQ1026" s="47"/>
      <c r="FR1026" s="47"/>
    </row>
    <row r="1027" spans="170:174" ht="11.25" customHeight="1">
      <c r="FN1027" s="50"/>
      <c r="FO1027" s="47"/>
      <c r="FP1027" s="47"/>
      <c r="FQ1027" s="47"/>
      <c r="FR1027" s="47"/>
    </row>
    <row r="1028" spans="170:174" ht="11.25" customHeight="1">
      <c r="FN1028" s="50"/>
      <c r="FO1028" s="47"/>
      <c r="FP1028" s="47"/>
      <c r="FQ1028" s="47"/>
      <c r="FR1028" s="47"/>
    </row>
    <row r="1029" spans="170:174" ht="11.25" customHeight="1">
      <c r="FN1029" s="50"/>
      <c r="FO1029" s="47"/>
      <c r="FP1029" s="47"/>
      <c r="FQ1029" s="47"/>
      <c r="FR1029" s="47"/>
    </row>
    <row r="1030" spans="170:174" ht="11.25" customHeight="1">
      <c r="FN1030" s="50"/>
      <c r="FO1030" s="47"/>
      <c r="FP1030" s="47"/>
      <c r="FQ1030" s="47"/>
      <c r="FR1030" s="47"/>
    </row>
    <row r="1031" spans="170:174" ht="11.25" customHeight="1">
      <c r="FN1031" s="50"/>
      <c r="FO1031" s="47"/>
      <c r="FP1031" s="47"/>
      <c r="FQ1031" s="47"/>
      <c r="FR1031" s="47"/>
    </row>
    <row r="1032" spans="170:174" ht="11.25" customHeight="1">
      <c r="FN1032" s="50"/>
      <c r="FO1032" s="47"/>
      <c r="FP1032" s="47"/>
      <c r="FQ1032" s="47"/>
      <c r="FR1032" s="47"/>
    </row>
    <row r="1033" spans="170:174" ht="11.25" customHeight="1">
      <c r="FN1033" s="50"/>
      <c r="FO1033" s="47"/>
      <c r="FP1033" s="47"/>
      <c r="FQ1033" s="47"/>
      <c r="FR1033" s="47"/>
    </row>
    <row r="1034" spans="170:174" ht="11.25" customHeight="1">
      <c r="FN1034" s="50"/>
      <c r="FO1034" s="47"/>
      <c r="FP1034" s="47"/>
      <c r="FQ1034" s="47"/>
      <c r="FR1034" s="47"/>
    </row>
    <row r="1035" spans="170:174" ht="11.25" customHeight="1">
      <c r="FN1035" s="50"/>
      <c r="FO1035" s="47"/>
      <c r="FP1035" s="47"/>
      <c r="FQ1035" s="47"/>
      <c r="FR1035" s="47"/>
    </row>
    <row r="1036" spans="170:174" ht="11.25" customHeight="1">
      <c r="FN1036" s="50"/>
      <c r="FO1036" s="47"/>
      <c r="FP1036" s="47"/>
      <c r="FQ1036" s="47"/>
      <c r="FR1036" s="47"/>
    </row>
    <row r="1037" spans="170:174" ht="11.25" customHeight="1">
      <c r="FN1037" s="50"/>
      <c r="FO1037" s="47"/>
      <c r="FP1037" s="47"/>
      <c r="FQ1037" s="47"/>
      <c r="FR1037" s="47"/>
    </row>
    <row r="1038" spans="170:174" ht="11.25" customHeight="1">
      <c r="FN1038" s="50"/>
      <c r="FO1038" s="47"/>
      <c r="FP1038" s="47"/>
      <c r="FQ1038" s="47"/>
      <c r="FR1038" s="47"/>
    </row>
    <row r="1039" spans="170:174" ht="11.25" customHeight="1">
      <c r="FN1039" s="50"/>
      <c r="FO1039" s="47"/>
      <c r="FP1039" s="47"/>
      <c r="FQ1039" s="47"/>
      <c r="FR1039" s="47"/>
    </row>
    <row r="1040" spans="170:174" ht="11.25" customHeight="1">
      <c r="FN1040" s="50"/>
      <c r="FO1040" s="47"/>
      <c r="FP1040" s="47"/>
      <c r="FQ1040" s="47"/>
      <c r="FR1040" s="47"/>
    </row>
    <row r="1041" spans="170:174" ht="11.25" customHeight="1">
      <c r="FN1041" s="50"/>
      <c r="FO1041" s="47"/>
      <c r="FP1041" s="47"/>
      <c r="FQ1041" s="47"/>
      <c r="FR1041" s="47"/>
    </row>
    <row r="1042" spans="170:174" ht="11.25" customHeight="1">
      <c r="FN1042" s="50"/>
      <c r="FO1042" s="47"/>
      <c r="FP1042" s="47"/>
      <c r="FQ1042" s="47"/>
      <c r="FR1042" s="47"/>
    </row>
    <row r="1043" spans="170:174" ht="11.25" customHeight="1">
      <c r="FN1043" s="50"/>
      <c r="FO1043" s="47"/>
      <c r="FP1043" s="47"/>
      <c r="FQ1043" s="47"/>
      <c r="FR1043" s="47"/>
    </row>
    <row r="1044" spans="170:174" ht="11.25" customHeight="1">
      <c r="FN1044" s="50"/>
      <c r="FO1044" s="47"/>
      <c r="FP1044" s="47"/>
      <c r="FQ1044" s="47"/>
      <c r="FR1044" s="47"/>
    </row>
    <row r="1045" spans="170:174" ht="11.25" customHeight="1">
      <c r="FN1045" s="50"/>
      <c r="FO1045" s="47"/>
      <c r="FP1045" s="47"/>
      <c r="FQ1045" s="47"/>
      <c r="FR1045" s="47"/>
    </row>
    <row r="1046" spans="170:174" ht="11.25" customHeight="1">
      <c r="FN1046" s="50"/>
      <c r="FO1046" s="47"/>
      <c r="FP1046" s="47"/>
      <c r="FQ1046" s="47"/>
      <c r="FR1046" s="47"/>
    </row>
    <row r="1047" spans="170:174" ht="11.25" customHeight="1">
      <c r="FN1047" s="50"/>
      <c r="FO1047" s="47"/>
      <c r="FP1047" s="47"/>
      <c r="FQ1047" s="47"/>
      <c r="FR1047" s="47"/>
    </row>
    <row r="1048" spans="170:174" ht="11.25" customHeight="1">
      <c r="FN1048" s="50"/>
      <c r="FO1048" s="47"/>
      <c r="FP1048" s="47"/>
      <c r="FQ1048" s="47"/>
      <c r="FR1048" s="47"/>
    </row>
    <row r="1049" spans="170:174" ht="11.25" customHeight="1">
      <c r="FN1049" s="50"/>
      <c r="FO1049" s="47"/>
      <c r="FP1049" s="47"/>
      <c r="FQ1049" s="47"/>
      <c r="FR1049" s="47"/>
    </row>
    <row r="1050" spans="170:174" ht="11.25" customHeight="1">
      <c r="FN1050" s="50"/>
      <c r="FO1050" s="47"/>
      <c r="FP1050" s="47"/>
      <c r="FQ1050" s="47"/>
      <c r="FR1050" s="47"/>
    </row>
    <row r="1051" spans="170:174" ht="11.25" customHeight="1">
      <c r="FN1051" s="50"/>
      <c r="FO1051" s="47"/>
      <c r="FP1051" s="47"/>
      <c r="FQ1051" s="47"/>
      <c r="FR1051" s="47"/>
    </row>
    <row r="1052" spans="170:174" ht="11.25" customHeight="1">
      <c r="FN1052" s="50"/>
      <c r="FO1052" s="47"/>
      <c r="FP1052" s="47"/>
      <c r="FQ1052" s="47"/>
      <c r="FR1052" s="47"/>
    </row>
    <row r="1053" spans="170:174" ht="11.25" customHeight="1">
      <c r="FN1053" s="50"/>
      <c r="FO1053" s="47"/>
      <c r="FP1053" s="47"/>
      <c r="FQ1053" s="47"/>
      <c r="FR1053" s="47"/>
    </row>
    <row r="1054" spans="170:174" ht="11.25" customHeight="1">
      <c r="FN1054" s="50"/>
      <c r="FO1054" s="47"/>
      <c r="FP1054" s="47"/>
      <c r="FQ1054" s="47"/>
      <c r="FR1054" s="47"/>
    </row>
    <row r="1055" spans="170:174" ht="11.25" customHeight="1">
      <c r="FN1055" s="50"/>
      <c r="FO1055" s="47"/>
      <c r="FP1055" s="47"/>
      <c r="FQ1055" s="47"/>
      <c r="FR1055" s="47"/>
    </row>
    <row r="1056" spans="170:174" ht="11.25" customHeight="1">
      <c r="FN1056" s="50"/>
      <c r="FO1056" s="47"/>
      <c r="FP1056" s="47"/>
      <c r="FQ1056" s="47"/>
      <c r="FR1056" s="47"/>
    </row>
    <row r="1057" spans="170:174" ht="11.25" customHeight="1">
      <c r="FN1057" s="50"/>
      <c r="FO1057" s="47"/>
      <c r="FP1057" s="47"/>
      <c r="FQ1057" s="47"/>
      <c r="FR1057" s="47"/>
    </row>
    <row r="1058" spans="170:174" ht="11.25" customHeight="1">
      <c r="FN1058" s="50"/>
      <c r="FO1058" s="47"/>
      <c r="FP1058" s="47"/>
      <c r="FQ1058" s="47"/>
      <c r="FR1058" s="47"/>
    </row>
    <row r="1059" spans="170:174" ht="11.25" customHeight="1">
      <c r="FN1059" s="50"/>
      <c r="FO1059" s="47"/>
      <c r="FP1059" s="47"/>
      <c r="FQ1059" s="47"/>
      <c r="FR1059" s="47"/>
    </row>
    <row r="1060" spans="170:174" ht="11.25" customHeight="1">
      <c r="FN1060" s="50"/>
      <c r="FO1060" s="47"/>
      <c r="FP1060" s="47"/>
      <c r="FQ1060" s="47"/>
      <c r="FR1060" s="47"/>
    </row>
    <row r="1061" spans="170:174" ht="11.25" customHeight="1">
      <c r="FN1061" s="50"/>
      <c r="FO1061" s="47"/>
      <c r="FP1061" s="47"/>
      <c r="FQ1061" s="47"/>
      <c r="FR1061" s="47"/>
    </row>
    <row r="1062" spans="170:174" ht="11.25" customHeight="1">
      <c r="FN1062" s="50"/>
      <c r="FO1062" s="47"/>
      <c r="FP1062" s="47"/>
      <c r="FQ1062" s="47"/>
      <c r="FR1062" s="47"/>
    </row>
    <row r="1063" spans="170:174" ht="11.25" customHeight="1">
      <c r="FN1063" s="50"/>
      <c r="FO1063" s="47"/>
      <c r="FP1063" s="47"/>
      <c r="FQ1063" s="47"/>
      <c r="FR1063" s="47"/>
    </row>
    <row r="1064" spans="170:174" ht="11.25" customHeight="1">
      <c r="FN1064" s="50"/>
      <c r="FO1064" s="47"/>
      <c r="FP1064" s="47"/>
      <c r="FQ1064" s="47"/>
      <c r="FR1064" s="47"/>
    </row>
    <row r="1065" spans="170:174" ht="11.25" customHeight="1">
      <c r="FN1065" s="50"/>
      <c r="FO1065" s="47"/>
      <c r="FP1065" s="47"/>
      <c r="FQ1065" s="47"/>
      <c r="FR1065" s="47"/>
    </row>
    <row r="1066" spans="170:174" ht="11.25" customHeight="1">
      <c r="FN1066" s="50"/>
      <c r="FO1066" s="47"/>
      <c r="FP1066" s="47"/>
      <c r="FQ1066" s="47"/>
      <c r="FR1066" s="47"/>
    </row>
    <row r="1067" spans="170:174" ht="11.25" customHeight="1">
      <c r="FN1067" s="50"/>
      <c r="FO1067" s="47"/>
      <c r="FP1067" s="47"/>
      <c r="FQ1067" s="47"/>
      <c r="FR1067" s="47"/>
    </row>
    <row r="1068" spans="170:174" ht="11.25" customHeight="1">
      <c r="FN1068" s="50"/>
      <c r="FO1068" s="47"/>
      <c r="FP1068" s="47"/>
      <c r="FQ1068" s="47"/>
      <c r="FR1068" s="47"/>
    </row>
    <row r="1069" spans="170:174" ht="11.25" customHeight="1">
      <c r="FN1069" s="50"/>
      <c r="FO1069" s="47"/>
      <c r="FP1069" s="47"/>
      <c r="FQ1069" s="47"/>
      <c r="FR1069" s="47"/>
    </row>
    <row r="1070" spans="170:174" ht="11.25" customHeight="1">
      <c r="FN1070" s="50"/>
      <c r="FO1070" s="47"/>
      <c r="FP1070" s="47"/>
      <c r="FQ1070" s="47"/>
      <c r="FR1070" s="47"/>
    </row>
    <row r="1071" spans="170:174" ht="11.25" customHeight="1">
      <c r="FN1071" s="50"/>
      <c r="FO1071" s="47"/>
      <c r="FP1071" s="47"/>
      <c r="FQ1071" s="47"/>
      <c r="FR1071" s="47"/>
    </row>
    <row r="1072" spans="170:174" ht="11.25" customHeight="1">
      <c r="FN1072" s="50"/>
      <c r="FO1072" s="47"/>
      <c r="FP1072" s="47"/>
      <c r="FQ1072" s="47"/>
      <c r="FR1072" s="47"/>
    </row>
    <row r="1073" spans="170:174" ht="11.25" customHeight="1">
      <c r="FN1073" s="50"/>
      <c r="FO1073" s="47"/>
      <c r="FP1073" s="47"/>
      <c r="FQ1073" s="47"/>
      <c r="FR1073" s="47"/>
    </row>
    <row r="1074" spans="170:174" ht="11.25" customHeight="1">
      <c r="FN1074" s="50"/>
      <c r="FO1074" s="47"/>
      <c r="FP1074" s="47"/>
      <c r="FQ1074" s="47"/>
      <c r="FR1074" s="47"/>
    </row>
    <row r="1075" spans="170:174" ht="11.25" customHeight="1">
      <c r="FN1075" s="50"/>
      <c r="FO1075" s="47"/>
      <c r="FP1075" s="47"/>
      <c r="FQ1075" s="47"/>
      <c r="FR1075" s="47"/>
    </row>
    <row r="1076" spans="170:174" ht="11.25" customHeight="1">
      <c r="FN1076" s="50"/>
      <c r="FO1076" s="47"/>
      <c r="FP1076" s="47"/>
      <c r="FQ1076" s="47"/>
      <c r="FR1076" s="47"/>
    </row>
    <row r="1077" spans="170:174" ht="11.25" customHeight="1">
      <c r="FN1077" s="50"/>
      <c r="FO1077" s="47"/>
      <c r="FP1077" s="47"/>
      <c r="FQ1077" s="47"/>
      <c r="FR1077" s="47"/>
    </row>
    <row r="1078" spans="170:174" ht="11.25" customHeight="1">
      <c r="FN1078" s="50"/>
      <c r="FO1078" s="47"/>
      <c r="FP1078" s="47"/>
      <c r="FQ1078" s="47"/>
      <c r="FR1078" s="47"/>
    </row>
    <row r="1079" spans="170:174" ht="11.25" customHeight="1">
      <c r="FN1079" s="50"/>
      <c r="FO1079" s="47"/>
      <c r="FP1079" s="47"/>
      <c r="FQ1079" s="47"/>
      <c r="FR1079" s="47"/>
    </row>
    <row r="1080" spans="170:174" ht="11.25" customHeight="1">
      <c r="FN1080" s="50"/>
      <c r="FO1080" s="47"/>
      <c r="FP1080" s="47"/>
      <c r="FQ1080" s="47"/>
      <c r="FR1080" s="47"/>
    </row>
    <row r="1081" spans="170:174" ht="11.25" customHeight="1">
      <c r="FN1081" s="50"/>
      <c r="FO1081" s="47"/>
      <c r="FP1081" s="47"/>
      <c r="FQ1081" s="47"/>
      <c r="FR1081" s="47"/>
    </row>
    <row r="1082" spans="170:174" ht="11.25" customHeight="1">
      <c r="FN1082" s="50"/>
      <c r="FO1082" s="47"/>
      <c r="FP1082" s="47"/>
      <c r="FQ1082" s="47"/>
      <c r="FR1082" s="47"/>
    </row>
    <row r="1083" spans="170:174" ht="11.25" customHeight="1">
      <c r="FN1083" s="50"/>
      <c r="FO1083" s="47"/>
      <c r="FP1083" s="47"/>
      <c r="FQ1083" s="47"/>
      <c r="FR1083" s="47"/>
    </row>
    <row r="1084" spans="170:174" ht="11.25" customHeight="1">
      <c r="FN1084" s="50"/>
      <c r="FO1084" s="47"/>
      <c r="FP1084" s="47"/>
      <c r="FQ1084" s="47"/>
      <c r="FR1084" s="47"/>
    </row>
    <row r="1085" spans="170:174" ht="11.25" customHeight="1">
      <c r="FN1085" s="50"/>
      <c r="FO1085" s="47"/>
      <c r="FP1085" s="47"/>
      <c r="FQ1085" s="47"/>
      <c r="FR1085" s="47"/>
    </row>
    <row r="1086" spans="170:174" ht="11.25" customHeight="1">
      <c r="FN1086" s="50"/>
      <c r="FO1086" s="47"/>
      <c r="FP1086" s="47"/>
      <c r="FQ1086" s="47"/>
      <c r="FR1086" s="47"/>
    </row>
    <row r="1087" spans="170:174" ht="11.25" customHeight="1">
      <c r="FN1087" s="50"/>
      <c r="FO1087" s="47"/>
      <c r="FP1087" s="47"/>
      <c r="FQ1087" s="47"/>
      <c r="FR1087" s="47"/>
    </row>
    <row r="1088" spans="170:174" ht="11.25" customHeight="1">
      <c r="FN1088" s="50"/>
      <c r="FO1088" s="47"/>
      <c r="FP1088" s="47"/>
      <c r="FQ1088" s="47"/>
      <c r="FR1088" s="47"/>
    </row>
    <row r="1089" spans="170:174" ht="11.25" customHeight="1">
      <c r="FN1089" s="50"/>
      <c r="FO1089" s="47"/>
      <c r="FP1089" s="47"/>
      <c r="FQ1089" s="47"/>
      <c r="FR1089" s="47"/>
    </row>
    <row r="1090" spans="170:174" ht="11.25" customHeight="1">
      <c r="FN1090" s="50"/>
      <c r="FO1090" s="47"/>
      <c r="FP1090" s="47"/>
      <c r="FQ1090" s="47"/>
      <c r="FR1090" s="47"/>
    </row>
    <row r="1091" spans="170:174" ht="11.25" customHeight="1">
      <c r="FN1091" s="50"/>
      <c r="FO1091" s="47"/>
      <c r="FP1091" s="47"/>
      <c r="FQ1091" s="47"/>
      <c r="FR1091" s="47"/>
    </row>
    <row r="1092" spans="170:174" ht="11.25" customHeight="1">
      <c r="FN1092" s="50"/>
      <c r="FO1092" s="47"/>
      <c r="FP1092" s="47"/>
      <c r="FQ1092" s="47"/>
      <c r="FR1092" s="47"/>
    </row>
    <row r="1093" spans="170:174" ht="11.25" customHeight="1">
      <c r="FN1093" s="50"/>
      <c r="FO1093" s="47"/>
      <c r="FP1093" s="47"/>
      <c r="FQ1093" s="47"/>
      <c r="FR1093" s="47"/>
    </row>
    <row r="1094" spans="170:174" ht="11.25" customHeight="1">
      <c r="FN1094" s="50"/>
      <c r="FO1094" s="47"/>
      <c r="FP1094" s="47"/>
      <c r="FQ1094" s="47"/>
      <c r="FR1094" s="47"/>
    </row>
    <row r="1095" spans="170:174" ht="11.25" customHeight="1">
      <c r="FN1095" s="50"/>
      <c r="FO1095" s="47"/>
      <c r="FP1095" s="47"/>
      <c r="FQ1095" s="47"/>
      <c r="FR1095" s="47"/>
    </row>
    <row r="1096" spans="170:174" ht="11.25" customHeight="1">
      <c r="FN1096" s="50"/>
      <c r="FO1096" s="47"/>
      <c r="FP1096" s="47"/>
      <c r="FQ1096" s="47"/>
      <c r="FR1096" s="47"/>
    </row>
    <row r="1097" spans="170:174" ht="11.25" customHeight="1">
      <c r="FN1097" s="50"/>
      <c r="FO1097" s="47"/>
      <c r="FP1097" s="47"/>
      <c r="FQ1097" s="47"/>
      <c r="FR1097" s="47"/>
    </row>
    <row r="1098" spans="170:174" ht="11.25" customHeight="1">
      <c r="FN1098" s="50"/>
      <c r="FO1098" s="47"/>
      <c r="FP1098" s="47"/>
      <c r="FQ1098" s="47"/>
      <c r="FR1098" s="47"/>
    </row>
    <row r="1099" spans="170:174" ht="11.25" customHeight="1">
      <c r="FN1099" s="50"/>
      <c r="FO1099" s="47"/>
      <c r="FP1099" s="47"/>
      <c r="FQ1099" s="47"/>
      <c r="FR1099" s="47"/>
    </row>
    <row r="1100" spans="170:174" ht="11.25" customHeight="1">
      <c r="FN1100" s="50"/>
      <c r="FO1100" s="47"/>
      <c r="FP1100" s="47"/>
      <c r="FQ1100" s="47"/>
      <c r="FR1100" s="47"/>
    </row>
    <row r="1101" spans="170:174" ht="11.25" customHeight="1">
      <c r="FN1101" s="50"/>
      <c r="FO1101" s="47"/>
      <c r="FP1101" s="47"/>
      <c r="FQ1101" s="47"/>
      <c r="FR1101" s="47"/>
    </row>
    <row r="1102" spans="170:174" ht="11.25" customHeight="1">
      <c r="FN1102" s="50"/>
      <c r="FO1102" s="47"/>
      <c r="FP1102" s="47"/>
      <c r="FQ1102" s="47"/>
      <c r="FR1102" s="47"/>
    </row>
    <row r="1103" spans="170:174" ht="11.25" customHeight="1">
      <c r="FN1103" s="50"/>
      <c r="FO1103" s="47"/>
      <c r="FP1103" s="47"/>
      <c r="FQ1103" s="47"/>
      <c r="FR1103" s="47"/>
    </row>
    <row r="1104" spans="170:174" ht="11.25" customHeight="1">
      <c r="FN1104" s="50"/>
      <c r="FO1104" s="47"/>
      <c r="FP1104" s="47"/>
      <c r="FQ1104" s="47"/>
      <c r="FR1104" s="47"/>
    </row>
    <row r="1105" spans="170:174" ht="11.25" customHeight="1">
      <c r="FN1105" s="50"/>
      <c r="FO1105" s="47"/>
      <c r="FP1105" s="47"/>
      <c r="FQ1105" s="47"/>
      <c r="FR1105" s="47"/>
    </row>
    <row r="1106" spans="170:174" ht="11.25" customHeight="1">
      <c r="FN1106" s="50"/>
      <c r="FO1106" s="47"/>
      <c r="FP1106" s="47"/>
      <c r="FQ1106" s="47"/>
      <c r="FR1106" s="47"/>
    </row>
    <row r="1107" spans="170:174" ht="11.25" customHeight="1">
      <c r="FN1107" s="50"/>
      <c r="FO1107" s="47"/>
      <c r="FP1107" s="47"/>
      <c r="FQ1107" s="47"/>
      <c r="FR1107" s="47"/>
    </row>
    <row r="1108" spans="170:174" ht="11.25" customHeight="1">
      <c r="FN1108" s="50"/>
      <c r="FO1108" s="47"/>
      <c r="FP1108" s="47"/>
      <c r="FQ1108" s="47"/>
      <c r="FR1108" s="47"/>
    </row>
    <row r="1109" spans="170:174" ht="11.25" customHeight="1">
      <c r="FN1109" s="50"/>
      <c r="FO1109" s="47"/>
      <c r="FP1109" s="47"/>
      <c r="FQ1109" s="47"/>
      <c r="FR1109" s="47"/>
    </row>
    <row r="1110" spans="170:174" ht="11.25" customHeight="1">
      <c r="FN1110" s="50"/>
      <c r="FO1110" s="47"/>
      <c r="FP1110" s="47"/>
      <c r="FQ1110" s="47"/>
      <c r="FR1110" s="47"/>
    </row>
    <row r="1111" spans="170:174" ht="11.25" customHeight="1">
      <c r="FN1111" s="50"/>
      <c r="FO1111" s="47"/>
      <c r="FP1111" s="47"/>
      <c r="FQ1111" s="47"/>
      <c r="FR1111" s="47"/>
    </row>
    <row r="1112" spans="170:174" ht="11.25" customHeight="1">
      <c r="FN1112" s="50"/>
      <c r="FO1112" s="47"/>
      <c r="FP1112" s="47"/>
      <c r="FQ1112" s="47"/>
      <c r="FR1112" s="47"/>
    </row>
    <row r="1113" spans="170:174" ht="11.25" customHeight="1">
      <c r="FN1113" s="50"/>
      <c r="FO1113" s="47"/>
      <c r="FP1113" s="47"/>
      <c r="FQ1113" s="47"/>
      <c r="FR1113" s="47"/>
    </row>
    <row r="1114" spans="170:174" ht="11.25" customHeight="1">
      <c r="FN1114" s="50"/>
      <c r="FO1114" s="47"/>
      <c r="FP1114" s="47"/>
      <c r="FQ1114" s="47"/>
      <c r="FR1114" s="47"/>
    </row>
    <row r="1115" spans="170:174" ht="11.25" customHeight="1">
      <c r="FN1115" s="50"/>
      <c r="FO1115" s="47"/>
      <c r="FP1115" s="47"/>
      <c r="FQ1115" s="47"/>
      <c r="FR1115" s="47"/>
    </row>
    <row r="1116" spans="170:174" ht="11.25" customHeight="1">
      <c r="FN1116" s="50"/>
      <c r="FO1116" s="47"/>
      <c r="FP1116" s="47"/>
      <c r="FQ1116" s="47"/>
      <c r="FR1116" s="47"/>
    </row>
    <row r="1117" spans="170:174" ht="11.25" customHeight="1">
      <c r="FN1117" s="50"/>
      <c r="FO1117" s="47"/>
      <c r="FP1117" s="47"/>
      <c r="FQ1117" s="47"/>
      <c r="FR1117" s="47"/>
    </row>
    <row r="1118" spans="170:174" ht="11.25" customHeight="1">
      <c r="FN1118" s="50"/>
      <c r="FO1118" s="47"/>
      <c r="FP1118" s="47"/>
      <c r="FQ1118" s="47"/>
      <c r="FR1118" s="47"/>
    </row>
    <row r="1119" spans="170:174" ht="11.25" customHeight="1">
      <c r="FN1119" s="50"/>
      <c r="FO1119" s="47"/>
      <c r="FP1119" s="47"/>
      <c r="FQ1119" s="47"/>
      <c r="FR1119" s="47"/>
    </row>
    <row r="1120" spans="170:174" ht="11.25" customHeight="1">
      <c r="FN1120" s="50"/>
      <c r="FO1120" s="47"/>
      <c r="FP1120" s="47"/>
      <c r="FQ1120" s="47"/>
      <c r="FR1120" s="47"/>
    </row>
    <row r="1121" spans="170:174" ht="11.25" customHeight="1">
      <c r="FN1121" s="50"/>
      <c r="FO1121" s="47"/>
      <c r="FP1121" s="47"/>
      <c r="FQ1121" s="47"/>
      <c r="FR1121" s="47"/>
    </row>
    <row r="1122" spans="170:174" ht="11.25" customHeight="1">
      <c r="FN1122" s="50"/>
      <c r="FO1122" s="47"/>
      <c r="FP1122" s="47"/>
      <c r="FQ1122" s="47"/>
      <c r="FR1122" s="47"/>
    </row>
    <row r="1123" spans="170:174" ht="11.25" customHeight="1">
      <c r="FN1123" s="50"/>
      <c r="FO1123" s="47"/>
      <c r="FP1123" s="47"/>
      <c r="FQ1123" s="47"/>
      <c r="FR1123" s="47"/>
    </row>
    <row r="1124" spans="170:174" ht="11.25" customHeight="1">
      <c r="FN1124" s="50"/>
      <c r="FO1124" s="47"/>
      <c r="FP1124" s="47"/>
      <c r="FQ1124" s="47"/>
      <c r="FR1124" s="47"/>
    </row>
    <row r="1125" spans="170:174" ht="11.25" customHeight="1">
      <c r="FN1125" s="50"/>
      <c r="FO1125" s="47"/>
      <c r="FP1125" s="47"/>
      <c r="FQ1125" s="47"/>
      <c r="FR1125" s="47"/>
    </row>
    <row r="1126" spans="170:174" ht="11.25" customHeight="1">
      <c r="FN1126" s="50"/>
      <c r="FO1126" s="47"/>
      <c r="FP1126" s="47"/>
      <c r="FQ1126" s="47"/>
      <c r="FR1126" s="47"/>
    </row>
    <row r="1127" spans="170:174" ht="11.25" customHeight="1">
      <c r="FN1127" s="50"/>
      <c r="FO1127" s="47"/>
      <c r="FP1127" s="47"/>
      <c r="FQ1127" s="47"/>
      <c r="FR1127" s="47"/>
    </row>
    <row r="1128" spans="170:174" ht="11.25" customHeight="1">
      <c r="FN1128" s="50"/>
      <c r="FO1128" s="47"/>
      <c r="FP1128" s="47"/>
      <c r="FQ1128" s="47"/>
      <c r="FR1128" s="47"/>
    </row>
    <row r="1129" spans="170:174" ht="11.25" customHeight="1">
      <c r="FN1129" s="50"/>
      <c r="FO1129" s="47"/>
      <c r="FP1129" s="47"/>
      <c r="FQ1129" s="47"/>
      <c r="FR1129" s="47"/>
    </row>
    <row r="1130" spans="170:174" ht="11.25" customHeight="1">
      <c r="FN1130" s="50"/>
      <c r="FO1130" s="47"/>
      <c r="FP1130" s="47"/>
      <c r="FQ1130" s="47"/>
      <c r="FR1130" s="47"/>
    </row>
    <row r="1131" spans="170:174" ht="11.25" customHeight="1">
      <c r="FN1131" s="50"/>
      <c r="FO1131" s="47"/>
      <c r="FP1131" s="47"/>
      <c r="FQ1131" s="47"/>
      <c r="FR1131" s="47"/>
    </row>
    <row r="1132" spans="170:174" ht="11.25" customHeight="1">
      <c r="FN1132" s="50"/>
      <c r="FO1132" s="47"/>
      <c r="FP1132" s="47"/>
      <c r="FQ1132" s="47"/>
      <c r="FR1132" s="47"/>
    </row>
    <row r="1133" spans="170:174" ht="11.25" customHeight="1">
      <c r="FN1133" s="50"/>
      <c r="FO1133" s="47"/>
      <c r="FP1133" s="47"/>
      <c r="FQ1133" s="47"/>
      <c r="FR1133" s="47"/>
    </row>
    <row r="1134" spans="170:174" ht="11.25" customHeight="1">
      <c r="FN1134" s="50"/>
      <c r="FO1134" s="47"/>
      <c r="FP1134" s="47"/>
      <c r="FQ1134" s="47"/>
      <c r="FR1134" s="47"/>
    </row>
    <row r="1135" spans="170:174" ht="11.25" customHeight="1">
      <c r="FN1135" s="50"/>
      <c r="FO1135" s="47"/>
      <c r="FP1135" s="47"/>
      <c r="FQ1135" s="47"/>
      <c r="FR1135" s="47"/>
    </row>
    <row r="1136" spans="170:174" ht="11.25" customHeight="1">
      <c r="FN1136" s="50"/>
      <c r="FO1136" s="47"/>
      <c r="FP1136" s="47"/>
      <c r="FQ1136" s="47"/>
      <c r="FR1136" s="47"/>
    </row>
    <row r="1137" spans="170:174" ht="11.25" customHeight="1">
      <c r="FN1137" s="50"/>
      <c r="FO1137" s="47"/>
      <c r="FP1137" s="47"/>
      <c r="FQ1137" s="47"/>
      <c r="FR1137" s="47"/>
    </row>
    <row r="1138" spans="170:174" ht="11.25" customHeight="1">
      <c r="FN1138" s="50"/>
      <c r="FO1138" s="47"/>
      <c r="FP1138" s="47"/>
      <c r="FQ1138" s="47"/>
      <c r="FR1138" s="47"/>
    </row>
    <row r="1139" spans="170:174" ht="11.25" customHeight="1">
      <c r="FN1139" s="50"/>
      <c r="FO1139" s="47"/>
      <c r="FP1139" s="47"/>
      <c r="FQ1139" s="47"/>
      <c r="FR1139" s="47"/>
    </row>
    <row r="1140" spans="170:174" ht="11.25" customHeight="1">
      <c r="FN1140" s="50"/>
      <c r="FO1140" s="47"/>
      <c r="FP1140" s="47"/>
      <c r="FQ1140" s="47"/>
      <c r="FR1140" s="47"/>
    </row>
    <row r="1141" spans="170:174" ht="11.25" customHeight="1">
      <c r="FN1141" s="50"/>
      <c r="FO1141" s="47"/>
      <c r="FP1141" s="47"/>
      <c r="FQ1141" s="47"/>
      <c r="FR1141" s="47"/>
    </row>
    <row r="1142" spans="170:174" ht="11.25" customHeight="1">
      <c r="FN1142" s="50"/>
      <c r="FO1142" s="47"/>
      <c r="FP1142" s="47"/>
      <c r="FQ1142" s="47"/>
      <c r="FR1142" s="47"/>
    </row>
    <row r="1143" spans="170:174" ht="11.25" customHeight="1">
      <c r="FN1143" s="50"/>
      <c r="FO1143" s="47"/>
      <c r="FP1143" s="47"/>
      <c r="FQ1143" s="47"/>
      <c r="FR1143" s="47"/>
    </row>
    <row r="1144" spans="170:174" ht="11.25" customHeight="1">
      <c r="FN1144" s="50"/>
      <c r="FO1144" s="47"/>
      <c r="FP1144" s="47"/>
      <c r="FQ1144" s="47"/>
      <c r="FR1144" s="47"/>
    </row>
    <row r="1145" spans="170:174" ht="11.25" customHeight="1">
      <c r="FN1145" s="50"/>
      <c r="FO1145" s="47"/>
      <c r="FP1145" s="47"/>
      <c r="FQ1145" s="47"/>
      <c r="FR1145" s="47"/>
    </row>
    <row r="1146" spans="170:174" ht="11.25" customHeight="1">
      <c r="FN1146" s="50"/>
      <c r="FO1146" s="47"/>
      <c r="FP1146" s="47"/>
      <c r="FQ1146" s="47"/>
      <c r="FR1146" s="47"/>
    </row>
    <row r="1147" spans="170:174" ht="11.25" customHeight="1">
      <c r="FN1147" s="50"/>
      <c r="FO1147" s="47"/>
      <c r="FP1147" s="47"/>
      <c r="FQ1147" s="47"/>
      <c r="FR1147" s="47"/>
    </row>
    <row r="1148" spans="170:174" ht="11.25" customHeight="1">
      <c r="FN1148" s="50"/>
      <c r="FO1148" s="47"/>
      <c r="FP1148" s="47"/>
      <c r="FQ1148" s="47"/>
      <c r="FR1148" s="47"/>
    </row>
    <row r="1149" spans="170:174" ht="11.25" customHeight="1">
      <c r="FN1149" s="50"/>
      <c r="FO1149" s="47"/>
      <c r="FP1149" s="47"/>
      <c r="FQ1149" s="47"/>
      <c r="FR1149" s="47"/>
    </row>
    <row r="1150" spans="170:174" ht="11.25" customHeight="1">
      <c r="FN1150" s="50"/>
      <c r="FO1150" s="47"/>
      <c r="FP1150" s="47"/>
      <c r="FQ1150" s="47"/>
      <c r="FR1150" s="47"/>
    </row>
    <row r="1151" spans="170:174" ht="11.25" customHeight="1">
      <c r="FN1151" s="50"/>
      <c r="FO1151" s="47"/>
      <c r="FP1151" s="47"/>
      <c r="FQ1151" s="47"/>
      <c r="FR1151" s="47"/>
    </row>
    <row r="1152" spans="170:174" ht="11.25" customHeight="1">
      <c r="FN1152" s="50"/>
      <c r="FO1152" s="47"/>
      <c r="FP1152" s="47"/>
      <c r="FQ1152" s="47"/>
      <c r="FR1152" s="47"/>
    </row>
    <row r="1153" spans="170:174" ht="11.25" customHeight="1">
      <c r="FN1153" s="50"/>
      <c r="FO1153" s="47"/>
      <c r="FP1153" s="47"/>
      <c r="FQ1153" s="47"/>
      <c r="FR1153" s="47"/>
    </row>
    <row r="1154" spans="170:174" ht="11.25" customHeight="1">
      <c r="FN1154" s="50"/>
      <c r="FO1154" s="47"/>
      <c r="FP1154" s="47"/>
      <c r="FQ1154" s="47"/>
      <c r="FR1154" s="47"/>
    </row>
    <row r="1155" spans="170:174" ht="11.25" customHeight="1">
      <c r="FN1155" s="50"/>
      <c r="FO1155" s="47"/>
      <c r="FP1155" s="47"/>
      <c r="FQ1155" s="47"/>
      <c r="FR1155" s="47"/>
    </row>
    <row r="1156" spans="170:174" ht="11.25" customHeight="1">
      <c r="FN1156" s="50"/>
      <c r="FO1156" s="47"/>
      <c r="FP1156" s="47"/>
      <c r="FQ1156" s="47"/>
      <c r="FR1156" s="47"/>
    </row>
    <row r="1157" spans="170:174" ht="11.25" customHeight="1">
      <c r="FN1157" s="50"/>
      <c r="FO1157" s="47"/>
      <c r="FP1157" s="47"/>
      <c r="FQ1157" s="47"/>
      <c r="FR1157" s="47"/>
    </row>
    <row r="1158" spans="170:174" ht="11.25" customHeight="1">
      <c r="FN1158" s="50"/>
      <c r="FO1158" s="47"/>
      <c r="FP1158" s="47"/>
      <c r="FQ1158" s="47"/>
      <c r="FR1158" s="47"/>
    </row>
    <row r="1159" spans="170:174" ht="11.25" customHeight="1">
      <c r="FN1159" s="50"/>
      <c r="FO1159" s="47"/>
      <c r="FP1159" s="47"/>
      <c r="FQ1159" s="47"/>
      <c r="FR1159" s="47"/>
    </row>
    <row r="1160" spans="170:174" ht="11.25" customHeight="1">
      <c r="FN1160" s="50"/>
      <c r="FO1160" s="47"/>
      <c r="FP1160" s="47"/>
      <c r="FQ1160" s="47"/>
      <c r="FR1160" s="47"/>
    </row>
    <row r="1161" spans="170:174" ht="11.25" customHeight="1">
      <c r="FN1161" s="50"/>
      <c r="FO1161" s="47"/>
      <c r="FP1161" s="47"/>
      <c r="FQ1161" s="47"/>
      <c r="FR1161" s="47"/>
    </row>
    <row r="1162" spans="170:174" ht="11.25" customHeight="1">
      <c r="FN1162" s="50"/>
      <c r="FO1162" s="47"/>
      <c r="FP1162" s="47"/>
      <c r="FQ1162" s="47"/>
      <c r="FR1162" s="47"/>
    </row>
    <row r="1163" spans="170:174" ht="11.25" customHeight="1">
      <c r="FN1163" s="50"/>
      <c r="FO1163" s="47"/>
      <c r="FP1163" s="47"/>
      <c r="FQ1163" s="47"/>
      <c r="FR1163" s="47"/>
    </row>
    <row r="1164" spans="170:174" ht="11.25" customHeight="1">
      <c r="FN1164" s="50"/>
      <c r="FO1164" s="47"/>
      <c r="FP1164" s="47"/>
      <c r="FQ1164" s="47"/>
      <c r="FR1164" s="47"/>
    </row>
    <row r="1165" spans="170:174" ht="11.25" customHeight="1">
      <c r="FN1165" s="50"/>
      <c r="FO1165" s="47"/>
      <c r="FP1165" s="47"/>
      <c r="FQ1165" s="47"/>
      <c r="FR1165" s="47"/>
    </row>
    <row r="1166" spans="170:174" ht="11.25" customHeight="1">
      <c r="FN1166" s="50"/>
      <c r="FO1166" s="47"/>
      <c r="FP1166" s="47"/>
      <c r="FQ1166" s="47"/>
      <c r="FR1166" s="47"/>
    </row>
    <row r="1167" spans="170:174" ht="11.25" customHeight="1">
      <c r="FN1167" s="50"/>
      <c r="FO1167" s="47"/>
      <c r="FP1167" s="47"/>
      <c r="FQ1167" s="47"/>
      <c r="FR1167" s="47"/>
    </row>
    <row r="1168" spans="170:174" ht="11.25" customHeight="1">
      <c r="FN1168" s="50"/>
      <c r="FO1168" s="47"/>
      <c r="FP1168" s="47"/>
      <c r="FQ1168" s="47"/>
      <c r="FR1168" s="47"/>
    </row>
    <row r="1169" spans="170:174" ht="11.25" customHeight="1">
      <c r="FN1169" s="50"/>
      <c r="FO1169" s="47"/>
      <c r="FP1169" s="47"/>
      <c r="FQ1169" s="47"/>
      <c r="FR1169" s="47"/>
    </row>
    <row r="1170" spans="170:174" ht="11.25" customHeight="1">
      <c r="FN1170" s="50"/>
      <c r="FO1170" s="47"/>
      <c r="FP1170" s="47"/>
      <c r="FQ1170" s="47"/>
      <c r="FR1170" s="47"/>
    </row>
    <row r="1171" spans="170:174" ht="11.25" customHeight="1">
      <c r="FN1171" s="50"/>
      <c r="FO1171" s="47"/>
      <c r="FP1171" s="47"/>
      <c r="FQ1171" s="47"/>
      <c r="FR1171" s="47"/>
    </row>
    <row r="1172" spans="170:174" ht="11.25" customHeight="1">
      <c r="FN1172" s="50"/>
      <c r="FO1172" s="47"/>
      <c r="FP1172" s="47"/>
      <c r="FQ1172" s="47"/>
      <c r="FR1172" s="47"/>
    </row>
    <row r="1173" spans="170:174" ht="11.25" customHeight="1">
      <c r="FN1173" s="50"/>
      <c r="FO1173" s="47"/>
      <c r="FP1173" s="47"/>
      <c r="FQ1173" s="47"/>
      <c r="FR1173" s="47"/>
    </row>
    <row r="1174" spans="170:174" ht="11.25" customHeight="1">
      <c r="FN1174" s="50"/>
      <c r="FO1174" s="47"/>
      <c r="FP1174" s="47"/>
      <c r="FQ1174" s="47"/>
      <c r="FR1174" s="47"/>
    </row>
    <row r="1175" spans="170:174" ht="11.25" customHeight="1">
      <c r="FN1175" s="50"/>
      <c r="FO1175" s="47"/>
      <c r="FP1175" s="47"/>
      <c r="FQ1175" s="47"/>
      <c r="FR1175" s="47"/>
    </row>
    <row r="1176" spans="170:174" ht="11.25" customHeight="1">
      <c r="FN1176" s="50"/>
      <c r="FO1176" s="47"/>
      <c r="FP1176" s="47"/>
      <c r="FQ1176" s="47"/>
      <c r="FR1176" s="47"/>
    </row>
    <row r="1177" spans="170:174" ht="11.25" customHeight="1">
      <c r="FN1177" s="50"/>
      <c r="FO1177" s="47"/>
      <c r="FP1177" s="47"/>
      <c r="FQ1177" s="47"/>
      <c r="FR1177" s="47"/>
    </row>
    <row r="1178" spans="170:174" ht="11.25" customHeight="1">
      <c r="FN1178" s="50"/>
      <c r="FO1178" s="47"/>
      <c r="FP1178" s="47"/>
      <c r="FQ1178" s="47"/>
      <c r="FR1178" s="47"/>
    </row>
    <row r="1179" spans="170:174" ht="11.25" customHeight="1">
      <c r="FN1179" s="50"/>
      <c r="FO1179" s="47"/>
      <c r="FP1179" s="47"/>
      <c r="FQ1179" s="47"/>
      <c r="FR1179" s="47"/>
    </row>
    <row r="1180" spans="170:174" ht="11.25" customHeight="1">
      <c r="FN1180" s="50"/>
      <c r="FO1180" s="47"/>
      <c r="FP1180" s="47"/>
      <c r="FQ1180" s="47"/>
      <c r="FR1180" s="47"/>
    </row>
    <row r="1181" spans="170:174" ht="11.25" customHeight="1">
      <c r="FN1181" s="50"/>
      <c r="FO1181" s="47"/>
      <c r="FP1181" s="47"/>
      <c r="FQ1181" s="47"/>
      <c r="FR1181" s="47"/>
    </row>
    <row r="1182" spans="170:174" ht="11.25" customHeight="1">
      <c r="FN1182" s="50"/>
      <c r="FO1182" s="47"/>
      <c r="FP1182" s="47"/>
      <c r="FQ1182" s="47"/>
      <c r="FR1182" s="47"/>
    </row>
    <row r="1183" spans="170:174" ht="11.25" customHeight="1">
      <c r="FN1183" s="50"/>
      <c r="FO1183" s="47"/>
      <c r="FP1183" s="47"/>
      <c r="FQ1183" s="47"/>
      <c r="FR1183" s="47"/>
    </row>
    <row r="1184" spans="170:174" ht="11.25" customHeight="1">
      <c r="FN1184" s="50"/>
      <c r="FO1184" s="47"/>
      <c r="FP1184" s="47"/>
      <c r="FQ1184" s="47"/>
      <c r="FR1184" s="47"/>
    </row>
    <row r="1185" spans="170:174" ht="11.25" customHeight="1">
      <c r="FN1185" s="50"/>
      <c r="FO1185" s="47"/>
      <c r="FP1185" s="47"/>
      <c r="FQ1185" s="47"/>
      <c r="FR1185" s="47"/>
    </row>
    <row r="1186" spans="170:174" ht="11.25" customHeight="1">
      <c r="FN1186" s="50"/>
      <c r="FO1186" s="47"/>
      <c r="FP1186" s="47"/>
      <c r="FQ1186" s="47"/>
      <c r="FR1186" s="47"/>
    </row>
    <row r="1187" spans="170:174" ht="11.25" customHeight="1">
      <c r="FN1187" s="50"/>
      <c r="FO1187" s="47"/>
      <c r="FP1187" s="47"/>
      <c r="FQ1187" s="47"/>
      <c r="FR1187" s="47"/>
    </row>
    <row r="1188" spans="170:174" ht="11.25" customHeight="1">
      <c r="FN1188" s="50"/>
      <c r="FO1188" s="47"/>
      <c r="FP1188" s="47"/>
      <c r="FQ1188" s="47"/>
      <c r="FR1188" s="47"/>
    </row>
    <row r="1189" spans="170:174" ht="11.25" customHeight="1">
      <c r="FN1189" s="50"/>
      <c r="FO1189" s="47"/>
      <c r="FP1189" s="47"/>
      <c r="FQ1189" s="47"/>
      <c r="FR1189" s="47"/>
    </row>
    <row r="1190" spans="170:174" ht="11.25" customHeight="1">
      <c r="FN1190" s="50"/>
      <c r="FO1190" s="47"/>
      <c r="FP1190" s="47"/>
      <c r="FQ1190" s="47"/>
      <c r="FR1190" s="47"/>
    </row>
    <row r="1191" spans="170:174" ht="11.25" customHeight="1">
      <c r="FN1191" s="50"/>
      <c r="FO1191" s="47"/>
      <c r="FP1191" s="47"/>
      <c r="FQ1191" s="47"/>
      <c r="FR1191" s="47"/>
    </row>
    <row r="1192" spans="170:174" ht="11.25" customHeight="1">
      <c r="FN1192" s="50"/>
      <c r="FO1192" s="47"/>
      <c r="FP1192" s="47"/>
      <c r="FQ1192" s="47"/>
      <c r="FR1192" s="47"/>
    </row>
    <row r="1193" spans="170:174" ht="11.25" customHeight="1">
      <c r="FN1193" s="50"/>
      <c r="FO1193" s="47"/>
      <c r="FP1193" s="47"/>
      <c r="FQ1193" s="47"/>
      <c r="FR1193" s="47"/>
    </row>
    <row r="1194" spans="170:174" ht="11.25" customHeight="1">
      <c r="FN1194" s="50"/>
      <c r="FO1194" s="47"/>
      <c r="FP1194" s="47"/>
      <c r="FQ1194" s="47"/>
      <c r="FR1194" s="47"/>
    </row>
    <row r="1195" spans="170:174" ht="11.25" customHeight="1">
      <c r="FN1195" s="50"/>
      <c r="FO1195" s="47"/>
      <c r="FP1195" s="47"/>
      <c r="FQ1195" s="47"/>
      <c r="FR1195" s="47"/>
    </row>
    <row r="1196" spans="170:174" ht="11.25" customHeight="1">
      <c r="FN1196" s="50"/>
      <c r="FO1196" s="47"/>
      <c r="FP1196" s="47"/>
      <c r="FQ1196" s="47"/>
      <c r="FR1196" s="47"/>
    </row>
    <row r="1197" spans="170:174" ht="11.25" customHeight="1">
      <c r="FN1197" s="50"/>
      <c r="FO1197" s="47"/>
      <c r="FP1197" s="47"/>
      <c r="FQ1197" s="47"/>
      <c r="FR1197" s="47"/>
    </row>
    <row r="1198" spans="170:174" ht="11.25" customHeight="1">
      <c r="FN1198" s="50"/>
      <c r="FO1198" s="47"/>
      <c r="FP1198" s="47"/>
      <c r="FQ1198" s="47"/>
      <c r="FR1198" s="47"/>
    </row>
    <row r="1199" spans="170:174" ht="11.25" customHeight="1">
      <c r="FN1199" s="50"/>
      <c r="FO1199" s="47"/>
      <c r="FP1199" s="47"/>
      <c r="FQ1199" s="47"/>
      <c r="FR1199" s="47"/>
    </row>
    <row r="1200" spans="170:174" ht="11.25" customHeight="1">
      <c r="FN1200" s="50"/>
      <c r="FO1200" s="47"/>
      <c r="FP1200" s="47"/>
      <c r="FQ1200" s="47"/>
      <c r="FR1200" s="47"/>
    </row>
    <row r="1201" spans="170:174" ht="11.25" customHeight="1">
      <c r="FN1201" s="50"/>
      <c r="FO1201" s="47"/>
      <c r="FP1201" s="47"/>
      <c r="FQ1201" s="47"/>
      <c r="FR1201" s="47"/>
    </row>
    <row r="1202" spans="170:174" ht="11.25" customHeight="1">
      <c r="FN1202" s="50"/>
      <c r="FO1202" s="47"/>
      <c r="FP1202" s="47"/>
      <c r="FQ1202" s="47"/>
      <c r="FR1202" s="47"/>
    </row>
    <row r="1203" spans="170:174" ht="11.25" customHeight="1">
      <c r="FN1203" s="50"/>
      <c r="FO1203" s="47"/>
      <c r="FP1203" s="47"/>
      <c r="FQ1203" s="47"/>
      <c r="FR1203" s="47"/>
    </row>
    <row r="1204" spans="170:174" ht="11.25" customHeight="1">
      <c r="FN1204" s="50"/>
      <c r="FO1204" s="47"/>
      <c r="FP1204" s="47"/>
      <c r="FQ1204" s="47"/>
      <c r="FR1204" s="47"/>
    </row>
    <row r="1205" spans="170:174" ht="11.25" customHeight="1">
      <c r="FN1205" s="50"/>
      <c r="FO1205" s="47"/>
      <c r="FP1205" s="47"/>
      <c r="FQ1205" s="47"/>
      <c r="FR1205" s="47"/>
    </row>
    <row r="1206" spans="170:174" ht="11.25" customHeight="1">
      <c r="FN1206" s="50"/>
      <c r="FO1206" s="47"/>
      <c r="FP1206" s="47"/>
      <c r="FQ1206" s="47"/>
      <c r="FR1206" s="47"/>
    </row>
    <row r="1207" spans="170:174" ht="11.25" customHeight="1">
      <c r="FN1207" s="50"/>
      <c r="FO1207" s="47"/>
      <c r="FP1207" s="47"/>
      <c r="FQ1207" s="47"/>
      <c r="FR1207" s="47"/>
    </row>
    <row r="1208" spans="170:174" ht="11.25" customHeight="1">
      <c r="FN1208" s="50"/>
      <c r="FO1208" s="47"/>
      <c r="FP1208" s="47"/>
      <c r="FQ1208" s="47"/>
      <c r="FR1208" s="47"/>
    </row>
    <row r="1209" spans="170:174" ht="11.25" customHeight="1">
      <c r="FN1209" s="50"/>
      <c r="FO1209" s="47"/>
      <c r="FP1209" s="47"/>
      <c r="FQ1209" s="47"/>
      <c r="FR1209" s="47"/>
    </row>
    <row r="1210" spans="170:174" ht="11.25" customHeight="1">
      <c r="FN1210" s="50"/>
      <c r="FO1210" s="47"/>
      <c r="FP1210" s="47"/>
      <c r="FQ1210" s="47"/>
      <c r="FR1210" s="47"/>
    </row>
    <row r="1211" spans="170:174" ht="11.25" customHeight="1">
      <c r="FN1211" s="50"/>
      <c r="FO1211" s="47"/>
      <c r="FP1211" s="47"/>
      <c r="FQ1211" s="47"/>
      <c r="FR1211" s="47"/>
    </row>
    <row r="1212" spans="170:174" ht="11.25" customHeight="1">
      <c r="FN1212" s="50"/>
      <c r="FO1212" s="47"/>
      <c r="FP1212" s="47"/>
      <c r="FQ1212" s="47"/>
      <c r="FR1212" s="47"/>
    </row>
    <row r="1213" spans="170:174" ht="11.25" customHeight="1">
      <c r="FN1213" s="50"/>
      <c r="FO1213" s="47"/>
      <c r="FP1213" s="47"/>
      <c r="FQ1213" s="47"/>
      <c r="FR1213" s="47"/>
    </row>
    <row r="1214" spans="170:174" ht="11.25" customHeight="1">
      <c r="FN1214" s="50"/>
      <c r="FO1214" s="47"/>
      <c r="FP1214" s="47"/>
      <c r="FQ1214" s="47"/>
      <c r="FR1214" s="47"/>
    </row>
    <row r="1215" spans="170:174" ht="11.25" customHeight="1">
      <c r="FN1215" s="50"/>
      <c r="FO1215" s="47"/>
      <c r="FP1215" s="47"/>
      <c r="FQ1215" s="47"/>
      <c r="FR1215" s="47"/>
    </row>
    <row r="1216" spans="170:174" ht="11.25" customHeight="1">
      <c r="FN1216" s="50"/>
      <c r="FO1216" s="47"/>
      <c r="FP1216" s="47"/>
      <c r="FQ1216" s="47"/>
      <c r="FR1216" s="47"/>
    </row>
    <row r="1217" spans="170:174" ht="11.25" customHeight="1">
      <c r="FN1217" s="50"/>
      <c r="FO1217" s="47"/>
      <c r="FP1217" s="47"/>
      <c r="FQ1217" s="47"/>
      <c r="FR1217" s="47"/>
    </row>
    <row r="1218" spans="170:174" ht="11.25" customHeight="1">
      <c r="FN1218" s="50"/>
      <c r="FO1218" s="47"/>
      <c r="FP1218" s="47"/>
      <c r="FQ1218" s="47"/>
      <c r="FR1218" s="47"/>
    </row>
    <row r="1219" spans="170:174" ht="11.25" customHeight="1">
      <c r="FN1219" s="50"/>
      <c r="FO1219" s="47"/>
      <c r="FP1219" s="47"/>
      <c r="FQ1219" s="47"/>
      <c r="FR1219" s="47"/>
    </row>
    <row r="1220" spans="170:174" ht="11.25" customHeight="1">
      <c r="FN1220" s="50"/>
      <c r="FO1220" s="47"/>
      <c r="FP1220" s="47"/>
      <c r="FQ1220" s="47"/>
      <c r="FR1220" s="47"/>
    </row>
    <row r="1221" spans="170:174" ht="11.25" customHeight="1">
      <c r="FN1221" s="50"/>
      <c r="FO1221" s="47"/>
      <c r="FP1221" s="47"/>
      <c r="FQ1221" s="47"/>
      <c r="FR1221" s="47"/>
    </row>
    <row r="1222" spans="170:174" ht="11.25" customHeight="1">
      <c r="FN1222" s="50"/>
      <c r="FO1222" s="47"/>
      <c r="FP1222" s="47"/>
      <c r="FQ1222" s="47"/>
      <c r="FR1222" s="47"/>
    </row>
    <row r="1223" spans="170:174" ht="11.25" customHeight="1">
      <c r="FN1223" s="50"/>
      <c r="FO1223" s="47"/>
      <c r="FP1223" s="47"/>
      <c r="FQ1223" s="47"/>
      <c r="FR1223" s="47"/>
    </row>
    <row r="1224" spans="170:174" ht="11.25" customHeight="1">
      <c r="FN1224" s="50"/>
      <c r="FO1224" s="47"/>
      <c r="FP1224" s="47"/>
      <c r="FQ1224" s="47"/>
      <c r="FR1224" s="47"/>
    </row>
    <row r="1225" spans="170:174" ht="11.25" customHeight="1">
      <c r="FN1225" s="50"/>
      <c r="FO1225" s="47"/>
      <c r="FP1225" s="47"/>
      <c r="FQ1225" s="47"/>
      <c r="FR1225" s="47"/>
    </row>
  </sheetData>
  <sheetProtection sheet="1" objects="1" scenarios="1" selectLockedCells="1"/>
  <phoneticPr fontId="2" type="noConversion"/>
  <dataValidations count="4">
    <dataValidation type="whole" operator="greaterThanOrEqual" allowBlank="1" showInputMessage="1" showErrorMessage="1" errorTitle="Group size" error="Min 2" sqref="DF29 D11:I11">
      <formula1>2</formula1>
    </dataValidation>
    <dataValidation type="decimal" operator="greaterThan" allowBlank="1" showInputMessage="1" showErrorMessage="1" errorTitle="Group mean" error="Must be a number" sqref="DF30 D12:I12">
      <formula1>-9999999999998</formula1>
    </dataValidation>
    <dataValidation type="decimal" operator="greaterThan" allowBlank="1" showInputMessage="1" showErrorMessage="1" errorTitle="Group SD" error="Must be a positive number" sqref="DF31 D13:I14">
      <formula1>0</formula1>
    </dataValidation>
    <dataValidation type="decimal" allowBlank="1" showInputMessage="1" showErrorMessage="1" errorTitle="Level of confidence" error="Min 1, max 99.9" sqref="H6">
      <formula1>1</formula1>
      <formula2>99.9</formula2>
    </dataValidation>
  </dataValidations>
  <pageMargins left="0.55118110236220474" right="0.55118110236220474" top="0.59055118110236227" bottom="0.59055118110236227" header="0.51181102362204722" footer="0.51181102362204722"/>
  <pageSetup paperSize="9" orientation="landscape" r:id="rId1"/>
  <headerFooter alignWithMargins="0">
    <oddHeader>&amp;A</oddHeader>
    <oddFooter>Page &amp;P</oddFooter>
  </headerFooter>
  <drawing r:id="rId2"/>
  <legacyDrawing r:id="rId3"/>
</worksheet>
</file>

<file path=xl/worksheets/sheet12.xml><?xml version="1.0" encoding="utf-8"?>
<worksheet xmlns="http://schemas.openxmlformats.org/spreadsheetml/2006/main" xmlns:r="http://schemas.openxmlformats.org/officeDocument/2006/relationships">
  <sheetPr codeName="Sheet15"/>
  <dimension ref="A1:IV1225"/>
  <sheetViews>
    <sheetView showGridLines="0" showRowColHeaders="0" zoomScale="120" workbookViewId="0">
      <selection activeCell="G10" sqref="G10"/>
    </sheetView>
  </sheetViews>
  <sheetFormatPr defaultColWidth="8.85546875" defaultRowHeight="11.25" customHeight="1"/>
  <cols>
    <col min="1" max="1" width="0.7109375" style="43" customWidth="1"/>
    <col min="2" max="2" width="3" style="43" customWidth="1"/>
    <col min="3" max="4" width="2.85546875" style="43" customWidth="1"/>
    <col min="5" max="9" width="7.7109375" style="43" customWidth="1"/>
    <col min="10" max="10" width="1.85546875" style="5" customWidth="1"/>
    <col min="11" max="11" width="8.5703125" style="5" customWidth="1"/>
    <col min="12" max="12" width="3.7109375" style="5" customWidth="1"/>
    <col min="13" max="15" width="1.85546875" style="5" customWidth="1"/>
    <col min="16" max="16" width="8.85546875" style="5" customWidth="1"/>
    <col min="17" max="17" width="6.85546875" style="5" customWidth="1"/>
    <col min="18" max="18" width="3.140625" style="5" customWidth="1"/>
    <col min="19" max="19" width="6.85546875" style="5" customWidth="1"/>
    <col min="20" max="20" width="3.5703125" style="5" customWidth="1"/>
    <col min="21" max="21" width="4.140625" style="5" customWidth="1"/>
    <col min="22" max="22" width="7.140625" style="5" customWidth="1"/>
    <col min="23" max="23" width="2.28515625" style="5" customWidth="1"/>
    <col min="24" max="24" width="4.5703125" style="5" customWidth="1"/>
    <col min="25" max="25" width="7.140625" style="5" customWidth="1"/>
    <col min="26" max="26" width="1.140625" style="5" customWidth="1"/>
    <col min="27" max="27" width="7.140625" style="5" customWidth="1"/>
    <col min="28" max="28" width="4.28515625" style="5" customWidth="1"/>
    <col min="29" max="29" width="6.42578125" style="5" customWidth="1"/>
    <col min="30" max="30" width="1.140625" style="5" customWidth="1"/>
    <col min="31" max="31" width="6.42578125" style="5" customWidth="1"/>
    <col min="32" max="32" width="2.140625" style="5" customWidth="1"/>
    <col min="33" max="33" width="6.42578125" style="5" customWidth="1"/>
    <col min="34" max="34" width="1.42578125" style="5" customWidth="1"/>
    <col min="35" max="36" width="2.140625" style="5" customWidth="1"/>
    <col min="37" max="53" width="7.140625" style="5" customWidth="1"/>
    <col min="54" max="57" width="7.7109375" style="5" customWidth="1"/>
    <col min="58" max="58" width="2.140625" style="5" customWidth="1"/>
    <col min="59" max="60" width="7.140625" style="5" customWidth="1"/>
    <col min="61" max="64" width="7.7109375" style="5" customWidth="1"/>
    <col min="65" max="65" width="2.140625" style="5" customWidth="1"/>
    <col min="66" max="66" width="7.140625" customWidth="1"/>
    <col min="67" max="67" width="7.140625" style="5" customWidth="1"/>
    <col min="68" max="71" width="7.7109375" style="5" customWidth="1"/>
    <col min="72" max="72" width="2.140625" style="5" customWidth="1"/>
    <col min="73" max="91" width="7.140625" customWidth="1"/>
    <col min="92" max="161" width="7.140625" style="5" customWidth="1"/>
    <col min="162" max="169" width="8.85546875" style="5"/>
    <col min="170" max="16384" width="8.85546875" style="43"/>
  </cols>
  <sheetData>
    <row r="1" spans="1:175" ht="12.75" customHeight="1">
      <c r="E1" s="44" t="s">
        <v>1350</v>
      </c>
      <c r="M1" s="456" t="s">
        <v>438</v>
      </c>
      <c r="N1" s="226"/>
      <c r="O1" s="226"/>
      <c r="P1" s="320"/>
      <c r="Q1" s="9"/>
      <c r="R1" s="9"/>
      <c r="S1" s="9"/>
      <c r="T1" s="9"/>
      <c r="U1" s="23"/>
      <c r="V1" s="425" t="str">
        <f>IF(dod,"Difference of","")</f>
        <v/>
      </c>
      <c r="W1" s="9"/>
      <c r="X1" s="9"/>
      <c r="Y1" s="9"/>
      <c r="Z1" s="9"/>
      <c r="AA1" s="9"/>
      <c r="AB1" s="9"/>
      <c r="AC1" s="9"/>
      <c r="AD1" s="9"/>
      <c r="AE1" s="9"/>
      <c r="AF1" s="9"/>
      <c r="AG1" s="342" t="s">
        <v>470</v>
      </c>
      <c r="AH1" s="347"/>
      <c r="AI1" s="345"/>
      <c r="AJ1" s="346"/>
      <c r="AK1" s="502"/>
      <c r="AL1" s="502"/>
      <c r="AM1" s="502"/>
      <c r="AN1" s="502"/>
      <c r="AO1" s="502"/>
      <c r="AP1" s="96"/>
      <c r="AQ1" s="96"/>
      <c r="AR1" s="96"/>
      <c r="AS1" s="96"/>
      <c r="AT1" s="96"/>
      <c r="AU1" s="96"/>
      <c r="AV1" s="96"/>
      <c r="AW1" s="96"/>
      <c r="AX1" s="96"/>
      <c r="AY1" s="96"/>
      <c r="AZ1" s="96"/>
      <c r="BA1" s="232">
        <v>11</v>
      </c>
      <c r="BB1" s="214"/>
      <c r="BC1" s="214"/>
      <c r="BD1" s="214"/>
      <c r="BE1" s="214"/>
      <c r="BF1" s="215"/>
      <c r="BG1" s="96"/>
      <c r="BH1" s="232">
        <v>12</v>
      </c>
      <c r="BI1" s="214"/>
      <c r="BJ1" s="214"/>
      <c r="BK1" s="214"/>
      <c r="BL1" s="214"/>
      <c r="BM1" s="215"/>
      <c r="BO1" s="232">
        <v>13</v>
      </c>
      <c r="BP1" s="214"/>
      <c r="BQ1" s="214"/>
      <c r="BR1" s="214"/>
      <c r="BS1" s="214"/>
      <c r="BT1" s="215"/>
      <c r="CW1" s="5" t="s">
        <v>1124</v>
      </c>
      <c r="CZ1" s="280" t="s">
        <v>466</v>
      </c>
      <c r="DA1" s="282" t="s">
        <v>467</v>
      </c>
      <c r="DB1" s="5" t="s">
        <v>1087</v>
      </c>
      <c r="DD1" s="5" t="s">
        <v>1088</v>
      </c>
      <c r="DE1" s="5" t="s">
        <v>1090</v>
      </c>
      <c r="DF1" s="65"/>
      <c r="DG1" s="284" t="s">
        <v>466</v>
      </c>
      <c r="DH1" s="66" t="s">
        <v>468</v>
      </c>
      <c r="DI1" s="285" t="s">
        <v>467</v>
      </c>
      <c r="DJ1" s="93" t="s">
        <v>468</v>
      </c>
      <c r="DL1" s="62" t="s">
        <v>588</v>
      </c>
      <c r="DM1" s="95">
        <v>1</v>
      </c>
      <c r="DQ1" s="109"/>
      <c r="DR1" s="114" t="s">
        <v>591</v>
      </c>
      <c r="DS1" s="93" t="b">
        <f>DL5</f>
        <v>1</v>
      </c>
      <c r="DU1" s="5" t="s">
        <v>446</v>
      </c>
      <c r="DW1" s="5" t="s">
        <v>447</v>
      </c>
      <c r="DY1" s="5" t="s">
        <v>448</v>
      </c>
      <c r="FN1" s="50"/>
      <c r="FO1" s="56"/>
      <c r="FP1" s="56"/>
      <c r="FQ1" s="50"/>
      <c r="FR1" s="50"/>
      <c r="FS1" s="50"/>
    </row>
    <row r="2" spans="1:175" ht="11.25" customHeight="1">
      <c r="E2" s="43" t="s">
        <v>433</v>
      </c>
      <c r="G2" s="46"/>
      <c r="M2" s="330"/>
      <c r="N2" s="319"/>
      <c r="O2" s="319" t="str">
        <f>IF(DE9,"Means:","")</f>
        <v/>
      </c>
      <c r="P2" s="12"/>
      <c r="Q2" s="129" t="str">
        <f>IF(DE9,"(A2B2 - A2B1)",IF(DO58="","","(green"))</f>
        <v>(green</v>
      </c>
      <c r="R2" s="321" t="str">
        <f>IF(Q2="","","–")</f>
        <v>–</v>
      </c>
      <c r="S2" s="12" t="str">
        <f>IF(DE9,"(A1B2 - A1B1)",IF(DO58="","","blue)"))</f>
        <v>blue)</v>
      </c>
      <c r="T2" s="322"/>
      <c r="U2" s="23"/>
      <c r="V2" s="12" t="str">
        <f>IF(dod,"differences",IF(ame,E14&amp;"/"&amp;E22,IF(bme,fdpark&amp;"/"&amp;H10,IF(AND(DB8&gt;0,DC8&gt;0,V3&lt;&gt;""),"Difference",""))))</f>
        <v>Sleep/Nosleep</v>
      </c>
      <c r="W2" s="12"/>
      <c r="X2" s="12"/>
      <c r="Y2" s="12"/>
      <c r="Z2" s="12"/>
      <c r="AA2" s="12"/>
      <c r="AB2" s="12"/>
      <c r="AC2" s="323" t="s">
        <v>1280</v>
      </c>
      <c r="AD2" s="323"/>
      <c r="AE2" s="12"/>
      <c r="AF2" s="324"/>
      <c r="AG2" s="23"/>
      <c r="AH2" s="13"/>
      <c r="AI2" s="343"/>
      <c r="AJ2" s="19"/>
      <c r="AK2" s="43"/>
      <c r="AN2" s="43"/>
      <c r="AO2" s="43"/>
      <c r="BA2" s="216"/>
      <c r="BB2" s="218"/>
      <c r="BC2" s="204"/>
      <c r="BD2" s="204"/>
      <c r="BE2" s="204"/>
      <c r="BF2" s="217"/>
      <c r="BG2" s="68"/>
      <c r="BH2" s="216"/>
      <c r="BI2" s="218"/>
      <c r="BJ2" s="204"/>
      <c r="BK2" s="204"/>
      <c r="BL2" s="204"/>
      <c r="BM2" s="217"/>
      <c r="BO2" s="216"/>
      <c r="BP2" s="218"/>
      <c r="BQ2" s="204"/>
      <c r="BR2" s="204"/>
      <c r="BS2" s="204"/>
      <c r="BT2" s="217"/>
      <c r="CW2" s="5" t="s">
        <v>578</v>
      </c>
      <c r="CX2" s="5" t="str">
        <f>IF(DS1,"A1B1","  ")</f>
        <v>A1B1</v>
      </c>
      <c r="CY2" s="5">
        <v>1</v>
      </c>
      <c r="CZ2" s="95" t="b">
        <v>1</v>
      </c>
      <c r="DA2" s="95" t="b">
        <v>0</v>
      </c>
      <c r="DB2" s="5" t="b">
        <f>AND(CZ2,DS1)</f>
        <v>1</v>
      </c>
      <c r="DC2" s="5" t="b">
        <f>AND(DA2,DS1)</f>
        <v>0</v>
      </c>
      <c r="DD2" s="5" t="b">
        <f>AND(DB2,DC2)</f>
        <v>0</v>
      </c>
      <c r="DE2" s="5" t="b">
        <f>OR(DB2,DC2)</f>
        <v>1</v>
      </c>
      <c r="DF2" s="794" t="s">
        <v>1403</v>
      </c>
      <c r="DG2" s="68" t="str">
        <f t="shared" ref="DG2:DG7" si="0">IF(DB2,DF2,"")</f>
        <v>A1B1</v>
      </c>
      <c r="DH2" s="68" t="str">
        <f>IF(AND(DG2&lt;&gt;"",NOT(AND(DG3="",DG4="",DG5="",DG6="",DG7=""))),", ","")</f>
        <v xml:space="preserve">, </v>
      </c>
      <c r="DI2" s="68" t="str">
        <f t="shared" ref="DI2:DI7" si="1">IF(DC2,DF2,"")</f>
        <v/>
      </c>
      <c r="DJ2" s="91" t="str">
        <f>IF(AND(DI2&lt;&gt;"",NOT(AND(DI3="",DI4="",DI5="",DI6="",DI7=""))),", ","")</f>
        <v/>
      </c>
      <c r="DL2" s="62" t="s">
        <v>1551</v>
      </c>
      <c r="DM2" s="95">
        <v>1</v>
      </c>
      <c r="DN2" s="48"/>
      <c r="DR2" s="260" t="s">
        <v>592</v>
      </c>
      <c r="DS2" s="91" t="b">
        <f>DM5</f>
        <v>1</v>
      </c>
      <c r="DU2" s="280" t="s">
        <v>466</v>
      </c>
      <c r="DV2" s="282" t="s">
        <v>467</v>
      </c>
      <c r="DW2" s="280" t="s">
        <v>466</v>
      </c>
      <c r="DX2" s="282" t="s">
        <v>467</v>
      </c>
      <c r="DY2" s="280" t="s">
        <v>466</v>
      </c>
      <c r="DZ2" s="282" t="s">
        <v>467</v>
      </c>
      <c r="FN2" s="55"/>
      <c r="FO2" s="57"/>
      <c r="FP2" s="57"/>
      <c r="FQ2" s="50"/>
      <c r="FR2" s="50"/>
      <c r="FS2" s="50"/>
    </row>
    <row r="3" spans="1:175" ht="11.25" customHeight="1">
      <c r="E3" s="43" t="s">
        <v>434</v>
      </c>
      <c r="M3" s="87"/>
      <c r="N3" s="319"/>
      <c r="O3" s="319"/>
      <c r="P3" s="325" t="s">
        <v>1539</v>
      </c>
      <c r="Q3" s="423">
        <f>IF(DE9,DH29,IF(ame,DN58,IF(bme,DN58,IF(DO58="","",DN58))))</f>
        <v>1.6800000000000002</v>
      </c>
      <c r="R3" s="321" t="s">
        <v>602</v>
      </c>
      <c r="S3" s="424">
        <f>IF(DE9,DH32,IF(ame,DI58,IF(bme,DI58,IF(DO58="","",DI58))))</f>
        <v>1.44</v>
      </c>
      <c r="T3" s="328" t="s">
        <v>186</v>
      </c>
      <c r="U3" s="773" t="s">
        <v>185</v>
      </c>
      <c r="V3" s="165">
        <f>IF(dod,IF(ISNA(DD40),"",DD40),IF(ISNUMBER(DO58),DO58,""))</f>
        <v>0.24000000000000021</v>
      </c>
      <c r="W3" s="329"/>
      <c r="X3" s="323" t="s">
        <v>187</v>
      </c>
      <c r="Y3" s="19">
        <f>IF(dod,IF(ISNA(DD47),"",DD47),IF(ISNUMBER(DO66),DO66,""))</f>
        <v>-0.30915708450968238</v>
      </c>
      <c r="Z3" s="341" t="s">
        <v>1535</v>
      </c>
      <c r="AA3" s="19">
        <f>IF(dod,IF(ISNA(DE47),"",DE47),IF(ISNUMBER(DO65),DO65,""))</f>
        <v>0.7891570845096828</v>
      </c>
      <c r="AB3" s="327" t="s">
        <v>1536</v>
      </c>
      <c r="AC3" s="19">
        <f>IF(dod,IF(Y3="","",DD44),IF(ISNUMBER(DO64),DO64,""))</f>
        <v>0.54915708450968259</v>
      </c>
      <c r="AD3" s="12"/>
      <c r="AE3" s="12"/>
      <c r="AF3" s="348" t="s">
        <v>967</v>
      </c>
      <c r="AG3" s="198">
        <f>IF(dod,IF(OR(NOT(DM3),ISNA(DF43)),"",IF(DF43&lt;0.001,"&lt;.001",DF43)),IF(AND(ISNUMBER(AC3),$DM$3,DO67&lt;&gt;""),IF(DO67&lt;0.001,"&lt;.001",DO67),""))</f>
        <v>0.38794636225461909</v>
      </c>
      <c r="AH3" s="13"/>
      <c r="AI3" s="344"/>
      <c r="AJ3" s="19"/>
      <c r="AK3" s="48"/>
      <c r="AN3" s="48"/>
      <c r="AO3" s="48"/>
      <c r="AP3" s="68"/>
      <c r="AQ3" s="68"/>
      <c r="AR3" s="68"/>
      <c r="AS3" s="68"/>
      <c r="AT3" s="68"/>
      <c r="AU3" s="68"/>
      <c r="AV3" s="68"/>
      <c r="AW3" s="68"/>
      <c r="AX3" s="68"/>
      <c r="AY3" s="68"/>
      <c r="AZ3" s="68"/>
      <c r="BA3" s="216"/>
      <c r="BB3" s="205" t="s">
        <v>1004</v>
      </c>
      <c r="BC3" s="220" t="s">
        <v>1492</v>
      </c>
      <c r="BD3" s="221"/>
      <c r="BE3" s="94"/>
      <c r="BF3" s="217"/>
      <c r="BG3" s="68"/>
      <c r="BH3" s="216"/>
      <c r="BI3" s="205" t="s">
        <v>1004</v>
      </c>
      <c r="BJ3" s="220"/>
      <c r="BK3" s="221"/>
      <c r="BL3" s="94"/>
      <c r="BM3" s="217"/>
      <c r="BO3" s="216"/>
      <c r="BP3" s="205" t="s">
        <v>1004</v>
      </c>
      <c r="BQ3" s="220"/>
      <c r="BR3" s="221"/>
      <c r="BS3" s="94"/>
      <c r="BT3" s="217"/>
      <c r="CW3" s="5" t="s">
        <v>579</v>
      </c>
      <c r="CX3" s="5" t="str">
        <f>IF(DS2,"A2B1","  ")</f>
        <v>A2B1</v>
      </c>
      <c r="CY3" s="5">
        <v>2</v>
      </c>
      <c r="CZ3" s="95" t="b">
        <v>0</v>
      </c>
      <c r="DA3" s="95" t="b">
        <v>1</v>
      </c>
      <c r="DB3" s="5" t="b">
        <f>AND(CZ3,DS2)</f>
        <v>0</v>
      </c>
      <c r="DC3" s="5" t="b">
        <f>AND(DA3,DS2)</f>
        <v>1</v>
      </c>
      <c r="DD3" s="5" t="b">
        <f>AND(DB3,DC3)</f>
        <v>0</v>
      </c>
      <c r="DE3" s="5" t="b">
        <f>OR(DB3,DC3)</f>
        <v>1</v>
      </c>
      <c r="DF3" s="794" t="s">
        <v>1404</v>
      </c>
      <c r="DG3" s="68" t="str">
        <f t="shared" si="0"/>
        <v/>
      </c>
      <c r="DH3" s="68" t="str">
        <f>IF(AND(DG3&lt;&gt;"",NOT(AND(DG4="",DG5="",DG6="",DG7=""))),", ","")</f>
        <v/>
      </c>
      <c r="DI3" s="68" t="str">
        <f t="shared" si="1"/>
        <v>A1B2</v>
      </c>
      <c r="DJ3" s="91" t="str">
        <f>IF(AND(DI3&lt;&gt;"",NOT(AND(DI4="",DI5="",DI6="",DI7=""))),", ","")</f>
        <v xml:space="preserve">, </v>
      </c>
      <c r="DL3" s="62" t="s">
        <v>969</v>
      </c>
      <c r="DM3" s="95" t="b">
        <v>1</v>
      </c>
      <c r="DR3" s="260" t="s">
        <v>593</v>
      </c>
      <c r="DS3" s="91" t="b">
        <f>DN5</f>
        <v>1</v>
      </c>
      <c r="DU3" s="95" t="b">
        <v>1</v>
      </c>
      <c r="DV3" s="95" t="b">
        <v>0</v>
      </c>
      <c r="DW3" s="95" t="b">
        <v>1</v>
      </c>
      <c r="DX3" s="95" t="b">
        <v>0</v>
      </c>
      <c r="DY3" s="5" t="b">
        <v>0</v>
      </c>
      <c r="DZ3" s="5" t="b">
        <v>0</v>
      </c>
      <c r="FN3" s="50"/>
      <c r="FO3" s="50"/>
      <c r="FP3" s="50"/>
      <c r="FQ3" s="50"/>
      <c r="FR3" s="50"/>
      <c r="FS3" s="50"/>
    </row>
    <row r="4" spans="1:175" ht="12.75" customHeight="1">
      <c r="H4" s="454"/>
      <c r="J4" s="241">
        <v>6</v>
      </c>
      <c r="L4" s="19"/>
      <c r="M4" s="330"/>
      <c r="N4" s="12"/>
      <c r="O4" s="319"/>
      <c r="P4" s="325"/>
      <c r="Q4" s="129" t="str">
        <f>IF(OR(Q5="",dod),"","Mean of ")</f>
        <v xml:space="preserve">Mean of </v>
      </c>
      <c r="R4" s="12"/>
      <c r="S4" s="326" t="str">
        <f>IF(OR(S5="",dod),"","Mean of ")</f>
        <v xml:space="preserve">Mean of </v>
      </c>
      <c r="T4" s="327"/>
      <c r="U4" s="23"/>
      <c r="V4" s="12" t="str">
        <f>IF(OR(ame,bme),"Main effect","")</f>
        <v>Main effect</v>
      </c>
      <c r="W4" s="12"/>
      <c r="X4" s="12"/>
      <c r="Y4" s="12"/>
      <c r="Z4" s="12"/>
      <c r="AA4" s="12"/>
      <c r="AB4" s="324" t="s">
        <v>1187</v>
      </c>
      <c r="AC4" s="19">
        <f>IF(OR(dod,ISNUMBER(AC3)),CW34,"")</f>
        <v>99</v>
      </c>
      <c r="AD4" s="12"/>
      <c r="AE4" s="12"/>
      <c r="AF4" s="12"/>
      <c r="AG4" s="12"/>
      <c r="AH4" s="13"/>
      <c r="AI4" s="198"/>
      <c r="AJ4" s="19"/>
      <c r="AK4" s="55"/>
      <c r="AN4" s="50"/>
      <c r="AO4" s="50"/>
      <c r="AP4" s="19"/>
      <c r="AQ4" s="19"/>
      <c r="AR4" s="19"/>
      <c r="AS4" s="19"/>
      <c r="AT4" s="19"/>
      <c r="AU4" s="19"/>
      <c r="AV4" s="19"/>
      <c r="AW4" s="19"/>
      <c r="AX4" s="19"/>
      <c r="AY4" s="19"/>
      <c r="AZ4" s="19"/>
      <c r="BA4" s="127"/>
      <c r="BB4" s="212" t="s">
        <v>1001</v>
      </c>
      <c r="BC4" s="222" t="s">
        <v>1493</v>
      </c>
      <c r="BD4" s="221"/>
      <c r="BE4" s="94"/>
      <c r="BF4" s="128"/>
      <c r="BG4" s="19"/>
      <c r="BH4" s="127"/>
      <c r="BI4" s="212" t="s">
        <v>1001</v>
      </c>
      <c r="BJ4" s="222"/>
      <c r="BK4" s="221"/>
      <c r="BL4" s="94"/>
      <c r="BM4" s="128"/>
      <c r="BO4" s="127"/>
      <c r="BP4" s="212" t="s">
        <v>1001</v>
      </c>
      <c r="BQ4" s="222"/>
      <c r="BR4" s="221"/>
      <c r="BS4" s="94"/>
      <c r="BT4" s="128"/>
      <c r="CN4" s="14"/>
      <c r="CO4" s="14"/>
      <c r="CP4" s="14"/>
      <c r="CQ4" s="14"/>
      <c r="CR4" s="14"/>
      <c r="CS4" s="14"/>
      <c r="CT4" s="14"/>
      <c r="CU4" s="14"/>
      <c r="CV4" s="14"/>
      <c r="CW4" s="5" t="s">
        <v>580</v>
      </c>
      <c r="CX4" s="5" t="str">
        <f>IF(DS3,"A1B2","  ")</f>
        <v>A1B2</v>
      </c>
      <c r="CY4" s="14">
        <v>3</v>
      </c>
      <c r="CZ4" s="258" t="b">
        <v>1</v>
      </c>
      <c r="DA4" s="258" t="b">
        <v>0</v>
      </c>
      <c r="DB4" s="5" t="b">
        <f>AND(CZ4,DS3)</f>
        <v>1</v>
      </c>
      <c r="DC4" s="5" t="b">
        <f>AND(DA4,DS3)</f>
        <v>0</v>
      </c>
      <c r="DD4" s="5" t="b">
        <f>AND(DB4,DC4)</f>
        <v>0</v>
      </c>
      <c r="DE4" s="5" t="b">
        <f>OR(DB4,DC4)</f>
        <v>1</v>
      </c>
      <c r="DF4" s="794" t="s">
        <v>1405</v>
      </c>
      <c r="DG4" s="68" t="str">
        <f t="shared" si="0"/>
        <v>A2B1</v>
      </c>
      <c r="DH4" s="68" t="str">
        <f>IF(AND(DG4&lt;&gt;"",NOT(AND(DG5="",DG6="",DG7=""))),", ","")</f>
        <v/>
      </c>
      <c r="DI4" s="68" t="str">
        <f t="shared" si="1"/>
        <v/>
      </c>
      <c r="DJ4" s="91" t="str">
        <f>IF(AND(DI4&lt;&gt;"",NOT(AND(DI5="",DI6="",DI7=""))),", ","")</f>
        <v/>
      </c>
      <c r="DL4" s="114" t="s">
        <v>591</v>
      </c>
      <c r="DM4" s="259" t="s">
        <v>592</v>
      </c>
      <c r="DN4" s="259" t="s">
        <v>593</v>
      </c>
      <c r="DO4" s="259" t="s">
        <v>594</v>
      </c>
      <c r="DP4" s="416" t="s">
        <v>595</v>
      </c>
      <c r="DQ4" s="416" t="s">
        <v>596</v>
      </c>
      <c r="DR4" s="260" t="s">
        <v>594</v>
      </c>
      <c r="DS4" s="91" t="b">
        <f>DO5</f>
        <v>1</v>
      </c>
      <c r="DU4" s="95" t="b">
        <v>0</v>
      </c>
      <c r="DV4" s="95" t="b">
        <v>1</v>
      </c>
      <c r="DW4" s="95" t="b">
        <v>1</v>
      </c>
      <c r="DX4" s="95" t="b">
        <v>0</v>
      </c>
      <c r="DY4" s="5" t="b">
        <v>0</v>
      </c>
      <c r="DZ4" s="5" t="b">
        <v>0</v>
      </c>
      <c r="FN4" s="50"/>
      <c r="FO4" s="56"/>
      <c r="FP4" s="56"/>
      <c r="FQ4" s="56"/>
      <c r="FR4" s="56"/>
      <c r="FS4" s="56"/>
    </row>
    <row r="5" spans="1:175" ht="11.25" customHeight="1">
      <c r="B5" s="207" t="s">
        <v>1005</v>
      </c>
      <c r="C5" s="208"/>
      <c r="D5" s="208"/>
      <c r="E5" s="208"/>
      <c r="F5" s="208"/>
      <c r="G5" s="209"/>
      <c r="H5" s="206" t="s">
        <v>436</v>
      </c>
      <c r="I5" s="27"/>
      <c r="J5" s="455"/>
      <c r="M5" s="331"/>
      <c r="N5" s="332"/>
      <c r="O5" s="332"/>
      <c r="P5" s="333"/>
      <c r="Q5" s="795" t="str">
        <f>IF(ame,""&amp;E22,IF(bme,""&amp;H10,IF($DO$58&lt;&gt;"","( "&amp;DI2&amp;DJ2&amp;DI3&amp;DJ3&amp;DI4&amp;DJ4&amp;DI5&amp;DJ5&amp;DI6&amp;DJ6&amp;DI7&amp;" )","")))</f>
        <v>Nosleep</v>
      </c>
      <c r="R5" s="335" t="str">
        <f>IF(Q5="","","–")</f>
        <v>–</v>
      </c>
      <c r="S5" s="796" t="str">
        <f>IF(ame,""&amp;E14,IF(bme,""&amp;fdpark,IF($DO$58&lt;&gt;"","( "&amp;DG2&amp;DH2&amp;DG3&amp;DH3&amp;DG4&amp;DH4&amp;DG5&amp;DH5&amp;DG6&amp;DH6&amp;DG7&amp;" )","")))</f>
        <v>Sleep</v>
      </c>
      <c r="T5" s="337"/>
      <c r="U5" s="16"/>
      <c r="V5" s="16"/>
      <c r="W5" s="16"/>
      <c r="X5" s="16"/>
      <c r="Y5" s="16"/>
      <c r="Z5" s="16"/>
      <c r="AA5" s="16"/>
      <c r="AB5" s="16"/>
      <c r="AC5" s="16"/>
      <c r="AD5" s="16"/>
      <c r="AE5" s="338"/>
      <c r="AF5" s="338"/>
      <c r="AG5" s="16"/>
      <c r="AH5" s="17"/>
      <c r="AI5" s="19"/>
      <c r="AJ5" s="19"/>
      <c r="AN5" s="47"/>
      <c r="AO5" s="47"/>
      <c r="AP5" s="14"/>
      <c r="AQ5" s="14"/>
      <c r="AR5" s="14"/>
      <c r="AS5" s="14"/>
      <c r="AT5" s="14"/>
      <c r="AU5" s="14"/>
      <c r="AV5" s="14"/>
      <c r="AW5" s="14"/>
      <c r="AX5" s="14"/>
      <c r="AY5" s="14"/>
      <c r="AZ5" s="14"/>
      <c r="BA5" s="224"/>
      <c r="BB5" s="226"/>
      <c r="BC5" s="226" t="s">
        <v>183</v>
      </c>
      <c r="BD5" s="780"/>
      <c r="BE5" s="133"/>
      <c r="BF5" s="10"/>
      <c r="BG5" s="19"/>
      <c r="BH5" s="224"/>
      <c r="BI5" s="226"/>
      <c r="BJ5" s="226" t="s">
        <v>183</v>
      </c>
      <c r="BK5" s="780"/>
      <c r="BL5" s="133"/>
      <c r="BM5" s="10"/>
      <c r="BO5" s="224"/>
      <c r="BP5" s="226"/>
      <c r="BQ5" s="226" t="s">
        <v>183</v>
      </c>
      <c r="BR5" s="780"/>
      <c r="BS5" s="133"/>
      <c r="BT5" s="10"/>
      <c r="CN5" s="14"/>
      <c r="CO5" s="14"/>
      <c r="CP5" s="14"/>
      <c r="CQ5" s="14"/>
      <c r="CR5" s="14"/>
      <c r="CS5" s="14"/>
      <c r="CT5" s="14"/>
      <c r="CU5" s="14"/>
      <c r="CV5" s="14"/>
      <c r="CW5" s="5" t="s">
        <v>581</v>
      </c>
      <c r="CX5" s="5" t="str">
        <f>IF(DS4,"A2B2","  ")</f>
        <v>A2B2</v>
      </c>
      <c r="CY5" s="14">
        <v>4</v>
      </c>
      <c r="CZ5" s="258" t="b">
        <v>0</v>
      </c>
      <c r="DA5" s="95" t="b">
        <v>1</v>
      </c>
      <c r="DB5" s="5" t="b">
        <f>AND(CZ5,DS4)</f>
        <v>0</v>
      </c>
      <c r="DC5" s="5" t="b">
        <f>AND(DA5,DS4)</f>
        <v>1</v>
      </c>
      <c r="DD5" s="5" t="b">
        <f>AND(DB5,DC5)</f>
        <v>0</v>
      </c>
      <c r="DE5" s="5" t="b">
        <f>OR(DB5,DC5)</f>
        <v>1</v>
      </c>
      <c r="DF5" s="794" t="s">
        <v>1406</v>
      </c>
      <c r="DG5" s="68" t="str">
        <f t="shared" si="0"/>
        <v/>
      </c>
      <c r="DH5" s="68" t="str">
        <f>IF(AND(DG5&lt;&gt;"",NOT(AND(DG6="",DG7=""))),", ","")</f>
        <v/>
      </c>
      <c r="DI5" s="68" t="str">
        <f t="shared" si="1"/>
        <v>A2B2</v>
      </c>
      <c r="DJ5" s="91" t="str">
        <f>IF(AND(DI5&lt;&gt;"",NOT(AND(DI6="",DI7=""))),", ","")</f>
        <v/>
      </c>
      <c r="DL5" s="67" t="b">
        <f>AND(ISNUMBER(G12),ISNUMBER(G13),ISNUMBER(G14))</f>
        <v>1</v>
      </c>
      <c r="DM5" s="68" t="b">
        <f>AND(ISNUMBER(G20),ISNUMBER(G21),ISNUMBER(G22))</f>
        <v>1</v>
      </c>
      <c r="DN5" s="68" t="b">
        <f>AND(ISNUMBER(H12),ISNUMBER(H13),ISNUMBER(H14))</f>
        <v>1</v>
      </c>
      <c r="DO5" s="68" t="b">
        <f>AND(ISNUMBER(H20),ISNUMBER(H21),ISNUMBER(H22))</f>
        <v>1</v>
      </c>
      <c r="DP5" s="389" t="b">
        <f>AND(ISNUMBER(#REF!),ISNUMBER(#REF!),ISNUMBER(#REF!))</f>
        <v>0</v>
      </c>
      <c r="DQ5" s="389" t="b">
        <f>AND(ISNUMBER(#REF!),ISNUMBER(#REF!),ISNUMBER(#REF!))</f>
        <v>0</v>
      </c>
      <c r="DR5" s="417" t="s">
        <v>595</v>
      </c>
      <c r="DS5" s="390" t="b">
        <f>DP5</f>
        <v>0</v>
      </c>
      <c r="DU5" s="258" t="b">
        <v>1</v>
      </c>
      <c r="DV5" s="258" t="b">
        <v>0</v>
      </c>
      <c r="DW5" s="258" t="b">
        <v>0</v>
      </c>
      <c r="DX5" s="258" t="b">
        <v>1</v>
      </c>
      <c r="DY5" s="5" t="b">
        <v>0</v>
      </c>
      <c r="DZ5" s="5" t="b">
        <v>0</v>
      </c>
      <c r="FN5" s="50"/>
      <c r="FO5" s="56"/>
      <c r="FP5" s="56"/>
      <c r="FQ5" s="56"/>
      <c r="FR5" s="56"/>
      <c r="FS5" s="56"/>
    </row>
    <row r="6" spans="1:175" ht="12.75" customHeight="1">
      <c r="B6" s="210"/>
      <c r="C6" s="204"/>
      <c r="D6" s="204"/>
      <c r="E6" s="205" t="s">
        <v>1004</v>
      </c>
      <c r="F6" s="203" t="s">
        <v>1182</v>
      </c>
      <c r="G6" s="52"/>
      <c r="H6" s="774">
        <v>95</v>
      </c>
      <c r="I6" s="168"/>
      <c r="J6" s="142" t="s">
        <v>437</v>
      </c>
      <c r="K6" s="125"/>
      <c r="L6" s="125"/>
      <c r="M6" s="214"/>
      <c r="N6" s="214"/>
      <c r="O6" s="214"/>
      <c r="P6" s="245"/>
      <c r="Q6" s="246"/>
      <c r="R6" s="247"/>
      <c r="S6" s="246"/>
      <c r="T6" s="248"/>
      <c r="U6" s="474" t="s">
        <v>373</v>
      </c>
      <c r="V6" s="772"/>
      <c r="W6" s="358"/>
      <c r="X6" s="790" t="s">
        <v>1050</v>
      </c>
      <c r="Y6" s="433"/>
      <c r="Z6" s="125"/>
      <c r="AA6" s="395" t="str">
        <f>IF(OR(dod,AA8=""),"","Mean of")</f>
        <v>Mean of</v>
      </c>
      <c r="AB6" s="125"/>
      <c r="AC6" s="125"/>
      <c r="AD6" s="125"/>
      <c r="AE6" s="249"/>
      <c r="AF6" s="249"/>
      <c r="AG6" s="125"/>
      <c r="AH6" s="126"/>
      <c r="AI6" s="19"/>
      <c r="AJ6" s="19"/>
      <c r="AN6" s="43"/>
      <c r="AO6" s="43"/>
      <c r="BA6" s="779"/>
      <c r="BB6" s="319"/>
      <c r="BC6" s="341" t="s">
        <v>578</v>
      </c>
      <c r="BD6" s="781" t="s">
        <v>579</v>
      </c>
      <c r="BE6" s="383"/>
      <c r="BF6" s="13"/>
      <c r="BG6" s="68"/>
      <c r="BH6" s="779"/>
      <c r="BI6" s="319"/>
      <c r="BJ6" s="341" t="s">
        <v>578</v>
      </c>
      <c r="BK6" s="781" t="s">
        <v>579</v>
      </c>
      <c r="BL6" s="383"/>
      <c r="BM6" s="13"/>
      <c r="BO6" s="779"/>
      <c r="BP6" s="319"/>
      <c r="BQ6" s="341" t="s">
        <v>578</v>
      </c>
      <c r="BR6" s="781" t="s">
        <v>579</v>
      </c>
      <c r="BS6" s="383"/>
      <c r="BT6" s="13"/>
      <c r="CW6" s="384" t="s">
        <v>582</v>
      </c>
      <c r="CX6" s="403"/>
      <c r="CY6" s="404" t="s">
        <v>1106</v>
      </c>
      <c r="CZ6" s="230" t="b">
        <v>1</v>
      </c>
      <c r="DA6" s="402" t="s">
        <v>1108</v>
      </c>
      <c r="DB6" s="384" t="b">
        <v>0</v>
      </c>
      <c r="DC6" s="384" t="b">
        <v>0</v>
      </c>
      <c r="DD6" s="384" t="b">
        <v>0</v>
      </c>
      <c r="DE6" s="384" t="b">
        <v>0</v>
      </c>
      <c r="DF6" s="388" t="s">
        <v>1530</v>
      </c>
      <c r="DG6" s="389" t="str">
        <f t="shared" si="0"/>
        <v/>
      </c>
      <c r="DH6" s="389" t="str">
        <f>IF(AND(DG6&lt;&gt;"",NOT(DG7="")),", ","")</f>
        <v/>
      </c>
      <c r="DI6" s="389" t="str">
        <f t="shared" si="1"/>
        <v/>
      </c>
      <c r="DJ6" s="390" t="str">
        <f>IF(AND(DI6&lt;&gt;"",NOT(DI7="")),", ","")</f>
        <v/>
      </c>
      <c r="DK6" s="114" t="s">
        <v>597</v>
      </c>
      <c r="DL6" s="66" t="b">
        <f>OR(DL5:DO5)</f>
        <v>1</v>
      </c>
      <c r="DM6" s="66"/>
      <c r="DN6" s="66"/>
      <c r="DO6" s="66"/>
      <c r="DP6" s="66"/>
      <c r="DQ6" s="93"/>
      <c r="DR6" s="418" t="s">
        <v>596</v>
      </c>
      <c r="DS6" s="390" t="b">
        <f>DQ5</f>
        <v>0</v>
      </c>
      <c r="DU6" s="258" t="b">
        <v>0</v>
      </c>
      <c r="DV6" s="95" t="b">
        <v>1</v>
      </c>
      <c r="DW6" s="258" t="b">
        <v>0</v>
      </c>
      <c r="DX6" s="95" t="b">
        <v>1</v>
      </c>
      <c r="DY6" s="5" t="b">
        <v>0</v>
      </c>
      <c r="DZ6" s="5" t="b">
        <v>0</v>
      </c>
      <c r="FN6" s="50"/>
      <c r="FO6" s="56"/>
      <c r="FP6" s="56"/>
      <c r="FQ6" s="56"/>
      <c r="FR6" s="56"/>
      <c r="FS6" s="56"/>
    </row>
    <row r="7" spans="1:175" ht="11.25" customHeight="1" thickBot="1">
      <c r="B7" s="211"/>
      <c r="C7" s="36"/>
      <c r="D7" s="36"/>
      <c r="E7" s="212" t="s">
        <v>1001</v>
      </c>
      <c r="F7" s="98" t="s">
        <v>374</v>
      </c>
      <c r="G7" s="459"/>
      <c r="H7" s="447"/>
      <c r="I7" s="12"/>
      <c r="J7" s="299"/>
      <c r="K7" s="360" t="s">
        <v>474</v>
      </c>
      <c r="L7" s="116"/>
      <c r="M7" s="300"/>
      <c r="N7" s="300"/>
      <c r="O7" s="300"/>
      <c r="P7" s="301"/>
      <c r="Q7" s="302"/>
      <c r="R7" s="303"/>
      <c r="S7" s="302"/>
      <c r="T7" s="304"/>
      <c r="U7" s="428" t="str">
        <f>IF(OR(G10="",H10=""),"         'A' Main","         A: "&amp;G10&amp;"/")</f>
        <v xml:space="preserve">         A: Evening/</v>
      </c>
      <c r="V7" s="665"/>
      <c r="W7" s="359"/>
      <c r="X7" s="430" t="s">
        <v>424</v>
      </c>
      <c r="Y7" s="431"/>
      <c r="Z7" s="100"/>
      <c r="AA7" s="793" t="str">
        <f>IF(ame,"B2 "&amp;E22,IF(bme,"A2 "&amp;H10,IF($DN$58&lt;&gt;"","( "&amp;DI2&amp;DJ2&amp;DI3&amp;DJ3&amp;DI4&amp;DJ4&amp;DI5&amp;DJ5&amp;DI6&amp;DJ6&amp;DI7&amp;" )","")))</f>
        <v>B2 Nosleep</v>
      </c>
      <c r="AB7" s="94"/>
      <c r="AC7" s="100"/>
      <c r="AD7" s="100"/>
      <c r="AE7" s="254"/>
      <c r="AF7" s="254"/>
      <c r="AG7" s="396" t="s">
        <v>1280</v>
      </c>
      <c r="AH7" s="217"/>
      <c r="AI7" s="19"/>
      <c r="AJ7" s="19"/>
      <c r="AN7" s="48"/>
      <c r="AO7" s="48"/>
      <c r="AP7" s="68"/>
      <c r="AQ7" s="68"/>
      <c r="AR7" s="68"/>
      <c r="AS7" s="68"/>
      <c r="AT7" s="68"/>
      <c r="AU7" s="68"/>
      <c r="AV7" s="68"/>
      <c r="AW7" s="68"/>
      <c r="AX7" s="68"/>
      <c r="AY7" s="68"/>
      <c r="AZ7" s="68"/>
      <c r="BA7" s="779"/>
      <c r="BB7" s="783" t="s">
        <v>1548</v>
      </c>
      <c r="BC7" s="223" t="s">
        <v>227</v>
      </c>
      <c r="BD7" s="99" t="s">
        <v>228</v>
      </c>
      <c r="BE7" s="383"/>
      <c r="BF7" s="13"/>
      <c r="BG7" s="68"/>
      <c r="BH7" s="779"/>
      <c r="BI7" s="783" t="s">
        <v>1548</v>
      </c>
      <c r="BJ7" s="223"/>
      <c r="BK7" s="99"/>
      <c r="BL7" s="383"/>
      <c r="BM7" s="13"/>
      <c r="BO7" s="779"/>
      <c r="BP7" s="783" t="s">
        <v>1548</v>
      </c>
      <c r="BQ7" s="223"/>
      <c r="BR7" s="99"/>
      <c r="BS7" s="383"/>
      <c r="BT7" s="13"/>
      <c r="CW7" s="384" t="s">
        <v>583</v>
      </c>
      <c r="CX7" s="233"/>
      <c r="CY7" s="405" t="s">
        <v>1107</v>
      </c>
      <c r="CZ7" s="231" t="b">
        <v>0</v>
      </c>
      <c r="DA7" s="177" t="b">
        <v>0</v>
      </c>
      <c r="DB7" s="384" t="b">
        <v>0</v>
      </c>
      <c r="DC7" s="384" t="b">
        <v>0</v>
      </c>
      <c r="DD7" s="384" t="b">
        <v>0</v>
      </c>
      <c r="DE7" s="384" t="b">
        <v>0</v>
      </c>
      <c r="DF7" s="388" t="s">
        <v>1531</v>
      </c>
      <c r="DG7" s="391" t="str">
        <f t="shared" si="0"/>
        <v/>
      </c>
      <c r="DH7" s="391"/>
      <c r="DI7" s="391" t="str">
        <f t="shared" si="1"/>
        <v/>
      </c>
      <c r="DJ7" s="392"/>
      <c r="DK7" s="260" t="s">
        <v>599</v>
      </c>
      <c r="DL7" s="68">
        <f>IF(DL5,CX35*G14^2,0)</f>
        <v>47.609999999999992</v>
      </c>
      <c r="DM7" s="68">
        <f>IF(DM5,CY35*G22^2,0)</f>
        <v>23.04</v>
      </c>
      <c r="DN7" s="68">
        <f>IF(DN5,CZ35*H14^2,0)</f>
        <v>54</v>
      </c>
      <c r="DO7" s="68">
        <f>IF(DO5,DA35*H22^2,0)</f>
        <v>70.559999999999988</v>
      </c>
      <c r="DP7" s="389"/>
      <c r="DQ7" s="390"/>
      <c r="DR7" s="419" t="s">
        <v>1370</v>
      </c>
      <c r="DS7" s="392" t="b">
        <v>0</v>
      </c>
      <c r="FN7" s="55"/>
      <c r="FO7" s="50"/>
      <c r="FP7" s="50"/>
      <c r="FQ7" s="50"/>
      <c r="FR7" s="50"/>
      <c r="FS7" s="57"/>
    </row>
    <row r="8" spans="1:175" ht="12.75" customHeight="1" thickTop="1">
      <c r="A8" s="48"/>
      <c r="B8" s="140" t="s">
        <v>1003</v>
      </c>
      <c r="C8" s="131"/>
      <c r="D8" s="131"/>
      <c r="E8" s="131"/>
      <c r="F8" s="434"/>
      <c r="G8" s="463" t="s">
        <v>183</v>
      </c>
      <c r="H8" s="462"/>
      <c r="I8" s="134"/>
      <c r="J8" s="269"/>
      <c r="K8" s="361" t="s">
        <v>471</v>
      </c>
      <c r="L8" s="269"/>
      <c r="M8" s="308"/>
      <c r="N8" s="308"/>
      <c r="O8" s="308"/>
      <c r="P8" s="309"/>
      <c r="Q8" s="310"/>
      <c r="R8" s="311"/>
      <c r="S8" s="310"/>
      <c r="T8" s="312"/>
      <c r="U8" s="428" t="str">
        <f>IF(OR(G10="",H10=""),"          effect","         "&amp;H10)</f>
        <v xml:space="preserve">         Morning</v>
      </c>
      <c r="V8" s="665"/>
      <c r="W8" s="359"/>
      <c r="X8" s="430" t="s">
        <v>425</v>
      </c>
      <c r="Y8" s="431"/>
      <c r="Z8" s="100"/>
      <c r="AA8" s="426">
        <f>IF(DN58="","",DN58)</f>
        <v>1.6800000000000002</v>
      </c>
      <c r="AB8" s="251" t="s">
        <v>477</v>
      </c>
      <c r="AC8" s="426">
        <f>IF(DM66="","",DM66)</f>
        <v>1.293614423667742</v>
      </c>
      <c r="AD8" s="397" t="s">
        <v>1535</v>
      </c>
      <c r="AE8" s="427">
        <f>IF(DM65="","",DM65)</f>
        <v>2.0663855763322583</v>
      </c>
      <c r="AF8" s="398" t="s">
        <v>1536</v>
      </c>
      <c r="AG8" s="426">
        <f>IF(DM64="","",DM64)</f>
        <v>0.38638557633225806</v>
      </c>
      <c r="AH8" s="217"/>
      <c r="AI8" s="19"/>
      <c r="AJ8" s="19"/>
      <c r="AM8" s="48"/>
      <c r="AN8" s="48"/>
      <c r="AO8" s="48"/>
      <c r="AP8" s="68"/>
      <c r="AQ8" s="68"/>
      <c r="AR8" s="68"/>
      <c r="AS8" s="68"/>
      <c r="AT8" s="68"/>
      <c r="AU8" s="68"/>
      <c r="AV8" s="68"/>
      <c r="AW8" s="68"/>
      <c r="AX8" s="68"/>
      <c r="AY8" s="68"/>
      <c r="AZ8" s="68"/>
      <c r="BA8" s="87"/>
      <c r="BB8" s="781" t="s">
        <v>426</v>
      </c>
      <c r="BC8" s="434"/>
      <c r="BD8" s="383"/>
      <c r="BE8" s="383"/>
      <c r="BF8" s="13"/>
      <c r="BG8" s="68"/>
      <c r="BH8" s="87"/>
      <c r="BI8" s="781" t="s">
        <v>426</v>
      </c>
      <c r="BJ8" s="434"/>
      <c r="BK8" s="383"/>
      <c r="BL8" s="383"/>
      <c r="BM8" s="13"/>
      <c r="BO8" s="87"/>
      <c r="BP8" s="781" t="s">
        <v>426</v>
      </c>
      <c r="BQ8" s="434"/>
      <c r="BR8" s="383"/>
      <c r="BS8" s="383"/>
      <c r="BT8" s="13"/>
      <c r="CW8" s="5" t="s">
        <v>420</v>
      </c>
      <c r="CY8" s="5" t="s">
        <v>1086</v>
      </c>
      <c r="CZ8" s="5">
        <f>COUNTIF(CZ2:CZ5,TRUE)</f>
        <v>2</v>
      </c>
      <c r="DA8" s="5">
        <f>COUNTIF(DA2:DA5,TRUE)</f>
        <v>2</v>
      </c>
      <c r="DB8" s="5">
        <f>COUNTIF(DB2:DB5,TRUE)</f>
        <v>2</v>
      </c>
      <c r="DC8" s="5">
        <f>COUNTIF(DC2:DC5,TRUE)</f>
        <v>2</v>
      </c>
      <c r="DD8" s="5">
        <f>COUNTIF(DD2:DD5,TRUE)</f>
        <v>0</v>
      </c>
      <c r="DE8" s="65" t="s">
        <v>413</v>
      </c>
      <c r="DF8" s="93"/>
      <c r="DK8" s="115" t="s">
        <v>598</v>
      </c>
      <c r="DL8" s="75">
        <f>IF(DL6,SQRT(SUM(DL7:DO7)/SUM(CX35:DA35)),"")</f>
        <v>1.4042144358388364</v>
      </c>
      <c r="DM8" s="70"/>
      <c r="DN8" s="70"/>
      <c r="DO8" s="70"/>
      <c r="DP8" s="70"/>
      <c r="DQ8" s="97"/>
      <c r="DR8" s="275" t="s">
        <v>1080</v>
      </c>
      <c r="DS8" s="264">
        <f>COUNTIF(DS1:DS4,TRUE)</f>
        <v>4</v>
      </c>
      <c r="FN8" s="55"/>
      <c r="FO8" s="50"/>
      <c r="FP8" s="50"/>
      <c r="FQ8" s="50"/>
      <c r="FR8" s="50"/>
      <c r="FS8" s="57"/>
    </row>
    <row r="9" spans="1:175" ht="11.25" customHeight="1">
      <c r="A9" s="48"/>
      <c r="B9" s="141"/>
      <c r="C9" s="434"/>
      <c r="D9" s="434"/>
      <c r="E9" s="434"/>
      <c r="F9" s="434"/>
      <c r="G9" s="460" t="s">
        <v>578</v>
      </c>
      <c r="H9" s="461" t="s">
        <v>579</v>
      </c>
      <c r="I9" s="383"/>
      <c r="J9" s="288"/>
      <c r="K9" s="289"/>
      <c r="L9" s="290"/>
      <c r="M9" s="291"/>
      <c r="N9" s="291"/>
      <c r="O9" s="291"/>
      <c r="P9" s="292"/>
      <c r="Q9" s="295" t="s">
        <v>1366</v>
      </c>
      <c r="R9" s="294"/>
      <c r="S9" s="295"/>
      <c r="T9" s="296"/>
      <c r="U9" s="428"/>
      <c r="V9" s="665"/>
      <c r="W9" s="359"/>
      <c r="X9" s="430"/>
      <c r="Y9" s="431"/>
      <c r="Z9" s="100"/>
      <c r="AA9" s="395" t="str">
        <f>IF(OR(dod,AA11=""),"","Mean of")</f>
        <v>Mean of</v>
      </c>
      <c r="AB9" s="100"/>
      <c r="AC9" s="100"/>
      <c r="AD9" s="100"/>
      <c r="AE9" s="254"/>
      <c r="AF9" s="254"/>
      <c r="AG9" s="100"/>
      <c r="AH9" s="217"/>
      <c r="AI9" s="19"/>
      <c r="AJ9" s="19"/>
      <c r="AM9" s="48"/>
      <c r="AN9" s="48"/>
      <c r="AO9" s="48"/>
      <c r="AP9" s="68"/>
      <c r="AQ9" s="68"/>
      <c r="AR9" s="68"/>
      <c r="AS9" s="68"/>
      <c r="AT9" s="68"/>
      <c r="AU9" s="68"/>
      <c r="AV9" s="68"/>
      <c r="AW9" s="68"/>
      <c r="AX9" s="68"/>
      <c r="AY9" s="68"/>
      <c r="AZ9" s="68"/>
      <c r="BA9" s="782" t="s">
        <v>229</v>
      </c>
      <c r="BB9" s="99" t="s">
        <v>372</v>
      </c>
      <c r="BC9" s="434"/>
      <c r="BD9" s="383"/>
      <c r="BE9" s="383"/>
      <c r="BF9" s="13"/>
      <c r="BG9" s="68"/>
      <c r="BH9" s="782" t="s">
        <v>229</v>
      </c>
      <c r="BI9" s="99"/>
      <c r="BJ9" s="434"/>
      <c r="BK9" s="383"/>
      <c r="BL9" s="383"/>
      <c r="BM9" s="13"/>
      <c r="BO9" s="782" t="s">
        <v>229</v>
      </c>
      <c r="BP9" s="99"/>
      <c r="BQ9" s="434"/>
      <c r="BR9" s="383"/>
      <c r="BS9" s="383"/>
      <c r="BT9" s="13"/>
      <c r="CW9" s="5" t="b">
        <f>OR(CZ2:DA5)</f>
        <v>1</v>
      </c>
      <c r="CY9" s="262"/>
      <c r="CZ9" s="263" t="s">
        <v>1089</v>
      </c>
      <c r="DA9" s="264" t="b">
        <f>OR(DD8&gt;0,AND(DB8=0,DC8=0,NOT(DA7)),DS8&lt;4)</f>
        <v>0</v>
      </c>
      <c r="DB9" s="65" t="s">
        <v>1095</v>
      </c>
      <c r="DC9" s="93"/>
      <c r="DD9" s="69"/>
      <c r="DE9" s="115" t="b">
        <f>AND(dod,DS8=4)</f>
        <v>0</v>
      </c>
      <c r="DF9" s="97"/>
      <c r="FN9" s="50"/>
      <c r="FO9" s="55"/>
      <c r="FP9" s="50"/>
      <c r="FQ9" s="50"/>
      <c r="FR9" s="50"/>
      <c r="FS9" s="50"/>
    </row>
    <row r="10" spans="1:175" ht="12.75" customHeight="1" thickBot="1">
      <c r="A10" s="48"/>
      <c r="B10" s="141"/>
      <c r="C10" s="434"/>
      <c r="D10" s="434"/>
      <c r="E10" s="434"/>
      <c r="F10" s="471" t="s">
        <v>1548</v>
      </c>
      <c r="G10" s="766" t="s">
        <v>227</v>
      </c>
      <c r="H10" s="766" t="s">
        <v>228</v>
      </c>
      <c r="I10" s="383"/>
      <c r="J10" s="86"/>
      <c r="K10" s="362" t="s">
        <v>475</v>
      </c>
      <c r="L10" s="188"/>
      <c r="M10" s="188"/>
      <c r="N10" s="188"/>
      <c r="O10" s="188"/>
      <c r="P10" s="188"/>
      <c r="Q10" s="188"/>
      <c r="R10" s="188"/>
      <c r="S10" s="188"/>
      <c r="T10" s="188"/>
      <c r="U10" s="428" t="str">
        <f>IF(OR(E14="",E22=""),"         'B' Main","         B: "&amp;E14&amp;"/")</f>
        <v xml:space="preserve">         B: Sleep/</v>
      </c>
      <c r="V10" s="665"/>
      <c r="W10" s="359"/>
      <c r="X10" s="430"/>
      <c r="Y10" s="431"/>
      <c r="Z10" s="100"/>
      <c r="AA10" s="793" t="str">
        <f>IF(ame,"B1 "&amp;E14,IF(bme,"A1 "&amp;fdpark,IF($DI$58&lt;&gt;"","( "&amp;DG2&amp;DH2&amp;DG3&amp;DH3&amp;DG4&amp;DH4&amp;DG5&amp;DH5&amp;DG6&amp;DH6&amp;DG7&amp;" )","")))</f>
        <v>B1 Sleep</v>
      </c>
      <c r="AB10" s="94"/>
      <c r="AC10" s="100"/>
      <c r="AD10" s="100"/>
      <c r="AE10" s="100"/>
      <c r="AF10" s="100"/>
      <c r="AG10" s="396" t="s">
        <v>1280</v>
      </c>
      <c r="AH10" s="217"/>
      <c r="AI10" s="19"/>
      <c r="AJ10" s="19"/>
      <c r="AM10" s="48"/>
      <c r="AN10" s="48"/>
      <c r="AO10" s="48"/>
      <c r="AP10" s="68"/>
      <c r="AQ10" s="68"/>
      <c r="AR10" s="68"/>
      <c r="AS10" s="68"/>
      <c r="AT10" s="68"/>
      <c r="AU10" s="68"/>
      <c r="AV10" s="68"/>
      <c r="AW10" s="68"/>
      <c r="AX10" s="68"/>
      <c r="AY10" s="68"/>
      <c r="AZ10" s="68"/>
      <c r="BA10" s="87"/>
      <c r="BB10" s="341" t="s">
        <v>427</v>
      </c>
      <c r="BC10" s="434"/>
      <c r="BD10" s="383"/>
      <c r="BE10" s="383"/>
      <c r="BF10" s="13"/>
      <c r="BG10" s="68"/>
      <c r="BH10" s="87"/>
      <c r="BI10" s="341" t="s">
        <v>427</v>
      </c>
      <c r="BJ10" s="434"/>
      <c r="BK10" s="383"/>
      <c r="BL10" s="383"/>
      <c r="BM10" s="13"/>
      <c r="BO10" s="87"/>
      <c r="BP10" s="341" t="s">
        <v>427</v>
      </c>
      <c r="BQ10" s="434"/>
      <c r="BR10" s="383"/>
      <c r="BS10" s="383"/>
      <c r="BT10" s="13"/>
      <c r="CW10" s="5" t="s">
        <v>1121</v>
      </c>
      <c r="CX10" s="5" t="s">
        <v>1526</v>
      </c>
      <c r="CY10" s="5" t="str">
        <f>IF(DS1,"M11","  ")</f>
        <v>M11</v>
      </c>
      <c r="DB10" s="69" t="b">
        <f>AND(DB8&gt;0,$DD$8=0,NOT(DA9))</f>
        <v>1</v>
      </c>
      <c r="DC10" s="97" t="b">
        <f>AND(DC8&gt;0,$DD$8=0,NOT(DA9))</f>
        <v>1</v>
      </c>
      <c r="DE10" s="112" t="s">
        <v>1247</v>
      </c>
      <c r="DF10" s="111" t="s">
        <v>1247</v>
      </c>
      <c r="DI10" s="5" t="s">
        <v>1533</v>
      </c>
      <c r="DO10" s="5" t="s">
        <v>1252</v>
      </c>
      <c r="DR10" s="5" t="s">
        <v>1268</v>
      </c>
      <c r="FO10" s="49"/>
      <c r="FP10" s="49"/>
      <c r="FQ10" s="49"/>
      <c r="FR10" s="49"/>
    </row>
    <row r="11" spans="1:175" ht="12.75" customHeight="1" thickTop="1">
      <c r="A11" s="48"/>
      <c r="B11" s="1339" t="s">
        <v>184</v>
      </c>
      <c r="C11" s="472"/>
      <c r="D11" s="472"/>
      <c r="E11" s="767"/>
      <c r="F11" s="437"/>
      <c r="G11" s="768" t="s">
        <v>1403</v>
      </c>
      <c r="H11" s="768" t="s">
        <v>1405</v>
      </c>
      <c r="I11" s="438"/>
      <c r="J11" s="162"/>
      <c r="K11" s="363" t="s">
        <v>471</v>
      </c>
      <c r="L11" s="315"/>
      <c r="M11" s="315"/>
      <c r="N11" s="315"/>
      <c r="O11" s="315"/>
      <c r="P11" s="315"/>
      <c r="Q11" s="315"/>
      <c r="R11" s="315"/>
      <c r="S11" s="315"/>
      <c r="T11" s="315"/>
      <c r="U11" s="148" t="str">
        <f>IF(OR(E14="",E22=""),"          effect","         "&amp;E22)</f>
        <v xml:space="preserve">         Nosleep</v>
      </c>
      <c r="V11" s="673"/>
      <c r="W11" s="429"/>
      <c r="X11" s="432"/>
      <c r="Y11" s="467" t="s">
        <v>1046</v>
      </c>
      <c r="Z11" s="101"/>
      <c r="AA11" s="355">
        <f>IF(DI58="","",DI58)</f>
        <v>1.44</v>
      </c>
      <c r="AB11" s="399" t="s">
        <v>478</v>
      </c>
      <c r="AC11" s="355">
        <f>IF(DH66="","",DH66)</f>
        <v>1.0497696963720482</v>
      </c>
      <c r="AD11" s="400" t="s">
        <v>1535</v>
      </c>
      <c r="AE11" s="355">
        <f>IF(DH65="","",DH65)</f>
        <v>1.8302303036279517</v>
      </c>
      <c r="AF11" s="401" t="s">
        <v>1536</v>
      </c>
      <c r="AG11" s="355">
        <f>IF(DH64="","",DH64)</f>
        <v>0.39023030362795175</v>
      </c>
      <c r="AH11" s="128"/>
      <c r="AI11" s="19"/>
      <c r="AJ11" s="19"/>
      <c r="AM11" s="48"/>
      <c r="AN11" s="48"/>
      <c r="AO11" s="48"/>
      <c r="AP11" s="68"/>
      <c r="AQ11" s="68"/>
      <c r="AR11" s="68"/>
      <c r="AS11" s="68"/>
      <c r="AT11" s="68"/>
      <c r="AU11" s="68"/>
      <c r="AV11" s="68"/>
      <c r="AW11" s="68"/>
      <c r="AX11" s="68"/>
      <c r="AY11" s="68"/>
      <c r="AZ11" s="68"/>
      <c r="BA11" s="782" t="s">
        <v>229</v>
      </c>
      <c r="BB11" s="99" t="s">
        <v>1181</v>
      </c>
      <c r="BC11" s="434"/>
      <c r="BD11" s="383"/>
      <c r="BE11" s="383"/>
      <c r="BF11" s="13"/>
      <c r="BG11" s="68"/>
      <c r="BH11" s="782" t="s">
        <v>229</v>
      </c>
      <c r="BI11" s="99"/>
      <c r="BJ11" s="434"/>
      <c r="BK11" s="383"/>
      <c r="BL11" s="383"/>
      <c r="BM11" s="13"/>
      <c r="BO11" s="782" t="s">
        <v>229</v>
      </c>
      <c r="BP11" s="99"/>
      <c r="BQ11" s="434"/>
      <c r="BR11" s="383"/>
      <c r="BS11" s="383"/>
      <c r="BT11" s="13"/>
      <c r="CX11" s="5" t="s">
        <v>1527</v>
      </c>
      <c r="CY11" s="5" t="str">
        <f>IF(DS2,"M21","  ")</f>
        <v>M21</v>
      </c>
      <c r="DB11" s="5" t="s">
        <v>1217</v>
      </c>
      <c r="DE11" s="271" t="b">
        <v>0</v>
      </c>
      <c r="DF11" s="270" t="b">
        <v>1</v>
      </c>
      <c r="DG11" s="280" t="s">
        <v>466</v>
      </c>
      <c r="DH11" s="282" t="s">
        <v>467</v>
      </c>
      <c r="DO11" s="62" t="s">
        <v>1253</v>
      </c>
      <c r="DP11" s="5">
        <f>IF(DD21-DD22=0,1,DD21-DD22)</f>
        <v>2.7247458913737899</v>
      </c>
      <c r="DR11" s="5">
        <f>IF(DO58="",NA(),DH48)</f>
        <v>6.6</v>
      </c>
      <c r="DS11" s="5">
        <f>IF(DO58="",NA(),DI58)</f>
        <v>1.44</v>
      </c>
      <c r="FN11" s="53"/>
    </row>
    <row r="12" spans="1:175" ht="12.75" customHeight="1">
      <c r="A12" s="92"/>
      <c r="B12" s="1340"/>
      <c r="C12" s="68"/>
      <c r="D12" s="68"/>
      <c r="E12" s="48"/>
      <c r="F12" s="443" t="s">
        <v>429</v>
      </c>
      <c r="G12" s="775">
        <v>26</v>
      </c>
      <c r="H12" s="775">
        <v>25</v>
      </c>
      <c r="I12" s="439"/>
      <c r="J12" s="19"/>
      <c r="K12" s="82">
        <f>$H$6/10000000</f>
        <v>9.5000000000000005E-6</v>
      </c>
      <c r="L12" s="82">
        <f t="shared" ref="L12:AH12" si="2">$K$12</f>
        <v>9.5000000000000005E-6</v>
      </c>
      <c r="M12" s="82">
        <f t="shared" si="2"/>
        <v>9.5000000000000005E-6</v>
      </c>
      <c r="N12" s="82">
        <f t="shared" si="2"/>
        <v>9.5000000000000005E-6</v>
      </c>
      <c r="O12" s="82">
        <f t="shared" si="2"/>
        <v>9.5000000000000005E-6</v>
      </c>
      <c r="P12" s="82">
        <f t="shared" si="2"/>
        <v>9.5000000000000005E-6</v>
      </c>
      <c r="Q12" s="82">
        <f t="shared" si="2"/>
        <v>9.5000000000000005E-6</v>
      </c>
      <c r="R12" s="82">
        <f t="shared" si="2"/>
        <v>9.5000000000000005E-6</v>
      </c>
      <c r="S12" s="82">
        <f t="shared" si="2"/>
        <v>9.5000000000000005E-6</v>
      </c>
      <c r="T12" s="82">
        <f t="shared" si="2"/>
        <v>9.5000000000000005E-6</v>
      </c>
      <c r="U12" s="82">
        <f t="shared" si="2"/>
        <v>9.5000000000000005E-6</v>
      </c>
      <c r="V12" s="82"/>
      <c r="W12" s="82">
        <f t="shared" si="2"/>
        <v>9.5000000000000005E-6</v>
      </c>
      <c r="X12" s="82">
        <f t="shared" si="2"/>
        <v>9.5000000000000005E-6</v>
      </c>
      <c r="Y12" s="82">
        <f t="shared" si="2"/>
        <v>9.5000000000000005E-6</v>
      </c>
      <c r="Z12" s="82">
        <f t="shared" si="2"/>
        <v>9.5000000000000005E-6</v>
      </c>
      <c r="AA12" s="82">
        <f t="shared" si="2"/>
        <v>9.5000000000000005E-6</v>
      </c>
      <c r="AB12" s="84">
        <f t="shared" si="2"/>
        <v>9.5000000000000005E-6</v>
      </c>
      <c r="AC12" s="84">
        <f t="shared" si="2"/>
        <v>9.5000000000000005E-6</v>
      </c>
      <c r="AD12" s="84">
        <f t="shared" si="2"/>
        <v>9.5000000000000005E-6</v>
      </c>
      <c r="AE12" s="84">
        <f t="shared" si="2"/>
        <v>9.5000000000000005E-6</v>
      </c>
      <c r="AF12" s="84">
        <f t="shared" si="2"/>
        <v>9.5000000000000005E-6</v>
      </c>
      <c r="AG12" s="84">
        <f t="shared" si="2"/>
        <v>9.5000000000000005E-6</v>
      </c>
      <c r="AH12" s="84">
        <f t="shared" si="2"/>
        <v>9.5000000000000005E-6</v>
      </c>
      <c r="AR12" s="68"/>
      <c r="AS12" s="68"/>
      <c r="AT12" s="68"/>
      <c r="AU12" s="68"/>
      <c r="AV12" s="68"/>
      <c r="AW12" s="68"/>
      <c r="AX12" s="68"/>
      <c r="AY12" s="68"/>
      <c r="AZ12" s="68"/>
      <c r="BA12" s="779"/>
      <c r="BB12" s="319"/>
      <c r="BC12" s="434"/>
      <c r="BD12" s="383"/>
      <c r="BE12" s="383"/>
      <c r="BF12" s="13"/>
      <c r="BG12" s="68"/>
      <c r="BH12" s="779"/>
      <c r="BI12" s="319"/>
      <c r="BJ12" s="434"/>
      <c r="BK12" s="383"/>
      <c r="BL12" s="383"/>
      <c r="BM12" s="13"/>
      <c r="BO12" s="779"/>
      <c r="BP12" s="319"/>
      <c r="BQ12" s="434"/>
      <c r="BR12" s="383"/>
      <c r="BS12" s="383"/>
      <c r="BT12" s="13"/>
      <c r="CX12" s="5" t="s">
        <v>1528</v>
      </c>
      <c r="CY12" s="5" t="str">
        <f>IF(DS3,"M12","  ")</f>
        <v>M12</v>
      </c>
      <c r="CZ12" s="58" t="s">
        <v>1538</v>
      </c>
      <c r="DA12" s="58" t="s">
        <v>1537</v>
      </c>
      <c r="DB12" s="58" t="s">
        <v>1184</v>
      </c>
      <c r="DC12" s="58" t="s">
        <v>600</v>
      </c>
      <c r="DD12" s="58" t="s">
        <v>1184</v>
      </c>
      <c r="DE12" s="58" t="s">
        <v>600</v>
      </c>
      <c r="DF12" s="76" t="s">
        <v>1280</v>
      </c>
      <c r="DG12" s="280" t="s">
        <v>600</v>
      </c>
      <c r="DH12" s="282" t="s">
        <v>600</v>
      </c>
      <c r="DJ12" s="5" t="s">
        <v>1534</v>
      </c>
      <c r="DK12" s="76" t="s">
        <v>1184</v>
      </c>
      <c r="DL12" s="76" t="s">
        <v>600</v>
      </c>
      <c r="DM12" s="76" t="s">
        <v>1280</v>
      </c>
      <c r="DO12" s="62" t="s">
        <v>1254</v>
      </c>
      <c r="DP12" s="5">
        <f>POWER(10,INT(LOG10(DP11)))</f>
        <v>1</v>
      </c>
      <c r="DR12" s="5">
        <f>IF(DO58="",NA(),DR15)</f>
        <v>8.6999999999999993</v>
      </c>
      <c r="DS12" s="5">
        <f>DS11</f>
        <v>1.44</v>
      </c>
      <c r="DU12" s="68"/>
      <c r="DV12" s="68"/>
      <c r="DW12" s="68"/>
      <c r="DX12" s="68"/>
      <c r="DY12" s="68"/>
      <c r="DZ12" s="68"/>
      <c r="FN12" s="53"/>
    </row>
    <row r="13" spans="1:175" ht="12.75" customHeight="1">
      <c r="A13" s="92"/>
      <c r="B13" s="1340"/>
      <c r="C13" s="68"/>
      <c r="D13" s="68"/>
      <c r="E13" s="59" t="s">
        <v>426</v>
      </c>
      <c r="F13" s="444" t="s">
        <v>428</v>
      </c>
      <c r="G13" s="777">
        <v>1.5</v>
      </c>
      <c r="H13" s="777">
        <v>1.38</v>
      </c>
      <c r="I13" s="439"/>
      <c r="J13" s="235"/>
      <c r="K13" s="83">
        <f t="shared" ref="K13:K46" si="3">$K$12</f>
        <v>9.5000000000000005E-6</v>
      </c>
      <c r="X13" s="84">
        <f t="shared" ref="X13:X46" si="4">$K$12</f>
        <v>9.5000000000000005E-6</v>
      </c>
      <c r="Y13" s="84"/>
      <c r="AB13" s="84"/>
      <c r="AC13" s="68"/>
      <c r="AD13" s="68"/>
      <c r="AG13" s="68"/>
      <c r="AH13" s="84">
        <f t="shared" ref="AH13:AH46" si="5">$K$12</f>
        <v>9.5000000000000005E-6</v>
      </c>
      <c r="AR13" s="68"/>
      <c r="AS13" s="68"/>
      <c r="AT13" s="68"/>
      <c r="AU13" s="68"/>
      <c r="AV13" s="68"/>
      <c r="AW13" s="68"/>
      <c r="AX13" s="68"/>
      <c r="AY13" s="68"/>
      <c r="AZ13" s="68"/>
      <c r="BA13" s="779"/>
      <c r="BB13" s="770" t="str">
        <f>IF(BC7="","",BC7)</f>
        <v>Evening</v>
      </c>
      <c r="BC13" s="770" t="str">
        <f>IF(BC7="","",BC7)</f>
        <v>Evening</v>
      </c>
      <c r="BD13" s="770" t="str">
        <f>IF(BD7="","",BD7)</f>
        <v>Morning</v>
      </c>
      <c r="BE13" s="770" t="str">
        <f>IF(BD7="","",BD7)</f>
        <v>Morning</v>
      </c>
      <c r="BF13" s="13"/>
      <c r="BG13" s="68"/>
      <c r="BH13" s="779"/>
      <c r="BI13" s="770" t="str">
        <f>IF(BJ7="","",BJ7)</f>
        <v/>
      </c>
      <c r="BJ13" s="770" t="str">
        <f>IF(BJ7="","",BJ7)</f>
        <v/>
      </c>
      <c r="BK13" s="770" t="str">
        <f>IF(BK7="","",BK7)</f>
        <v/>
      </c>
      <c r="BL13" s="770" t="str">
        <f>IF(BK7="","",BK7)</f>
        <v/>
      </c>
      <c r="BM13" s="13"/>
      <c r="BO13" s="779"/>
      <c r="BP13" s="770" t="str">
        <f>IF(BQ7="","",BQ7)</f>
        <v/>
      </c>
      <c r="BQ13" s="770" t="str">
        <f>IF(BQ7="","",BQ7)</f>
        <v/>
      </c>
      <c r="BR13" s="770" t="str">
        <f>IF(BR7="","",BR7)</f>
        <v/>
      </c>
      <c r="BS13" s="770" t="str">
        <f>IF(BR7="","",BR7)</f>
        <v/>
      </c>
      <c r="BT13" s="13"/>
      <c r="CX13" s="5" t="s">
        <v>1529</v>
      </c>
      <c r="CY13" s="5" t="str">
        <f>IF(DS4,"M22","  ")</f>
        <v>M22</v>
      </c>
      <c r="CZ13" s="5">
        <f t="shared" ref="CZ13:CZ18" si="6">IF(ISNA(DE13),"",DE13-DF13)</f>
        <v>0.95356827764557595</v>
      </c>
      <c r="DA13" s="5">
        <f t="shared" ref="DA13:DA18" si="7">IF(ISNA(DE13),"",DE13+DF13)</f>
        <v>2.0464317223544239</v>
      </c>
      <c r="DB13" s="5">
        <f>CW19+CX19</f>
        <v>1.25</v>
      </c>
      <c r="DC13" s="5" t="e">
        <f t="shared" ref="DC13:DC18" si="8">IF($DA$9,DE13,NA())</f>
        <v>#N/A</v>
      </c>
      <c r="DD13" s="62">
        <f t="shared" ref="DD13:DD18" si="9">DB13</f>
        <v>1.25</v>
      </c>
      <c r="DE13" s="5">
        <f>IF(DS1,G13,NA())</f>
        <v>1.5</v>
      </c>
      <c r="DF13" s="77">
        <f>IF(AND($DF$11,DS1),CX42,NA())</f>
        <v>0.54643172235442405</v>
      </c>
      <c r="DG13" s="279">
        <f>IF(AND(NOT($DA$9),DI47,DB2),DE13,NA())</f>
        <v>1.5</v>
      </c>
      <c r="DH13" s="281" t="e">
        <f t="shared" ref="DH13:DH18" si="10">IF(AND(NOT($DA$9),DC2),DE13,NA())</f>
        <v>#N/A</v>
      </c>
      <c r="DI13" s="5">
        <f t="shared" ref="DI13:DI18" si="11">DB13</f>
        <v>1.25</v>
      </c>
      <c r="DJ13" s="5" t="b">
        <f t="shared" ref="DJ13:DJ18" si="12">AND(ISNA(DC13),ISNA(DG13),ISNA(DH13))</f>
        <v>0</v>
      </c>
      <c r="DK13" s="77" t="e">
        <f t="shared" ref="DK13:DK18" si="13">IF(AND($DF$11,DJ13),DD13,NA())</f>
        <v>#N/A</v>
      </c>
      <c r="DL13" s="77" t="e">
        <f t="shared" ref="DL13:DL18" si="14">IF(AND($DF$11,DJ13),DE13,NA())</f>
        <v>#N/A</v>
      </c>
      <c r="DM13" s="77" t="e">
        <f t="shared" ref="DM13:DM18" si="15">IF(AND($DF$11,DJ13),DF13,NA())</f>
        <v>#N/A</v>
      </c>
      <c r="DO13" s="62" t="s">
        <v>1256</v>
      </c>
      <c r="DP13" s="5">
        <f>ROUNDUP(DP11/DP12,0)</f>
        <v>3</v>
      </c>
      <c r="DR13" s="5">
        <f>IF(DO58="",NA(),DH47)</f>
        <v>7.2</v>
      </c>
      <c r="DS13" s="5">
        <f>IF(DO58="",NA(),DN58)</f>
        <v>1.6800000000000002</v>
      </c>
      <c r="DU13" s="68"/>
      <c r="DV13" s="68"/>
      <c r="DW13" s="68"/>
      <c r="DX13" s="68"/>
      <c r="DY13" s="68"/>
      <c r="DZ13" s="68"/>
    </row>
    <row r="14" spans="1:175" ht="12.75" customHeight="1">
      <c r="A14" s="92"/>
      <c r="B14" s="1340"/>
      <c r="C14" s="68"/>
      <c r="D14" s="109" t="s">
        <v>229</v>
      </c>
      <c r="E14" s="99" t="s">
        <v>372</v>
      </c>
      <c r="F14" s="443" t="s">
        <v>430</v>
      </c>
      <c r="G14" s="777">
        <v>1.38</v>
      </c>
      <c r="H14" s="777">
        <v>1.5</v>
      </c>
      <c r="I14" s="439"/>
      <c r="J14" s="23"/>
      <c r="K14" s="83">
        <f t="shared" si="3"/>
        <v>9.5000000000000005E-6</v>
      </c>
      <c r="X14" s="84">
        <f t="shared" si="4"/>
        <v>9.5000000000000005E-6</v>
      </c>
      <c r="AB14" s="84"/>
      <c r="AC14" s="68"/>
      <c r="AD14" s="68"/>
      <c r="AG14" s="68"/>
      <c r="AH14" s="84">
        <f t="shared" si="5"/>
        <v>9.5000000000000005E-6</v>
      </c>
      <c r="AT14" s="68"/>
      <c r="AU14" s="68"/>
      <c r="AV14" s="68"/>
      <c r="AW14" s="68"/>
      <c r="AX14" s="68"/>
      <c r="AY14" s="68"/>
      <c r="AZ14" s="68"/>
      <c r="BA14" s="227"/>
      <c r="BB14" s="771" t="str">
        <f>IF(BB9="","",BB9)</f>
        <v>Sleep</v>
      </c>
      <c r="BC14" s="771" t="str">
        <f>IF(BB11="","",BB11)</f>
        <v>Nosleep</v>
      </c>
      <c r="BD14" s="771" t="str">
        <f>IF(BB9="","",BB9)</f>
        <v>Sleep</v>
      </c>
      <c r="BE14" s="771" t="str">
        <f>IF(BB11="","",BB11)</f>
        <v>Nosleep</v>
      </c>
      <c r="BF14" s="13"/>
      <c r="BG14" s="68"/>
      <c r="BH14" s="227"/>
      <c r="BI14" s="771" t="str">
        <f>IF(BI9="","",BI9)</f>
        <v/>
      </c>
      <c r="BJ14" s="771" t="str">
        <f>IF(BI11="","",BI11)</f>
        <v/>
      </c>
      <c r="BK14" s="771" t="str">
        <f>IF(BI9="","",BI9)</f>
        <v/>
      </c>
      <c r="BL14" s="771" t="str">
        <f>IF(BI11="","",BI11)</f>
        <v/>
      </c>
      <c r="BM14" s="13"/>
      <c r="BO14" s="227"/>
      <c r="BP14" s="771" t="str">
        <f>IF(BP9="","",BP9)</f>
        <v/>
      </c>
      <c r="BQ14" s="771" t="str">
        <f>IF(BP11="","",BP11)</f>
        <v/>
      </c>
      <c r="BR14" s="771" t="str">
        <f>IF(BP9="","",BP9)</f>
        <v/>
      </c>
      <c r="BS14" s="771" t="str">
        <f>IF(BP11="","",BP11)</f>
        <v/>
      </c>
      <c r="BT14" s="13"/>
      <c r="CX14" s="384" t="s">
        <v>1530</v>
      </c>
      <c r="CY14" s="384"/>
      <c r="CZ14" s="5">
        <f t="shared" si="6"/>
        <v>0.59356827764557585</v>
      </c>
      <c r="DA14" s="5">
        <f t="shared" si="7"/>
        <v>1.6864317223544241</v>
      </c>
      <c r="DB14" s="5">
        <f>CW20+CX20</f>
        <v>1.75</v>
      </c>
      <c r="DC14" s="5" t="e">
        <f t="shared" si="8"/>
        <v>#N/A</v>
      </c>
      <c r="DD14" s="62">
        <f t="shared" si="9"/>
        <v>1.75</v>
      </c>
      <c r="DE14" s="5">
        <f>IF(DS2,G21,NA())</f>
        <v>1.1399999999999999</v>
      </c>
      <c r="DF14" s="77">
        <f>IF(AND($DF$11,DS2),CY42,NA())</f>
        <v>0.54643172235442405</v>
      </c>
      <c r="DG14" s="279" t="e">
        <f>IF(AND(NOT($DA$9),DB3),DE14,NA())</f>
        <v>#N/A</v>
      </c>
      <c r="DH14" s="281">
        <f t="shared" si="10"/>
        <v>1.1399999999999999</v>
      </c>
      <c r="DI14" s="5">
        <f t="shared" si="11"/>
        <v>1.75</v>
      </c>
      <c r="DJ14" s="5" t="b">
        <f t="shared" si="12"/>
        <v>0</v>
      </c>
      <c r="DK14" s="77" t="e">
        <f t="shared" si="13"/>
        <v>#N/A</v>
      </c>
      <c r="DL14" s="77" t="e">
        <f t="shared" si="14"/>
        <v>#N/A</v>
      </c>
      <c r="DM14" s="77" t="e">
        <f t="shared" si="15"/>
        <v>#N/A</v>
      </c>
      <c r="DO14" s="62" t="s">
        <v>1257</v>
      </c>
      <c r="DP14" s="5">
        <f>CHOOSE(DP13,10,5,5,2,2,2,2,1,1,1)</f>
        <v>5</v>
      </c>
      <c r="DR14" s="5">
        <f>IF(DO58="",NA(),DR15)</f>
        <v>8.6999999999999993</v>
      </c>
      <c r="DS14" s="5">
        <f>DS13</f>
        <v>1.6800000000000002</v>
      </c>
      <c r="DU14" s="68"/>
      <c r="DV14" s="68"/>
      <c r="DW14" s="68"/>
      <c r="DX14" s="272"/>
      <c r="DY14" s="68"/>
      <c r="DZ14" s="68"/>
    </row>
    <row r="15" spans="1:175" ht="12.75" customHeight="1">
      <c r="A15" s="92"/>
      <c r="B15" s="1340"/>
      <c r="C15" s="68"/>
      <c r="D15" s="109"/>
      <c r="E15" s="48"/>
      <c r="F15" s="788" t="s">
        <v>965</v>
      </c>
      <c r="G15" s="784">
        <f>IF(AND($DF$11,CX42&lt;&gt;""),CX42,"")</f>
        <v>0.54643172235442405</v>
      </c>
      <c r="H15" s="784">
        <f>IF(AND($DF$11,CZ42&lt;&gt;""),CZ42,"")</f>
        <v>0.55725320302626458</v>
      </c>
      <c r="I15" s="439"/>
      <c r="J15" s="23"/>
      <c r="K15" s="83">
        <f t="shared" si="3"/>
        <v>9.5000000000000005E-6</v>
      </c>
      <c r="X15" s="84">
        <f t="shared" si="4"/>
        <v>9.5000000000000005E-6</v>
      </c>
      <c r="AB15" s="84"/>
      <c r="AC15" s="68"/>
      <c r="AD15" s="68"/>
      <c r="AG15" s="68"/>
      <c r="AH15" s="84">
        <f t="shared" si="5"/>
        <v>9.5000000000000005E-6</v>
      </c>
      <c r="AT15" s="68"/>
      <c r="AU15" s="68"/>
      <c r="AV15" s="68"/>
      <c r="AW15" s="68"/>
      <c r="AX15" s="68"/>
      <c r="AY15" s="68"/>
      <c r="AZ15" s="68"/>
      <c r="BA15" s="87"/>
      <c r="BB15" s="445" t="s">
        <v>1403</v>
      </c>
      <c r="BC15" s="445" t="s">
        <v>1404</v>
      </c>
      <c r="BD15" s="445" t="s">
        <v>1405</v>
      </c>
      <c r="BE15" s="445" t="s">
        <v>1406</v>
      </c>
      <c r="BF15" s="88"/>
      <c r="BG15" s="68"/>
      <c r="BH15" s="87"/>
      <c r="BI15" s="445" t="s">
        <v>1403</v>
      </c>
      <c r="BJ15" s="445" t="s">
        <v>1404</v>
      </c>
      <c r="BK15" s="445" t="s">
        <v>1405</v>
      </c>
      <c r="BL15" s="445" t="s">
        <v>1406</v>
      </c>
      <c r="BM15" s="88"/>
      <c r="BO15" s="87"/>
      <c r="BP15" s="445" t="s">
        <v>1403</v>
      </c>
      <c r="BQ15" s="445" t="s">
        <v>1404</v>
      </c>
      <c r="BR15" s="445" t="s">
        <v>1405</v>
      </c>
      <c r="BS15" s="445" t="s">
        <v>1406</v>
      </c>
      <c r="BT15" s="88"/>
      <c r="CX15" s="384" t="s">
        <v>1531</v>
      </c>
      <c r="CY15" s="384"/>
      <c r="CZ15" s="5">
        <f t="shared" si="6"/>
        <v>0.82274679697373532</v>
      </c>
      <c r="DA15" s="5">
        <f t="shared" si="7"/>
        <v>1.9372532030262644</v>
      </c>
      <c r="DB15" s="5">
        <f>CW21+CX21</f>
        <v>3.25</v>
      </c>
      <c r="DC15" s="5" t="e">
        <f t="shared" si="8"/>
        <v>#N/A</v>
      </c>
      <c r="DD15" s="62">
        <f t="shared" si="9"/>
        <v>3.25</v>
      </c>
      <c r="DE15" s="5">
        <f>IF(DS3,H13,NA())</f>
        <v>1.38</v>
      </c>
      <c r="DF15" s="77">
        <f>IF(AND($DF$11,DS3),CZ42,NA())</f>
        <v>0.55725320302626458</v>
      </c>
      <c r="DG15" s="279">
        <f>IF(AND(NOT($DA$9),DB4),DE15,NA())</f>
        <v>1.38</v>
      </c>
      <c r="DH15" s="281" t="e">
        <f t="shared" si="10"/>
        <v>#N/A</v>
      </c>
      <c r="DI15" s="5">
        <f t="shared" si="11"/>
        <v>3.25</v>
      </c>
      <c r="DJ15" s="5" t="b">
        <f t="shared" si="12"/>
        <v>0</v>
      </c>
      <c r="DK15" s="77" t="e">
        <f t="shared" si="13"/>
        <v>#N/A</v>
      </c>
      <c r="DL15" s="77" t="e">
        <f t="shared" si="14"/>
        <v>#N/A</v>
      </c>
      <c r="DM15" s="77" t="e">
        <f t="shared" si="15"/>
        <v>#N/A</v>
      </c>
      <c r="DO15" s="62" t="s">
        <v>1258</v>
      </c>
      <c r="DP15" s="5">
        <f>DP12/DP14</f>
        <v>0.2</v>
      </c>
      <c r="DQ15" s="5">
        <f>DP12/DP14</f>
        <v>0.2</v>
      </c>
      <c r="DR15" s="163">
        <v>8.6999999999999993</v>
      </c>
      <c r="DU15" s="68"/>
      <c r="DV15" s="68"/>
      <c r="DW15" s="68"/>
      <c r="DX15" s="272"/>
      <c r="DY15" s="68"/>
      <c r="DZ15" s="68"/>
    </row>
    <row r="16" spans="1:175" ht="12.75" customHeight="1">
      <c r="A16" s="92"/>
      <c r="B16" s="1340"/>
      <c r="C16" s="68"/>
      <c r="D16" s="68"/>
      <c r="E16" s="48"/>
      <c r="F16" s="788" t="s">
        <v>1549</v>
      </c>
      <c r="G16" s="785">
        <f>IF(AND($DF$11,CX43&lt;&gt;""),CX43,"")</f>
        <v>2.0464317223544239</v>
      </c>
      <c r="H16" s="785">
        <f>IF(AND($DF$11,CZ43&lt;&gt;""),CZ43,"")</f>
        <v>1.9372532030262644</v>
      </c>
      <c r="I16" s="439"/>
      <c r="J16" s="451"/>
      <c r="K16" s="83">
        <f t="shared" si="3"/>
        <v>9.5000000000000005E-6</v>
      </c>
      <c r="L16" s="95"/>
      <c r="X16" s="84">
        <f t="shared" si="4"/>
        <v>9.5000000000000005E-6</v>
      </c>
      <c r="AB16" s="84"/>
      <c r="AC16" s="68"/>
      <c r="AD16" s="68"/>
      <c r="AG16" s="68"/>
      <c r="AH16" s="84">
        <f t="shared" si="5"/>
        <v>9.5000000000000005E-6</v>
      </c>
      <c r="AT16" s="68"/>
      <c r="AU16" s="68"/>
      <c r="AV16" s="68"/>
      <c r="AW16" s="68"/>
      <c r="AX16" s="68"/>
      <c r="AY16" s="68"/>
      <c r="AZ16" s="68"/>
      <c r="BA16" s="138" t="s">
        <v>1006</v>
      </c>
      <c r="BB16" s="228">
        <v>33</v>
      </c>
      <c r="BC16" s="171">
        <v>7</v>
      </c>
      <c r="BD16" s="229">
        <v>11</v>
      </c>
      <c r="BE16" s="171">
        <v>16</v>
      </c>
      <c r="BF16" s="13"/>
      <c r="BG16" s="68"/>
      <c r="BH16" s="138" t="s">
        <v>1006</v>
      </c>
      <c r="BI16" s="228"/>
      <c r="BJ16" s="171"/>
      <c r="BK16" s="229"/>
      <c r="BL16" s="171"/>
      <c r="BM16" s="13"/>
      <c r="BO16" s="138" t="s">
        <v>1006</v>
      </c>
      <c r="BP16" s="228"/>
      <c r="BQ16" s="171"/>
      <c r="BR16" s="229"/>
      <c r="BS16" s="171"/>
      <c r="BT16" s="13"/>
      <c r="CZ16" s="5">
        <f t="shared" si="6"/>
        <v>1.6735682776455763</v>
      </c>
      <c r="DA16" s="5">
        <f t="shared" si="7"/>
        <v>2.7664317223544241</v>
      </c>
      <c r="DB16" s="5">
        <f>CW22+CX22</f>
        <v>3.75</v>
      </c>
      <c r="DC16" s="5" t="e">
        <f t="shared" si="8"/>
        <v>#N/A</v>
      </c>
      <c r="DD16" s="62">
        <f t="shared" si="9"/>
        <v>3.75</v>
      </c>
      <c r="DE16" s="5">
        <f>IF(DS4,H21,NA())</f>
        <v>2.2200000000000002</v>
      </c>
      <c r="DF16" s="77">
        <f>IF(AND($DF$11,DS4),DA42,NA())</f>
        <v>0.54643172235442405</v>
      </c>
      <c r="DG16" s="279" t="e">
        <f>IF(AND(NOT($DA$9),DB5),DE16,NA())</f>
        <v>#N/A</v>
      </c>
      <c r="DH16" s="281">
        <f t="shared" si="10"/>
        <v>2.2200000000000002</v>
      </c>
      <c r="DI16" s="5">
        <f t="shared" si="11"/>
        <v>3.75</v>
      </c>
      <c r="DJ16" s="5" t="b">
        <f t="shared" si="12"/>
        <v>0</v>
      </c>
      <c r="DK16" s="77" t="e">
        <f t="shared" si="13"/>
        <v>#N/A</v>
      </c>
      <c r="DL16" s="77" t="e">
        <f t="shared" si="14"/>
        <v>#N/A</v>
      </c>
      <c r="DM16" s="77" t="e">
        <f t="shared" si="15"/>
        <v>#N/A</v>
      </c>
      <c r="DO16" s="62" t="s">
        <v>418</v>
      </c>
      <c r="DP16" s="5">
        <f>IF(DO58&lt;&gt;"",DI58,DG33)</f>
        <v>1.44</v>
      </c>
      <c r="DU16" s="68"/>
      <c r="DV16" s="68"/>
      <c r="DW16" s="68"/>
      <c r="DX16" s="68"/>
      <c r="DY16" s="68"/>
      <c r="DZ16" s="68"/>
    </row>
    <row r="17" spans="1:256" ht="11.25" customHeight="1">
      <c r="A17" s="92"/>
      <c r="B17" s="1340"/>
      <c r="C17" s="68"/>
      <c r="D17" s="68"/>
      <c r="E17" s="48"/>
      <c r="F17" s="788" t="s">
        <v>1550</v>
      </c>
      <c r="G17" s="786">
        <f>IF(AND($DF$11,CX44&lt;&gt;""),CX44,"")</f>
        <v>0.95356827764557595</v>
      </c>
      <c r="H17" s="786">
        <f>IF(AND($DF$11,CZ44&lt;&gt;""),CZ44,"")</f>
        <v>0.82274679697373532</v>
      </c>
      <c r="I17" s="439"/>
      <c r="J17" s="12"/>
      <c r="K17" s="83">
        <f t="shared" si="3"/>
        <v>9.5000000000000005E-6</v>
      </c>
      <c r="X17" s="84">
        <f t="shared" si="4"/>
        <v>9.5000000000000005E-6</v>
      </c>
      <c r="AB17" s="84"/>
      <c r="AC17" s="68"/>
      <c r="AD17" s="68"/>
      <c r="AG17" s="68"/>
      <c r="AH17" s="84">
        <f t="shared" si="5"/>
        <v>9.5000000000000005E-6</v>
      </c>
      <c r="AT17" s="68"/>
      <c r="AU17" s="68"/>
      <c r="AV17" s="68"/>
      <c r="AW17" s="68"/>
      <c r="AX17" s="68"/>
      <c r="AY17" s="68"/>
      <c r="AZ17" s="68"/>
      <c r="BA17" s="138" t="s">
        <v>1271</v>
      </c>
      <c r="BB17" s="172">
        <v>22</v>
      </c>
      <c r="BC17" s="173">
        <v>8</v>
      </c>
      <c r="BD17" s="174">
        <v>12</v>
      </c>
      <c r="BE17" s="173">
        <v>16</v>
      </c>
      <c r="BF17" s="13"/>
      <c r="BH17" s="138" t="s">
        <v>1271</v>
      </c>
      <c r="BI17" s="172"/>
      <c r="BJ17" s="173"/>
      <c r="BK17" s="174"/>
      <c r="BL17" s="173"/>
      <c r="BM17" s="13"/>
      <c r="BO17" s="138" t="s">
        <v>1271</v>
      </c>
      <c r="BP17" s="172"/>
      <c r="BQ17" s="173"/>
      <c r="BR17" s="174"/>
      <c r="BS17" s="173"/>
      <c r="BT17" s="13"/>
      <c r="CW17" s="5" t="s">
        <v>1105</v>
      </c>
      <c r="CZ17" s="384" t="str">
        <f t="shared" si="6"/>
        <v/>
      </c>
      <c r="DA17" s="384" t="str">
        <f t="shared" si="7"/>
        <v/>
      </c>
      <c r="DB17" s="384">
        <v>5</v>
      </c>
      <c r="DC17" s="384" t="e">
        <f t="shared" si="8"/>
        <v>#N/A</v>
      </c>
      <c r="DD17" s="394">
        <f t="shared" si="9"/>
        <v>5</v>
      </c>
      <c r="DE17" s="384" t="e">
        <f>IF(DS5,#REF!,NA())</f>
        <v>#N/A</v>
      </c>
      <c r="DF17" s="385" t="e">
        <f>IF(AND($DF$11,DS5),DB42,NA())</f>
        <v>#N/A</v>
      </c>
      <c r="DG17" s="386" t="e">
        <f>IF(AND(NOT($DA$9),DB6),DE17,NA())</f>
        <v>#N/A</v>
      </c>
      <c r="DH17" s="387" t="e">
        <f t="shared" si="10"/>
        <v>#N/A</v>
      </c>
      <c r="DI17" s="384">
        <f t="shared" si="11"/>
        <v>5</v>
      </c>
      <c r="DJ17" s="384" t="b">
        <f t="shared" si="12"/>
        <v>1</v>
      </c>
      <c r="DK17" s="385">
        <f t="shared" si="13"/>
        <v>5</v>
      </c>
      <c r="DL17" s="385" t="e">
        <f t="shared" si="14"/>
        <v>#N/A</v>
      </c>
      <c r="DM17" s="385" t="e">
        <f t="shared" si="15"/>
        <v>#N/A</v>
      </c>
      <c r="DO17" s="62" t="s">
        <v>1259</v>
      </c>
      <c r="DP17" s="5" t="s">
        <v>1261</v>
      </c>
      <c r="DQ17" s="58" t="s">
        <v>1262</v>
      </c>
      <c r="DR17" s="58" t="s">
        <v>1184</v>
      </c>
      <c r="DS17" s="58" t="s">
        <v>1263</v>
      </c>
      <c r="DT17" s="58" t="s">
        <v>1264</v>
      </c>
      <c r="DU17" s="68"/>
      <c r="DX17" s="68"/>
      <c r="DY17" s="68"/>
      <c r="DZ17" s="68"/>
      <c r="FS17" s="54"/>
      <c r="FT17" s="54"/>
      <c r="FU17" s="54"/>
      <c r="FV17" s="54"/>
      <c r="FW17" s="54"/>
      <c r="FX17" s="54"/>
      <c r="FY17" s="54"/>
      <c r="FZ17" s="54"/>
      <c r="GA17" s="54"/>
      <c r="GB17" s="54"/>
      <c r="GC17" s="54"/>
      <c r="GD17" s="54"/>
      <c r="GE17" s="54"/>
      <c r="GF17" s="54"/>
      <c r="GG17" s="54"/>
      <c r="GH17" s="54"/>
      <c r="GI17" s="54"/>
      <c r="GJ17" s="54"/>
      <c r="GK17" s="54"/>
      <c r="GL17" s="54"/>
      <c r="GM17" s="54"/>
      <c r="GN17" s="54"/>
      <c r="GO17" s="54"/>
      <c r="GP17" s="54"/>
      <c r="GQ17" s="54"/>
      <c r="GR17" s="54"/>
      <c r="GS17" s="54"/>
      <c r="GT17" s="54"/>
      <c r="GU17" s="54"/>
      <c r="GV17" s="54"/>
      <c r="GW17" s="54"/>
      <c r="GX17" s="54"/>
      <c r="GY17" s="54"/>
      <c r="GZ17" s="54"/>
      <c r="HA17" s="54"/>
      <c r="HB17" s="54"/>
      <c r="HC17" s="54"/>
      <c r="HD17" s="54"/>
      <c r="HE17" s="54"/>
      <c r="HF17" s="54"/>
      <c r="HG17" s="54"/>
      <c r="HH17" s="54"/>
      <c r="HI17" s="54"/>
      <c r="HJ17" s="54"/>
      <c r="HK17" s="54"/>
      <c r="HL17" s="54"/>
      <c r="HM17" s="54"/>
      <c r="HN17" s="54"/>
      <c r="HO17" s="54"/>
      <c r="HP17" s="54"/>
      <c r="HQ17" s="54"/>
      <c r="HR17" s="54"/>
      <c r="HS17" s="54"/>
      <c r="HT17" s="54"/>
      <c r="HU17" s="54"/>
      <c r="HV17" s="54"/>
      <c r="HW17" s="54"/>
      <c r="HX17" s="54"/>
      <c r="HY17" s="54"/>
      <c r="HZ17" s="54"/>
      <c r="IA17" s="54"/>
      <c r="IB17" s="54"/>
      <c r="IC17" s="54"/>
      <c r="ID17" s="54"/>
      <c r="IE17" s="54"/>
      <c r="IF17" s="54"/>
      <c r="IG17" s="54"/>
      <c r="IH17" s="54"/>
      <c r="II17" s="54"/>
      <c r="IJ17" s="54"/>
      <c r="IK17" s="54"/>
      <c r="IL17" s="54"/>
      <c r="IM17" s="54"/>
      <c r="IN17" s="54"/>
      <c r="IO17" s="54"/>
      <c r="IP17" s="54"/>
      <c r="IQ17" s="54"/>
      <c r="IR17" s="54"/>
      <c r="IS17" s="54"/>
      <c r="IT17" s="54"/>
      <c r="IU17" s="54"/>
      <c r="IV17" s="54"/>
    </row>
    <row r="18" spans="1:256" ht="11.25" customHeight="1" thickBot="1">
      <c r="A18" s="92"/>
      <c r="B18" s="1340"/>
      <c r="C18" s="473"/>
      <c r="D18" s="473"/>
      <c r="E18" s="464"/>
      <c r="F18" s="789" t="s">
        <v>1547</v>
      </c>
      <c r="G18" s="787">
        <f>IF(AND($DF$11,CX45&lt;&gt;""),CX45,"")</f>
        <v>99</v>
      </c>
      <c r="H18" s="787">
        <f>IF(AND($DF$11,CZ45&lt;&gt;""),CZ45,"")</f>
        <v>99</v>
      </c>
      <c r="I18" s="440"/>
      <c r="J18" s="23"/>
      <c r="K18" s="82">
        <f t="shared" si="3"/>
        <v>9.5000000000000005E-6</v>
      </c>
      <c r="X18" s="84">
        <f t="shared" si="4"/>
        <v>9.5000000000000005E-6</v>
      </c>
      <c r="AB18" s="84"/>
      <c r="AC18" s="68"/>
      <c r="AD18" s="68"/>
      <c r="AG18" s="68"/>
      <c r="AH18" s="84">
        <f t="shared" si="5"/>
        <v>9.5000000000000005E-6</v>
      </c>
      <c r="BA18" s="87"/>
      <c r="BB18" s="172">
        <v>44</v>
      </c>
      <c r="BC18" s="173">
        <v>6</v>
      </c>
      <c r="BD18" s="174">
        <v>12</v>
      </c>
      <c r="BE18" s="173">
        <v>-7</v>
      </c>
      <c r="BF18" s="13"/>
      <c r="BH18" s="87"/>
      <c r="BI18" s="172"/>
      <c r="BJ18" s="173"/>
      <c r="BK18" s="174"/>
      <c r="BL18" s="173"/>
      <c r="BM18" s="13"/>
      <c r="BO18" s="87"/>
      <c r="BP18" s="172"/>
      <c r="BQ18" s="173"/>
      <c r="BR18" s="174"/>
      <c r="BS18" s="173"/>
      <c r="BT18" s="13"/>
      <c r="CW18" s="5">
        <v>0.25</v>
      </c>
      <c r="CZ18" s="384" t="str">
        <f t="shared" si="6"/>
        <v/>
      </c>
      <c r="DA18" s="384" t="str">
        <f t="shared" si="7"/>
        <v/>
      </c>
      <c r="DB18" s="384">
        <v>6</v>
      </c>
      <c r="DC18" s="384" t="e">
        <f t="shared" si="8"/>
        <v>#N/A</v>
      </c>
      <c r="DD18" s="394">
        <f t="shared" si="9"/>
        <v>6</v>
      </c>
      <c r="DE18" s="384" t="e">
        <f>IF(DS6,#REF!,NA())</f>
        <v>#N/A</v>
      </c>
      <c r="DF18" s="385" t="e">
        <f>IF(AND($DF$11,DS6),DC42,NA())</f>
        <v>#N/A</v>
      </c>
      <c r="DG18" s="386" t="e">
        <f>IF(AND(NOT($DA$9),DB7),DE18,NA())</f>
        <v>#N/A</v>
      </c>
      <c r="DH18" s="387" t="e">
        <f t="shared" si="10"/>
        <v>#N/A</v>
      </c>
      <c r="DI18" s="384">
        <f t="shared" si="11"/>
        <v>6</v>
      </c>
      <c r="DJ18" s="384" t="b">
        <f t="shared" si="12"/>
        <v>1</v>
      </c>
      <c r="DK18" s="385">
        <f t="shared" si="13"/>
        <v>6</v>
      </c>
      <c r="DL18" s="385" t="e">
        <f t="shared" si="14"/>
        <v>#N/A</v>
      </c>
      <c r="DM18" s="385" t="e">
        <f t="shared" si="15"/>
        <v>#N/A</v>
      </c>
      <c r="DO18" s="62">
        <v>10</v>
      </c>
      <c r="DP18" s="5">
        <f t="shared" ref="DP18:DP38" si="16">IF(AND($DO$58="",NOT($DE$9)),"",$DP$15*DO18)</f>
        <v>2</v>
      </c>
      <c r="DQ18" s="5">
        <f>IF(AND($DO$58="",NOT($DE$9)),NA(),$DP$16+$DP$15*DO18)</f>
        <v>3.44</v>
      </c>
      <c r="DR18" s="5">
        <f>IF(AND($DO$58="",NOT($DE$9)),NA(),$DR$15)</f>
        <v>8.6999999999999993</v>
      </c>
      <c r="DS18" s="5" t="e">
        <f t="shared" ref="DS18:DS38" si="17">IF(AND(DQ18&lt;=$DD$21,DQ18&gt;=$DD$22),DQ18,NA())</f>
        <v>#N/A</v>
      </c>
      <c r="DT18" s="5">
        <f t="shared" ref="DT18:DT38" si="18">DQ18</f>
        <v>3.44</v>
      </c>
      <c r="DU18" s="68"/>
      <c r="DX18" s="68"/>
      <c r="DY18" s="68"/>
      <c r="DZ18" s="68"/>
      <c r="FN18" s="53"/>
      <c r="FP18" s="49"/>
      <c r="FQ18" s="49"/>
      <c r="FR18" s="56"/>
      <c r="FS18" s="54"/>
      <c r="FT18" s="54"/>
      <c r="FU18" s="59"/>
      <c r="FV18" s="59"/>
      <c r="FW18" s="59"/>
      <c r="FX18" s="59"/>
      <c r="FY18" s="59"/>
      <c r="FZ18" s="59"/>
      <c r="GA18" s="59"/>
      <c r="GB18" s="59"/>
      <c r="GC18" s="59"/>
      <c r="GD18" s="59"/>
      <c r="GE18" s="59"/>
      <c r="GF18" s="59"/>
      <c r="GG18" s="59"/>
      <c r="GH18" s="59"/>
      <c r="GI18" s="59"/>
      <c r="GJ18" s="59"/>
      <c r="GK18" s="59"/>
      <c r="GL18" s="59"/>
      <c r="GM18" s="59"/>
      <c r="GN18" s="59"/>
      <c r="GO18" s="59"/>
      <c r="GP18" s="59"/>
      <c r="GQ18" s="59"/>
      <c r="GR18" s="59"/>
      <c r="GS18" s="59"/>
      <c r="GT18" s="59"/>
      <c r="GU18" s="59"/>
      <c r="GV18" s="59"/>
      <c r="GW18" s="59"/>
      <c r="GX18" s="59"/>
      <c r="GY18" s="59"/>
      <c r="GZ18" s="59"/>
      <c r="HA18" s="59"/>
      <c r="HB18" s="59"/>
      <c r="HC18" s="59"/>
      <c r="HD18" s="59"/>
      <c r="HE18" s="59"/>
      <c r="HF18" s="59"/>
      <c r="HG18" s="59"/>
      <c r="HH18" s="59"/>
      <c r="HI18" s="59"/>
      <c r="HJ18" s="59"/>
      <c r="HK18" s="59"/>
      <c r="HL18" s="59"/>
      <c r="HM18" s="59"/>
      <c r="HN18" s="59"/>
      <c r="HO18" s="59"/>
      <c r="HP18" s="59"/>
      <c r="HQ18" s="59"/>
      <c r="HR18" s="59"/>
      <c r="HS18" s="59"/>
      <c r="HT18" s="59"/>
      <c r="HU18" s="59"/>
      <c r="HV18" s="59"/>
      <c r="HW18" s="59"/>
      <c r="HX18" s="59"/>
      <c r="HY18" s="59"/>
      <c r="HZ18" s="59"/>
      <c r="IA18" s="59"/>
      <c r="IB18" s="59"/>
      <c r="IC18" s="59"/>
      <c r="ID18" s="59"/>
      <c r="IE18" s="59"/>
      <c r="IF18" s="59"/>
      <c r="IG18" s="59"/>
      <c r="IH18" s="59"/>
      <c r="II18" s="59"/>
      <c r="IJ18" s="59"/>
      <c r="IK18" s="59"/>
      <c r="IL18" s="59"/>
      <c r="IM18" s="59"/>
      <c r="IN18" s="59"/>
      <c r="IO18" s="59"/>
      <c r="IP18" s="59"/>
      <c r="IQ18" s="59"/>
      <c r="IR18" s="59"/>
      <c r="IS18" s="59"/>
      <c r="IT18" s="59"/>
      <c r="IU18" s="59"/>
      <c r="IV18" s="59"/>
    </row>
    <row r="19" spans="1:256" ht="11.25" customHeight="1" thickTop="1">
      <c r="A19" s="92"/>
      <c r="B19" s="1340"/>
      <c r="C19" s="68"/>
      <c r="D19" s="68"/>
      <c r="E19" s="272"/>
      <c r="F19" s="48"/>
      <c r="G19" s="435" t="s">
        <v>1404</v>
      </c>
      <c r="H19" s="435" t="s">
        <v>1406</v>
      </c>
      <c r="I19" s="441"/>
      <c r="J19" s="23"/>
      <c r="K19" s="82">
        <f t="shared" si="3"/>
        <v>9.5000000000000005E-6</v>
      </c>
      <c r="X19" s="84">
        <f t="shared" si="4"/>
        <v>9.5000000000000005E-6</v>
      </c>
      <c r="AB19" s="84"/>
      <c r="AC19" s="68"/>
      <c r="AD19" s="68"/>
      <c r="AG19" s="68"/>
      <c r="AH19" s="84">
        <f t="shared" si="5"/>
        <v>9.5000000000000005E-6</v>
      </c>
      <c r="BA19" s="87"/>
      <c r="BB19" s="172">
        <v>33</v>
      </c>
      <c r="BC19" s="173">
        <v>9</v>
      </c>
      <c r="BD19" s="174">
        <v>12</v>
      </c>
      <c r="BE19" s="173">
        <v>-8</v>
      </c>
      <c r="BF19" s="13"/>
      <c r="BH19" s="87"/>
      <c r="BI19" s="172"/>
      <c r="BJ19" s="173"/>
      <c r="BK19" s="174"/>
      <c r="BL19" s="173"/>
      <c r="BM19" s="13"/>
      <c r="BO19" s="87"/>
      <c r="BP19" s="172"/>
      <c r="BQ19" s="173"/>
      <c r="BR19" s="174"/>
      <c r="BS19" s="173"/>
      <c r="BT19" s="13"/>
      <c r="CW19" s="5">
        <v>1</v>
      </c>
      <c r="CX19" s="5">
        <f>CW18</f>
        <v>0.25</v>
      </c>
      <c r="CY19" s="62" t="s">
        <v>464</v>
      </c>
      <c r="CZ19" s="5">
        <f>IF(DO58="","",DN58-DO64)</f>
        <v>1.1308429154903177</v>
      </c>
      <c r="DA19" s="5">
        <f>IF(DO58="","",DN58+DO64)</f>
        <v>2.2291570845096826</v>
      </c>
      <c r="DO19" s="62">
        <v>9</v>
      </c>
      <c r="DP19" s="5">
        <f t="shared" si="16"/>
        <v>1.8</v>
      </c>
      <c r="DQ19" s="5">
        <f t="shared" ref="DQ19:DQ38" si="19">IF(AND($DO$58="",NOT($DE$9)),NA(),$DP$16+$DP$15*DO19)</f>
        <v>3.24</v>
      </c>
      <c r="DR19" s="5">
        <f t="shared" ref="DR19:DR38" si="20">IF(AND($DO$58="",NOT($DE$9)),NA(),$DR$15)</f>
        <v>8.6999999999999993</v>
      </c>
      <c r="DS19" s="5">
        <f t="shared" si="17"/>
        <v>3.24</v>
      </c>
      <c r="DT19" s="5">
        <f t="shared" si="18"/>
        <v>3.24</v>
      </c>
      <c r="DU19" s="68"/>
      <c r="DX19" s="68"/>
      <c r="DY19" s="68"/>
      <c r="DZ19" s="68"/>
      <c r="FN19" s="53"/>
      <c r="FO19" s="60"/>
      <c r="FP19" s="51"/>
      <c r="FS19" s="48"/>
      <c r="FT19" s="48"/>
      <c r="FU19" s="48"/>
      <c r="FV19" s="48"/>
      <c r="FW19" s="48"/>
      <c r="FX19" s="48"/>
      <c r="FY19" s="48"/>
      <c r="FZ19" s="48"/>
      <c r="GA19" s="48"/>
      <c r="GB19" s="48"/>
      <c r="GC19" s="48"/>
      <c r="GD19" s="48"/>
      <c r="GE19" s="48"/>
      <c r="GF19" s="48"/>
      <c r="GG19" s="48"/>
      <c r="GH19" s="48"/>
      <c r="GI19" s="48"/>
      <c r="GJ19" s="48"/>
      <c r="GK19" s="48"/>
      <c r="GL19" s="48"/>
      <c r="GM19" s="48"/>
      <c r="GN19" s="48"/>
      <c r="GO19" s="48"/>
      <c r="GP19" s="48"/>
      <c r="GQ19" s="48"/>
      <c r="GR19" s="48"/>
      <c r="GS19" s="48"/>
      <c r="GT19" s="48"/>
      <c r="GU19" s="48"/>
      <c r="GV19" s="48"/>
      <c r="GW19" s="48"/>
      <c r="GX19" s="48"/>
      <c r="GY19" s="48"/>
      <c r="GZ19" s="48"/>
      <c r="HA19" s="48"/>
      <c r="HB19" s="48"/>
      <c r="HC19" s="48"/>
      <c r="HD19" s="48"/>
      <c r="HE19" s="48"/>
      <c r="HF19" s="48"/>
      <c r="HG19" s="48"/>
      <c r="HH19" s="48"/>
      <c r="HI19" s="48"/>
      <c r="HJ19" s="48"/>
      <c r="HK19" s="48"/>
      <c r="HL19" s="48"/>
      <c r="HM19" s="48"/>
      <c r="HN19" s="48"/>
      <c r="HO19" s="48"/>
      <c r="HP19" s="48"/>
      <c r="HQ19" s="48"/>
      <c r="HR19" s="48"/>
      <c r="HS19" s="48"/>
      <c r="HT19" s="48"/>
      <c r="HU19" s="48"/>
      <c r="HV19" s="48"/>
      <c r="HW19" s="48"/>
      <c r="HX19" s="48"/>
      <c r="HY19" s="48"/>
      <c r="HZ19" s="48"/>
      <c r="IA19" s="48"/>
      <c r="IB19" s="48"/>
      <c r="IC19" s="48"/>
      <c r="ID19" s="48"/>
      <c r="IE19" s="48"/>
      <c r="IF19" s="48"/>
      <c r="IG19" s="48"/>
      <c r="IH19" s="48"/>
      <c r="II19" s="48"/>
      <c r="IJ19" s="48"/>
      <c r="IK19" s="48"/>
      <c r="IL19" s="48"/>
      <c r="IM19" s="48"/>
      <c r="IN19" s="48"/>
      <c r="IO19" s="48"/>
      <c r="IP19" s="48"/>
      <c r="IQ19" s="48"/>
      <c r="IR19" s="48"/>
      <c r="IS19" s="48"/>
      <c r="IT19" s="48"/>
      <c r="IU19" s="48"/>
      <c r="IV19" s="48"/>
    </row>
    <row r="20" spans="1:256" ht="11.25" customHeight="1">
      <c r="A20" s="92"/>
      <c r="B20" s="1340"/>
      <c r="C20" s="68"/>
      <c r="D20" s="68"/>
      <c r="E20" s="272"/>
      <c r="F20" s="443" t="s">
        <v>429</v>
      </c>
      <c r="G20" s="776">
        <v>26</v>
      </c>
      <c r="H20" s="776">
        <v>26</v>
      </c>
      <c r="I20" s="441"/>
      <c r="J20" s="23"/>
      <c r="K20" s="82">
        <f t="shared" si="3"/>
        <v>9.5000000000000005E-6</v>
      </c>
      <c r="X20" s="84">
        <f t="shared" si="4"/>
        <v>9.5000000000000005E-6</v>
      </c>
      <c r="AB20" s="84"/>
      <c r="AC20" s="68"/>
      <c r="AD20" s="68"/>
      <c r="AG20" s="68"/>
      <c r="AH20" s="84">
        <f t="shared" si="5"/>
        <v>9.5000000000000005E-6</v>
      </c>
      <c r="BA20" s="87"/>
      <c r="BB20" s="172">
        <v>22</v>
      </c>
      <c r="BC20" s="173">
        <v>8</v>
      </c>
      <c r="BD20" s="174">
        <v>13</v>
      </c>
      <c r="BE20" s="173">
        <v>12</v>
      </c>
      <c r="BF20" s="13"/>
      <c r="BH20" s="87"/>
      <c r="BI20" s="172"/>
      <c r="BJ20" s="173"/>
      <c r="BK20" s="174"/>
      <c r="BL20" s="173"/>
      <c r="BM20" s="13"/>
      <c r="BO20" s="87"/>
      <c r="BP20" s="172"/>
      <c r="BQ20" s="173"/>
      <c r="BR20" s="174"/>
      <c r="BS20" s="173"/>
      <c r="BT20" s="13"/>
      <c r="CW20" s="5">
        <v>2</v>
      </c>
      <c r="CX20" s="5">
        <f>-CW18</f>
        <v>-0.25</v>
      </c>
      <c r="CY20" s="109" t="s">
        <v>1272</v>
      </c>
      <c r="DA20" s="5">
        <f>IF(DL6,MAX(DA13:DA16,DE46),1)</f>
        <v>3.3183141690193656</v>
      </c>
      <c r="DB20" s="68" t="s">
        <v>1246</v>
      </c>
      <c r="DF20" s="65" t="s">
        <v>386</v>
      </c>
      <c r="DG20" s="66"/>
      <c r="DH20" s="93"/>
      <c r="DJ20" s="68"/>
      <c r="DK20" s="19"/>
      <c r="DL20" s="74"/>
      <c r="DO20" s="62">
        <v>8</v>
      </c>
      <c r="DP20" s="5">
        <f t="shared" si="16"/>
        <v>1.6</v>
      </c>
      <c r="DQ20" s="5">
        <f t="shared" si="19"/>
        <v>3.04</v>
      </c>
      <c r="DR20" s="5">
        <f t="shared" si="20"/>
        <v>8.6999999999999993</v>
      </c>
      <c r="DS20" s="5">
        <f t="shared" si="17"/>
        <v>3.04</v>
      </c>
      <c r="DT20" s="5">
        <f t="shared" si="18"/>
        <v>3.04</v>
      </c>
      <c r="DU20" s="68"/>
      <c r="DX20" s="68"/>
      <c r="DY20" s="68"/>
      <c r="DZ20" s="68"/>
    </row>
    <row r="21" spans="1:256" ht="12.75" customHeight="1">
      <c r="A21" s="92"/>
      <c r="B21" s="1340"/>
      <c r="C21" s="68"/>
      <c r="D21" s="68"/>
      <c r="E21" s="465" t="s">
        <v>427</v>
      </c>
      <c r="F21" s="444" t="s">
        <v>428</v>
      </c>
      <c r="G21" s="777">
        <v>1.1399999999999999</v>
      </c>
      <c r="H21" s="777">
        <v>2.2200000000000002</v>
      </c>
      <c r="I21" s="441"/>
      <c r="J21" s="450"/>
      <c r="K21" s="82">
        <f t="shared" si="3"/>
        <v>9.5000000000000005E-6</v>
      </c>
      <c r="X21" s="84">
        <f t="shared" si="4"/>
        <v>9.5000000000000005E-6</v>
      </c>
      <c r="AB21" s="84"/>
      <c r="AC21" s="68"/>
      <c r="AD21" s="68"/>
      <c r="AH21" s="84">
        <f t="shared" si="5"/>
        <v>9.5000000000000005E-6</v>
      </c>
      <c r="BA21" s="87"/>
      <c r="BB21" s="172">
        <v>23</v>
      </c>
      <c r="BC21" s="173">
        <v>9</v>
      </c>
      <c r="BD21" s="174">
        <v>14</v>
      </c>
      <c r="BE21" s="173">
        <v>15</v>
      </c>
      <c r="BF21" s="13"/>
      <c r="BH21" s="87"/>
      <c r="BI21" s="172"/>
      <c r="BJ21" s="173"/>
      <c r="BK21" s="174"/>
      <c r="BL21" s="173"/>
      <c r="BM21" s="13"/>
      <c r="BO21" s="87"/>
      <c r="BP21" s="172"/>
      <c r="BQ21" s="173"/>
      <c r="BR21" s="174"/>
      <c r="BS21" s="173"/>
      <c r="BT21" s="13"/>
      <c r="CW21" s="5">
        <v>3</v>
      </c>
      <c r="CX21" s="5">
        <f>CW18</f>
        <v>0.25</v>
      </c>
      <c r="CY21" s="109" t="s">
        <v>465</v>
      </c>
      <c r="CZ21" s="5">
        <f>IF(DL6,MIN(CZ13:CZ16,CZ19,DD46),0)</f>
        <v>0.59356827764557585</v>
      </c>
      <c r="DC21" s="68">
        <v>1</v>
      </c>
      <c r="DD21" s="68">
        <f>DA20</f>
        <v>3.3183141690193656</v>
      </c>
      <c r="DE21" s="68"/>
      <c r="DF21" s="69">
        <v>0.5</v>
      </c>
      <c r="DG21" s="70">
        <v>0</v>
      </c>
      <c r="DH21" s="97">
        <v>6</v>
      </c>
      <c r="DJ21" s="65" t="s">
        <v>1268</v>
      </c>
      <c r="DK21" s="66"/>
      <c r="DL21" s="66"/>
      <c r="DM21" s="66"/>
      <c r="DN21" s="93"/>
      <c r="DO21" s="62">
        <v>7</v>
      </c>
      <c r="DP21" s="5">
        <f t="shared" si="16"/>
        <v>1.4000000000000001</v>
      </c>
      <c r="DQ21" s="5">
        <f t="shared" si="19"/>
        <v>2.84</v>
      </c>
      <c r="DR21" s="5">
        <f t="shared" si="20"/>
        <v>8.6999999999999993</v>
      </c>
      <c r="DS21" s="5">
        <f t="shared" si="17"/>
        <v>2.84</v>
      </c>
      <c r="DT21" s="5">
        <f t="shared" si="18"/>
        <v>2.84</v>
      </c>
      <c r="DU21" s="68"/>
      <c r="DX21" s="68"/>
      <c r="DY21" s="68"/>
      <c r="DZ21" s="68"/>
      <c r="FO21" s="61"/>
      <c r="FP21" s="47"/>
      <c r="FQ21" s="61"/>
      <c r="FR21" s="47"/>
    </row>
    <row r="22" spans="1:256" ht="11.25" customHeight="1">
      <c r="A22" s="92"/>
      <c r="B22" s="1340"/>
      <c r="C22" s="68"/>
      <c r="D22" s="109" t="s">
        <v>229</v>
      </c>
      <c r="E22" s="99" t="s">
        <v>1181</v>
      </c>
      <c r="F22" s="443" t="s">
        <v>430</v>
      </c>
      <c r="G22" s="777">
        <v>0.96</v>
      </c>
      <c r="H22" s="777">
        <v>1.68</v>
      </c>
      <c r="I22" s="441"/>
      <c r="J22" s="450"/>
      <c r="K22" s="82">
        <f t="shared" si="3"/>
        <v>9.5000000000000005E-6</v>
      </c>
      <c r="X22" s="84">
        <f t="shared" si="4"/>
        <v>9.5000000000000005E-6</v>
      </c>
      <c r="AB22" s="84"/>
      <c r="AC22" s="84"/>
      <c r="AD22" s="84"/>
      <c r="AH22" s="84">
        <f t="shared" si="5"/>
        <v>9.5000000000000005E-6</v>
      </c>
      <c r="BA22" s="87"/>
      <c r="BB22" s="172">
        <v>24</v>
      </c>
      <c r="BC22" s="173">
        <v>11</v>
      </c>
      <c r="BD22" s="174">
        <v>15</v>
      </c>
      <c r="BE22" s="173">
        <v>14</v>
      </c>
      <c r="BF22" s="13"/>
      <c r="BH22" s="87"/>
      <c r="BI22" s="172"/>
      <c r="BJ22" s="173"/>
      <c r="BK22" s="174"/>
      <c r="BL22" s="173"/>
      <c r="BM22" s="13"/>
      <c r="BO22" s="87"/>
      <c r="BP22" s="172"/>
      <c r="BQ22" s="173"/>
      <c r="BR22" s="174"/>
      <c r="BS22" s="173"/>
      <c r="BT22" s="13"/>
      <c r="CW22" s="5">
        <v>4</v>
      </c>
      <c r="CX22" s="5">
        <f>-CW18</f>
        <v>-0.25</v>
      </c>
      <c r="CY22" s="275" t="s">
        <v>601</v>
      </c>
      <c r="CZ22" s="144" t="str">
        <f>IF(F7="","Dependent variable ",F7)</f>
        <v>False Memory Score</v>
      </c>
      <c r="DA22" s="144"/>
      <c r="DB22" s="264"/>
      <c r="DC22" s="68">
        <v>1</v>
      </c>
      <c r="DD22" s="68">
        <f>CZ21</f>
        <v>0.59356827764557585</v>
      </c>
      <c r="DE22" s="68"/>
      <c r="DI22" s="283"/>
      <c r="DJ22" s="67"/>
      <c r="DK22" s="68" t="s">
        <v>1093</v>
      </c>
      <c r="DL22" s="118">
        <v>5.95</v>
      </c>
      <c r="DM22" s="68" t="s">
        <v>1091</v>
      </c>
      <c r="DN22" s="124">
        <v>6.15</v>
      </c>
      <c r="DO22" s="62">
        <v>6</v>
      </c>
      <c r="DP22" s="5">
        <f t="shared" si="16"/>
        <v>1.2000000000000002</v>
      </c>
      <c r="DQ22" s="5">
        <f t="shared" si="19"/>
        <v>2.64</v>
      </c>
      <c r="DR22" s="5">
        <f t="shared" si="20"/>
        <v>8.6999999999999993</v>
      </c>
      <c r="DS22" s="5">
        <f t="shared" si="17"/>
        <v>2.64</v>
      </c>
      <c r="DT22" s="5">
        <f t="shared" si="18"/>
        <v>2.64</v>
      </c>
      <c r="DU22" s="68"/>
      <c r="DX22" s="68"/>
      <c r="DY22" s="68"/>
      <c r="DZ22" s="68"/>
      <c r="FO22" s="47"/>
      <c r="FP22" s="61"/>
      <c r="FQ22" s="47"/>
      <c r="FR22" s="61"/>
    </row>
    <row r="23" spans="1:256" ht="11.25" customHeight="1">
      <c r="A23" s="92"/>
      <c r="B23" s="1340"/>
      <c r="C23" s="68"/>
      <c r="D23" s="109"/>
      <c r="E23" s="765"/>
      <c r="F23" s="788" t="s">
        <v>965</v>
      </c>
      <c r="G23" s="784">
        <f>IF(AND($DF$11,CY42&lt;&gt;""),CY42,"")</f>
        <v>0.54643172235442405</v>
      </c>
      <c r="H23" s="784">
        <f>IF(AND($DF$11,DA42&lt;&gt;""),DA42,"")</f>
        <v>0.54643172235442405</v>
      </c>
      <c r="I23" s="441"/>
      <c r="J23" s="450"/>
      <c r="K23" s="82">
        <f t="shared" si="3"/>
        <v>9.5000000000000005E-6</v>
      </c>
      <c r="X23" s="84">
        <f t="shared" si="4"/>
        <v>9.5000000000000005E-6</v>
      </c>
      <c r="Z23" s="84"/>
      <c r="AA23" s="84"/>
      <c r="AB23" s="84"/>
      <c r="AH23" s="84">
        <f t="shared" si="5"/>
        <v>9.5000000000000005E-6</v>
      </c>
      <c r="BA23" s="87"/>
      <c r="BB23" s="172">
        <v>32</v>
      </c>
      <c r="BC23" s="173">
        <v>12</v>
      </c>
      <c r="BD23" s="174">
        <v>16</v>
      </c>
      <c r="BE23" s="173">
        <v>15</v>
      </c>
      <c r="BF23" s="13"/>
      <c r="BH23" s="87"/>
      <c r="BI23" s="172"/>
      <c r="BJ23" s="173"/>
      <c r="BK23" s="174"/>
      <c r="BL23" s="173"/>
      <c r="BM23" s="13"/>
      <c r="BO23" s="87"/>
      <c r="BP23" s="172"/>
      <c r="BQ23" s="173"/>
      <c r="BR23" s="174"/>
      <c r="BS23" s="173"/>
      <c r="BT23" s="13"/>
      <c r="CX23" s="62" t="s">
        <v>421</v>
      </c>
      <c r="CY23" s="262" t="str">
        <f>IF(ame,"B Main effect    ("&amp;IF(E22="","B2",E22)&amp;" - "&amp;IF(E14="","B1",E14)&amp;")",IF(bme,"A Main effect    ("&amp;IF(H10="","A2",H10)&amp;" - "&amp;IF(G10="","A1",G10)&amp;")",IF(dod,"Difference of differences",IF(V3&lt;&gt;"","Difference",""))))</f>
        <v>B Main effect    (Nosleep - Sleep)</v>
      </c>
      <c r="CZ23" s="144"/>
      <c r="DA23" s="264"/>
      <c r="DC23" s="62" t="s">
        <v>422</v>
      </c>
      <c r="DD23" s="422" t="str">
        <f>IF(ame,IF(E14="","B1",E14)&amp;"   "&amp;IF(E22="","B2",E22),IF(bme,IF(G10="","A1",G10)&amp;"   "&amp;IF(H10="","A2",H10),""))</f>
        <v>Sleep   Nosleep</v>
      </c>
      <c r="DE23" s="68"/>
      <c r="DG23" s="257"/>
      <c r="DH23" s="14"/>
      <c r="DI23" s="14"/>
      <c r="DJ23" s="67" t="s">
        <v>1094</v>
      </c>
      <c r="DK23" s="267" t="s">
        <v>1184</v>
      </c>
      <c r="DL23" s="267" t="s">
        <v>1262</v>
      </c>
      <c r="DM23" s="267" t="s">
        <v>1184</v>
      </c>
      <c r="DN23" s="268" t="s">
        <v>1262</v>
      </c>
      <c r="DO23" s="62">
        <v>5</v>
      </c>
      <c r="DP23" s="5">
        <f t="shared" si="16"/>
        <v>1</v>
      </c>
      <c r="DQ23" s="5">
        <f t="shared" si="19"/>
        <v>2.44</v>
      </c>
      <c r="DR23" s="5">
        <f t="shared" si="20"/>
        <v>8.6999999999999993</v>
      </c>
      <c r="DS23" s="5">
        <f t="shared" si="17"/>
        <v>2.44</v>
      </c>
      <c r="DT23" s="5">
        <f t="shared" si="18"/>
        <v>2.44</v>
      </c>
      <c r="DU23" s="68"/>
      <c r="DX23" s="68"/>
      <c r="DY23" s="68"/>
      <c r="DZ23" s="68"/>
      <c r="FO23" s="47"/>
      <c r="FP23" s="47"/>
      <c r="FQ23" s="47"/>
      <c r="FR23" s="47"/>
    </row>
    <row r="24" spans="1:256" ht="11.25" customHeight="1">
      <c r="A24" s="92"/>
      <c r="B24" s="1340"/>
      <c r="C24" s="68"/>
      <c r="D24" s="68"/>
      <c r="E24" s="272"/>
      <c r="F24" s="788" t="s">
        <v>1549</v>
      </c>
      <c r="G24" s="785">
        <f>IF(AND($DF$11,CY43&lt;&gt;""),CY43,"")</f>
        <v>1.6864317223544241</v>
      </c>
      <c r="H24" s="785">
        <f>IF(AND($DF$11,DA43&lt;&gt;""),DA43,"")</f>
        <v>2.7664317223544241</v>
      </c>
      <c r="I24" s="441"/>
      <c r="J24" s="450"/>
      <c r="K24" s="82">
        <f t="shared" si="3"/>
        <v>9.5000000000000005E-6</v>
      </c>
      <c r="X24" s="84">
        <f t="shared" si="4"/>
        <v>9.5000000000000005E-6</v>
      </c>
      <c r="Y24" s="84"/>
      <c r="Z24" s="78"/>
      <c r="AB24" s="84"/>
      <c r="AH24" s="84">
        <f t="shared" si="5"/>
        <v>9.5000000000000005E-6</v>
      </c>
      <c r="BA24" s="87"/>
      <c r="BB24" s="172">
        <v>34</v>
      </c>
      <c r="BC24" s="173">
        <v>8</v>
      </c>
      <c r="BD24" s="174"/>
      <c r="BE24" s="173">
        <v>16</v>
      </c>
      <c r="BF24" s="13"/>
      <c r="BH24" s="87"/>
      <c r="BI24" s="172"/>
      <c r="BJ24" s="173"/>
      <c r="BK24" s="174"/>
      <c r="BL24" s="173"/>
      <c r="BM24" s="13"/>
      <c r="BO24" s="87"/>
      <c r="BP24" s="172"/>
      <c r="BQ24" s="173"/>
      <c r="BR24" s="174"/>
      <c r="BS24" s="173"/>
      <c r="BT24" s="13"/>
      <c r="CW24" s="65" t="s">
        <v>409</v>
      </c>
      <c r="CX24" s="66"/>
      <c r="CY24" s="66"/>
      <c r="CZ24" s="66"/>
      <c r="DA24" s="66"/>
      <c r="DB24" s="66"/>
      <c r="DC24" s="66"/>
      <c r="DD24" s="66"/>
      <c r="DE24" s="93"/>
      <c r="DH24" s="14"/>
      <c r="DI24" s="14"/>
      <c r="DJ24" s="67">
        <v>1</v>
      </c>
      <c r="DK24" s="68">
        <f>IF(DI52="",NA(),DD13)</f>
        <v>1.25</v>
      </c>
      <c r="DL24" s="68">
        <f>IF(DI52="",NA(),DE13)</f>
        <v>1.5</v>
      </c>
      <c r="DM24" s="68" t="e">
        <f>IF(DN52="",NA(),DD13)</f>
        <v>#N/A</v>
      </c>
      <c r="DN24" s="91" t="e">
        <f>IF(DN52="",NA(),DE13)</f>
        <v>#N/A</v>
      </c>
      <c r="DO24" s="62">
        <v>4</v>
      </c>
      <c r="DP24" s="5">
        <f t="shared" si="16"/>
        <v>0.8</v>
      </c>
      <c r="DQ24" s="5">
        <f t="shared" si="19"/>
        <v>2.2400000000000002</v>
      </c>
      <c r="DR24" s="5">
        <f t="shared" si="20"/>
        <v>8.6999999999999993</v>
      </c>
      <c r="DS24" s="5">
        <f t="shared" si="17"/>
        <v>2.2400000000000002</v>
      </c>
      <c r="DT24" s="5">
        <f t="shared" si="18"/>
        <v>2.2400000000000002</v>
      </c>
      <c r="DU24" s="68"/>
      <c r="DX24" s="68"/>
      <c r="DY24" s="68"/>
      <c r="DZ24" s="68"/>
      <c r="FN24" s="56"/>
      <c r="FO24" s="56"/>
      <c r="FP24" s="56"/>
      <c r="FQ24" s="56"/>
      <c r="FR24" s="56"/>
    </row>
    <row r="25" spans="1:256" ht="11.25" customHeight="1">
      <c r="A25" s="92"/>
      <c r="B25" s="1340"/>
      <c r="C25" s="68"/>
      <c r="D25" s="68"/>
      <c r="E25" s="272"/>
      <c r="F25" s="788" t="s">
        <v>1550</v>
      </c>
      <c r="G25" s="786">
        <f>IF(AND($DF$11,CY44&lt;&gt;""),CY44,"")</f>
        <v>0.59356827764557585</v>
      </c>
      <c r="H25" s="786">
        <f>IF(AND($DF$11,DA44&lt;&gt;""),DA44,"")</f>
        <v>1.6735682776455763</v>
      </c>
      <c r="I25" s="441"/>
      <c r="J25" s="450"/>
      <c r="K25" s="82">
        <f t="shared" si="3"/>
        <v>9.5000000000000005E-6</v>
      </c>
      <c r="X25" s="84">
        <f t="shared" si="4"/>
        <v>9.5000000000000005E-6</v>
      </c>
      <c r="Y25" s="84"/>
      <c r="AB25" s="84"/>
      <c r="AH25" s="84">
        <f t="shared" si="5"/>
        <v>9.5000000000000005E-6</v>
      </c>
      <c r="BA25" s="87"/>
      <c r="BB25" s="172">
        <v>35</v>
      </c>
      <c r="BC25" s="173">
        <v>7</v>
      </c>
      <c r="BD25" s="174"/>
      <c r="BE25" s="173">
        <v>16</v>
      </c>
      <c r="BF25" s="13"/>
      <c r="BH25" s="87"/>
      <c r="BI25" s="172"/>
      <c r="BJ25" s="173"/>
      <c r="BK25" s="174"/>
      <c r="BL25" s="173"/>
      <c r="BM25" s="13"/>
      <c r="BO25" s="87"/>
      <c r="BP25" s="172"/>
      <c r="BQ25" s="173"/>
      <c r="BR25" s="174"/>
      <c r="BS25" s="173"/>
      <c r="BT25" s="13"/>
      <c r="CV25" s="170"/>
      <c r="CW25" s="66"/>
      <c r="CX25" s="66"/>
      <c r="CY25" s="66"/>
      <c r="CZ25" s="66"/>
      <c r="DA25" s="393"/>
      <c r="DB25" s="393"/>
      <c r="DC25" s="66"/>
      <c r="DD25" s="66"/>
      <c r="DE25" s="420"/>
      <c r="DH25" s="77"/>
      <c r="DI25" s="77"/>
      <c r="DJ25" s="67"/>
      <c r="DK25" s="68">
        <f>IF(DI52="",NA(),$DL$22)</f>
        <v>5.95</v>
      </c>
      <c r="DL25" s="68">
        <f>IF(DI52="",NA(),DE13)</f>
        <v>1.5</v>
      </c>
      <c r="DM25" s="68" t="e">
        <f>IF(DN52="",NA(),$DN$22)</f>
        <v>#N/A</v>
      </c>
      <c r="DN25" s="91" t="e">
        <f>IF(DN52="",NA(),DE13)</f>
        <v>#N/A</v>
      </c>
      <c r="DO25" s="62">
        <v>3</v>
      </c>
      <c r="DP25" s="5">
        <f t="shared" si="16"/>
        <v>0.60000000000000009</v>
      </c>
      <c r="DQ25" s="5">
        <f t="shared" si="19"/>
        <v>2.04</v>
      </c>
      <c r="DR25" s="5">
        <f t="shared" si="20"/>
        <v>8.6999999999999993</v>
      </c>
      <c r="DS25" s="5">
        <f t="shared" si="17"/>
        <v>2.04</v>
      </c>
      <c r="DT25" s="5">
        <f t="shared" si="18"/>
        <v>2.04</v>
      </c>
      <c r="DU25" s="68"/>
      <c r="DX25" s="68"/>
      <c r="DY25" s="68"/>
      <c r="DZ25" s="68"/>
      <c r="FN25" s="50"/>
      <c r="FO25" s="47"/>
      <c r="FP25" s="47"/>
      <c r="FQ25" s="47"/>
      <c r="FR25" s="47"/>
    </row>
    <row r="26" spans="1:256" ht="11.25" customHeight="1" thickBot="1">
      <c r="A26" s="92"/>
      <c r="B26" s="1341"/>
      <c r="C26" s="473"/>
      <c r="D26" s="473"/>
      <c r="E26" s="466"/>
      <c r="F26" s="789" t="s">
        <v>1547</v>
      </c>
      <c r="G26" s="787">
        <f>IF(AND($DF$11,CY45&lt;&gt;""),CY45,"")</f>
        <v>99</v>
      </c>
      <c r="H26" s="787">
        <f>IF(AND($DF$11,DA45&lt;&gt;""),DA45,"")</f>
        <v>99</v>
      </c>
      <c r="I26" s="442"/>
      <c r="J26" s="450"/>
      <c r="K26" s="82">
        <f t="shared" si="3"/>
        <v>9.5000000000000005E-6</v>
      </c>
      <c r="X26" s="84">
        <f t="shared" si="4"/>
        <v>9.5000000000000005E-6</v>
      </c>
      <c r="Y26" s="84"/>
      <c r="AB26" s="84"/>
      <c r="AH26" s="84">
        <f t="shared" si="5"/>
        <v>9.5000000000000005E-6</v>
      </c>
      <c r="BA26" s="87"/>
      <c r="BB26" s="172">
        <v>33</v>
      </c>
      <c r="BC26" s="173">
        <v>6</v>
      </c>
      <c r="BD26" s="174"/>
      <c r="BE26" s="173">
        <v>-7</v>
      </c>
      <c r="BF26" s="13"/>
      <c r="BH26" s="87"/>
      <c r="BI26" s="172"/>
      <c r="BJ26" s="173"/>
      <c r="BK26" s="174"/>
      <c r="BL26" s="173"/>
      <c r="BM26" s="13"/>
      <c r="BO26" s="87"/>
      <c r="BP26" s="172"/>
      <c r="BQ26" s="173"/>
      <c r="BR26" s="174"/>
      <c r="BS26" s="173"/>
      <c r="BT26" s="13"/>
      <c r="CV26" s="170"/>
      <c r="CW26" s="70">
        <f>IF(G13="","",G13)</f>
        <v>1.5</v>
      </c>
      <c r="CX26" s="70">
        <f>IF(G21="","",G21)</f>
        <v>1.1399999999999999</v>
      </c>
      <c r="CY26" s="70">
        <f>IF(H13="","",H13)</f>
        <v>1.38</v>
      </c>
      <c r="CZ26" s="70">
        <f>IF(H21="","",H21)</f>
        <v>2.2200000000000002</v>
      </c>
      <c r="DA26" s="391"/>
      <c r="DB26" s="391"/>
      <c r="DC26" s="70" t="str">
        <f>IF(J16="","",J16)</f>
        <v/>
      </c>
      <c r="DD26" s="68"/>
      <c r="DE26" s="91"/>
      <c r="DH26" s="77"/>
      <c r="DJ26" s="67">
        <v>2</v>
      </c>
      <c r="DK26" s="68" t="e">
        <f>IF(DI53="",NA(),DD14)</f>
        <v>#N/A</v>
      </c>
      <c r="DL26" s="68" t="e">
        <f>IF(DI53="",NA(),DE14)</f>
        <v>#N/A</v>
      </c>
      <c r="DM26" s="68">
        <f>IF(DN53="",NA(),DD14)</f>
        <v>1.75</v>
      </c>
      <c r="DN26" s="91">
        <f>IF(DN53="",NA(),DE14)</f>
        <v>1.1399999999999999</v>
      </c>
      <c r="DO26" s="62">
        <v>2</v>
      </c>
      <c r="DP26" s="5">
        <f t="shared" si="16"/>
        <v>0.4</v>
      </c>
      <c r="DQ26" s="5">
        <f t="shared" si="19"/>
        <v>1.8399999999999999</v>
      </c>
      <c r="DR26" s="5">
        <f t="shared" si="20"/>
        <v>8.6999999999999993</v>
      </c>
      <c r="DS26" s="5">
        <f t="shared" si="17"/>
        <v>1.8399999999999999</v>
      </c>
      <c r="DT26" s="5">
        <f t="shared" si="18"/>
        <v>1.8399999999999999</v>
      </c>
      <c r="DU26" s="68"/>
      <c r="DX26" s="68"/>
      <c r="DY26" s="68"/>
      <c r="DZ26" s="68"/>
      <c r="FN26" s="50"/>
      <c r="FO26" s="47"/>
      <c r="FP26" s="47"/>
      <c r="FQ26" s="47"/>
      <c r="FR26" s="47"/>
    </row>
    <row r="27" spans="1:256" ht="11.25" customHeight="1" thickTop="1" thickBot="1">
      <c r="A27" s="92"/>
      <c r="B27" s="330"/>
      <c r="C27" s="319"/>
      <c r="D27" s="319"/>
      <c r="E27" s="452"/>
      <c r="F27" s="453"/>
      <c r="G27" s="436"/>
      <c r="H27" s="436"/>
      <c r="I27" s="457" t="s">
        <v>1186</v>
      </c>
      <c r="J27" s="450"/>
      <c r="K27" s="82">
        <f t="shared" si="3"/>
        <v>9.5000000000000005E-6</v>
      </c>
      <c r="X27" s="84">
        <f t="shared" si="4"/>
        <v>9.5000000000000005E-6</v>
      </c>
      <c r="Y27" s="84"/>
      <c r="AB27" s="84"/>
      <c r="AH27" s="84">
        <f t="shared" si="5"/>
        <v>9.5000000000000005E-6</v>
      </c>
      <c r="BA27" s="87"/>
      <c r="BB27" s="172">
        <v>22</v>
      </c>
      <c r="BC27" s="173">
        <v>8</v>
      </c>
      <c r="BD27" s="174"/>
      <c r="BE27" s="173">
        <v>-8</v>
      </c>
      <c r="BF27" s="13"/>
      <c r="BH27" s="87"/>
      <c r="BI27" s="172"/>
      <c r="BJ27" s="173"/>
      <c r="BK27" s="174"/>
      <c r="BL27" s="173"/>
      <c r="BM27" s="13"/>
      <c r="BO27" s="87"/>
      <c r="BP27" s="172"/>
      <c r="BQ27" s="173"/>
      <c r="BR27" s="174"/>
      <c r="BS27" s="173"/>
      <c r="BT27" s="13"/>
      <c r="CV27" s="170"/>
      <c r="CY27" s="68"/>
      <c r="DA27" s="108"/>
      <c r="DB27" s="108"/>
      <c r="DC27" s="64"/>
      <c r="DD27" s="65" t="s">
        <v>410</v>
      </c>
      <c r="DE27" s="66"/>
      <c r="DF27" s="66"/>
      <c r="DG27" s="468"/>
      <c r="DH27" s="66" t="s">
        <v>1047</v>
      </c>
      <c r="DI27" s="93"/>
      <c r="DJ27" s="67"/>
      <c r="DK27" s="68" t="e">
        <f>IF(DI53="",NA(),$DL$22)</f>
        <v>#N/A</v>
      </c>
      <c r="DL27" s="68" t="e">
        <f>IF(DI53="",NA(),DE14)</f>
        <v>#N/A</v>
      </c>
      <c r="DM27" s="68">
        <f>IF(DN53="",NA(),$DN$22)</f>
        <v>6.15</v>
      </c>
      <c r="DN27" s="91">
        <f>IF(DN53="",NA(),DE14)</f>
        <v>1.1399999999999999</v>
      </c>
      <c r="DO27" s="62">
        <v>1</v>
      </c>
      <c r="DP27" s="5">
        <f t="shared" si="16"/>
        <v>0.2</v>
      </c>
      <c r="DQ27" s="5">
        <f t="shared" si="19"/>
        <v>1.64</v>
      </c>
      <c r="DR27" s="5">
        <f t="shared" si="20"/>
        <v>8.6999999999999993</v>
      </c>
      <c r="DS27" s="5">
        <f t="shared" si="17"/>
        <v>1.64</v>
      </c>
      <c r="DT27" s="5">
        <f t="shared" si="18"/>
        <v>1.64</v>
      </c>
      <c r="DU27" s="68"/>
      <c r="DX27" s="68"/>
      <c r="DY27" s="68"/>
      <c r="DZ27" s="68"/>
      <c r="FN27" s="50"/>
      <c r="FO27" s="47"/>
      <c r="FP27" s="47"/>
      <c r="FQ27" s="47"/>
      <c r="FR27" s="47"/>
    </row>
    <row r="28" spans="1:256" ht="11.25" customHeight="1" thickTop="1">
      <c r="A28" s="48"/>
      <c r="B28" s="141" t="s">
        <v>431</v>
      </c>
      <c r="C28" s="383"/>
      <c r="D28" s="383"/>
      <c r="E28" s="12"/>
      <c r="F28" s="448" t="s">
        <v>435</v>
      </c>
      <c r="G28" s="23"/>
      <c r="H28" s="23"/>
      <c r="I28" s="769">
        <f>IF(SUM(G12,G20,H12,H20)=0,"",SUM(G12,G20,H12,H20))</f>
        <v>103</v>
      </c>
      <c r="J28" s="450"/>
      <c r="K28" s="82">
        <f t="shared" si="3"/>
        <v>9.5000000000000005E-6</v>
      </c>
      <c r="X28" s="84">
        <f t="shared" si="4"/>
        <v>9.5000000000000005E-6</v>
      </c>
      <c r="Y28" s="84"/>
      <c r="AB28" s="84"/>
      <c r="AH28" s="84">
        <f t="shared" si="5"/>
        <v>9.5000000000000005E-6</v>
      </c>
      <c r="BA28" s="87"/>
      <c r="BB28" s="172"/>
      <c r="BC28" s="173">
        <v>9</v>
      </c>
      <c r="BD28" s="174"/>
      <c r="BE28" s="173">
        <v>12</v>
      </c>
      <c r="BF28" s="13"/>
      <c r="BH28" s="87"/>
      <c r="BI28" s="172"/>
      <c r="BJ28" s="173"/>
      <c r="BK28" s="174"/>
      <c r="BL28" s="173"/>
      <c r="BM28" s="13"/>
      <c r="BO28" s="87"/>
      <c r="BP28" s="172"/>
      <c r="BQ28" s="173"/>
      <c r="BR28" s="174"/>
      <c r="BS28" s="173"/>
      <c r="BT28" s="13"/>
      <c r="CV28" s="170"/>
      <c r="CW28" s="5" t="s">
        <v>1552</v>
      </c>
      <c r="DC28" s="114" t="s">
        <v>406</v>
      </c>
      <c r="DD28" s="421" t="s">
        <v>1184</v>
      </c>
      <c r="DE28" s="267" t="s">
        <v>1262</v>
      </c>
      <c r="DF28" s="267" t="s">
        <v>1184</v>
      </c>
      <c r="DG28" s="267" t="s">
        <v>1262</v>
      </c>
      <c r="DH28" s="68" t="s">
        <v>1048</v>
      </c>
      <c r="DI28" s="469"/>
      <c r="DJ28" s="67">
        <v>3</v>
      </c>
      <c r="DK28" s="68">
        <f>IF(DI54="",NA(),DD15)</f>
        <v>3.25</v>
      </c>
      <c r="DL28" s="68">
        <f>IF(DI54="",NA(),DE15)</f>
        <v>1.38</v>
      </c>
      <c r="DM28" s="68" t="e">
        <f>IF(DN54="",NA(),DD15)</f>
        <v>#N/A</v>
      </c>
      <c r="DN28" s="91" t="e">
        <f>IF(DN54="",NA(),DE15)</f>
        <v>#N/A</v>
      </c>
      <c r="DO28" s="62">
        <v>0</v>
      </c>
      <c r="DP28" s="5">
        <f t="shared" si="16"/>
        <v>0</v>
      </c>
      <c r="DQ28" s="5">
        <f t="shared" si="19"/>
        <v>1.44</v>
      </c>
      <c r="DR28" s="5">
        <f t="shared" si="20"/>
        <v>8.6999999999999993</v>
      </c>
      <c r="DS28" s="5">
        <f t="shared" si="17"/>
        <v>1.44</v>
      </c>
      <c r="DT28" s="5">
        <f t="shared" si="18"/>
        <v>1.44</v>
      </c>
      <c r="FN28" s="50"/>
      <c r="FO28" s="47"/>
      <c r="FP28" s="47"/>
      <c r="FQ28" s="47"/>
      <c r="FR28" s="47"/>
    </row>
    <row r="29" spans="1:256" ht="11.25" customHeight="1">
      <c r="B29" s="449" t="s">
        <v>432</v>
      </c>
      <c r="C29" s="12"/>
      <c r="D29" s="12"/>
      <c r="E29" s="12"/>
      <c r="F29" s="770" t="str">
        <f>IF(fdpark="","",fdpark)</f>
        <v>Evening</v>
      </c>
      <c r="G29" s="770" t="str">
        <f>IF(fdpark="","",fdpark)</f>
        <v>Evening</v>
      </c>
      <c r="H29" s="770" t="str">
        <f>IF(H10="","",H10)</f>
        <v>Morning</v>
      </c>
      <c r="I29" s="770" t="str">
        <f>IF(H10="","",H10)</f>
        <v>Morning</v>
      </c>
      <c r="J29" s="450"/>
      <c r="K29" s="82">
        <f t="shared" si="3"/>
        <v>9.5000000000000005E-6</v>
      </c>
      <c r="X29" s="84">
        <f t="shared" si="4"/>
        <v>9.5000000000000005E-6</v>
      </c>
      <c r="Y29" s="84"/>
      <c r="AB29" s="84"/>
      <c r="AH29" s="84">
        <f t="shared" si="5"/>
        <v>9.5000000000000005E-6</v>
      </c>
      <c r="BA29" s="87"/>
      <c r="BB29" s="172"/>
      <c r="BC29" s="173">
        <v>9</v>
      </c>
      <c r="BD29" s="174"/>
      <c r="BE29" s="173">
        <v>15</v>
      </c>
      <c r="BF29" s="13"/>
      <c r="BH29" s="87"/>
      <c r="BI29" s="172"/>
      <c r="BJ29" s="173"/>
      <c r="BK29" s="174"/>
      <c r="BL29" s="173"/>
      <c r="BM29" s="13"/>
      <c r="BO29" s="87"/>
      <c r="BP29" s="172"/>
      <c r="BQ29" s="173"/>
      <c r="BR29" s="174"/>
      <c r="BS29" s="173"/>
      <c r="BT29" s="13"/>
      <c r="CV29" s="170"/>
      <c r="CW29" s="66"/>
      <c r="CX29" s="66"/>
      <c r="CY29" s="66"/>
      <c r="CZ29" s="66"/>
      <c r="DA29" s="393"/>
      <c r="DB29" s="393"/>
      <c r="DC29" s="260" t="s">
        <v>407</v>
      </c>
      <c r="DD29" s="67">
        <f>AVERAGE(DD13:DD14)</f>
        <v>1.5</v>
      </c>
      <c r="DE29" s="68" t="e">
        <f>IF($DE$9,DE14,NA())</f>
        <v>#N/A</v>
      </c>
      <c r="DF29" s="68">
        <f>AVERAGE(DD15:DD16)</f>
        <v>3.5</v>
      </c>
      <c r="DG29" s="68" t="e">
        <f>IF($DE$9,DE16,NA())</f>
        <v>#N/A</v>
      </c>
      <c r="DH29" s="68">
        <f>DE16-DE15</f>
        <v>0.8400000000000003</v>
      </c>
      <c r="DI29" s="470"/>
      <c r="DJ29" s="67"/>
      <c r="DK29" s="68">
        <f>IF(DI54="",NA(),$DL$22)</f>
        <v>5.95</v>
      </c>
      <c r="DL29" s="68">
        <f>IF(DI54="",NA(),DE15)</f>
        <v>1.38</v>
      </c>
      <c r="DM29" s="68" t="e">
        <f>IF(DN54="",NA(),$DN$22)</f>
        <v>#N/A</v>
      </c>
      <c r="DN29" s="91" t="e">
        <f>IF(DN54="",NA(),DE15)</f>
        <v>#N/A</v>
      </c>
      <c r="DO29" s="62">
        <v>-1</v>
      </c>
      <c r="DP29" s="5">
        <f t="shared" si="16"/>
        <v>-0.2</v>
      </c>
      <c r="DQ29" s="5">
        <f t="shared" si="19"/>
        <v>1.24</v>
      </c>
      <c r="DR29" s="5">
        <f t="shared" si="20"/>
        <v>8.6999999999999993</v>
      </c>
      <c r="DS29" s="5">
        <f t="shared" si="17"/>
        <v>1.24</v>
      </c>
      <c r="DT29" s="5">
        <f t="shared" si="18"/>
        <v>1.24</v>
      </c>
      <c r="FN29" s="50"/>
      <c r="FO29" s="47"/>
      <c r="FP29" s="47"/>
      <c r="FQ29" s="47"/>
      <c r="FR29" s="47"/>
    </row>
    <row r="30" spans="1:256" ht="11.25" customHeight="1">
      <c r="B30" s="87" t="s">
        <v>230</v>
      </c>
      <c r="C30" s="12"/>
      <c r="D30" s="12"/>
      <c r="E30" s="12"/>
      <c r="F30" s="771" t="str">
        <f>IF(E14="","",E14)</f>
        <v>Sleep</v>
      </c>
      <c r="G30" s="771" t="str">
        <f>IF(E22="","",E22)</f>
        <v>Nosleep</v>
      </c>
      <c r="H30" s="771" t="str">
        <f>IF(E14="","",E14)</f>
        <v>Sleep</v>
      </c>
      <c r="I30" s="771" t="str">
        <f>IF(E22="","",E22)</f>
        <v>Nosleep</v>
      </c>
      <c r="J30" s="319"/>
      <c r="K30" s="82">
        <f t="shared" si="3"/>
        <v>9.5000000000000005E-6</v>
      </c>
      <c r="X30" s="84">
        <f t="shared" si="4"/>
        <v>9.5000000000000005E-6</v>
      </c>
      <c r="Y30" s="84"/>
      <c r="AB30" s="84"/>
      <c r="AH30" s="84">
        <f t="shared" si="5"/>
        <v>9.5000000000000005E-6</v>
      </c>
      <c r="BA30" s="87"/>
      <c r="BB30" s="172"/>
      <c r="BC30" s="173">
        <v>9</v>
      </c>
      <c r="BD30" s="174"/>
      <c r="BE30" s="173">
        <v>14</v>
      </c>
      <c r="BF30" s="88"/>
      <c r="BH30" s="87"/>
      <c r="BI30" s="172"/>
      <c r="BJ30" s="173"/>
      <c r="BK30" s="174"/>
      <c r="BL30" s="173"/>
      <c r="BM30" s="88"/>
      <c r="BO30" s="87"/>
      <c r="BP30" s="172"/>
      <c r="BQ30" s="173"/>
      <c r="BR30" s="174"/>
      <c r="BS30" s="173"/>
      <c r="BT30" s="88"/>
      <c r="CV30" s="170"/>
      <c r="CW30" s="68"/>
      <c r="CX30" s="68"/>
      <c r="CY30" s="68"/>
      <c r="CZ30" s="68"/>
      <c r="DA30" s="389"/>
      <c r="DB30" s="389"/>
      <c r="DC30" s="260" t="s">
        <v>408</v>
      </c>
      <c r="DD30" s="67">
        <f>DD29</f>
        <v>1.5</v>
      </c>
      <c r="DE30" s="68" t="e">
        <f>IF($DE$9,DE13,NA())</f>
        <v>#N/A</v>
      </c>
      <c r="DF30" s="68">
        <f>DF29</f>
        <v>3.5</v>
      </c>
      <c r="DG30" s="68" t="e">
        <f>IF($DE$9,DE15,NA())</f>
        <v>#N/A</v>
      </c>
      <c r="DH30" s="68" t="s">
        <v>1049</v>
      </c>
      <c r="DI30" s="470"/>
      <c r="DJ30" s="67">
        <v>4</v>
      </c>
      <c r="DK30" s="68" t="e">
        <f>IF(DI55="",NA(),DD16)</f>
        <v>#N/A</v>
      </c>
      <c r="DL30" s="68" t="e">
        <f>IF(DI55="",NA(),DE16)</f>
        <v>#N/A</v>
      </c>
      <c r="DM30" s="68">
        <f>IF(DN55="",NA(),DD16)</f>
        <v>3.75</v>
      </c>
      <c r="DN30" s="91">
        <f>IF(DN55="",NA(),DE16)</f>
        <v>2.2200000000000002</v>
      </c>
      <c r="DO30" s="62">
        <v>-2</v>
      </c>
      <c r="DP30" s="5">
        <f t="shared" si="16"/>
        <v>-0.4</v>
      </c>
      <c r="DQ30" s="5">
        <f t="shared" si="19"/>
        <v>1.04</v>
      </c>
      <c r="DR30" s="5">
        <f t="shared" si="20"/>
        <v>8.6999999999999993</v>
      </c>
      <c r="DS30" s="5">
        <f t="shared" si="17"/>
        <v>1.04</v>
      </c>
      <c r="DT30" s="5">
        <f t="shared" si="18"/>
        <v>1.04</v>
      </c>
      <c r="FN30" s="50"/>
      <c r="FO30" s="47"/>
      <c r="FP30" s="47"/>
      <c r="FQ30" s="47"/>
      <c r="FR30" s="47"/>
    </row>
    <row r="31" spans="1:256" ht="11.25" customHeight="1">
      <c r="B31" s="87"/>
      <c r="C31" s="12"/>
      <c r="D31" s="12"/>
      <c r="E31" s="12"/>
      <c r="F31" s="445" t="s">
        <v>1403</v>
      </c>
      <c r="G31" s="445" t="s">
        <v>1404</v>
      </c>
      <c r="H31" s="445" t="s">
        <v>1405</v>
      </c>
      <c r="I31" s="446" t="s">
        <v>1406</v>
      </c>
      <c r="J31" s="12"/>
      <c r="K31" s="82">
        <f t="shared" si="3"/>
        <v>9.5000000000000005E-6</v>
      </c>
      <c r="X31" s="84">
        <f t="shared" si="4"/>
        <v>9.5000000000000005E-6</v>
      </c>
      <c r="Y31" s="84"/>
      <c r="AB31" s="84"/>
      <c r="AH31" s="84">
        <f t="shared" si="5"/>
        <v>9.5000000000000005E-6</v>
      </c>
      <c r="BA31" s="87"/>
      <c r="BB31" s="172"/>
      <c r="BC31" s="173"/>
      <c r="BD31" s="174"/>
      <c r="BE31" s="173">
        <v>15</v>
      </c>
      <c r="BF31" s="88"/>
      <c r="BH31" s="87"/>
      <c r="BI31" s="172"/>
      <c r="BJ31" s="173"/>
      <c r="BK31" s="174"/>
      <c r="BL31" s="173"/>
      <c r="BM31" s="88"/>
      <c r="BO31" s="87"/>
      <c r="BP31" s="172"/>
      <c r="BQ31" s="173"/>
      <c r="BR31" s="174"/>
      <c r="BS31" s="173"/>
      <c r="BT31" s="88"/>
      <c r="CW31" s="69"/>
      <c r="CX31" s="70"/>
      <c r="CY31" s="70"/>
      <c r="CZ31" s="70"/>
      <c r="DA31" s="391"/>
      <c r="DB31" s="391"/>
      <c r="DC31" s="65"/>
      <c r="DD31" s="67" t="s">
        <v>411</v>
      </c>
      <c r="DE31" s="68"/>
      <c r="DF31" s="68"/>
      <c r="DG31" s="68"/>
      <c r="DH31" s="68" t="s">
        <v>1054</v>
      </c>
      <c r="DI31" s="470"/>
      <c r="DJ31" s="67"/>
      <c r="DK31" s="68" t="e">
        <f>IF(DI55="",NA(),$DL$22)</f>
        <v>#N/A</v>
      </c>
      <c r="DL31" s="68" t="e">
        <f>IF(DI55="",NA(),DE16)</f>
        <v>#N/A</v>
      </c>
      <c r="DM31" s="68">
        <f>IF(DN55="",NA(),$DN$22)</f>
        <v>6.15</v>
      </c>
      <c r="DN31" s="91">
        <f>IF(DN55="",NA(),DE16)</f>
        <v>2.2200000000000002</v>
      </c>
      <c r="DO31" s="62">
        <v>-3</v>
      </c>
      <c r="DP31" s="5">
        <f t="shared" si="16"/>
        <v>-0.60000000000000009</v>
      </c>
      <c r="DQ31" s="5">
        <f t="shared" si="19"/>
        <v>0.83999999999999986</v>
      </c>
      <c r="DR31" s="5">
        <f t="shared" si="20"/>
        <v>8.6999999999999993</v>
      </c>
      <c r="DS31" s="5">
        <f t="shared" si="17"/>
        <v>0.83999999999999986</v>
      </c>
      <c r="DT31" s="5">
        <f t="shared" si="18"/>
        <v>0.83999999999999986</v>
      </c>
      <c r="FN31" s="50"/>
      <c r="FO31" s="47"/>
      <c r="FP31" s="47"/>
      <c r="FQ31" s="47"/>
      <c r="FR31" s="47"/>
    </row>
    <row r="32" spans="1:256" ht="11.25" customHeight="1">
      <c r="B32" s="87" t="s">
        <v>231</v>
      </c>
      <c r="C32" s="12"/>
      <c r="D32" s="12"/>
      <c r="E32" s="12"/>
      <c r="F32" s="778"/>
      <c r="G32" s="371"/>
      <c r="H32" s="370"/>
      <c r="I32" s="371"/>
      <c r="J32" s="13"/>
      <c r="K32" s="82">
        <f t="shared" si="3"/>
        <v>9.5000000000000005E-6</v>
      </c>
      <c r="X32" s="84">
        <f t="shared" si="4"/>
        <v>9.5000000000000005E-6</v>
      </c>
      <c r="Y32" s="84"/>
      <c r="AB32" s="84"/>
      <c r="AH32" s="84">
        <f t="shared" si="5"/>
        <v>9.5000000000000005E-6</v>
      </c>
      <c r="BA32" s="87"/>
      <c r="BB32" s="172"/>
      <c r="BC32" s="173"/>
      <c r="BD32" s="174"/>
      <c r="BE32" s="173">
        <v>16</v>
      </c>
      <c r="BF32" s="88"/>
      <c r="BH32" s="87"/>
      <c r="BI32" s="172"/>
      <c r="BJ32" s="173"/>
      <c r="BK32" s="174"/>
      <c r="BL32" s="173"/>
      <c r="BM32" s="88"/>
      <c r="BO32" s="87"/>
      <c r="BP32" s="172"/>
      <c r="BQ32" s="173"/>
      <c r="BR32" s="174"/>
      <c r="BS32" s="173"/>
      <c r="BT32" s="88"/>
      <c r="CY32" s="5" t="s">
        <v>464</v>
      </c>
      <c r="CZ32" s="5">
        <v>0</v>
      </c>
      <c r="DA32" s="5">
        <v>0</v>
      </c>
      <c r="DC32" s="67"/>
      <c r="DD32" s="67">
        <f>DD29</f>
        <v>1.5</v>
      </c>
      <c r="DE32" s="68" t="e">
        <f>IF($DE$9,DE30,NA())</f>
        <v>#N/A</v>
      </c>
      <c r="DF32" s="68">
        <f>DD29</f>
        <v>1.5</v>
      </c>
      <c r="DG32" s="68" t="e">
        <f>IF($DE$9,DE29,NA())</f>
        <v>#N/A</v>
      </c>
      <c r="DH32" s="68">
        <f>DE14-DE13</f>
        <v>-0.3600000000000001</v>
      </c>
      <c r="DI32" s="91"/>
      <c r="DJ32" s="67">
        <v>5</v>
      </c>
      <c r="DK32" s="68" t="e">
        <f>IF(DI56="",NA(),DD17)</f>
        <v>#N/A</v>
      </c>
      <c r="DL32" s="68" t="e">
        <f>IF(DI56="",NA(),DE17)</f>
        <v>#N/A</v>
      </c>
      <c r="DM32" s="68" t="e">
        <f>IF(DN56="",NA(),DD17)</f>
        <v>#N/A</v>
      </c>
      <c r="DN32" s="91" t="e">
        <f>IF(DN56="",NA(),DE17)</f>
        <v>#N/A</v>
      </c>
      <c r="DO32" s="62">
        <v>-4</v>
      </c>
      <c r="DP32" s="5">
        <f t="shared" si="16"/>
        <v>-0.8</v>
      </c>
      <c r="DQ32" s="5">
        <f t="shared" si="19"/>
        <v>0.6399999999999999</v>
      </c>
      <c r="DR32" s="5">
        <f t="shared" si="20"/>
        <v>8.6999999999999993</v>
      </c>
      <c r="DS32" s="5">
        <f t="shared" si="17"/>
        <v>0.6399999999999999</v>
      </c>
      <c r="DT32" s="5">
        <f t="shared" si="18"/>
        <v>0.6399999999999999</v>
      </c>
      <c r="FN32" s="50"/>
      <c r="FO32" s="47"/>
      <c r="FP32" s="47"/>
      <c r="FQ32" s="47"/>
      <c r="FR32" s="47"/>
    </row>
    <row r="33" spans="2:174" ht="11.25" customHeight="1">
      <c r="B33" s="137" t="s">
        <v>232</v>
      </c>
      <c r="C33" s="383"/>
      <c r="D33" s="383"/>
      <c r="E33" s="12"/>
      <c r="F33" s="372"/>
      <c r="G33" s="373"/>
      <c r="H33" s="374"/>
      <c r="I33" s="373"/>
      <c r="J33" s="88"/>
      <c r="K33" s="82">
        <f t="shared" si="3"/>
        <v>9.5000000000000005E-6</v>
      </c>
      <c r="X33" s="84">
        <f t="shared" si="4"/>
        <v>9.5000000000000005E-6</v>
      </c>
      <c r="Y33" s="84"/>
      <c r="AB33" s="84"/>
      <c r="AH33" s="84">
        <f t="shared" si="5"/>
        <v>9.5000000000000005E-6</v>
      </c>
      <c r="BA33" s="137"/>
      <c r="BB33" s="172"/>
      <c r="BC33" s="173"/>
      <c r="BD33" s="174"/>
      <c r="BE33" s="173">
        <v>16</v>
      </c>
      <c r="BF33" s="88"/>
      <c r="BH33" s="137"/>
      <c r="BI33" s="172"/>
      <c r="BJ33" s="173"/>
      <c r="BK33" s="174"/>
      <c r="BL33" s="173"/>
      <c r="BM33" s="88"/>
      <c r="BO33" s="137"/>
      <c r="BP33" s="172"/>
      <c r="BQ33" s="173"/>
      <c r="BR33" s="174"/>
      <c r="BS33" s="173"/>
      <c r="BT33" s="88"/>
      <c r="CW33" s="65" t="s">
        <v>469</v>
      </c>
      <c r="CX33" s="93"/>
      <c r="CY33" s="5" t="s">
        <v>1045</v>
      </c>
      <c r="CZ33" s="19">
        <v>0</v>
      </c>
      <c r="DA33" s="19">
        <v>1</v>
      </c>
      <c r="DB33" s="19"/>
      <c r="DC33" s="69"/>
      <c r="DD33" s="67">
        <f>DF29</f>
        <v>3.5</v>
      </c>
      <c r="DE33" s="68" t="e">
        <f>IF($DE$9,DG30,NA())</f>
        <v>#N/A</v>
      </c>
      <c r="DF33" s="68">
        <f>DF29</f>
        <v>3.5</v>
      </c>
      <c r="DG33" s="68" t="e">
        <f>IF($DE$9,DG30+(DE29-DE30),NA())</f>
        <v>#N/A</v>
      </c>
      <c r="DH33" s="68"/>
      <c r="DI33" s="91"/>
      <c r="DJ33" s="67"/>
      <c r="DK33" s="68" t="e">
        <f>IF(DI56="",NA(),$DL$22)</f>
        <v>#N/A</v>
      </c>
      <c r="DL33" s="68" t="e">
        <f>IF(DI56="",NA(),DE17)</f>
        <v>#N/A</v>
      </c>
      <c r="DM33" s="68" t="e">
        <f>IF(DN56="",NA(),$DN$22)</f>
        <v>#N/A</v>
      </c>
      <c r="DN33" s="91" t="e">
        <f>IF(DN56="",NA(),DE17)</f>
        <v>#N/A</v>
      </c>
      <c r="DO33" s="62">
        <v>-5</v>
      </c>
      <c r="DP33" s="5">
        <f t="shared" si="16"/>
        <v>-1</v>
      </c>
      <c r="DQ33" s="5">
        <f t="shared" si="19"/>
        <v>0.43999999999999995</v>
      </c>
      <c r="DR33" s="5">
        <f t="shared" si="20"/>
        <v>8.6999999999999993</v>
      </c>
      <c r="DS33" s="5" t="e">
        <f t="shared" si="17"/>
        <v>#N/A</v>
      </c>
      <c r="DT33" s="5">
        <f t="shared" si="18"/>
        <v>0.43999999999999995</v>
      </c>
      <c r="FN33" s="50"/>
      <c r="FO33" s="47"/>
      <c r="FP33" s="47"/>
      <c r="FQ33" s="47"/>
      <c r="FR33" s="47"/>
    </row>
    <row r="34" spans="2:174" ht="11.25" customHeight="1">
      <c r="B34" s="137"/>
      <c r="C34" s="383"/>
      <c r="D34" s="383"/>
      <c r="E34" s="12"/>
      <c r="F34" s="372"/>
      <c r="G34" s="373"/>
      <c r="H34" s="374"/>
      <c r="I34" s="373"/>
      <c r="J34" s="13"/>
      <c r="K34" s="82">
        <f t="shared" si="3"/>
        <v>9.5000000000000005E-6</v>
      </c>
      <c r="X34" s="84">
        <f t="shared" si="4"/>
        <v>9.5000000000000005E-6</v>
      </c>
      <c r="Y34" s="84"/>
      <c r="AB34" s="84"/>
      <c r="AH34" s="84">
        <f t="shared" si="5"/>
        <v>9.5000000000000005E-6</v>
      </c>
      <c r="BA34" s="137"/>
      <c r="BB34" s="172"/>
      <c r="BC34" s="173"/>
      <c r="BD34" s="174"/>
      <c r="BE34" s="173">
        <v>-7</v>
      </c>
      <c r="BF34" s="88"/>
      <c r="BH34" s="137"/>
      <c r="BI34" s="172"/>
      <c r="BJ34" s="173"/>
      <c r="BK34" s="174"/>
      <c r="BL34" s="173"/>
      <c r="BM34" s="88"/>
      <c r="BO34" s="137"/>
      <c r="BP34" s="172"/>
      <c r="BQ34" s="173"/>
      <c r="BR34" s="174"/>
      <c r="BS34" s="173"/>
      <c r="BT34" s="88"/>
      <c r="CW34" s="69">
        <f>IF(SUM($CX$35:$DC$35)&gt;0,SUM($CX$35:$DC$35),"")</f>
        <v>99</v>
      </c>
      <c r="CX34" s="97"/>
      <c r="DD34" s="67" t="s">
        <v>412</v>
      </c>
      <c r="DE34" s="68"/>
      <c r="DF34" s="68"/>
      <c r="DG34" s="68"/>
      <c r="DH34" s="68"/>
      <c r="DI34" s="91"/>
      <c r="DJ34" s="190">
        <v>6</v>
      </c>
      <c r="DK34" s="68" t="e">
        <f>IF(DI57="",NA(),DD18)</f>
        <v>#N/A</v>
      </c>
      <c r="DL34" s="68" t="e">
        <f>IF(DI57="",NA(),DE18)</f>
        <v>#N/A</v>
      </c>
      <c r="DM34" s="68" t="e">
        <f>IF(DN57="",NA(),DD18)</f>
        <v>#N/A</v>
      </c>
      <c r="DN34" s="91" t="e">
        <f>IF(DN57="",NA(),DE18)</f>
        <v>#N/A</v>
      </c>
      <c r="DO34" s="62">
        <v>-6</v>
      </c>
      <c r="DP34" s="5">
        <f t="shared" si="16"/>
        <v>-1.2000000000000002</v>
      </c>
      <c r="DQ34" s="5">
        <f t="shared" si="19"/>
        <v>0.23999999999999977</v>
      </c>
      <c r="DR34" s="5">
        <f t="shared" si="20"/>
        <v>8.6999999999999993</v>
      </c>
      <c r="DS34" s="5" t="e">
        <f t="shared" si="17"/>
        <v>#N/A</v>
      </c>
      <c r="DT34" s="5">
        <f t="shared" si="18"/>
        <v>0.23999999999999977</v>
      </c>
      <c r="FN34" s="50"/>
      <c r="FO34" s="47"/>
      <c r="FP34" s="47"/>
      <c r="FQ34" s="47"/>
      <c r="FR34" s="47"/>
    </row>
    <row r="35" spans="2:174" ht="11.25" customHeight="1">
      <c r="B35" s="87" t="s">
        <v>233</v>
      </c>
      <c r="C35" s="12"/>
      <c r="D35" s="12"/>
      <c r="E35" s="12"/>
      <c r="F35" s="372"/>
      <c r="G35" s="373"/>
      <c r="H35" s="374"/>
      <c r="I35" s="373"/>
      <c r="J35" s="13"/>
      <c r="K35" s="82">
        <f t="shared" si="3"/>
        <v>9.5000000000000005E-6</v>
      </c>
      <c r="X35" s="84">
        <f t="shared" si="4"/>
        <v>9.5000000000000005E-6</v>
      </c>
      <c r="Y35" s="84"/>
      <c r="AB35" s="84"/>
      <c r="AH35" s="84">
        <f t="shared" si="5"/>
        <v>9.5000000000000005E-6</v>
      </c>
      <c r="BA35" s="137"/>
      <c r="BB35" s="172"/>
      <c r="BC35" s="173"/>
      <c r="BD35" s="174"/>
      <c r="BE35" s="173">
        <v>-8</v>
      </c>
      <c r="BF35" s="88"/>
      <c r="BH35" s="137"/>
      <c r="BI35" s="172"/>
      <c r="BJ35" s="173"/>
      <c r="BK35" s="174"/>
      <c r="BL35" s="173"/>
      <c r="BM35" s="88"/>
      <c r="BO35" s="137"/>
      <c r="BP35" s="172"/>
      <c r="BQ35" s="173"/>
      <c r="BR35" s="174"/>
      <c r="BS35" s="173"/>
      <c r="BT35" s="88"/>
      <c r="CW35" s="275" t="s">
        <v>1547</v>
      </c>
      <c r="CX35" s="276">
        <f>IF(DL5,G12-1,"")</f>
        <v>25</v>
      </c>
      <c r="CY35" s="277">
        <f>IF(DM5,G20-1,"")</f>
        <v>25</v>
      </c>
      <c r="CZ35" s="278">
        <f>IF(DN5,H12-1,"")</f>
        <v>24</v>
      </c>
      <c r="DA35" s="277">
        <f>IF(DO5,H20-1,"")</f>
        <v>25</v>
      </c>
      <c r="DB35" s="406"/>
      <c r="DC35" s="407"/>
      <c r="DD35" s="67">
        <f>DF29</f>
        <v>3.5</v>
      </c>
      <c r="DE35" s="68" t="e">
        <f>DG33</f>
        <v>#N/A</v>
      </c>
      <c r="DF35" s="68">
        <f>DF29</f>
        <v>3.5</v>
      </c>
      <c r="DG35" s="68" t="e">
        <f>DG29</f>
        <v>#N/A</v>
      </c>
      <c r="DH35" s="68"/>
      <c r="DI35" s="91"/>
      <c r="DJ35" s="67"/>
      <c r="DK35" s="68" t="e">
        <f>IF(DI57="",NA(),$DL$22)</f>
        <v>#N/A</v>
      </c>
      <c r="DL35" s="68" t="e">
        <f>IF(DI57="",NA(),DE18)</f>
        <v>#N/A</v>
      </c>
      <c r="DM35" s="68" t="e">
        <f>IF(DN57="",NA(),$DN$22)</f>
        <v>#N/A</v>
      </c>
      <c r="DN35" s="91" t="e">
        <f>IF(DN57="",NA(),DE18)</f>
        <v>#N/A</v>
      </c>
      <c r="DO35" s="62">
        <v>-7</v>
      </c>
      <c r="DP35" s="5">
        <f t="shared" si="16"/>
        <v>-1.4000000000000001</v>
      </c>
      <c r="DQ35" s="5">
        <f t="shared" si="19"/>
        <v>3.9999999999999813E-2</v>
      </c>
      <c r="DR35" s="5">
        <f t="shared" si="20"/>
        <v>8.6999999999999993</v>
      </c>
      <c r="DS35" s="5" t="e">
        <f t="shared" si="17"/>
        <v>#N/A</v>
      </c>
      <c r="DT35" s="5">
        <f t="shared" si="18"/>
        <v>3.9999999999999813E-2</v>
      </c>
      <c r="FN35" s="50"/>
      <c r="FO35" s="47"/>
      <c r="FP35" s="47"/>
      <c r="FQ35" s="47"/>
      <c r="FR35" s="47"/>
    </row>
    <row r="36" spans="2:174" ht="11.25" customHeight="1">
      <c r="B36" s="87" t="s">
        <v>371</v>
      </c>
      <c r="C36" s="12"/>
      <c r="D36" s="12"/>
      <c r="E36" s="12"/>
      <c r="F36" s="372"/>
      <c r="G36" s="373"/>
      <c r="H36" s="374"/>
      <c r="I36" s="373"/>
      <c r="J36" s="13"/>
      <c r="K36" s="82">
        <f t="shared" si="3"/>
        <v>9.5000000000000005E-6</v>
      </c>
      <c r="X36" s="84">
        <f t="shared" si="4"/>
        <v>9.5000000000000005E-6</v>
      </c>
      <c r="Y36" s="84"/>
      <c r="AB36" s="84"/>
      <c r="AH36" s="84">
        <f t="shared" si="5"/>
        <v>9.5000000000000005E-6</v>
      </c>
      <c r="BA36" s="137"/>
      <c r="BB36" s="172"/>
      <c r="BC36" s="173"/>
      <c r="BD36" s="174"/>
      <c r="BE36" s="173">
        <v>12</v>
      </c>
      <c r="BF36" s="88"/>
      <c r="BH36" s="137"/>
      <c r="BI36" s="172"/>
      <c r="BJ36" s="173"/>
      <c r="BK36" s="174"/>
      <c r="BL36" s="173"/>
      <c r="BM36" s="88"/>
      <c r="BO36" s="137"/>
      <c r="BP36" s="172"/>
      <c r="BQ36" s="173"/>
      <c r="BR36" s="174"/>
      <c r="BS36" s="173"/>
      <c r="BT36" s="88"/>
      <c r="CW36" s="65" t="s">
        <v>1092</v>
      </c>
      <c r="CX36" s="66"/>
      <c r="CY36" s="66"/>
      <c r="CZ36" s="66"/>
      <c r="DA36" s="66"/>
      <c r="DB36" s="393"/>
      <c r="DC36" s="393"/>
      <c r="DD36" s="67">
        <f>DR15</f>
        <v>8.6999999999999993</v>
      </c>
      <c r="DE36" s="68" t="e">
        <f>DG33</f>
        <v>#N/A</v>
      </c>
      <c r="DF36" s="68">
        <f>DR15</f>
        <v>8.6999999999999993</v>
      </c>
      <c r="DG36" s="68" t="e">
        <f>DG29</f>
        <v>#N/A</v>
      </c>
      <c r="DH36" s="68"/>
      <c r="DI36" s="91"/>
      <c r="DJ36" s="67" t="s">
        <v>1113</v>
      </c>
      <c r="DK36" s="68"/>
      <c r="DL36" s="68"/>
      <c r="DM36" s="68"/>
      <c r="DN36" s="91"/>
      <c r="DO36" s="62">
        <v>-8</v>
      </c>
      <c r="DP36" s="5">
        <f t="shared" si="16"/>
        <v>-1.6</v>
      </c>
      <c r="DQ36" s="5">
        <f t="shared" si="19"/>
        <v>-0.16000000000000014</v>
      </c>
      <c r="DR36" s="5">
        <f t="shared" si="20"/>
        <v>8.6999999999999993</v>
      </c>
      <c r="DS36" s="5" t="e">
        <f t="shared" si="17"/>
        <v>#N/A</v>
      </c>
      <c r="DT36" s="5">
        <f t="shared" si="18"/>
        <v>-0.16000000000000014</v>
      </c>
      <c r="FN36" s="50"/>
      <c r="FO36" s="47"/>
      <c r="FP36" s="47"/>
      <c r="FQ36" s="47"/>
      <c r="FR36" s="47"/>
    </row>
    <row r="37" spans="2:174" ht="11.25" customHeight="1">
      <c r="B37" s="87"/>
      <c r="C37" s="12"/>
      <c r="D37" s="12"/>
      <c r="E37" s="12"/>
      <c r="F37" s="372"/>
      <c r="G37" s="373"/>
      <c r="H37" s="374"/>
      <c r="I37" s="373"/>
      <c r="J37" s="13"/>
      <c r="K37" s="82">
        <f t="shared" si="3"/>
        <v>9.5000000000000005E-6</v>
      </c>
      <c r="X37" s="84">
        <f t="shared" si="4"/>
        <v>9.5000000000000005E-6</v>
      </c>
      <c r="Y37" s="84"/>
      <c r="AB37" s="84"/>
      <c r="AH37" s="84">
        <f t="shared" si="5"/>
        <v>9.5000000000000005E-6</v>
      </c>
      <c r="BA37" s="137"/>
      <c r="BB37" s="172"/>
      <c r="BC37" s="173"/>
      <c r="BD37" s="174"/>
      <c r="BE37" s="173">
        <v>15</v>
      </c>
      <c r="BF37" s="88"/>
      <c r="BH37" s="137"/>
      <c r="BI37" s="172"/>
      <c r="BJ37" s="173"/>
      <c r="BK37" s="174"/>
      <c r="BL37" s="173"/>
      <c r="BM37" s="88"/>
      <c r="BO37" s="137"/>
      <c r="BP37" s="172"/>
      <c r="BQ37" s="173"/>
      <c r="BR37" s="174"/>
      <c r="BS37" s="173"/>
      <c r="BT37" s="88"/>
      <c r="CW37" s="260" t="s">
        <v>1544</v>
      </c>
      <c r="CX37" s="68">
        <f>IF(G12="","",G12)</f>
        <v>26</v>
      </c>
      <c r="CY37" s="68">
        <f>IF(G20="","",G20)</f>
        <v>26</v>
      </c>
      <c r="CZ37" s="68">
        <f>IF(H12="","",H12)</f>
        <v>25</v>
      </c>
      <c r="DA37" s="68">
        <f>IF(H20="","",H20)</f>
        <v>26</v>
      </c>
      <c r="DB37" s="389"/>
      <c r="DC37" s="389"/>
      <c r="DD37" s="67" t="s">
        <v>414</v>
      </c>
      <c r="DE37" s="68"/>
      <c r="DF37" s="68" t="s">
        <v>1280</v>
      </c>
      <c r="DG37" s="68"/>
      <c r="DH37" s="68"/>
      <c r="DI37" s="91"/>
      <c r="DJ37" s="67"/>
      <c r="DK37" s="68">
        <f>IF(DE58="",NA(),DL22)</f>
        <v>5.95</v>
      </c>
      <c r="DL37" s="68">
        <f>IF(DI59="",NA(),DI59)</f>
        <v>1.5</v>
      </c>
      <c r="DM37" s="68">
        <f>IF(DJ58="",NA(),DN22)</f>
        <v>6.15</v>
      </c>
      <c r="DN37" s="91">
        <f>IF(DN59="",NA(),DN59)</f>
        <v>2.2200000000000002</v>
      </c>
      <c r="DO37" s="62">
        <v>-9</v>
      </c>
      <c r="DP37" s="5">
        <f t="shared" si="16"/>
        <v>-1.8</v>
      </c>
      <c r="DQ37" s="5">
        <f t="shared" si="19"/>
        <v>-0.3600000000000001</v>
      </c>
      <c r="DR37" s="5">
        <f t="shared" si="20"/>
        <v>8.6999999999999993</v>
      </c>
      <c r="DS37" s="5" t="e">
        <f t="shared" si="17"/>
        <v>#N/A</v>
      </c>
      <c r="DT37" s="5">
        <f t="shared" si="18"/>
        <v>-0.3600000000000001</v>
      </c>
      <c r="FN37" s="50"/>
      <c r="FO37" s="47"/>
      <c r="FP37" s="47"/>
      <c r="FQ37" s="47"/>
      <c r="FR37" s="47"/>
    </row>
    <row r="38" spans="2:174" ht="11.25" customHeight="1">
      <c r="B38" s="141"/>
      <c r="C38" s="12"/>
      <c r="D38" s="12"/>
      <c r="E38" s="12"/>
      <c r="F38" s="372"/>
      <c r="G38" s="373"/>
      <c r="H38" s="374"/>
      <c r="I38" s="373"/>
      <c r="J38" s="13"/>
      <c r="K38" s="82">
        <f t="shared" si="3"/>
        <v>9.5000000000000005E-6</v>
      </c>
      <c r="X38" s="84">
        <f t="shared" si="4"/>
        <v>9.5000000000000005E-6</v>
      </c>
      <c r="Y38" s="84"/>
      <c r="AB38" s="84"/>
      <c r="AH38" s="84">
        <f t="shared" si="5"/>
        <v>9.5000000000000005E-6</v>
      </c>
      <c r="BA38" s="137"/>
      <c r="BB38" s="172"/>
      <c r="BC38" s="173"/>
      <c r="BD38" s="174"/>
      <c r="BE38" s="173">
        <v>14</v>
      </c>
      <c r="BF38" s="88"/>
      <c r="BH38" s="137"/>
      <c r="BI38" s="172"/>
      <c r="BJ38" s="173"/>
      <c r="BK38" s="174"/>
      <c r="BL38" s="173"/>
      <c r="BM38" s="88"/>
      <c r="BO38" s="137"/>
      <c r="BP38" s="172"/>
      <c r="BQ38" s="173"/>
      <c r="BR38" s="174"/>
      <c r="BS38" s="173"/>
      <c r="BT38" s="88"/>
      <c r="CW38" s="260" t="s">
        <v>1545</v>
      </c>
      <c r="CX38" s="68">
        <f>IF(G13="","",G13)</f>
        <v>1.5</v>
      </c>
      <c r="CY38" s="68">
        <f>IF(G21="","",G21)</f>
        <v>1.1399999999999999</v>
      </c>
      <c r="CZ38" s="68">
        <f>IF(H13="","",H13)</f>
        <v>1.38</v>
      </c>
      <c r="DA38" s="68">
        <f>IF(H21="","",H21)</f>
        <v>2.2200000000000002</v>
      </c>
      <c r="DB38" s="389"/>
      <c r="DC38" s="389"/>
      <c r="DD38" s="67">
        <f>DL42</f>
        <v>8.3000000000000007</v>
      </c>
      <c r="DE38" s="68" t="e">
        <f>DG36</f>
        <v>#N/A</v>
      </c>
      <c r="DF38" s="68" t="e">
        <f>IF(DE9,DD44,NA())</f>
        <v>#N/A</v>
      </c>
      <c r="DG38" s="68"/>
      <c r="DH38" s="68"/>
      <c r="DI38" s="91"/>
      <c r="DJ38" s="67"/>
      <c r="DK38" s="68">
        <f>DK37</f>
        <v>5.95</v>
      </c>
      <c r="DL38" s="68">
        <f>IF(DI60="",NA(),DI60)</f>
        <v>1.38</v>
      </c>
      <c r="DM38" s="68">
        <f>DM37</f>
        <v>6.15</v>
      </c>
      <c r="DN38" s="91">
        <f>IF(DN60="",NA(),DN60)</f>
        <v>1.1399999999999999</v>
      </c>
      <c r="DO38" s="62">
        <v>-10</v>
      </c>
      <c r="DP38" s="5">
        <f t="shared" si="16"/>
        <v>-2</v>
      </c>
      <c r="DQ38" s="5">
        <f t="shared" si="19"/>
        <v>-0.56000000000000005</v>
      </c>
      <c r="DR38" s="5">
        <f t="shared" si="20"/>
        <v>8.6999999999999993</v>
      </c>
      <c r="DS38" s="5" t="e">
        <f t="shared" si="17"/>
        <v>#N/A</v>
      </c>
      <c r="DT38" s="5">
        <f t="shared" si="18"/>
        <v>-0.56000000000000005</v>
      </c>
      <c r="FN38" s="50"/>
      <c r="FO38" s="47"/>
      <c r="FP38" s="47"/>
      <c r="FQ38" s="47"/>
      <c r="FR38" s="47"/>
    </row>
    <row r="39" spans="2:174" ht="11.25" customHeight="1">
      <c r="B39" s="138"/>
      <c r="C39" s="12"/>
      <c r="D39" s="12"/>
      <c r="E39" s="12"/>
      <c r="F39" s="372"/>
      <c r="G39" s="373"/>
      <c r="H39" s="374"/>
      <c r="I39" s="373"/>
      <c r="J39" s="13"/>
      <c r="K39" s="82">
        <f t="shared" si="3"/>
        <v>9.5000000000000005E-6</v>
      </c>
      <c r="X39" s="84">
        <f t="shared" si="4"/>
        <v>9.5000000000000005E-6</v>
      </c>
      <c r="Y39" s="84"/>
      <c r="AB39" s="84"/>
      <c r="AH39" s="84">
        <f t="shared" si="5"/>
        <v>9.5000000000000005E-6</v>
      </c>
      <c r="BA39" s="137"/>
      <c r="BB39" s="172"/>
      <c r="BC39" s="173"/>
      <c r="BD39" s="174"/>
      <c r="BE39" s="173">
        <v>15</v>
      </c>
      <c r="BF39" s="88"/>
      <c r="BH39" s="137"/>
      <c r="BI39" s="172"/>
      <c r="BJ39" s="173"/>
      <c r="BK39" s="174"/>
      <c r="BL39" s="173"/>
      <c r="BM39" s="88"/>
      <c r="BO39" s="137"/>
      <c r="BP39" s="172"/>
      <c r="BQ39" s="173"/>
      <c r="BR39" s="174"/>
      <c r="BS39" s="173"/>
      <c r="BT39" s="88"/>
      <c r="CW39" s="115" t="s">
        <v>1546</v>
      </c>
      <c r="CX39" s="70">
        <f>IF(G14="","",G14)</f>
        <v>1.38</v>
      </c>
      <c r="CY39" s="70">
        <f>IF(G22="","",G22)</f>
        <v>0.96</v>
      </c>
      <c r="CZ39" s="70">
        <f>IF(H14="","",H14)</f>
        <v>1.5</v>
      </c>
      <c r="DA39" s="70">
        <f>IF(H22="","",H22)</f>
        <v>1.68</v>
      </c>
      <c r="DB39" s="391"/>
      <c r="DC39" s="391"/>
      <c r="DD39" s="67" t="s">
        <v>419</v>
      </c>
      <c r="DE39" s="68"/>
      <c r="DF39" s="68"/>
      <c r="DG39" s="68"/>
      <c r="DH39" s="68"/>
      <c r="DI39" s="91"/>
      <c r="DJ39" s="67" t="s">
        <v>1116</v>
      </c>
      <c r="DK39" s="68"/>
      <c r="DL39" s="68"/>
      <c r="DM39" s="68"/>
      <c r="DN39" s="91"/>
      <c r="FN39" s="50"/>
      <c r="FO39" s="47"/>
      <c r="FP39" s="47"/>
      <c r="FQ39" s="47"/>
      <c r="FR39" s="47"/>
    </row>
    <row r="40" spans="2:174" ht="11.25" customHeight="1">
      <c r="B40" s="87"/>
      <c r="C40" s="12"/>
      <c r="D40" s="12"/>
      <c r="E40" s="12"/>
      <c r="F40" s="372"/>
      <c r="G40" s="373"/>
      <c r="H40" s="374"/>
      <c r="I40" s="373"/>
      <c r="J40" s="13"/>
      <c r="K40" s="82">
        <f t="shared" si="3"/>
        <v>9.5000000000000005E-6</v>
      </c>
      <c r="X40" s="84">
        <f t="shared" si="4"/>
        <v>9.5000000000000005E-6</v>
      </c>
      <c r="Y40" s="84"/>
      <c r="AB40" s="84"/>
      <c r="AH40" s="84">
        <f t="shared" si="5"/>
        <v>9.5000000000000005E-6</v>
      </c>
      <c r="BA40" s="137"/>
      <c r="BB40" s="172"/>
      <c r="BC40" s="173"/>
      <c r="BD40" s="174"/>
      <c r="BE40" s="173"/>
      <c r="BF40" s="88"/>
      <c r="BH40" s="137"/>
      <c r="BI40" s="172"/>
      <c r="BJ40" s="173"/>
      <c r="BK40" s="174"/>
      <c r="BL40" s="173"/>
      <c r="BM40" s="88"/>
      <c r="BO40" s="137"/>
      <c r="BP40" s="172"/>
      <c r="BQ40" s="173"/>
      <c r="BR40" s="174"/>
      <c r="BS40" s="173"/>
      <c r="BT40" s="88"/>
      <c r="CW40" s="65" t="s">
        <v>1040</v>
      </c>
      <c r="CX40" s="66"/>
      <c r="CY40" s="66"/>
      <c r="CZ40" s="66"/>
      <c r="DA40" s="66"/>
      <c r="DB40" s="393"/>
      <c r="DC40" s="393"/>
      <c r="DD40" s="69" t="e">
        <f>DE16-DG33</f>
        <v>#N/A</v>
      </c>
      <c r="DE40" s="70"/>
      <c r="DF40" s="70"/>
      <c r="DG40" s="70"/>
      <c r="DH40" s="70"/>
      <c r="DI40" s="97"/>
      <c r="DJ40" s="67"/>
      <c r="DK40" s="68">
        <f>IF(DE58="",NA(),DL22)</f>
        <v>5.95</v>
      </c>
      <c r="DL40" s="68">
        <f>IF(DE58="",NA(),DI58)</f>
        <v>1.44</v>
      </c>
      <c r="DM40" s="68">
        <f>IF(DJ58="",NA(),DN22)</f>
        <v>6.15</v>
      </c>
      <c r="DN40" s="91">
        <f>IF(DJ58="",NA(),DN58)</f>
        <v>1.6800000000000002</v>
      </c>
      <c r="DQ40" s="65" t="s">
        <v>9</v>
      </c>
      <c r="DR40" s="93"/>
      <c r="FN40" s="50"/>
      <c r="FO40" s="47"/>
      <c r="FP40" s="47"/>
      <c r="FQ40" s="47"/>
      <c r="FR40" s="47"/>
    </row>
    <row r="41" spans="2:174" ht="11.25" customHeight="1">
      <c r="B41" s="87"/>
      <c r="C41" s="12"/>
      <c r="D41" s="12"/>
      <c r="E41" s="12"/>
      <c r="F41" s="372"/>
      <c r="G41" s="373"/>
      <c r="H41" s="374"/>
      <c r="I41" s="373"/>
      <c r="J41" s="13"/>
      <c r="K41" s="82">
        <f t="shared" si="3"/>
        <v>9.5000000000000005E-6</v>
      </c>
      <c r="X41" s="84">
        <f t="shared" si="4"/>
        <v>9.5000000000000005E-6</v>
      </c>
      <c r="Y41" s="84"/>
      <c r="AB41" s="84"/>
      <c r="AH41" s="84">
        <f t="shared" si="5"/>
        <v>9.5000000000000005E-6</v>
      </c>
      <c r="BA41" s="137"/>
      <c r="BB41" s="172"/>
      <c r="BC41" s="173"/>
      <c r="BD41" s="174"/>
      <c r="BE41" s="173"/>
      <c r="BF41" s="88"/>
      <c r="BH41" s="137"/>
      <c r="BI41" s="172"/>
      <c r="BJ41" s="173"/>
      <c r="BK41" s="174"/>
      <c r="BL41" s="173"/>
      <c r="BM41" s="88"/>
      <c r="BO41" s="137"/>
      <c r="BP41" s="172"/>
      <c r="BQ41" s="173"/>
      <c r="BR41" s="174"/>
      <c r="BS41" s="173"/>
      <c r="BT41" s="88"/>
      <c r="CW41" s="260" t="s">
        <v>415</v>
      </c>
      <c r="CX41" s="74">
        <f>IF(DL5,$DL$8/SQRT(G12),"")</f>
        <v>0.2753891080619581</v>
      </c>
      <c r="CY41" s="74">
        <f>IF(DM5,$DL$8/SQRT(G20),"")</f>
        <v>0.2753891080619581</v>
      </c>
      <c r="CZ41" s="74">
        <f>IF(DN5,$DL$8/SQRT(H12),"")</f>
        <v>0.28084288716776729</v>
      </c>
      <c r="DA41" s="74">
        <f>IF(DO5,$DL$8/SQRT(H20),"")</f>
        <v>0.2753891080619581</v>
      </c>
      <c r="DB41" s="389"/>
      <c r="DC41" s="390"/>
      <c r="DD41" s="5" t="s">
        <v>416</v>
      </c>
      <c r="DF41" s="19"/>
      <c r="DJ41" s="67"/>
      <c r="DK41" s="68">
        <f>IF(DE58="",NA(),DH48)</f>
        <v>6.6</v>
      </c>
      <c r="DL41" s="68">
        <f>IF(DE58="",NA(),DI58)</f>
        <v>1.44</v>
      </c>
      <c r="DM41" s="68">
        <f>IF(DJ58="",NA(),DH47)</f>
        <v>7.2</v>
      </c>
      <c r="DN41" s="91">
        <f>IF(DJ58="",NA(),DN58)</f>
        <v>1.6800000000000002</v>
      </c>
      <c r="DQ41" s="67">
        <v>26</v>
      </c>
      <c r="DR41" s="91">
        <v>25</v>
      </c>
      <c r="FN41" s="50"/>
      <c r="FO41" s="47"/>
      <c r="FP41" s="47"/>
      <c r="FQ41" s="47"/>
      <c r="FR41" s="47"/>
    </row>
    <row r="42" spans="2:174" ht="11.25" customHeight="1">
      <c r="B42" s="87"/>
      <c r="C42" s="12"/>
      <c r="D42" s="12"/>
      <c r="E42" s="12"/>
      <c r="F42" s="372"/>
      <c r="G42" s="373"/>
      <c r="H42" s="374"/>
      <c r="I42" s="373"/>
      <c r="J42" s="13"/>
      <c r="K42" s="82">
        <f t="shared" si="3"/>
        <v>9.5000000000000005E-6</v>
      </c>
      <c r="X42" s="84">
        <f t="shared" si="4"/>
        <v>9.5000000000000005E-6</v>
      </c>
      <c r="Y42" s="84"/>
      <c r="AB42" s="84"/>
      <c r="AH42" s="84">
        <f t="shared" si="5"/>
        <v>9.5000000000000005E-6</v>
      </c>
      <c r="BA42" s="137"/>
      <c r="BB42" s="172"/>
      <c r="BC42" s="173"/>
      <c r="BD42" s="174"/>
      <c r="BE42" s="173"/>
      <c r="BF42" s="88"/>
      <c r="BH42" s="137"/>
      <c r="BI42" s="172"/>
      <c r="BJ42" s="173"/>
      <c r="BK42" s="174"/>
      <c r="BL42" s="173"/>
      <c r="BM42" s="88"/>
      <c r="BO42" s="137"/>
      <c r="BP42" s="172"/>
      <c r="BQ42" s="173"/>
      <c r="BR42" s="174"/>
      <c r="BS42" s="173"/>
      <c r="BT42" s="88"/>
      <c r="CW42" s="260" t="s">
        <v>965</v>
      </c>
      <c r="CX42" s="236">
        <f>IF(DL5,TINV(1-$H$6/100,CX45)*$DL$8/SQRT(G12),"")</f>
        <v>0.54643172235442405</v>
      </c>
      <c r="CY42" s="151">
        <f>IF(DM5,TINV(1-$H$6/100,CY45)*$DL$8/SQRT(G20),"")</f>
        <v>0.54643172235442405</v>
      </c>
      <c r="CZ42" s="150">
        <f>IF(DN5,TINV(1-$H$6/100,CZ45)*$DL$8/SQRT(H12),"")</f>
        <v>0.55725320302626458</v>
      </c>
      <c r="DA42" s="151">
        <f>IF(DO5,TINV(1-$H$6/100,DA45)*$DL$8/SQRT(H20),"")</f>
        <v>0.54643172235442405</v>
      </c>
      <c r="DB42" s="408"/>
      <c r="DC42" s="409"/>
      <c r="DD42" s="5">
        <f>SQRT(CX41^2+CY41^2+CZ41^2+DA41^2)</f>
        <v>0.55352525668681984</v>
      </c>
      <c r="DF42" s="19" t="s">
        <v>423</v>
      </c>
      <c r="DJ42" s="67" t="s">
        <v>1117</v>
      </c>
      <c r="DK42" s="68"/>
      <c r="DL42" s="118">
        <v>8.3000000000000007</v>
      </c>
      <c r="DM42" s="68" t="s">
        <v>1280</v>
      </c>
      <c r="DN42" s="91"/>
      <c r="DQ42" s="67">
        <v>1.5</v>
      </c>
      <c r="DR42" s="91">
        <v>1.38</v>
      </c>
      <c r="FN42" s="50"/>
      <c r="FO42" s="47"/>
      <c r="FP42" s="47"/>
      <c r="FQ42" s="47"/>
      <c r="FR42" s="47"/>
    </row>
    <row r="43" spans="2:174" ht="11.25" customHeight="1">
      <c r="B43" s="87"/>
      <c r="C43" s="12"/>
      <c r="D43" s="12"/>
      <c r="E43" s="12"/>
      <c r="F43" s="372"/>
      <c r="G43" s="373"/>
      <c r="H43" s="374"/>
      <c r="I43" s="373"/>
      <c r="J43" s="13"/>
      <c r="K43" s="82">
        <f t="shared" si="3"/>
        <v>9.5000000000000005E-6</v>
      </c>
      <c r="X43" s="84">
        <f t="shared" si="4"/>
        <v>9.5000000000000005E-6</v>
      </c>
      <c r="Y43" s="84"/>
      <c r="AB43" s="84"/>
      <c r="AH43" s="84">
        <f t="shared" si="5"/>
        <v>9.5000000000000005E-6</v>
      </c>
      <c r="BA43" s="137"/>
      <c r="BB43" s="172"/>
      <c r="BC43" s="173"/>
      <c r="BD43" s="174"/>
      <c r="BE43" s="173"/>
      <c r="BF43" s="88"/>
      <c r="BH43" s="137"/>
      <c r="BI43" s="172"/>
      <c r="BJ43" s="173"/>
      <c r="BK43" s="174"/>
      <c r="BL43" s="173"/>
      <c r="BM43" s="88"/>
      <c r="BO43" s="137"/>
      <c r="BP43" s="172"/>
      <c r="BQ43" s="173"/>
      <c r="BR43" s="174"/>
      <c r="BS43" s="173"/>
      <c r="BT43" s="88"/>
      <c r="CW43" s="260" t="s">
        <v>1549</v>
      </c>
      <c r="CX43" s="152">
        <f>IF(DL5,G13+CX42,"")</f>
        <v>2.0464317223544239</v>
      </c>
      <c r="CY43" s="153">
        <f>IF(DM5,G21+CY42,"")</f>
        <v>1.6864317223544241</v>
      </c>
      <c r="CZ43" s="113">
        <f>IF(DN5,H13+CZ42,"")</f>
        <v>1.9372532030262644</v>
      </c>
      <c r="DA43" s="153">
        <f>IF(DO5,H21+DA42,"")</f>
        <v>2.7664317223544241</v>
      </c>
      <c r="DB43" s="410"/>
      <c r="DC43" s="411"/>
      <c r="DD43" s="5" t="s">
        <v>417</v>
      </c>
      <c r="DF43" s="19" t="e">
        <f>TDIST(ABS(DD40)/(DD42),CW34,2)</f>
        <v>#N/A</v>
      </c>
      <c r="DJ43" s="69"/>
      <c r="DK43" s="70">
        <f>IF(OR(DI58="",DN58=""),NA(),DL42)</f>
        <v>8.3000000000000007</v>
      </c>
      <c r="DL43" s="70">
        <f>IF(OR(DI58="",DA9,DN58=""),NA(),DN58)</f>
        <v>1.6800000000000002</v>
      </c>
      <c r="DM43" s="70">
        <f>IF(OR(DA9,DO64=""),NA(),DO64)</f>
        <v>0.54915708450968259</v>
      </c>
      <c r="DN43" s="97"/>
      <c r="DQ43" s="67">
        <v>1.38</v>
      </c>
      <c r="DR43" s="91">
        <v>1.5</v>
      </c>
      <c r="FN43" s="50"/>
      <c r="FO43" s="47"/>
      <c r="FP43" s="47"/>
      <c r="FQ43" s="47"/>
      <c r="FR43" s="47"/>
    </row>
    <row r="44" spans="2:174" ht="11.25" customHeight="1">
      <c r="B44" s="87"/>
      <c r="C44" s="12"/>
      <c r="D44" s="12"/>
      <c r="E44" s="12"/>
      <c r="F44" s="372"/>
      <c r="G44" s="373"/>
      <c r="H44" s="374"/>
      <c r="I44" s="373"/>
      <c r="J44" s="13"/>
      <c r="K44" s="82">
        <f t="shared" si="3"/>
        <v>9.5000000000000005E-6</v>
      </c>
      <c r="X44" s="84">
        <f t="shared" si="4"/>
        <v>9.5000000000000005E-6</v>
      </c>
      <c r="Y44" s="84"/>
      <c r="AB44" s="84"/>
      <c r="AH44" s="84">
        <f t="shared" si="5"/>
        <v>9.5000000000000005E-6</v>
      </c>
      <c r="BA44" s="137"/>
      <c r="BB44" s="172"/>
      <c r="BC44" s="173"/>
      <c r="BD44" s="174"/>
      <c r="BE44" s="173"/>
      <c r="BF44" s="88"/>
      <c r="BH44" s="137"/>
      <c r="BI44" s="172"/>
      <c r="BJ44" s="173"/>
      <c r="BK44" s="174"/>
      <c r="BL44" s="173"/>
      <c r="BM44" s="88"/>
      <c r="BO44" s="137"/>
      <c r="BP44" s="172"/>
      <c r="BQ44" s="173"/>
      <c r="BR44" s="174"/>
      <c r="BS44" s="173"/>
      <c r="BT44" s="88"/>
      <c r="CW44" s="260" t="s">
        <v>1550</v>
      </c>
      <c r="CX44" s="154">
        <f>IF(DL5,G13-CX42,"")</f>
        <v>0.95356827764557595</v>
      </c>
      <c r="CY44" s="155">
        <f>IF(DM5,G21-CY42,"")</f>
        <v>0.59356827764557585</v>
      </c>
      <c r="CZ44" s="156">
        <f>IF(DN5,H13-CZ42,"")</f>
        <v>0.82274679697373532</v>
      </c>
      <c r="DA44" s="155">
        <f>IF(DO5,H21-DA42,"")</f>
        <v>1.6735682776455763</v>
      </c>
      <c r="DB44" s="412"/>
      <c r="DC44" s="413"/>
      <c r="DD44" s="5">
        <f>TINV(1-$H$6/100,CX45)*DD42</f>
        <v>1.0983141690193652</v>
      </c>
      <c r="DQ44" s="67">
        <v>26</v>
      </c>
      <c r="DR44" s="91">
        <v>26</v>
      </c>
      <c r="FN44" s="50"/>
      <c r="FO44" s="47"/>
      <c r="FP44" s="47"/>
      <c r="FQ44" s="47"/>
      <c r="FR44" s="47"/>
    </row>
    <row r="45" spans="2:174" ht="11.25" customHeight="1">
      <c r="B45" s="87"/>
      <c r="C45" s="12"/>
      <c r="D45" s="12"/>
      <c r="E45" s="12"/>
      <c r="F45" s="372"/>
      <c r="G45" s="373"/>
      <c r="H45" s="374"/>
      <c r="I45" s="373"/>
      <c r="J45" s="13"/>
      <c r="K45" s="82">
        <f t="shared" si="3"/>
        <v>9.5000000000000005E-6</v>
      </c>
      <c r="X45" s="84">
        <f t="shared" si="4"/>
        <v>9.5000000000000005E-6</v>
      </c>
      <c r="Y45" s="84"/>
      <c r="AB45" s="84"/>
      <c r="AH45" s="84">
        <f t="shared" si="5"/>
        <v>9.5000000000000005E-6</v>
      </c>
      <c r="BA45" s="137"/>
      <c r="BB45" s="172"/>
      <c r="BC45" s="173"/>
      <c r="BD45" s="174"/>
      <c r="BE45" s="173"/>
      <c r="BF45" s="88"/>
      <c r="BH45" s="137"/>
      <c r="BI45" s="172"/>
      <c r="BJ45" s="173"/>
      <c r="BK45" s="174"/>
      <c r="BL45" s="173"/>
      <c r="BM45" s="88"/>
      <c r="BO45" s="137"/>
      <c r="BP45" s="172"/>
      <c r="BQ45" s="173"/>
      <c r="BR45" s="174"/>
      <c r="BS45" s="173"/>
      <c r="BT45" s="88"/>
      <c r="CU45" s="65" t="s">
        <v>1015</v>
      </c>
      <c r="CV45" s="93"/>
      <c r="CW45" s="261" t="s">
        <v>1547</v>
      </c>
      <c r="CX45" s="237">
        <f>IF(DL5,SUM($CX$35:$DC$35),"")</f>
        <v>99</v>
      </c>
      <c r="CY45" s="158">
        <f>IF(DM5,SUM($CX$35:$DC$35),"")</f>
        <v>99</v>
      </c>
      <c r="CZ45" s="157">
        <f>IF(DN5,SUM($CX$35:$DC$35),"")</f>
        <v>99</v>
      </c>
      <c r="DA45" s="158">
        <f>IF(DO5,SUM($CX$35:$DC$35),"")</f>
        <v>99</v>
      </c>
      <c r="DB45" s="414"/>
      <c r="DC45" s="415"/>
      <c r="DD45" s="5" t="s">
        <v>1538</v>
      </c>
      <c r="DE45" s="5" t="s">
        <v>1537</v>
      </c>
      <c r="DG45" s="65" t="s">
        <v>1103</v>
      </c>
      <c r="DH45" s="66"/>
      <c r="DI45" s="66"/>
      <c r="DJ45" s="66"/>
      <c r="DK45" s="66"/>
      <c r="DL45" s="66"/>
      <c r="DM45" s="66"/>
      <c r="DN45" s="66"/>
      <c r="DO45" s="93"/>
      <c r="DQ45" s="67">
        <v>1.1399999999999999</v>
      </c>
      <c r="DR45" s="91">
        <v>2.2200000000000002</v>
      </c>
      <c r="FN45" s="50"/>
      <c r="FO45" s="47"/>
      <c r="FP45" s="47"/>
      <c r="FQ45" s="47"/>
      <c r="FR45" s="47"/>
    </row>
    <row r="46" spans="2:174" ht="11.25" customHeight="1">
      <c r="B46" s="87"/>
      <c r="C46" s="12"/>
      <c r="D46" s="12"/>
      <c r="E46" s="12"/>
      <c r="F46" s="372"/>
      <c r="G46" s="373"/>
      <c r="H46" s="374"/>
      <c r="I46" s="373"/>
      <c r="J46" s="13"/>
      <c r="K46" s="82">
        <f t="shared" si="3"/>
        <v>9.5000000000000005E-6</v>
      </c>
      <c r="X46" s="84">
        <f t="shared" si="4"/>
        <v>9.5000000000000005E-6</v>
      </c>
      <c r="Y46" s="84"/>
      <c r="AB46" s="84"/>
      <c r="AH46" s="84">
        <f t="shared" si="5"/>
        <v>9.5000000000000005E-6</v>
      </c>
      <c r="BA46" s="137"/>
      <c r="BB46" s="172"/>
      <c r="BC46" s="173"/>
      <c r="BD46" s="174"/>
      <c r="BE46" s="173"/>
      <c r="BF46" s="88"/>
      <c r="BH46" s="137"/>
      <c r="BI46" s="172"/>
      <c r="BJ46" s="173"/>
      <c r="BK46" s="174"/>
      <c r="BL46" s="173"/>
      <c r="BM46" s="88"/>
      <c r="BO46" s="137"/>
      <c r="BP46" s="172"/>
      <c r="BQ46" s="173"/>
      <c r="BR46" s="174"/>
      <c r="BS46" s="173"/>
      <c r="BT46" s="88"/>
      <c r="CU46" s="67" t="s">
        <v>1016</v>
      </c>
      <c r="CV46" s="91"/>
      <c r="CW46" s="68" t="s">
        <v>1091</v>
      </c>
      <c r="CX46" s="68" t="b">
        <f>DC2</f>
        <v>0</v>
      </c>
      <c r="CY46" s="68" t="b">
        <f>DC3</f>
        <v>1</v>
      </c>
      <c r="CZ46" s="68" t="b">
        <f>DC4</f>
        <v>0</v>
      </c>
      <c r="DA46" s="68" t="b">
        <f>DC5</f>
        <v>1</v>
      </c>
      <c r="DB46" s="389" t="b">
        <f>DC6</f>
        <v>0</v>
      </c>
      <c r="DC46" s="390" t="b">
        <f>DC7</f>
        <v>0</v>
      </c>
      <c r="DD46" s="5">
        <f>DE16-DD44</f>
        <v>1.121685830980635</v>
      </c>
      <c r="DE46" s="5">
        <f>DE16+DD44</f>
        <v>3.3183141690193656</v>
      </c>
      <c r="DG46" s="67"/>
      <c r="DH46" s="267" t="s">
        <v>1184</v>
      </c>
      <c r="DI46" s="267" t="s">
        <v>600</v>
      </c>
      <c r="DJ46" s="267" t="s">
        <v>1280</v>
      </c>
      <c r="DK46" s="267"/>
      <c r="DL46" s="267" t="s">
        <v>1104</v>
      </c>
      <c r="DM46" s="267" t="s">
        <v>1184</v>
      </c>
      <c r="DN46" s="267" t="s">
        <v>600</v>
      </c>
      <c r="DO46" s="268" t="s">
        <v>1280</v>
      </c>
      <c r="DQ46" s="69">
        <v>0.96</v>
      </c>
      <c r="DR46" s="97">
        <v>1.68</v>
      </c>
      <c r="FN46" s="50"/>
      <c r="FO46" s="47"/>
      <c r="FP46" s="47"/>
      <c r="FQ46" s="47"/>
      <c r="FR46" s="47"/>
    </row>
    <row r="47" spans="2:174" ht="11.25" customHeight="1">
      <c r="B47" s="87"/>
      <c r="C47" s="12"/>
      <c r="D47" s="12"/>
      <c r="E47" s="12"/>
      <c r="F47" s="372"/>
      <c r="G47" s="373"/>
      <c r="H47" s="374"/>
      <c r="I47" s="373"/>
      <c r="J47" s="13"/>
      <c r="X47" s="84"/>
      <c r="AB47" s="84"/>
      <c r="AH47" s="84"/>
      <c r="BA47" s="137"/>
      <c r="BB47" s="172"/>
      <c r="BC47" s="173"/>
      <c r="BD47" s="174"/>
      <c r="BE47" s="173"/>
      <c r="BF47" s="88"/>
      <c r="BH47" s="137"/>
      <c r="BI47" s="172"/>
      <c r="BJ47" s="173"/>
      <c r="BK47" s="174"/>
      <c r="BL47" s="173"/>
      <c r="BM47" s="88"/>
      <c r="BO47" s="137"/>
      <c r="BP47" s="172"/>
      <c r="BQ47" s="173"/>
      <c r="BR47" s="174"/>
      <c r="BS47" s="173"/>
      <c r="BT47" s="88"/>
      <c r="CU47" s="67">
        <v>0</v>
      </c>
      <c r="CV47" s="91"/>
      <c r="CW47" s="70" t="s">
        <v>1093</v>
      </c>
      <c r="CX47" s="70" t="b">
        <f>DB2</f>
        <v>1</v>
      </c>
      <c r="CY47" s="70" t="b">
        <f>DB3</f>
        <v>0</v>
      </c>
      <c r="CZ47" s="70" t="b">
        <f>DB4</f>
        <v>1</v>
      </c>
      <c r="DA47" s="70" t="b">
        <f>DB5</f>
        <v>0</v>
      </c>
      <c r="DB47" s="391" t="b">
        <f>DB6</f>
        <v>0</v>
      </c>
      <c r="DC47" s="392" t="b">
        <f>DB7</f>
        <v>0</v>
      </c>
      <c r="DD47" s="5" t="e">
        <f>DD40-DD44</f>
        <v>#N/A</v>
      </c>
      <c r="DE47" s="5" t="e">
        <f>DD40+DD44</f>
        <v>#N/A</v>
      </c>
      <c r="DG47" s="67" t="s">
        <v>1091</v>
      </c>
      <c r="DH47" s="118">
        <v>7.2</v>
      </c>
      <c r="DI47" s="68">
        <f>IF(OR(DA9,DN58=""),NA(),DN58)</f>
        <v>1.6800000000000002</v>
      </c>
      <c r="DJ47" s="68">
        <f>IF(OR(NOT(DF11),DA9,DM64=""),NA(),DM64)</f>
        <v>0.38638557633225806</v>
      </c>
      <c r="DK47" s="68"/>
      <c r="DL47" s="68"/>
      <c r="DM47" s="118">
        <v>8.1</v>
      </c>
      <c r="DN47" s="68">
        <f>IF(OR(DA9,DO58=""),NA(),DO58)</f>
        <v>0.24000000000000021</v>
      </c>
      <c r="DO47" s="91" t="e">
        <f ca="1">IF(of(DA9,DO64=""),NA(),DO64)</f>
        <v>#NAME?</v>
      </c>
      <c r="FN47" s="50"/>
      <c r="FO47" s="47"/>
      <c r="FP47" s="47"/>
      <c r="FQ47" s="47"/>
      <c r="FR47" s="47"/>
    </row>
    <row r="48" spans="2:174" ht="11.25" customHeight="1">
      <c r="B48" s="137"/>
      <c r="C48" s="383"/>
      <c r="D48" s="383"/>
      <c r="E48" s="383"/>
      <c r="F48" s="372"/>
      <c r="G48" s="373"/>
      <c r="H48" s="374"/>
      <c r="I48" s="373"/>
      <c r="J48" s="88"/>
      <c r="AB48" s="84"/>
      <c r="BA48" s="137"/>
      <c r="BB48" s="172"/>
      <c r="BC48" s="173"/>
      <c r="BD48" s="174"/>
      <c r="BE48" s="173"/>
      <c r="BF48" s="88"/>
      <c r="BH48" s="137"/>
      <c r="BI48" s="172"/>
      <c r="BJ48" s="173"/>
      <c r="BK48" s="174"/>
      <c r="BL48" s="173"/>
      <c r="BM48" s="88"/>
      <c r="BO48" s="137"/>
      <c r="BP48" s="172"/>
      <c r="BQ48" s="173"/>
      <c r="BR48" s="174"/>
      <c r="BS48" s="173"/>
      <c r="BT48" s="88"/>
      <c r="CU48" s="67">
        <f t="shared" ref="CU48:CU68" si="21">DR18-$CU$47</f>
        <v>8.6999999999999993</v>
      </c>
      <c r="CV48" s="91" t="e">
        <f t="shared" ref="CV48:CV68" si="22">DS18</f>
        <v>#N/A</v>
      </c>
      <c r="DG48" s="69" t="s">
        <v>1093</v>
      </c>
      <c r="DH48" s="269">
        <v>6.6</v>
      </c>
      <c r="DI48" s="70">
        <f>IF(OR(DA9,DI58=""),NA(),DI58)</f>
        <v>1.44</v>
      </c>
      <c r="DJ48" s="70">
        <f>IF(OR(NOT(DF11),DA9,DH64=""),NA(),DH64)</f>
        <v>0.39023030362795175</v>
      </c>
      <c r="DK48" s="70"/>
      <c r="DL48" s="70"/>
      <c r="DM48" s="70"/>
      <c r="DN48" s="70"/>
      <c r="DO48" s="97"/>
      <c r="FN48" s="50"/>
      <c r="FO48" s="47"/>
      <c r="FP48" s="47"/>
      <c r="FQ48" s="47"/>
      <c r="FR48" s="47"/>
    </row>
    <row r="49" spans="2:174" ht="11.25" customHeight="1">
      <c r="B49" s="137"/>
      <c r="C49" s="383"/>
      <c r="D49" s="383"/>
      <c r="E49" s="383"/>
      <c r="F49" s="372"/>
      <c r="G49" s="373"/>
      <c r="H49" s="374"/>
      <c r="I49" s="373"/>
      <c r="J49" s="88"/>
      <c r="BA49" s="137"/>
      <c r="BB49" s="172"/>
      <c r="BC49" s="173"/>
      <c r="BD49" s="174"/>
      <c r="BE49" s="173"/>
      <c r="BF49" s="88"/>
      <c r="BH49" s="137"/>
      <c r="BI49" s="172"/>
      <c r="BJ49" s="173"/>
      <c r="BK49" s="174"/>
      <c r="BL49" s="173"/>
      <c r="BM49" s="88"/>
      <c r="BO49" s="137"/>
      <c r="BP49" s="172"/>
      <c r="BQ49" s="173"/>
      <c r="BR49" s="174"/>
      <c r="BS49" s="173"/>
      <c r="BT49" s="88"/>
      <c r="CU49" s="67">
        <f t="shared" si="21"/>
        <v>8.6999999999999993</v>
      </c>
      <c r="CV49" s="91">
        <f t="shared" si="22"/>
        <v>3.24</v>
      </c>
      <c r="CW49" s="5" t="s">
        <v>188</v>
      </c>
      <c r="FN49" s="50"/>
      <c r="FO49" s="47"/>
      <c r="FP49" s="47"/>
      <c r="FQ49" s="47"/>
      <c r="FR49" s="47"/>
    </row>
    <row r="50" spans="2:174" ht="11.25" customHeight="1">
      <c r="B50" s="137"/>
      <c r="C50" s="383"/>
      <c r="D50" s="383"/>
      <c r="E50" s="383"/>
      <c r="F50" s="372"/>
      <c r="G50" s="373"/>
      <c r="H50" s="374"/>
      <c r="I50" s="373"/>
      <c r="J50" s="88"/>
      <c r="BA50" s="137"/>
      <c r="BB50" s="172"/>
      <c r="BC50" s="173"/>
      <c r="BD50" s="174"/>
      <c r="BE50" s="173"/>
      <c r="BF50" s="88"/>
      <c r="BH50" s="137"/>
      <c r="BI50" s="172"/>
      <c r="BJ50" s="173"/>
      <c r="BK50" s="174"/>
      <c r="BL50" s="173"/>
      <c r="BM50" s="88"/>
      <c r="BO50" s="137"/>
      <c r="BP50" s="172"/>
      <c r="BQ50" s="173"/>
      <c r="BR50" s="174"/>
      <c r="BS50" s="173"/>
      <c r="BT50" s="88"/>
      <c r="CU50" s="67">
        <f t="shared" si="21"/>
        <v>8.6999999999999993</v>
      </c>
      <c r="CV50" s="91">
        <f t="shared" si="22"/>
        <v>3.04</v>
      </c>
      <c r="CW50" s="5">
        <f>IF(dod,999999999999,-999999999999)</f>
        <v>-999999999999</v>
      </c>
      <c r="CY50" s="65" t="s">
        <v>479</v>
      </c>
      <c r="CZ50" s="66"/>
      <c r="DA50" s="66"/>
      <c r="DB50" s="66"/>
      <c r="DC50" s="66"/>
      <c r="DD50" s="66"/>
      <c r="DE50" s="66" t="s">
        <v>481</v>
      </c>
      <c r="DF50" s="66"/>
      <c r="DG50" s="66"/>
      <c r="DH50" s="66"/>
      <c r="DI50" s="66"/>
      <c r="DJ50" s="66" t="s">
        <v>480</v>
      </c>
      <c r="DK50" s="66"/>
      <c r="DL50" s="66"/>
      <c r="DM50" s="66"/>
      <c r="DN50" s="66"/>
      <c r="DO50" s="358" t="s">
        <v>1104</v>
      </c>
      <c r="FN50" s="50"/>
      <c r="FO50" s="47"/>
      <c r="FP50" s="47"/>
      <c r="FQ50" s="47"/>
      <c r="FR50" s="47"/>
    </row>
    <row r="51" spans="2:174" ht="11.25" customHeight="1">
      <c r="B51" s="137"/>
      <c r="C51" s="383"/>
      <c r="D51" s="383"/>
      <c r="E51" s="383"/>
      <c r="F51" s="372"/>
      <c r="G51" s="373"/>
      <c r="H51" s="374"/>
      <c r="I51" s="373"/>
      <c r="J51" s="88"/>
      <c r="BA51" s="137"/>
      <c r="BB51" s="172"/>
      <c r="BC51" s="173"/>
      <c r="BD51" s="174"/>
      <c r="BE51" s="173"/>
      <c r="BF51" s="88"/>
      <c r="BH51" s="137"/>
      <c r="BI51" s="172"/>
      <c r="BJ51" s="173"/>
      <c r="BK51" s="174"/>
      <c r="BL51" s="173"/>
      <c r="BM51" s="88"/>
      <c r="BO51" s="137"/>
      <c r="BP51" s="172"/>
      <c r="BQ51" s="173"/>
      <c r="BR51" s="174"/>
      <c r="BS51" s="173"/>
      <c r="BT51" s="88"/>
      <c r="CU51" s="67">
        <f t="shared" si="21"/>
        <v>8.6999999999999993</v>
      </c>
      <c r="CV51" s="91">
        <f t="shared" si="22"/>
        <v>2.84</v>
      </c>
      <c r="CY51" s="65" t="s">
        <v>1094</v>
      </c>
      <c r="CZ51" s="66" t="s">
        <v>1523</v>
      </c>
      <c r="DA51" s="66" t="s">
        <v>1524</v>
      </c>
      <c r="DB51" s="93" t="s">
        <v>1280</v>
      </c>
      <c r="DC51" s="65" t="s">
        <v>1093</v>
      </c>
      <c r="DD51" s="93" t="s">
        <v>1091</v>
      </c>
      <c r="DE51" s="65" t="s">
        <v>1523</v>
      </c>
      <c r="DF51" s="66" t="s">
        <v>1097</v>
      </c>
      <c r="DG51" s="66" t="s">
        <v>1099</v>
      </c>
      <c r="DH51" s="66" t="s">
        <v>1100</v>
      </c>
      <c r="DI51" s="10" t="s">
        <v>1524</v>
      </c>
      <c r="DJ51" s="65" t="s">
        <v>1523</v>
      </c>
      <c r="DK51" s="66" t="s">
        <v>1097</v>
      </c>
      <c r="DL51" s="66" t="s">
        <v>1099</v>
      </c>
      <c r="DM51" s="66" t="s">
        <v>1100</v>
      </c>
      <c r="DN51" s="10" t="s">
        <v>1524</v>
      </c>
      <c r="DO51" s="91" t="s">
        <v>1111</v>
      </c>
      <c r="FN51" s="50"/>
      <c r="FO51" s="47"/>
      <c r="FP51" s="47"/>
      <c r="FQ51" s="47"/>
      <c r="FR51" s="47"/>
    </row>
    <row r="52" spans="2:174" ht="11.25" customHeight="1">
      <c r="B52" s="137"/>
      <c r="C52" s="383"/>
      <c r="D52" s="383"/>
      <c r="E52" s="383"/>
      <c r="F52" s="372"/>
      <c r="G52" s="373"/>
      <c r="H52" s="374"/>
      <c r="I52" s="373"/>
      <c r="J52" s="88"/>
      <c r="BA52" s="137"/>
      <c r="BB52" s="172"/>
      <c r="BC52" s="173"/>
      <c r="BD52" s="174"/>
      <c r="BE52" s="173"/>
      <c r="BF52" s="88"/>
      <c r="BH52" s="137"/>
      <c r="BI52" s="172"/>
      <c r="BJ52" s="173"/>
      <c r="BK52" s="174"/>
      <c r="BL52" s="173"/>
      <c r="BM52" s="88"/>
      <c r="BO52" s="137"/>
      <c r="BP52" s="172"/>
      <c r="BQ52" s="173"/>
      <c r="BR52" s="174"/>
      <c r="BS52" s="173"/>
      <c r="BT52" s="88"/>
      <c r="CU52" s="67">
        <f t="shared" si="21"/>
        <v>8.6999999999999993</v>
      </c>
      <c r="CV52" s="91">
        <f t="shared" si="22"/>
        <v>2.64</v>
      </c>
      <c r="CY52" s="67">
        <v>1</v>
      </c>
      <c r="CZ52" s="68">
        <f>IF(G12="","",G12)</f>
        <v>26</v>
      </c>
      <c r="DA52" s="68">
        <f>IF(G13="","",G13)</f>
        <v>1.5</v>
      </c>
      <c r="DB52" s="91">
        <f>IF(CX42="","",CX42)</f>
        <v>0.54643172235442405</v>
      </c>
      <c r="DC52" s="67" t="b">
        <f t="shared" ref="DC52:DC57" si="23">AND($DB$10,DB2)</f>
        <v>1</v>
      </c>
      <c r="DD52" s="91" t="b">
        <f t="shared" ref="DD52:DD57" si="24">AND($DC$10,DC2)</f>
        <v>0</v>
      </c>
      <c r="DE52" s="67">
        <f t="shared" ref="DE52:DE57" si="25">IF(AND($DB$10,$DC52),CZ52,"")</f>
        <v>26</v>
      </c>
      <c r="DF52" s="68">
        <f t="shared" ref="DF52:DF57" si="26">IF(DE52="","",1/$DE$60)</f>
        <v>0.5</v>
      </c>
      <c r="DG52" s="68">
        <f t="shared" ref="DG52:DG57" si="27">IF(DF52="","",DF52^2)</f>
        <v>0.25</v>
      </c>
      <c r="DH52" s="68">
        <f t="shared" ref="DH52:DH57" si="28">IF(DE52="","",DG52/DE52)</f>
        <v>9.6153846153846159E-3</v>
      </c>
      <c r="DI52" s="91">
        <f t="shared" ref="DI52:DI57" si="29">IF(AND($DB$10,$DC52),DA52,"")</f>
        <v>1.5</v>
      </c>
      <c r="DJ52" s="67" t="str">
        <f t="shared" ref="DJ52:DJ57" si="30">IF(AND($DC$10,$DD52),CZ52,"")</f>
        <v/>
      </c>
      <c r="DK52" s="68" t="str">
        <f t="shared" ref="DK52:DK57" si="31">IF(DJ52="","",1/$DJ$60)</f>
        <v/>
      </c>
      <c r="DL52" s="68" t="str">
        <f t="shared" ref="DL52:DL57" si="32">IF(DK52="","",DK52^2)</f>
        <v/>
      </c>
      <c r="DM52" s="68" t="str">
        <f t="shared" ref="DM52:DM57" si="33">IF(DJ52="","",DL52/DJ52)</f>
        <v/>
      </c>
      <c r="DN52" s="91" t="str">
        <f t="shared" ref="DN52:DN57" si="34">IF(AND($DC$10,$DD52),DA52,"")</f>
        <v/>
      </c>
      <c r="DO52" s="91" t="s">
        <v>1112</v>
      </c>
      <c r="FN52" s="50"/>
      <c r="FO52" s="47"/>
      <c r="FP52" s="47"/>
      <c r="FQ52" s="47"/>
      <c r="FR52" s="47"/>
    </row>
    <row r="53" spans="2:174" ht="11.25" customHeight="1">
      <c r="B53" s="137"/>
      <c r="C53" s="383"/>
      <c r="D53" s="383"/>
      <c r="E53" s="383"/>
      <c r="F53" s="372"/>
      <c r="G53" s="373"/>
      <c r="H53" s="374"/>
      <c r="I53" s="373"/>
      <c r="J53" s="88"/>
      <c r="BA53" s="137"/>
      <c r="BB53" s="172"/>
      <c r="BC53" s="173"/>
      <c r="BD53" s="174"/>
      <c r="BE53" s="173"/>
      <c r="BF53" s="88"/>
      <c r="BH53" s="137"/>
      <c r="BI53" s="172"/>
      <c r="BJ53" s="173"/>
      <c r="BK53" s="174"/>
      <c r="BL53" s="173"/>
      <c r="BM53" s="88"/>
      <c r="BO53" s="137"/>
      <c r="BP53" s="172"/>
      <c r="BQ53" s="173"/>
      <c r="BR53" s="174"/>
      <c r="BS53" s="173"/>
      <c r="BT53" s="88"/>
      <c r="CU53" s="67">
        <f t="shared" si="21"/>
        <v>8.6999999999999993</v>
      </c>
      <c r="CV53" s="91">
        <f t="shared" si="22"/>
        <v>2.44</v>
      </c>
      <c r="CY53" s="67">
        <v>2</v>
      </c>
      <c r="CZ53" s="68">
        <f>IF(G20="","",G20)</f>
        <v>26</v>
      </c>
      <c r="DA53" s="68">
        <f>IF(G21="","",G21)</f>
        <v>1.1399999999999999</v>
      </c>
      <c r="DB53" s="91">
        <f>IF(CY42="","",CY42)</f>
        <v>0.54643172235442405</v>
      </c>
      <c r="DC53" s="67" t="b">
        <f t="shared" si="23"/>
        <v>0</v>
      </c>
      <c r="DD53" s="91" t="b">
        <f t="shared" si="24"/>
        <v>1</v>
      </c>
      <c r="DE53" s="67" t="str">
        <f t="shared" si="25"/>
        <v/>
      </c>
      <c r="DF53" s="68" t="str">
        <f t="shared" si="26"/>
        <v/>
      </c>
      <c r="DG53" s="68" t="str">
        <f t="shared" si="27"/>
        <v/>
      </c>
      <c r="DH53" s="68" t="str">
        <f t="shared" si="28"/>
        <v/>
      </c>
      <c r="DI53" s="91" t="str">
        <f t="shared" si="29"/>
        <v/>
      </c>
      <c r="DJ53" s="67">
        <f t="shared" si="30"/>
        <v>26</v>
      </c>
      <c r="DK53" s="68">
        <f t="shared" si="31"/>
        <v>0.5</v>
      </c>
      <c r="DL53" s="68">
        <f t="shared" si="32"/>
        <v>0.25</v>
      </c>
      <c r="DM53" s="68">
        <f t="shared" si="33"/>
        <v>9.6153846153846159E-3</v>
      </c>
      <c r="DN53" s="91">
        <f t="shared" si="34"/>
        <v>1.1399999999999999</v>
      </c>
      <c r="DO53" s="91"/>
      <c r="FN53" s="50"/>
      <c r="FO53" s="47"/>
      <c r="FP53" s="47"/>
      <c r="FQ53" s="47"/>
      <c r="FR53" s="47"/>
    </row>
    <row r="54" spans="2:174" ht="11.25" customHeight="1">
      <c r="B54" s="137"/>
      <c r="C54" s="383"/>
      <c r="D54" s="383"/>
      <c r="E54" s="383"/>
      <c r="F54" s="372"/>
      <c r="G54" s="373"/>
      <c r="H54" s="374"/>
      <c r="I54" s="373"/>
      <c r="J54" s="88"/>
      <c r="BA54" s="137"/>
      <c r="BB54" s="172"/>
      <c r="BC54" s="173"/>
      <c r="BD54" s="174"/>
      <c r="BE54" s="173"/>
      <c r="BF54" s="88"/>
      <c r="BH54" s="137"/>
      <c r="BI54" s="172"/>
      <c r="BJ54" s="173"/>
      <c r="BK54" s="174"/>
      <c r="BL54" s="173"/>
      <c r="BM54" s="88"/>
      <c r="BO54" s="137"/>
      <c r="BP54" s="172"/>
      <c r="BQ54" s="173"/>
      <c r="BR54" s="174"/>
      <c r="BS54" s="173"/>
      <c r="BT54" s="88"/>
      <c r="CU54" s="67">
        <f t="shared" si="21"/>
        <v>8.6999999999999993</v>
      </c>
      <c r="CV54" s="91">
        <f t="shared" si="22"/>
        <v>2.2400000000000002</v>
      </c>
      <c r="CY54" s="67">
        <v>3</v>
      </c>
      <c r="CZ54" s="68">
        <f>IF(H12="","",H12)</f>
        <v>25</v>
      </c>
      <c r="DA54" s="68">
        <f>IF(H13="","",H13)</f>
        <v>1.38</v>
      </c>
      <c r="DB54" s="91">
        <f>IF(CZ42="","",CZ42)</f>
        <v>0.55725320302626458</v>
      </c>
      <c r="DC54" s="67" t="b">
        <f t="shared" si="23"/>
        <v>1</v>
      </c>
      <c r="DD54" s="91" t="b">
        <f t="shared" si="24"/>
        <v>0</v>
      </c>
      <c r="DE54" s="67">
        <f t="shared" si="25"/>
        <v>25</v>
      </c>
      <c r="DF54" s="68">
        <f t="shared" si="26"/>
        <v>0.5</v>
      </c>
      <c r="DG54" s="68">
        <f t="shared" si="27"/>
        <v>0.25</v>
      </c>
      <c r="DH54" s="68">
        <f t="shared" si="28"/>
        <v>0.01</v>
      </c>
      <c r="DI54" s="91">
        <f t="shared" si="29"/>
        <v>1.38</v>
      </c>
      <c r="DJ54" s="67" t="str">
        <f t="shared" si="30"/>
        <v/>
      </c>
      <c r="DK54" s="68" t="str">
        <f t="shared" si="31"/>
        <v/>
      </c>
      <c r="DL54" s="68" t="str">
        <f t="shared" si="32"/>
        <v/>
      </c>
      <c r="DM54" s="68" t="str">
        <f t="shared" si="33"/>
        <v/>
      </c>
      <c r="DN54" s="91" t="str">
        <f t="shared" si="34"/>
        <v/>
      </c>
      <c r="DO54" s="91"/>
      <c r="FN54" s="50"/>
      <c r="FO54" s="47"/>
      <c r="FP54" s="47"/>
      <c r="FQ54" s="47"/>
      <c r="FR54" s="47"/>
    </row>
    <row r="55" spans="2:174" ht="11.25" customHeight="1">
      <c r="B55" s="137"/>
      <c r="C55" s="383"/>
      <c r="D55" s="383"/>
      <c r="E55" s="383"/>
      <c r="F55" s="372"/>
      <c r="G55" s="373"/>
      <c r="H55" s="374"/>
      <c r="I55" s="373"/>
      <c r="J55" s="88"/>
      <c r="BA55" s="137"/>
      <c r="BB55" s="172"/>
      <c r="BC55" s="173"/>
      <c r="BD55" s="174"/>
      <c r="BE55" s="173"/>
      <c r="BF55" s="88"/>
      <c r="BH55" s="137"/>
      <c r="BI55" s="172"/>
      <c r="BJ55" s="173"/>
      <c r="BK55" s="174"/>
      <c r="BL55" s="173"/>
      <c r="BM55" s="88"/>
      <c r="BO55" s="137"/>
      <c r="BP55" s="172"/>
      <c r="BQ55" s="173"/>
      <c r="BR55" s="174"/>
      <c r="BS55" s="173"/>
      <c r="BT55" s="88"/>
      <c r="CU55" s="67">
        <f t="shared" si="21"/>
        <v>8.6999999999999993</v>
      </c>
      <c r="CV55" s="91">
        <f t="shared" si="22"/>
        <v>2.04</v>
      </c>
      <c r="CY55" s="67">
        <v>4</v>
      </c>
      <c r="CZ55" s="68">
        <f>IF(H20="","",H20)</f>
        <v>26</v>
      </c>
      <c r="DA55" s="68">
        <f>IF(H21="","",H21)</f>
        <v>2.2200000000000002</v>
      </c>
      <c r="DB55" s="91">
        <f>IF(DA42="","",DA42)</f>
        <v>0.54643172235442405</v>
      </c>
      <c r="DC55" s="67" t="b">
        <f t="shared" si="23"/>
        <v>0</v>
      </c>
      <c r="DD55" s="91" t="b">
        <f t="shared" si="24"/>
        <v>1</v>
      </c>
      <c r="DE55" s="67" t="str">
        <f t="shared" si="25"/>
        <v/>
      </c>
      <c r="DF55" s="68" t="str">
        <f t="shared" si="26"/>
        <v/>
      </c>
      <c r="DG55" s="68" t="str">
        <f t="shared" si="27"/>
        <v/>
      </c>
      <c r="DH55" s="68" t="str">
        <f t="shared" si="28"/>
        <v/>
      </c>
      <c r="DI55" s="91" t="str">
        <f t="shared" si="29"/>
        <v/>
      </c>
      <c r="DJ55" s="67">
        <f t="shared" si="30"/>
        <v>26</v>
      </c>
      <c r="DK55" s="68">
        <f t="shared" si="31"/>
        <v>0.5</v>
      </c>
      <c r="DL55" s="68">
        <f t="shared" si="32"/>
        <v>0.25</v>
      </c>
      <c r="DM55" s="68">
        <f t="shared" si="33"/>
        <v>9.6153846153846159E-3</v>
      </c>
      <c r="DN55" s="91">
        <f t="shared" si="34"/>
        <v>2.2200000000000002</v>
      </c>
      <c r="DO55" s="91"/>
      <c r="FN55" s="50"/>
      <c r="FO55" s="47"/>
      <c r="FP55" s="47"/>
      <c r="FQ55" s="47"/>
      <c r="FR55" s="47"/>
    </row>
    <row r="56" spans="2:174" ht="11.25" customHeight="1">
      <c r="B56" s="137"/>
      <c r="C56" s="383"/>
      <c r="D56" s="383"/>
      <c r="E56" s="383"/>
      <c r="F56" s="372"/>
      <c r="G56" s="373"/>
      <c r="H56" s="374"/>
      <c r="I56" s="373"/>
      <c r="J56" s="88"/>
      <c r="BA56" s="137"/>
      <c r="BB56" s="172"/>
      <c r="BC56" s="173"/>
      <c r="BD56" s="174"/>
      <c r="BE56" s="173"/>
      <c r="BF56" s="88"/>
      <c r="BH56" s="137"/>
      <c r="BI56" s="172"/>
      <c r="BJ56" s="173"/>
      <c r="BK56" s="174"/>
      <c r="BL56" s="173"/>
      <c r="BM56" s="88"/>
      <c r="BO56" s="137"/>
      <c r="BP56" s="172"/>
      <c r="BQ56" s="173"/>
      <c r="BR56" s="174"/>
      <c r="BS56" s="173"/>
      <c r="BT56" s="88"/>
      <c r="CU56" s="67">
        <f t="shared" si="21"/>
        <v>8.6999999999999993</v>
      </c>
      <c r="CV56" s="91">
        <f t="shared" si="22"/>
        <v>1.8399999999999999</v>
      </c>
      <c r="CY56" s="67">
        <v>5</v>
      </c>
      <c r="CZ56" s="68" t="e">
        <f>IF(#REF!="","",#REF!)</f>
        <v>#REF!</v>
      </c>
      <c r="DA56" s="68" t="e">
        <f>IF(#REF!="","",#REF!)</f>
        <v>#REF!</v>
      </c>
      <c r="DB56" s="91" t="str">
        <f>IF(DB42="","",DB42)</f>
        <v/>
      </c>
      <c r="DC56" s="67" t="b">
        <f t="shared" si="23"/>
        <v>0</v>
      </c>
      <c r="DD56" s="91" t="b">
        <f t="shared" si="24"/>
        <v>0</v>
      </c>
      <c r="DE56" s="67" t="str">
        <f t="shared" si="25"/>
        <v/>
      </c>
      <c r="DF56" s="68" t="str">
        <f t="shared" si="26"/>
        <v/>
      </c>
      <c r="DG56" s="68" t="str">
        <f t="shared" si="27"/>
        <v/>
      </c>
      <c r="DH56" s="68" t="str">
        <f t="shared" si="28"/>
        <v/>
      </c>
      <c r="DI56" s="91" t="str">
        <f t="shared" si="29"/>
        <v/>
      </c>
      <c r="DJ56" s="67" t="str">
        <f t="shared" si="30"/>
        <v/>
      </c>
      <c r="DK56" s="68" t="str">
        <f t="shared" si="31"/>
        <v/>
      </c>
      <c r="DL56" s="68" t="str">
        <f t="shared" si="32"/>
        <v/>
      </c>
      <c r="DM56" s="68" t="str">
        <f t="shared" si="33"/>
        <v/>
      </c>
      <c r="DN56" s="91" t="str">
        <f t="shared" si="34"/>
        <v/>
      </c>
      <c r="DO56" s="91"/>
      <c r="FN56" s="50"/>
      <c r="FO56" s="47"/>
      <c r="FP56" s="47"/>
      <c r="FQ56" s="47"/>
      <c r="FR56" s="47"/>
    </row>
    <row r="57" spans="2:174" ht="11.25" customHeight="1">
      <c r="B57" s="137"/>
      <c r="C57" s="383"/>
      <c r="D57" s="383"/>
      <c r="E57" s="383"/>
      <c r="F57" s="372"/>
      <c r="G57" s="373"/>
      <c r="H57" s="374"/>
      <c r="I57" s="373"/>
      <c r="J57" s="88"/>
      <c r="BA57" s="137"/>
      <c r="BB57" s="172"/>
      <c r="BC57" s="173"/>
      <c r="BD57" s="174"/>
      <c r="BE57" s="173"/>
      <c r="BF57" s="88"/>
      <c r="BH57" s="137"/>
      <c r="BI57" s="172"/>
      <c r="BJ57" s="173"/>
      <c r="BK57" s="174"/>
      <c r="BL57" s="173"/>
      <c r="BM57" s="88"/>
      <c r="BO57" s="137"/>
      <c r="BP57" s="172"/>
      <c r="BQ57" s="173"/>
      <c r="BR57" s="174"/>
      <c r="BS57" s="173"/>
      <c r="BT57" s="88"/>
      <c r="CU57" s="67">
        <f t="shared" si="21"/>
        <v>8.6999999999999993</v>
      </c>
      <c r="CV57" s="91">
        <f t="shared" si="22"/>
        <v>1.64</v>
      </c>
      <c r="CY57" s="69">
        <v>6</v>
      </c>
      <c r="CZ57" s="70" t="e">
        <f>IF(#REF!="","",#REF!)</f>
        <v>#REF!</v>
      </c>
      <c r="DA57" s="70" t="e">
        <f>IF(#REF!="","",#REF!)</f>
        <v>#REF!</v>
      </c>
      <c r="DB57" s="97" t="str">
        <f>IF(DC42="","",DC42)</f>
        <v/>
      </c>
      <c r="DC57" s="69" t="b">
        <f t="shared" si="23"/>
        <v>0</v>
      </c>
      <c r="DD57" s="91" t="b">
        <f t="shared" si="24"/>
        <v>0</v>
      </c>
      <c r="DE57" s="67" t="str">
        <f t="shared" si="25"/>
        <v/>
      </c>
      <c r="DF57" s="68" t="str">
        <f t="shared" si="26"/>
        <v/>
      </c>
      <c r="DG57" s="68" t="str">
        <f t="shared" si="27"/>
        <v/>
      </c>
      <c r="DH57" s="68" t="str">
        <f t="shared" si="28"/>
        <v/>
      </c>
      <c r="DI57" s="91" t="str">
        <f t="shared" si="29"/>
        <v/>
      </c>
      <c r="DJ57" s="69" t="str">
        <f t="shared" si="30"/>
        <v/>
      </c>
      <c r="DK57" s="70" t="str">
        <f t="shared" si="31"/>
        <v/>
      </c>
      <c r="DL57" s="70" t="str">
        <f t="shared" si="32"/>
        <v/>
      </c>
      <c r="DM57" s="70" t="str">
        <f t="shared" si="33"/>
        <v/>
      </c>
      <c r="DN57" s="97" t="str">
        <f t="shared" si="34"/>
        <v/>
      </c>
      <c r="DO57" s="91"/>
      <c r="FN57" s="50"/>
      <c r="FO57" s="47"/>
      <c r="FP57" s="47"/>
      <c r="FQ57" s="47"/>
      <c r="FR57" s="47"/>
    </row>
    <row r="58" spans="2:174" ht="11.25" customHeight="1">
      <c r="B58" s="137"/>
      <c r="C58" s="383"/>
      <c r="D58" s="383"/>
      <c r="E58" s="383"/>
      <c r="F58" s="372"/>
      <c r="G58" s="373"/>
      <c r="H58" s="374"/>
      <c r="I58" s="373"/>
      <c r="J58" s="88"/>
      <c r="BA58" s="137"/>
      <c r="BB58" s="172"/>
      <c r="BC58" s="173"/>
      <c r="BD58" s="174"/>
      <c r="BE58" s="173"/>
      <c r="BF58" s="88"/>
      <c r="BH58" s="137"/>
      <c r="BI58" s="172"/>
      <c r="BJ58" s="173"/>
      <c r="BK58" s="174"/>
      <c r="BL58" s="173"/>
      <c r="BM58" s="88"/>
      <c r="BO58" s="137"/>
      <c r="BP58" s="172"/>
      <c r="BQ58" s="173"/>
      <c r="BR58" s="174"/>
      <c r="BS58" s="173"/>
      <c r="BT58" s="88"/>
      <c r="CU58" s="67">
        <f t="shared" si="21"/>
        <v>8.6999999999999993</v>
      </c>
      <c r="CV58" s="91">
        <f t="shared" si="22"/>
        <v>1.44</v>
      </c>
      <c r="CY58" s="67"/>
      <c r="CZ58" s="68"/>
      <c r="DA58" s="68"/>
      <c r="DB58" s="68"/>
      <c r="DC58" s="68"/>
      <c r="DD58" s="262" t="s">
        <v>1096</v>
      </c>
      <c r="DE58" s="144">
        <f>IF(SUM(DE52:DE57)=0,"",SUM(DE52:DE57))</f>
        <v>51</v>
      </c>
      <c r="DF58" s="144"/>
      <c r="DG58" s="144"/>
      <c r="DH58" s="144">
        <f>IF(SUM(DH52:DH57)=0,"",SUM(DH52:DH57))</f>
        <v>1.9615384615384618E-2</v>
      </c>
      <c r="DI58" s="265">
        <f>IF(DE58="","",AVERAGE(DI52:DI57))</f>
        <v>1.44</v>
      </c>
      <c r="DJ58" s="144">
        <f>IF(SUM(DJ52:DJ57)=0,"",SUM(DJ52:DJ57))</f>
        <v>52</v>
      </c>
      <c r="DK58" s="144"/>
      <c r="DL58" s="144"/>
      <c r="DM58" s="144">
        <f>IF(SUM(DM52:DM57)=0,"",SUM(DM52:DM57))</f>
        <v>1.9230769230769232E-2</v>
      </c>
      <c r="DN58" s="266">
        <f>IF(DJ58="","",AVERAGE(DN52:DN57))</f>
        <v>1.6800000000000002</v>
      </c>
      <c r="DO58" s="359">
        <f>IF(OR(DI58="",DN58=""),"",DN58-DI58)</f>
        <v>0.24000000000000021</v>
      </c>
      <c r="FN58" s="50"/>
      <c r="FO58" s="47"/>
      <c r="FP58" s="47"/>
      <c r="FQ58" s="47"/>
      <c r="FR58" s="47"/>
    </row>
    <row r="59" spans="2:174" ht="11.25" customHeight="1">
      <c r="B59" s="137"/>
      <c r="C59" s="383"/>
      <c r="D59" s="383"/>
      <c r="E59" s="383"/>
      <c r="F59" s="372"/>
      <c r="G59" s="373"/>
      <c r="H59" s="374"/>
      <c r="I59" s="373"/>
      <c r="J59" s="88"/>
      <c r="BA59" s="137"/>
      <c r="BB59" s="172"/>
      <c r="BC59" s="173"/>
      <c r="BD59" s="174"/>
      <c r="BE59" s="173"/>
      <c r="BF59" s="88"/>
      <c r="BH59" s="137"/>
      <c r="BI59" s="172"/>
      <c r="BJ59" s="173"/>
      <c r="BK59" s="174"/>
      <c r="BL59" s="173"/>
      <c r="BM59" s="88"/>
      <c r="BO59" s="137"/>
      <c r="BP59" s="172"/>
      <c r="BQ59" s="173"/>
      <c r="BR59" s="174"/>
      <c r="BS59" s="173"/>
      <c r="BT59" s="88"/>
      <c r="CU59" s="67">
        <f t="shared" si="21"/>
        <v>8.6999999999999993</v>
      </c>
      <c r="CV59" s="91">
        <f t="shared" si="22"/>
        <v>1.24</v>
      </c>
      <c r="CY59" s="67"/>
      <c r="CZ59" s="68"/>
      <c r="DA59" s="68"/>
      <c r="DB59" s="68"/>
      <c r="DC59" s="68"/>
      <c r="DD59" s="67" t="s">
        <v>1280</v>
      </c>
      <c r="DE59" s="68"/>
      <c r="DF59" s="68"/>
      <c r="DG59" s="68"/>
      <c r="DH59" s="109" t="s">
        <v>1114</v>
      </c>
      <c r="DI59" s="68">
        <f>IF(DE58="","",MAX(DI52:DI57))</f>
        <v>1.5</v>
      </c>
      <c r="DJ59" s="68"/>
      <c r="DK59" s="68"/>
      <c r="DL59" s="68"/>
      <c r="DM59" s="109" t="s">
        <v>1114</v>
      </c>
      <c r="DN59" s="68">
        <f>IF(DJ58="","",MAX(DN52:DN57))</f>
        <v>2.2200000000000002</v>
      </c>
      <c r="DO59" s="91"/>
      <c r="FN59" s="50"/>
      <c r="FO59" s="47"/>
      <c r="FP59" s="47"/>
      <c r="FQ59" s="47"/>
      <c r="FR59" s="47"/>
    </row>
    <row r="60" spans="2:174" ht="11.25" customHeight="1">
      <c r="B60" s="137"/>
      <c r="C60" s="383"/>
      <c r="D60" s="383"/>
      <c r="E60" s="383"/>
      <c r="F60" s="372"/>
      <c r="G60" s="373"/>
      <c r="H60" s="374"/>
      <c r="I60" s="373"/>
      <c r="J60" s="88"/>
      <c r="BA60" s="137"/>
      <c r="BB60" s="172"/>
      <c r="BC60" s="173"/>
      <c r="BD60" s="174"/>
      <c r="BE60" s="173"/>
      <c r="BF60" s="88"/>
      <c r="BH60" s="137"/>
      <c r="BI60" s="172"/>
      <c r="BJ60" s="173"/>
      <c r="BK60" s="174"/>
      <c r="BL60" s="173"/>
      <c r="BM60" s="88"/>
      <c r="BO60" s="137"/>
      <c r="BP60" s="172"/>
      <c r="BQ60" s="173"/>
      <c r="BR60" s="174"/>
      <c r="BS60" s="173"/>
      <c r="BT60" s="88"/>
      <c r="CU60" s="67">
        <f t="shared" si="21"/>
        <v>8.6999999999999993</v>
      </c>
      <c r="CV60" s="91">
        <f t="shared" si="22"/>
        <v>1.04</v>
      </c>
      <c r="CY60" s="67"/>
      <c r="CZ60" s="68"/>
      <c r="DA60" s="68"/>
      <c r="DB60" s="68"/>
      <c r="DC60" s="68"/>
      <c r="DD60" s="262" t="s">
        <v>1098</v>
      </c>
      <c r="DE60" s="144">
        <f>COUNT(DE52:DE57)</f>
        <v>2</v>
      </c>
      <c r="DF60" s="144"/>
      <c r="DG60" s="144"/>
      <c r="DH60" s="263" t="s">
        <v>1115</v>
      </c>
      <c r="DI60" s="144">
        <f>IF(DE58="","",MIN(DI52:DI57))</f>
        <v>1.38</v>
      </c>
      <c r="DJ60" s="144">
        <f>COUNT(DJ52:DJ57)</f>
        <v>2</v>
      </c>
      <c r="DK60" s="144"/>
      <c r="DL60" s="144"/>
      <c r="DM60" s="263" t="s">
        <v>1115</v>
      </c>
      <c r="DN60" s="144">
        <f>IF(DJ58="","",MIN(DN52:DN57))</f>
        <v>1.1399999999999999</v>
      </c>
      <c r="DO60" s="91"/>
      <c r="FN60" s="50"/>
      <c r="FO60" s="47"/>
      <c r="FP60" s="47"/>
      <c r="FQ60" s="47"/>
      <c r="FR60" s="47"/>
    </row>
    <row r="61" spans="2:174" ht="11.25" customHeight="1">
      <c r="B61" s="137"/>
      <c r="C61" s="383"/>
      <c r="D61" s="383"/>
      <c r="E61" s="383"/>
      <c r="F61" s="372"/>
      <c r="G61" s="373"/>
      <c r="H61" s="374"/>
      <c r="I61" s="373"/>
      <c r="J61" s="88"/>
      <c r="BA61" s="137"/>
      <c r="BB61" s="172"/>
      <c r="BC61" s="173"/>
      <c r="BD61" s="174"/>
      <c r="BE61" s="173"/>
      <c r="BF61" s="88"/>
      <c r="BH61" s="137"/>
      <c r="BI61" s="172"/>
      <c r="BJ61" s="173"/>
      <c r="BK61" s="174"/>
      <c r="BL61" s="173"/>
      <c r="BM61" s="88"/>
      <c r="BO61" s="137"/>
      <c r="BP61" s="172"/>
      <c r="BQ61" s="173"/>
      <c r="BR61" s="174"/>
      <c r="BS61" s="173"/>
      <c r="BT61" s="88"/>
      <c r="CU61" s="67">
        <f t="shared" si="21"/>
        <v>8.6999999999999993</v>
      </c>
      <c r="CV61" s="91">
        <f t="shared" si="22"/>
        <v>0.83999999999999986</v>
      </c>
      <c r="CY61" s="67"/>
      <c r="CZ61" s="68"/>
      <c r="DA61" s="68"/>
      <c r="DB61" s="68"/>
      <c r="DC61" s="68"/>
      <c r="DD61" s="68"/>
      <c r="DE61" s="68"/>
      <c r="DF61" s="68"/>
      <c r="DG61" s="109" t="s">
        <v>1101</v>
      </c>
      <c r="DH61" s="68">
        <f>IF(DE58="","",$DL$8*SQRT(DH58))</f>
        <v>0.19666716052247266</v>
      </c>
      <c r="DI61" s="68"/>
      <c r="DJ61" s="68"/>
      <c r="DK61" s="68"/>
      <c r="DL61" s="109" t="s">
        <v>1101</v>
      </c>
      <c r="DM61" s="68">
        <f>IF(DJ58="","",$DL$8*SQRT(DM58))</f>
        <v>0.1947295057755255</v>
      </c>
      <c r="DN61" s="109" t="s">
        <v>1101</v>
      </c>
      <c r="DO61" s="91">
        <f>IF(DO58="","",$DL$8*SQRT(DH58+DM58))</f>
        <v>0.27676262834340992</v>
      </c>
      <c r="FN61" s="50"/>
      <c r="FO61" s="47"/>
      <c r="FP61" s="47"/>
      <c r="FQ61" s="47"/>
      <c r="FR61" s="47"/>
    </row>
    <row r="62" spans="2:174" ht="11.25" customHeight="1">
      <c r="B62" s="137"/>
      <c r="C62" s="383"/>
      <c r="D62" s="383"/>
      <c r="E62" s="383"/>
      <c r="F62" s="372"/>
      <c r="G62" s="373"/>
      <c r="H62" s="374"/>
      <c r="I62" s="373"/>
      <c r="J62" s="88"/>
      <c r="BA62" s="137"/>
      <c r="BB62" s="172"/>
      <c r="BC62" s="173"/>
      <c r="BD62" s="174"/>
      <c r="BE62" s="173"/>
      <c r="BF62" s="88"/>
      <c r="BH62" s="137"/>
      <c r="BI62" s="172"/>
      <c r="BJ62" s="173"/>
      <c r="BK62" s="174"/>
      <c r="BL62" s="173"/>
      <c r="BM62" s="88"/>
      <c r="BO62" s="137"/>
      <c r="BP62" s="172"/>
      <c r="BQ62" s="173"/>
      <c r="BR62" s="174"/>
      <c r="BS62" s="173"/>
      <c r="BT62" s="88"/>
      <c r="CU62" s="67">
        <f t="shared" si="21"/>
        <v>8.6999999999999993</v>
      </c>
      <c r="CV62" s="91">
        <f t="shared" si="22"/>
        <v>0.6399999999999999</v>
      </c>
      <c r="CY62" s="67"/>
      <c r="CZ62" s="68"/>
      <c r="DA62" s="68"/>
      <c r="DB62" s="68"/>
      <c r="DC62" s="68"/>
      <c r="DD62" s="68"/>
      <c r="DE62" s="68"/>
      <c r="DF62" s="68"/>
      <c r="DG62" s="109" t="s">
        <v>1187</v>
      </c>
      <c r="DH62" s="68">
        <f>IF(DE58="","",CW34)</f>
        <v>99</v>
      </c>
      <c r="DI62" s="68"/>
      <c r="DJ62" s="68"/>
      <c r="DK62" s="68"/>
      <c r="DL62" s="109" t="s">
        <v>1187</v>
      </c>
      <c r="DM62" s="68">
        <f>IF(DJ58="","",CW34)</f>
        <v>99</v>
      </c>
      <c r="DN62" s="109" t="s">
        <v>1187</v>
      </c>
      <c r="DO62" s="91">
        <f>IF(DO58="","",CW34)</f>
        <v>99</v>
      </c>
      <c r="FN62" s="50"/>
      <c r="FO62" s="47"/>
      <c r="FP62" s="47"/>
      <c r="FQ62" s="47"/>
      <c r="FR62" s="47"/>
    </row>
    <row r="63" spans="2:174" ht="11.25" customHeight="1">
      <c r="B63" s="137"/>
      <c r="C63" s="383"/>
      <c r="D63" s="383"/>
      <c r="E63" s="383"/>
      <c r="F63" s="372"/>
      <c r="G63" s="373"/>
      <c r="H63" s="374"/>
      <c r="I63" s="373"/>
      <c r="J63" s="88"/>
      <c r="BA63" s="137"/>
      <c r="BB63" s="172"/>
      <c r="BC63" s="173"/>
      <c r="BD63" s="174"/>
      <c r="BE63" s="173"/>
      <c r="BF63" s="88"/>
      <c r="BH63" s="137"/>
      <c r="BI63" s="172"/>
      <c r="BJ63" s="173"/>
      <c r="BK63" s="174"/>
      <c r="BL63" s="173"/>
      <c r="BM63" s="88"/>
      <c r="BO63" s="137"/>
      <c r="BP63" s="172"/>
      <c r="BQ63" s="173"/>
      <c r="BR63" s="174"/>
      <c r="BS63" s="173"/>
      <c r="BT63" s="88"/>
      <c r="CU63" s="67">
        <f t="shared" si="21"/>
        <v>8.6999999999999993</v>
      </c>
      <c r="CV63" s="91" t="e">
        <f t="shared" si="22"/>
        <v>#N/A</v>
      </c>
      <c r="CY63" s="67"/>
      <c r="CZ63" s="68"/>
      <c r="DA63" s="68"/>
      <c r="DB63" s="68"/>
      <c r="DC63" s="68"/>
      <c r="DD63" s="68"/>
      <c r="DE63" s="68"/>
      <c r="DF63" s="68"/>
      <c r="DG63" s="109" t="s">
        <v>1102</v>
      </c>
      <c r="DH63" s="68">
        <f>IF(DH62="","",TINV(1-$H$6/100,DH62))</f>
        <v>1.9842169002249928</v>
      </c>
      <c r="DI63" s="68"/>
      <c r="DJ63" s="68"/>
      <c r="DK63" s="68"/>
      <c r="DL63" s="109" t="s">
        <v>1102</v>
      </c>
      <c r="DM63" s="68">
        <f>IF(DM62="","",TINV(1-$H$6/100,DM62))</f>
        <v>1.9842169002249928</v>
      </c>
      <c r="DN63" s="109" t="s">
        <v>1102</v>
      </c>
      <c r="DO63" s="91">
        <f>IF(DO58="","",TINV(1-$H$6/100,DO62))</f>
        <v>1.9842169002249928</v>
      </c>
      <c r="FN63" s="50"/>
      <c r="FO63" s="47"/>
      <c r="FP63" s="47"/>
      <c r="FQ63" s="47"/>
      <c r="FR63" s="47"/>
    </row>
    <row r="64" spans="2:174" ht="11.25" customHeight="1">
      <c r="B64" s="137"/>
      <c r="C64" s="383"/>
      <c r="D64" s="383"/>
      <c r="E64" s="383"/>
      <c r="F64" s="372"/>
      <c r="G64" s="373"/>
      <c r="H64" s="374"/>
      <c r="I64" s="373"/>
      <c r="J64" s="88"/>
      <c r="BA64" s="137"/>
      <c r="BB64" s="172"/>
      <c r="BC64" s="173"/>
      <c r="BD64" s="174"/>
      <c r="BE64" s="173"/>
      <c r="BF64" s="88"/>
      <c r="BH64" s="137"/>
      <c r="BI64" s="172"/>
      <c r="BJ64" s="173"/>
      <c r="BK64" s="174"/>
      <c r="BL64" s="173"/>
      <c r="BM64" s="88"/>
      <c r="BO64" s="137"/>
      <c r="BP64" s="172"/>
      <c r="BQ64" s="173"/>
      <c r="BR64" s="174"/>
      <c r="BS64" s="173"/>
      <c r="BT64" s="88"/>
      <c r="CU64" s="67">
        <f t="shared" si="21"/>
        <v>8.6999999999999993</v>
      </c>
      <c r="CV64" s="91" t="e">
        <f t="shared" si="22"/>
        <v>#N/A</v>
      </c>
      <c r="CY64" s="67"/>
      <c r="CZ64" s="68"/>
      <c r="DA64" s="68"/>
      <c r="DB64" s="68"/>
      <c r="DC64" s="68"/>
      <c r="DD64" s="68"/>
      <c r="DE64" s="68"/>
      <c r="DF64" s="68"/>
      <c r="DG64" s="109" t="s">
        <v>1280</v>
      </c>
      <c r="DH64" s="12">
        <f>IF(DH61="","",DH61*DH63)</f>
        <v>0.39023030362795175</v>
      </c>
      <c r="DI64" s="68"/>
      <c r="DJ64" s="68"/>
      <c r="DK64" s="68"/>
      <c r="DL64" s="109" t="s">
        <v>1280</v>
      </c>
      <c r="DM64" s="12">
        <f>IF(DM61="","",DM61*DM63)</f>
        <v>0.38638557633225806</v>
      </c>
      <c r="DN64" s="109" t="s">
        <v>1280</v>
      </c>
      <c r="DO64" s="359">
        <f>IF(DO61="","",DO61*DO63)</f>
        <v>0.54915708450968259</v>
      </c>
      <c r="FN64" s="50"/>
      <c r="FO64" s="47"/>
      <c r="FP64" s="47"/>
      <c r="FQ64" s="47"/>
      <c r="FR64" s="47"/>
    </row>
    <row r="65" spans="2:174" ht="11.25" customHeight="1">
      <c r="B65" s="137"/>
      <c r="C65" s="383"/>
      <c r="D65" s="383"/>
      <c r="E65" s="383"/>
      <c r="F65" s="372"/>
      <c r="G65" s="373"/>
      <c r="H65" s="374"/>
      <c r="I65" s="373"/>
      <c r="J65" s="88"/>
      <c r="BA65" s="137"/>
      <c r="BB65" s="172"/>
      <c r="BC65" s="173"/>
      <c r="BD65" s="174"/>
      <c r="BE65" s="173"/>
      <c r="BF65" s="88"/>
      <c r="BH65" s="137"/>
      <c r="BI65" s="172"/>
      <c r="BJ65" s="173"/>
      <c r="BK65" s="174"/>
      <c r="BL65" s="173"/>
      <c r="BM65" s="88"/>
      <c r="BO65" s="137"/>
      <c r="BP65" s="172"/>
      <c r="BQ65" s="173"/>
      <c r="BR65" s="174"/>
      <c r="BS65" s="173"/>
      <c r="BT65" s="88"/>
      <c r="CU65" s="67">
        <f t="shared" si="21"/>
        <v>8.6999999999999993</v>
      </c>
      <c r="CV65" s="91" t="e">
        <f t="shared" si="22"/>
        <v>#N/A</v>
      </c>
      <c r="CY65" s="67"/>
      <c r="CZ65" s="68"/>
      <c r="DA65" s="68"/>
      <c r="DB65" s="68"/>
      <c r="DC65" s="68"/>
      <c r="DD65" s="68"/>
      <c r="DE65" s="68"/>
      <c r="DF65" s="68"/>
      <c r="DG65" s="109" t="s">
        <v>1537</v>
      </c>
      <c r="DH65" s="68">
        <f>IF(DI58="","",DI58+DH64)</f>
        <v>1.8302303036279517</v>
      </c>
      <c r="DI65" s="68"/>
      <c r="DJ65" s="68"/>
      <c r="DK65" s="68"/>
      <c r="DL65" s="109" t="s">
        <v>1537</v>
      </c>
      <c r="DM65" s="68">
        <f>IF(DN58="","",DN58+DM64)</f>
        <v>2.0663855763322583</v>
      </c>
      <c r="DN65" s="109" t="s">
        <v>1537</v>
      </c>
      <c r="DO65" s="91">
        <f>IF(DO58="","",DO58+DO64)</f>
        <v>0.7891570845096828</v>
      </c>
      <c r="FN65" s="50"/>
      <c r="FO65" s="47"/>
      <c r="FP65" s="47"/>
      <c r="FQ65" s="47"/>
      <c r="FR65" s="47"/>
    </row>
    <row r="66" spans="2:174" ht="11.25" customHeight="1">
      <c r="B66" s="137"/>
      <c r="C66" s="383"/>
      <c r="D66" s="383"/>
      <c r="E66" s="383"/>
      <c r="F66" s="372"/>
      <c r="G66" s="373"/>
      <c r="H66" s="374"/>
      <c r="I66" s="373"/>
      <c r="J66" s="88"/>
      <c r="BA66" s="137"/>
      <c r="BB66" s="172"/>
      <c r="BC66" s="173"/>
      <c r="BD66" s="174"/>
      <c r="BE66" s="173"/>
      <c r="BF66" s="88"/>
      <c r="BH66" s="137"/>
      <c r="BI66" s="172"/>
      <c r="BJ66" s="173"/>
      <c r="BK66" s="174"/>
      <c r="BL66" s="173"/>
      <c r="BM66" s="88"/>
      <c r="BO66" s="137"/>
      <c r="BP66" s="172"/>
      <c r="BQ66" s="173"/>
      <c r="BR66" s="174"/>
      <c r="BS66" s="173"/>
      <c r="BT66" s="88"/>
      <c r="CU66" s="67">
        <f t="shared" si="21"/>
        <v>8.6999999999999993</v>
      </c>
      <c r="CV66" s="91" t="e">
        <f t="shared" si="22"/>
        <v>#N/A</v>
      </c>
      <c r="CY66" s="67"/>
      <c r="CZ66" s="68"/>
      <c r="DA66" s="68"/>
      <c r="DB66" s="68"/>
      <c r="DC66" s="68"/>
      <c r="DD66" s="68"/>
      <c r="DE66" s="68"/>
      <c r="DF66" s="68"/>
      <c r="DG66" s="109" t="s">
        <v>1538</v>
      </c>
      <c r="DH66" s="68">
        <f>IF(DI58="","",DI58-DH64)</f>
        <v>1.0497696963720482</v>
      </c>
      <c r="DI66" s="68"/>
      <c r="DJ66" s="68"/>
      <c r="DK66" s="68"/>
      <c r="DL66" s="109" t="s">
        <v>1538</v>
      </c>
      <c r="DM66" s="68">
        <f>IF(DN58="","",DN58-DM64)</f>
        <v>1.293614423667742</v>
      </c>
      <c r="DN66" s="109" t="s">
        <v>1538</v>
      </c>
      <c r="DO66" s="91">
        <f>IF(DO58="","",DO58-DO64)</f>
        <v>-0.30915708450968238</v>
      </c>
      <c r="FN66" s="50"/>
      <c r="FO66" s="47"/>
      <c r="FP66" s="47"/>
      <c r="FQ66" s="47"/>
      <c r="FR66" s="47"/>
    </row>
    <row r="67" spans="2:174" ht="11.25" customHeight="1">
      <c r="B67" s="137"/>
      <c r="C67" s="383"/>
      <c r="D67" s="383"/>
      <c r="E67" s="383"/>
      <c r="F67" s="372"/>
      <c r="G67" s="373"/>
      <c r="H67" s="374"/>
      <c r="I67" s="373"/>
      <c r="J67" s="88"/>
      <c r="BA67" s="137"/>
      <c r="BB67" s="172"/>
      <c r="BC67" s="173"/>
      <c r="BD67" s="174"/>
      <c r="BE67" s="173"/>
      <c r="BF67" s="88"/>
      <c r="BH67" s="137"/>
      <c r="BI67" s="172"/>
      <c r="BJ67" s="173"/>
      <c r="BK67" s="174"/>
      <c r="BL67" s="173"/>
      <c r="BM67" s="88"/>
      <c r="BO67" s="137"/>
      <c r="BP67" s="172"/>
      <c r="BQ67" s="173"/>
      <c r="BR67" s="174"/>
      <c r="BS67" s="173"/>
      <c r="BT67" s="88"/>
      <c r="CU67" s="67">
        <f t="shared" si="21"/>
        <v>8.6999999999999993</v>
      </c>
      <c r="CV67" s="91" t="e">
        <f t="shared" si="22"/>
        <v>#N/A</v>
      </c>
      <c r="CY67" s="69"/>
      <c r="CZ67" s="70"/>
      <c r="DA67" s="70"/>
      <c r="DB67" s="70"/>
      <c r="DC67" s="70"/>
      <c r="DD67" s="70"/>
      <c r="DE67" s="70"/>
      <c r="DF67" s="70"/>
      <c r="DG67" s="70"/>
      <c r="DH67" s="70"/>
      <c r="DI67" s="70"/>
      <c r="DJ67" s="70"/>
      <c r="DK67" s="70"/>
      <c r="DL67" s="70"/>
      <c r="DM67" s="70"/>
      <c r="DN67" s="261" t="s">
        <v>967</v>
      </c>
      <c r="DO67" s="97">
        <f>IF(DO61=0,"",IF(DO58="","",TDIST(ABS(DO58)/(DO61),DO62,2)))</f>
        <v>0.38794636225461909</v>
      </c>
      <c r="FN67" s="50"/>
      <c r="FO67" s="47"/>
      <c r="FP67" s="47"/>
      <c r="FQ67" s="47"/>
      <c r="FR67" s="47"/>
    </row>
    <row r="68" spans="2:174" ht="11.25" customHeight="1">
      <c r="B68" s="137"/>
      <c r="C68" s="383"/>
      <c r="D68" s="383"/>
      <c r="E68" s="383"/>
      <c r="F68" s="372"/>
      <c r="G68" s="373"/>
      <c r="H68" s="374"/>
      <c r="I68" s="373"/>
      <c r="J68" s="88"/>
      <c r="BA68" s="137"/>
      <c r="BB68" s="172"/>
      <c r="BC68" s="173"/>
      <c r="BD68" s="174"/>
      <c r="BE68" s="173"/>
      <c r="BF68" s="88"/>
      <c r="BH68" s="137"/>
      <c r="BI68" s="172"/>
      <c r="BJ68" s="173"/>
      <c r="BK68" s="174"/>
      <c r="BL68" s="173"/>
      <c r="BM68" s="88"/>
      <c r="BO68" s="137"/>
      <c r="BP68" s="172"/>
      <c r="BQ68" s="173"/>
      <c r="BR68" s="174"/>
      <c r="BS68" s="173"/>
      <c r="BT68" s="88"/>
      <c r="CU68" s="69">
        <f t="shared" si="21"/>
        <v>8.6999999999999993</v>
      </c>
      <c r="CV68" s="97" t="e">
        <f t="shared" si="22"/>
        <v>#N/A</v>
      </c>
      <c r="FN68" s="50"/>
      <c r="FO68" s="47"/>
      <c r="FP68" s="47"/>
      <c r="FQ68" s="47"/>
      <c r="FR68" s="47"/>
    </row>
    <row r="69" spans="2:174" ht="11.25" customHeight="1">
      <c r="B69" s="137"/>
      <c r="C69" s="383"/>
      <c r="D69" s="383"/>
      <c r="E69" s="383"/>
      <c r="F69" s="372"/>
      <c r="G69" s="373"/>
      <c r="H69" s="374"/>
      <c r="I69" s="373"/>
      <c r="J69" s="88"/>
      <c r="BA69" s="137"/>
      <c r="BB69" s="172"/>
      <c r="BC69" s="173"/>
      <c r="BD69" s="174"/>
      <c r="BE69" s="173"/>
      <c r="BF69" s="88"/>
      <c r="BH69" s="137"/>
      <c r="BI69" s="172"/>
      <c r="BJ69" s="173"/>
      <c r="BK69" s="174"/>
      <c r="BL69" s="173"/>
      <c r="BM69" s="88"/>
      <c r="BO69" s="137"/>
      <c r="BP69" s="172"/>
      <c r="BQ69" s="173"/>
      <c r="BR69" s="174"/>
      <c r="BS69" s="173"/>
      <c r="BT69" s="88"/>
      <c r="CW69" s="5" t="s">
        <v>10</v>
      </c>
      <c r="FN69" s="50"/>
      <c r="FO69" s="47"/>
      <c r="FP69" s="47"/>
      <c r="FQ69" s="47"/>
      <c r="FR69" s="47"/>
    </row>
    <row r="70" spans="2:174" ht="11.25" customHeight="1">
      <c r="B70" s="137"/>
      <c r="C70" s="383"/>
      <c r="D70" s="383"/>
      <c r="E70" s="383"/>
      <c r="F70" s="372"/>
      <c r="G70" s="373"/>
      <c r="H70" s="374"/>
      <c r="I70" s="373"/>
      <c r="J70" s="88"/>
      <c r="BA70" s="137"/>
      <c r="BB70" s="172"/>
      <c r="BC70" s="173"/>
      <c r="BD70" s="174"/>
      <c r="BE70" s="173"/>
      <c r="BF70" s="88"/>
      <c r="BH70" s="137"/>
      <c r="BI70" s="172"/>
      <c r="BJ70" s="173"/>
      <c r="BK70" s="174"/>
      <c r="BL70" s="173"/>
      <c r="BM70" s="88"/>
      <c r="BO70" s="137"/>
      <c r="BP70" s="172"/>
      <c r="BQ70" s="173"/>
      <c r="BR70" s="174"/>
      <c r="BS70" s="173"/>
      <c r="BT70" s="88"/>
      <c r="CW70" s="65" t="str">
        <f>IF(COUNT(CV90:CV389)&gt;1,COUNT(CV90:CV389),"")</f>
        <v/>
      </c>
      <c r="CX70" s="93" t="str">
        <f>IF(COUNT(CX90:CX389)&gt;1,COUNT(CX90:CX389),"")</f>
        <v/>
      </c>
      <c r="FN70" s="50"/>
      <c r="FO70" s="47"/>
      <c r="FP70" s="47"/>
      <c r="FQ70" s="47"/>
      <c r="FR70" s="47"/>
    </row>
    <row r="71" spans="2:174" ht="11.25" customHeight="1">
      <c r="B71" s="137"/>
      <c r="C71" s="383"/>
      <c r="D71" s="383"/>
      <c r="E71" s="383"/>
      <c r="F71" s="372"/>
      <c r="G71" s="373"/>
      <c r="H71" s="374"/>
      <c r="I71" s="373"/>
      <c r="J71" s="88"/>
      <c r="BA71" s="137"/>
      <c r="BB71" s="172"/>
      <c r="BC71" s="173"/>
      <c r="BD71" s="174"/>
      <c r="BE71" s="173"/>
      <c r="BF71" s="88"/>
      <c r="BH71" s="137"/>
      <c r="BI71" s="172"/>
      <c r="BJ71" s="173"/>
      <c r="BK71" s="174"/>
      <c r="BL71" s="173"/>
      <c r="BM71" s="88"/>
      <c r="BO71" s="137"/>
      <c r="BP71" s="172"/>
      <c r="BQ71" s="173"/>
      <c r="BR71" s="174"/>
      <c r="BS71" s="173"/>
      <c r="BT71" s="88"/>
      <c r="CW71" s="67" t="str">
        <f>IF(COUNT(CV90:CV389)&gt;1,AVERAGE(CV90:CV389),"")</f>
        <v/>
      </c>
      <c r="CX71" s="91" t="str">
        <f>IF(COUNT(CX90:CX389)&gt;1,AVERAGE(CX90:CX389),"")</f>
        <v/>
      </c>
      <c r="CZ71" s="791" t="s">
        <v>1053</v>
      </c>
      <c r="DA71" s="459"/>
      <c r="FN71" s="50"/>
      <c r="FO71" s="47"/>
      <c r="FP71" s="47"/>
      <c r="FQ71" s="47"/>
      <c r="FR71" s="47"/>
    </row>
    <row r="72" spans="2:174" ht="11.25" customHeight="1">
      <c r="B72" s="137"/>
      <c r="C72" s="383"/>
      <c r="D72" s="383"/>
      <c r="E72" s="383"/>
      <c r="F72" s="372"/>
      <c r="G72" s="373"/>
      <c r="H72" s="374"/>
      <c r="I72" s="373"/>
      <c r="J72" s="88"/>
      <c r="BA72" s="137"/>
      <c r="BB72" s="172"/>
      <c r="BC72" s="173"/>
      <c r="BD72" s="174"/>
      <c r="BE72" s="173"/>
      <c r="BF72" s="88"/>
      <c r="BH72" s="137"/>
      <c r="BI72" s="172"/>
      <c r="BJ72" s="173"/>
      <c r="BK72" s="174"/>
      <c r="BL72" s="173"/>
      <c r="BM72" s="88"/>
      <c r="BO72" s="137"/>
      <c r="BP72" s="172"/>
      <c r="BQ72" s="173"/>
      <c r="BR72" s="174"/>
      <c r="BS72" s="173"/>
      <c r="BT72" s="88"/>
      <c r="CW72" s="67" t="str">
        <f>IF(COUNT(CV90:CV389)&gt;1,STDEV(CV90:CV389),"")</f>
        <v/>
      </c>
      <c r="CX72" s="91" t="str">
        <f>IF(COUNT(CX90:CX389)&gt;1,STDEV(CX90:CX389),"")</f>
        <v/>
      </c>
      <c r="CZ72" s="92" t="s">
        <v>1051</v>
      </c>
      <c r="DA72" s="792"/>
      <c r="FN72" s="50"/>
      <c r="FO72" s="47"/>
      <c r="FP72" s="47"/>
      <c r="FQ72" s="47"/>
      <c r="FR72" s="47"/>
    </row>
    <row r="73" spans="2:174" ht="11.25" customHeight="1">
      <c r="B73" s="137"/>
      <c r="C73" s="383"/>
      <c r="D73" s="383"/>
      <c r="E73" s="383"/>
      <c r="F73" s="372"/>
      <c r="G73" s="373"/>
      <c r="H73" s="374"/>
      <c r="I73" s="373"/>
      <c r="J73" s="88"/>
      <c r="BA73" s="137"/>
      <c r="BB73" s="172"/>
      <c r="BC73" s="173"/>
      <c r="BD73" s="174"/>
      <c r="BE73" s="173"/>
      <c r="BF73" s="88"/>
      <c r="BH73" s="137"/>
      <c r="BI73" s="172"/>
      <c r="BJ73" s="173"/>
      <c r="BK73" s="174"/>
      <c r="BL73" s="173"/>
      <c r="BM73" s="88"/>
      <c r="BO73" s="137"/>
      <c r="BP73" s="172"/>
      <c r="BQ73" s="173"/>
      <c r="BR73" s="174"/>
      <c r="BS73" s="173"/>
      <c r="BT73" s="88"/>
      <c r="CW73" s="67" t="str">
        <f>IF(COUNT(CW85:CW384)&gt;1,COUNT(CW85:CW384),"")</f>
        <v/>
      </c>
      <c r="CX73" s="91" t="str">
        <f>IF(COUNT(CY85:CY384)&gt;1,COUNT(CY85:CY384),"")</f>
        <v/>
      </c>
      <c r="CZ73" s="797" t="s">
        <v>1052</v>
      </c>
      <c r="DA73" s="798"/>
      <c r="FN73" s="50"/>
      <c r="FO73" s="47"/>
      <c r="FP73" s="47"/>
      <c r="FQ73" s="47"/>
      <c r="FR73" s="47"/>
    </row>
    <row r="74" spans="2:174" ht="11.25" customHeight="1">
      <c r="B74" s="137"/>
      <c r="C74" s="383"/>
      <c r="D74" s="383"/>
      <c r="E74" s="383"/>
      <c r="F74" s="372"/>
      <c r="G74" s="373"/>
      <c r="H74" s="374"/>
      <c r="I74" s="373"/>
      <c r="J74" s="88"/>
      <c r="BA74" s="137"/>
      <c r="BB74" s="172"/>
      <c r="BC74" s="173"/>
      <c r="BD74" s="174"/>
      <c r="BE74" s="173"/>
      <c r="BF74" s="88"/>
      <c r="BH74" s="137"/>
      <c r="BI74" s="172"/>
      <c r="BJ74" s="173"/>
      <c r="BK74" s="174"/>
      <c r="BL74" s="173"/>
      <c r="BM74" s="88"/>
      <c r="BO74" s="137"/>
      <c r="BP74" s="172"/>
      <c r="BQ74" s="173"/>
      <c r="BR74" s="174"/>
      <c r="BS74" s="173"/>
      <c r="BT74" s="88"/>
      <c r="CW74" s="67" t="str">
        <f>IF(COUNT(CW85:CW384)&gt;1,AVERAGE(CW85:CW384),"")</f>
        <v/>
      </c>
      <c r="CX74" s="91" t="str">
        <f>IF(COUNT(CY85:CY384)&gt;1,AVERAGE(CY85:CY384),"")</f>
        <v/>
      </c>
      <c r="CZ74" s="50"/>
      <c r="DA74" s="48"/>
      <c r="FN74" s="50"/>
      <c r="FO74" s="47"/>
      <c r="FP74" s="47"/>
      <c r="FQ74" s="47"/>
      <c r="FR74" s="47"/>
    </row>
    <row r="75" spans="2:174" ht="11.25" customHeight="1">
      <c r="B75" s="137"/>
      <c r="C75" s="383"/>
      <c r="D75" s="383"/>
      <c r="E75" s="383"/>
      <c r="F75" s="372"/>
      <c r="G75" s="373"/>
      <c r="H75" s="374"/>
      <c r="I75" s="373"/>
      <c r="J75" s="88"/>
      <c r="BA75" s="137"/>
      <c r="BB75" s="172"/>
      <c r="BC75" s="173"/>
      <c r="BD75" s="174"/>
      <c r="BE75" s="173"/>
      <c r="BF75" s="88"/>
      <c r="BH75" s="137"/>
      <c r="BI75" s="172"/>
      <c r="BJ75" s="173"/>
      <c r="BK75" s="174"/>
      <c r="BL75" s="173"/>
      <c r="BM75" s="88"/>
      <c r="BO75" s="137"/>
      <c r="BP75" s="172"/>
      <c r="BQ75" s="173"/>
      <c r="BR75" s="174"/>
      <c r="BS75" s="173"/>
      <c r="BT75" s="88"/>
      <c r="CW75" s="69" t="str">
        <f>IF(COUNT(CW85:CW384)&gt;1,STDEV(CW85:CW384),"")</f>
        <v/>
      </c>
      <c r="CX75" s="97" t="str">
        <f>IF(COUNT(CY85:CY384)&gt;1,STDEV(CY85:CY384),"")</f>
        <v/>
      </c>
      <c r="CZ75" s="48"/>
      <c r="DA75" s="50"/>
      <c r="FN75" s="50"/>
      <c r="FO75" s="47"/>
      <c r="FP75" s="47"/>
      <c r="FQ75" s="47"/>
      <c r="FR75" s="47"/>
    </row>
    <row r="76" spans="2:174" ht="11.25" customHeight="1">
      <c r="B76" s="137"/>
      <c r="C76" s="383"/>
      <c r="D76" s="383"/>
      <c r="E76" s="383"/>
      <c r="F76" s="372"/>
      <c r="G76" s="373"/>
      <c r="H76" s="374"/>
      <c r="I76" s="373"/>
      <c r="J76" s="88"/>
      <c r="BA76" s="137"/>
      <c r="BB76" s="172"/>
      <c r="BC76" s="173"/>
      <c r="BD76" s="174"/>
      <c r="BE76" s="173"/>
      <c r="BF76" s="88"/>
      <c r="BH76" s="137"/>
      <c r="BI76" s="172"/>
      <c r="BJ76" s="173"/>
      <c r="BK76" s="174"/>
      <c r="BL76" s="173"/>
      <c r="BM76" s="88"/>
      <c r="BO76" s="137"/>
      <c r="BP76" s="172"/>
      <c r="BQ76" s="173"/>
      <c r="BR76" s="174"/>
      <c r="BS76" s="173"/>
      <c r="BT76" s="88"/>
      <c r="CZ76" s="48"/>
      <c r="DA76" s="48"/>
      <c r="FN76" s="50"/>
      <c r="FO76" s="47"/>
      <c r="FP76" s="47"/>
      <c r="FQ76" s="47"/>
      <c r="FR76" s="47"/>
    </row>
    <row r="77" spans="2:174" ht="11.25" customHeight="1">
      <c r="B77" s="137"/>
      <c r="C77" s="383"/>
      <c r="D77" s="383"/>
      <c r="E77" s="383"/>
      <c r="F77" s="372"/>
      <c r="G77" s="373"/>
      <c r="H77" s="374"/>
      <c r="I77" s="373"/>
      <c r="J77" s="88"/>
      <c r="BA77" s="137"/>
      <c r="BB77" s="172"/>
      <c r="BC77" s="173"/>
      <c r="BD77" s="174"/>
      <c r="BE77" s="173"/>
      <c r="BF77" s="88"/>
      <c r="BH77" s="137"/>
      <c r="BI77" s="172"/>
      <c r="BJ77" s="173"/>
      <c r="BK77" s="174"/>
      <c r="BL77" s="173"/>
      <c r="BM77" s="88"/>
      <c r="BO77" s="137"/>
      <c r="BP77" s="172"/>
      <c r="BQ77" s="173"/>
      <c r="BR77" s="174"/>
      <c r="BS77" s="173"/>
      <c r="BT77" s="88"/>
      <c r="FN77" s="50"/>
      <c r="FO77" s="47"/>
      <c r="FP77" s="47"/>
      <c r="FQ77" s="47"/>
      <c r="FR77" s="47"/>
    </row>
    <row r="78" spans="2:174" ht="11.25" customHeight="1">
      <c r="B78" s="137"/>
      <c r="C78" s="383"/>
      <c r="D78" s="383"/>
      <c r="E78" s="383"/>
      <c r="F78" s="372"/>
      <c r="G78" s="373"/>
      <c r="H78" s="374"/>
      <c r="I78" s="373"/>
      <c r="J78" s="88"/>
      <c r="BA78" s="137"/>
      <c r="BB78" s="172"/>
      <c r="BC78" s="173"/>
      <c r="BD78" s="174"/>
      <c r="BE78" s="173"/>
      <c r="BF78" s="88"/>
      <c r="BH78" s="137"/>
      <c r="BI78" s="172"/>
      <c r="BJ78" s="173"/>
      <c r="BK78" s="174"/>
      <c r="BL78" s="173"/>
      <c r="BM78" s="88"/>
      <c r="BO78" s="137"/>
      <c r="BP78" s="172"/>
      <c r="BQ78" s="173"/>
      <c r="BR78" s="174"/>
      <c r="BS78" s="173"/>
      <c r="BT78" s="88"/>
      <c r="FN78" s="50"/>
      <c r="FO78" s="47"/>
      <c r="FP78" s="47"/>
      <c r="FQ78" s="47"/>
      <c r="FR78" s="47"/>
    </row>
    <row r="79" spans="2:174" ht="11.25" customHeight="1">
      <c r="B79" s="137"/>
      <c r="C79" s="383"/>
      <c r="D79" s="383"/>
      <c r="E79" s="383"/>
      <c r="F79" s="372"/>
      <c r="G79" s="373"/>
      <c r="H79" s="374"/>
      <c r="I79" s="373"/>
      <c r="J79" s="88"/>
      <c r="BA79" s="137"/>
      <c r="BB79" s="172"/>
      <c r="BC79" s="173"/>
      <c r="BD79" s="174"/>
      <c r="BE79" s="173"/>
      <c r="BF79" s="88"/>
      <c r="BH79" s="137"/>
      <c r="BI79" s="172"/>
      <c r="BJ79" s="173"/>
      <c r="BK79" s="174"/>
      <c r="BL79" s="173"/>
      <c r="BM79" s="88"/>
      <c r="BO79" s="137"/>
      <c r="BP79" s="172"/>
      <c r="BQ79" s="173"/>
      <c r="BR79" s="174"/>
      <c r="BS79" s="173"/>
      <c r="BT79" s="88"/>
      <c r="FN79" s="50"/>
      <c r="FO79" s="47"/>
      <c r="FP79" s="47"/>
      <c r="FQ79" s="47"/>
      <c r="FR79" s="47"/>
    </row>
    <row r="80" spans="2:174" ht="11.25" customHeight="1">
      <c r="B80" s="137"/>
      <c r="C80" s="383"/>
      <c r="D80" s="383"/>
      <c r="E80" s="383"/>
      <c r="F80" s="372"/>
      <c r="G80" s="373"/>
      <c r="H80" s="374"/>
      <c r="I80" s="373"/>
      <c r="J80" s="88"/>
      <c r="BA80" s="137"/>
      <c r="BB80" s="172"/>
      <c r="BC80" s="173"/>
      <c r="BD80" s="174"/>
      <c r="BE80" s="173"/>
      <c r="BF80" s="88"/>
      <c r="BH80" s="137"/>
      <c r="BI80" s="172"/>
      <c r="BJ80" s="173"/>
      <c r="BK80" s="174"/>
      <c r="BL80" s="173"/>
      <c r="BM80" s="88"/>
      <c r="BO80" s="137"/>
      <c r="BP80" s="172"/>
      <c r="BQ80" s="173"/>
      <c r="BR80" s="174"/>
      <c r="BS80" s="173"/>
      <c r="BT80" s="88"/>
      <c r="FN80" s="50"/>
      <c r="FO80" s="47"/>
      <c r="FP80" s="47"/>
      <c r="FQ80" s="47"/>
      <c r="FR80" s="47"/>
    </row>
    <row r="81" spans="2:174" ht="11.25" customHeight="1">
      <c r="B81" s="137"/>
      <c r="C81" s="383"/>
      <c r="D81" s="383"/>
      <c r="E81" s="383"/>
      <c r="F81" s="372"/>
      <c r="G81" s="373"/>
      <c r="H81" s="374"/>
      <c r="I81" s="373"/>
      <c r="J81" s="88"/>
      <c r="BA81" s="137"/>
      <c r="BB81" s="172"/>
      <c r="BC81" s="173"/>
      <c r="BD81" s="174"/>
      <c r="BE81" s="173"/>
      <c r="BF81" s="88"/>
      <c r="BH81" s="137"/>
      <c r="BI81" s="172"/>
      <c r="BJ81" s="173"/>
      <c r="BK81" s="174"/>
      <c r="BL81" s="173"/>
      <c r="BM81" s="88"/>
      <c r="BO81" s="137"/>
      <c r="BP81" s="172"/>
      <c r="BQ81" s="173"/>
      <c r="BR81" s="174"/>
      <c r="BS81" s="173"/>
      <c r="BT81" s="88"/>
      <c r="FN81" s="50"/>
      <c r="FO81" s="47"/>
      <c r="FP81" s="47"/>
      <c r="FQ81" s="47"/>
      <c r="FR81" s="47"/>
    </row>
    <row r="82" spans="2:174" ht="11.25" customHeight="1">
      <c r="B82" s="137"/>
      <c r="C82" s="383"/>
      <c r="D82" s="383"/>
      <c r="E82" s="383"/>
      <c r="F82" s="372"/>
      <c r="G82" s="373"/>
      <c r="H82" s="374"/>
      <c r="I82" s="373"/>
      <c r="J82" s="88"/>
      <c r="BA82" s="137"/>
      <c r="BB82" s="172"/>
      <c r="BC82" s="173"/>
      <c r="BD82" s="174"/>
      <c r="BE82" s="173"/>
      <c r="BF82" s="88"/>
      <c r="BH82" s="137"/>
      <c r="BI82" s="172"/>
      <c r="BJ82" s="173"/>
      <c r="BK82" s="174"/>
      <c r="BL82" s="173"/>
      <c r="BM82" s="88"/>
      <c r="BO82" s="137"/>
      <c r="BP82" s="172"/>
      <c r="BQ82" s="173"/>
      <c r="BR82" s="174"/>
      <c r="BS82" s="173"/>
      <c r="BT82" s="88"/>
      <c r="FN82" s="50"/>
      <c r="FO82" s="47"/>
      <c r="FP82" s="47"/>
      <c r="FQ82" s="47"/>
      <c r="FR82" s="47"/>
    </row>
    <row r="83" spans="2:174" ht="11.25" customHeight="1">
      <c r="B83" s="137"/>
      <c r="C83" s="383"/>
      <c r="D83" s="383"/>
      <c r="E83" s="383"/>
      <c r="F83" s="372"/>
      <c r="G83" s="373"/>
      <c r="H83" s="374"/>
      <c r="I83" s="373"/>
      <c r="J83" s="88"/>
      <c r="BA83" s="137"/>
      <c r="BB83" s="172"/>
      <c r="BC83" s="173"/>
      <c r="BD83" s="174"/>
      <c r="BE83" s="173"/>
      <c r="BF83" s="88"/>
      <c r="BH83" s="137"/>
      <c r="BI83" s="172"/>
      <c r="BJ83" s="173"/>
      <c r="BK83" s="174"/>
      <c r="BL83" s="173"/>
      <c r="BM83" s="88"/>
      <c r="BO83" s="137"/>
      <c r="BP83" s="172"/>
      <c r="BQ83" s="173"/>
      <c r="BR83" s="174"/>
      <c r="BS83" s="173"/>
      <c r="BT83" s="88"/>
      <c r="FN83" s="50"/>
      <c r="FO83" s="47"/>
      <c r="FP83" s="47"/>
      <c r="FQ83" s="47"/>
      <c r="FR83" s="47"/>
    </row>
    <row r="84" spans="2:174" ht="11.25" customHeight="1">
      <c r="B84" s="137"/>
      <c r="C84" s="383"/>
      <c r="D84" s="383"/>
      <c r="E84" s="383"/>
      <c r="F84" s="372"/>
      <c r="G84" s="373"/>
      <c r="H84" s="374"/>
      <c r="I84" s="373"/>
      <c r="J84" s="88"/>
      <c r="BA84" s="137"/>
      <c r="BB84" s="172"/>
      <c r="BC84" s="173"/>
      <c r="BD84" s="174"/>
      <c r="BE84" s="173"/>
      <c r="BF84" s="88"/>
      <c r="BH84" s="137"/>
      <c r="BI84" s="172"/>
      <c r="BJ84" s="173"/>
      <c r="BK84" s="174"/>
      <c r="BL84" s="173"/>
      <c r="BM84" s="88"/>
      <c r="BO84" s="137"/>
      <c r="BP84" s="172"/>
      <c r="BQ84" s="173"/>
      <c r="BR84" s="174"/>
      <c r="BS84" s="173"/>
      <c r="BT84" s="88"/>
      <c r="FN84" s="50"/>
      <c r="FO84" s="47"/>
      <c r="FP84" s="47"/>
      <c r="FQ84" s="47"/>
      <c r="FR84" s="47"/>
    </row>
    <row r="85" spans="2:174" ht="11.25" customHeight="1">
      <c r="B85" s="137"/>
      <c r="C85" s="383"/>
      <c r="D85" s="383"/>
      <c r="E85" s="383"/>
      <c r="F85" s="372"/>
      <c r="G85" s="373"/>
      <c r="H85" s="374"/>
      <c r="I85" s="373"/>
      <c r="J85" s="88"/>
      <c r="BA85" s="137"/>
      <c r="BB85" s="172"/>
      <c r="BC85" s="173"/>
      <c r="BD85" s="174"/>
      <c r="BE85" s="173"/>
      <c r="BF85" s="88"/>
      <c r="BH85" s="137"/>
      <c r="BI85" s="172"/>
      <c r="BJ85" s="173"/>
      <c r="BK85" s="174"/>
      <c r="BL85" s="173"/>
      <c r="BM85" s="88"/>
      <c r="BO85" s="137"/>
      <c r="BP85" s="172"/>
      <c r="BQ85" s="173"/>
      <c r="BR85" s="174"/>
      <c r="BS85" s="173"/>
      <c r="BT85" s="88"/>
      <c r="FN85" s="50"/>
      <c r="FO85" s="47"/>
      <c r="FP85" s="47"/>
      <c r="FQ85" s="47"/>
      <c r="FR85" s="47"/>
    </row>
    <row r="86" spans="2:174" ht="11.25" customHeight="1">
      <c r="B86" s="137"/>
      <c r="C86" s="383"/>
      <c r="D86" s="383"/>
      <c r="E86" s="383"/>
      <c r="F86" s="372"/>
      <c r="G86" s="373"/>
      <c r="H86" s="374"/>
      <c r="I86" s="373"/>
      <c r="J86" s="88"/>
      <c r="BA86" s="137"/>
      <c r="BB86" s="172"/>
      <c r="BC86" s="173"/>
      <c r="BD86" s="174"/>
      <c r="BE86" s="173"/>
      <c r="BF86" s="88"/>
      <c r="BH86" s="137"/>
      <c r="BI86" s="172"/>
      <c r="BJ86" s="173"/>
      <c r="BK86" s="174"/>
      <c r="BL86" s="173"/>
      <c r="BM86" s="88"/>
      <c r="BO86" s="137"/>
      <c r="BP86" s="172"/>
      <c r="BQ86" s="173"/>
      <c r="BR86" s="174"/>
      <c r="BS86" s="173"/>
      <c r="BT86" s="88"/>
      <c r="FN86" s="50"/>
      <c r="FO86" s="47"/>
      <c r="FP86" s="47"/>
      <c r="FQ86" s="47"/>
      <c r="FR86" s="47"/>
    </row>
    <row r="87" spans="2:174" ht="11.25" customHeight="1">
      <c r="B87" s="137"/>
      <c r="C87" s="383"/>
      <c r="D87" s="383"/>
      <c r="E87" s="383"/>
      <c r="F87" s="372"/>
      <c r="G87" s="373"/>
      <c r="H87" s="374"/>
      <c r="I87" s="373"/>
      <c r="J87" s="88"/>
      <c r="BA87" s="137"/>
      <c r="BB87" s="172"/>
      <c r="BC87" s="173"/>
      <c r="BD87" s="174"/>
      <c r="BE87" s="173"/>
      <c r="BF87" s="88"/>
      <c r="BH87" s="137"/>
      <c r="BI87" s="172"/>
      <c r="BJ87" s="173"/>
      <c r="BK87" s="174"/>
      <c r="BL87" s="173"/>
      <c r="BM87" s="88"/>
      <c r="BO87" s="137"/>
      <c r="BP87" s="172"/>
      <c r="BQ87" s="173"/>
      <c r="BR87" s="174"/>
      <c r="BS87" s="173"/>
      <c r="BT87" s="88"/>
      <c r="FN87" s="50"/>
      <c r="FO87" s="47"/>
      <c r="FP87" s="47"/>
      <c r="FQ87" s="47"/>
      <c r="FR87" s="47"/>
    </row>
    <row r="88" spans="2:174" ht="11.25" customHeight="1">
      <c r="B88" s="137"/>
      <c r="C88" s="383"/>
      <c r="D88" s="383"/>
      <c r="E88" s="383"/>
      <c r="F88" s="372"/>
      <c r="G88" s="373"/>
      <c r="H88" s="374"/>
      <c r="I88" s="373"/>
      <c r="J88" s="88"/>
      <c r="BA88" s="137"/>
      <c r="BB88" s="172"/>
      <c r="BC88" s="173"/>
      <c r="BD88" s="174"/>
      <c r="BE88" s="173"/>
      <c r="BF88" s="88"/>
      <c r="BH88" s="137"/>
      <c r="BI88" s="172"/>
      <c r="BJ88" s="173"/>
      <c r="BK88" s="174"/>
      <c r="BL88" s="173"/>
      <c r="BM88" s="88"/>
      <c r="BO88" s="137"/>
      <c r="BP88" s="172"/>
      <c r="BQ88" s="173"/>
      <c r="BR88" s="174"/>
      <c r="BS88" s="173"/>
      <c r="BT88" s="88"/>
      <c r="FN88" s="50"/>
      <c r="FO88" s="47"/>
      <c r="FP88" s="47"/>
      <c r="FQ88" s="47"/>
      <c r="FR88" s="47"/>
    </row>
    <row r="89" spans="2:174" ht="11.25" customHeight="1">
      <c r="B89" s="137"/>
      <c r="C89" s="383"/>
      <c r="D89" s="383"/>
      <c r="E89" s="383"/>
      <c r="F89" s="372"/>
      <c r="G89" s="373"/>
      <c r="H89" s="374"/>
      <c r="I89" s="373"/>
      <c r="J89" s="88"/>
      <c r="BA89" s="137"/>
      <c r="BB89" s="172"/>
      <c r="BC89" s="173"/>
      <c r="BD89" s="174"/>
      <c r="BE89" s="173"/>
      <c r="BF89" s="88"/>
      <c r="BH89" s="137"/>
      <c r="BI89" s="172"/>
      <c r="BJ89" s="173"/>
      <c r="BK89" s="174"/>
      <c r="BL89" s="173"/>
      <c r="BM89" s="88"/>
      <c r="BO89" s="137"/>
      <c r="BP89" s="172"/>
      <c r="BQ89" s="173"/>
      <c r="BR89" s="174"/>
      <c r="BS89" s="173"/>
      <c r="BT89" s="88"/>
      <c r="FN89" s="50"/>
      <c r="FO89" s="47"/>
      <c r="FP89" s="47"/>
      <c r="FQ89" s="47"/>
      <c r="FR89" s="47"/>
    </row>
    <row r="90" spans="2:174" ht="11.25" customHeight="1">
      <c r="B90" s="137"/>
      <c r="C90" s="383"/>
      <c r="D90" s="383"/>
      <c r="E90" s="383"/>
      <c r="F90" s="372"/>
      <c r="G90" s="373"/>
      <c r="H90" s="374"/>
      <c r="I90" s="373"/>
      <c r="J90" s="88"/>
      <c r="BA90" s="137"/>
      <c r="BB90" s="172"/>
      <c r="BC90" s="173"/>
      <c r="BD90" s="174"/>
      <c r="BE90" s="173"/>
      <c r="BF90" s="88"/>
      <c r="BH90" s="137"/>
      <c r="BI90" s="172"/>
      <c r="BJ90" s="173"/>
      <c r="BK90" s="174"/>
      <c r="BL90" s="173"/>
      <c r="BM90" s="88"/>
      <c r="BO90" s="137"/>
      <c r="BP90" s="172"/>
      <c r="BQ90" s="173"/>
      <c r="BR90" s="174"/>
      <c r="BS90" s="173"/>
      <c r="BT90" s="88"/>
      <c r="FN90" s="50"/>
      <c r="FO90" s="47"/>
      <c r="FP90" s="47"/>
      <c r="FQ90" s="47"/>
      <c r="FR90" s="47"/>
    </row>
    <row r="91" spans="2:174" ht="11.25" customHeight="1">
      <c r="B91" s="137"/>
      <c r="C91" s="383"/>
      <c r="D91" s="383"/>
      <c r="E91" s="383"/>
      <c r="F91" s="372"/>
      <c r="G91" s="373"/>
      <c r="H91" s="374"/>
      <c r="I91" s="373"/>
      <c r="J91" s="88"/>
      <c r="BA91" s="137"/>
      <c r="BB91" s="172"/>
      <c r="BC91" s="173"/>
      <c r="BD91" s="174"/>
      <c r="BE91" s="173"/>
      <c r="BF91" s="88"/>
      <c r="BH91" s="137"/>
      <c r="BI91" s="172"/>
      <c r="BJ91" s="173"/>
      <c r="BK91" s="174"/>
      <c r="BL91" s="173"/>
      <c r="BM91" s="88"/>
      <c r="BO91" s="137"/>
      <c r="BP91" s="172"/>
      <c r="BQ91" s="173"/>
      <c r="BR91" s="174"/>
      <c r="BS91" s="173"/>
      <c r="BT91" s="88"/>
      <c r="FN91" s="50"/>
      <c r="FO91" s="47"/>
      <c r="FP91" s="47"/>
      <c r="FQ91" s="47"/>
      <c r="FR91" s="47"/>
    </row>
    <row r="92" spans="2:174" ht="11.25" customHeight="1">
      <c r="B92" s="137"/>
      <c r="C92" s="383"/>
      <c r="D92" s="383"/>
      <c r="E92" s="383"/>
      <c r="F92" s="372"/>
      <c r="G92" s="373"/>
      <c r="H92" s="374"/>
      <c r="I92" s="373"/>
      <c r="J92" s="88"/>
      <c r="BA92" s="137"/>
      <c r="BB92" s="172"/>
      <c r="BC92" s="173"/>
      <c r="BD92" s="174"/>
      <c r="BE92" s="173"/>
      <c r="BF92" s="88"/>
      <c r="BH92" s="137"/>
      <c r="BI92" s="172"/>
      <c r="BJ92" s="173"/>
      <c r="BK92" s="174"/>
      <c r="BL92" s="173"/>
      <c r="BM92" s="88"/>
      <c r="BO92" s="137"/>
      <c r="BP92" s="172"/>
      <c r="BQ92" s="173"/>
      <c r="BR92" s="174"/>
      <c r="BS92" s="173"/>
      <c r="BT92" s="88"/>
      <c r="FN92" s="50"/>
      <c r="FO92" s="47"/>
      <c r="FP92" s="47"/>
      <c r="FQ92" s="47"/>
      <c r="FR92" s="47"/>
    </row>
    <row r="93" spans="2:174" ht="11.25" customHeight="1">
      <c r="B93" s="137"/>
      <c r="C93" s="383"/>
      <c r="D93" s="383"/>
      <c r="E93" s="383"/>
      <c r="F93" s="372"/>
      <c r="G93" s="373"/>
      <c r="H93" s="374"/>
      <c r="I93" s="373"/>
      <c r="J93" s="88"/>
      <c r="BA93" s="137"/>
      <c r="BB93" s="172"/>
      <c r="BC93" s="173"/>
      <c r="BD93" s="174"/>
      <c r="BE93" s="173"/>
      <c r="BF93" s="88"/>
      <c r="BH93" s="137"/>
      <c r="BI93" s="172"/>
      <c r="BJ93" s="173"/>
      <c r="BK93" s="174"/>
      <c r="BL93" s="173"/>
      <c r="BM93" s="88"/>
      <c r="BO93" s="137"/>
      <c r="BP93" s="172"/>
      <c r="BQ93" s="173"/>
      <c r="BR93" s="174"/>
      <c r="BS93" s="173"/>
      <c r="BT93" s="88"/>
      <c r="FN93" s="50"/>
      <c r="FO93" s="47"/>
      <c r="FP93" s="47"/>
      <c r="FQ93" s="47"/>
      <c r="FR93" s="47"/>
    </row>
    <row r="94" spans="2:174" ht="11.25" customHeight="1">
      <c r="B94" s="137"/>
      <c r="C94" s="383"/>
      <c r="D94" s="383"/>
      <c r="E94" s="383"/>
      <c r="F94" s="372"/>
      <c r="G94" s="373"/>
      <c r="H94" s="374"/>
      <c r="I94" s="373"/>
      <c r="J94" s="88"/>
      <c r="BA94" s="137"/>
      <c r="BB94" s="172"/>
      <c r="BC94" s="173"/>
      <c r="BD94" s="174"/>
      <c r="BE94" s="173"/>
      <c r="BF94" s="88"/>
      <c r="BH94" s="137"/>
      <c r="BI94" s="172"/>
      <c r="BJ94" s="173"/>
      <c r="BK94" s="174"/>
      <c r="BL94" s="173"/>
      <c r="BM94" s="88"/>
      <c r="BO94" s="137"/>
      <c r="BP94" s="172"/>
      <c r="BQ94" s="173"/>
      <c r="BR94" s="174"/>
      <c r="BS94" s="173"/>
      <c r="BT94" s="88"/>
      <c r="FN94" s="50"/>
      <c r="FO94" s="47"/>
      <c r="FP94" s="47"/>
      <c r="FQ94" s="47"/>
      <c r="FR94" s="47"/>
    </row>
    <row r="95" spans="2:174" ht="11.25" customHeight="1">
      <c r="B95" s="137"/>
      <c r="C95" s="383"/>
      <c r="D95" s="383"/>
      <c r="E95" s="383"/>
      <c r="F95" s="372"/>
      <c r="G95" s="373"/>
      <c r="H95" s="374"/>
      <c r="I95" s="373"/>
      <c r="J95" s="88"/>
      <c r="BA95" s="137"/>
      <c r="BB95" s="172"/>
      <c r="BC95" s="173"/>
      <c r="BD95" s="174"/>
      <c r="BE95" s="173"/>
      <c r="BF95" s="88"/>
      <c r="BH95" s="137"/>
      <c r="BI95" s="172"/>
      <c r="BJ95" s="173"/>
      <c r="BK95" s="174"/>
      <c r="BL95" s="173"/>
      <c r="BM95" s="88"/>
      <c r="BO95" s="137"/>
      <c r="BP95" s="172"/>
      <c r="BQ95" s="173"/>
      <c r="BR95" s="174"/>
      <c r="BS95" s="173"/>
      <c r="BT95" s="88"/>
      <c r="FN95" s="50"/>
      <c r="FO95" s="47"/>
      <c r="FP95" s="47"/>
      <c r="FQ95" s="47"/>
      <c r="FR95" s="47"/>
    </row>
    <row r="96" spans="2:174" ht="11.25" customHeight="1">
      <c r="B96" s="137"/>
      <c r="C96" s="383"/>
      <c r="D96" s="383"/>
      <c r="E96" s="383"/>
      <c r="F96" s="372"/>
      <c r="G96" s="373"/>
      <c r="H96" s="374"/>
      <c r="I96" s="373"/>
      <c r="J96" s="88"/>
      <c r="BA96" s="137"/>
      <c r="BB96" s="172"/>
      <c r="BC96" s="173"/>
      <c r="BD96" s="174"/>
      <c r="BE96" s="173"/>
      <c r="BF96" s="88"/>
      <c r="BH96" s="137"/>
      <c r="BI96" s="172"/>
      <c r="BJ96" s="173"/>
      <c r="BK96" s="174"/>
      <c r="BL96" s="173"/>
      <c r="BM96" s="88"/>
      <c r="BO96" s="137"/>
      <c r="BP96" s="172"/>
      <c r="BQ96" s="173"/>
      <c r="BR96" s="174"/>
      <c r="BS96" s="173"/>
      <c r="BT96" s="88"/>
      <c r="FN96" s="50"/>
      <c r="FO96" s="47"/>
      <c r="FP96" s="47"/>
      <c r="FQ96" s="47"/>
      <c r="FR96" s="47"/>
    </row>
    <row r="97" spans="2:174" ht="11.25" customHeight="1">
      <c r="B97" s="137"/>
      <c r="C97" s="383"/>
      <c r="D97" s="383"/>
      <c r="E97" s="383"/>
      <c r="F97" s="372"/>
      <c r="G97" s="373"/>
      <c r="H97" s="374"/>
      <c r="I97" s="373"/>
      <c r="J97" s="88"/>
      <c r="BA97" s="137"/>
      <c r="BB97" s="172"/>
      <c r="BC97" s="173"/>
      <c r="BD97" s="174"/>
      <c r="BE97" s="173"/>
      <c r="BF97" s="88"/>
      <c r="BH97" s="137"/>
      <c r="BI97" s="172"/>
      <c r="BJ97" s="173"/>
      <c r="BK97" s="174"/>
      <c r="BL97" s="173"/>
      <c r="BM97" s="88"/>
      <c r="BO97" s="137"/>
      <c r="BP97" s="172"/>
      <c r="BQ97" s="173"/>
      <c r="BR97" s="174"/>
      <c r="BS97" s="173"/>
      <c r="BT97" s="88"/>
      <c r="FN97" s="50"/>
      <c r="FO97" s="47"/>
      <c r="FP97" s="47"/>
      <c r="FQ97" s="47"/>
      <c r="FR97" s="47"/>
    </row>
    <row r="98" spans="2:174" ht="11.25" customHeight="1">
      <c r="B98" s="137"/>
      <c r="C98" s="383"/>
      <c r="D98" s="383"/>
      <c r="E98" s="383"/>
      <c r="F98" s="372"/>
      <c r="G98" s="373"/>
      <c r="H98" s="374"/>
      <c r="I98" s="373"/>
      <c r="J98" s="88"/>
      <c r="BA98" s="137"/>
      <c r="BB98" s="172"/>
      <c r="BC98" s="173"/>
      <c r="BD98" s="174"/>
      <c r="BE98" s="173"/>
      <c r="BF98" s="88"/>
      <c r="BH98" s="137"/>
      <c r="BI98" s="172"/>
      <c r="BJ98" s="173"/>
      <c r="BK98" s="174"/>
      <c r="BL98" s="173"/>
      <c r="BM98" s="88"/>
      <c r="BO98" s="137"/>
      <c r="BP98" s="172"/>
      <c r="BQ98" s="173"/>
      <c r="BR98" s="174"/>
      <c r="BS98" s="173"/>
      <c r="BT98" s="88"/>
      <c r="FN98" s="50"/>
      <c r="FO98" s="47"/>
      <c r="FP98" s="47"/>
      <c r="FQ98" s="47"/>
      <c r="FR98" s="47"/>
    </row>
    <row r="99" spans="2:174" ht="11.25" customHeight="1">
      <c r="B99" s="137"/>
      <c r="C99" s="383"/>
      <c r="D99" s="383"/>
      <c r="E99" s="383"/>
      <c r="F99" s="372"/>
      <c r="G99" s="373"/>
      <c r="H99" s="374"/>
      <c r="I99" s="373"/>
      <c r="J99" s="88"/>
      <c r="BA99" s="137"/>
      <c r="BB99" s="172"/>
      <c r="BC99" s="173"/>
      <c r="BD99" s="174"/>
      <c r="BE99" s="173"/>
      <c r="BF99" s="88"/>
      <c r="BH99" s="137"/>
      <c r="BI99" s="172"/>
      <c r="BJ99" s="173"/>
      <c r="BK99" s="174"/>
      <c r="BL99" s="173"/>
      <c r="BM99" s="88"/>
      <c r="BO99" s="137"/>
      <c r="BP99" s="172"/>
      <c r="BQ99" s="173"/>
      <c r="BR99" s="174"/>
      <c r="BS99" s="173"/>
      <c r="BT99" s="88"/>
      <c r="FN99" s="50"/>
      <c r="FO99" s="47"/>
      <c r="FP99" s="47"/>
      <c r="FQ99" s="47"/>
      <c r="FR99" s="47"/>
    </row>
    <row r="100" spans="2:174" ht="11.25" customHeight="1">
      <c r="B100" s="137"/>
      <c r="C100" s="383"/>
      <c r="D100" s="383"/>
      <c r="E100" s="383"/>
      <c r="F100" s="372"/>
      <c r="G100" s="373"/>
      <c r="H100" s="374"/>
      <c r="I100" s="373"/>
      <c r="J100" s="88"/>
      <c r="BA100" s="137"/>
      <c r="BB100" s="172"/>
      <c r="BC100" s="173"/>
      <c r="BD100" s="174"/>
      <c r="BE100" s="173"/>
      <c r="BF100" s="88"/>
      <c r="BH100" s="137"/>
      <c r="BI100" s="172"/>
      <c r="BJ100" s="173"/>
      <c r="BK100" s="174"/>
      <c r="BL100" s="173"/>
      <c r="BM100" s="88"/>
      <c r="BO100" s="137"/>
      <c r="BP100" s="172"/>
      <c r="BQ100" s="173"/>
      <c r="BR100" s="174"/>
      <c r="BS100" s="173"/>
      <c r="BT100" s="88"/>
      <c r="FN100" s="50"/>
      <c r="FO100" s="47"/>
      <c r="FP100" s="47"/>
      <c r="FQ100" s="47"/>
      <c r="FR100" s="47"/>
    </row>
    <row r="101" spans="2:174" ht="11.25" customHeight="1">
      <c r="B101" s="137"/>
      <c r="C101" s="383"/>
      <c r="D101" s="383"/>
      <c r="E101" s="383"/>
      <c r="F101" s="372"/>
      <c r="G101" s="373"/>
      <c r="H101" s="374"/>
      <c r="I101" s="373"/>
      <c r="J101" s="88"/>
      <c r="BA101" s="137"/>
      <c r="BB101" s="172"/>
      <c r="BC101" s="173"/>
      <c r="BD101" s="174"/>
      <c r="BE101" s="173"/>
      <c r="BF101" s="88"/>
      <c r="BH101" s="137"/>
      <c r="BI101" s="172"/>
      <c r="BJ101" s="173"/>
      <c r="BK101" s="174"/>
      <c r="BL101" s="173"/>
      <c r="BM101" s="88"/>
      <c r="BO101" s="137"/>
      <c r="BP101" s="172"/>
      <c r="BQ101" s="173"/>
      <c r="BR101" s="174"/>
      <c r="BS101" s="173"/>
      <c r="BT101" s="88"/>
      <c r="FN101" s="50"/>
      <c r="FO101" s="47"/>
      <c r="FP101" s="47"/>
      <c r="FQ101" s="47"/>
      <c r="FR101" s="47"/>
    </row>
    <row r="102" spans="2:174" ht="11.25" customHeight="1">
      <c r="B102" s="137"/>
      <c r="C102" s="383"/>
      <c r="D102" s="383"/>
      <c r="E102" s="383"/>
      <c r="F102" s="372"/>
      <c r="G102" s="373"/>
      <c r="H102" s="374"/>
      <c r="I102" s="373"/>
      <c r="J102" s="88"/>
      <c r="BA102" s="137"/>
      <c r="BB102" s="172"/>
      <c r="BC102" s="173"/>
      <c r="BD102" s="174"/>
      <c r="BE102" s="173"/>
      <c r="BF102" s="88"/>
      <c r="BH102" s="137"/>
      <c r="BI102" s="172"/>
      <c r="BJ102" s="173"/>
      <c r="BK102" s="174"/>
      <c r="BL102" s="173"/>
      <c r="BM102" s="88"/>
      <c r="BO102" s="137"/>
      <c r="BP102" s="172"/>
      <c r="BQ102" s="173"/>
      <c r="BR102" s="174"/>
      <c r="BS102" s="173"/>
      <c r="BT102" s="88"/>
      <c r="FN102" s="50"/>
      <c r="FO102" s="47"/>
      <c r="FP102" s="47"/>
      <c r="FQ102" s="47"/>
      <c r="FR102" s="47"/>
    </row>
    <row r="103" spans="2:174" ht="11.25" customHeight="1">
      <c r="B103" s="137"/>
      <c r="C103" s="383"/>
      <c r="D103" s="383"/>
      <c r="E103" s="383"/>
      <c r="F103" s="372"/>
      <c r="G103" s="373"/>
      <c r="H103" s="374"/>
      <c r="I103" s="373"/>
      <c r="J103" s="88"/>
      <c r="BA103" s="137"/>
      <c r="BB103" s="172"/>
      <c r="BC103" s="173"/>
      <c r="BD103" s="174"/>
      <c r="BE103" s="173"/>
      <c r="BF103" s="88"/>
      <c r="BH103" s="137"/>
      <c r="BI103" s="172"/>
      <c r="BJ103" s="173"/>
      <c r="BK103" s="174"/>
      <c r="BL103" s="173"/>
      <c r="BM103" s="88"/>
      <c r="BO103" s="137"/>
      <c r="BP103" s="172"/>
      <c r="BQ103" s="173"/>
      <c r="BR103" s="174"/>
      <c r="BS103" s="173"/>
      <c r="BT103" s="88"/>
      <c r="FN103" s="50"/>
      <c r="FO103" s="47"/>
      <c r="FP103" s="47"/>
      <c r="FQ103" s="47"/>
      <c r="FR103" s="47"/>
    </row>
    <row r="104" spans="2:174" ht="11.25" customHeight="1">
      <c r="B104" s="137"/>
      <c r="C104" s="383"/>
      <c r="D104" s="383"/>
      <c r="E104" s="383"/>
      <c r="F104" s="372"/>
      <c r="G104" s="373"/>
      <c r="H104" s="374"/>
      <c r="I104" s="373"/>
      <c r="J104" s="88"/>
      <c r="BA104" s="137"/>
      <c r="BB104" s="172"/>
      <c r="BC104" s="173"/>
      <c r="BD104" s="174"/>
      <c r="BE104" s="173"/>
      <c r="BF104" s="88"/>
      <c r="BH104" s="137"/>
      <c r="BI104" s="172"/>
      <c r="BJ104" s="173"/>
      <c r="BK104" s="174"/>
      <c r="BL104" s="173"/>
      <c r="BM104" s="88"/>
      <c r="BO104" s="137"/>
      <c r="BP104" s="172"/>
      <c r="BQ104" s="173"/>
      <c r="BR104" s="174"/>
      <c r="BS104" s="173"/>
      <c r="BT104" s="88"/>
      <c r="FN104" s="50"/>
      <c r="FO104" s="47"/>
      <c r="FP104" s="47"/>
      <c r="FQ104" s="47"/>
      <c r="FR104" s="47"/>
    </row>
    <row r="105" spans="2:174" ht="11.25" customHeight="1">
      <c r="B105" s="137"/>
      <c r="C105" s="383"/>
      <c r="D105" s="383"/>
      <c r="E105" s="383"/>
      <c r="F105" s="372"/>
      <c r="G105" s="373"/>
      <c r="H105" s="374"/>
      <c r="I105" s="373"/>
      <c r="J105" s="88"/>
      <c r="BA105" s="137"/>
      <c r="BB105" s="172"/>
      <c r="BC105" s="173"/>
      <c r="BD105" s="174"/>
      <c r="BE105" s="173"/>
      <c r="BF105" s="88"/>
      <c r="BH105" s="137"/>
      <c r="BI105" s="172"/>
      <c r="BJ105" s="173"/>
      <c r="BK105" s="174"/>
      <c r="BL105" s="173"/>
      <c r="BM105" s="88"/>
      <c r="BO105" s="137"/>
      <c r="BP105" s="172"/>
      <c r="BQ105" s="173"/>
      <c r="BR105" s="174"/>
      <c r="BS105" s="173"/>
      <c r="BT105" s="88"/>
      <c r="FN105" s="50"/>
      <c r="FO105" s="47"/>
      <c r="FP105" s="47"/>
      <c r="FQ105" s="47"/>
      <c r="FR105" s="47"/>
    </row>
    <row r="106" spans="2:174" ht="11.25" customHeight="1">
      <c r="B106" s="137"/>
      <c r="C106" s="383"/>
      <c r="D106" s="383"/>
      <c r="E106" s="383"/>
      <c r="F106" s="372"/>
      <c r="G106" s="373"/>
      <c r="H106" s="374"/>
      <c r="I106" s="373"/>
      <c r="J106" s="88"/>
      <c r="BA106" s="137"/>
      <c r="BB106" s="172"/>
      <c r="BC106" s="173"/>
      <c r="BD106" s="174"/>
      <c r="BE106" s="173"/>
      <c r="BF106" s="88"/>
      <c r="BH106" s="137"/>
      <c r="BI106" s="172"/>
      <c r="BJ106" s="173"/>
      <c r="BK106" s="174"/>
      <c r="BL106" s="173"/>
      <c r="BM106" s="88"/>
      <c r="BO106" s="137"/>
      <c r="BP106" s="172"/>
      <c r="BQ106" s="173"/>
      <c r="BR106" s="174"/>
      <c r="BS106" s="173"/>
      <c r="BT106" s="88"/>
      <c r="FN106" s="50"/>
      <c r="FO106" s="47"/>
      <c r="FP106" s="47"/>
      <c r="FQ106" s="47"/>
      <c r="FR106" s="47"/>
    </row>
    <row r="107" spans="2:174" ht="11.25" customHeight="1">
      <c r="B107" s="137"/>
      <c r="C107" s="383"/>
      <c r="D107" s="383"/>
      <c r="E107" s="383"/>
      <c r="F107" s="372"/>
      <c r="G107" s="373"/>
      <c r="H107" s="374"/>
      <c r="I107" s="373"/>
      <c r="J107" s="88"/>
      <c r="BA107" s="137"/>
      <c r="BB107" s="172"/>
      <c r="BC107" s="173"/>
      <c r="BD107" s="174"/>
      <c r="BE107" s="173"/>
      <c r="BF107" s="88"/>
      <c r="BH107" s="137"/>
      <c r="BI107" s="172"/>
      <c r="BJ107" s="173"/>
      <c r="BK107" s="174"/>
      <c r="BL107" s="173"/>
      <c r="BM107" s="88"/>
      <c r="BO107" s="137"/>
      <c r="BP107" s="172"/>
      <c r="BQ107" s="173"/>
      <c r="BR107" s="174"/>
      <c r="BS107" s="173"/>
      <c r="BT107" s="88"/>
      <c r="FN107" s="50"/>
      <c r="FO107" s="47"/>
      <c r="FP107" s="47"/>
      <c r="FQ107" s="47"/>
      <c r="FR107" s="47"/>
    </row>
    <row r="108" spans="2:174" ht="11.25" customHeight="1">
      <c r="B108" s="137"/>
      <c r="C108" s="383"/>
      <c r="D108" s="383"/>
      <c r="E108" s="383"/>
      <c r="F108" s="372"/>
      <c r="G108" s="373"/>
      <c r="H108" s="374"/>
      <c r="I108" s="373"/>
      <c r="J108" s="88"/>
      <c r="BA108" s="137"/>
      <c r="BB108" s="172"/>
      <c r="BC108" s="173"/>
      <c r="BD108" s="174"/>
      <c r="BE108" s="173"/>
      <c r="BF108" s="88"/>
      <c r="BH108" s="137"/>
      <c r="BI108" s="172"/>
      <c r="BJ108" s="173"/>
      <c r="BK108" s="174"/>
      <c r="BL108" s="173"/>
      <c r="BM108" s="88"/>
      <c r="BO108" s="137"/>
      <c r="BP108" s="172"/>
      <c r="BQ108" s="173"/>
      <c r="BR108" s="174"/>
      <c r="BS108" s="173"/>
      <c r="BT108" s="88"/>
      <c r="FN108" s="50"/>
      <c r="FO108" s="47"/>
      <c r="FP108" s="47"/>
      <c r="FQ108" s="47"/>
      <c r="FR108" s="47"/>
    </row>
    <row r="109" spans="2:174" ht="11.25" customHeight="1">
      <c r="B109" s="137"/>
      <c r="C109" s="383"/>
      <c r="D109" s="383"/>
      <c r="E109" s="383"/>
      <c r="F109" s="372"/>
      <c r="G109" s="373"/>
      <c r="H109" s="374"/>
      <c r="I109" s="373"/>
      <c r="J109" s="88"/>
      <c r="BA109" s="137"/>
      <c r="BB109" s="172"/>
      <c r="BC109" s="173"/>
      <c r="BD109" s="174"/>
      <c r="BE109" s="173"/>
      <c r="BF109" s="88"/>
      <c r="BH109" s="137"/>
      <c r="BI109" s="172"/>
      <c r="BJ109" s="173"/>
      <c r="BK109" s="174"/>
      <c r="BL109" s="173"/>
      <c r="BM109" s="88"/>
      <c r="BO109" s="137"/>
      <c r="BP109" s="172"/>
      <c r="BQ109" s="173"/>
      <c r="BR109" s="174"/>
      <c r="BS109" s="173"/>
      <c r="BT109" s="88"/>
      <c r="FN109" s="50"/>
      <c r="FO109" s="47"/>
      <c r="FP109" s="47"/>
      <c r="FQ109" s="47"/>
      <c r="FR109" s="47"/>
    </row>
    <row r="110" spans="2:174" ht="11.25" customHeight="1">
      <c r="B110" s="137"/>
      <c r="C110" s="383"/>
      <c r="D110" s="383"/>
      <c r="E110" s="383"/>
      <c r="F110" s="372"/>
      <c r="G110" s="373"/>
      <c r="H110" s="374"/>
      <c r="I110" s="373"/>
      <c r="J110" s="88"/>
      <c r="BA110" s="137"/>
      <c r="BB110" s="172"/>
      <c r="BC110" s="173"/>
      <c r="BD110" s="174"/>
      <c r="BE110" s="173"/>
      <c r="BF110" s="88"/>
      <c r="BH110" s="137"/>
      <c r="BI110" s="172"/>
      <c r="BJ110" s="173"/>
      <c r="BK110" s="174"/>
      <c r="BL110" s="173"/>
      <c r="BM110" s="88"/>
      <c r="BO110" s="137"/>
      <c r="BP110" s="172"/>
      <c r="BQ110" s="173"/>
      <c r="BR110" s="174"/>
      <c r="BS110" s="173"/>
      <c r="BT110" s="88"/>
      <c r="FN110" s="50"/>
      <c r="FO110" s="47"/>
      <c r="FP110" s="47"/>
      <c r="FQ110" s="47"/>
      <c r="FR110" s="47"/>
    </row>
    <row r="111" spans="2:174" ht="11.25" customHeight="1">
      <c r="B111" s="137"/>
      <c r="C111" s="383"/>
      <c r="D111" s="383"/>
      <c r="E111" s="383"/>
      <c r="F111" s="372"/>
      <c r="G111" s="373"/>
      <c r="H111" s="374"/>
      <c r="I111" s="373"/>
      <c r="J111" s="88"/>
      <c r="BA111" s="137"/>
      <c r="BB111" s="172"/>
      <c r="BC111" s="173"/>
      <c r="BD111" s="174"/>
      <c r="BE111" s="173"/>
      <c r="BF111" s="88"/>
      <c r="BH111" s="137"/>
      <c r="BI111" s="172"/>
      <c r="BJ111" s="173"/>
      <c r="BK111" s="174"/>
      <c r="BL111" s="173"/>
      <c r="BM111" s="88"/>
      <c r="BO111" s="137"/>
      <c r="BP111" s="172"/>
      <c r="BQ111" s="173"/>
      <c r="BR111" s="174"/>
      <c r="BS111" s="173"/>
      <c r="BT111" s="88"/>
      <c r="FN111" s="50"/>
      <c r="FO111" s="47"/>
      <c r="FP111" s="47"/>
      <c r="FQ111" s="47"/>
      <c r="FR111" s="47"/>
    </row>
    <row r="112" spans="2:174" ht="11.25" customHeight="1">
      <c r="B112" s="137"/>
      <c r="C112" s="383"/>
      <c r="D112" s="383"/>
      <c r="E112" s="383"/>
      <c r="F112" s="372"/>
      <c r="G112" s="373"/>
      <c r="H112" s="374"/>
      <c r="I112" s="373"/>
      <c r="J112" s="88"/>
      <c r="BA112" s="137"/>
      <c r="BB112" s="172"/>
      <c r="BC112" s="173"/>
      <c r="BD112" s="174"/>
      <c r="BE112" s="173"/>
      <c r="BF112" s="88"/>
      <c r="BH112" s="137"/>
      <c r="BI112" s="172"/>
      <c r="BJ112" s="173"/>
      <c r="BK112" s="174"/>
      <c r="BL112" s="173"/>
      <c r="BM112" s="88"/>
      <c r="BO112" s="137"/>
      <c r="BP112" s="172"/>
      <c r="BQ112" s="173"/>
      <c r="BR112" s="174"/>
      <c r="BS112" s="173"/>
      <c r="BT112" s="88"/>
      <c r="FN112" s="50"/>
      <c r="FO112" s="47"/>
      <c r="FP112" s="47"/>
      <c r="FQ112" s="47"/>
      <c r="FR112" s="47"/>
    </row>
    <row r="113" spans="2:174" ht="11.25" customHeight="1">
      <c r="B113" s="137"/>
      <c r="C113" s="383"/>
      <c r="D113" s="383"/>
      <c r="E113" s="383"/>
      <c r="F113" s="372"/>
      <c r="G113" s="373"/>
      <c r="H113" s="374"/>
      <c r="I113" s="373"/>
      <c r="J113" s="88"/>
      <c r="BA113" s="137"/>
      <c r="BB113" s="172"/>
      <c r="BC113" s="173"/>
      <c r="BD113" s="174"/>
      <c r="BE113" s="173"/>
      <c r="BF113" s="88"/>
      <c r="BH113" s="137"/>
      <c r="BI113" s="172"/>
      <c r="BJ113" s="173"/>
      <c r="BK113" s="174"/>
      <c r="BL113" s="173"/>
      <c r="BM113" s="88"/>
      <c r="BO113" s="137"/>
      <c r="BP113" s="172"/>
      <c r="BQ113" s="173"/>
      <c r="BR113" s="174"/>
      <c r="BS113" s="173"/>
      <c r="BT113" s="88"/>
      <c r="FN113" s="50"/>
      <c r="FO113" s="47"/>
      <c r="FP113" s="47"/>
      <c r="FQ113" s="47"/>
      <c r="FR113" s="47"/>
    </row>
    <row r="114" spans="2:174" ht="11.25" customHeight="1">
      <c r="B114" s="137"/>
      <c r="C114" s="383"/>
      <c r="D114" s="383"/>
      <c r="E114" s="383"/>
      <c r="F114" s="372"/>
      <c r="G114" s="373"/>
      <c r="H114" s="374"/>
      <c r="I114" s="373"/>
      <c r="J114" s="88"/>
      <c r="BA114" s="137"/>
      <c r="BB114" s="172"/>
      <c r="BC114" s="173"/>
      <c r="BD114" s="174"/>
      <c r="BE114" s="173"/>
      <c r="BF114" s="88"/>
      <c r="BH114" s="137"/>
      <c r="BI114" s="172"/>
      <c r="BJ114" s="173"/>
      <c r="BK114" s="174"/>
      <c r="BL114" s="173"/>
      <c r="BM114" s="88"/>
      <c r="BO114" s="137"/>
      <c r="BP114" s="172"/>
      <c r="BQ114" s="173"/>
      <c r="BR114" s="174"/>
      <c r="BS114" s="173"/>
      <c r="BT114" s="88"/>
      <c r="FN114" s="50"/>
      <c r="FO114" s="47"/>
      <c r="FP114" s="47"/>
      <c r="FQ114" s="47"/>
      <c r="FR114" s="47"/>
    </row>
    <row r="115" spans="2:174" ht="11.25" customHeight="1">
      <c r="B115" s="137"/>
      <c r="C115" s="383"/>
      <c r="D115" s="383"/>
      <c r="E115" s="383"/>
      <c r="F115" s="372"/>
      <c r="G115" s="373"/>
      <c r="H115" s="374"/>
      <c r="I115" s="373"/>
      <c r="J115" s="88"/>
      <c r="BA115" s="137"/>
      <c r="BB115" s="172"/>
      <c r="BC115" s="173"/>
      <c r="BD115" s="174"/>
      <c r="BE115" s="173"/>
      <c r="BF115" s="88"/>
      <c r="BH115" s="137"/>
      <c r="BI115" s="172"/>
      <c r="BJ115" s="173"/>
      <c r="BK115" s="174"/>
      <c r="BL115" s="173"/>
      <c r="BM115" s="88"/>
      <c r="BO115" s="137"/>
      <c r="BP115" s="172"/>
      <c r="BQ115" s="173"/>
      <c r="BR115" s="174"/>
      <c r="BS115" s="173"/>
      <c r="BT115" s="88"/>
      <c r="FN115" s="50"/>
      <c r="FO115" s="47"/>
      <c r="FP115" s="47"/>
      <c r="FQ115" s="47"/>
      <c r="FR115" s="47"/>
    </row>
    <row r="116" spans="2:174" ht="11.25" customHeight="1">
      <c r="B116" s="137"/>
      <c r="C116" s="383"/>
      <c r="D116" s="383"/>
      <c r="E116" s="383"/>
      <c r="F116" s="372"/>
      <c r="G116" s="373"/>
      <c r="H116" s="374"/>
      <c r="I116" s="373"/>
      <c r="J116" s="88"/>
      <c r="BA116" s="137"/>
      <c r="BB116" s="172"/>
      <c r="BC116" s="173"/>
      <c r="BD116" s="174"/>
      <c r="BE116" s="173"/>
      <c r="BF116" s="88"/>
      <c r="BH116" s="137"/>
      <c r="BI116" s="172"/>
      <c r="BJ116" s="173"/>
      <c r="BK116" s="174"/>
      <c r="BL116" s="173"/>
      <c r="BM116" s="88"/>
      <c r="BO116" s="137"/>
      <c r="BP116" s="172"/>
      <c r="BQ116" s="173"/>
      <c r="BR116" s="174"/>
      <c r="BS116" s="173"/>
      <c r="BT116" s="88"/>
      <c r="FN116" s="50"/>
      <c r="FO116" s="47"/>
      <c r="FP116" s="47"/>
      <c r="FQ116" s="47"/>
      <c r="FR116" s="47"/>
    </row>
    <row r="117" spans="2:174" ht="11.25" customHeight="1">
      <c r="B117" s="137"/>
      <c r="C117" s="383"/>
      <c r="D117" s="383"/>
      <c r="E117" s="383"/>
      <c r="F117" s="372"/>
      <c r="G117" s="373"/>
      <c r="H117" s="374"/>
      <c r="I117" s="373"/>
      <c r="J117" s="88"/>
      <c r="BA117" s="137"/>
      <c r="BB117" s="172"/>
      <c r="BC117" s="173"/>
      <c r="BD117" s="174"/>
      <c r="BE117" s="173"/>
      <c r="BF117" s="88"/>
      <c r="BH117" s="137"/>
      <c r="BI117" s="172"/>
      <c r="BJ117" s="173"/>
      <c r="BK117" s="174"/>
      <c r="BL117" s="173"/>
      <c r="BM117" s="88"/>
      <c r="BO117" s="137"/>
      <c r="BP117" s="172"/>
      <c r="BQ117" s="173"/>
      <c r="BR117" s="174"/>
      <c r="BS117" s="173"/>
      <c r="BT117" s="88"/>
      <c r="FN117" s="50"/>
      <c r="FO117" s="47"/>
      <c r="FP117" s="47"/>
      <c r="FQ117" s="47"/>
      <c r="FR117" s="47"/>
    </row>
    <row r="118" spans="2:174" ht="11.25" customHeight="1">
      <c r="B118" s="137"/>
      <c r="C118" s="383"/>
      <c r="D118" s="383"/>
      <c r="E118" s="383"/>
      <c r="F118" s="372"/>
      <c r="G118" s="373"/>
      <c r="H118" s="374"/>
      <c r="I118" s="373"/>
      <c r="J118" s="88"/>
      <c r="BA118" s="137"/>
      <c r="BB118" s="172"/>
      <c r="BC118" s="173"/>
      <c r="BD118" s="174"/>
      <c r="BE118" s="173"/>
      <c r="BF118" s="88"/>
      <c r="BH118" s="137"/>
      <c r="BI118" s="172"/>
      <c r="BJ118" s="173"/>
      <c r="BK118" s="174"/>
      <c r="BL118" s="173"/>
      <c r="BM118" s="88"/>
      <c r="BO118" s="137"/>
      <c r="BP118" s="172"/>
      <c r="BQ118" s="173"/>
      <c r="BR118" s="174"/>
      <c r="BS118" s="173"/>
      <c r="BT118" s="88"/>
      <c r="FN118" s="50"/>
      <c r="FO118" s="47"/>
      <c r="FP118" s="47"/>
      <c r="FQ118" s="47"/>
      <c r="FR118" s="47"/>
    </row>
    <row r="119" spans="2:174" ht="11.25" customHeight="1">
      <c r="B119" s="137"/>
      <c r="C119" s="383"/>
      <c r="D119" s="383"/>
      <c r="E119" s="383"/>
      <c r="F119" s="372"/>
      <c r="G119" s="373"/>
      <c r="H119" s="374"/>
      <c r="I119" s="373"/>
      <c r="J119" s="88"/>
      <c r="BA119" s="137"/>
      <c r="BB119" s="172"/>
      <c r="BC119" s="173"/>
      <c r="BD119" s="174"/>
      <c r="BE119" s="173"/>
      <c r="BF119" s="88"/>
      <c r="BH119" s="137"/>
      <c r="BI119" s="172"/>
      <c r="BJ119" s="173"/>
      <c r="BK119" s="174"/>
      <c r="BL119" s="173"/>
      <c r="BM119" s="88"/>
      <c r="BO119" s="137"/>
      <c r="BP119" s="172"/>
      <c r="BQ119" s="173"/>
      <c r="BR119" s="174"/>
      <c r="BS119" s="173"/>
      <c r="BT119" s="88"/>
      <c r="FN119" s="50"/>
      <c r="FO119" s="47"/>
      <c r="FP119" s="47"/>
      <c r="FQ119" s="47"/>
      <c r="FR119" s="47"/>
    </row>
    <row r="120" spans="2:174" ht="11.25" customHeight="1">
      <c r="B120" s="137"/>
      <c r="C120" s="383"/>
      <c r="D120" s="383"/>
      <c r="E120" s="383"/>
      <c r="F120" s="372"/>
      <c r="G120" s="373"/>
      <c r="H120" s="374"/>
      <c r="I120" s="373"/>
      <c r="J120" s="88"/>
      <c r="BA120" s="137"/>
      <c r="BB120" s="172"/>
      <c r="BC120" s="173"/>
      <c r="BD120" s="174"/>
      <c r="BE120" s="173"/>
      <c r="BF120" s="88"/>
      <c r="BH120" s="137"/>
      <c r="BI120" s="172"/>
      <c r="BJ120" s="173"/>
      <c r="BK120" s="174"/>
      <c r="BL120" s="173"/>
      <c r="BM120" s="88"/>
      <c r="BO120" s="137"/>
      <c r="BP120" s="172"/>
      <c r="BQ120" s="173"/>
      <c r="BR120" s="174"/>
      <c r="BS120" s="173"/>
      <c r="BT120" s="88"/>
      <c r="FN120" s="50"/>
      <c r="FO120" s="47"/>
      <c r="FP120" s="47"/>
      <c r="FQ120" s="47"/>
      <c r="FR120" s="47"/>
    </row>
    <row r="121" spans="2:174" ht="11.25" customHeight="1">
      <c r="B121" s="137"/>
      <c r="C121" s="383"/>
      <c r="D121" s="383"/>
      <c r="E121" s="383"/>
      <c r="F121" s="372"/>
      <c r="G121" s="373"/>
      <c r="H121" s="374"/>
      <c r="I121" s="373"/>
      <c r="J121" s="88"/>
      <c r="BA121" s="137"/>
      <c r="BB121" s="172"/>
      <c r="BC121" s="173"/>
      <c r="BD121" s="174"/>
      <c r="BE121" s="173"/>
      <c r="BF121" s="88"/>
      <c r="BH121" s="137"/>
      <c r="BI121" s="172"/>
      <c r="BJ121" s="173"/>
      <c r="BK121" s="174"/>
      <c r="BL121" s="173"/>
      <c r="BM121" s="88"/>
      <c r="BO121" s="137"/>
      <c r="BP121" s="172"/>
      <c r="BQ121" s="173"/>
      <c r="BR121" s="174"/>
      <c r="BS121" s="173"/>
      <c r="BT121" s="88"/>
      <c r="FN121" s="50"/>
      <c r="FO121" s="47"/>
      <c r="FP121" s="47"/>
      <c r="FQ121" s="47"/>
      <c r="FR121" s="47"/>
    </row>
    <row r="122" spans="2:174" ht="11.25" customHeight="1">
      <c r="B122" s="137"/>
      <c r="C122" s="383"/>
      <c r="D122" s="383"/>
      <c r="E122" s="383"/>
      <c r="F122" s="372"/>
      <c r="G122" s="373"/>
      <c r="H122" s="374"/>
      <c r="I122" s="373"/>
      <c r="J122" s="88"/>
      <c r="BA122" s="137"/>
      <c r="BB122" s="172"/>
      <c r="BC122" s="173"/>
      <c r="BD122" s="174"/>
      <c r="BE122" s="173"/>
      <c r="BF122" s="88"/>
      <c r="BH122" s="137"/>
      <c r="BI122" s="172"/>
      <c r="BJ122" s="173"/>
      <c r="BK122" s="174"/>
      <c r="BL122" s="173"/>
      <c r="BM122" s="88"/>
      <c r="BO122" s="137"/>
      <c r="BP122" s="172"/>
      <c r="BQ122" s="173"/>
      <c r="BR122" s="174"/>
      <c r="BS122" s="173"/>
      <c r="BT122" s="88"/>
      <c r="FN122" s="50"/>
      <c r="FO122" s="47"/>
      <c r="FP122" s="47"/>
      <c r="FQ122" s="47"/>
      <c r="FR122" s="47"/>
    </row>
    <row r="123" spans="2:174" ht="11.25" customHeight="1">
      <c r="B123" s="137"/>
      <c r="C123" s="383"/>
      <c r="D123" s="383"/>
      <c r="E123" s="383"/>
      <c r="F123" s="372"/>
      <c r="G123" s="373"/>
      <c r="H123" s="374"/>
      <c r="I123" s="373"/>
      <c r="J123" s="88"/>
      <c r="BA123" s="137"/>
      <c r="BB123" s="172"/>
      <c r="BC123" s="173"/>
      <c r="BD123" s="174"/>
      <c r="BE123" s="173"/>
      <c r="BF123" s="88"/>
      <c r="BH123" s="137"/>
      <c r="BI123" s="172"/>
      <c r="BJ123" s="173"/>
      <c r="BK123" s="174"/>
      <c r="BL123" s="173"/>
      <c r="BM123" s="88"/>
      <c r="BO123" s="137"/>
      <c r="BP123" s="172"/>
      <c r="BQ123" s="173"/>
      <c r="BR123" s="174"/>
      <c r="BS123" s="173"/>
      <c r="BT123" s="88"/>
      <c r="FN123" s="50"/>
      <c r="FO123" s="47"/>
      <c r="FP123" s="47"/>
      <c r="FQ123" s="47"/>
      <c r="FR123" s="47"/>
    </row>
    <row r="124" spans="2:174" ht="11.25" customHeight="1">
      <c r="B124" s="137"/>
      <c r="C124" s="383"/>
      <c r="D124" s="383"/>
      <c r="E124" s="383"/>
      <c r="F124" s="372"/>
      <c r="G124" s="373"/>
      <c r="H124" s="374"/>
      <c r="I124" s="373"/>
      <c r="J124" s="88"/>
      <c r="BA124" s="137"/>
      <c r="BB124" s="172"/>
      <c r="BC124" s="173"/>
      <c r="BD124" s="174"/>
      <c r="BE124" s="173"/>
      <c r="BF124" s="88"/>
      <c r="BH124" s="137"/>
      <c r="BI124" s="172"/>
      <c r="BJ124" s="173"/>
      <c r="BK124" s="174"/>
      <c r="BL124" s="173"/>
      <c r="BM124" s="88"/>
      <c r="BO124" s="137"/>
      <c r="BP124" s="172"/>
      <c r="BQ124" s="173"/>
      <c r="BR124" s="174"/>
      <c r="BS124" s="173"/>
      <c r="BT124" s="88"/>
      <c r="FN124" s="50"/>
      <c r="FO124" s="47"/>
      <c r="FP124" s="47"/>
      <c r="FQ124" s="47"/>
      <c r="FR124" s="47"/>
    </row>
    <row r="125" spans="2:174" ht="11.25" customHeight="1">
      <c r="B125" s="137"/>
      <c r="C125" s="383"/>
      <c r="D125" s="383"/>
      <c r="E125" s="383"/>
      <c r="F125" s="372"/>
      <c r="G125" s="373"/>
      <c r="H125" s="374"/>
      <c r="I125" s="373"/>
      <c r="J125" s="88"/>
      <c r="BA125" s="137"/>
      <c r="BB125" s="172"/>
      <c r="BC125" s="173"/>
      <c r="BD125" s="174"/>
      <c r="BE125" s="173"/>
      <c r="BF125" s="88"/>
      <c r="BH125" s="137"/>
      <c r="BI125" s="172"/>
      <c r="BJ125" s="173"/>
      <c r="BK125" s="174"/>
      <c r="BL125" s="173"/>
      <c r="BM125" s="88"/>
      <c r="BO125" s="137"/>
      <c r="BP125" s="172"/>
      <c r="BQ125" s="173"/>
      <c r="BR125" s="174"/>
      <c r="BS125" s="173"/>
      <c r="BT125" s="88"/>
      <c r="FN125" s="50"/>
      <c r="FO125" s="47"/>
      <c r="FP125" s="47"/>
      <c r="FQ125" s="47"/>
      <c r="FR125" s="47"/>
    </row>
    <row r="126" spans="2:174" ht="11.25" customHeight="1">
      <c r="B126" s="137"/>
      <c r="C126" s="383"/>
      <c r="D126" s="383"/>
      <c r="E126" s="383"/>
      <c r="F126" s="372"/>
      <c r="G126" s="373"/>
      <c r="H126" s="374"/>
      <c r="I126" s="373"/>
      <c r="J126" s="88"/>
      <c r="BA126" s="137"/>
      <c r="BB126" s="172"/>
      <c r="BC126" s="173"/>
      <c r="BD126" s="174"/>
      <c r="BE126" s="173"/>
      <c r="BF126" s="88"/>
      <c r="BH126" s="137"/>
      <c r="BI126" s="172"/>
      <c r="BJ126" s="173"/>
      <c r="BK126" s="174"/>
      <c r="BL126" s="173"/>
      <c r="BM126" s="88"/>
      <c r="BO126" s="137"/>
      <c r="BP126" s="172"/>
      <c r="BQ126" s="173"/>
      <c r="BR126" s="174"/>
      <c r="BS126" s="173"/>
      <c r="BT126" s="88"/>
      <c r="FN126" s="50"/>
      <c r="FO126" s="47"/>
      <c r="FP126" s="47"/>
      <c r="FQ126" s="47"/>
      <c r="FR126" s="47"/>
    </row>
    <row r="127" spans="2:174" ht="11.25" customHeight="1">
      <c r="B127" s="137"/>
      <c r="C127" s="383"/>
      <c r="D127" s="383"/>
      <c r="E127" s="383"/>
      <c r="F127" s="372"/>
      <c r="G127" s="373"/>
      <c r="H127" s="374"/>
      <c r="I127" s="373"/>
      <c r="J127" s="88"/>
      <c r="BA127" s="137"/>
      <c r="BB127" s="172"/>
      <c r="BC127" s="173"/>
      <c r="BD127" s="174"/>
      <c r="BE127" s="173"/>
      <c r="BF127" s="88"/>
      <c r="BH127" s="137"/>
      <c r="BI127" s="172"/>
      <c r="BJ127" s="173"/>
      <c r="BK127" s="174"/>
      <c r="BL127" s="173"/>
      <c r="BM127" s="88"/>
      <c r="BO127" s="137"/>
      <c r="BP127" s="172"/>
      <c r="BQ127" s="173"/>
      <c r="BR127" s="174"/>
      <c r="BS127" s="173"/>
      <c r="BT127" s="88"/>
      <c r="FN127" s="50"/>
      <c r="FO127" s="47"/>
      <c r="FP127" s="47"/>
      <c r="FQ127" s="47"/>
      <c r="FR127" s="47"/>
    </row>
    <row r="128" spans="2:174" ht="11.25" customHeight="1">
      <c r="B128" s="137"/>
      <c r="C128" s="383"/>
      <c r="D128" s="383"/>
      <c r="E128" s="383"/>
      <c r="F128" s="372"/>
      <c r="G128" s="373"/>
      <c r="H128" s="374"/>
      <c r="I128" s="373"/>
      <c r="J128" s="88"/>
      <c r="BA128" s="137"/>
      <c r="BB128" s="172"/>
      <c r="BC128" s="173"/>
      <c r="BD128" s="174"/>
      <c r="BE128" s="173"/>
      <c r="BF128" s="88"/>
      <c r="BH128" s="137"/>
      <c r="BI128" s="172"/>
      <c r="BJ128" s="173"/>
      <c r="BK128" s="174"/>
      <c r="BL128" s="173"/>
      <c r="BM128" s="88"/>
      <c r="BO128" s="137"/>
      <c r="BP128" s="172"/>
      <c r="BQ128" s="173"/>
      <c r="BR128" s="174"/>
      <c r="BS128" s="173"/>
      <c r="BT128" s="88"/>
      <c r="FN128" s="50"/>
      <c r="FO128" s="47"/>
      <c r="FP128" s="47"/>
      <c r="FQ128" s="47"/>
      <c r="FR128" s="47"/>
    </row>
    <row r="129" spans="2:174" ht="11.25" customHeight="1">
      <c r="B129" s="137"/>
      <c r="C129" s="383"/>
      <c r="D129" s="383"/>
      <c r="E129" s="383"/>
      <c r="F129" s="372"/>
      <c r="G129" s="373"/>
      <c r="H129" s="374"/>
      <c r="I129" s="373"/>
      <c r="J129" s="88"/>
      <c r="BA129" s="137"/>
      <c r="BB129" s="172"/>
      <c r="BC129" s="173"/>
      <c r="BD129" s="174"/>
      <c r="BE129" s="173"/>
      <c r="BF129" s="88"/>
      <c r="BH129" s="137"/>
      <c r="BI129" s="172"/>
      <c r="BJ129" s="173"/>
      <c r="BK129" s="174"/>
      <c r="BL129" s="173"/>
      <c r="BM129" s="88"/>
      <c r="BO129" s="137"/>
      <c r="BP129" s="172"/>
      <c r="BQ129" s="173"/>
      <c r="BR129" s="174"/>
      <c r="BS129" s="173"/>
      <c r="BT129" s="88"/>
      <c r="FN129" s="50"/>
      <c r="FO129" s="47"/>
      <c r="FP129" s="47"/>
      <c r="FQ129" s="47"/>
      <c r="FR129" s="47"/>
    </row>
    <row r="130" spans="2:174" ht="11.25" customHeight="1">
      <c r="B130" s="137"/>
      <c r="C130" s="383"/>
      <c r="D130" s="383"/>
      <c r="E130" s="383"/>
      <c r="F130" s="372"/>
      <c r="G130" s="373"/>
      <c r="H130" s="374"/>
      <c r="I130" s="373"/>
      <c r="J130" s="88"/>
      <c r="BA130" s="137"/>
      <c r="BB130" s="172"/>
      <c r="BC130" s="173"/>
      <c r="BD130" s="174"/>
      <c r="BE130" s="173"/>
      <c r="BF130" s="88"/>
      <c r="BH130" s="137"/>
      <c r="BI130" s="172"/>
      <c r="BJ130" s="173"/>
      <c r="BK130" s="174"/>
      <c r="BL130" s="173"/>
      <c r="BM130" s="88"/>
      <c r="BO130" s="137"/>
      <c r="BP130" s="172"/>
      <c r="BQ130" s="173"/>
      <c r="BR130" s="174"/>
      <c r="BS130" s="173"/>
      <c r="BT130" s="88"/>
      <c r="FN130" s="50"/>
      <c r="FO130" s="47"/>
      <c r="FP130" s="47"/>
      <c r="FQ130" s="47"/>
      <c r="FR130" s="47"/>
    </row>
    <row r="131" spans="2:174" ht="11.25" customHeight="1">
      <c r="B131" s="137"/>
      <c r="C131" s="383"/>
      <c r="D131" s="383"/>
      <c r="E131" s="383"/>
      <c r="F131" s="372"/>
      <c r="G131" s="373"/>
      <c r="H131" s="374"/>
      <c r="I131" s="373"/>
      <c r="J131" s="88"/>
      <c r="BA131" s="137"/>
      <c r="BB131" s="172"/>
      <c r="BC131" s="173"/>
      <c r="BD131" s="174"/>
      <c r="BE131" s="173"/>
      <c r="BF131" s="88"/>
      <c r="BH131" s="137"/>
      <c r="BI131" s="172"/>
      <c r="BJ131" s="173"/>
      <c r="BK131" s="174"/>
      <c r="BL131" s="173"/>
      <c r="BM131" s="88"/>
      <c r="BO131" s="137"/>
      <c r="BP131" s="172"/>
      <c r="BQ131" s="173"/>
      <c r="BR131" s="174"/>
      <c r="BS131" s="173"/>
      <c r="BT131" s="88"/>
      <c r="FN131" s="50"/>
      <c r="FO131" s="47"/>
      <c r="FP131" s="47"/>
      <c r="FQ131" s="47"/>
      <c r="FR131" s="47"/>
    </row>
    <row r="132" spans="2:174" ht="11.25" customHeight="1">
      <c r="B132" s="137"/>
      <c r="C132" s="383"/>
      <c r="D132" s="383"/>
      <c r="E132" s="383"/>
      <c r="F132" s="372"/>
      <c r="G132" s="373"/>
      <c r="H132" s="374"/>
      <c r="I132" s="373"/>
      <c r="J132" s="88"/>
      <c r="BA132" s="137"/>
      <c r="BB132" s="172"/>
      <c r="BC132" s="173"/>
      <c r="BD132" s="174"/>
      <c r="BE132" s="173"/>
      <c r="BF132" s="88"/>
      <c r="BH132" s="137"/>
      <c r="BI132" s="172"/>
      <c r="BJ132" s="173"/>
      <c r="BK132" s="174"/>
      <c r="BL132" s="173"/>
      <c r="BM132" s="88"/>
      <c r="BO132" s="137"/>
      <c r="BP132" s="172"/>
      <c r="BQ132" s="173"/>
      <c r="BR132" s="174"/>
      <c r="BS132" s="173"/>
      <c r="BT132" s="88"/>
      <c r="FN132" s="50"/>
      <c r="FO132" s="47"/>
      <c r="FP132" s="47"/>
      <c r="FQ132" s="47"/>
      <c r="FR132" s="47"/>
    </row>
    <row r="133" spans="2:174" ht="11.25" customHeight="1">
      <c r="B133" s="137"/>
      <c r="C133" s="383"/>
      <c r="D133" s="383"/>
      <c r="E133" s="383"/>
      <c r="F133" s="372"/>
      <c r="G133" s="373"/>
      <c r="H133" s="374"/>
      <c r="I133" s="373"/>
      <c r="J133" s="88"/>
      <c r="BA133" s="137"/>
      <c r="BB133" s="172"/>
      <c r="BC133" s="173"/>
      <c r="BD133" s="174"/>
      <c r="BE133" s="173"/>
      <c r="BF133" s="88"/>
      <c r="BH133" s="137"/>
      <c r="BI133" s="172"/>
      <c r="BJ133" s="173"/>
      <c r="BK133" s="174"/>
      <c r="BL133" s="173"/>
      <c r="BM133" s="88"/>
      <c r="BO133" s="137"/>
      <c r="BP133" s="172"/>
      <c r="BQ133" s="173"/>
      <c r="BR133" s="174"/>
      <c r="BS133" s="173"/>
      <c r="BT133" s="88"/>
      <c r="FN133" s="50"/>
      <c r="FO133" s="47"/>
      <c r="FP133" s="47"/>
      <c r="FQ133" s="47"/>
      <c r="FR133" s="47"/>
    </row>
    <row r="134" spans="2:174" ht="11.25" customHeight="1">
      <c r="B134" s="137"/>
      <c r="C134" s="383"/>
      <c r="D134" s="383"/>
      <c r="E134" s="383"/>
      <c r="F134" s="372"/>
      <c r="G134" s="373"/>
      <c r="H134" s="374"/>
      <c r="I134" s="373"/>
      <c r="J134" s="88"/>
      <c r="BA134" s="137"/>
      <c r="BB134" s="172"/>
      <c r="BC134" s="173"/>
      <c r="BD134" s="174"/>
      <c r="BE134" s="173"/>
      <c r="BF134" s="88"/>
      <c r="BH134" s="137"/>
      <c r="BI134" s="172"/>
      <c r="BJ134" s="173"/>
      <c r="BK134" s="174"/>
      <c r="BL134" s="173"/>
      <c r="BM134" s="88"/>
      <c r="BO134" s="137"/>
      <c r="BP134" s="172"/>
      <c r="BQ134" s="173"/>
      <c r="BR134" s="174"/>
      <c r="BS134" s="173"/>
      <c r="BT134" s="88"/>
      <c r="FN134" s="50"/>
      <c r="FO134" s="47"/>
      <c r="FP134" s="47"/>
      <c r="FQ134" s="47"/>
      <c r="FR134" s="47"/>
    </row>
    <row r="135" spans="2:174" ht="11.25" customHeight="1">
      <c r="B135" s="137"/>
      <c r="C135" s="383"/>
      <c r="D135" s="383"/>
      <c r="E135" s="383"/>
      <c r="F135" s="372"/>
      <c r="G135" s="373"/>
      <c r="H135" s="374"/>
      <c r="I135" s="373"/>
      <c r="J135" s="88"/>
      <c r="BA135" s="137"/>
      <c r="BB135" s="172"/>
      <c r="BC135" s="173"/>
      <c r="BD135" s="174"/>
      <c r="BE135" s="173"/>
      <c r="BF135" s="88"/>
      <c r="BH135" s="137"/>
      <c r="BI135" s="172"/>
      <c r="BJ135" s="173"/>
      <c r="BK135" s="174"/>
      <c r="BL135" s="173"/>
      <c r="BM135" s="88"/>
      <c r="BO135" s="137"/>
      <c r="BP135" s="172"/>
      <c r="BQ135" s="173"/>
      <c r="BR135" s="174"/>
      <c r="BS135" s="173"/>
      <c r="BT135" s="88"/>
      <c r="FN135" s="50"/>
      <c r="FO135" s="47"/>
      <c r="FP135" s="47"/>
      <c r="FQ135" s="47"/>
      <c r="FR135" s="47"/>
    </row>
    <row r="136" spans="2:174" ht="11.25" customHeight="1">
      <c r="B136" s="137"/>
      <c r="C136" s="383"/>
      <c r="D136" s="383"/>
      <c r="E136" s="383"/>
      <c r="F136" s="372"/>
      <c r="G136" s="373"/>
      <c r="H136" s="374"/>
      <c r="I136" s="373"/>
      <c r="J136" s="88"/>
      <c r="BA136" s="137"/>
      <c r="BB136" s="172"/>
      <c r="BC136" s="173"/>
      <c r="BD136" s="174"/>
      <c r="BE136" s="173"/>
      <c r="BF136" s="88"/>
      <c r="BH136" s="137"/>
      <c r="BI136" s="172"/>
      <c r="BJ136" s="173"/>
      <c r="BK136" s="174"/>
      <c r="BL136" s="173"/>
      <c r="BM136" s="88"/>
      <c r="BO136" s="137"/>
      <c r="BP136" s="172"/>
      <c r="BQ136" s="173"/>
      <c r="BR136" s="174"/>
      <c r="BS136" s="173"/>
      <c r="BT136" s="88"/>
      <c r="FN136" s="50"/>
      <c r="FO136" s="47"/>
      <c r="FP136" s="47"/>
      <c r="FQ136" s="47"/>
      <c r="FR136" s="47"/>
    </row>
    <row r="137" spans="2:174" ht="11.25" customHeight="1">
      <c r="B137" s="137"/>
      <c r="C137" s="383"/>
      <c r="D137" s="383"/>
      <c r="E137" s="383"/>
      <c r="F137" s="372"/>
      <c r="G137" s="373"/>
      <c r="H137" s="374"/>
      <c r="I137" s="373"/>
      <c r="J137" s="88"/>
      <c r="BA137" s="137"/>
      <c r="BB137" s="172"/>
      <c r="BC137" s="173"/>
      <c r="BD137" s="174"/>
      <c r="BE137" s="173"/>
      <c r="BF137" s="88"/>
      <c r="BH137" s="137"/>
      <c r="BI137" s="172"/>
      <c r="BJ137" s="173"/>
      <c r="BK137" s="174"/>
      <c r="BL137" s="173"/>
      <c r="BM137" s="88"/>
      <c r="BO137" s="137"/>
      <c r="BP137" s="172"/>
      <c r="BQ137" s="173"/>
      <c r="BR137" s="174"/>
      <c r="BS137" s="173"/>
      <c r="BT137" s="88"/>
      <c r="FN137" s="50"/>
      <c r="FO137" s="47"/>
      <c r="FP137" s="47"/>
      <c r="FQ137" s="47"/>
      <c r="FR137" s="47"/>
    </row>
    <row r="138" spans="2:174" ht="11.25" customHeight="1">
      <c r="B138" s="137"/>
      <c r="C138" s="383"/>
      <c r="D138" s="383"/>
      <c r="E138" s="383"/>
      <c r="F138" s="372"/>
      <c r="G138" s="373"/>
      <c r="H138" s="374"/>
      <c r="I138" s="373"/>
      <c r="J138" s="88"/>
      <c r="BA138" s="137"/>
      <c r="BB138" s="172"/>
      <c r="BC138" s="173"/>
      <c r="BD138" s="174"/>
      <c r="BE138" s="173"/>
      <c r="BF138" s="88"/>
      <c r="BH138" s="137"/>
      <c r="BI138" s="172"/>
      <c r="BJ138" s="173"/>
      <c r="BK138" s="174"/>
      <c r="BL138" s="173"/>
      <c r="BM138" s="88"/>
      <c r="BO138" s="137"/>
      <c r="BP138" s="172"/>
      <c r="BQ138" s="173"/>
      <c r="BR138" s="174"/>
      <c r="BS138" s="173"/>
      <c r="BT138" s="88"/>
      <c r="DQ138" s="5">
        <v>80</v>
      </c>
      <c r="FN138" s="50"/>
      <c r="FO138" s="47"/>
      <c r="FP138" s="47"/>
      <c r="FQ138" s="47"/>
      <c r="FR138" s="47"/>
    </row>
    <row r="139" spans="2:174" ht="11.25" customHeight="1">
      <c r="B139" s="137"/>
      <c r="C139" s="383"/>
      <c r="D139" s="383"/>
      <c r="E139" s="383"/>
      <c r="F139" s="372"/>
      <c r="G139" s="373"/>
      <c r="H139" s="374"/>
      <c r="I139" s="373"/>
      <c r="J139" s="88"/>
      <c r="BA139" s="137"/>
      <c r="BB139" s="172"/>
      <c r="BC139" s="173"/>
      <c r="BD139" s="174"/>
      <c r="BE139" s="173"/>
      <c r="BF139" s="88"/>
      <c r="BH139" s="137"/>
      <c r="BI139" s="172"/>
      <c r="BJ139" s="173"/>
      <c r="BK139" s="174"/>
      <c r="BL139" s="173"/>
      <c r="BM139" s="88"/>
      <c r="BO139" s="137"/>
      <c r="BP139" s="172"/>
      <c r="BQ139" s="173"/>
      <c r="BR139" s="174"/>
      <c r="BS139" s="173"/>
      <c r="BT139" s="88"/>
      <c r="FN139" s="50"/>
      <c r="FO139" s="47"/>
      <c r="FP139" s="47"/>
      <c r="FQ139" s="47"/>
      <c r="FR139" s="47"/>
    </row>
    <row r="140" spans="2:174" ht="11.25" customHeight="1">
      <c r="B140" s="137"/>
      <c r="C140" s="383"/>
      <c r="D140" s="383"/>
      <c r="E140" s="383"/>
      <c r="F140" s="372"/>
      <c r="G140" s="373"/>
      <c r="H140" s="374"/>
      <c r="I140" s="373"/>
      <c r="J140" s="88"/>
      <c r="BA140" s="137"/>
      <c r="BB140" s="172"/>
      <c r="BC140" s="173"/>
      <c r="BD140" s="174"/>
      <c r="BE140" s="173"/>
      <c r="BF140" s="88"/>
      <c r="BH140" s="137"/>
      <c r="BI140" s="172"/>
      <c r="BJ140" s="173"/>
      <c r="BK140" s="174"/>
      <c r="BL140" s="173"/>
      <c r="BM140" s="88"/>
      <c r="BO140" s="137"/>
      <c r="BP140" s="172"/>
      <c r="BQ140" s="173"/>
      <c r="BR140" s="174"/>
      <c r="BS140" s="173"/>
      <c r="BT140" s="88"/>
      <c r="FN140" s="50"/>
      <c r="FO140" s="47"/>
      <c r="FP140" s="47"/>
      <c r="FQ140" s="47"/>
      <c r="FR140" s="47"/>
    </row>
    <row r="141" spans="2:174" ht="11.25" customHeight="1">
      <c r="B141" s="137"/>
      <c r="C141" s="383"/>
      <c r="D141" s="383"/>
      <c r="E141" s="383"/>
      <c r="F141" s="372"/>
      <c r="G141" s="373"/>
      <c r="H141" s="374"/>
      <c r="I141" s="373"/>
      <c r="J141" s="88"/>
      <c r="BA141" s="137"/>
      <c r="BB141" s="172"/>
      <c r="BC141" s="173"/>
      <c r="BD141" s="174"/>
      <c r="BE141" s="173"/>
      <c r="BF141" s="88"/>
      <c r="BH141" s="137"/>
      <c r="BI141" s="172"/>
      <c r="BJ141" s="173"/>
      <c r="BK141" s="174"/>
      <c r="BL141" s="173"/>
      <c r="BM141" s="88"/>
      <c r="BO141" s="137"/>
      <c r="BP141" s="172"/>
      <c r="BQ141" s="173"/>
      <c r="BR141" s="174"/>
      <c r="BS141" s="173"/>
      <c r="BT141" s="88"/>
      <c r="FN141" s="50"/>
      <c r="FO141" s="47"/>
      <c r="FP141" s="47"/>
      <c r="FQ141" s="47"/>
      <c r="FR141" s="47"/>
    </row>
    <row r="142" spans="2:174" ht="11.25" customHeight="1">
      <c r="B142" s="137"/>
      <c r="C142" s="383"/>
      <c r="D142" s="383"/>
      <c r="E142" s="383"/>
      <c r="F142" s="372"/>
      <c r="G142" s="373"/>
      <c r="H142" s="374"/>
      <c r="I142" s="373"/>
      <c r="J142" s="88"/>
      <c r="BA142" s="137"/>
      <c r="BB142" s="172"/>
      <c r="BC142" s="173"/>
      <c r="BD142" s="174"/>
      <c r="BE142" s="173"/>
      <c r="BF142" s="88"/>
      <c r="BH142" s="137"/>
      <c r="BI142" s="172"/>
      <c r="BJ142" s="173"/>
      <c r="BK142" s="174"/>
      <c r="BL142" s="173"/>
      <c r="BM142" s="88"/>
      <c r="BO142" s="137"/>
      <c r="BP142" s="172"/>
      <c r="BQ142" s="173"/>
      <c r="BR142" s="174"/>
      <c r="BS142" s="173"/>
      <c r="BT142" s="88"/>
      <c r="FN142" s="50"/>
      <c r="FO142" s="47"/>
      <c r="FP142" s="47"/>
      <c r="FQ142" s="47"/>
      <c r="FR142" s="47"/>
    </row>
    <row r="143" spans="2:174" ht="11.25" customHeight="1">
      <c r="B143" s="137"/>
      <c r="C143" s="383"/>
      <c r="D143" s="383"/>
      <c r="E143" s="383"/>
      <c r="F143" s="372"/>
      <c r="G143" s="373"/>
      <c r="H143" s="374"/>
      <c r="I143" s="373"/>
      <c r="J143" s="88"/>
      <c r="BA143" s="137"/>
      <c r="BB143" s="172"/>
      <c r="BC143" s="173"/>
      <c r="BD143" s="174"/>
      <c r="BE143" s="173"/>
      <c r="BF143" s="88"/>
      <c r="BH143" s="137"/>
      <c r="BI143" s="172"/>
      <c r="BJ143" s="173"/>
      <c r="BK143" s="174"/>
      <c r="BL143" s="173"/>
      <c r="BM143" s="88"/>
      <c r="BO143" s="137"/>
      <c r="BP143" s="172"/>
      <c r="BQ143" s="173"/>
      <c r="BR143" s="174"/>
      <c r="BS143" s="173"/>
      <c r="BT143" s="88"/>
      <c r="FN143" s="50"/>
      <c r="FO143" s="47"/>
      <c r="FP143" s="47"/>
      <c r="FQ143" s="47"/>
      <c r="FR143" s="47"/>
    </row>
    <row r="144" spans="2:174" ht="11.25" customHeight="1">
      <c r="B144" s="137"/>
      <c r="C144" s="383"/>
      <c r="D144" s="383"/>
      <c r="E144" s="383"/>
      <c r="F144" s="372"/>
      <c r="G144" s="373"/>
      <c r="H144" s="374"/>
      <c r="I144" s="373"/>
      <c r="J144" s="88"/>
      <c r="BA144" s="137"/>
      <c r="BB144" s="172"/>
      <c r="BC144" s="173"/>
      <c r="BD144" s="174"/>
      <c r="BE144" s="173"/>
      <c r="BF144" s="88"/>
      <c r="BH144" s="137"/>
      <c r="BI144" s="172"/>
      <c r="BJ144" s="173"/>
      <c r="BK144" s="174"/>
      <c r="BL144" s="173"/>
      <c r="BM144" s="88"/>
      <c r="BO144" s="137"/>
      <c r="BP144" s="172"/>
      <c r="BQ144" s="173"/>
      <c r="BR144" s="174"/>
      <c r="BS144" s="173"/>
      <c r="BT144" s="88"/>
      <c r="FN144" s="50"/>
      <c r="FO144" s="47"/>
      <c r="FP144" s="47"/>
      <c r="FQ144" s="47"/>
      <c r="FR144" s="47"/>
    </row>
    <row r="145" spans="2:174" ht="11.25" customHeight="1">
      <c r="B145" s="137"/>
      <c r="C145" s="383"/>
      <c r="D145" s="383"/>
      <c r="E145" s="383"/>
      <c r="F145" s="372"/>
      <c r="G145" s="373"/>
      <c r="H145" s="374"/>
      <c r="I145" s="373"/>
      <c r="J145" s="88"/>
      <c r="BA145" s="137"/>
      <c r="BB145" s="172"/>
      <c r="BC145" s="173"/>
      <c r="BD145" s="174"/>
      <c r="BE145" s="173"/>
      <c r="BF145" s="88"/>
      <c r="BH145" s="137"/>
      <c r="BI145" s="172"/>
      <c r="BJ145" s="173"/>
      <c r="BK145" s="174"/>
      <c r="BL145" s="173"/>
      <c r="BM145" s="88"/>
      <c r="BO145" s="137"/>
      <c r="BP145" s="172"/>
      <c r="BQ145" s="173"/>
      <c r="BR145" s="174"/>
      <c r="BS145" s="173"/>
      <c r="BT145" s="88"/>
      <c r="FN145" s="50"/>
      <c r="FO145" s="47"/>
      <c r="FP145" s="47"/>
      <c r="FQ145" s="47"/>
      <c r="FR145" s="47"/>
    </row>
    <row r="146" spans="2:174" ht="11.25" customHeight="1">
      <c r="B146" s="137"/>
      <c r="C146" s="383"/>
      <c r="D146" s="383"/>
      <c r="E146" s="383"/>
      <c r="F146" s="372"/>
      <c r="G146" s="373"/>
      <c r="H146" s="374"/>
      <c r="I146" s="373"/>
      <c r="J146" s="88"/>
      <c r="BA146" s="137"/>
      <c r="BB146" s="172"/>
      <c r="BC146" s="173"/>
      <c r="BD146" s="174"/>
      <c r="BE146" s="173"/>
      <c r="BF146" s="88"/>
      <c r="BH146" s="137"/>
      <c r="BI146" s="172"/>
      <c r="BJ146" s="173"/>
      <c r="BK146" s="174"/>
      <c r="BL146" s="173"/>
      <c r="BM146" s="88"/>
      <c r="BO146" s="137"/>
      <c r="BP146" s="172"/>
      <c r="BQ146" s="173"/>
      <c r="BR146" s="174"/>
      <c r="BS146" s="173"/>
      <c r="BT146" s="88"/>
      <c r="FN146" s="50"/>
      <c r="FO146" s="47"/>
      <c r="FP146" s="47"/>
      <c r="FQ146" s="47"/>
      <c r="FR146" s="47"/>
    </row>
    <row r="147" spans="2:174" ht="11.25" customHeight="1">
      <c r="B147" s="137"/>
      <c r="C147" s="383"/>
      <c r="D147" s="383"/>
      <c r="E147" s="383"/>
      <c r="F147" s="372"/>
      <c r="G147" s="373"/>
      <c r="H147" s="374"/>
      <c r="I147" s="373"/>
      <c r="J147" s="88"/>
      <c r="BA147" s="137"/>
      <c r="BB147" s="172"/>
      <c r="BC147" s="173"/>
      <c r="BD147" s="174"/>
      <c r="BE147" s="173"/>
      <c r="BF147" s="88"/>
      <c r="BH147" s="137"/>
      <c r="BI147" s="172"/>
      <c r="BJ147" s="173"/>
      <c r="BK147" s="174"/>
      <c r="BL147" s="173"/>
      <c r="BM147" s="88"/>
      <c r="BO147" s="137"/>
      <c r="BP147" s="172"/>
      <c r="BQ147" s="173"/>
      <c r="BR147" s="174"/>
      <c r="BS147" s="173"/>
      <c r="BT147" s="88"/>
      <c r="FN147" s="50"/>
      <c r="FO147" s="47"/>
      <c r="FP147" s="47"/>
      <c r="FQ147" s="47"/>
      <c r="FR147" s="47"/>
    </row>
    <row r="148" spans="2:174" ht="11.25" customHeight="1">
      <c r="B148" s="137"/>
      <c r="C148" s="383"/>
      <c r="D148" s="383"/>
      <c r="E148" s="383"/>
      <c r="F148" s="372"/>
      <c r="G148" s="373"/>
      <c r="H148" s="374"/>
      <c r="I148" s="373"/>
      <c r="J148" s="88"/>
      <c r="BA148" s="137"/>
      <c r="BB148" s="172"/>
      <c r="BC148" s="173"/>
      <c r="BD148" s="174"/>
      <c r="BE148" s="173"/>
      <c r="BF148" s="88"/>
      <c r="BH148" s="137"/>
      <c r="BI148" s="172"/>
      <c r="BJ148" s="173"/>
      <c r="BK148" s="174"/>
      <c r="BL148" s="173"/>
      <c r="BM148" s="88"/>
      <c r="BO148" s="137"/>
      <c r="BP148" s="172"/>
      <c r="BQ148" s="173"/>
      <c r="BR148" s="174"/>
      <c r="BS148" s="173"/>
      <c r="BT148" s="88"/>
      <c r="FN148" s="50"/>
      <c r="FO148" s="47"/>
      <c r="FP148" s="47"/>
      <c r="FQ148" s="47"/>
      <c r="FR148" s="47"/>
    </row>
    <row r="149" spans="2:174" ht="11.25" customHeight="1">
      <c r="B149" s="137"/>
      <c r="C149" s="383"/>
      <c r="D149" s="383"/>
      <c r="E149" s="383"/>
      <c r="F149" s="372"/>
      <c r="G149" s="373"/>
      <c r="H149" s="374"/>
      <c r="I149" s="373"/>
      <c r="J149" s="88"/>
      <c r="BA149" s="137"/>
      <c r="BB149" s="172"/>
      <c r="BC149" s="173"/>
      <c r="BD149" s="174"/>
      <c r="BE149" s="173"/>
      <c r="BF149" s="88"/>
      <c r="BH149" s="137"/>
      <c r="BI149" s="172"/>
      <c r="BJ149" s="173"/>
      <c r="BK149" s="174"/>
      <c r="BL149" s="173"/>
      <c r="BM149" s="88"/>
      <c r="BO149" s="137"/>
      <c r="BP149" s="172"/>
      <c r="BQ149" s="173"/>
      <c r="BR149" s="174"/>
      <c r="BS149" s="173"/>
      <c r="BT149" s="88"/>
      <c r="FN149" s="50"/>
      <c r="FO149" s="47"/>
      <c r="FP149" s="47"/>
      <c r="FQ149" s="47"/>
      <c r="FR149" s="47"/>
    </row>
    <row r="150" spans="2:174" ht="11.25" customHeight="1">
      <c r="B150" s="137"/>
      <c r="C150" s="383"/>
      <c r="D150" s="383"/>
      <c r="E150" s="383"/>
      <c r="F150" s="372"/>
      <c r="G150" s="373"/>
      <c r="H150" s="374"/>
      <c r="I150" s="373"/>
      <c r="J150" s="88"/>
      <c r="BA150" s="137"/>
      <c r="BB150" s="172"/>
      <c r="BC150" s="173"/>
      <c r="BD150" s="174"/>
      <c r="BE150" s="173"/>
      <c r="BF150" s="88"/>
      <c r="BH150" s="137"/>
      <c r="BI150" s="172"/>
      <c r="BJ150" s="173"/>
      <c r="BK150" s="174"/>
      <c r="BL150" s="173"/>
      <c r="BM150" s="88"/>
      <c r="BO150" s="137"/>
      <c r="BP150" s="172"/>
      <c r="BQ150" s="173"/>
      <c r="BR150" s="174"/>
      <c r="BS150" s="173"/>
      <c r="BT150" s="88"/>
      <c r="FN150" s="50"/>
      <c r="FO150" s="47"/>
      <c r="FP150" s="47"/>
      <c r="FQ150" s="47"/>
      <c r="FR150" s="47"/>
    </row>
    <row r="151" spans="2:174" ht="11.25" customHeight="1">
      <c r="B151" s="137"/>
      <c r="C151" s="383"/>
      <c r="D151" s="383"/>
      <c r="E151" s="383"/>
      <c r="F151" s="372"/>
      <c r="G151" s="373"/>
      <c r="H151" s="374"/>
      <c r="I151" s="373"/>
      <c r="J151" s="88"/>
      <c r="BA151" s="137"/>
      <c r="BB151" s="172"/>
      <c r="BC151" s="173"/>
      <c r="BD151" s="174"/>
      <c r="BE151" s="173"/>
      <c r="BF151" s="88"/>
      <c r="BH151" s="137"/>
      <c r="BI151" s="172"/>
      <c r="BJ151" s="173"/>
      <c r="BK151" s="174"/>
      <c r="BL151" s="173"/>
      <c r="BM151" s="88"/>
      <c r="BO151" s="137"/>
      <c r="BP151" s="172"/>
      <c r="BQ151" s="173"/>
      <c r="BR151" s="174"/>
      <c r="BS151" s="173"/>
      <c r="BT151" s="88"/>
      <c r="FN151" s="50"/>
      <c r="FO151" s="47"/>
      <c r="FP151" s="47"/>
      <c r="FQ151" s="47"/>
      <c r="FR151" s="47"/>
    </row>
    <row r="152" spans="2:174" ht="11.25" customHeight="1">
      <c r="B152" s="137"/>
      <c r="C152" s="383"/>
      <c r="D152" s="383"/>
      <c r="E152" s="383"/>
      <c r="F152" s="372"/>
      <c r="G152" s="373"/>
      <c r="H152" s="374"/>
      <c r="I152" s="373"/>
      <c r="J152" s="88"/>
      <c r="BA152" s="137"/>
      <c r="BB152" s="172"/>
      <c r="BC152" s="173"/>
      <c r="BD152" s="174"/>
      <c r="BE152" s="173"/>
      <c r="BF152" s="88"/>
      <c r="BH152" s="137"/>
      <c r="BI152" s="172"/>
      <c r="BJ152" s="173"/>
      <c r="BK152" s="174"/>
      <c r="BL152" s="173"/>
      <c r="BM152" s="88"/>
      <c r="BO152" s="137"/>
      <c r="BP152" s="172"/>
      <c r="BQ152" s="173"/>
      <c r="BR152" s="174"/>
      <c r="BS152" s="173"/>
      <c r="BT152" s="88"/>
      <c r="FN152" s="50"/>
      <c r="FO152" s="47"/>
      <c r="FP152" s="47"/>
      <c r="FQ152" s="47"/>
      <c r="FR152" s="47"/>
    </row>
    <row r="153" spans="2:174" ht="11.25" customHeight="1">
      <c r="B153" s="137"/>
      <c r="C153" s="383"/>
      <c r="D153" s="383"/>
      <c r="E153" s="383"/>
      <c r="F153" s="372"/>
      <c r="G153" s="373"/>
      <c r="H153" s="374"/>
      <c r="I153" s="373"/>
      <c r="J153" s="88"/>
      <c r="BA153" s="137"/>
      <c r="BB153" s="172"/>
      <c r="BC153" s="173"/>
      <c r="BD153" s="174"/>
      <c r="BE153" s="173"/>
      <c r="BF153" s="88"/>
      <c r="BH153" s="137"/>
      <c r="BI153" s="172"/>
      <c r="BJ153" s="173"/>
      <c r="BK153" s="174"/>
      <c r="BL153" s="173"/>
      <c r="BM153" s="88"/>
      <c r="BO153" s="137"/>
      <c r="BP153" s="172"/>
      <c r="BQ153" s="173"/>
      <c r="BR153" s="174"/>
      <c r="BS153" s="173"/>
      <c r="BT153" s="88"/>
      <c r="FN153" s="50"/>
      <c r="FO153" s="47"/>
      <c r="FP153" s="47"/>
      <c r="FQ153" s="47"/>
      <c r="FR153" s="47"/>
    </row>
    <row r="154" spans="2:174" ht="11.25" customHeight="1">
      <c r="B154" s="137"/>
      <c r="C154" s="383"/>
      <c r="D154" s="383"/>
      <c r="E154" s="383"/>
      <c r="F154" s="372"/>
      <c r="G154" s="373"/>
      <c r="H154" s="374"/>
      <c r="I154" s="373"/>
      <c r="J154" s="88"/>
      <c r="BA154" s="137"/>
      <c r="BB154" s="172"/>
      <c r="BC154" s="173"/>
      <c r="BD154" s="174"/>
      <c r="BE154" s="173"/>
      <c r="BF154" s="88"/>
      <c r="BH154" s="137"/>
      <c r="BI154" s="172"/>
      <c r="BJ154" s="173"/>
      <c r="BK154" s="174"/>
      <c r="BL154" s="173"/>
      <c r="BM154" s="88"/>
      <c r="BO154" s="137"/>
      <c r="BP154" s="172"/>
      <c r="BQ154" s="173"/>
      <c r="BR154" s="174"/>
      <c r="BS154" s="173"/>
      <c r="BT154" s="88"/>
      <c r="FN154" s="50"/>
      <c r="FO154" s="47"/>
      <c r="FP154" s="47"/>
      <c r="FQ154" s="47"/>
      <c r="FR154" s="47"/>
    </row>
    <row r="155" spans="2:174" ht="11.25" customHeight="1">
      <c r="B155" s="137"/>
      <c r="C155" s="383"/>
      <c r="D155" s="383"/>
      <c r="E155" s="383"/>
      <c r="F155" s="372"/>
      <c r="G155" s="373"/>
      <c r="H155" s="374"/>
      <c r="I155" s="373"/>
      <c r="J155" s="88"/>
      <c r="BA155" s="137"/>
      <c r="BB155" s="172"/>
      <c r="BC155" s="173"/>
      <c r="BD155" s="174"/>
      <c r="BE155" s="173"/>
      <c r="BF155" s="88"/>
      <c r="BH155" s="137"/>
      <c r="BI155" s="172"/>
      <c r="BJ155" s="173"/>
      <c r="BK155" s="174"/>
      <c r="BL155" s="173"/>
      <c r="BM155" s="88"/>
      <c r="BO155" s="137"/>
      <c r="BP155" s="172"/>
      <c r="BQ155" s="173"/>
      <c r="BR155" s="174"/>
      <c r="BS155" s="173"/>
      <c r="BT155" s="88"/>
      <c r="FN155" s="50"/>
      <c r="FO155" s="47"/>
      <c r="FP155" s="47"/>
      <c r="FQ155" s="47"/>
      <c r="FR155" s="47"/>
    </row>
    <row r="156" spans="2:174" ht="11.25" customHeight="1">
      <c r="B156" s="137"/>
      <c r="C156" s="383"/>
      <c r="D156" s="383"/>
      <c r="E156" s="383"/>
      <c r="F156" s="372"/>
      <c r="G156" s="373"/>
      <c r="H156" s="374"/>
      <c r="I156" s="373"/>
      <c r="J156" s="88"/>
      <c r="BA156" s="137"/>
      <c r="BB156" s="172"/>
      <c r="BC156" s="173"/>
      <c r="BD156" s="174"/>
      <c r="BE156" s="173"/>
      <c r="BF156" s="88"/>
      <c r="BH156" s="137"/>
      <c r="BI156" s="172"/>
      <c r="BJ156" s="173"/>
      <c r="BK156" s="174"/>
      <c r="BL156" s="173"/>
      <c r="BM156" s="88"/>
      <c r="BO156" s="137"/>
      <c r="BP156" s="172"/>
      <c r="BQ156" s="173"/>
      <c r="BR156" s="174"/>
      <c r="BS156" s="173"/>
      <c r="BT156" s="88"/>
      <c r="FN156" s="50"/>
      <c r="FO156" s="47"/>
      <c r="FP156" s="47"/>
      <c r="FQ156" s="47"/>
      <c r="FR156" s="47"/>
    </row>
    <row r="157" spans="2:174" ht="11.25" customHeight="1">
      <c r="B157" s="137"/>
      <c r="C157" s="383"/>
      <c r="D157" s="383"/>
      <c r="E157" s="383"/>
      <c r="F157" s="372"/>
      <c r="G157" s="373"/>
      <c r="H157" s="374"/>
      <c r="I157" s="373"/>
      <c r="J157" s="88"/>
      <c r="BA157" s="137"/>
      <c r="BB157" s="172"/>
      <c r="BC157" s="173"/>
      <c r="BD157" s="174"/>
      <c r="BE157" s="173"/>
      <c r="BF157" s="88"/>
      <c r="BH157" s="137"/>
      <c r="BI157" s="172"/>
      <c r="BJ157" s="173"/>
      <c r="BK157" s="174"/>
      <c r="BL157" s="173"/>
      <c r="BM157" s="88"/>
      <c r="BO157" s="137"/>
      <c r="BP157" s="172"/>
      <c r="BQ157" s="173"/>
      <c r="BR157" s="174"/>
      <c r="BS157" s="173"/>
      <c r="BT157" s="88"/>
      <c r="FN157" s="50"/>
      <c r="FO157" s="47"/>
      <c r="FP157" s="47"/>
      <c r="FQ157" s="47"/>
      <c r="FR157" s="47"/>
    </row>
    <row r="158" spans="2:174" ht="11.25" customHeight="1">
      <c r="B158" s="137"/>
      <c r="C158" s="383"/>
      <c r="D158" s="383"/>
      <c r="E158" s="383"/>
      <c r="F158" s="372"/>
      <c r="G158" s="373"/>
      <c r="H158" s="374"/>
      <c r="I158" s="373"/>
      <c r="J158" s="88"/>
      <c r="BA158" s="137"/>
      <c r="BB158" s="172"/>
      <c r="BC158" s="173"/>
      <c r="BD158" s="174"/>
      <c r="BE158" s="173"/>
      <c r="BF158" s="88"/>
      <c r="BH158" s="137"/>
      <c r="BI158" s="172"/>
      <c r="BJ158" s="173"/>
      <c r="BK158" s="174"/>
      <c r="BL158" s="173"/>
      <c r="BM158" s="88"/>
      <c r="BO158" s="137"/>
      <c r="BP158" s="172"/>
      <c r="BQ158" s="173"/>
      <c r="BR158" s="174"/>
      <c r="BS158" s="173"/>
      <c r="BT158" s="88"/>
      <c r="FN158" s="50"/>
      <c r="FO158" s="47"/>
      <c r="FP158" s="47"/>
      <c r="FQ158" s="47"/>
      <c r="FR158" s="47"/>
    </row>
    <row r="159" spans="2:174" ht="11.25" customHeight="1">
      <c r="B159" s="137"/>
      <c r="C159" s="383"/>
      <c r="D159" s="383"/>
      <c r="E159" s="383"/>
      <c r="F159" s="372"/>
      <c r="G159" s="373"/>
      <c r="H159" s="374"/>
      <c r="I159" s="373"/>
      <c r="J159" s="88"/>
      <c r="BA159" s="137"/>
      <c r="BB159" s="172"/>
      <c r="BC159" s="173"/>
      <c r="BD159" s="174"/>
      <c r="BE159" s="173"/>
      <c r="BF159" s="88"/>
      <c r="BH159" s="137"/>
      <c r="BI159" s="172"/>
      <c r="BJ159" s="173"/>
      <c r="BK159" s="174"/>
      <c r="BL159" s="173"/>
      <c r="BM159" s="88"/>
      <c r="BO159" s="137"/>
      <c r="BP159" s="172"/>
      <c r="BQ159" s="173"/>
      <c r="BR159" s="174"/>
      <c r="BS159" s="173"/>
      <c r="BT159" s="88"/>
      <c r="FN159" s="50"/>
      <c r="FO159" s="47"/>
      <c r="FP159" s="47"/>
      <c r="FQ159" s="47"/>
      <c r="FR159" s="47"/>
    </row>
    <row r="160" spans="2:174" ht="11.25" customHeight="1">
      <c r="B160" s="137"/>
      <c r="C160" s="383"/>
      <c r="D160" s="383"/>
      <c r="E160" s="383"/>
      <c r="F160" s="372"/>
      <c r="G160" s="373"/>
      <c r="H160" s="374"/>
      <c r="I160" s="373"/>
      <c r="J160" s="88"/>
      <c r="BA160" s="137"/>
      <c r="BB160" s="172"/>
      <c r="BC160" s="173"/>
      <c r="BD160" s="174"/>
      <c r="BE160" s="173"/>
      <c r="BF160" s="88"/>
      <c r="BH160" s="137"/>
      <c r="BI160" s="172"/>
      <c r="BJ160" s="173"/>
      <c r="BK160" s="174"/>
      <c r="BL160" s="173"/>
      <c r="BM160" s="88"/>
      <c r="BO160" s="137"/>
      <c r="BP160" s="172"/>
      <c r="BQ160" s="173"/>
      <c r="BR160" s="174"/>
      <c r="BS160" s="173"/>
      <c r="BT160" s="88"/>
      <c r="FN160" s="50"/>
      <c r="FO160" s="47"/>
      <c r="FP160" s="47"/>
      <c r="FQ160" s="47"/>
      <c r="FR160" s="47"/>
    </row>
    <row r="161" spans="2:174" ht="11.25" customHeight="1">
      <c r="B161" s="137"/>
      <c r="C161" s="383"/>
      <c r="D161" s="383"/>
      <c r="E161" s="383"/>
      <c r="F161" s="372"/>
      <c r="G161" s="373"/>
      <c r="H161" s="374"/>
      <c r="I161" s="373"/>
      <c r="J161" s="88"/>
      <c r="BA161" s="137"/>
      <c r="BB161" s="172"/>
      <c r="BC161" s="173"/>
      <c r="BD161" s="174"/>
      <c r="BE161" s="173"/>
      <c r="BF161" s="88"/>
      <c r="BH161" s="137"/>
      <c r="BI161" s="172"/>
      <c r="BJ161" s="173"/>
      <c r="BK161" s="174"/>
      <c r="BL161" s="173"/>
      <c r="BM161" s="88"/>
      <c r="BO161" s="137"/>
      <c r="BP161" s="172"/>
      <c r="BQ161" s="173"/>
      <c r="BR161" s="174"/>
      <c r="BS161" s="173"/>
      <c r="BT161" s="88"/>
      <c r="FN161" s="50"/>
      <c r="FO161" s="47"/>
      <c r="FP161" s="47"/>
      <c r="FQ161" s="47"/>
      <c r="FR161" s="47"/>
    </row>
    <row r="162" spans="2:174" ht="11.25" customHeight="1">
      <c r="B162" s="137"/>
      <c r="C162" s="383"/>
      <c r="D162" s="383"/>
      <c r="E162" s="383"/>
      <c r="F162" s="372"/>
      <c r="G162" s="373"/>
      <c r="H162" s="374"/>
      <c r="I162" s="373"/>
      <c r="J162" s="88"/>
      <c r="BA162" s="137"/>
      <c r="BB162" s="172"/>
      <c r="BC162" s="173"/>
      <c r="BD162" s="174"/>
      <c r="BE162" s="173"/>
      <c r="BF162" s="88"/>
      <c r="BH162" s="137"/>
      <c r="BI162" s="172"/>
      <c r="BJ162" s="173"/>
      <c r="BK162" s="174"/>
      <c r="BL162" s="173"/>
      <c r="BM162" s="88"/>
      <c r="BO162" s="137"/>
      <c r="BP162" s="172"/>
      <c r="BQ162" s="173"/>
      <c r="BR162" s="174"/>
      <c r="BS162" s="173"/>
      <c r="BT162" s="88"/>
      <c r="FN162" s="50"/>
      <c r="FO162" s="47"/>
      <c r="FP162" s="47"/>
      <c r="FQ162" s="47"/>
      <c r="FR162" s="47"/>
    </row>
    <row r="163" spans="2:174" ht="11.25" customHeight="1">
      <c r="B163" s="137"/>
      <c r="C163" s="383"/>
      <c r="D163" s="383"/>
      <c r="E163" s="383"/>
      <c r="F163" s="372"/>
      <c r="G163" s="373"/>
      <c r="H163" s="374"/>
      <c r="I163" s="373"/>
      <c r="J163" s="88"/>
      <c r="BA163" s="137"/>
      <c r="BB163" s="172"/>
      <c r="BC163" s="173"/>
      <c r="BD163" s="174"/>
      <c r="BE163" s="173"/>
      <c r="BF163" s="88"/>
      <c r="BH163" s="137"/>
      <c r="BI163" s="172"/>
      <c r="BJ163" s="173"/>
      <c r="BK163" s="174"/>
      <c r="BL163" s="173"/>
      <c r="BM163" s="88"/>
      <c r="BO163" s="137"/>
      <c r="BP163" s="172"/>
      <c r="BQ163" s="173"/>
      <c r="BR163" s="174"/>
      <c r="BS163" s="173"/>
      <c r="BT163" s="88"/>
      <c r="FN163" s="50"/>
      <c r="FO163" s="47"/>
      <c r="FP163" s="47"/>
      <c r="FQ163" s="47"/>
      <c r="FR163" s="47"/>
    </row>
    <row r="164" spans="2:174" ht="11.25" customHeight="1">
      <c r="B164" s="137"/>
      <c r="C164" s="383"/>
      <c r="D164" s="383"/>
      <c r="E164" s="383"/>
      <c r="F164" s="372"/>
      <c r="G164" s="373"/>
      <c r="H164" s="374"/>
      <c r="I164" s="373"/>
      <c r="J164" s="88"/>
      <c r="BA164" s="137"/>
      <c r="BB164" s="172"/>
      <c r="BC164" s="173"/>
      <c r="BD164" s="174"/>
      <c r="BE164" s="173"/>
      <c r="BF164" s="88"/>
      <c r="BH164" s="137"/>
      <c r="BI164" s="172"/>
      <c r="BJ164" s="173"/>
      <c r="BK164" s="174"/>
      <c r="BL164" s="173"/>
      <c r="BM164" s="88"/>
      <c r="BO164" s="137"/>
      <c r="BP164" s="172"/>
      <c r="BQ164" s="173"/>
      <c r="BR164" s="174"/>
      <c r="BS164" s="173"/>
      <c r="BT164" s="88"/>
      <c r="FN164" s="50"/>
      <c r="FO164" s="47"/>
      <c r="FP164" s="47"/>
      <c r="FQ164" s="47"/>
      <c r="FR164" s="47"/>
    </row>
    <row r="165" spans="2:174" ht="11.25" customHeight="1">
      <c r="B165" s="137"/>
      <c r="C165" s="383"/>
      <c r="D165" s="383"/>
      <c r="E165" s="383"/>
      <c r="F165" s="372"/>
      <c r="G165" s="373"/>
      <c r="H165" s="374"/>
      <c r="I165" s="373"/>
      <c r="J165" s="88"/>
      <c r="BA165" s="137"/>
      <c r="BB165" s="172"/>
      <c r="BC165" s="173"/>
      <c r="BD165" s="174"/>
      <c r="BE165" s="173"/>
      <c r="BF165" s="88"/>
      <c r="BH165" s="137"/>
      <c r="BI165" s="172"/>
      <c r="BJ165" s="173"/>
      <c r="BK165" s="174"/>
      <c r="BL165" s="173"/>
      <c r="BM165" s="88"/>
      <c r="BO165" s="137"/>
      <c r="BP165" s="172"/>
      <c r="BQ165" s="173"/>
      <c r="BR165" s="174"/>
      <c r="BS165" s="173"/>
      <c r="BT165" s="88"/>
      <c r="FN165" s="50"/>
      <c r="FO165" s="47"/>
      <c r="FP165" s="47"/>
      <c r="FQ165" s="47"/>
      <c r="FR165" s="47"/>
    </row>
    <row r="166" spans="2:174" ht="11.25" customHeight="1">
      <c r="B166" s="137"/>
      <c r="C166" s="383"/>
      <c r="D166" s="383"/>
      <c r="E166" s="383"/>
      <c r="F166" s="372"/>
      <c r="G166" s="373"/>
      <c r="H166" s="374"/>
      <c r="I166" s="373"/>
      <c r="J166" s="88"/>
      <c r="BA166" s="137"/>
      <c r="BB166" s="172"/>
      <c r="BC166" s="173"/>
      <c r="BD166" s="174"/>
      <c r="BE166" s="173"/>
      <c r="BF166" s="88"/>
      <c r="BH166" s="137"/>
      <c r="BI166" s="172"/>
      <c r="BJ166" s="173"/>
      <c r="BK166" s="174"/>
      <c r="BL166" s="173"/>
      <c r="BM166" s="88"/>
      <c r="BO166" s="137"/>
      <c r="BP166" s="172"/>
      <c r="BQ166" s="173"/>
      <c r="BR166" s="174"/>
      <c r="BS166" s="173"/>
      <c r="BT166" s="88"/>
      <c r="FN166" s="50"/>
      <c r="FO166" s="47"/>
      <c r="FP166" s="47"/>
      <c r="FQ166" s="47"/>
      <c r="FR166" s="47"/>
    </row>
    <row r="167" spans="2:174" ht="11.25" customHeight="1">
      <c r="B167" s="137"/>
      <c r="C167" s="383"/>
      <c r="D167" s="383"/>
      <c r="E167" s="383"/>
      <c r="F167" s="372"/>
      <c r="G167" s="373"/>
      <c r="H167" s="374"/>
      <c r="I167" s="373"/>
      <c r="J167" s="88"/>
      <c r="BA167" s="137"/>
      <c r="BB167" s="172"/>
      <c r="BC167" s="173"/>
      <c r="BD167" s="174"/>
      <c r="BE167" s="173"/>
      <c r="BF167" s="88"/>
      <c r="BH167" s="137"/>
      <c r="BI167" s="172"/>
      <c r="BJ167" s="173"/>
      <c r="BK167" s="174"/>
      <c r="BL167" s="173"/>
      <c r="BM167" s="88"/>
      <c r="BO167" s="137"/>
      <c r="BP167" s="172"/>
      <c r="BQ167" s="173"/>
      <c r="BR167" s="174"/>
      <c r="BS167" s="173"/>
      <c r="BT167" s="88"/>
      <c r="FN167" s="50"/>
      <c r="FO167" s="47"/>
      <c r="FP167" s="47"/>
      <c r="FQ167" s="47"/>
      <c r="FR167" s="47"/>
    </row>
    <row r="168" spans="2:174" ht="11.25" customHeight="1">
      <c r="B168" s="137"/>
      <c r="C168" s="383"/>
      <c r="D168" s="383"/>
      <c r="E168" s="383"/>
      <c r="F168" s="372"/>
      <c r="G168" s="373"/>
      <c r="H168" s="374"/>
      <c r="I168" s="373"/>
      <c r="J168" s="88"/>
      <c r="BA168" s="137"/>
      <c r="BB168" s="172"/>
      <c r="BC168" s="173"/>
      <c r="BD168" s="174"/>
      <c r="BE168" s="173"/>
      <c r="BF168" s="88"/>
      <c r="BH168" s="137"/>
      <c r="BI168" s="172"/>
      <c r="BJ168" s="173"/>
      <c r="BK168" s="174"/>
      <c r="BL168" s="173"/>
      <c r="BM168" s="88"/>
      <c r="BO168" s="137"/>
      <c r="BP168" s="172"/>
      <c r="BQ168" s="173"/>
      <c r="BR168" s="174"/>
      <c r="BS168" s="173"/>
      <c r="BT168" s="88"/>
      <c r="FN168" s="50"/>
      <c r="FO168" s="47"/>
      <c r="FP168" s="47"/>
      <c r="FQ168" s="47"/>
      <c r="FR168" s="47"/>
    </row>
    <row r="169" spans="2:174" ht="11.25" customHeight="1">
      <c r="B169" s="137"/>
      <c r="C169" s="383"/>
      <c r="D169" s="383"/>
      <c r="E169" s="383"/>
      <c r="F169" s="372"/>
      <c r="G169" s="373"/>
      <c r="H169" s="374"/>
      <c r="I169" s="373"/>
      <c r="J169" s="88"/>
      <c r="BA169" s="137"/>
      <c r="BB169" s="172"/>
      <c r="BC169" s="173"/>
      <c r="BD169" s="174"/>
      <c r="BE169" s="173"/>
      <c r="BF169" s="88"/>
      <c r="BH169" s="137"/>
      <c r="BI169" s="172"/>
      <c r="BJ169" s="173"/>
      <c r="BK169" s="174"/>
      <c r="BL169" s="173"/>
      <c r="BM169" s="88"/>
      <c r="BO169" s="137"/>
      <c r="BP169" s="172"/>
      <c r="BQ169" s="173"/>
      <c r="BR169" s="174"/>
      <c r="BS169" s="173"/>
      <c r="BT169" s="88"/>
      <c r="FN169" s="50"/>
      <c r="FO169" s="47"/>
      <c r="FP169" s="47"/>
      <c r="FQ169" s="47"/>
      <c r="FR169" s="47"/>
    </row>
    <row r="170" spans="2:174" ht="11.25" customHeight="1">
      <c r="B170" s="137"/>
      <c r="C170" s="383"/>
      <c r="D170" s="383"/>
      <c r="E170" s="383"/>
      <c r="F170" s="372"/>
      <c r="G170" s="373"/>
      <c r="H170" s="374"/>
      <c r="I170" s="373"/>
      <c r="J170" s="88"/>
      <c r="BA170" s="137"/>
      <c r="BB170" s="172"/>
      <c r="BC170" s="173"/>
      <c r="BD170" s="174"/>
      <c r="BE170" s="173"/>
      <c r="BF170" s="88"/>
      <c r="BH170" s="137"/>
      <c r="BI170" s="172"/>
      <c r="BJ170" s="173"/>
      <c r="BK170" s="174"/>
      <c r="BL170" s="173"/>
      <c r="BM170" s="88"/>
      <c r="BO170" s="137"/>
      <c r="BP170" s="172"/>
      <c r="BQ170" s="173"/>
      <c r="BR170" s="174"/>
      <c r="BS170" s="173"/>
      <c r="BT170" s="88"/>
      <c r="FN170" s="50"/>
      <c r="FO170" s="47"/>
      <c r="FP170" s="47"/>
      <c r="FQ170" s="47"/>
      <c r="FR170" s="47"/>
    </row>
    <row r="171" spans="2:174" ht="11.25" customHeight="1">
      <c r="B171" s="137"/>
      <c r="C171" s="383"/>
      <c r="D171" s="383"/>
      <c r="E171" s="383"/>
      <c r="F171" s="372"/>
      <c r="G171" s="373"/>
      <c r="H171" s="374"/>
      <c r="I171" s="373"/>
      <c r="J171" s="88"/>
      <c r="BA171" s="137"/>
      <c r="BB171" s="172"/>
      <c r="BC171" s="173"/>
      <c r="BD171" s="174"/>
      <c r="BE171" s="173"/>
      <c r="BF171" s="88"/>
      <c r="BH171" s="137"/>
      <c r="BI171" s="172"/>
      <c r="BJ171" s="173"/>
      <c r="BK171" s="174"/>
      <c r="BL171" s="173"/>
      <c r="BM171" s="88"/>
      <c r="BO171" s="137"/>
      <c r="BP171" s="172"/>
      <c r="BQ171" s="173"/>
      <c r="BR171" s="174"/>
      <c r="BS171" s="173"/>
      <c r="BT171" s="88"/>
      <c r="FN171" s="50"/>
      <c r="FO171" s="47"/>
      <c r="FP171" s="47"/>
      <c r="FQ171" s="47"/>
      <c r="FR171" s="47"/>
    </row>
    <row r="172" spans="2:174" ht="11.25" customHeight="1">
      <c r="B172" s="137"/>
      <c r="C172" s="383"/>
      <c r="D172" s="383"/>
      <c r="E172" s="383"/>
      <c r="F172" s="372"/>
      <c r="G172" s="373"/>
      <c r="H172" s="374"/>
      <c r="I172" s="373"/>
      <c r="J172" s="88"/>
      <c r="BA172" s="137"/>
      <c r="BB172" s="172"/>
      <c r="BC172" s="173"/>
      <c r="BD172" s="174"/>
      <c r="BE172" s="173"/>
      <c r="BF172" s="88"/>
      <c r="BH172" s="137"/>
      <c r="BI172" s="172"/>
      <c r="BJ172" s="173"/>
      <c r="BK172" s="174"/>
      <c r="BL172" s="173"/>
      <c r="BM172" s="88"/>
      <c r="BO172" s="137"/>
      <c r="BP172" s="172"/>
      <c r="BQ172" s="173"/>
      <c r="BR172" s="174"/>
      <c r="BS172" s="173"/>
      <c r="BT172" s="88"/>
      <c r="FN172" s="50"/>
      <c r="FO172" s="47"/>
      <c r="FP172" s="47"/>
      <c r="FQ172" s="47"/>
      <c r="FR172" s="47"/>
    </row>
    <row r="173" spans="2:174" ht="11.25" customHeight="1">
      <c r="B173" s="137"/>
      <c r="C173" s="383"/>
      <c r="D173" s="383"/>
      <c r="E173" s="383"/>
      <c r="F173" s="372"/>
      <c r="G173" s="373"/>
      <c r="H173" s="374"/>
      <c r="I173" s="373"/>
      <c r="J173" s="88"/>
      <c r="BA173" s="137"/>
      <c r="BB173" s="172"/>
      <c r="BC173" s="173"/>
      <c r="BD173" s="174"/>
      <c r="BE173" s="173"/>
      <c r="BF173" s="88"/>
      <c r="BH173" s="137"/>
      <c r="BI173" s="172"/>
      <c r="BJ173" s="173"/>
      <c r="BK173" s="174"/>
      <c r="BL173" s="173"/>
      <c r="BM173" s="88"/>
      <c r="BO173" s="137"/>
      <c r="BP173" s="172"/>
      <c r="BQ173" s="173"/>
      <c r="BR173" s="174"/>
      <c r="BS173" s="173"/>
      <c r="BT173" s="88"/>
      <c r="FN173" s="50"/>
      <c r="FO173" s="47"/>
      <c r="FP173" s="47"/>
      <c r="FQ173" s="47"/>
      <c r="FR173" s="47"/>
    </row>
    <row r="174" spans="2:174" ht="11.25" customHeight="1">
      <c r="B174" s="137"/>
      <c r="C174" s="383"/>
      <c r="D174" s="383"/>
      <c r="E174" s="383"/>
      <c r="F174" s="372"/>
      <c r="G174" s="373"/>
      <c r="H174" s="374"/>
      <c r="I174" s="373"/>
      <c r="J174" s="88"/>
      <c r="BA174" s="137"/>
      <c r="BB174" s="172"/>
      <c r="BC174" s="173"/>
      <c r="BD174" s="174"/>
      <c r="BE174" s="173"/>
      <c r="BF174" s="88"/>
      <c r="BH174" s="137"/>
      <c r="BI174" s="172"/>
      <c r="BJ174" s="173"/>
      <c r="BK174" s="174"/>
      <c r="BL174" s="173"/>
      <c r="BM174" s="88"/>
      <c r="BO174" s="137"/>
      <c r="BP174" s="172"/>
      <c r="BQ174" s="173"/>
      <c r="BR174" s="174"/>
      <c r="BS174" s="173"/>
      <c r="BT174" s="88"/>
      <c r="FN174" s="50"/>
      <c r="FO174" s="47"/>
      <c r="FP174" s="47"/>
      <c r="FQ174" s="47"/>
      <c r="FR174" s="47"/>
    </row>
    <row r="175" spans="2:174" ht="11.25" customHeight="1">
      <c r="B175" s="137"/>
      <c r="C175" s="383"/>
      <c r="D175" s="383"/>
      <c r="E175" s="383"/>
      <c r="F175" s="372"/>
      <c r="G175" s="373"/>
      <c r="H175" s="374"/>
      <c r="I175" s="373"/>
      <c r="J175" s="88"/>
      <c r="BA175" s="137"/>
      <c r="BB175" s="172"/>
      <c r="BC175" s="173"/>
      <c r="BD175" s="174"/>
      <c r="BE175" s="173"/>
      <c r="BF175" s="88"/>
      <c r="BH175" s="137"/>
      <c r="BI175" s="172"/>
      <c r="BJ175" s="173"/>
      <c r="BK175" s="174"/>
      <c r="BL175" s="173"/>
      <c r="BM175" s="88"/>
      <c r="BO175" s="137"/>
      <c r="BP175" s="172"/>
      <c r="BQ175" s="173"/>
      <c r="BR175" s="174"/>
      <c r="BS175" s="173"/>
      <c r="BT175" s="88"/>
      <c r="FN175" s="50"/>
      <c r="FO175" s="47"/>
      <c r="FP175" s="47"/>
      <c r="FQ175" s="47"/>
      <c r="FR175" s="47"/>
    </row>
    <row r="176" spans="2:174" ht="11.25" customHeight="1">
      <c r="B176" s="137"/>
      <c r="C176" s="383"/>
      <c r="D176" s="383"/>
      <c r="E176" s="383"/>
      <c r="F176" s="372"/>
      <c r="G176" s="373"/>
      <c r="H176" s="374"/>
      <c r="I176" s="373"/>
      <c r="J176" s="88"/>
      <c r="BA176" s="137"/>
      <c r="BB176" s="172"/>
      <c r="BC176" s="173"/>
      <c r="BD176" s="174"/>
      <c r="BE176" s="173"/>
      <c r="BF176" s="88"/>
      <c r="BH176" s="137"/>
      <c r="BI176" s="172"/>
      <c r="BJ176" s="173"/>
      <c r="BK176" s="174"/>
      <c r="BL176" s="173"/>
      <c r="BM176" s="88"/>
      <c r="BO176" s="137"/>
      <c r="BP176" s="172"/>
      <c r="BQ176" s="173"/>
      <c r="BR176" s="174"/>
      <c r="BS176" s="173"/>
      <c r="BT176" s="88"/>
      <c r="FN176" s="50"/>
      <c r="FO176" s="47"/>
      <c r="FP176" s="47"/>
      <c r="FQ176" s="47"/>
      <c r="FR176" s="47"/>
    </row>
    <row r="177" spans="2:174" ht="11.25" customHeight="1">
      <c r="B177" s="137"/>
      <c r="C177" s="383"/>
      <c r="D177" s="383"/>
      <c r="E177" s="383"/>
      <c r="F177" s="372"/>
      <c r="G177" s="373"/>
      <c r="H177" s="374"/>
      <c r="I177" s="373"/>
      <c r="J177" s="88"/>
      <c r="BA177" s="137"/>
      <c r="BB177" s="172"/>
      <c r="BC177" s="173"/>
      <c r="BD177" s="174"/>
      <c r="BE177" s="173"/>
      <c r="BF177" s="88"/>
      <c r="BH177" s="137"/>
      <c r="BI177" s="172"/>
      <c r="BJ177" s="173"/>
      <c r="BK177" s="174"/>
      <c r="BL177" s="173"/>
      <c r="BM177" s="88"/>
      <c r="BO177" s="137"/>
      <c r="BP177" s="172"/>
      <c r="BQ177" s="173"/>
      <c r="BR177" s="174"/>
      <c r="BS177" s="173"/>
      <c r="BT177" s="88"/>
      <c r="FN177" s="50"/>
      <c r="FO177" s="47"/>
      <c r="FP177" s="47"/>
      <c r="FQ177" s="47"/>
      <c r="FR177" s="47"/>
    </row>
    <row r="178" spans="2:174" ht="11.25" customHeight="1">
      <c r="B178" s="137"/>
      <c r="C178" s="383"/>
      <c r="D178" s="383"/>
      <c r="E178" s="383"/>
      <c r="F178" s="372"/>
      <c r="G178" s="373"/>
      <c r="H178" s="374"/>
      <c r="I178" s="373"/>
      <c r="J178" s="88"/>
      <c r="BA178" s="137"/>
      <c r="BB178" s="172"/>
      <c r="BC178" s="173"/>
      <c r="BD178" s="174"/>
      <c r="BE178" s="173"/>
      <c r="BF178" s="88"/>
      <c r="BH178" s="137"/>
      <c r="BI178" s="172"/>
      <c r="BJ178" s="173"/>
      <c r="BK178" s="174"/>
      <c r="BL178" s="173"/>
      <c r="BM178" s="88"/>
      <c r="BO178" s="137"/>
      <c r="BP178" s="172"/>
      <c r="BQ178" s="173"/>
      <c r="BR178" s="174"/>
      <c r="BS178" s="173"/>
      <c r="BT178" s="88"/>
      <c r="FN178" s="50"/>
      <c r="FO178" s="47"/>
      <c r="FP178" s="47"/>
      <c r="FQ178" s="47"/>
      <c r="FR178" s="47"/>
    </row>
    <row r="179" spans="2:174" ht="11.25" customHeight="1">
      <c r="B179" s="137"/>
      <c r="C179" s="383"/>
      <c r="D179" s="383"/>
      <c r="E179" s="383"/>
      <c r="F179" s="372"/>
      <c r="G179" s="373"/>
      <c r="H179" s="374"/>
      <c r="I179" s="373"/>
      <c r="J179" s="88"/>
      <c r="BA179" s="137"/>
      <c r="BB179" s="172"/>
      <c r="BC179" s="173"/>
      <c r="BD179" s="174"/>
      <c r="BE179" s="173"/>
      <c r="BF179" s="88"/>
      <c r="BH179" s="137"/>
      <c r="BI179" s="172"/>
      <c r="BJ179" s="173"/>
      <c r="BK179" s="174"/>
      <c r="BL179" s="173"/>
      <c r="BM179" s="88"/>
      <c r="BO179" s="137"/>
      <c r="BP179" s="172"/>
      <c r="BQ179" s="173"/>
      <c r="BR179" s="174"/>
      <c r="BS179" s="173"/>
      <c r="BT179" s="88"/>
      <c r="FN179" s="50"/>
      <c r="FO179" s="47"/>
      <c r="FP179" s="47"/>
      <c r="FQ179" s="47"/>
      <c r="FR179" s="47"/>
    </row>
    <row r="180" spans="2:174" ht="11.25" customHeight="1">
      <c r="B180" s="137"/>
      <c r="C180" s="383"/>
      <c r="D180" s="383"/>
      <c r="E180" s="383"/>
      <c r="F180" s="372"/>
      <c r="G180" s="373"/>
      <c r="H180" s="374"/>
      <c r="I180" s="373"/>
      <c r="J180" s="88"/>
      <c r="BA180" s="137"/>
      <c r="BB180" s="172"/>
      <c r="BC180" s="173"/>
      <c r="BD180" s="174"/>
      <c r="BE180" s="173"/>
      <c r="BF180" s="88"/>
      <c r="BH180" s="137"/>
      <c r="BI180" s="172"/>
      <c r="BJ180" s="173"/>
      <c r="BK180" s="174"/>
      <c r="BL180" s="173"/>
      <c r="BM180" s="88"/>
      <c r="BO180" s="137"/>
      <c r="BP180" s="172"/>
      <c r="BQ180" s="173"/>
      <c r="BR180" s="174"/>
      <c r="BS180" s="173"/>
      <c r="BT180" s="88"/>
      <c r="FN180" s="50"/>
      <c r="FO180" s="47"/>
      <c r="FP180" s="47"/>
      <c r="FQ180" s="47"/>
      <c r="FR180" s="47"/>
    </row>
    <row r="181" spans="2:174" ht="11.25" customHeight="1">
      <c r="B181" s="137"/>
      <c r="C181" s="383"/>
      <c r="D181" s="383"/>
      <c r="E181" s="383"/>
      <c r="F181" s="372"/>
      <c r="G181" s="373"/>
      <c r="H181" s="374"/>
      <c r="I181" s="373"/>
      <c r="J181" s="88"/>
      <c r="BA181" s="137"/>
      <c r="BB181" s="172"/>
      <c r="BC181" s="173"/>
      <c r="BD181" s="174"/>
      <c r="BE181" s="173"/>
      <c r="BF181" s="88"/>
      <c r="BH181" s="137"/>
      <c r="BI181" s="172"/>
      <c r="BJ181" s="173"/>
      <c r="BK181" s="174"/>
      <c r="BL181" s="173"/>
      <c r="BM181" s="88"/>
      <c r="BO181" s="137"/>
      <c r="BP181" s="172"/>
      <c r="BQ181" s="173"/>
      <c r="BR181" s="174"/>
      <c r="BS181" s="173"/>
      <c r="BT181" s="88"/>
      <c r="FN181" s="50"/>
      <c r="FO181" s="47"/>
      <c r="FP181" s="47"/>
      <c r="FQ181" s="47"/>
      <c r="FR181" s="47"/>
    </row>
    <row r="182" spans="2:174" ht="11.25" customHeight="1">
      <c r="B182" s="137"/>
      <c r="C182" s="383"/>
      <c r="D182" s="383"/>
      <c r="E182" s="383"/>
      <c r="F182" s="372"/>
      <c r="G182" s="373"/>
      <c r="H182" s="374"/>
      <c r="I182" s="373"/>
      <c r="J182" s="88"/>
      <c r="BA182" s="137"/>
      <c r="BB182" s="172"/>
      <c r="BC182" s="173"/>
      <c r="BD182" s="174"/>
      <c r="BE182" s="173"/>
      <c r="BF182" s="88"/>
      <c r="BH182" s="137"/>
      <c r="BI182" s="172"/>
      <c r="BJ182" s="173"/>
      <c r="BK182" s="174"/>
      <c r="BL182" s="173"/>
      <c r="BM182" s="88"/>
      <c r="BO182" s="137"/>
      <c r="BP182" s="172"/>
      <c r="BQ182" s="173"/>
      <c r="BR182" s="174"/>
      <c r="BS182" s="173"/>
      <c r="BT182" s="88"/>
      <c r="FN182" s="50"/>
      <c r="FO182" s="47"/>
      <c r="FP182" s="47"/>
      <c r="FQ182" s="47"/>
      <c r="FR182" s="47"/>
    </row>
    <row r="183" spans="2:174" ht="11.25" customHeight="1">
      <c r="B183" s="137"/>
      <c r="C183" s="383"/>
      <c r="D183" s="383"/>
      <c r="E183" s="383"/>
      <c r="F183" s="372"/>
      <c r="G183" s="373"/>
      <c r="H183" s="374"/>
      <c r="I183" s="373"/>
      <c r="J183" s="88"/>
      <c r="BA183" s="137"/>
      <c r="BB183" s="172"/>
      <c r="BC183" s="173"/>
      <c r="BD183" s="174"/>
      <c r="BE183" s="173"/>
      <c r="BF183" s="88"/>
      <c r="BH183" s="137"/>
      <c r="BI183" s="172"/>
      <c r="BJ183" s="173"/>
      <c r="BK183" s="174"/>
      <c r="BL183" s="173"/>
      <c r="BM183" s="88"/>
      <c r="BO183" s="137"/>
      <c r="BP183" s="172"/>
      <c r="BQ183" s="173"/>
      <c r="BR183" s="174"/>
      <c r="BS183" s="173"/>
      <c r="BT183" s="88"/>
      <c r="FN183" s="50"/>
      <c r="FO183" s="47"/>
      <c r="FP183" s="47"/>
      <c r="FQ183" s="47"/>
      <c r="FR183" s="47"/>
    </row>
    <row r="184" spans="2:174" ht="11.25" customHeight="1">
      <c r="B184" s="137"/>
      <c r="C184" s="383"/>
      <c r="D184" s="383"/>
      <c r="E184" s="383"/>
      <c r="F184" s="372"/>
      <c r="G184" s="373"/>
      <c r="H184" s="374"/>
      <c r="I184" s="373"/>
      <c r="J184" s="88"/>
      <c r="BA184" s="137"/>
      <c r="BB184" s="172"/>
      <c r="BC184" s="173"/>
      <c r="BD184" s="174"/>
      <c r="BE184" s="173"/>
      <c r="BF184" s="88"/>
      <c r="BH184" s="137"/>
      <c r="BI184" s="172"/>
      <c r="BJ184" s="173"/>
      <c r="BK184" s="174"/>
      <c r="BL184" s="173"/>
      <c r="BM184" s="88"/>
      <c r="BO184" s="137"/>
      <c r="BP184" s="172"/>
      <c r="BQ184" s="173"/>
      <c r="BR184" s="174"/>
      <c r="BS184" s="173"/>
      <c r="BT184" s="88"/>
      <c r="FN184" s="50"/>
      <c r="FO184" s="47"/>
      <c r="FP184" s="47"/>
      <c r="FQ184" s="47"/>
      <c r="FR184" s="47"/>
    </row>
    <row r="185" spans="2:174" ht="11.25" customHeight="1">
      <c r="B185" s="137"/>
      <c r="C185" s="383"/>
      <c r="D185" s="383"/>
      <c r="E185" s="383"/>
      <c r="F185" s="372"/>
      <c r="G185" s="373"/>
      <c r="H185" s="374"/>
      <c r="I185" s="373"/>
      <c r="J185" s="88"/>
      <c r="BA185" s="137"/>
      <c r="BB185" s="172"/>
      <c r="BC185" s="173"/>
      <c r="BD185" s="174"/>
      <c r="BE185" s="173"/>
      <c r="BF185" s="88"/>
      <c r="BH185" s="137"/>
      <c r="BI185" s="172"/>
      <c r="BJ185" s="173"/>
      <c r="BK185" s="174"/>
      <c r="BL185" s="173"/>
      <c r="BM185" s="88"/>
      <c r="BO185" s="137"/>
      <c r="BP185" s="172"/>
      <c r="BQ185" s="173"/>
      <c r="BR185" s="174"/>
      <c r="BS185" s="173"/>
      <c r="BT185" s="88"/>
      <c r="FN185" s="50"/>
      <c r="FO185" s="47"/>
      <c r="FP185" s="47"/>
      <c r="FQ185" s="47"/>
      <c r="FR185" s="47"/>
    </row>
    <row r="186" spans="2:174" ht="11.25" customHeight="1">
      <c r="B186" s="137"/>
      <c r="C186" s="383"/>
      <c r="D186" s="383"/>
      <c r="E186" s="383"/>
      <c r="F186" s="372"/>
      <c r="G186" s="373"/>
      <c r="H186" s="374"/>
      <c r="I186" s="373"/>
      <c r="J186" s="88"/>
      <c r="BA186" s="137"/>
      <c r="BB186" s="172"/>
      <c r="BC186" s="173"/>
      <c r="BD186" s="174"/>
      <c r="BE186" s="173"/>
      <c r="BF186" s="88"/>
      <c r="BH186" s="137"/>
      <c r="BI186" s="172"/>
      <c r="BJ186" s="173"/>
      <c r="BK186" s="174"/>
      <c r="BL186" s="173"/>
      <c r="BM186" s="88"/>
      <c r="BO186" s="137"/>
      <c r="BP186" s="172"/>
      <c r="BQ186" s="173"/>
      <c r="BR186" s="174"/>
      <c r="BS186" s="173"/>
      <c r="BT186" s="88"/>
      <c r="FN186" s="50"/>
      <c r="FO186" s="47"/>
      <c r="FP186" s="47"/>
      <c r="FQ186" s="47"/>
      <c r="FR186" s="47"/>
    </row>
    <row r="187" spans="2:174" ht="11.25" customHeight="1">
      <c r="B187" s="137"/>
      <c r="C187" s="383"/>
      <c r="D187" s="383"/>
      <c r="E187" s="383"/>
      <c r="F187" s="372"/>
      <c r="G187" s="373"/>
      <c r="H187" s="374"/>
      <c r="I187" s="373"/>
      <c r="J187" s="88"/>
      <c r="BA187" s="137"/>
      <c r="BB187" s="172"/>
      <c r="BC187" s="173"/>
      <c r="BD187" s="174"/>
      <c r="BE187" s="173"/>
      <c r="BF187" s="88"/>
      <c r="BH187" s="137"/>
      <c r="BI187" s="172"/>
      <c r="BJ187" s="173"/>
      <c r="BK187" s="174"/>
      <c r="BL187" s="173"/>
      <c r="BM187" s="88"/>
      <c r="BO187" s="137"/>
      <c r="BP187" s="172"/>
      <c r="BQ187" s="173"/>
      <c r="BR187" s="174"/>
      <c r="BS187" s="173"/>
      <c r="BT187" s="88"/>
      <c r="FN187" s="50"/>
      <c r="FO187" s="47"/>
      <c r="FP187" s="47"/>
      <c r="FQ187" s="47"/>
      <c r="FR187" s="47"/>
    </row>
    <row r="188" spans="2:174" ht="11.25" customHeight="1">
      <c r="B188" s="137"/>
      <c r="C188" s="383"/>
      <c r="D188" s="383"/>
      <c r="E188" s="383"/>
      <c r="F188" s="372"/>
      <c r="G188" s="373"/>
      <c r="H188" s="374"/>
      <c r="I188" s="373"/>
      <c r="J188" s="88"/>
      <c r="BA188" s="137"/>
      <c r="BB188" s="172"/>
      <c r="BC188" s="173"/>
      <c r="BD188" s="174"/>
      <c r="BE188" s="173"/>
      <c r="BF188" s="88"/>
      <c r="BH188" s="137"/>
      <c r="BI188" s="172"/>
      <c r="BJ188" s="173"/>
      <c r="BK188" s="174"/>
      <c r="BL188" s="173"/>
      <c r="BM188" s="88"/>
      <c r="BO188" s="137"/>
      <c r="BP188" s="172"/>
      <c r="BQ188" s="173"/>
      <c r="BR188" s="174"/>
      <c r="BS188" s="173"/>
      <c r="BT188" s="88"/>
      <c r="FN188" s="50"/>
      <c r="FO188" s="47"/>
      <c r="FP188" s="47"/>
      <c r="FQ188" s="47"/>
      <c r="FR188" s="47"/>
    </row>
    <row r="189" spans="2:174" ht="11.25" customHeight="1">
      <c r="B189" s="137"/>
      <c r="C189" s="383"/>
      <c r="D189" s="383"/>
      <c r="E189" s="383"/>
      <c r="F189" s="372"/>
      <c r="G189" s="373"/>
      <c r="H189" s="374"/>
      <c r="I189" s="373"/>
      <c r="J189" s="88"/>
      <c r="BA189" s="137"/>
      <c r="BB189" s="172"/>
      <c r="BC189" s="173"/>
      <c r="BD189" s="174"/>
      <c r="BE189" s="173"/>
      <c r="BF189" s="88"/>
      <c r="BH189" s="137"/>
      <c r="BI189" s="172"/>
      <c r="BJ189" s="173"/>
      <c r="BK189" s="174"/>
      <c r="BL189" s="173"/>
      <c r="BM189" s="88"/>
      <c r="BO189" s="137"/>
      <c r="BP189" s="172"/>
      <c r="BQ189" s="173"/>
      <c r="BR189" s="174"/>
      <c r="BS189" s="173"/>
      <c r="BT189" s="88"/>
      <c r="FN189" s="50"/>
      <c r="FO189" s="47"/>
      <c r="FP189" s="47"/>
      <c r="FQ189" s="47"/>
      <c r="FR189" s="47"/>
    </row>
    <row r="190" spans="2:174" ht="11.25" customHeight="1">
      <c r="B190" s="137"/>
      <c r="C190" s="383"/>
      <c r="D190" s="383"/>
      <c r="E190" s="383"/>
      <c r="F190" s="372"/>
      <c r="G190" s="373"/>
      <c r="H190" s="374"/>
      <c r="I190" s="373"/>
      <c r="J190" s="88"/>
      <c r="BA190" s="137"/>
      <c r="BB190" s="172"/>
      <c r="BC190" s="173"/>
      <c r="BD190" s="174"/>
      <c r="BE190" s="173"/>
      <c r="BF190" s="88"/>
      <c r="BH190" s="137"/>
      <c r="BI190" s="172"/>
      <c r="BJ190" s="173"/>
      <c r="BK190" s="174"/>
      <c r="BL190" s="173"/>
      <c r="BM190" s="88"/>
      <c r="BO190" s="137"/>
      <c r="BP190" s="172"/>
      <c r="BQ190" s="173"/>
      <c r="BR190" s="174"/>
      <c r="BS190" s="173"/>
      <c r="BT190" s="88"/>
      <c r="FN190" s="50"/>
      <c r="FO190" s="47"/>
      <c r="FP190" s="47"/>
      <c r="FQ190" s="47"/>
      <c r="FR190" s="47"/>
    </row>
    <row r="191" spans="2:174" ht="11.25" customHeight="1">
      <c r="B191" s="137"/>
      <c r="C191" s="383"/>
      <c r="D191" s="383"/>
      <c r="E191" s="383"/>
      <c r="F191" s="372"/>
      <c r="G191" s="373"/>
      <c r="H191" s="374"/>
      <c r="I191" s="373"/>
      <c r="J191" s="88"/>
      <c r="BA191" s="137"/>
      <c r="BB191" s="172"/>
      <c r="BC191" s="173"/>
      <c r="BD191" s="174"/>
      <c r="BE191" s="173"/>
      <c r="BF191" s="88"/>
      <c r="BH191" s="137"/>
      <c r="BI191" s="172"/>
      <c r="BJ191" s="173"/>
      <c r="BK191" s="174"/>
      <c r="BL191" s="173"/>
      <c r="BM191" s="88"/>
      <c r="BO191" s="137"/>
      <c r="BP191" s="172"/>
      <c r="BQ191" s="173"/>
      <c r="BR191" s="174"/>
      <c r="BS191" s="173"/>
      <c r="BT191" s="88"/>
      <c r="FN191" s="50"/>
      <c r="FO191" s="47"/>
      <c r="FP191" s="47"/>
      <c r="FQ191" s="47"/>
      <c r="FR191" s="47"/>
    </row>
    <row r="192" spans="2:174" ht="11.25" customHeight="1">
      <c r="B192" s="137"/>
      <c r="C192" s="383"/>
      <c r="D192" s="383"/>
      <c r="E192" s="383"/>
      <c r="F192" s="372"/>
      <c r="G192" s="373"/>
      <c r="H192" s="374"/>
      <c r="I192" s="373"/>
      <c r="J192" s="88"/>
      <c r="BA192" s="137"/>
      <c r="BB192" s="172"/>
      <c r="BC192" s="173"/>
      <c r="BD192" s="174"/>
      <c r="BE192" s="173"/>
      <c r="BF192" s="88"/>
      <c r="BH192" s="137"/>
      <c r="BI192" s="172"/>
      <c r="BJ192" s="173"/>
      <c r="BK192" s="174"/>
      <c r="BL192" s="173"/>
      <c r="BM192" s="88"/>
      <c r="BO192" s="137"/>
      <c r="BP192" s="172"/>
      <c r="BQ192" s="173"/>
      <c r="BR192" s="174"/>
      <c r="BS192" s="173"/>
      <c r="BT192" s="88"/>
      <c r="FN192" s="50"/>
      <c r="FO192" s="47"/>
      <c r="FP192" s="47"/>
      <c r="FQ192" s="47"/>
      <c r="FR192" s="47"/>
    </row>
    <row r="193" spans="2:174" ht="11.25" customHeight="1">
      <c r="B193" s="137"/>
      <c r="C193" s="383"/>
      <c r="D193" s="383"/>
      <c r="E193" s="383"/>
      <c r="F193" s="372"/>
      <c r="G193" s="373"/>
      <c r="H193" s="374"/>
      <c r="I193" s="373"/>
      <c r="J193" s="88"/>
      <c r="BA193" s="137"/>
      <c r="BB193" s="172"/>
      <c r="BC193" s="173"/>
      <c r="BD193" s="174"/>
      <c r="BE193" s="173"/>
      <c r="BF193" s="88"/>
      <c r="BH193" s="137"/>
      <c r="BI193" s="172"/>
      <c r="BJ193" s="173"/>
      <c r="BK193" s="174"/>
      <c r="BL193" s="173"/>
      <c r="BM193" s="88"/>
      <c r="BO193" s="137"/>
      <c r="BP193" s="172"/>
      <c r="BQ193" s="173"/>
      <c r="BR193" s="174"/>
      <c r="BS193" s="173"/>
      <c r="BT193" s="88"/>
      <c r="FN193" s="50"/>
      <c r="FO193" s="47"/>
      <c r="FP193" s="47"/>
      <c r="FQ193" s="47"/>
      <c r="FR193" s="47"/>
    </row>
    <row r="194" spans="2:174" ht="11.25" customHeight="1">
      <c r="B194" s="137"/>
      <c r="C194" s="383"/>
      <c r="D194" s="383"/>
      <c r="E194" s="383"/>
      <c r="F194" s="372"/>
      <c r="G194" s="373"/>
      <c r="H194" s="374"/>
      <c r="I194" s="373"/>
      <c r="J194" s="88"/>
      <c r="BA194" s="137"/>
      <c r="BB194" s="172"/>
      <c r="BC194" s="173"/>
      <c r="BD194" s="174"/>
      <c r="BE194" s="173"/>
      <c r="BF194" s="88"/>
      <c r="BH194" s="137"/>
      <c r="BI194" s="172"/>
      <c r="BJ194" s="173"/>
      <c r="BK194" s="174"/>
      <c r="BL194" s="173"/>
      <c r="BM194" s="88"/>
      <c r="BO194" s="137"/>
      <c r="BP194" s="172"/>
      <c r="BQ194" s="173"/>
      <c r="BR194" s="174"/>
      <c r="BS194" s="173"/>
      <c r="BT194" s="88"/>
      <c r="FN194" s="50"/>
      <c r="FO194" s="47"/>
      <c r="FP194" s="47"/>
      <c r="FQ194" s="47"/>
      <c r="FR194" s="47"/>
    </row>
    <row r="195" spans="2:174" ht="11.25" customHeight="1">
      <c r="B195" s="137"/>
      <c r="C195" s="383"/>
      <c r="D195" s="383"/>
      <c r="E195" s="383"/>
      <c r="F195" s="372"/>
      <c r="G195" s="373"/>
      <c r="H195" s="374"/>
      <c r="I195" s="373"/>
      <c r="J195" s="88"/>
      <c r="BA195" s="137"/>
      <c r="BB195" s="172"/>
      <c r="BC195" s="173"/>
      <c r="BD195" s="174"/>
      <c r="BE195" s="173"/>
      <c r="BF195" s="88"/>
      <c r="BH195" s="137"/>
      <c r="BI195" s="172"/>
      <c r="BJ195" s="173"/>
      <c r="BK195" s="174"/>
      <c r="BL195" s="173"/>
      <c r="BM195" s="88"/>
      <c r="BO195" s="137"/>
      <c r="BP195" s="172"/>
      <c r="BQ195" s="173"/>
      <c r="BR195" s="174"/>
      <c r="BS195" s="173"/>
      <c r="BT195" s="88"/>
      <c r="FN195" s="50"/>
      <c r="FO195" s="47"/>
      <c r="FP195" s="47"/>
      <c r="FQ195" s="47"/>
      <c r="FR195" s="47"/>
    </row>
    <row r="196" spans="2:174" ht="11.25" customHeight="1">
      <c r="B196" s="137"/>
      <c r="C196" s="383"/>
      <c r="D196" s="383"/>
      <c r="E196" s="383"/>
      <c r="F196" s="372"/>
      <c r="G196" s="373"/>
      <c r="H196" s="374"/>
      <c r="I196" s="373"/>
      <c r="J196" s="88"/>
      <c r="BA196" s="137"/>
      <c r="BB196" s="172"/>
      <c r="BC196" s="173"/>
      <c r="BD196" s="174"/>
      <c r="BE196" s="173"/>
      <c r="BF196" s="88"/>
      <c r="BH196" s="137"/>
      <c r="BI196" s="172"/>
      <c r="BJ196" s="173"/>
      <c r="BK196" s="174"/>
      <c r="BL196" s="173"/>
      <c r="BM196" s="88"/>
      <c r="BO196" s="137"/>
      <c r="BP196" s="172"/>
      <c r="BQ196" s="173"/>
      <c r="BR196" s="174"/>
      <c r="BS196" s="173"/>
      <c r="BT196" s="88"/>
      <c r="FN196" s="50"/>
      <c r="FO196" s="47"/>
      <c r="FP196" s="47"/>
      <c r="FQ196" s="47"/>
      <c r="FR196" s="47"/>
    </row>
    <row r="197" spans="2:174" ht="11.25" customHeight="1">
      <c r="B197" s="137"/>
      <c r="C197" s="383"/>
      <c r="D197" s="383"/>
      <c r="E197" s="383"/>
      <c r="F197" s="372"/>
      <c r="G197" s="373"/>
      <c r="H197" s="374"/>
      <c r="I197" s="373"/>
      <c r="J197" s="88"/>
      <c r="BA197" s="137"/>
      <c r="BB197" s="172"/>
      <c r="BC197" s="173"/>
      <c r="BD197" s="174"/>
      <c r="BE197" s="173"/>
      <c r="BF197" s="88"/>
      <c r="BH197" s="137"/>
      <c r="BI197" s="172"/>
      <c r="BJ197" s="173"/>
      <c r="BK197" s="174"/>
      <c r="BL197" s="173"/>
      <c r="BM197" s="88"/>
      <c r="BO197" s="137"/>
      <c r="BP197" s="172"/>
      <c r="BQ197" s="173"/>
      <c r="BR197" s="174"/>
      <c r="BS197" s="173"/>
      <c r="BT197" s="88"/>
      <c r="FN197" s="50"/>
      <c r="FO197" s="47"/>
      <c r="FP197" s="47"/>
      <c r="FQ197" s="47"/>
      <c r="FR197" s="47"/>
    </row>
    <row r="198" spans="2:174" ht="11.25" customHeight="1">
      <c r="B198" s="137"/>
      <c r="C198" s="383"/>
      <c r="D198" s="383"/>
      <c r="E198" s="383"/>
      <c r="F198" s="372"/>
      <c r="G198" s="373"/>
      <c r="H198" s="374"/>
      <c r="I198" s="373"/>
      <c r="J198" s="88"/>
      <c r="BA198" s="137"/>
      <c r="BB198" s="172"/>
      <c r="BC198" s="173"/>
      <c r="BD198" s="174"/>
      <c r="BE198" s="173"/>
      <c r="BF198" s="88"/>
      <c r="BH198" s="137"/>
      <c r="BI198" s="172"/>
      <c r="BJ198" s="173"/>
      <c r="BK198" s="174"/>
      <c r="BL198" s="173"/>
      <c r="BM198" s="88"/>
      <c r="BO198" s="137"/>
      <c r="BP198" s="172"/>
      <c r="BQ198" s="173"/>
      <c r="BR198" s="174"/>
      <c r="BS198" s="173"/>
      <c r="BT198" s="88"/>
      <c r="FN198" s="50"/>
      <c r="FO198" s="47"/>
      <c r="FP198" s="47"/>
      <c r="FQ198" s="47"/>
      <c r="FR198" s="47"/>
    </row>
    <row r="199" spans="2:174" ht="11.25" customHeight="1">
      <c r="B199" s="137"/>
      <c r="C199" s="383"/>
      <c r="D199" s="383"/>
      <c r="E199" s="383"/>
      <c r="F199" s="372"/>
      <c r="G199" s="373"/>
      <c r="H199" s="374"/>
      <c r="I199" s="373"/>
      <c r="J199" s="88"/>
      <c r="BA199" s="137"/>
      <c r="BB199" s="172"/>
      <c r="BC199" s="173"/>
      <c r="BD199" s="174"/>
      <c r="BE199" s="173"/>
      <c r="BF199" s="88"/>
      <c r="BH199" s="137"/>
      <c r="BI199" s="172"/>
      <c r="BJ199" s="173"/>
      <c r="BK199" s="174"/>
      <c r="BL199" s="173"/>
      <c r="BM199" s="88"/>
      <c r="BO199" s="137"/>
      <c r="BP199" s="172"/>
      <c r="BQ199" s="173"/>
      <c r="BR199" s="174"/>
      <c r="BS199" s="173"/>
      <c r="BT199" s="88"/>
      <c r="FN199" s="50"/>
      <c r="FO199" s="47"/>
      <c r="FP199" s="47"/>
      <c r="FQ199" s="47"/>
      <c r="FR199" s="47"/>
    </row>
    <row r="200" spans="2:174" ht="11.25" customHeight="1">
      <c r="B200" s="137"/>
      <c r="C200" s="383"/>
      <c r="D200" s="383"/>
      <c r="E200" s="383"/>
      <c r="F200" s="372"/>
      <c r="G200" s="373"/>
      <c r="H200" s="374"/>
      <c r="I200" s="373"/>
      <c r="J200" s="88"/>
      <c r="BA200" s="137"/>
      <c r="BB200" s="172"/>
      <c r="BC200" s="173"/>
      <c r="BD200" s="174"/>
      <c r="BE200" s="173"/>
      <c r="BF200" s="88"/>
      <c r="BH200" s="137"/>
      <c r="BI200" s="172"/>
      <c r="BJ200" s="173"/>
      <c r="BK200" s="174"/>
      <c r="BL200" s="173"/>
      <c r="BM200" s="88"/>
      <c r="BO200" s="137"/>
      <c r="BP200" s="172"/>
      <c r="BQ200" s="173"/>
      <c r="BR200" s="174"/>
      <c r="BS200" s="173"/>
      <c r="BT200" s="88"/>
      <c r="FN200" s="50"/>
      <c r="FO200" s="47"/>
      <c r="FP200" s="47"/>
      <c r="FQ200" s="47"/>
      <c r="FR200" s="47"/>
    </row>
    <row r="201" spans="2:174" ht="11.25" customHeight="1">
      <c r="B201" s="137"/>
      <c r="C201" s="383"/>
      <c r="D201" s="383"/>
      <c r="E201" s="383"/>
      <c r="F201" s="372"/>
      <c r="G201" s="373"/>
      <c r="H201" s="374"/>
      <c r="I201" s="373"/>
      <c r="J201" s="88"/>
      <c r="BA201" s="137"/>
      <c r="BB201" s="172"/>
      <c r="BC201" s="173"/>
      <c r="BD201" s="174"/>
      <c r="BE201" s="173"/>
      <c r="BF201" s="88"/>
      <c r="BH201" s="137"/>
      <c r="BI201" s="172"/>
      <c r="BJ201" s="173"/>
      <c r="BK201" s="174"/>
      <c r="BL201" s="173"/>
      <c r="BM201" s="88"/>
      <c r="BO201" s="137"/>
      <c r="BP201" s="172"/>
      <c r="BQ201" s="173"/>
      <c r="BR201" s="174"/>
      <c r="BS201" s="173"/>
      <c r="BT201" s="88"/>
      <c r="FN201" s="50"/>
      <c r="FO201" s="47"/>
      <c r="FP201" s="47"/>
      <c r="FQ201" s="47"/>
      <c r="FR201" s="47"/>
    </row>
    <row r="202" spans="2:174" ht="11.25" customHeight="1">
      <c r="B202" s="137"/>
      <c r="C202" s="383"/>
      <c r="D202" s="383"/>
      <c r="E202" s="383"/>
      <c r="F202" s="372"/>
      <c r="G202" s="373"/>
      <c r="H202" s="374"/>
      <c r="I202" s="373"/>
      <c r="J202" s="88"/>
      <c r="BA202" s="137"/>
      <c r="BB202" s="172"/>
      <c r="BC202" s="173"/>
      <c r="BD202" s="174"/>
      <c r="BE202" s="173"/>
      <c r="BF202" s="88"/>
      <c r="BH202" s="137"/>
      <c r="BI202" s="172"/>
      <c r="BJ202" s="173"/>
      <c r="BK202" s="174"/>
      <c r="BL202" s="173"/>
      <c r="BM202" s="88"/>
      <c r="BO202" s="137"/>
      <c r="BP202" s="172"/>
      <c r="BQ202" s="173"/>
      <c r="BR202" s="174"/>
      <c r="BS202" s="173"/>
      <c r="BT202" s="88"/>
      <c r="FN202" s="50"/>
      <c r="FO202" s="47"/>
      <c r="FP202" s="47"/>
      <c r="FQ202" s="47"/>
      <c r="FR202" s="47"/>
    </row>
    <row r="203" spans="2:174" ht="11.25" customHeight="1">
      <c r="B203" s="137"/>
      <c r="C203" s="383"/>
      <c r="D203" s="383"/>
      <c r="E203" s="383"/>
      <c r="F203" s="372"/>
      <c r="G203" s="373"/>
      <c r="H203" s="374"/>
      <c r="I203" s="373"/>
      <c r="J203" s="88"/>
      <c r="BA203" s="137"/>
      <c r="BB203" s="172"/>
      <c r="BC203" s="173"/>
      <c r="BD203" s="174"/>
      <c r="BE203" s="173"/>
      <c r="BF203" s="88"/>
      <c r="BH203" s="137"/>
      <c r="BI203" s="172"/>
      <c r="BJ203" s="173"/>
      <c r="BK203" s="174"/>
      <c r="BL203" s="173"/>
      <c r="BM203" s="88"/>
      <c r="BO203" s="137"/>
      <c r="BP203" s="172"/>
      <c r="BQ203" s="173"/>
      <c r="BR203" s="174"/>
      <c r="BS203" s="173"/>
      <c r="BT203" s="88"/>
      <c r="FN203" s="50"/>
      <c r="FO203" s="47"/>
      <c r="FP203" s="47"/>
      <c r="FQ203" s="47"/>
      <c r="FR203" s="47"/>
    </row>
    <row r="204" spans="2:174" ht="11.25" customHeight="1">
      <c r="B204" s="137"/>
      <c r="C204" s="383"/>
      <c r="D204" s="383"/>
      <c r="E204" s="383"/>
      <c r="F204" s="372"/>
      <c r="G204" s="373"/>
      <c r="H204" s="374"/>
      <c r="I204" s="373"/>
      <c r="J204" s="88"/>
      <c r="BA204" s="137"/>
      <c r="BB204" s="172"/>
      <c r="BC204" s="173"/>
      <c r="BD204" s="174"/>
      <c r="BE204" s="173"/>
      <c r="BF204" s="88"/>
      <c r="BH204" s="137"/>
      <c r="BI204" s="172"/>
      <c r="BJ204" s="173"/>
      <c r="BK204" s="174"/>
      <c r="BL204" s="173"/>
      <c r="BM204" s="88"/>
      <c r="BO204" s="137"/>
      <c r="BP204" s="172"/>
      <c r="BQ204" s="173"/>
      <c r="BR204" s="174"/>
      <c r="BS204" s="173"/>
      <c r="BT204" s="88"/>
      <c r="FN204" s="50"/>
      <c r="FO204" s="47"/>
      <c r="FP204" s="47"/>
      <c r="FQ204" s="47"/>
      <c r="FR204" s="47"/>
    </row>
    <row r="205" spans="2:174" ht="11.25" customHeight="1">
      <c r="B205" s="137"/>
      <c r="C205" s="383"/>
      <c r="D205" s="383"/>
      <c r="E205" s="383"/>
      <c r="F205" s="372"/>
      <c r="G205" s="373"/>
      <c r="H205" s="374"/>
      <c r="I205" s="373"/>
      <c r="J205" s="88"/>
      <c r="BA205" s="137"/>
      <c r="BB205" s="172"/>
      <c r="BC205" s="173"/>
      <c r="BD205" s="174"/>
      <c r="BE205" s="173"/>
      <c r="BF205" s="88"/>
      <c r="BH205" s="137"/>
      <c r="BI205" s="172"/>
      <c r="BJ205" s="173"/>
      <c r="BK205" s="174"/>
      <c r="BL205" s="173"/>
      <c r="BM205" s="88"/>
      <c r="BO205" s="137"/>
      <c r="BP205" s="172"/>
      <c r="BQ205" s="173"/>
      <c r="BR205" s="174"/>
      <c r="BS205" s="173"/>
      <c r="BT205" s="88"/>
      <c r="FN205" s="50"/>
      <c r="FO205" s="47"/>
      <c r="FP205" s="47"/>
      <c r="FQ205" s="47"/>
      <c r="FR205" s="47"/>
    </row>
    <row r="206" spans="2:174" ht="11.25" customHeight="1">
      <c r="B206" s="137"/>
      <c r="C206" s="383"/>
      <c r="D206" s="383"/>
      <c r="E206" s="383"/>
      <c r="F206" s="372"/>
      <c r="G206" s="373"/>
      <c r="H206" s="374"/>
      <c r="I206" s="373"/>
      <c r="J206" s="88"/>
      <c r="BA206" s="137"/>
      <c r="BB206" s="172"/>
      <c r="BC206" s="173"/>
      <c r="BD206" s="174"/>
      <c r="BE206" s="173"/>
      <c r="BF206" s="88"/>
      <c r="BH206" s="137"/>
      <c r="BI206" s="172"/>
      <c r="BJ206" s="173"/>
      <c r="BK206" s="174"/>
      <c r="BL206" s="173"/>
      <c r="BM206" s="88"/>
      <c r="BO206" s="137"/>
      <c r="BP206" s="172"/>
      <c r="BQ206" s="173"/>
      <c r="BR206" s="174"/>
      <c r="BS206" s="173"/>
      <c r="BT206" s="88"/>
      <c r="FN206" s="50"/>
      <c r="FO206" s="47"/>
      <c r="FP206" s="47"/>
      <c r="FQ206" s="47"/>
      <c r="FR206" s="47"/>
    </row>
    <row r="207" spans="2:174" ht="11.25" customHeight="1">
      <c r="B207" s="137"/>
      <c r="C207" s="383"/>
      <c r="D207" s="383"/>
      <c r="E207" s="383"/>
      <c r="F207" s="372"/>
      <c r="G207" s="373"/>
      <c r="H207" s="374"/>
      <c r="I207" s="373"/>
      <c r="J207" s="88"/>
      <c r="BA207" s="137"/>
      <c r="BB207" s="172"/>
      <c r="BC207" s="173"/>
      <c r="BD207" s="174"/>
      <c r="BE207" s="173"/>
      <c r="BF207" s="88"/>
      <c r="BH207" s="137"/>
      <c r="BI207" s="172"/>
      <c r="BJ207" s="173"/>
      <c r="BK207" s="174"/>
      <c r="BL207" s="173"/>
      <c r="BM207" s="88"/>
      <c r="BO207" s="137"/>
      <c r="BP207" s="172"/>
      <c r="BQ207" s="173"/>
      <c r="BR207" s="174"/>
      <c r="BS207" s="173"/>
      <c r="BT207" s="88"/>
      <c r="FN207" s="50"/>
      <c r="FO207" s="47"/>
      <c r="FP207" s="47"/>
      <c r="FQ207" s="47"/>
      <c r="FR207" s="47"/>
    </row>
    <row r="208" spans="2:174" ht="11.25" customHeight="1">
      <c r="B208" s="137"/>
      <c r="C208" s="383"/>
      <c r="D208" s="383"/>
      <c r="E208" s="383"/>
      <c r="F208" s="372"/>
      <c r="G208" s="373"/>
      <c r="H208" s="374"/>
      <c r="I208" s="373"/>
      <c r="J208" s="88"/>
      <c r="BA208" s="137"/>
      <c r="BB208" s="172"/>
      <c r="BC208" s="173"/>
      <c r="BD208" s="174"/>
      <c r="BE208" s="173"/>
      <c r="BF208" s="88"/>
      <c r="BH208" s="137"/>
      <c r="BI208" s="172"/>
      <c r="BJ208" s="173"/>
      <c r="BK208" s="174"/>
      <c r="BL208" s="173"/>
      <c r="BM208" s="88"/>
      <c r="BO208" s="137"/>
      <c r="BP208" s="172"/>
      <c r="BQ208" s="173"/>
      <c r="BR208" s="174"/>
      <c r="BS208" s="173"/>
      <c r="BT208" s="88"/>
      <c r="FN208" s="50"/>
      <c r="FO208" s="47"/>
      <c r="FP208" s="47"/>
      <c r="FQ208" s="47"/>
      <c r="FR208" s="47"/>
    </row>
    <row r="209" spans="2:174" ht="11.25" customHeight="1">
      <c r="B209" s="137"/>
      <c r="C209" s="383"/>
      <c r="D209" s="383"/>
      <c r="E209" s="383"/>
      <c r="F209" s="372"/>
      <c r="G209" s="373"/>
      <c r="H209" s="374"/>
      <c r="I209" s="373"/>
      <c r="J209" s="88"/>
      <c r="BA209" s="137"/>
      <c r="BB209" s="172"/>
      <c r="BC209" s="173"/>
      <c r="BD209" s="174"/>
      <c r="BE209" s="173"/>
      <c r="BF209" s="88"/>
      <c r="BH209" s="137"/>
      <c r="BI209" s="172"/>
      <c r="BJ209" s="173"/>
      <c r="BK209" s="174"/>
      <c r="BL209" s="173"/>
      <c r="BM209" s="88"/>
      <c r="BO209" s="137"/>
      <c r="BP209" s="172"/>
      <c r="BQ209" s="173"/>
      <c r="BR209" s="174"/>
      <c r="BS209" s="173"/>
      <c r="BT209" s="88"/>
      <c r="FN209" s="50"/>
      <c r="FO209" s="47"/>
      <c r="FP209" s="47"/>
      <c r="FQ209" s="47"/>
      <c r="FR209" s="47"/>
    </row>
    <row r="210" spans="2:174" ht="11.25" customHeight="1">
      <c r="B210" s="137"/>
      <c r="C210" s="383"/>
      <c r="D210" s="383"/>
      <c r="E210" s="383"/>
      <c r="F210" s="372"/>
      <c r="G210" s="373"/>
      <c r="H210" s="374"/>
      <c r="I210" s="373"/>
      <c r="J210" s="88"/>
      <c r="BA210" s="137"/>
      <c r="BB210" s="172"/>
      <c r="BC210" s="173"/>
      <c r="BD210" s="174"/>
      <c r="BE210" s="173"/>
      <c r="BF210" s="88"/>
      <c r="BH210" s="137"/>
      <c r="BI210" s="172"/>
      <c r="BJ210" s="173"/>
      <c r="BK210" s="174"/>
      <c r="BL210" s="173"/>
      <c r="BM210" s="88"/>
      <c r="BO210" s="137"/>
      <c r="BP210" s="172"/>
      <c r="BQ210" s="173"/>
      <c r="BR210" s="174"/>
      <c r="BS210" s="173"/>
      <c r="BT210" s="88"/>
      <c r="FN210" s="50"/>
      <c r="FO210" s="47"/>
      <c r="FP210" s="47"/>
      <c r="FQ210" s="47"/>
      <c r="FR210" s="47"/>
    </row>
    <row r="211" spans="2:174" ht="11.25" customHeight="1">
      <c r="B211" s="137"/>
      <c r="C211" s="383"/>
      <c r="D211" s="383"/>
      <c r="E211" s="383"/>
      <c r="F211" s="372"/>
      <c r="G211" s="373"/>
      <c r="H211" s="374"/>
      <c r="I211" s="373"/>
      <c r="J211" s="88"/>
      <c r="BA211" s="137"/>
      <c r="BB211" s="172"/>
      <c r="BC211" s="173"/>
      <c r="BD211" s="174"/>
      <c r="BE211" s="173"/>
      <c r="BF211" s="88"/>
      <c r="BH211" s="137"/>
      <c r="BI211" s="172"/>
      <c r="BJ211" s="173"/>
      <c r="BK211" s="174"/>
      <c r="BL211" s="173"/>
      <c r="BM211" s="88"/>
      <c r="BO211" s="137"/>
      <c r="BP211" s="172"/>
      <c r="BQ211" s="173"/>
      <c r="BR211" s="174"/>
      <c r="BS211" s="173"/>
      <c r="BT211" s="88"/>
      <c r="FN211" s="50"/>
      <c r="FO211" s="47"/>
      <c r="FP211" s="47"/>
      <c r="FQ211" s="47"/>
      <c r="FR211" s="47"/>
    </row>
    <row r="212" spans="2:174" ht="11.25" customHeight="1">
      <c r="B212" s="137"/>
      <c r="C212" s="383"/>
      <c r="D212" s="383"/>
      <c r="E212" s="383"/>
      <c r="F212" s="372"/>
      <c r="G212" s="373"/>
      <c r="H212" s="374"/>
      <c r="I212" s="373"/>
      <c r="J212" s="88"/>
      <c r="BA212" s="137"/>
      <c r="BB212" s="172"/>
      <c r="BC212" s="173"/>
      <c r="BD212" s="174"/>
      <c r="BE212" s="173"/>
      <c r="BF212" s="88"/>
      <c r="BH212" s="137"/>
      <c r="BI212" s="172"/>
      <c r="BJ212" s="173"/>
      <c r="BK212" s="174"/>
      <c r="BL212" s="173"/>
      <c r="BM212" s="88"/>
      <c r="BO212" s="137"/>
      <c r="BP212" s="172"/>
      <c r="BQ212" s="173"/>
      <c r="BR212" s="174"/>
      <c r="BS212" s="173"/>
      <c r="BT212" s="88"/>
      <c r="FN212" s="50"/>
      <c r="FO212" s="47"/>
      <c r="FP212" s="47"/>
      <c r="FQ212" s="47"/>
      <c r="FR212" s="47"/>
    </row>
    <row r="213" spans="2:174" ht="11.25" customHeight="1">
      <c r="B213" s="137"/>
      <c r="C213" s="383"/>
      <c r="D213" s="383"/>
      <c r="E213" s="383"/>
      <c r="F213" s="372"/>
      <c r="G213" s="373"/>
      <c r="H213" s="374"/>
      <c r="I213" s="373"/>
      <c r="J213" s="88"/>
      <c r="BA213" s="137"/>
      <c r="BB213" s="172"/>
      <c r="BC213" s="173"/>
      <c r="BD213" s="174"/>
      <c r="BE213" s="173"/>
      <c r="BF213" s="88"/>
      <c r="BH213" s="137"/>
      <c r="BI213" s="172"/>
      <c r="BJ213" s="173"/>
      <c r="BK213" s="174"/>
      <c r="BL213" s="173"/>
      <c r="BM213" s="88"/>
      <c r="BO213" s="137"/>
      <c r="BP213" s="172"/>
      <c r="BQ213" s="173"/>
      <c r="BR213" s="174"/>
      <c r="BS213" s="173"/>
      <c r="BT213" s="88"/>
      <c r="FN213" s="50"/>
      <c r="FO213" s="47"/>
      <c r="FP213" s="47"/>
      <c r="FQ213" s="47"/>
      <c r="FR213" s="47"/>
    </row>
    <row r="214" spans="2:174" ht="11.25" customHeight="1">
      <c r="B214" s="137"/>
      <c r="C214" s="383"/>
      <c r="D214" s="383"/>
      <c r="E214" s="383"/>
      <c r="F214" s="372"/>
      <c r="G214" s="373"/>
      <c r="H214" s="374"/>
      <c r="I214" s="373"/>
      <c r="J214" s="88"/>
      <c r="BA214" s="137"/>
      <c r="BB214" s="172"/>
      <c r="BC214" s="173"/>
      <c r="BD214" s="174"/>
      <c r="BE214" s="173"/>
      <c r="BF214" s="88"/>
      <c r="BH214" s="137"/>
      <c r="BI214" s="172"/>
      <c r="BJ214" s="173"/>
      <c r="BK214" s="174"/>
      <c r="BL214" s="173"/>
      <c r="BM214" s="88"/>
      <c r="BO214" s="137"/>
      <c r="BP214" s="172"/>
      <c r="BQ214" s="173"/>
      <c r="BR214" s="174"/>
      <c r="BS214" s="173"/>
      <c r="BT214" s="88"/>
      <c r="FN214" s="50"/>
      <c r="FO214" s="47"/>
      <c r="FP214" s="47"/>
      <c r="FQ214" s="47"/>
      <c r="FR214" s="47"/>
    </row>
    <row r="215" spans="2:174" ht="11.25" customHeight="1">
      <c r="B215" s="137"/>
      <c r="C215" s="383"/>
      <c r="D215" s="383"/>
      <c r="E215" s="383"/>
      <c r="F215" s="372"/>
      <c r="G215" s="373"/>
      <c r="H215" s="374"/>
      <c r="I215" s="373"/>
      <c r="J215" s="88"/>
      <c r="BA215" s="137"/>
      <c r="BB215" s="172"/>
      <c r="BC215" s="173"/>
      <c r="BD215" s="174"/>
      <c r="BE215" s="173"/>
      <c r="BF215" s="88"/>
      <c r="BH215" s="137"/>
      <c r="BI215" s="172"/>
      <c r="BJ215" s="173"/>
      <c r="BK215" s="174"/>
      <c r="BL215" s="173"/>
      <c r="BM215" s="88"/>
      <c r="BO215" s="137"/>
      <c r="BP215" s="172"/>
      <c r="BQ215" s="173"/>
      <c r="BR215" s="174"/>
      <c r="BS215" s="173"/>
      <c r="BT215" s="88"/>
      <c r="FN215" s="50"/>
      <c r="FO215" s="47"/>
      <c r="FP215" s="47"/>
      <c r="FQ215" s="47"/>
      <c r="FR215" s="47"/>
    </row>
    <row r="216" spans="2:174" ht="11.25" customHeight="1">
      <c r="B216" s="137"/>
      <c r="C216" s="383"/>
      <c r="D216" s="383"/>
      <c r="E216" s="383"/>
      <c r="F216" s="372"/>
      <c r="G216" s="373"/>
      <c r="H216" s="374"/>
      <c r="I216" s="373"/>
      <c r="J216" s="88"/>
      <c r="BA216" s="137"/>
      <c r="BB216" s="172"/>
      <c r="BC216" s="173"/>
      <c r="BD216" s="174"/>
      <c r="BE216" s="173"/>
      <c r="BF216" s="88"/>
      <c r="BH216" s="137"/>
      <c r="BI216" s="172"/>
      <c r="BJ216" s="173"/>
      <c r="BK216" s="174"/>
      <c r="BL216" s="173"/>
      <c r="BM216" s="88"/>
      <c r="BO216" s="137"/>
      <c r="BP216" s="172"/>
      <c r="BQ216" s="173"/>
      <c r="BR216" s="174"/>
      <c r="BS216" s="173"/>
      <c r="BT216" s="88"/>
      <c r="FN216" s="50"/>
      <c r="FO216" s="47"/>
      <c r="FP216" s="47"/>
      <c r="FQ216" s="47"/>
      <c r="FR216" s="47"/>
    </row>
    <row r="217" spans="2:174" ht="11.25" customHeight="1">
      <c r="B217" s="137"/>
      <c r="C217" s="383"/>
      <c r="D217" s="383"/>
      <c r="E217" s="383"/>
      <c r="F217" s="372"/>
      <c r="G217" s="373"/>
      <c r="H217" s="374"/>
      <c r="I217" s="373"/>
      <c r="J217" s="88"/>
      <c r="BA217" s="137"/>
      <c r="BB217" s="172"/>
      <c r="BC217" s="173"/>
      <c r="BD217" s="174"/>
      <c r="BE217" s="173"/>
      <c r="BF217" s="88"/>
      <c r="BH217" s="137"/>
      <c r="BI217" s="172"/>
      <c r="BJ217" s="173"/>
      <c r="BK217" s="174"/>
      <c r="BL217" s="173"/>
      <c r="BM217" s="88"/>
      <c r="BO217" s="137"/>
      <c r="BP217" s="172"/>
      <c r="BQ217" s="173"/>
      <c r="BR217" s="174"/>
      <c r="BS217" s="173"/>
      <c r="BT217" s="88"/>
      <c r="FN217" s="50"/>
      <c r="FO217" s="47"/>
      <c r="FP217" s="47"/>
      <c r="FQ217" s="47"/>
      <c r="FR217" s="47"/>
    </row>
    <row r="218" spans="2:174" ht="11.25" customHeight="1">
      <c r="B218" s="137"/>
      <c r="C218" s="383"/>
      <c r="D218" s="383"/>
      <c r="E218" s="383"/>
      <c r="F218" s="372"/>
      <c r="G218" s="373"/>
      <c r="H218" s="374"/>
      <c r="I218" s="373"/>
      <c r="J218" s="88"/>
      <c r="BA218" s="137"/>
      <c r="BB218" s="172"/>
      <c r="BC218" s="173"/>
      <c r="BD218" s="174"/>
      <c r="BE218" s="173"/>
      <c r="BF218" s="88"/>
      <c r="BH218" s="137"/>
      <c r="BI218" s="172"/>
      <c r="BJ218" s="173"/>
      <c r="BK218" s="174"/>
      <c r="BL218" s="173"/>
      <c r="BM218" s="88"/>
      <c r="BO218" s="137"/>
      <c r="BP218" s="172"/>
      <c r="BQ218" s="173"/>
      <c r="BR218" s="174"/>
      <c r="BS218" s="173"/>
      <c r="BT218" s="88"/>
      <c r="FN218" s="50"/>
      <c r="FO218" s="47"/>
      <c r="FP218" s="47"/>
      <c r="FQ218" s="47"/>
      <c r="FR218" s="47"/>
    </row>
    <row r="219" spans="2:174" ht="11.25" customHeight="1">
      <c r="B219" s="137"/>
      <c r="C219" s="383"/>
      <c r="D219" s="383"/>
      <c r="E219" s="383"/>
      <c r="F219" s="372"/>
      <c r="G219" s="373"/>
      <c r="H219" s="374"/>
      <c r="I219" s="373"/>
      <c r="J219" s="88"/>
      <c r="BA219" s="137"/>
      <c r="BB219" s="172"/>
      <c r="BC219" s="173"/>
      <c r="BD219" s="174"/>
      <c r="BE219" s="173"/>
      <c r="BF219" s="88"/>
      <c r="BH219" s="137"/>
      <c r="BI219" s="172"/>
      <c r="BJ219" s="173"/>
      <c r="BK219" s="174"/>
      <c r="BL219" s="173"/>
      <c r="BM219" s="88"/>
      <c r="BO219" s="137"/>
      <c r="BP219" s="172"/>
      <c r="BQ219" s="173"/>
      <c r="BR219" s="174"/>
      <c r="BS219" s="173"/>
      <c r="BT219" s="88"/>
      <c r="FN219" s="50"/>
      <c r="FO219" s="47"/>
      <c r="FP219" s="47"/>
      <c r="FQ219" s="47"/>
      <c r="FR219" s="47"/>
    </row>
    <row r="220" spans="2:174" ht="11.25" customHeight="1">
      <c r="B220" s="137"/>
      <c r="C220" s="383"/>
      <c r="D220" s="383"/>
      <c r="E220" s="383"/>
      <c r="F220" s="372"/>
      <c r="G220" s="373"/>
      <c r="H220" s="374"/>
      <c r="I220" s="373"/>
      <c r="J220" s="88"/>
      <c r="BA220" s="137"/>
      <c r="BB220" s="172"/>
      <c r="BC220" s="173"/>
      <c r="BD220" s="174"/>
      <c r="BE220" s="173"/>
      <c r="BF220" s="88"/>
      <c r="BH220" s="137"/>
      <c r="BI220" s="172"/>
      <c r="BJ220" s="173"/>
      <c r="BK220" s="174"/>
      <c r="BL220" s="173"/>
      <c r="BM220" s="88"/>
      <c r="BO220" s="137"/>
      <c r="BP220" s="172"/>
      <c r="BQ220" s="173"/>
      <c r="BR220" s="174"/>
      <c r="BS220" s="173"/>
      <c r="BT220" s="88"/>
      <c r="FN220" s="50"/>
      <c r="FO220" s="47"/>
      <c r="FP220" s="47"/>
      <c r="FQ220" s="47"/>
      <c r="FR220" s="47"/>
    </row>
    <row r="221" spans="2:174" ht="11.25" customHeight="1">
      <c r="B221" s="137"/>
      <c r="C221" s="383"/>
      <c r="D221" s="383"/>
      <c r="E221" s="383"/>
      <c r="F221" s="372"/>
      <c r="G221" s="373"/>
      <c r="H221" s="374"/>
      <c r="I221" s="373"/>
      <c r="J221" s="88"/>
      <c r="BA221" s="137"/>
      <c r="BB221" s="172"/>
      <c r="BC221" s="173"/>
      <c r="BD221" s="174"/>
      <c r="BE221" s="173"/>
      <c r="BF221" s="88"/>
      <c r="BH221" s="137"/>
      <c r="BI221" s="172"/>
      <c r="BJ221" s="173"/>
      <c r="BK221" s="174"/>
      <c r="BL221" s="173"/>
      <c r="BM221" s="88"/>
      <c r="BO221" s="137"/>
      <c r="BP221" s="172"/>
      <c r="BQ221" s="173"/>
      <c r="BR221" s="174"/>
      <c r="BS221" s="173"/>
      <c r="BT221" s="88"/>
      <c r="FN221" s="50"/>
      <c r="FO221" s="47"/>
      <c r="FP221" s="47"/>
      <c r="FQ221" s="47"/>
      <c r="FR221" s="47"/>
    </row>
    <row r="222" spans="2:174" ht="11.25" customHeight="1">
      <c r="B222" s="137"/>
      <c r="C222" s="383"/>
      <c r="D222" s="383"/>
      <c r="E222" s="383"/>
      <c r="F222" s="372"/>
      <c r="G222" s="373"/>
      <c r="H222" s="374"/>
      <c r="I222" s="373"/>
      <c r="J222" s="88"/>
      <c r="BA222" s="137"/>
      <c r="BB222" s="172"/>
      <c r="BC222" s="173"/>
      <c r="BD222" s="174"/>
      <c r="BE222" s="173"/>
      <c r="BF222" s="88"/>
      <c r="BH222" s="137"/>
      <c r="BI222" s="172"/>
      <c r="BJ222" s="173"/>
      <c r="BK222" s="174"/>
      <c r="BL222" s="173"/>
      <c r="BM222" s="88"/>
      <c r="BO222" s="137"/>
      <c r="BP222" s="172"/>
      <c r="BQ222" s="173"/>
      <c r="BR222" s="174"/>
      <c r="BS222" s="173"/>
      <c r="BT222" s="88"/>
      <c r="FN222" s="50"/>
      <c r="FO222" s="47"/>
      <c r="FP222" s="47"/>
      <c r="FQ222" s="47"/>
      <c r="FR222" s="47"/>
    </row>
    <row r="223" spans="2:174" ht="11.25" customHeight="1">
      <c r="B223" s="137"/>
      <c r="C223" s="383"/>
      <c r="D223" s="383"/>
      <c r="E223" s="383"/>
      <c r="F223" s="372"/>
      <c r="G223" s="373"/>
      <c r="H223" s="374"/>
      <c r="I223" s="373"/>
      <c r="J223" s="88"/>
      <c r="BA223" s="137"/>
      <c r="BB223" s="172"/>
      <c r="BC223" s="173"/>
      <c r="BD223" s="174"/>
      <c r="BE223" s="173"/>
      <c r="BF223" s="88"/>
      <c r="BH223" s="137"/>
      <c r="BI223" s="172"/>
      <c r="BJ223" s="173"/>
      <c r="BK223" s="174"/>
      <c r="BL223" s="173"/>
      <c r="BM223" s="88"/>
      <c r="BO223" s="137"/>
      <c r="BP223" s="172"/>
      <c r="BQ223" s="173"/>
      <c r="BR223" s="174"/>
      <c r="BS223" s="173"/>
      <c r="BT223" s="88"/>
      <c r="FN223" s="50"/>
      <c r="FO223" s="47"/>
      <c r="FP223" s="47"/>
      <c r="FQ223" s="47"/>
      <c r="FR223" s="47"/>
    </row>
    <row r="224" spans="2:174" ht="11.25" customHeight="1">
      <c r="B224" s="137"/>
      <c r="C224" s="383"/>
      <c r="D224" s="383"/>
      <c r="E224" s="383"/>
      <c r="F224" s="372"/>
      <c r="G224" s="373"/>
      <c r="H224" s="374"/>
      <c r="I224" s="373"/>
      <c r="J224" s="88"/>
      <c r="BA224" s="137"/>
      <c r="BB224" s="172"/>
      <c r="BC224" s="173"/>
      <c r="BD224" s="174"/>
      <c r="BE224" s="173"/>
      <c r="BF224" s="88"/>
      <c r="BH224" s="137"/>
      <c r="BI224" s="172"/>
      <c r="BJ224" s="173"/>
      <c r="BK224" s="174"/>
      <c r="BL224" s="173"/>
      <c r="BM224" s="88"/>
      <c r="BO224" s="137"/>
      <c r="BP224" s="172"/>
      <c r="BQ224" s="173"/>
      <c r="BR224" s="174"/>
      <c r="BS224" s="173"/>
      <c r="BT224" s="88"/>
      <c r="FN224" s="50"/>
      <c r="FO224" s="47"/>
      <c r="FP224" s="47"/>
      <c r="FQ224" s="47"/>
      <c r="FR224" s="47"/>
    </row>
    <row r="225" spans="2:174" ht="11.25" customHeight="1">
      <c r="B225" s="137"/>
      <c r="C225" s="383"/>
      <c r="D225" s="383"/>
      <c r="E225" s="383"/>
      <c r="F225" s="372"/>
      <c r="G225" s="373"/>
      <c r="H225" s="374"/>
      <c r="I225" s="373"/>
      <c r="J225" s="88"/>
      <c r="BA225" s="137"/>
      <c r="BB225" s="172"/>
      <c r="BC225" s="173"/>
      <c r="BD225" s="174"/>
      <c r="BE225" s="173"/>
      <c r="BF225" s="88"/>
      <c r="BH225" s="137"/>
      <c r="BI225" s="172"/>
      <c r="BJ225" s="173"/>
      <c r="BK225" s="174"/>
      <c r="BL225" s="173"/>
      <c r="BM225" s="88"/>
      <c r="BO225" s="137"/>
      <c r="BP225" s="172"/>
      <c r="BQ225" s="173"/>
      <c r="BR225" s="174"/>
      <c r="BS225" s="173"/>
      <c r="BT225" s="88"/>
      <c r="FN225" s="50"/>
      <c r="FO225" s="47"/>
      <c r="FP225" s="47"/>
      <c r="FQ225" s="47"/>
      <c r="FR225" s="47"/>
    </row>
    <row r="226" spans="2:174" ht="11.25" customHeight="1">
      <c r="B226" s="137"/>
      <c r="C226" s="383"/>
      <c r="D226" s="383"/>
      <c r="E226" s="383"/>
      <c r="F226" s="372"/>
      <c r="G226" s="373"/>
      <c r="H226" s="374"/>
      <c r="I226" s="373"/>
      <c r="J226" s="88"/>
      <c r="BA226" s="137"/>
      <c r="BB226" s="172"/>
      <c r="BC226" s="173"/>
      <c r="BD226" s="174"/>
      <c r="BE226" s="173"/>
      <c r="BF226" s="88"/>
      <c r="BH226" s="137"/>
      <c r="BI226" s="172"/>
      <c r="BJ226" s="173"/>
      <c r="BK226" s="174"/>
      <c r="BL226" s="173"/>
      <c r="BM226" s="88"/>
      <c r="BO226" s="137"/>
      <c r="BP226" s="172"/>
      <c r="BQ226" s="173"/>
      <c r="BR226" s="174"/>
      <c r="BS226" s="173"/>
      <c r="BT226" s="88"/>
      <c r="FN226" s="50"/>
      <c r="FO226" s="47"/>
      <c r="FP226" s="47"/>
      <c r="FQ226" s="47"/>
      <c r="FR226" s="47"/>
    </row>
    <row r="227" spans="2:174" ht="11.25" customHeight="1">
      <c r="B227" s="137"/>
      <c r="C227" s="383"/>
      <c r="D227" s="383"/>
      <c r="E227" s="383"/>
      <c r="F227" s="372"/>
      <c r="G227" s="373"/>
      <c r="H227" s="374"/>
      <c r="I227" s="373"/>
      <c r="J227" s="88"/>
      <c r="BA227" s="137"/>
      <c r="BB227" s="172"/>
      <c r="BC227" s="173"/>
      <c r="BD227" s="174"/>
      <c r="BE227" s="173"/>
      <c r="BF227" s="88"/>
      <c r="BH227" s="137"/>
      <c r="BI227" s="172"/>
      <c r="BJ227" s="173"/>
      <c r="BK227" s="174"/>
      <c r="BL227" s="173"/>
      <c r="BM227" s="88"/>
      <c r="BO227" s="137"/>
      <c r="BP227" s="172"/>
      <c r="BQ227" s="173"/>
      <c r="BR227" s="174"/>
      <c r="BS227" s="173"/>
      <c r="BT227" s="88"/>
      <c r="FN227" s="50"/>
      <c r="FO227" s="47"/>
      <c r="FP227" s="47"/>
      <c r="FQ227" s="47"/>
      <c r="FR227" s="47"/>
    </row>
    <row r="228" spans="2:174" ht="11.25" customHeight="1">
      <c r="B228" s="137"/>
      <c r="C228" s="383"/>
      <c r="D228" s="383"/>
      <c r="E228" s="383"/>
      <c r="F228" s="372"/>
      <c r="G228" s="373"/>
      <c r="H228" s="374"/>
      <c r="I228" s="373"/>
      <c r="J228" s="88"/>
      <c r="BA228" s="137"/>
      <c r="BB228" s="172"/>
      <c r="BC228" s="173"/>
      <c r="BD228" s="174"/>
      <c r="BE228" s="173"/>
      <c r="BF228" s="88"/>
      <c r="BH228" s="137"/>
      <c r="BI228" s="172"/>
      <c r="BJ228" s="173"/>
      <c r="BK228" s="174"/>
      <c r="BL228" s="173"/>
      <c r="BM228" s="88"/>
      <c r="BO228" s="137"/>
      <c r="BP228" s="172"/>
      <c r="BQ228" s="173"/>
      <c r="BR228" s="174"/>
      <c r="BS228" s="173"/>
      <c r="BT228" s="88"/>
      <c r="FN228" s="50"/>
      <c r="FO228" s="47"/>
      <c r="FP228" s="47"/>
      <c r="FQ228" s="47"/>
      <c r="FR228" s="47"/>
    </row>
    <row r="229" spans="2:174" ht="11.25" customHeight="1">
      <c r="B229" s="137"/>
      <c r="C229" s="383"/>
      <c r="D229" s="383"/>
      <c r="E229" s="383"/>
      <c r="F229" s="372"/>
      <c r="G229" s="373"/>
      <c r="H229" s="374"/>
      <c r="I229" s="373"/>
      <c r="J229" s="88"/>
      <c r="BA229" s="137"/>
      <c r="BB229" s="172"/>
      <c r="BC229" s="173"/>
      <c r="BD229" s="174"/>
      <c r="BE229" s="173"/>
      <c r="BF229" s="88"/>
      <c r="BH229" s="137"/>
      <c r="BI229" s="172"/>
      <c r="BJ229" s="173"/>
      <c r="BK229" s="174"/>
      <c r="BL229" s="173"/>
      <c r="BM229" s="88"/>
      <c r="BO229" s="137"/>
      <c r="BP229" s="172"/>
      <c r="BQ229" s="173"/>
      <c r="BR229" s="174"/>
      <c r="BS229" s="173"/>
      <c r="BT229" s="88"/>
      <c r="FN229" s="50"/>
      <c r="FO229" s="47"/>
      <c r="FP229" s="47"/>
      <c r="FQ229" s="47"/>
      <c r="FR229" s="47"/>
    </row>
    <row r="230" spans="2:174" ht="11.25" customHeight="1">
      <c r="B230" s="137"/>
      <c r="C230" s="383"/>
      <c r="D230" s="383"/>
      <c r="E230" s="383"/>
      <c r="F230" s="372"/>
      <c r="G230" s="373"/>
      <c r="H230" s="374"/>
      <c r="I230" s="373"/>
      <c r="J230" s="88"/>
      <c r="BA230" s="137"/>
      <c r="BB230" s="172"/>
      <c r="BC230" s="173"/>
      <c r="BD230" s="174"/>
      <c r="BE230" s="173"/>
      <c r="BF230" s="88"/>
      <c r="BH230" s="137"/>
      <c r="BI230" s="172"/>
      <c r="BJ230" s="173"/>
      <c r="BK230" s="174"/>
      <c r="BL230" s="173"/>
      <c r="BM230" s="88"/>
      <c r="BO230" s="137"/>
      <c r="BP230" s="172"/>
      <c r="BQ230" s="173"/>
      <c r="BR230" s="174"/>
      <c r="BS230" s="173"/>
      <c r="BT230" s="88"/>
      <c r="FN230" s="50"/>
      <c r="FO230" s="47"/>
      <c r="FP230" s="47"/>
      <c r="FQ230" s="47"/>
      <c r="FR230" s="47"/>
    </row>
    <row r="231" spans="2:174" ht="11.25" customHeight="1">
      <c r="B231" s="137"/>
      <c r="C231" s="383"/>
      <c r="D231" s="383"/>
      <c r="E231" s="383"/>
      <c r="F231" s="372"/>
      <c r="G231" s="373"/>
      <c r="H231" s="374"/>
      <c r="I231" s="373"/>
      <c r="J231" s="88"/>
      <c r="BA231" s="137"/>
      <c r="BB231" s="172"/>
      <c r="BC231" s="173"/>
      <c r="BD231" s="174"/>
      <c r="BE231" s="173"/>
      <c r="BF231" s="88"/>
      <c r="BH231" s="137"/>
      <c r="BI231" s="172"/>
      <c r="BJ231" s="173"/>
      <c r="BK231" s="174"/>
      <c r="BL231" s="173"/>
      <c r="BM231" s="88"/>
      <c r="BO231" s="137"/>
      <c r="BP231" s="172"/>
      <c r="BQ231" s="173"/>
      <c r="BR231" s="174"/>
      <c r="BS231" s="173"/>
      <c r="BT231" s="88"/>
      <c r="FN231" s="50"/>
      <c r="FO231" s="47"/>
      <c r="FP231" s="47"/>
      <c r="FQ231" s="47"/>
      <c r="FR231" s="47"/>
    </row>
    <row r="232" spans="2:174" ht="11.25" customHeight="1">
      <c r="B232" s="137"/>
      <c r="C232" s="383"/>
      <c r="D232" s="383"/>
      <c r="E232" s="383"/>
      <c r="F232" s="372"/>
      <c r="G232" s="373"/>
      <c r="H232" s="374"/>
      <c r="I232" s="373"/>
      <c r="J232" s="88"/>
      <c r="BA232" s="137"/>
      <c r="BB232" s="172"/>
      <c r="BC232" s="173"/>
      <c r="BD232" s="174"/>
      <c r="BE232" s="173"/>
      <c r="BF232" s="88"/>
      <c r="BH232" s="137"/>
      <c r="BI232" s="172"/>
      <c r="BJ232" s="173"/>
      <c r="BK232" s="174"/>
      <c r="BL232" s="173"/>
      <c r="BM232" s="88"/>
      <c r="BO232" s="137"/>
      <c r="BP232" s="172"/>
      <c r="BQ232" s="173"/>
      <c r="BR232" s="174"/>
      <c r="BS232" s="173"/>
      <c r="BT232" s="88"/>
      <c r="FN232" s="50"/>
      <c r="FO232" s="47"/>
      <c r="FP232" s="47"/>
      <c r="FQ232" s="47"/>
      <c r="FR232" s="47"/>
    </row>
    <row r="233" spans="2:174" ht="11.25" customHeight="1">
      <c r="B233" s="137"/>
      <c r="C233" s="383"/>
      <c r="D233" s="383"/>
      <c r="E233" s="383"/>
      <c r="F233" s="372"/>
      <c r="G233" s="373"/>
      <c r="H233" s="374"/>
      <c r="I233" s="373"/>
      <c r="J233" s="88"/>
      <c r="BA233" s="137"/>
      <c r="BB233" s="172"/>
      <c r="BC233" s="173"/>
      <c r="BD233" s="174"/>
      <c r="BE233" s="173"/>
      <c r="BF233" s="88"/>
      <c r="BH233" s="137"/>
      <c r="BI233" s="172"/>
      <c r="BJ233" s="173"/>
      <c r="BK233" s="174"/>
      <c r="BL233" s="173"/>
      <c r="BM233" s="88"/>
      <c r="BO233" s="137"/>
      <c r="BP233" s="172"/>
      <c r="BQ233" s="173"/>
      <c r="BR233" s="174"/>
      <c r="BS233" s="173"/>
      <c r="BT233" s="88"/>
      <c r="FN233" s="50"/>
      <c r="FO233" s="47"/>
      <c r="FP233" s="47"/>
      <c r="FQ233" s="47"/>
      <c r="FR233" s="47"/>
    </row>
    <row r="234" spans="2:174" ht="11.25" customHeight="1">
      <c r="B234" s="137"/>
      <c r="C234" s="383"/>
      <c r="D234" s="383"/>
      <c r="E234" s="383"/>
      <c r="F234" s="372"/>
      <c r="G234" s="373"/>
      <c r="H234" s="374"/>
      <c r="I234" s="373"/>
      <c r="J234" s="88"/>
      <c r="BA234" s="137"/>
      <c r="BB234" s="172"/>
      <c r="BC234" s="173"/>
      <c r="BD234" s="174"/>
      <c r="BE234" s="173"/>
      <c r="BF234" s="88"/>
      <c r="BH234" s="137"/>
      <c r="BI234" s="172"/>
      <c r="BJ234" s="173"/>
      <c r="BK234" s="174"/>
      <c r="BL234" s="173"/>
      <c r="BM234" s="88"/>
      <c r="BO234" s="137"/>
      <c r="BP234" s="172"/>
      <c r="BQ234" s="173"/>
      <c r="BR234" s="174"/>
      <c r="BS234" s="173"/>
      <c r="BT234" s="88"/>
      <c r="FN234" s="50"/>
      <c r="FO234" s="47"/>
      <c r="FP234" s="47"/>
      <c r="FQ234" s="47"/>
      <c r="FR234" s="47"/>
    </row>
    <row r="235" spans="2:174" ht="11.25" customHeight="1">
      <c r="B235" s="137"/>
      <c r="C235" s="383"/>
      <c r="D235" s="383"/>
      <c r="E235" s="383"/>
      <c r="F235" s="372"/>
      <c r="G235" s="373"/>
      <c r="H235" s="374"/>
      <c r="I235" s="373"/>
      <c r="J235" s="88"/>
      <c r="BA235" s="137"/>
      <c r="BB235" s="172"/>
      <c r="BC235" s="173"/>
      <c r="BD235" s="174"/>
      <c r="BE235" s="173"/>
      <c r="BF235" s="88"/>
      <c r="BH235" s="137"/>
      <c r="BI235" s="172"/>
      <c r="BJ235" s="173"/>
      <c r="BK235" s="174"/>
      <c r="BL235" s="173"/>
      <c r="BM235" s="88"/>
      <c r="BO235" s="137"/>
      <c r="BP235" s="172"/>
      <c r="BQ235" s="173"/>
      <c r="BR235" s="174"/>
      <c r="BS235" s="173"/>
      <c r="BT235" s="88"/>
      <c r="FN235" s="50"/>
      <c r="FO235" s="47"/>
      <c r="FP235" s="47"/>
      <c r="FQ235" s="47"/>
      <c r="FR235" s="47"/>
    </row>
    <row r="236" spans="2:174" ht="11.25" customHeight="1">
      <c r="B236" s="137"/>
      <c r="C236" s="383"/>
      <c r="D236" s="383"/>
      <c r="E236" s="383"/>
      <c r="F236" s="372"/>
      <c r="G236" s="373"/>
      <c r="H236" s="374"/>
      <c r="I236" s="373"/>
      <c r="J236" s="88"/>
      <c r="BA236" s="137"/>
      <c r="BB236" s="172"/>
      <c r="BC236" s="173"/>
      <c r="BD236" s="174"/>
      <c r="BE236" s="173"/>
      <c r="BF236" s="88"/>
      <c r="BH236" s="137"/>
      <c r="BI236" s="172"/>
      <c r="BJ236" s="173"/>
      <c r="BK236" s="174"/>
      <c r="BL236" s="173"/>
      <c r="BM236" s="88"/>
      <c r="BO236" s="137"/>
      <c r="BP236" s="172"/>
      <c r="BQ236" s="173"/>
      <c r="BR236" s="174"/>
      <c r="BS236" s="173"/>
      <c r="BT236" s="88"/>
      <c r="FN236" s="50"/>
      <c r="FO236" s="47"/>
      <c r="FP236" s="47"/>
      <c r="FQ236" s="47"/>
      <c r="FR236" s="47"/>
    </row>
    <row r="237" spans="2:174" ht="11.25" customHeight="1">
      <c r="B237" s="137"/>
      <c r="C237" s="383"/>
      <c r="D237" s="383"/>
      <c r="E237" s="383"/>
      <c r="F237" s="372"/>
      <c r="G237" s="373"/>
      <c r="H237" s="374"/>
      <c r="I237" s="373"/>
      <c r="J237" s="88"/>
      <c r="BA237" s="137"/>
      <c r="BB237" s="172"/>
      <c r="BC237" s="173"/>
      <c r="BD237" s="174"/>
      <c r="BE237" s="173"/>
      <c r="BF237" s="88"/>
      <c r="BH237" s="137"/>
      <c r="BI237" s="172"/>
      <c r="BJ237" s="173"/>
      <c r="BK237" s="174"/>
      <c r="BL237" s="173"/>
      <c r="BM237" s="88"/>
      <c r="BO237" s="137"/>
      <c r="BP237" s="172"/>
      <c r="BQ237" s="173"/>
      <c r="BR237" s="174"/>
      <c r="BS237" s="173"/>
      <c r="BT237" s="88"/>
      <c r="FN237" s="50"/>
      <c r="FO237" s="47"/>
      <c r="FP237" s="47"/>
      <c r="FQ237" s="47"/>
      <c r="FR237" s="47"/>
    </row>
    <row r="238" spans="2:174" ht="11.25" customHeight="1">
      <c r="B238" s="137"/>
      <c r="C238" s="383"/>
      <c r="D238" s="383"/>
      <c r="E238" s="383"/>
      <c r="F238" s="372"/>
      <c r="G238" s="373"/>
      <c r="H238" s="374"/>
      <c r="I238" s="373"/>
      <c r="J238" s="88"/>
      <c r="BA238" s="137"/>
      <c r="BB238" s="172"/>
      <c r="BC238" s="173"/>
      <c r="BD238" s="174"/>
      <c r="BE238" s="173"/>
      <c r="BF238" s="88"/>
      <c r="BH238" s="137"/>
      <c r="BI238" s="172"/>
      <c r="BJ238" s="173"/>
      <c r="BK238" s="174"/>
      <c r="BL238" s="173"/>
      <c r="BM238" s="88"/>
      <c r="BO238" s="137"/>
      <c r="BP238" s="172"/>
      <c r="BQ238" s="173"/>
      <c r="BR238" s="174"/>
      <c r="BS238" s="173"/>
      <c r="BT238" s="88"/>
      <c r="FN238" s="50"/>
      <c r="FO238" s="47"/>
      <c r="FP238" s="47"/>
      <c r="FQ238" s="47"/>
      <c r="FR238" s="47"/>
    </row>
    <row r="239" spans="2:174" ht="11.25" customHeight="1">
      <c r="B239" s="137"/>
      <c r="C239" s="383"/>
      <c r="D239" s="383"/>
      <c r="E239" s="383"/>
      <c r="F239" s="372"/>
      <c r="G239" s="373"/>
      <c r="H239" s="374"/>
      <c r="I239" s="373"/>
      <c r="J239" s="88"/>
      <c r="BA239" s="137"/>
      <c r="BB239" s="172"/>
      <c r="BC239" s="173"/>
      <c r="BD239" s="174"/>
      <c r="BE239" s="173"/>
      <c r="BF239" s="88"/>
      <c r="BH239" s="137"/>
      <c r="BI239" s="172"/>
      <c r="BJ239" s="173"/>
      <c r="BK239" s="174"/>
      <c r="BL239" s="173"/>
      <c r="BM239" s="88"/>
      <c r="BO239" s="137"/>
      <c r="BP239" s="172"/>
      <c r="BQ239" s="173"/>
      <c r="BR239" s="174"/>
      <c r="BS239" s="173"/>
      <c r="BT239" s="88"/>
      <c r="FN239" s="50"/>
      <c r="FO239" s="47"/>
      <c r="FP239" s="47"/>
      <c r="FQ239" s="47"/>
      <c r="FR239" s="47"/>
    </row>
    <row r="240" spans="2:174" ht="11.25" customHeight="1">
      <c r="B240" s="137"/>
      <c r="C240" s="383"/>
      <c r="D240" s="383"/>
      <c r="E240" s="383"/>
      <c r="F240" s="372"/>
      <c r="G240" s="373"/>
      <c r="H240" s="374"/>
      <c r="I240" s="373"/>
      <c r="J240" s="88"/>
      <c r="BA240" s="137"/>
      <c r="BB240" s="172"/>
      <c r="BC240" s="173"/>
      <c r="BD240" s="174"/>
      <c r="BE240" s="173"/>
      <c r="BF240" s="88"/>
      <c r="BH240" s="137"/>
      <c r="BI240" s="172"/>
      <c r="BJ240" s="173"/>
      <c r="BK240" s="174"/>
      <c r="BL240" s="173"/>
      <c r="BM240" s="88"/>
      <c r="BO240" s="137"/>
      <c r="BP240" s="172"/>
      <c r="BQ240" s="173"/>
      <c r="BR240" s="174"/>
      <c r="BS240" s="173"/>
      <c r="BT240" s="88"/>
      <c r="FN240" s="50"/>
      <c r="FO240" s="47"/>
      <c r="FP240" s="47"/>
      <c r="FQ240" s="47"/>
      <c r="FR240" s="47"/>
    </row>
    <row r="241" spans="2:174" ht="11.25" customHeight="1">
      <c r="B241" s="137"/>
      <c r="C241" s="383"/>
      <c r="D241" s="383"/>
      <c r="E241" s="383"/>
      <c r="F241" s="372"/>
      <c r="G241" s="373"/>
      <c r="H241" s="374"/>
      <c r="I241" s="373"/>
      <c r="J241" s="88"/>
      <c r="BA241" s="137"/>
      <c r="BB241" s="172"/>
      <c r="BC241" s="173"/>
      <c r="BD241" s="174"/>
      <c r="BE241" s="173"/>
      <c r="BF241" s="88"/>
      <c r="BH241" s="137"/>
      <c r="BI241" s="172"/>
      <c r="BJ241" s="173"/>
      <c r="BK241" s="174"/>
      <c r="BL241" s="173"/>
      <c r="BM241" s="88"/>
      <c r="BO241" s="137"/>
      <c r="BP241" s="172"/>
      <c r="BQ241" s="173"/>
      <c r="BR241" s="174"/>
      <c r="BS241" s="173"/>
      <c r="BT241" s="88"/>
      <c r="FN241" s="50"/>
      <c r="FO241" s="47"/>
      <c r="FP241" s="47"/>
      <c r="FQ241" s="47"/>
      <c r="FR241" s="47"/>
    </row>
    <row r="242" spans="2:174" ht="11.25" customHeight="1">
      <c r="B242" s="137"/>
      <c r="C242" s="383"/>
      <c r="D242" s="383"/>
      <c r="E242" s="383"/>
      <c r="F242" s="372"/>
      <c r="G242" s="373"/>
      <c r="H242" s="374"/>
      <c r="I242" s="373"/>
      <c r="J242" s="88"/>
      <c r="BA242" s="137"/>
      <c r="BB242" s="172"/>
      <c r="BC242" s="173"/>
      <c r="BD242" s="174"/>
      <c r="BE242" s="173"/>
      <c r="BF242" s="88"/>
      <c r="BH242" s="137"/>
      <c r="BI242" s="172"/>
      <c r="BJ242" s="173"/>
      <c r="BK242" s="174"/>
      <c r="BL242" s="173"/>
      <c r="BM242" s="88"/>
      <c r="BO242" s="137"/>
      <c r="BP242" s="172"/>
      <c r="BQ242" s="173"/>
      <c r="BR242" s="174"/>
      <c r="BS242" s="173"/>
      <c r="BT242" s="88"/>
      <c r="FN242" s="50"/>
      <c r="FO242" s="47"/>
      <c r="FP242" s="47"/>
      <c r="FQ242" s="47"/>
      <c r="FR242" s="47"/>
    </row>
    <row r="243" spans="2:174" ht="11.25" customHeight="1">
      <c r="B243" s="137"/>
      <c r="C243" s="383"/>
      <c r="D243" s="383"/>
      <c r="E243" s="383"/>
      <c r="F243" s="372"/>
      <c r="G243" s="373"/>
      <c r="H243" s="374"/>
      <c r="I243" s="373"/>
      <c r="J243" s="88"/>
      <c r="BA243" s="137"/>
      <c r="BB243" s="172"/>
      <c r="BC243" s="173"/>
      <c r="BD243" s="174"/>
      <c r="BE243" s="173"/>
      <c r="BF243" s="88"/>
      <c r="BH243" s="137"/>
      <c r="BI243" s="172"/>
      <c r="BJ243" s="173"/>
      <c r="BK243" s="174"/>
      <c r="BL243" s="173"/>
      <c r="BM243" s="88"/>
      <c r="BO243" s="137"/>
      <c r="BP243" s="172"/>
      <c r="BQ243" s="173"/>
      <c r="BR243" s="174"/>
      <c r="BS243" s="173"/>
      <c r="BT243" s="88"/>
      <c r="FN243" s="50"/>
      <c r="FO243" s="47"/>
      <c r="FP243" s="47"/>
      <c r="FQ243" s="47"/>
      <c r="FR243" s="47"/>
    </row>
    <row r="244" spans="2:174" ht="11.25" customHeight="1">
      <c r="B244" s="137"/>
      <c r="C244" s="383"/>
      <c r="D244" s="383"/>
      <c r="E244" s="383"/>
      <c r="F244" s="372"/>
      <c r="G244" s="373"/>
      <c r="H244" s="374"/>
      <c r="I244" s="373"/>
      <c r="J244" s="88"/>
      <c r="BA244" s="137"/>
      <c r="BB244" s="172"/>
      <c r="BC244" s="173"/>
      <c r="BD244" s="174"/>
      <c r="BE244" s="173"/>
      <c r="BF244" s="88"/>
      <c r="BH244" s="137"/>
      <c r="BI244" s="172"/>
      <c r="BJ244" s="173"/>
      <c r="BK244" s="174"/>
      <c r="BL244" s="173"/>
      <c r="BM244" s="88"/>
      <c r="BO244" s="137"/>
      <c r="BP244" s="172"/>
      <c r="BQ244" s="173"/>
      <c r="BR244" s="174"/>
      <c r="BS244" s="173"/>
      <c r="BT244" s="88"/>
      <c r="FN244" s="50"/>
      <c r="FO244" s="47"/>
      <c r="FP244" s="47"/>
      <c r="FQ244" s="47"/>
      <c r="FR244" s="47"/>
    </row>
    <row r="245" spans="2:174" ht="11.25" customHeight="1">
      <c r="B245" s="137"/>
      <c r="C245" s="383"/>
      <c r="D245" s="383"/>
      <c r="E245" s="383"/>
      <c r="F245" s="372"/>
      <c r="G245" s="373"/>
      <c r="H245" s="374"/>
      <c r="I245" s="373"/>
      <c r="J245" s="88"/>
      <c r="BA245" s="137"/>
      <c r="BB245" s="172"/>
      <c r="BC245" s="173"/>
      <c r="BD245" s="174"/>
      <c r="BE245" s="173"/>
      <c r="BF245" s="88"/>
      <c r="BH245" s="137"/>
      <c r="BI245" s="172"/>
      <c r="BJ245" s="173"/>
      <c r="BK245" s="174"/>
      <c r="BL245" s="173"/>
      <c r="BM245" s="88"/>
      <c r="BO245" s="137"/>
      <c r="BP245" s="172"/>
      <c r="BQ245" s="173"/>
      <c r="BR245" s="174"/>
      <c r="BS245" s="173"/>
      <c r="BT245" s="88"/>
      <c r="FN245" s="50"/>
      <c r="FO245" s="47"/>
      <c r="FP245" s="47"/>
      <c r="FQ245" s="47"/>
      <c r="FR245" s="47"/>
    </row>
    <row r="246" spans="2:174" ht="11.25" customHeight="1">
      <c r="B246" s="137"/>
      <c r="C246" s="383"/>
      <c r="D246" s="383"/>
      <c r="E246" s="383"/>
      <c r="F246" s="372"/>
      <c r="G246" s="373"/>
      <c r="H246" s="374"/>
      <c r="I246" s="373"/>
      <c r="J246" s="88"/>
      <c r="BA246" s="137"/>
      <c r="BB246" s="172"/>
      <c r="BC246" s="173"/>
      <c r="BD246" s="174"/>
      <c r="BE246" s="173"/>
      <c r="BF246" s="88"/>
      <c r="BH246" s="137"/>
      <c r="BI246" s="172"/>
      <c r="BJ246" s="173"/>
      <c r="BK246" s="174"/>
      <c r="BL246" s="173"/>
      <c r="BM246" s="88"/>
      <c r="BO246" s="137"/>
      <c r="BP246" s="172"/>
      <c r="BQ246" s="173"/>
      <c r="BR246" s="174"/>
      <c r="BS246" s="173"/>
      <c r="BT246" s="88"/>
      <c r="FN246" s="50"/>
      <c r="FO246" s="47"/>
      <c r="FP246" s="47"/>
      <c r="FQ246" s="47"/>
      <c r="FR246" s="47"/>
    </row>
    <row r="247" spans="2:174" ht="11.25" customHeight="1">
      <c r="B247" s="137"/>
      <c r="C247" s="383"/>
      <c r="D247" s="383"/>
      <c r="E247" s="383"/>
      <c r="F247" s="372"/>
      <c r="G247" s="373"/>
      <c r="H247" s="374"/>
      <c r="I247" s="373"/>
      <c r="J247" s="88"/>
      <c r="BA247" s="137"/>
      <c r="BB247" s="172"/>
      <c r="BC247" s="173"/>
      <c r="BD247" s="174"/>
      <c r="BE247" s="173"/>
      <c r="BF247" s="88"/>
      <c r="BH247" s="137"/>
      <c r="BI247" s="172"/>
      <c r="BJ247" s="173"/>
      <c r="BK247" s="174"/>
      <c r="BL247" s="173"/>
      <c r="BM247" s="88"/>
      <c r="BO247" s="137"/>
      <c r="BP247" s="172"/>
      <c r="BQ247" s="173"/>
      <c r="BR247" s="174"/>
      <c r="BS247" s="173"/>
      <c r="BT247" s="88"/>
      <c r="FN247" s="50"/>
      <c r="FO247" s="47"/>
      <c r="FP247" s="47"/>
      <c r="FQ247" s="47"/>
      <c r="FR247" s="47"/>
    </row>
    <row r="248" spans="2:174" ht="11.25" customHeight="1">
      <c r="B248" s="137"/>
      <c r="C248" s="383"/>
      <c r="D248" s="383"/>
      <c r="E248" s="383"/>
      <c r="F248" s="372"/>
      <c r="G248" s="373"/>
      <c r="H248" s="374"/>
      <c r="I248" s="373"/>
      <c r="J248" s="88"/>
      <c r="BA248" s="137"/>
      <c r="BB248" s="172"/>
      <c r="BC248" s="173"/>
      <c r="BD248" s="174"/>
      <c r="BE248" s="173"/>
      <c r="BF248" s="88"/>
      <c r="BH248" s="137"/>
      <c r="BI248" s="172"/>
      <c r="BJ248" s="173"/>
      <c r="BK248" s="174"/>
      <c r="BL248" s="173"/>
      <c r="BM248" s="88"/>
      <c r="BO248" s="137"/>
      <c r="BP248" s="172"/>
      <c r="BQ248" s="173"/>
      <c r="BR248" s="174"/>
      <c r="BS248" s="173"/>
      <c r="BT248" s="88"/>
      <c r="FN248" s="50"/>
      <c r="FO248" s="47"/>
      <c r="FP248" s="47"/>
      <c r="FQ248" s="47"/>
      <c r="FR248" s="47"/>
    </row>
    <row r="249" spans="2:174" ht="11.25" customHeight="1">
      <c r="B249" s="137"/>
      <c r="C249" s="383"/>
      <c r="D249" s="383"/>
      <c r="E249" s="383"/>
      <c r="F249" s="372"/>
      <c r="G249" s="373"/>
      <c r="H249" s="374"/>
      <c r="I249" s="373"/>
      <c r="J249" s="88"/>
      <c r="BA249" s="137"/>
      <c r="BB249" s="172"/>
      <c r="BC249" s="173"/>
      <c r="BD249" s="174"/>
      <c r="BE249" s="173"/>
      <c r="BF249" s="88"/>
      <c r="BH249" s="137"/>
      <c r="BI249" s="172"/>
      <c r="BJ249" s="173"/>
      <c r="BK249" s="174"/>
      <c r="BL249" s="173"/>
      <c r="BM249" s="88"/>
      <c r="BO249" s="137"/>
      <c r="BP249" s="172"/>
      <c r="BQ249" s="173"/>
      <c r="BR249" s="174"/>
      <c r="BS249" s="173"/>
      <c r="BT249" s="88"/>
      <c r="FN249" s="50"/>
      <c r="FO249" s="47"/>
      <c r="FP249" s="47"/>
      <c r="FQ249" s="47"/>
      <c r="FR249" s="47"/>
    </row>
    <row r="250" spans="2:174" ht="11.25" customHeight="1">
      <c r="B250" s="137"/>
      <c r="C250" s="383"/>
      <c r="D250" s="383"/>
      <c r="E250" s="383"/>
      <c r="F250" s="372"/>
      <c r="G250" s="373"/>
      <c r="H250" s="374"/>
      <c r="I250" s="373"/>
      <c r="J250" s="88"/>
      <c r="BA250" s="137"/>
      <c r="BB250" s="172"/>
      <c r="BC250" s="173"/>
      <c r="BD250" s="174"/>
      <c r="BE250" s="173"/>
      <c r="BF250" s="88"/>
      <c r="BH250" s="137"/>
      <c r="BI250" s="172"/>
      <c r="BJ250" s="173"/>
      <c r="BK250" s="174"/>
      <c r="BL250" s="173"/>
      <c r="BM250" s="88"/>
      <c r="BO250" s="137"/>
      <c r="BP250" s="172"/>
      <c r="BQ250" s="173"/>
      <c r="BR250" s="174"/>
      <c r="BS250" s="173"/>
      <c r="BT250" s="88"/>
      <c r="FN250" s="50"/>
      <c r="FO250" s="47"/>
      <c r="FP250" s="47"/>
      <c r="FQ250" s="47"/>
      <c r="FR250" s="47"/>
    </row>
    <row r="251" spans="2:174" ht="11.25" customHeight="1">
      <c r="B251" s="137"/>
      <c r="C251" s="383"/>
      <c r="D251" s="383"/>
      <c r="E251" s="383"/>
      <c r="F251" s="372"/>
      <c r="G251" s="373"/>
      <c r="H251" s="374"/>
      <c r="I251" s="373"/>
      <c r="J251" s="88"/>
      <c r="BA251" s="137"/>
      <c r="BB251" s="172"/>
      <c r="BC251" s="173"/>
      <c r="BD251" s="174"/>
      <c r="BE251" s="173"/>
      <c r="BF251" s="88"/>
      <c r="BH251" s="137"/>
      <c r="BI251" s="172"/>
      <c r="BJ251" s="173"/>
      <c r="BK251" s="174"/>
      <c r="BL251" s="173"/>
      <c r="BM251" s="88"/>
      <c r="BO251" s="137"/>
      <c r="BP251" s="172"/>
      <c r="BQ251" s="173"/>
      <c r="BR251" s="174"/>
      <c r="BS251" s="173"/>
      <c r="BT251" s="88"/>
      <c r="FN251" s="50"/>
      <c r="FO251" s="47"/>
      <c r="FP251" s="47"/>
      <c r="FQ251" s="47"/>
      <c r="FR251" s="47"/>
    </row>
    <row r="252" spans="2:174" ht="11.25" customHeight="1">
      <c r="B252" s="137"/>
      <c r="C252" s="383"/>
      <c r="D252" s="383"/>
      <c r="E252" s="383"/>
      <c r="F252" s="372"/>
      <c r="G252" s="373"/>
      <c r="H252" s="374"/>
      <c r="I252" s="373"/>
      <c r="J252" s="88"/>
      <c r="BA252" s="137"/>
      <c r="BB252" s="172"/>
      <c r="BC252" s="173"/>
      <c r="BD252" s="174"/>
      <c r="BE252" s="173"/>
      <c r="BF252" s="88"/>
      <c r="BH252" s="137"/>
      <c r="BI252" s="172"/>
      <c r="BJ252" s="173"/>
      <c r="BK252" s="174"/>
      <c r="BL252" s="173"/>
      <c r="BM252" s="88"/>
      <c r="BO252" s="137"/>
      <c r="BP252" s="172"/>
      <c r="BQ252" s="173"/>
      <c r="BR252" s="174"/>
      <c r="BS252" s="173"/>
      <c r="BT252" s="88"/>
      <c r="FN252" s="50"/>
      <c r="FO252" s="47"/>
      <c r="FP252" s="47"/>
      <c r="FQ252" s="47"/>
      <c r="FR252" s="47"/>
    </row>
    <row r="253" spans="2:174" ht="11.25" customHeight="1">
      <c r="B253" s="137"/>
      <c r="C253" s="383"/>
      <c r="D253" s="383"/>
      <c r="E253" s="383"/>
      <c r="F253" s="372"/>
      <c r="G253" s="373"/>
      <c r="H253" s="374"/>
      <c r="I253" s="373"/>
      <c r="J253" s="88"/>
      <c r="BA253" s="137"/>
      <c r="BB253" s="172"/>
      <c r="BC253" s="173"/>
      <c r="BD253" s="174"/>
      <c r="BE253" s="173"/>
      <c r="BF253" s="88"/>
      <c r="BH253" s="137"/>
      <c r="BI253" s="172"/>
      <c r="BJ253" s="173"/>
      <c r="BK253" s="174"/>
      <c r="BL253" s="173"/>
      <c r="BM253" s="88"/>
      <c r="BO253" s="137"/>
      <c r="BP253" s="172"/>
      <c r="BQ253" s="173"/>
      <c r="BR253" s="174"/>
      <c r="BS253" s="173"/>
      <c r="BT253" s="88"/>
      <c r="FN253" s="50"/>
      <c r="FO253" s="47"/>
      <c r="FP253" s="47"/>
      <c r="FQ253" s="47"/>
      <c r="FR253" s="47"/>
    </row>
    <row r="254" spans="2:174" ht="11.25" customHeight="1">
      <c r="B254" s="137"/>
      <c r="C254" s="383"/>
      <c r="D254" s="383"/>
      <c r="E254" s="383"/>
      <c r="F254" s="372"/>
      <c r="G254" s="373"/>
      <c r="H254" s="374"/>
      <c r="I254" s="373"/>
      <c r="J254" s="88"/>
      <c r="BA254" s="137"/>
      <c r="BB254" s="172"/>
      <c r="BC254" s="173"/>
      <c r="BD254" s="174"/>
      <c r="BE254" s="173"/>
      <c r="BF254" s="88"/>
      <c r="BH254" s="137"/>
      <c r="BI254" s="172"/>
      <c r="BJ254" s="173"/>
      <c r="BK254" s="174"/>
      <c r="BL254" s="173"/>
      <c r="BM254" s="88"/>
      <c r="BO254" s="137"/>
      <c r="BP254" s="172"/>
      <c r="BQ254" s="173"/>
      <c r="BR254" s="174"/>
      <c r="BS254" s="173"/>
      <c r="BT254" s="88"/>
      <c r="FN254" s="50"/>
      <c r="FO254" s="47"/>
      <c r="FP254" s="47"/>
      <c r="FQ254" s="47"/>
      <c r="FR254" s="47"/>
    </row>
    <row r="255" spans="2:174" ht="11.25" customHeight="1">
      <c r="B255" s="137"/>
      <c r="C255" s="383"/>
      <c r="D255" s="383"/>
      <c r="E255" s="383"/>
      <c r="F255" s="372"/>
      <c r="G255" s="373"/>
      <c r="H255" s="374"/>
      <c r="I255" s="373"/>
      <c r="J255" s="88"/>
      <c r="BA255" s="137"/>
      <c r="BB255" s="172"/>
      <c r="BC255" s="173"/>
      <c r="BD255" s="174"/>
      <c r="BE255" s="173"/>
      <c r="BF255" s="88"/>
      <c r="BH255" s="137"/>
      <c r="BI255" s="172"/>
      <c r="BJ255" s="173"/>
      <c r="BK255" s="174"/>
      <c r="BL255" s="173"/>
      <c r="BM255" s="88"/>
      <c r="BO255" s="137"/>
      <c r="BP255" s="172"/>
      <c r="BQ255" s="173"/>
      <c r="BR255" s="174"/>
      <c r="BS255" s="173"/>
      <c r="BT255" s="88"/>
      <c r="FN255" s="50"/>
      <c r="FO255" s="47"/>
      <c r="FP255" s="47"/>
      <c r="FQ255" s="47"/>
      <c r="FR255" s="47"/>
    </row>
    <row r="256" spans="2:174" ht="11.25" customHeight="1">
      <c r="B256" s="137"/>
      <c r="C256" s="383"/>
      <c r="D256" s="383"/>
      <c r="E256" s="383"/>
      <c r="F256" s="372"/>
      <c r="G256" s="373"/>
      <c r="H256" s="374"/>
      <c r="I256" s="373"/>
      <c r="J256" s="88"/>
      <c r="BA256" s="137"/>
      <c r="BB256" s="172"/>
      <c r="BC256" s="173"/>
      <c r="BD256" s="174"/>
      <c r="BE256" s="173"/>
      <c r="BF256" s="88"/>
      <c r="BH256" s="137"/>
      <c r="BI256" s="172"/>
      <c r="BJ256" s="173"/>
      <c r="BK256" s="174"/>
      <c r="BL256" s="173"/>
      <c r="BM256" s="88"/>
      <c r="BO256" s="137"/>
      <c r="BP256" s="172"/>
      <c r="BQ256" s="173"/>
      <c r="BR256" s="174"/>
      <c r="BS256" s="173"/>
      <c r="BT256" s="88"/>
      <c r="FN256" s="50"/>
      <c r="FO256" s="47"/>
      <c r="FP256" s="47"/>
      <c r="FQ256" s="47"/>
      <c r="FR256" s="47"/>
    </row>
    <row r="257" spans="2:174" ht="11.25" customHeight="1">
      <c r="B257" s="137"/>
      <c r="C257" s="383"/>
      <c r="D257" s="383"/>
      <c r="E257" s="383"/>
      <c r="F257" s="372"/>
      <c r="G257" s="373"/>
      <c r="H257" s="374"/>
      <c r="I257" s="373"/>
      <c r="J257" s="88"/>
      <c r="BA257" s="137"/>
      <c r="BB257" s="172"/>
      <c r="BC257" s="173"/>
      <c r="BD257" s="174"/>
      <c r="BE257" s="173"/>
      <c r="BF257" s="88"/>
      <c r="BH257" s="137"/>
      <c r="BI257" s="172"/>
      <c r="BJ257" s="173"/>
      <c r="BK257" s="174"/>
      <c r="BL257" s="173"/>
      <c r="BM257" s="88"/>
      <c r="BO257" s="137"/>
      <c r="BP257" s="172"/>
      <c r="BQ257" s="173"/>
      <c r="BR257" s="174"/>
      <c r="BS257" s="173"/>
      <c r="BT257" s="88"/>
      <c r="FN257" s="50"/>
      <c r="FO257" s="47"/>
      <c r="FP257" s="47"/>
      <c r="FQ257" s="47"/>
      <c r="FR257" s="47"/>
    </row>
    <row r="258" spans="2:174" ht="11.25" customHeight="1">
      <c r="B258" s="137"/>
      <c r="C258" s="383"/>
      <c r="D258" s="383"/>
      <c r="E258" s="383"/>
      <c r="F258" s="372"/>
      <c r="G258" s="373"/>
      <c r="H258" s="374"/>
      <c r="I258" s="373"/>
      <c r="J258" s="88"/>
      <c r="BA258" s="137"/>
      <c r="BB258" s="172"/>
      <c r="BC258" s="173"/>
      <c r="BD258" s="174"/>
      <c r="BE258" s="173"/>
      <c r="BF258" s="88"/>
      <c r="BH258" s="137"/>
      <c r="BI258" s="172"/>
      <c r="BJ258" s="173"/>
      <c r="BK258" s="174"/>
      <c r="BL258" s="173"/>
      <c r="BM258" s="88"/>
      <c r="BO258" s="137"/>
      <c r="BP258" s="172"/>
      <c r="BQ258" s="173"/>
      <c r="BR258" s="174"/>
      <c r="BS258" s="173"/>
      <c r="BT258" s="88"/>
      <c r="FN258" s="50"/>
      <c r="FO258" s="47"/>
      <c r="FP258" s="47"/>
      <c r="FQ258" s="47"/>
      <c r="FR258" s="47"/>
    </row>
    <row r="259" spans="2:174" ht="11.25" customHeight="1">
      <c r="B259" s="137"/>
      <c r="C259" s="383"/>
      <c r="D259" s="383"/>
      <c r="E259" s="383"/>
      <c r="F259" s="372"/>
      <c r="G259" s="373"/>
      <c r="H259" s="374"/>
      <c r="I259" s="373"/>
      <c r="J259" s="88"/>
      <c r="BA259" s="137"/>
      <c r="BB259" s="172"/>
      <c r="BC259" s="173"/>
      <c r="BD259" s="174"/>
      <c r="BE259" s="173"/>
      <c r="BF259" s="88"/>
      <c r="BH259" s="137"/>
      <c r="BI259" s="172"/>
      <c r="BJ259" s="173"/>
      <c r="BK259" s="174"/>
      <c r="BL259" s="173"/>
      <c r="BM259" s="88"/>
      <c r="BO259" s="137"/>
      <c r="BP259" s="172"/>
      <c r="BQ259" s="173"/>
      <c r="BR259" s="174"/>
      <c r="BS259" s="173"/>
      <c r="BT259" s="88"/>
      <c r="FN259" s="50"/>
      <c r="FO259" s="47"/>
      <c r="FP259" s="47"/>
      <c r="FQ259" s="47"/>
      <c r="FR259" s="47"/>
    </row>
    <row r="260" spans="2:174" ht="11.25" customHeight="1">
      <c r="B260" s="137"/>
      <c r="C260" s="383"/>
      <c r="D260" s="383"/>
      <c r="E260" s="383"/>
      <c r="F260" s="372"/>
      <c r="G260" s="373"/>
      <c r="H260" s="374"/>
      <c r="I260" s="373"/>
      <c r="J260" s="88"/>
      <c r="BA260" s="137"/>
      <c r="BB260" s="172"/>
      <c r="BC260" s="173"/>
      <c r="BD260" s="174"/>
      <c r="BE260" s="173"/>
      <c r="BF260" s="88"/>
      <c r="BH260" s="137"/>
      <c r="BI260" s="172"/>
      <c r="BJ260" s="173"/>
      <c r="BK260" s="174"/>
      <c r="BL260" s="173"/>
      <c r="BM260" s="88"/>
      <c r="BO260" s="137"/>
      <c r="BP260" s="172"/>
      <c r="BQ260" s="173"/>
      <c r="BR260" s="174"/>
      <c r="BS260" s="173"/>
      <c r="BT260" s="88"/>
      <c r="FN260" s="50"/>
      <c r="FO260" s="47"/>
      <c r="FP260" s="47"/>
      <c r="FQ260" s="47"/>
      <c r="FR260" s="47"/>
    </row>
    <row r="261" spans="2:174" ht="11.25" customHeight="1">
      <c r="B261" s="137"/>
      <c r="C261" s="383"/>
      <c r="D261" s="383"/>
      <c r="E261" s="383"/>
      <c r="F261" s="372"/>
      <c r="G261" s="373"/>
      <c r="H261" s="374"/>
      <c r="I261" s="373"/>
      <c r="J261" s="88"/>
      <c r="BA261" s="137"/>
      <c r="BB261" s="172"/>
      <c r="BC261" s="173"/>
      <c r="BD261" s="174"/>
      <c r="BE261" s="173"/>
      <c r="BF261" s="88"/>
      <c r="BH261" s="137"/>
      <c r="BI261" s="172"/>
      <c r="BJ261" s="173"/>
      <c r="BK261" s="174"/>
      <c r="BL261" s="173"/>
      <c r="BM261" s="88"/>
      <c r="BO261" s="137"/>
      <c r="BP261" s="172"/>
      <c r="BQ261" s="173"/>
      <c r="BR261" s="174"/>
      <c r="BS261" s="173"/>
      <c r="BT261" s="88"/>
      <c r="FN261" s="50"/>
      <c r="FO261" s="47"/>
      <c r="FP261" s="47"/>
      <c r="FQ261" s="47"/>
      <c r="FR261" s="47"/>
    </row>
    <row r="262" spans="2:174" ht="11.25" customHeight="1">
      <c r="B262" s="137"/>
      <c r="C262" s="383"/>
      <c r="D262" s="383"/>
      <c r="E262" s="383"/>
      <c r="F262" s="372"/>
      <c r="G262" s="373"/>
      <c r="H262" s="374"/>
      <c r="I262" s="373"/>
      <c r="J262" s="88"/>
      <c r="BA262" s="137"/>
      <c r="BB262" s="172"/>
      <c r="BC262" s="173"/>
      <c r="BD262" s="174"/>
      <c r="BE262" s="173"/>
      <c r="BF262" s="88"/>
      <c r="BH262" s="137"/>
      <c r="BI262" s="172"/>
      <c r="BJ262" s="173"/>
      <c r="BK262" s="174"/>
      <c r="BL262" s="173"/>
      <c r="BM262" s="88"/>
      <c r="BO262" s="137"/>
      <c r="BP262" s="172"/>
      <c r="BQ262" s="173"/>
      <c r="BR262" s="174"/>
      <c r="BS262" s="173"/>
      <c r="BT262" s="88"/>
      <c r="FN262" s="50"/>
      <c r="FO262" s="47"/>
      <c r="FP262" s="47"/>
      <c r="FQ262" s="47"/>
      <c r="FR262" s="47"/>
    </row>
    <row r="263" spans="2:174" ht="11.25" customHeight="1">
      <c r="B263" s="137"/>
      <c r="C263" s="383"/>
      <c r="D263" s="383"/>
      <c r="E263" s="383"/>
      <c r="F263" s="372"/>
      <c r="G263" s="373"/>
      <c r="H263" s="374"/>
      <c r="I263" s="373"/>
      <c r="J263" s="88"/>
      <c r="BA263" s="137"/>
      <c r="BB263" s="172"/>
      <c r="BC263" s="173"/>
      <c r="BD263" s="174"/>
      <c r="BE263" s="173"/>
      <c r="BF263" s="88"/>
      <c r="BH263" s="137"/>
      <c r="BI263" s="172"/>
      <c r="BJ263" s="173"/>
      <c r="BK263" s="174"/>
      <c r="BL263" s="173"/>
      <c r="BM263" s="88"/>
      <c r="BO263" s="137"/>
      <c r="BP263" s="172"/>
      <c r="BQ263" s="173"/>
      <c r="BR263" s="174"/>
      <c r="BS263" s="173"/>
      <c r="BT263" s="88"/>
      <c r="FN263" s="50"/>
      <c r="FO263" s="47"/>
      <c r="FP263" s="47"/>
      <c r="FQ263" s="47"/>
      <c r="FR263" s="47"/>
    </row>
    <row r="264" spans="2:174" ht="11.25" customHeight="1">
      <c r="B264" s="137"/>
      <c r="C264" s="383"/>
      <c r="D264" s="383"/>
      <c r="E264" s="383"/>
      <c r="F264" s="372"/>
      <c r="G264" s="373"/>
      <c r="H264" s="374"/>
      <c r="I264" s="373"/>
      <c r="J264" s="88"/>
      <c r="BA264" s="137"/>
      <c r="BB264" s="172"/>
      <c r="BC264" s="173"/>
      <c r="BD264" s="174"/>
      <c r="BE264" s="173"/>
      <c r="BF264" s="88"/>
      <c r="BH264" s="137"/>
      <c r="BI264" s="172"/>
      <c r="BJ264" s="173"/>
      <c r="BK264" s="174"/>
      <c r="BL264" s="173"/>
      <c r="BM264" s="88"/>
      <c r="BO264" s="137"/>
      <c r="BP264" s="172"/>
      <c r="BQ264" s="173"/>
      <c r="BR264" s="174"/>
      <c r="BS264" s="173"/>
      <c r="BT264" s="88"/>
      <c r="FN264" s="50"/>
      <c r="FO264" s="47"/>
      <c r="FP264" s="47"/>
      <c r="FQ264" s="47"/>
      <c r="FR264" s="47"/>
    </row>
    <row r="265" spans="2:174" ht="11.25" customHeight="1">
      <c r="B265" s="137"/>
      <c r="C265" s="383"/>
      <c r="D265" s="383"/>
      <c r="E265" s="383"/>
      <c r="F265" s="372"/>
      <c r="G265" s="373"/>
      <c r="H265" s="374"/>
      <c r="I265" s="373"/>
      <c r="J265" s="88"/>
      <c r="BA265" s="137"/>
      <c r="BB265" s="172"/>
      <c r="BC265" s="173"/>
      <c r="BD265" s="174"/>
      <c r="BE265" s="173"/>
      <c r="BF265" s="88"/>
      <c r="BH265" s="137"/>
      <c r="BI265" s="172"/>
      <c r="BJ265" s="173"/>
      <c r="BK265" s="174"/>
      <c r="BL265" s="173"/>
      <c r="BM265" s="88"/>
      <c r="BO265" s="137"/>
      <c r="BP265" s="172"/>
      <c r="BQ265" s="173"/>
      <c r="BR265" s="174"/>
      <c r="BS265" s="173"/>
      <c r="BT265" s="88"/>
      <c r="FN265" s="50"/>
      <c r="FO265" s="47"/>
      <c r="FP265" s="47"/>
      <c r="FQ265" s="47"/>
      <c r="FR265" s="47"/>
    </row>
    <row r="266" spans="2:174" ht="11.25" customHeight="1">
      <c r="B266" s="137"/>
      <c r="C266" s="383"/>
      <c r="D266" s="383"/>
      <c r="E266" s="383"/>
      <c r="F266" s="372"/>
      <c r="G266" s="373"/>
      <c r="H266" s="374"/>
      <c r="I266" s="373"/>
      <c r="J266" s="88"/>
      <c r="BA266" s="137"/>
      <c r="BB266" s="172"/>
      <c r="BC266" s="173"/>
      <c r="BD266" s="174"/>
      <c r="BE266" s="173"/>
      <c r="BF266" s="88"/>
      <c r="BH266" s="137"/>
      <c r="BI266" s="172"/>
      <c r="BJ266" s="173"/>
      <c r="BK266" s="174"/>
      <c r="BL266" s="173"/>
      <c r="BM266" s="88"/>
      <c r="BO266" s="137"/>
      <c r="BP266" s="172"/>
      <c r="BQ266" s="173"/>
      <c r="BR266" s="174"/>
      <c r="BS266" s="173"/>
      <c r="BT266" s="88"/>
      <c r="FN266" s="50"/>
      <c r="FO266" s="47"/>
      <c r="FP266" s="47"/>
      <c r="FQ266" s="47"/>
      <c r="FR266" s="47"/>
    </row>
    <row r="267" spans="2:174" ht="11.25" customHeight="1">
      <c r="B267" s="137"/>
      <c r="C267" s="383"/>
      <c r="D267" s="383"/>
      <c r="E267" s="383"/>
      <c r="F267" s="372"/>
      <c r="G267" s="373"/>
      <c r="H267" s="374"/>
      <c r="I267" s="373"/>
      <c r="J267" s="88"/>
      <c r="BA267" s="137"/>
      <c r="BB267" s="172"/>
      <c r="BC267" s="173"/>
      <c r="BD267" s="174"/>
      <c r="BE267" s="173"/>
      <c r="BF267" s="88"/>
      <c r="BH267" s="137"/>
      <c r="BI267" s="172"/>
      <c r="BJ267" s="173"/>
      <c r="BK267" s="174"/>
      <c r="BL267" s="173"/>
      <c r="BM267" s="88"/>
      <c r="BO267" s="137"/>
      <c r="BP267" s="172"/>
      <c r="BQ267" s="173"/>
      <c r="BR267" s="174"/>
      <c r="BS267" s="173"/>
      <c r="BT267" s="88"/>
      <c r="FN267" s="50"/>
      <c r="FO267" s="47"/>
      <c r="FP267" s="47"/>
      <c r="FQ267" s="47"/>
      <c r="FR267" s="47"/>
    </row>
    <row r="268" spans="2:174" ht="11.25" customHeight="1">
      <c r="B268" s="137"/>
      <c r="C268" s="383"/>
      <c r="D268" s="383"/>
      <c r="E268" s="383"/>
      <c r="F268" s="372"/>
      <c r="G268" s="373"/>
      <c r="H268" s="374"/>
      <c r="I268" s="373"/>
      <c r="J268" s="88"/>
      <c r="BA268" s="137"/>
      <c r="BB268" s="172"/>
      <c r="BC268" s="173"/>
      <c r="BD268" s="174"/>
      <c r="BE268" s="173"/>
      <c r="BF268" s="88"/>
      <c r="BH268" s="137"/>
      <c r="BI268" s="172"/>
      <c r="BJ268" s="173"/>
      <c r="BK268" s="174"/>
      <c r="BL268" s="173"/>
      <c r="BM268" s="88"/>
      <c r="BO268" s="137"/>
      <c r="BP268" s="172"/>
      <c r="BQ268" s="173"/>
      <c r="BR268" s="174"/>
      <c r="BS268" s="173"/>
      <c r="BT268" s="88"/>
      <c r="FN268" s="50"/>
      <c r="FO268" s="47"/>
      <c r="FP268" s="47"/>
      <c r="FQ268" s="47"/>
      <c r="FR268" s="47"/>
    </row>
    <row r="269" spans="2:174" ht="11.25" customHeight="1">
      <c r="B269" s="137"/>
      <c r="C269" s="383"/>
      <c r="D269" s="383"/>
      <c r="E269" s="383"/>
      <c r="F269" s="372"/>
      <c r="G269" s="373"/>
      <c r="H269" s="374"/>
      <c r="I269" s="373"/>
      <c r="J269" s="88"/>
      <c r="BA269" s="137"/>
      <c r="BB269" s="172"/>
      <c r="BC269" s="173"/>
      <c r="BD269" s="174"/>
      <c r="BE269" s="173"/>
      <c r="BF269" s="88"/>
      <c r="BH269" s="137"/>
      <c r="BI269" s="172"/>
      <c r="BJ269" s="173"/>
      <c r="BK269" s="174"/>
      <c r="BL269" s="173"/>
      <c r="BM269" s="88"/>
      <c r="BO269" s="137"/>
      <c r="BP269" s="172"/>
      <c r="BQ269" s="173"/>
      <c r="BR269" s="174"/>
      <c r="BS269" s="173"/>
      <c r="BT269" s="88"/>
      <c r="FN269" s="50"/>
      <c r="FO269" s="47"/>
      <c r="FP269" s="47"/>
      <c r="FQ269" s="47"/>
      <c r="FR269" s="47"/>
    </row>
    <row r="270" spans="2:174" ht="11.25" customHeight="1">
      <c r="B270" s="137"/>
      <c r="C270" s="383"/>
      <c r="D270" s="383"/>
      <c r="E270" s="383"/>
      <c r="F270" s="372"/>
      <c r="G270" s="373"/>
      <c r="H270" s="374"/>
      <c r="I270" s="373"/>
      <c r="J270" s="88"/>
      <c r="BA270" s="137"/>
      <c r="BB270" s="172"/>
      <c r="BC270" s="173"/>
      <c r="BD270" s="174"/>
      <c r="BE270" s="173"/>
      <c r="BF270" s="88"/>
      <c r="BH270" s="137"/>
      <c r="BI270" s="172"/>
      <c r="BJ270" s="173"/>
      <c r="BK270" s="174"/>
      <c r="BL270" s="173"/>
      <c r="BM270" s="88"/>
      <c r="BO270" s="137"/>
      <c r="BP270" s="172"/>
      <c r="BQ270" s="173"/>
      <c r="BR270" s="174"/>
      <c r="BS270" s="173"/>
      <c r="BT270" s="88"/>
      <c r="FN270" s="50"/>
      <c r="FO270" s="47"/>
      <c r="FP270" s="47"/>
      <c r="FQ270" s="47"/>
      <c r="FR270" s="47"/>
    </row>
    <row r="271" spans="2:174" ht="11.25" customHeight="1">
      <c r="B271" s="137"/>
      <c r="C271" s="383"/>
      <c r="D271" s="383"/>
      <c r="E271" s="383"/>
      <c r="F271" s="372"/>
      <c r="G271" s="373"/>
      <c r="H271" s="374"/>
      <c r="I271" s="373"/>
      <c r="J271" s="88"/>
      <c r="BA271" s="137"/>
      <c r="BB271" s="172"/>
      <c r="BC271" s="173"/>
      <c r="BD271" s="174"/>
      <c r="BE271" s="173"/>
      <c r="BF271" s="88"/>
      <c r="BH271" s="137"/>
      <c r="BI271" s="172"/>
      <c r="BJ271" s="173"/>
      <c r="BK271" s="174"/>
      <c r="BL271" s="173"/>
      <c r="BM271" s="88"/>
      <c r="BO271" s="137"/>
      <c r="BP271" s="172"/>
      <c r="BQ271" s="173"/>
      <c r="BR271" s="174"/>
      <c r="BS271" s="173"/>
      <c r="BT271" s="88"/>
      <c r="FN271" s="50"/>
      <c r="FO271" s="47"/>
      <c r="FP271" s="47"/>
      <c r="FQ271" s="47"/>
      <c r="FR271" s="47"/>
    </row>
    <row r="272" spans="2:174" ht="11.25" customHeight="1">
      <c r="B272" s="137"/>
      <c r="C272" s="383"/>
      <c r="D272" s="383"/>
      <c r="E272" s="383"/>
      <c r="F272" s="372"/>
      <c r="G272" s="373"/>
      <c r="H272" s="374"/>
      <c r="I272" s="373"/>
      <c r="J272" s="88"/>
      <c r="BA272" s="137"/>
      <c r="BB272" s="172"/>
      <c r="BC272" s="173"/>
      <c r="BD272" s="174"/>
      <c r="BE272" s="173"/>
      <c r="BF272" s="88"/>
      <c r="BH272" s="137"/>
      <c r="BI272" s="172"/>
      <c r="BJ272" s="173"/>
      <c r="BK272" s="174"/>
      <c r="BL272" s="173"/>
      <c r="BM272" s="88"/>
      <c r="BO272" s="137"/>
      <c r="BP272" s="172"/>
      <c r="BQ272" s="173"/>
      <c r="BR272" s="174"/>
      <c r="BS272" s="173"/>
      <c r="BT272" s="88"/>
      <c r="FN272" s="50"/>
      <c r="FO272" s="47"/>
      <c r="FP272" s="47"/>
      <c r="FQ272" s="47"/>
      <c r="FR272" s="47"/>
    </row>
    <row r="273" spans="2:174" ht="11.25" customHeight="1">
      <c r="B273" s="137"/>
      <c r="C273" s="383"/>
      <c r="D273" s="383"/>
      <c r="E273" s="383"/>
      <c r="F273" s="372"/>
      <c r="G273" s="373"/>
      <c r="H273" s="374"/>
      <c r="I273" s="373"/>
      <c r="J273" s="88"/>
      <c r="BA273" s="137"/>
      <c r="BB273" s="172"/>
      <c r="BC273" s="173"/>
      <c r="BD273" s="174"/>
      <c r="BE273" s="173"/>
      <c r="BF273" s="88"/>
      <c r="BH273" s="137"/>
      <c r="BI273" s="172"/>
      <c r="BJ273" s="173"/>
      <c r="BK273" s="174"/>
      <c r="BL273" s="173"/>
      <c r="BM273" s="88"/>
      <c r="BO273" s="137"/>
      <c r="BP273" s="172"/>
      <c r="BQ273" s="173"/>
      <c r="BR273" s="174"/>
      <c r="BS273" s="173"/>
      <c r="BT273" s="88"/>
      <c r="FN273" s="50"/>
      <c r="FO273" s="47"/>
      <c r="FP273" s="47"/>
      <c r="FQ273" s="47"/>
      <c r="FR273" s="47"/>
    </row>
    <row r="274" spans="2:174" ht="11.25" customHeight="1">
      <c r="B274" s="137"/>
      <c r="C274" s="383"/>
      <c r="D274" s="383"/>
      <c r="E274" s="383"/>
      <c r="F274" s="372"/>
      <c r="G274" s="373"/>
      <c r="H274" s="374"/>
      <c r="I274" s="373"/>
      <c r="J274" s="88"/>
      <c r="BA274" s="137"/>
      <c r="BB274" s="172"/>
      <c r="BC274" s="173"/>
      <c r="BD274" s="174"/>
      <c r="BE274" s="173"/>
      <c r="BF274" s="88"/>
      <c r="BH274" s="137"/>
      <c r="BI274" s="172"/>
      <c r="BJ274" s="173"/>
      <c r="BK274" s="174"/>
      <c r="BL274" s="173"/>
      <c r="BM274" s="88"/>
      <c r="BO274" s="137"/>
      <c r="BP274" s="172"/>
      <c r="BQ274" s="173"/>
      <c r="BR274" s="174"/>
      <c r="BS274" s="173"/>
      <c r="BT274" s="88"/>
      <c r="FN274" s="50"/>
      <c r="FO274" s="47"/>
      <c r="FP274" s="47"/>
      <c r="FQ274" s="47"/>
      <c r="FR274" s="47"/>
    </row>
    <row r="275" spans="2:174" ht="11.25" customHeight="1">
      <c r="B275" s="137"/>
      <c r="C275" s="383"/>
      <c r="D275" s="383"/>
      <c r="E275" s="383"/>
      <c r="F275" s="372"/>
      <c r="G275" s="373"/>
      <c r="H275" s="374"/>
      <c r="I275" s="373"/>
      <c r="J275" s="88"/>
      <c r="BA275" s="137"/>
      <c r="BB275" s="172"/>
      <c r="BC275" s="173"/>
      <c r="BD275" s="174"/>
      <c r="BE275" s="173"/>
      <c r="BF275" s="88"/>
      <c r="BH275" s="137"/>
      <c r="BI275" s="172"/>
      <c r="BJ275" s="173"/>
      <c r="BK275" s="174"/>
      <c r="BL275" s="173"/>
      <c r="BM275" s="88"/>
      <c r="BO275" s="137"/>
      <c r="BP275" s="172"/>
      <c r="BQ275" s="173"/>
      <c r="BR275" s="174"/>
      <c r="BS275" s="173"/>
      <c r="BT275" s="88"/>
      <c r="FN275" s="50"/>
      <c r="FO275" s="47"/>
      <c r="FP275" s="47"/>
      <c r="FQ275" s="47"/>
      <c r="FR275" s="47"/>
    </row>
    <row r="276" spans="2:174" ht="11.25" customHeight="1">
      <c r="B276" s="137"/>
      <c r="C276" s="383"/>
      <c r="D276" s="383"/>
      <c r="E276" s="383"/>
      <c r="F276" s="372"/>
      <c r="G276" s="373"/>
      <c r="H276" s="374"/>
      <c r="I276" s="373"/>
      <c r="J276" s="88"/>
      <c r="BA276" s="137"/>
      <c r="BB276" s="172"/>
      <c r="BC276" s="173"/>
      <c r="BD276" s="174"/>
      <c r="BE276" s="173"/>
      <c r="BF276" s="88"/>
      <c r="BH276" s="137"/>
      <c r="BI276" s="172"/>
      <c r="BJ276" s="173"/>
      <c r="BK276" s="174"/>
      <c r="BL276" s="173"/>
      <c r="BM276" s="88"/>
      <c r="BO276" s="137"/>
      <c r="BP276" s="172"/>
      <c r="BQ276" s="173"/>
      <c r="BR276" s="174"/>
      <c r="BS276" s="173"/>
      <c r="BT276" s="88"/>
      <c r="FN276" s="50"/>
      <c r="FO276" s="47"/>
      <c r="FP276" s="47"/>
      <c r="FQ276" s="47"/>
      <c r="FR276" s="47"/>
    </row>
    <row r="277" spans="2:174" ht="11.25" customHeight="1">
      <c r="B277" s="137"/>
      <c r="C277" s="383"/>
      <c r="D277" s="383"/>
      <c r="E277" s="383"/>
      <c r="F277" s="372"/>
      <c r="G277" s="373"/>
      <c r="H277" s="374"/>
      <c r="I277" s="373"/>
      <c r="J277" s="88"/>
      <c r="BA277" s="137"/>
      <c r="BB277" s="172"/>
      <c r="BC277" s="173"/>
      <c r="BD277" s="174"/>
      <c r="BE277" s="173"/>
      <c r="BF277" s="88"/>
      <c r="BH277" s="137"/>
      <c r="BI277" s="172"/>
      <c r="BJ277" s="173"/>
      <c r="BK277" s="174"/>
      <c r="BL277" s="173"/>
      <c r="BM277" s="88"/>
      <c r="BO277" s="137"/>
      <c r="BP277" s="172"/>
      <c r="BQ277" s="173"/>
      <c r="BR277" s="174"/>
      <c r="BS277" s="173"/>
      <c r="BT277" s="88"/>
      <c r="FN277" s="50"/>
      <c r="FO277" s="47"/>
      <c r="FP277" s="47"/>
      <c r="FQ277" s="47"/>
      <c r="FR277" s="47"/>
    </row>
    <row r="278" spans="2:174" ht="11.25" customHeight="1">
      <c r="B278" s="137"/>
      <c r="C278" s="383"/>
      <c r="D278" s="383"/>
      <c r="E278" s="383"/>
      <c r="F278" s="372"/>
      <c r="G278" s="373"/>
      <c r="H278" s="374"/>
      <c r="I278" s="373"/>
      <c r="J278" s="88"/>
      <c r="BA278" s="137"/>
      <c r="BB278" s="172"/>
      <c r="BC278" s="173"/>
      <c r="BD278" s="174"/>
      <c r="BE278" s="173"/>
      <c r="BF278" s="88"/>
      <c r="BH278" s="137"/>
      <c r="BI278" s="172"/>
      <c r="BJ278" s="173"/>
      <c r="BK278" s="174"/>
      <c r="BL278" s="173"/>
      <c r="BM278" s="88"/>
      <c r="BO278" s="137"/>
      <c r="BP278" s="172"/>
      <c r="BQ278" s="173"/>
      <c r="BR278" s="174"/>
      <c r="BS278" s="173"/>
      <c r="BT278" s="88"/>
      <c r="FN278" s="50"/>
      <c r="FO278" s="47"/>
      <c r="FP278" s="47"/>
      <c r="FQ278" s="47"/>
      <c r="FR278" s="47"/>
    </row>
    <row r="279" spans="2:174" ht="11.25" customHeight="1">
      <c r="B279" s="137"/>
      <c r="C279" s="383"/>
      <c r="D279" s="383"/>
      <c r="E279" s="383"/>
      <c r="F279" s="372"/>
      <c r="G279" s="373"/>
      <c r="H279" s="374"/>
      <c r="I279" s="373"/>
      <c r="J279" s="88"/>
      <c r="BA279" s="137"/>
      <c r="BB279" s="172"/>
      <c r="BC279" s="173"/>
      <c r="BD279" s="174"/>
      <c r="BE279" s="173"/>
      <c r="BF279" s="88"/>
      <c r="BH279" s="137"/>
      <c r="BI279" s="172"/>
      <c r="BJ279" s="173"/>
      <c r="BK279" s="174"/>
      <c r="BL279" s="173"/>
      <c r="BM279" s="88"/>
      <c r="BO279" s="137"/>
      <c r="BP279" s="172"/>
      <c r="BQ279" s="173"/>
      <c r="BR279" s="174"/>
      <c r="BS279" s="173"/>
      <c r="BT279" s="88"/>
      <c r="FN279" s="50"/>
      <c r="FO279" s="47"/>
      <c r="FP279" s="47"/>
      <c r="FQ279" s="47"/>
      <c r="FR279" s="47"/>
    </row>
    <row r="280" spans="2:174" ht="11.25" customHeight="1">
      <c r="B280" s="137"/>
      <c r="C280" s="383"/>
      <c r="D280" s="383"/>
      <c r="E280" s="383"/>
      <c r="F280" s="372"/>
      <c r="G280" s="373"/>
      <c r="H280" s="374"/>
      <c r="I280" s="373"/>
      <c r="J280" s="88"/>
      <c r="BA280" s="137"/>
      <c r="BB280" s="172"/>
      <c r="BC280" s="173"/>
      <c r="BD280" s="174"/>
      <c r="BE280" s="173"/>
      <c r="BF280" s="88"/>
      <c r="BH280" s="137"/>
      <c r="BI280" s="172"/>
      <c r="BJ280" s="173"/>
      <c r="BK280" s="174"/>
      <c r="BL280" s="173"/>
      <c r="BM280" s="88"/>
      <c r="BO280" s="137"/>
      <c r="BP280" s="172"/>
      <c r="BQ280" s="173"/>
      <c r="BR280" s="174"/>
      <c r="BS280" s="173"/>
      <c r="BT280" s="88"/>
      <c r="FN280" s="50"/>
      <c r="FO280" s="47"/>
      <c r="FP280" s="47"/>
      <c r="FQ280" s="47"/>
      <c r="FR280" s="47"/>
    </row>
    <row r="281" spans="2:174" ht="11.25" customHeight="1">
      <c r="B281" s="137"/>
      <c r="C281" s="383"/>
      <c r="D281" s="383"/>
      <c r="E281" s="383"/>
      <c r="F281" s="372"/>
      <c r="G281" s="373"/>
      <c r="H281" s="374"/>
      <c r="I281" s="373"/>
      <c r="J281" s="88"/>
      <c r="BA281" s="137"/>
      <c r="BB281" s="172"/>
      <c r="BC281" s="173"/>
      <c r="BD281" s="174"/>
      <c r="BE281" s="173"/>
      <c r="BF281" s="88"/>
      <c r="BH281" s="137"/>
      <c r="BI281" s="172"/>
      <c r="BJ281" s="173"/>
      <c r="BK281" s="174"/>
      <c r="BL281" s="173"/>
      <c r="BM281" s="88"/>
      <c r="BO281" s="137"/>
      <c r="BP281" s="172"/>
      <c r="BQ281" s="173"/>
      <c r="BR281" s="174"/>
      <c r="BS281" s="173"/>
      <c r="BT281" s="88"/>
      <c r="FN281" s="50"/>
      <c r="FO281" s="47"/>
      <c r="FP281" s="47"/>
      <c r="FQ281" s="47"/>
      <c r="FR281" s="47"/>
    </row>
    <row r="282" spans="2:174" ht="11.25" customHeight="1">
      <c r="B282" s="137"/>
      <c r="C282" s="383"/>
      <c r="D282" s="383"/>
      <c r="E282" s="383"/>
      <c r="F282" s="372"/>
      <c r="G282" s="373"/>
      <c r="H282" s="374"/>
      <c r="I282" s="373"/>
      <c r="J282" s="88"/>
      <c r="BA282" s="137"/>
      <c r="BB282" s="172"/>
      <c r="BC282" s="173"/>
      <c r="BD282" s="174"/>
      <c r="BE282" s="173"/>
      <c r="BF282" s="88"/>
      <c r="BH282" s="137"/>
      <c r="BI282" s="172"/>
      <c r="BJ282" s="173"/>
      <c r="BK282" s="174"/>
      <c r="BL282" s="173"/>
      <c r="BM282" s="88"/>
      <c r="BO282" s="137"/>
      <c r="BP282" s="172"/>
      <c r="BQ282" s="173"/>
      <c r="BR282" s="174"/>
      <c r="BS282" s="173"/>
      <c r="BT282" s="88"/>
      <c r="FN282" s="50"/>
      <c r="FO282" s="47"/>
      <c r="FP282" s="47"/>
      <c r="FQ282" s="47"/>
      <c r="FR282" s="47"/>
    </row>
    <row r="283" spans="2:174" ht="11.25" customHeight="1">
      <c r="B283" s="137"/>
      <c r="C283" s="383"/>
      <c r="D283" s="383"/>
      <c r="E283" s="383"/>
      <c r="F283" s="372"/>
      <c r="G283" s="373"/>
      <c r="H283" s="374"/>
      <c r="I283" s="373"/>
      <c r="J283" s="88"/>
      <c r="BA283" s="137"/>
      <c r="BB283" s="172"/>
      <c r="BC283" s="173"/>
      <c r="BD283" s="174"/>
      <c r="BE283" s="173"/>
      <c r="BF283" s="88"/>
      <c r="BH283" s="137"/>
      <c r="BI283" s="172"/>
      <c r="BJ283" s="173"/>
      <c r="BK283" s="174"/>
      <c r="BL283" s="173"/>
      <c r="BM283" s="88"/>
      <c r="BO283" s="137"/>
      <c r="BP283" s="172"/>
      <c r="BQ283" s="173"/>
      <c r="BR283" s="174"/>
      <c r="BS283" s="173"/>
      <c r="BT283" s="88"/>
      <c r="FN283" s="50"/>
      <c r="FO283" s="47"/>
      <c r="FP283" s="47"/>
      <c r="FQ283" s="47"/>
      <c r="FR283" s="47"/>
    </row>
    <row r="284" spans="2:174" ht="11.25" customHeight="1">
      <c r="B284" s="137"/>
      <c r="C284" s="383"/>
      <c r="D284" s="383"/>
      <c r="E284" s="383"/>
      <c r="F284" s="372"/>
      <c r="G284" s="373"/>
      <c r="H284" s="374"/>
      <c r="I284" s="373"/>
      <c r="J284" s="88"/>
      <c r="BA284" s="137"/>
      <c r="BB284" s="172"/>
      <c r="BC284" s="173"/>
      <c r="BD284" s="174"/>
      <c r="BE284" s="173"/>
      <c r="BF284" s="88"/>
      <c r="BH284" s="137"/>
      <c r="BI284" s="172"/>
      <c r="BJ284" s="173"/>
      <c r="BK284" s="174"/>
      <c r="BL284" s="173"/>
      <c r="BM284" s="88"/>
      <c r="BO284" s="137"/>
      <c r="BP284" s="172"/>
      <c r="BQ284" s="173"/>
      <c r="BR284" s="174"/>
      <c r="BS284" s="173"/>
      <c r="BT284" s="88"/>
      <c r="FN284" s="50"/>
      <c r="FO284" s="47"/>
      <c r="FP284" s="47"/>
      <c r="FQ284" s="47"/>
      <c r="FR284" s="47"/>
    </row>
    <row r="285" spans="2:174" ht="11.25" customHeight="1">
      <c r="B285" s="137"/>
      <c r="C285" s="383"/>
      <c r="D285" s="383"/>
      <c r="E285" s="383"/>
      <c r="F285" s="372"/>
      <c r="G285" s="373"/>
      <c r="H285" s="374"/>
      <c r="I285" s="373"/>
      <c r="J285" s="88"/>
      <c r="BA285" s="137"/>
      <c r="BB285" s="172"/>
      <c r="BC285" s="173"/>
      <c r="BD285" s="174"/>
      <c r="BE285" s="173"/>
      <c r="BF285" s="88"/>
      <c r="BH285" s="137"/>
      <c r="BI285" s="172"/>
      <c r="BJ285" s="173"/>
      <c r="BK285" s="174"/>
      <c r="BL285" s="173"/>
      <c r="BM285" s="88"/>
      <c r="BO285" s="137"/>
      <c r="BP285" s="172"/>
      <c r="BQ285" s="173"/>
      <c r="BR285" s="174"/>
      <c r="BS285" s="173"/>
      <c r="BT285" s="88"/>
      <c r="FN285" s="50"/>
      <c r="FO285" s="47"/>
      <c r="FP285" s="47"/>
      <c r="FQ285" s="47"/>
      <c r="FR285" s="47"/>
    </row>
    <row r="286" spans="2:174" ht="11.25" customHeight="1">
      <c r="B286" s="137"/>
      <c r="C286" s="383"/>
      <c r="D286" s="383"/>
      <c r="E286" s="383"/>
      <c r="F286" s="372"/>
      <c r="G286" s="373"/>
      <c r="H286" s="374"/>
      <c r="I286" s="373"/>
      <c r="J286" s="88"/>
      <c r="BA286" s="137"/>
      <c r="BB286" s="172"/>
      <c r="BC286" s="173"/>
      <c r="BD286" s="174"/>
      <c r="BE286" s="173"/>
      <c r="BF286" s="88"/>
      <c r="BH286" s="137"/>
      <c r="BI286" s="172"/>
      <c r="BJ286" s="173"/>
      <c r="BK286" s="174"/>
      <c r="BL286" s="173"/>
      <c r="BM286" s="88"/>
      <c r="BO286" s="137"/>
      <c r="BP286" s="172"/>
      <c r="BQ286" s="173"/>
      <c r="BR286" s="174"/>
      <c r="BS286" s="173"/>
      <c r="BT286" s="88"/>
      <c r="FN286" s="50"/>
      <c r="FO286" s="47"/>
      <c r="FP286" s="47"/>
      <c r="FQ286" s="47"/>
      <c r="FR286" s="47"/>
    </row>
    <row r="287" spans="2:174" ht="11.25" customHeight="1">
      <c r="B287" s="137"/>
      <c r="C287" s="383"/>
      <c r="D287" s="383"/>
      <c r="E287" s="383"/>
      <c r="F287" s="372"/>
      <c r="G287" s="373"/>
      <c r="H287" s="374"/>
      <c r="I287" s="373"/>
      <c r="J287" s="88"/>
      <c r="BA287" s="137"/>
      <c r="BB287" s="172"/>
      <c r="BC287" s="173"/>
      <c r="BD287" s="174"/>
      <c r="BE287" s="173"/>
      <c r="BF287" s="88"/>
      <c r="BH287" s="137"/>
      <c r="BI287" s="172"/>
      <c r="BJ287" s="173"/>
      <c r="BK287" s="174"/>
      <c r="BL287" s="173"/>
      <c r="BM287" s="88"/>
      <c r="BO287" s="137"/>
      <c r="BP287" s="172"/>
      <c r="BQ287" s="173"/>
      <c r="BR287" s="174"/>
      <c r="BS287" s="173"/>
      <c r="BT287" s="88"/>
      <c r="FN287" s="50"/>
      <c r="FO287" s="47"/>
      <c r="FP287" s="47"/>
      <c r="FQ287" s="47"/>
      <c r="FR287" s="47"/>
    </row>
    <row r="288" spans="2:174" ht="11.25" customHeight="1">
      <c r="B288" s="137"/>
      <c r="C288" s="383"/>
      <c r="D288" s="383"/>
      <c r="E288" s="383"/>
      <c r="F288" s="372"/>
      <c r="G288" s="373"/>
      <c r="H288" s="374"/>
      <c r="I288" s="373"/>
      <c r="J288" s="88"/>
      <c r="BA288" s="137"/>
      <c r="BB288" s="172"/>
      <c r="BC288" s="173"/>
      <c r="BD288" s="174"/>
      <c r="BE288" s="173"/>
      <c r="BF288" s="88"/>
      <c r="BH288" s="137"/>
      <c r="BI288" s="172"/>
      <c r="BJ288" s="173"/>
      <c r="BK288" s="174"/>
      <c r="BL288" s="173"/>
      <c r="BM288" s="88"/>
      <c r="BO288" s="137"/>
      <c r="BP288" s="172"/>
      <c r="BQ288" s="173"/>
      <c r="BR288" s="174"/>
      <c r="BS288" s="173"/>
      <c r="BT288" s="88"/>
      <c r="FN288" s="50"/>
      <c r="FO288" s="47"/>
      <c r="FP288" s="47"/>
      <c r="FQ288" s="47"/>
      <c r="FR288" s="47"/>
    </row>
    <row r="289" spans="2:174" ht="11.25" customHeight="1">
      <c r="B289" s="137"/>
      <c r="C289" s="383"/>
      <c r="D289" s="383"/>
      <c r="E289" s="383"/>
      <c r="F289" s="372"/>
      <c r="G289" s="373"/>
      <c r="H289" s="374"/>
      <c r="I289" s="373"/>
      <c r="J289" s="88"/>
      <c r="BA289" s="137"/>
      <c r="BB289" s="172"/>
      <c r="BC289" s="173"/>
      <c r="BD289" s="174"/>
      <c r="BE289" s="173"/>
      <c r="BF289" s="88"/>
      <c r="BH289" s="137"/>
      <c r="BI289" s="172"/>
      <c r="BJ289" s="173"/>
      <c r="BK289" s="174"/>
      <c r="BL289" s="173"/>
      <c r="BM289" s="88"/>
      <c r="BO289" s="137"/>
      <c r="BP289" s="172"/>
      <c r="BQ289" s="173"/>
      <c r="BR289" s="174"/>
      <c r="BS289" s="173"/>
      <c r="BT289" s="88"/>
      <c r="FN289" s="50"/>
      <c r="FO289" s="47"/>
      <c r="FP289" s="47"/>
      <c r="FQ289" s="47"/>
      <c r="FR289" s="47"/>
    </row>
    <row r="290" spans="2:174" ht="11.25" customHeight="1">
      <c r="B290" s="137"/>
      <c r="C290" s="383"/>
      <c r="D290" s="383"/>
      <c r="E290" s="383"/>
      <c r="F290" s="372"/>
      <c r="G290" s="373"/>
      <c r="H290" s="374"/>
      <c r="I290" s="373"/>
      <c r="J290" s="88"/>
      <c r="BA290" s="137"/>
      <c r="BB290" s="172"/>
      <c r="BC290" s="173"/>
      <c r="BD290" s="174"/>
      <c r="BE290" s="173"/>
      <c r="BF290" s="88"/>
      <c r="BH290" s="137"/>
      <c r="BI290" s="172"/>
      <c r="BJ290" s="173"/>
      <c r="BK290" s="174"/>
      <c r="BL290" s="173"/>
      <c r="BM290" s="88"/>
      <c r="BO290" s="137"/>
      <c r="BP290" s="172"/>
      <c r="BQ290" s="173"/>
      <c r="BR290" s="174"/>
      <c r="BS290" s="173"/>
      <c r="BT290" s="88"/>
      <c r="FN290" s="50"/>
      <c r="FO290" s="47"/>
      <c r="FP290" s="47"/>
      <c r="FQ290" s="47"/>
      <c r="FR290" s="47"/>
    </row>
    <row r="291" spans="2:174" ht="11.25" customHeight="1">
      <c r="B291" s="137"/>
      <c r="C291" s="383"/>
      <c r="D291" s="383"/>
      <c r="E291" s="383"/>
      <c r="F291" s="372"/>
      <c r="G291" s="373"/>
      <c r="H291" s="374"/>
      <c r="I291" s="373"/>
      <c r="J291" s="88"/>
      <c r="BA291" s="137"/>
      <c r="BB291" s="172"/>
      <c r="BC291" s="173"/>
      <c r="BD291" s="174"/>
      <c r="BE291" s="173"/>
      <c r="BF291" s="88"/>
      <c r="BH291" s="137"/>
      <c r="BI291" s="172"/>
      <c r="BJ291" s="173"/>
      <c r="BK291" s="174"/>
      <c r="BL291" s="173"/>
      <c r="BM291" s="88"/>
      <c r="BO291" s="137"/>
      <c r="BP291" s="172"/>
      <c r="BQ291" s="173"/>
      <c r="BR291" s="174"/>
      <c r="BS291" s="173"/>
      <c r="BT291" s="88"/>
      <c r="FN291" s="50"/>
      <c r="FO291" s="47"/>
      <c r="FP291" s="47"/>
      <c r="FQ291" s="47"/>
      <c r="FR291" s="47"/>
    </row>
    <row r="292" spans="2:174" ht="11.25" customHeight="1">
      <c r="B292" s="137"/>
      <c r="C292" s="383"/>
      <c r="D292" s="383"/>
      <c r="E292" s="383"/>
      <c r="F292" s="372"/>
      <c r="G292" s="373"/>
      <c r="H292" s="374"/>
      <c r="I292" s="373"/>
      <c r="J292" s="88"/>
      <c r="BA292" s="137"/>
      <c r="BB292" s="172"/>
      <c r="BC292" s="173"/>
      <c r="BD292" s="174"/>
      <c r="BE292" s="173"/>
      <c r="BF292" s="88"/>
      <c r="BH292" s="137"/>
      <c r="BI292" s="172"/>
      <c r="BJ292" s="173"/>
      <c r="BK292" s="174"/>
      <c r="BL292" s="173"/>
      <c r="BM292" s="88"/>
      <c r="BO292" s="137"/>
      <c r="BP292" s="172"/>
      <c r="BQ292" s="173"/>
      <c r="BR292" s="174"/>
      <c r="BS292" s="173"/>
      <c r="BT292" s="88"/>
      <c r="FN292" s="50"/>
      <c r="FO292" s="47"/>
      <c r="FP292" s="47"/>
      <c r="FQ292" s="47"/>
      <c r="FR292" s="47"/>
    </row>
    <row r="293" spans="2:174" ht="11.25" customHeight="1">
      <c r="B293" s="137"/>
      <c r="C293" s="383"/>
      <c r="D293" s="383"/>
      <c r="E293" s="383"/>
      <c r="F293" s="372"/>
      <c r="G293" s="373"/>
      <c r="H293" s="374"/>
      <c r="I293" s="373"/>
      <c r="J293" s="88"/>
      <c r="BA293" s="137"/>
      <c r="BB293" s="172"/>
      <c r="BC293" s="173"/>
      <c r="BD293" s="174"/>
      <c r="BE293" s="173"/>
      <c r="BF293" s="88"/>
      <c r="BH293" s="137"/>
      <c r="BI293" s="172"/>
      <c r="BJ293" s="173"/>
      <c r="BK293" s="174"/>
      <c r="BL293" s="173"/>
      <c r="BM293" s="88"/>
      <c r="BO293" s="137"/>
      <c r="BP293" s="172"/>
      <c r="BQ293" s="173"/>
      <c r="BR293" s="174"/>
      <c r="BS293" s="173"/>
      <c r="BT293" s="88"/>
      <c r="FN293" s="50"/>
      <c r="FO293" s="47"/>
      <c r="FP293" s="47"/>
      <c r="FQ293" s="47"/>
      <c r="FR293" s="47"/>
    </row>
    <row r="294" spans="2:174" ht="11.25" customHeight="1">
      <c r="B294" s="137"/>
      <c r="C294" s="383"/>
      <c r="D294" s="383"/>
      <c r="E294" s="383"/>
      <c r="F294" s="372"/>
      <c r="G294" s="373"/>
      <c r="H294" s="374"/>
      <c r="I294" s="373"/>
      <c r="J294" s="88"/>
      <c r="BA294" s="137"/>
      <c r="BB294" s="172"/>
      <c r="BC294" s="173"/>
      <c r="BD294" s="174"/>
      <c r="BE294" s="173"/>
      <c r="BF294" s="88"/>
      <c r="BH294" s="137"/>
      <c r="BI294" s="172"/>
      <c r="BJ294" s="173"/>
      <c r="BK294" s="174"/>
      <c r="BL294" s="173"/>
      <c r="BM294" s="88"/>
      <c r="BO294" s="137"/>
      <c r="BP294" s="172"/>
      <c r="BQ294" s="173"/>
      <c r="BR294" s="174"/>
      <c r="BS294" s="173"/>
      <c r="BT294" s="88"/>
      <c r="FN294" s="50"/>
      <c r="FO294" s="47"/>
      <c r="FP294" s="47"/>
      <c r="FQ294" s="47"/>
      <c r="FR294" s="47"/>
    </row>
    <row r="295" spans="2:174" ht="11.25" customHeight="1">
      <c r="B295" s="137"/>
      <c r="C295" s="383"/>
      <c r="D295" s="383"/>
      <c r="E295" s="383"/>
      <c r="F295" s="372"/>
      <c r="G295" s="373"/>
      <c r="H295" s="374"/>
      <c r="I295" s="373"/>
      <c r="J295" s="88"/>
      <c r="BA295" s="137"/>
      <c r="BB295" s="172"/>
      <c r="BC295" s="173"/>
      <c r="BD295" s="174"/>
      <c r="BE295" s="173"/>
      <c r="BF295" s="88"/>
      <c r="BH295" s="137"/>
      <c r="BI295" s="172"/>
      <c r="BJ295" s="173"/>
      <c r="BK295" s="174"/>
      <c r="BL295" s="173"/>
      <c r="BM295" s="88"/>
      <c r="BO295" s="137"/>
      <c r="BP295" s="172"/>
      <c r="BQ295" s="173"/>
      <c r="BR295" s="174"/>
      <c r="BS295" s="173"/>
      <c r="BT295" s="88"/>
      <c r="FN295" s="50"/>
      <c r="FO295" s="47"/>
      <c r="FP295" s="47"/>
      <c r="FQ295" s="47"/>
      <c r="FR295" s="47"/>
    </row>
    <row r="296" spans="2:174" ht="11.25" customHeight="1">
      <c r="B296" s="137"/>
      <c r="C296" s="383"/>
      <c r="D296" s="383"/>
      <c r="E296" s="383"/>
      <c r="F296" s="372"/>
      <c r="G296" s="373"/>
      <c r="H296" s="374"/>
      <c r="I296" s="373"/>
      <c r="J296" s="88"/>
      <c r="BA296" s="137"/>
      <c r="BB296" s="172"/>
      <c r="BC296" s="173"/>
      <c r="BD296" s="174"/>
      <c r="BE296" s="173"/>
      <c r="BF296" s="88"/>
      <c r="BH296" s="137"/>
      <c r="BI296" s="172"/>
      <c r="BJ296" s="173"/>
      <c r="BK296" s="174"/>
      <c r="BL296" s="173"/>
      <c r="BM296" s="88"/>
      <c r="BO296" s="137"/>
      <c r="BP296" s="172"/>
      <c r="BQ296" s="173"/>
      <c r="BR296" s="174"/>
      <c r="BS296" s="173"/>
      <c r="BT296" s="88"/>
      <c r="FN296" s="50"/>
      <c r="FO296" s="47"/>
      <c r="FP296" s="47"/>
      <c r="FQ296" s="47"/>
      <c r="FR296" s="47"/>
    </row>
    <row r="297" spans="2:174" ht="11.25" customHeight="1">
      <c r="B297" s="137"/>
      <c r="C297" s="383"/>
      <c r="D297" s="383"/>
      <c r="E297" s="383"/>
      <c r="F297" s="372"/>
      <c r="G297" s="373"/>
      <c r="H297" s="374"/>
      <c r="I297" s="373"/>
      <c r="J297" s="88"/>
      <c r="BA297" s="137"/>
      <c r="BB297" s="172"/>
      <c r="BC297" s="173"/>
      <c r="BD297" s="174"/>
      <c r="BE297" s="173"/>
      <c r="BF297" s="88"/>
      <c r="BH297" s="137"/>
      <c r="BI297" s="172"/>
      <c r="BJ297" s="173"/>
      <c r="BK297" s="174"/>
      <c r="BL297" s="173"/>
      <c r="BM297" s="88"/>
      <c r="BO297" s="137"/>
      <c r="BP297" s="172"/>
      <c r="BQ297" s="173"/>
      <c r="BR297" s="174"/>
      <c r="BS297" s="173"/>
      <c r="BT297" s="88"/>
      <c r="FN297" s="50"/>
      <c r="FO297" s="47"/>
      <c r="FP297" s="47"/>
      <c r="FQ297" s="47"/>
      <c r="FR297" s="47"/>
    </row>
    <row r="298" spans="2:174" ht="11.25" customHeight="1">
      <c r="B298" s="137"/>
      <c r="C298" s="383"/>
      <c r="D298" s="383"/>
      <c r="E298" s="383"/>
      <c r="F298" s="372"/>
      <c r="G298" s="373"/>
      <c r="H298" s="374"/>
      <c r="I298" s="373"/>
      <c r="J298" s="88"/>
      <c r="BA298" s="137"/>
      <c r="BB298" s="172"/>
      <c r="BC298" s="173"/>
      <c r="BD298" s="174"/>
      <c r="BE298" s="173"/>
      <c r="BF298" s="88"/>
      <c r="BH298" s="137"/>
      <c r="BI298" s="172"/>
      <c r="BJ298" s="173"/>
      <c r="BK298" s="174"/>
      <c r="BL298" s="173"/>
      <c r="BM298" s="88"/>
      <c r="BO298" s="137"/>
      <c r="BP298" s="172"/>
      <c r="BQ298" s="173"/>
      <c r="BR298" s="174"/>
      <c r="BS298" s="173"/>
      <c r="BT298" s="88"/>
      <c r="FN298" s="50"/>
      <c r="FO298" s="47"/>
      <c r="FP298" s="47"/>
      <c r="FQ298" s="47"/>
      <c r="FR298" s="47"/>
    </row>
    <row r="299" spans="2:174" ht="11.25" customHeight="1">
      <c r="B299" s="137"/>
      <c r="C299" s="383"/>
      <c r="D299" s="383"/>
      <c r="E299" s="383"/>
      <c r="F299" s="372"/>
      <c r="G299" s="373"/>
      <c r="H299" s="374"/>
      <c r="I299" s="373"/>
      <c r="J299" s="88"/>
      <c r="BA299" s="137"/>
      <c r="BB299" s="172"/>
      <c r="BC299" s="173"/>
      <c r="BD299" s="174"/>
      <c r="BE299" s="173"/>
      <c r="BF299" s="88"/>
      <c r="BH299" s="137"/>
      <c r="BI299" s="172"/>
      <c r="BJ299" s="173"/>
      <c r="BK299" s="174"/>
      <c r="BL299" s="173"/>
      <c r="BM299" s="88"/>
      <c r="BO299" s="137"/>
      <c r="BP299" s="172"/>
      <c r="BQ299" s="173"/>
      <c r="BR299" s="174"/>
      <c r="BS299" s="173"/>
      <c r="BT299" s="88"/>
      <c r="FN299" s="50"/>
      <c r="FO299" s="47"/>
      <c r="FP299" s="47"/>
      <c r="FQ299" s="47"/>
      <c r="FR299" s="47"/>
    </row>
    <row r="300" spans="2:174" ht="11.25" customHeight="1">
      <c r="B300" s="137"/>
      <c r="C300" s="383"/>
      <c r="D300" s="383"/>
      <c r="E300" s="383"/>
      <c r="F300" s="372"/>
      <c r="G300" s="373"/>
      <c r="H300" s="374"/>
      <c r="I300" s="373"/>
      <c r="J300" s="88"/>
      <c r="BA300" s="137"/>
      <c r="BB300" s="172"/>
      <c r="BC300" s="173"/>
      <c r="BD300" s="174"/>
      <c r="BE300" s="173"/>
      <c r="BF300" s="88"/>
      <c r="BH300" s="137"/>
      <c r="BI300" s="172"/>
      <c r="BJ300" s="173"/>
      <c r="BK300" s="174"/>
      <c r="BL300" s="173"/>
      <c r="BM300" s="88"/>
      <c r="BO300" s="137"/>
      <c r="BP300" s="172"/>
      <c r="BQ300" s="173"/>
      <c r="BR300" s="174"/>
      <c r="BS300" s="173"/>
      <c r="BT300" s="88"/>
      <c r="FN300" s="50"/>
      <c r="FO300" s="47"/>
      <c r="FP300" s="47"/>
      <c r="FQ300" s="47"/>
      <c r="FR300" s="47"/>
    </row>
    <row r="301" spans="2:174" ht="11.25" customHeight="1">
      <c r="B301" s="137"/>
      <c r="C301" s="383"/>
      <c r="D301" s="383"/>
      <c r="E301" s="383"/>
      <c r="F301" s="372"/>
      <c r="G301" s="373"/>
      <c r="H301" s="374"/>
      <c r="I301" s="373"/>
      <c r="J301" s="88"/>
      <c r="BA301" s="137"/>
      <c r="BB301" s="172"/>
      <c r="BC301" s="173"/>
      <c r="BD301" s="174"/>
      <c r="BE301" s="173"/>
      <c r="BF301" s="88"/>
      <c r="BH301" s="137"/>
      <c r="BI301" s="172"/>
      <c r="BJ301" s="173"/>
      <c r="BK301" s="174"/>
      <c r="BL301" s="173"/>
      <c r="BM301" s="88"/>
      <c r="BO301" s="137"/>
      <c r="BP301" s="172"/>
      <c r="BQ301" s="173"/>
      <c r="BR301" s="174"/>
      <c r="BS301" s="173"/>
      <c r="BT301" s="88"/>
      <c r="FN301" s="50"/>
      <c r="FO301" s="47"/>
      <c r="FP301" s="47"/>
      <c r="FQ301" s="47"/>
      <c r="FR301" s="47"/>
    </row>
    <row r="302" spans="2:174" ht="11.25" customHeight="1">
      <c r="B302" s="137"/>
      <c r="C302" s="383"/>
      <c r="D302" s="383"/>
      <c r="E302" s="383"/>
      <c r="F302" s="372"/>
      <c r="G302" s="373"/>
      <c r="H302" s="374"/>
      <c r="I302" s="373"/>
      <c r="J302" s="88"/>
      <c r="BA302" s="137"/>
      <c r="BB302" s="172"/>
      <c r="BC302" s="173"/>
      <c r="BD302" s="174"/>
      <c r="BE302" s="173"/>
      <c r="BF302" s="88"/>
      <c r="BH302" s="137"/>
      <c r="BI302" s="172"/>
      <c r="BJ302" s="173"/>
      <c r="BK302" s="174"/>
      <c r="BL302" s="173"/>
      <c r="BM302" s="88"/>
      <c r="BO302" s="137"/>
      <c r="BP302" s="172"/>
      <c r="BQ302" s="173"/>
      <c r="BR302" s="174"/>
      <c r="BS302" s="173"/>
      <c r="BT302" s="88"/>
      <c r="FN302" s="50"/>
      <c r="FO302" s="47"/>
      <c r="FP302" s="47"/>
      <c r="FQ302" s="47"/>
      <c r="FR302" s="47"/>
    </row>
    <row r="303" spans="2:174" ht="11.25" customHeight="1">
      <c r="B303" s="137"/>
      <c r="C303" s="383"/>
      <c r="D303" s="383"/>
      <c r="E303" s="383"/>
      <c r="F303" s="372"/>
      <c r="G303" s="373"/>
      <c r="H303" s="374"/>
      <c r="I303" s="373"/>
      <c r="J303" s="88"/>
      <c r="BA303" s="137"/>
      <c r="BB303" s="172"/>
      <c r="BC303" s="173"/>
      <c r="BD303" s="174"/>
      <c r="BE303" s="173"/>
      <c r="BF303" s="88"/>
      <c r="BH303" s="137"/>
      <c r="BI303" s="172"/>
      <c r="BJ303" s="173"/>
      <c r="BK303" s="174"/>
      <c r="BL303" s="173"/>
      <c r="BM303" s="88"/>
      <c r="BO303" s="137"/>
      <c r="BP303" s="172"/>
      <c r="BQ303" s="173"/>
      <c r="BR303" s="174"/>
      <c r="BS303" s="173"/>
      <c r="BT303" s="88"/>
      <c r="FN303" s="50"/>
      <c r="FO303" s="47"/>
      <c r="FP303" s="47"/>
      <c r="FQ303" s="47"/>
      <c r="FR303" s="47"/>
    </row>
    <row r="304" spans="2:174" ht="11.25" customHeight="1">
      <c r="B304" s="137"/>
      <c r="C304" s="383"/>
      <c r="D304" s="383"/>
      <c r="E304" s="383"/>
      <c r="F304" s="372"/>
      <c r="G304" s="373"/>
      <c r="H304" s="374"/>
      <c r="I304" s="373"/>
      <c r="J304" s="88"/>
      <c r="BA304" s="137"/>
      <c r="BB304" s="172"/>
      <c r="BC304" s="173"/>
      <c r="BD304" s="174"/>
      <c r="BE304" s="173"/>
      <c r="BF304" s="88"/>
      <c r="BH304" s="137"/>
      <c r="BI304" s="172"/>
      <c r="BJ304" s="173"/>
      <c r="BK304" s="174"/>
      <c r="BL304" s="173"/>
      <c r="BM304" s="88"/>
      <c r="BO304" s="137"/>
      <c r="BP304" s="172"/>
      <c r="BQ304" s="173"/>
      <c r="BR304" s="174"/>
      <c r="BS304" s="173"/>
      <c r="BT304" s="88"/>
      <c r="FN304" s="50"/>
      <c r="FO304" s="47"/>
      <c r="FP304" s="47"/>
      <c r="FQ304" s="47"/>
      <c r="FR304" s="47"/>
    </row>
    <row r="305" spans="2:174" ht="11.25" customHeight="1">
      <c r="B305" s="137"/>
      <c r="C305" s="383"/>
      <c r="D305" s="383"/>
      <c r="E305" s="383"/>
      <c r="F305" s="372"/>
      <c r="G305" s="373"/>
      <c r="H305" s="374"/>
      <c r="I305" s="373"/>
      <c r="J305" s="88"/>
      <c r="BA305" s="137"/>
      <c r="BB305" s="172"/>
      <c r="BC305" s="173"/>
      <c r="BD305" s="174"/>
      <c r="BE305" s="173"/>
      <c r="BF305" s="88"/>
      <c r="BH305" s="137"/>
      <c r="BI305" s="172"/>
      <c r="BJ305" s="173"/>
      <c r="BK305" s="174"/>
      <c r="BL305" s="173"/>
      <c r="BM305" s="88"/>
      <c r="BO305" s="137"/>
      <c r="BP305" s="172"/>
      <c r="BQ305" s="173"/>
      <c r="BR305" s="174"/>
      <c r="BS305" s="173"/>
      <c r="BT305" s="88"/>
      <c r="FN305" s="50"/>
      <c r="FO305" s="47"/>
      <c r="FP305" s="47"/>
      <c r="FQ305" s="47"/>
      <c r="FR305" s="47"/>
    </row>
    <row r="306" spans="2:174" ht="11.25" customHeight="1">
      <c r="B306" s="137"/>
      <c r="C306" s="383"/>
      <c r="D306" s="383"/>
      <c r="E306" s="383"/>
      <c r="F306" s="372"/>
      <c r="G306" s="373"/>
      <c r="H306" s="374"/>
      <c r="I306" s="373"/>
      <c r="J306" s="88"/>
      <c r="BA306" s="137"/>
      <c r="BB306" s="172"/>
      <c r="BC306" s="173"/>
      <c r="BD306" s="174"/>
      <c r="BE306" s="173"/>
      <c r="BF306" s="88"/>
      <c r="BH306" s="137"/>
      <c r="BI306" s="172"/>
      <c r="BJ306" s="173"/>
      <c r="BK306" s="174"/>
      <c r="BL306" s="173"/>
      <c r="BM306" s="88"/>
      <c r="BO306" s="137"/>
      <c r="BP306" s="172"/>
      <c r="BQ306" s="173"/>
      <c r="BR306" s="174"/>
      <c r="BS306" s="173"/>
      <c r="BT306" s="88"/>
      <c r="FN306" s="50"/>
      <c r="FO306" s="47"/>
      <c r="FP306" s="47"/>
      <c r="FQ306" s="47"/>
      <c r="FR306" s="47"/>
    </row>
    <row r="307" spans="2:174" ht="11.25" customHeight="1">
      <c r="B307" s="137"/>
      <c r="C307" s="383"/>
      <c r="D307" s="383"/>
      <c r="E307" s="383"/>
      <c r="F307" s="372"/>
      <c r="G307" s="373"/>
      <c r="H307" s="374"/>
      <c r="I307" s="373"/>
      <c r="J307" s="88"/>
      <c r="BA307" s="137"/>
      <c r="BB307" s="172"/>
      <c r="BC307" s="173"/>
      <c r="BD307" s="174"/>
      <c r="BE307" s="173"/>
      <c r="BF307" s="88"/>
      <c r="BH307" s="137"/>
      <c r="BI307" s="172"/>
      <c r="BJ307" s="173"/>
      <c r="BK307" s="174"/>
      <c r="BL307" s="173"/>
      <c r="BM307" s="88"/>
      <c r="BO307" s="137"/>
      <c r="BP307" s="172"/>
      <c r="BQ307" s="173"/>
      <c r="BR307" s="174"/>
      <c r="BS307" s="173"/>
      <c r="BT307" s="88"/>
      <c r="FN307" s="50"/>
      <c r="FO307" s="47"/>
      <c r="FP307" s="47"/>
      <c r="FQ307" s="47"/>
      <c r="FR307" s="47"/>
    </row>
    <row r="308" spans="2:174" ht="11.25" customHeight="1">
      <c r="B308" s="137"/>
      <c r="C308" s="383"/>
      <c r="D308" s="383"/>
      <c r="E308" s="383"/>
      <c r="F308" s="372"/>
      <c r="G308" s="373"/>
      <c r="H308" s="374"/>
      <c r="I308" s="373"/>
      <c r="J308" s="88"/>
      <c r="BA308" s="137"/>
      <c r="BB308" s="172"/>
      <c r="BC308" s="173"/>
      <c r="BD308" s="174"/>
      <c r="BE308" s="173"/>
      <c r="BF308" s="88"/>
      <c r="BH308" s="137"/>
      <c r="BI308" s="172"/>
      <c r="BJ308" s="173"/>
      <c r="BK308" s="174"/>
      <c r="BL308" s="173"/>
      <c r="BM308" s="88"/>
      <c r="BO308" s="137"/>
      <c r="BP308" s="172"/>
      <c r="BQ308" s="173"/>
      <c r="BR308" s="174"/>
      <c r="BS308" s="173"/>
      <c r="BT308" s="88"/>
      <c r="FN308" s="50"/>
      <c r="FO308" s="47"/>
      <c r="FP308" s="47"/>
      <c r="FQ308" s="47"/>
      <c r="FR308" s="47"/>
    </row>
    <row r="309" spans="2:174" ht="11.25" customHeight="1">
      <c r="B309" s="137"/>
      <c r="C309" s="383"/>
      <c r="D309" s="383"/>
      <c r="E309" s="383"/>
      <c r="F309" s="372"/>
      <c r="G309" s="373"/>
      <c r="H309" s="374"/>
      <c r="I309" s="373"/>
      <c r="J309" s="88"/>
      <c r="BA309" s="137"/>
      <c r="BB309" s="172"/>
      <c r="BC309" s="173"/>
      <c r="BD309" s="174"/>
      <c r="BE309" s="173"/>
      <c r="BF309" s="88"/>
      <c r="BH309" s="137"/>
      <c r="BI309" s="172"/>
      <c r="BJ309" s="173"/>
      <c r="BK309" s="174"/>
      <c r="BL309" s="173"/>
      <c r="BM309" s="88"/>
      <c r="BO309" s="137"/>
      <c r="BP309" s="172"/>
      <c r="BQ309" s="173"/>
      <c r="BR309" s="174"/>
      <c r="BS309" s="173"/>
      <c r="BT309" s="88"/>
      <c r="FN309" s="50"/>
      <c r="FO309" s="47"/>
      <c r="FP309" s="47"/>
      <c r="FQ309" s="47"/>
      <c r="FR309" s="47"/>
    </row>
    <row r="310" spans="2:174" ht="11.25" customHeight="1">
      <c r="B310" s="137"/>
      <c r="C310" s="383"/>
      <c r="D310" s="383"/>
      <c r="E310" s="383"/>
      <c r="F310" s="372"/>
      <c r="G310" s="373"/>
      <c r="H310" s="374"/>
      <c r="I310" s="373"/>
      <c r="J310" s="88"/>
      <c r="BA310" s="137"/>
      <c r="BB310" s="172"/>
      <c r="BC310" s="173"/>
      <c r="BD310" s="174"/>
      <c r="BE310" s="173"/>
      <c r="BF310" s="88"/>
      <c r="BH310" s="137"/>
      <c r="BI310" s="172"/>
      <c r="BJ310" s="173"/>
      <c r="BK310" s="174"/>
      <c r="BL310" s="173"/>
      <c r="BM310" s="88"/>
      <c r="BO310" s="137"/>
      <c r="BP310" s="172"/>
      <c r="BQ310" s="173"/>
      <c r="BR310" s="174"/>
      <c r="BS310" s="173"/>
      <c r="BT310" s="88"/>
      <c r="FN310" s="50"/>
      <c r="FO310" s="47"/>
      <c r="FP310" s="47"/>
      <c r="FQ310" s="47"/>
      <c r="FR310" s="47"/>
    </row>
    <row r="311" spans="2:174" ht="11.25" customHeight="1">
      <c r="B311" s="137"/>
      <c r="C311" s="383"/>
      <c r="D311" s="383"/>
      <c r="E311" s="383"/>
      <c r="F311" s="372"/>
      <c r="G311" s="373"/>
      <c r="H311" s="374"/>
      <c r="I311" s="373"/>
      <c r="J311" s="88"/>
      <c r="BA311" s="137"/>
      <c r="BB311" s="172"/>
      <c r="BC311" s="173"/>
      <c r="BD311" s="174"/>
      <c r="BE311" s="173"/>
      <c r="BF311" s="88"/>
      <c r="BH311" s="137"/>
      <c r="BI311" s="172"/>
      <c r="BJ311" s="173"/>
      <c r="BK311" s="174"/>
      <c r="BL311" s="173"/>
      <c r="BM311" s="88"/>
      <c r="BO311" s="137"/>
      <c r="BP311" s="172"/>
      <c r="BQ311" s="173"/>
      <c r="BR311" s="174"/>
      <c r="BS311" s="173"/>
      <c r="BT311" s="88"/>
      <c r="FN311" s="50"/>
      <c r="FO311" s="47"/>
      <c r="FP311" s="47"/>
      <c r="FQ311" s="47"/>
      <c r="FR311" s="47"/>
    </row>
    <row r="312" spans="2:174" ht="11.25" customHeight="1">
      <c r="B312" s="137"/>
      <c r="C312" s="383"/>
      <c r="D312" s="383"/>
      <c r="E312" s="383"/>
      <c r="F312" s="372"/>
      <c r="G312" s="373"/>
      <c r="H312" s="374"/>
      <c r="I312" s="373"/>
      <c r="J312" s="88"/>
      <c r="BA312" s="137"/>
      <c r="BB312" s="172"/>
      <c r="BC312" s="173"/>
      <c r="BD312" s="174"/>
      <c r="BE312" s="173"/>
      <c r="BF312" s="88"/>
      <c r="BH312" s="137"/>
      <c r="BI312" s="172"/>
      <c r="BJ312" s="173"/>
      <c r="BK312" s="174"/>
      <c r="BL312" s="173"/>
      <c r="BM312" s="88"/>
      <c r="BO312" s="137"/>
      <c r="BP312" s="172"/>
      <c r="BQ312" s="173"/>
      <c r="BR312" s="174"/>
      <c r="BS312" s="173"/>
      <c r="BT312" s="88"/>
      <c r="FN312" s="50"/>
      <c r="FO312" s="47"/>
      <c r="FP312" s="47"/>
      <c r="FQ312" s="47"/>
      <c r="FR312" s="47"/>
    </row>
    <row r="313" spans="2:174" ht="11.25" customHeight="1">
      <c r="B313" s="137"/>
      <c r="C313" s="383"/>
      <c r="D313" s="383"/>
      <c r="E313" s="383"/>
      <c r="F313" s="372"/>
      <c r="G313" s="373"/>
      <c r="H313" s="374"/>
      <c r="I313" s="373"/>
      <c r="J313" s="88"/>
      <c r="BA313" s="137"/>
      <c r="BB313" s="172"/>
      <c r="BC313" s="173"/>
      <c r="BD313" s="174"/>
      <c r="BE313" s="173"/>
      <c r="BF313" s="88"/>
      <c r="BH313" s="137"/>
      <c r="BI313" s="172"/>
      <c r="BJ313" s="173"/>
      <c r="BK313" s="174"/>
      <c r="BL313" s="173"/>
      <c r="BM313" s="88"/>
      <c r="BO313" s="137"/>
      <c r="BP313" s="172"/>
      <c r="BQ313" s="173"/>
      <c r="BR313" s="174"/>
      <c r="BS313" s="173"/>
      <c r="BT313" s="88"/>
      <c r="FN313" s="50"/>
      <c r="FO313" s="47"/>
      <c r="FP313" s="47"/>
      <c r="FQ313" s="47"/>
      <c r="FR313" s="47"/>
    </row>
    <row r="314" spans="2:174" ht="11.25" customHeight="1">
      <c r="B314" s="137"/>
      <c r="C314" s="383"/>
      <c r="D314" s="383"/>
      <c r="E314" s="383"/>
      <c r="F314" s="372"/>
      <c r="G314" s="373"/>
      <c r="H314" s="374"/>
      <c r="I314" s="373"/>
      <c r="J314" s="88"/>
      <c r="BA314" s="137"/>
      <c r="BB314" s="172"/>
      <c r="BC314" s="173"/>
      <c r="BD314" s="174"/>
      <c r="BE314" s="173"/>
      <c r="BF314" s="88"/>
      <c r="BH314" s="137"/>
      <c r="BI314" s="172"/>
      <c r="BJ314" s="173"/>
      <c r="BK314" s="174"/>
      <c r="BL314" s="173"/>
      <c r="BM314" s="88"/>
      <c r="BO314" s="137"/>
      <c r="BP314" s="172"/>
      <c r="BQ314" s="173"/>
      <c r="BR314" s="174"/>
      <c r="BS314" s="173"/>
      <c r="BT314" s="88"/>
      <c r="FN314" s="50"/>
      <c r="FO314" s="47"/>
      <c r="FP314" s="47"/>
      <c r="FQ314" s="47"/>
      <c r="FR314" s="47"/>
    </row>
    <row r="315" spans="2:174" ht="11.25" customHeight="1">
      <c r="B315" s="137"/>
      <c r="C315" s="383"/>
      <c r="D315" s="383"/>
      <c r="E315" s="383"/>
      <c r="F315" s="372"/>
      <c r="G315" s="373"/>
      <c r="H315" s="374"/>
      <c r="I315" s="373"/>
      <c r="J315" s="88"/>
      <c r="BA315" s="137"/>
      <c r="BB315" s="176"/>
      <c r="BC315" s="177"/>
      <c r="BD315" s="178"/>
      <c r="BE315" s="177"/>
      <c r="BF315" s="88"/>
      <c r="BH315" s="137"/>
      <c r="BI315" s="176"/>
      <c r="BJ315" s="177"/>
      <c r="BK315" s="178"/>
      <c r="BL315" s="177"/>
      <c r="BM315" s="88"/>
      <c r="BO315" s="137"/>
      <c r="BP315" s="176"/>
      <c r="BQ315" s="177"/>
      <c r="BR315" s="178"/>
      <c r="BS315" s="177"/>
      <c r="BT315" s="88"/>
      <c r="FN315" s="50"/>
      <c r="FO315" s="47"/>
      <c r="FP315" s="47"/>
      <c r="FQ315" s="47"/>
      <c r="FR315" s="47"/>
    </row>
    <row r="316" spans="2:174" ht="11.25" customHeight="1">
      <c r="B316" s="137"/>
      <c r="C316" s="383"/>
      <c r="D316" s="383"/>
      <c r="E316" s="383"/>
      <c r="F316" s="372"/>
      <c r="G316" s="373"/>
      <c r="H316" s="374"/>
      <c r="I316" s="373"/>
      <c r="J316" s="88"/>
      <c r="BA316" s="90"/>
      <c r="BB316" s="89"/>
      <c r="BC316" s="89"/>
      <c r="BD316" s="89"/>
      <c r="BE316" s="89"/>
      <c r="BF316" s="17"/>
      <c r="BH316" s="90"/>
      <c r="BI316" s="89"/>
      <c r="BJ316" s="89"/>
      <c r="BK316" s="89"/>
      <c r="BL316" s="89"/>
      <c r="BM316" s="17"/>
      <c r="BO316" s="90"/>
      <c r="BP316" s="89"/>
      <c r="BQ316" s="89"/>
      <c r="BR316" s="89"/>
      <c r="BS316" s="89"/>
      <c r="BT316" s="17"/>
      <c r="FN316" s="50"/>
      <c r="FO316" s="47"/>
      <c r="FP316" s="47"/>
      <c r="FQ316" s="47"/>
      <c r="FR316" s="47"/>
    </row>
    <row r="317" spans="2:174" ht="11.25" customHeight="1">
      <c r="B317" s="137"/>
      <c r="C317" s="383"/>
      <c r="D317" s="383"/>
      <c r="E317" s="383"/>
      <c r="F317" s="372"/>
      <c r="G317" s="373"/>
      <c r="H317" s="374"/>
      <c r="I317" s="373"/>
      <c r="J317" s="88"/>
      <c r="FN317" s="50"/>
      <c r="FO317" s="47"/>
      <c r="FP317" s="47"/>
      <c r="FQ317" s="47"/>
      <c r="FR317" s="47"/>
    </row>
    <row r="318" spans="2:174" ht="11.25" customHeight="1">
      <c r="B318" s="137"/>
      <c r="C318" s="383"/>
      <c r="D318" s="383"/>
      <c r="E318" s="383"/>
      <c r="F318" s="372"/>
      <c r="G318" s="373"/>
      <c r="H318" s="374"/>
      <c r="I318" s="373"/>
      <c r="J318" s="88"/>
      <c r="FN318" s="50"/>
      <c r="FO318" s="47"/>
      <c r="FP318" s="47"/>
      <c r="FQ318" s="47"/>
      <c r="FR318" s="47"/>
    </row>
    <row r="319" spans="2:174" ht="11.25" customHeight="1">
      <c r="B319" s="137"/>
      <c r="C319" s="383"/>
      <c r="D319" s="383"/>
      <c r="E319" s="383"/>
      <c r="F319" s="372"/>
      <c r="G319" s="373"/>
      <c r="H319" s="374"/>
      <c r="I319" s="373"/>
      <c r="J319" s="88"/>
      <c r="FN319" s="50"/>
      <c r="FO319" s="47"/>
      <c r="FP319" s="47"/>
      <c r="FQ319" s="47"/>
      <c r="FR319" s="47"/>
    </row>
    <row r="320" spans="2:174" ht="11.25" customHeight="1">
      <c r="B320" s="137"/>
      <c r="C320" s="383"/>
      <c r="D320" s="383"/>
      <c r="E320" s="383"/>
      <c r="F320" s="372"/>
      <c r="G320" s="373"/>
      <c r="H320" s="374"/>
      <c r="I320" s="373"/>
      <c r="J320" s="88"/>
      <c r="FN320" s="50"/>
      <c r="FO320" s="47"/>
      <c r="FP320" s="47"/>
      <c r="FQ320" s="47"/>
      <c r="FR320" s="47"/>
    </row>
    <row r="321" spans="2:174" ht="11.25" customHeight="1">
      <c r="B321" s="137"/>
      <c r="C321" s="383"/>
      <c r="D321" s="383"/>
      <c r="E321" s="383"/>
      <c r="F321" s="372"/>
      <c r="G321" s="373"/>
      <c r="H321" s="374"/>
      <c r="I321" s="373"/>
      <c r="J321" s="88"/>
      <c r="FN321" s="50"/>
      <c r="FO321" s="47"/>
      <c r="FP321" s="47"/>
      <c r="FQ321" s="47"/>
      <c r="FR321" s="47"/>
    </row>
    <row r="322" spans="2:174" ht="11.25" customHeight="1">
      <c r="B322" s="137"/>
      <c r="C322" s="383"/>
      <c r="D322" s="383"/>
      <c r="E322" s="383"/>
      <c r="F322" s="372"/>
      <c r="G322" s="373"/>
      <c r="H322" s="374"/>
      <c r="I322" s="373"/>
      <c r="J322" s="88"/>
      <c r="FN322" s="50"/>
      <c r="FO322" s="47"/>
      <c r="FP322" s="47"/>
      <c r="FQ322" s="47"/>
      <c r="FR322" s="47"/>
    </row>
    <row r="323" spans="2:174" ht="11.25" customHeight="1">
      <c r="B323" s="137"/>
      <c r="C323" s="383"/>
      <c r="D323" s="383"/>
      <c r="E323" s="383"/>
      <c r="F323" s="372"/>
      <c r="G323" s="373"/>
      <c r="H323" s="374"/>
      <c r="I323" s="373"/>
      <c r="J323" s="88"/>
      <c r="FN323" s="50"/>
      <c r="FO323" s="47"/>
      <c r="FP323" s="47"/>
      <c r="FQ323" s="47"/>
      <c r="FR323" s="47"/>
    </row>
    <row r="324" spans="2:174" ht="11.25" customHeight="1">
      <c r="B324" s="137"/>
      <c r="C324" s="383"/>
      <c r="D324" s="383"/>
      <c r="E324" s="383"/>
      <c r="F324" s="372"/>
      <c r="G324" s="373"/>
      <c r="H324" s="374"/>
      <c r="I324" s="373"/>
      <c r="J324" s="88"/>
      <c r="FN324" s="50"/>
      <c r="FO324" s="47"/>
      <c r="FP324" s="47"/>
      <c r="FQ324" s="47"/>
      <c r="FR324" s="47"/>
    </row>
    <row r="325" spans="2:174" ht="11.25" customHeight="1">
      <c r="B325" s="137"/>
      <c r="C325" s="383"/>
      <c r="D325" s="383"/>
      <c r="E325" s="383"/>
      <c r="F325" s="372"/>
      <c r="G325" s="373"/>
      <c r="H325" s="374"/>
      <c r="I325" s="373"/>
      <c r="J325" s="88"/>
      <c r="FN325" s="50"/>
      <c r="FO325" s="47"/>
      <c r="FP325" s="47"/>
      <c r="FQ325" s="47"/>
      <c r="FR325" s="47"/>
    </row>
    <row r="326" spans="2:174" ht="11.25" customHeight="1">
      <c r="B326" s="137"/>
      <c r="C326" s="383"/>
      <c r="D326" s="383"/>
      <c r="E326" s="383"/>
      <c r="F326" s="372"/>
      <c r="G326" s="373"/>
      <c r="H326" s="374"/>
      <c r="I326" s="373"/>
      <c r="J326" s="88"/>
      <c r="FN326" s="50"/>
      <c r="FO326" s="47"/>
      <c r="FP326" s="47"/>
      <c r="FQ326" s="47"/>
      <c r="FR326" s="47"/>
    </row>
    <row r="327" spans="2:174" ht="11.25" customHeight="1">
      <c r="B327" s="137"/>
      <c r="C327" s="383"/>
      <c r="D327" s="383"/>
      <c r="E327" s="383"/>
      <c r="F327" s="372"/>
      <c r="G327" s="373"/>
      <c r="H327" s="374"/>
      <c r="I327" s="373"/>
      <c r="J327" s="88"/>
      <c r="FN327" s="50"/>
      <c r="FO327" s="47"/>
      <c r="FP327" s="47"/>
      <c r="FQ327" s="47"/>
      <c r="FR327" s="47"/>
    </row>
    <row r="328" spans="2:174" ht="11.25" customHeight="1">
      <c r="B328" s="137"/>
      <c r="C328" s="383"/>
      <c r="D328" s="383"/>
      <c r="E328" s="383"/>
      <c r="F328" s="372"/>
      <c r="G328" s="373"/>
      <c r="H328" s="374"/>
      <c r="I328" s="373"/>
      <c r="J328" s="88"/>
      <c r="FN328" s="50"/>
      <c r="FO328" s="47"/>
      <c r="FP328" s="47"/>
      <c r="FQ328" s="47"/>
      <c r="FR328" s="47"/>
    </row>
    <row r="329" spans="2:174" ht="11.25" customHeight="1">
      <c r="B329" s="137"/>
      <c r="C329" s="383"/>
      <c r="D329" s="383"/>
      <c r="E329" s="383"/>
      <c r="F329" s="372"/>
      <c r="G329" s="373"/>
      <c r="H329" s="374"/>
      <c r="I329" s="373"/>
      <c r="J329" s="88"/>
      <c r="FN329" s="50"/>
      <c r="FO329" s="47"/>
      <c r="FP329" s="47"/>
      <c r="FQ329" s="47"/>
      <c r="FR329" s="47"/>
    </row>
    <row r="330" spans="2:174" ht="11.25" customHeight="1">
      <c r="B330" s="137"/>
      <c r="C330" s="383"/>
      <c r="D330" s="383"/>
      <c r="E330" s="383"/>
      <c r="F330" s="372"/>
      <c r="G330" s="373"/>
      <c r="H330" s="374"/>
      <c r="I330" s="373"/>
      <c r="J330" s="88"/>
      <c r="FN330" s="50"/>
      <c r="FO330" s="47"/>
      <c r="FP330" s="47"/>
      <c r="FQ330" s="47"/>
      <c r="FR330" s="47"/>
    </row>
    <row r="331" spans="2:174" ht="11.25" customHeight="1">
      <c r="B331" s="137"/>
      <c r="C331" s="383"/>
      <c r="D331" s="383"/>
      <c r="E331" s="383"/>
      <c r="F331" s="376"/>
      <c r="G331" s="377"/>
      <c r="H331" s="378"/>
      <c r="I331" s="377"/>
      <c r="J331" s="88"/>
      <c r="FN331" s="50"/>
      <c r="FO331" s="47"/>
      <c r="FP331" s="47"/>
      <c r="FQ331" s="47"/>
      <c r="FR331" s="47"/>
    </row>
    <row r="332" spans="2:174" ht="11.25" customHeight="1">
      <c r="B332" s="90"/>
      <c r="C332" s="89"/>
      <c r="D332" s="89"/>
      <c r="E332" s="89"/>
      <c r="F332" s="89"/>
      <c r="G332" s="89"/>
      <c r="H332" s="89"/>
      <c r="I332" s="89"/>
      <c r="J332" s="17"/>
      <c r="FN332" s="50"/>
      <c r="FO332" s="47"/>
      <c r="FP332" s="47"/>
      <c r="FQ332" s="47"/>
      <c r="FR332" s="47"/>
    </row>
    <row r="333" spans="2:174" ht="11.25" customHeight="1">
      <c r="J333" s="19"/>
      <c r="FN333" s="50"/>
      <c r="FO333" s="47"/>
      <c r="FP333" s="47"/>
      <c r="FQ333" s="47"/>
      <c r="FR333" s="47"/>
    </row>
    <row r="334" spans="2:174" ht="11.25" customHeight="1">
      <c r="J334" s="19"/>
      <c r="FN334" s="50"/>
      <c r="FO334" s="47"/>
      <c r="FP334" s="47"/>
      <c r="FQ334" s="47"/>
      <c r="FR334" s="47"/>
    </row>
    <row r="335" spans="2:174" ht="11.25" customHeight="1">
      <c r="J335" s="19"/>
      <c r="FN335" s="50"/>
      <c r="FO335" s="47"/>
      <c r="FP335" s="47"/>
      <c r="FQ335" s="47"/>
      <c r="FR335" s="47"/>
    </row>
    <row r="336" spans="2:174" ht="11.25" customHeight="1">
      <c r="FN336" s="50"/>
      <c r="FO336" s="47"/>
      <c r="FP336" s="47"/>
      <c r="FQ336" s="47"/>
      <c r="FR336" s="47"/>
    </row>
    <row r="337" spans="170:174" ht="11.25" customHeight="1">
      <c r="FN337" s="50"/>
      <c r="FO337" s="47"/>
      <c r="FP337" s="47"/>
      <c r="FQ337" s="47"/>
      <c r="FR337" s="47"/>
    </row>
    <row r="338" spans="170:174" ht="11.25" customHeight="1">
      <c r="FN338" s="50"/>
      <c r="FO338" s="47"/>
      <c r="FP338" s="47"/>
      <c r="FQ338" s="47"/>
      <c r="FR338" s="47"/>
    </row>
    <row r="339" spans="170:174" ht="11.25" customHeight="1">
      <c r="FN339" s="50"/>
      <c r="FO339" s="47"/>
      <c r="FP339" s="47"/>
      <c r="FQ339" s="47"/>
      <c r="FR339" s="47"/>
    </row>
    <row r="340" spans="170:174" ht="11.25" customHeight="1">
      <c r="FN340" s="50"/>
      <c r="FO340" s="47"/>
      <c r="FP340" s="47"/>
      <c r="FQ340" s="47"/>
      <c r="FR340" s="47"/>
    </row>
    <row r="341" spans="170:174" ht="11.25" customHeight="1">
      <c r="FN341" s="50"/>
      <c r="FO341" s="47"/>
      <c r="FP341" s="47"/>
      <c r="FQ341" s="47"/>
      <c r="FR341" s="47"/>
    </row>
    <row r="342" spans="170:174" ht="11.25" customHeight="1">
      <c r="FN342" s="50"/>
      <c r="FO342" s="47"/>
      <c r="FP342" s="47"/>
      <c r="FQ342" s="47"/>
      <c r="FR342" s="47"/>
    </row>
    <row r="343" spans="170:174" ht="11.25" customHeight="1">
      <c r="FN343" s="50"/>
      <c r="FO343" s="47"/>
      <c r="FP343" s="47"/>
      <c r="FQ343" s="47"/>
      <c r="FR343" s="47"/>
    </row>
    <row r="344" spans="170:174" ht="11.25" customHeight="1">
      <c r="FN344" s="50"/>
      <c r="FO344" s="47"/>
      <c r="FP344" s="47"/>
      <c r="FQ344" s="47"/>
      <c r="FR344" s="47"/>
    </row>
    <row r="345" spans="170:174" ht="11.25" customHeight="1">
      <c r="FN345" s="50"/>
      <c r="FO345" s="47"/>
      <c r="FP345" s="47"/>
      <c r="FQ345" s="47"/>
      <c r="FR345" s="47"/>
    </row>
    <row r="346" spans="170:174" ht="11.25" customHeight="1">
      <c r="FN346" s="50"/>
      <c r="FO346" s="47"/>
      <c r="FP346" s="47"/>
      <c r="FQ346" s="47"/>
      <c r="FR346" s="47"/>
    </row>
    <row r="347" spans="170:174" ht="11.25" customHeight="1">
      <c r="FN347" s="50"/>
      <c r="FO347" s="47"/>
      <c r="FP347" s="47"/>
      <c r="FQ347" s="47"/>
      <c r="FR347" s="47"/>
    </row>
    <row r="348" spans="170:174" ht="11.25" customHeight="1">
      <c r="FN348" s="50"/>
      <c r="FO348" s="47"/>
      <c r="FP348" s="47"/>
      <c r="FQ348" s="47"/>
      <c r="FR348" s="47"/>
    </row>
    <row r="349" spans="170:174" ht="11.25" customHeight="1">
      <c r="FN349" s="50"/>
      <c r="FO349" s="47"/>
      <c r="FP349" s="47"/>
      <c r="FQ349" s="47"/>
      <c r="FR349" s="47"/>
    </row>
    <row r="350" spans="170:174" ht="11.25" customHeight="1">
      <c r="FN350" s="50"/>
      <c r="FO350" s="47"/>
      <c r="FP350" s="47"/>
      <c r="FQ350" s="47"/>
      <c r="FR350" s="47"/>
    </row>
    <row r="351" spans="170:174" ht="11.25" customHeight="1">
      <c r="FN351" s="50"/>
      <c r="FO351" s="47"/>
      <c r="FP351" s="47"/>
      <c r="FQ351" s="47"/>
      <c r="FR351" s="47"/>
    </row>
    <row r="352" spans="170:174" ht="11.25" customHeight="1">
      <c r="FN352" s="50"/>
      <c r="FO352" s="47"/>
      <c r="FP352" s="47"/>
      <c r="FQ352" s="47"/>
      <c r="FR352" s="47"/>
    </row>
    <row r="353" spans="170:174" ht="11.25" customHeight="1">
      <c r="FN353" s="50"/>
      <c r="FO353" s="47"/>
      <c r="FP353" s="47"/>
      <c r="FQ353" s="47"/>
      <c r="FR353" s="47"/>
    </row>
    <row r="354" spans="170:174" ht="11.25" customHeight="1">
      <c r="FN354" s="50"/>
      <c r="FO354" s="47"/>
      <c r="FP354" s="47"/>
      <c r="FQ354" s="47"/>
      <c r="FR354" s="47"/>
    </row>
    <row r="355" spans="170:174" ht="11.25" customHeight="1">
      <c r="FN355" s="50"/>
      <c r="FO355" s="47"/>
      <c r="FP355" s="47"/>
      <c r="FQ355" s="47"/>
      <c r="FR355" s="47"/>
    </row>
    <row r="356" spans="170:174" ht="11.25" customHeight="1">
      <c r="FN356" s="50"/>
      <c r="FO356" s="47"/>
      <c r="FP356" s="47"/>
      <c r="FQ356" s="47"/>
      <c r="FR356" s="47"/>
    </row>
    <row r="357" spans="170:174" ht="11.25" customHeight="1">
      <c r="FN357" s="50"/>
      <c r="FO357" s="47"/>
      <c r="FP357" s="47"/>
      <c r="FQ357" s="47"/>
      <c r="FR357" s="47"/>
    </row>
    <row r="358" spans="170:174" ht="11.25" customHeight="1">
      <c r="FN358" s="50"/>
      <c r="FO358" s="47"/>
      <c r="FP358" s="47"/>
      <c r="FQ358" s="47"/>
      <c r="FR358" s="47"/>
    </row>
    <row r="359" spans="170:174" ht="11.25" customHeight="1">
      <c r="FN359" s="50"/>
      <c r="FO359" s="47"/>
      <c r="FP359" s="47"/>
      <c r="FQ359" s="47"/>
      <c r="FR359" s="47"/>
    </row>
    <row r="360" spans="170:174" ht="11.25" customHeight="1">
      <c r="FN360" s="50"/>
      <c r="FO360" s="47"/>
      <c r="FP360" s="47"/>
      <c r="FQ360" s="47"/>
      <c r="FR360" s="47"/>
    </row>
    <row r="361" spans="170:174" ht="11.25" customHeight="1">
      <c r="FN361" s="50"/>
      <c r="FO361" s="47"/>
      <c r="FP361" s="47"/>
      <c r="FQ361" s="47"/>
      <c r="FR361" s="47"/>
    </row>
    <row r="362" spans="170:174" ht="11.25" customHeight="1">
      <c r="FN362" s="50"/>
      <c r="FO362" s="47"/>
      <c r="FP362" s="47"/>
      <c r="FQ362" s="47"/>
      <c r="FR362" s="47"/>
    </row>
    <row r="363" spans="170:174" ht="11.25" customHeight="1">
      <c r="FN363" s="50"/>
      <c r="FO363" s="47"/>
      <c r="FP363" s="47"/>
      <c r="FQ363" s="47"/>
      <c r="FR363" s="47"/>
    </row>
    <row r="364" spans="170:174" ht="11.25" customHeight="1">
      <c r="FN364" s="50"/>
      <c r="FO364" s="47"/>
      <c r="FP364" s="47"/>
      <c r="FQ364" s="47"/>
      <c r="FR364" s="47"/>
    </row>
    <row r="365" spans="170:174" ht="11.25" customHeight="1">
      <c r="FN365" s="50"/>
      <c r="FO365" s="47"/>
      <c r="FP365" s="47"/>
      <c r="FQ365" s="47"/>
      <c r="FR365" s="47"/>
    </row>
    <row r="366" spans="170:174" ht="11.25" customHeight="1">
      <c r="FN366" s="50"/>
      <c r="FO366" s="47"/>
      <c r="FP366" s="47"/>
      <c r="FQ366" s="47"/>
      <c r="FR366" s="47"/>
    </row>
    <row r="367" spans="170:174" ht="11.25" customHeight="1">
      <c r="FN367" s="50"/>
      <c r="FO367" s="47"/>
      <c r="FP367" s="47"/>
      <c r="FQ367" s="47"/>
      <c r="FR367" s="47"/>
    </row>
    <row r="368" spans="170:174" ht="11.25" customHeight="1">
      <c r="FN368" s="50"/>
      <c r="FO368" s="47"/>
      <c r="FP368" s="47"/>
      <c r="FQ368" s="47"/>
      <c r="FR368" s="47"/>
    </row>
    <row r="369" spans="170:174" ht="11.25" customHeight="1">
      <c r="FN369" s="50"/>
      <c r="FO369" s="47"/>
      <c r="FP369" s="47"/>
      <c r="FQ369" s="47"/>
      <c r="FR369" s="47"/>
    </row>
    <row r="370" spans="170:174" ht="11.25" customHeight="1">
      <c r="FN370" s="50"/>
      <c r="FO370" s="47"/>
      <c r="FP370" s="47"/>
      <c r="FQ370" s="47"/>
      <c r="FR370" s="47"/>
    </row>
    <row r="371" spans="170:174" ht="11.25" customHeight="1">
      <c r="FN371" s="50"/>
      <c r="FO371" s="47"/>
      <c r="FP371" s="47"/>
      <c r="FQ371" s="47"/>
      <c r="FR371" s="47"/>
    </row>
    <row r="372" spans="170:174" ht="11.25" customHeight="1">
      <c r="FN372" s="50"/>
      <c r="FO372" s="47"/>
      <c r="FP372" s="47"/>
      <c r="FQ372" s="47"/>
      <c r="FR372" s="47"/>
    </row>
    <row r="373" spans="170:174" ht="11.25" customHeight="1">
      <c r="FN373" s="50"/>
      <c r="FO373" s="47"/>
      <c r="FP373" s="47"/>
      <c r="FQ373" s="47"/>
      <c r="FR373" s="47"/>
    </row>
    <row r="374" spans="170:174" ht="11.25" customHeight="1">
      <c r="FN374" s="50"/>
      <c r="FO374" s="47"/>
      <c r="FP374" s="47"/>
      <c r="FQ374" s="47"/>
      <c r="FR374" s="47"/>
    </row>
    <row r="375" spans="170:174" ht="11.25" customHeight="1">
      <c r="FN375" s="50"/>
      <c r="FO375" s="47"/>
      <c r="FP375" s="47"/>
      <c r="FQ375" s="47"/>
      <c r="FR375" s="47"/>
    </row>
    <row r="376" spans="170:174" ht="11.25" customHeight="1">
      <c r="FN376" s="50"/>
      <c r="FO376" s="47"/>
      <c r="FP376" s="47"/>
      <c r="FQ376" s="47"/>
      <c r="FR376" s="47"/>
    </row>
    <row r="377" spans="170:174" ht="11.25" customHeight="1">
      <c r="FN377" s="50"/>
      <c r="FO377" s="47"/>
      <c r="FP377" s="47"/>
      <c r="FQ377" s="47"/>
      <c r="FR377" s="47"/>
    </row>
    <row r="378" spans="170:174" ht="11.25" customHeight="1">
      <c r="FN378" s="50"/>
      <c r="FO378" s="47"/>
      <c r="FP378" s="47"/>
      <c r="FQ378" s="47"/>
      <c r="FR378" s="47"/>
    </row>
    <row r="379" spans="170:174" ht="11.25" customHeight="1">
      <c r="FN379" s="50"/>
      <c r="FO379" s="47"/>
      <c r="FP379" s="47"/>
      <c r="FQ379" s="47"/>
      <c r="FR379" s="47"/>
    </row>
    <row r="380" spans="170:174" ht="11.25" customHeight="1">
      <c r="FN380" s="50"/>
      <c r="FO380" s="47"/>
      <c r="FP380" s="47"/>
      <c r="FQ380" s="47"/>
      <c r="FR380" s="47"/>
    </row>
    <row r="381" spans="170:174" ht="11.25" customHeight="1">
      <c r="FN381" s="50"/>
      <c r="FO381" s="47"/>
      <c r="FP381" s="47"/>
      <c r="FQ381" s="47"/>
      <c r="FR381" s="47"/>
    </row>
    <row r="382" spans="170:174" ht="11.25" customHeight="1">
      <c r="FN382" s="50"/>
      <c r="FO382" s="47"/>
      <c r="FP382" s="47"/>
      <c r="FQ382" s="47"/>
      <c r="FR382" s="47"/>
    </row>
    <row r="383" spans="170:174" ht="11.25" customHeight="1">
      <c r="FN383" s="50"/>
      <c r="FO383" s="47"/>
      <c r="FP383" s="47"/>
      <c r="FQ383" s="47"/>
      <c r="FR383" s="47"/>
    </row>
    <row r="384" spans="170:174" ht="11.25" customHeight="1">
      <c r="FN384" s="50"/>
      <c r="FO384" s="47"/>
      <c r="FP384" s="47"/>
      <c r="FQ384" s="47"/>
      <c r="FR384" s="47"/>
    </row>
    <row r="385" spans="170:174" ht="11.25" customHeight="1">
      <c r="FN385" s="50"/>
      <c r="FO385" s="47"/>
      <c r="FP385" s="47"/>
      <c r="FQ385" s="47"/>
      <c r="FR385" s="47"/>
    </row>
    <row r="386" spans="170:174" ht="11.25" customHeight="1">
      <c r="FN386" s="50"/>
      <c r="FO386" s="47"/>
      <c r="FP386" s="47"/>
      <c r="FQ386" s="47"/>
      <c r="FR386" s="47"/>
    </row>
    <row r="387" spans="170:174" ht="11.25" customHeight="1">
      <c r="FN387" s="50"/>
      <c r="FO387" s="47"/>
      <c r="FP387" s="47"/>
      <c r="FQ387" s="47"/>
      <c r="FR387" s="47"/>
    </row>
    <row r="388" spans="170:174" ht="11.25" customHeight="1">
      <c r="FN388" s="50"/>
      <c r="FO388" s="47"/>
      <c r="FP388" s="47"/>
      <c r="FQ388" s="47"/>
      <c r="FR388" s="47"/>
    </row>
    <row r="389" spans="170:174" ht="11.25" customHeight="1">
      <c r="FN389" s="50"/>
      <c r="FO389" s="47"/>
      <c r="FP389" s="47"/>
      <c r="FQ389" s="47"/>
      <c r="FR389" s="47"/>
    </row>
    <row r="390" spans="170:174" ht="11.25" customHeight="1">
      <c r="FN390" s="50"/>
      <c r="FO390" s="47"/>
      <c r="FP390" s="47"/>
      <c r="FQ390" s="47"/>
      <c r="FR390" s="47"/>
    </row>
    <row r="391" spans="170:174" ht="11.25" customHeight="1">
      <c r="FN391" s="50"/>
      <c r="FO391" s="47"/>
      <c r="FP391" s="47"/>
      <c r="FQ391" s="47"/>
      <c r="FR391" s="47"/>
    </row>
    <row r="392" spans="170:174" ht="11.25" customHeight="1">
      <c r="FN392" s="50"/>
      <c r="FO392" s="47"/>
      <c r="FP392" s="47"/>
      <c r="FQ392" s="47"/>
      <c r="FR392" s="47"/>
    </row>
    <row r="393" spans="170:174" ht="11.25" customHeight="1">
      <c r="FN393" s="50"/>
      <c r="FO393" s="47"/>
      <c r="FP393" s="47"/>
      <c r="FQ393" s="47"/>
      <c r="FR393" s="47"/>
    </row>
    <row r="394" spans="170:174" ht="11.25" customHeight="1">
      <c r="FN394" s="50"/>
      <c r="FO394" s="47"/>
      <c r="FP394" s="47"/>
      <c r="FQ394" s="47"/>
      <c r="FR394" s="47"/>
    </row>
    <row r="395" spans="170:174" ht="11.25" customHeight="1">
      <c r="FN395" s="50"/>
      <c r="FO395" s="47"/>
      <c r="FP395" s="47"/>
      <c r="FQ395" s="47"/>
      <c r="FR395" s="47"/>
    </row>
    <row r="396" spans="170:174" ht="11.25" customHeight="1">
      <c r="FN396" s="50"/>
      <c r="FO396" s="47"/>
      <c r="FP396" s="47"/>
      <c r="FQ396" s="47"/>
      <c r="FR396" s="47"/>
    </row>
    <row r="397" spans="170:174" ht="11.25" customHeight="1">
      <c r="FN397" s="50"/>
      <c r="FO397" s="47"/>
      <c r="FP397" s="47"/>
      <c r="FQ397" s="47"/>
      <c r="FR397" s="47"/>
    </row>
    <row r="398" spans="170:174" ht="11.25" customHeight="1">
      <c r="FN398" s="50"/>
      <c r="FO398" s="47"/>
      <c r="FP398" s="47"/>
      <c r="FQ398" s="47"/>
      <c r="FR398" s="47"/>
    </row>
    <row r="399" spans="170:174" ht="11.25" customHeight="1">
      <c r="FN399" s="50"/>
      <c r="FO399" s="47"/>
      <c r="FP399" s="47"/>
      <c r="FQ399" s="47"/>
      <c r="FR399" s="47"/>
    </row>
    <row r="400" spans="170:174" ht="11.25" customHeight="1">
      <c r="FN400" s="50"/>
      <c r="FO400" s="47"/>
      <c r="FP400" s="47"/>
      <c r="FQ400" s="47"/>
      <c r="FR400" s="47"/>
    </row>
    <row r="401" spans="170:174" ht="11.25" customHeight="1">
      <c r="FN401" s="50"/>
      <c r="FO401" s="47"/>
      <c r="FP401" s="47"/>
      <c r="FQ401" s="47"/>
      <c r="FR401" s="47"/>
    </row>
    <row r="402" spans="170:174" ht="11.25" customHeight="1">
      <c r="FN402" s="50"/>
      <c r="FO402" s="47"/>
      <c r="FP402" s="47"/>
      <c r="FQ402" s="47"/>
      <c r="FR402" s="47"/>
    </row>
    <row r="403" spans="170:174" ht="11.25" customHeight="1">
      <c r="FN403" s="50"/>
      <c r="FO403" s="47"/>
      <c r="FP403" s="47"/>
      <c r="FQ403" s="47"/>
      <c r="FR403" s="47"/>
    </row>
    <row r="404" spans="170:174" ht="11.25" customHeight="1">
      <c r="FN404" s="50"/>
      <c r="FO404" s="47"/>
      <c r="FP404" s="47"/>
      <c r="FQ404" s="47"/>
      <c r="FR404" s="47"/>
    </row>
    <row r="405" spans="170:174" ht="11.25" customHeight="1">
      <c r="FN405" s="50"/>
      <c r="FO405" s="47"/>
      <c r="FP405" s="47"/>
      <c r="FQ405" s="47"/>
      <c r="FR405" s="47"/>
    </row>
    <row r="406" spans="170:174" ht="11.25" customHeight="1">
      <c r="FN406" s="50"/>
      <c r="FO406" s="47"/>
      <c r="FP406" s="47"/>
      <c r="FQ406" s="47"/>
      <c r="FR406" s="47"/>
    </row>
    <row r="407" spans="170:174" ht="11.25" customHeight="1">
      <c r="FN407" s="50"/>
      <c r="FO407" s="47"/>
      <c r="FP407" s="47"/>
      <c r="FQ407" s="47"/>
      <c r="FR407" s="47"/>
    </row>
    <row r="408" spans="170:174" ht="11.25" customHeight="1">
      <c r="FN408" s="50"/>
      <c r="FO408" s="47"/>
      <c r="FP408" s="47"/>
      <c r="FQ408" s="47"/>
      <c r="FR408" s="47"/>
    </row>
    <row r="409" spans="170:174" ht="11.25" customHeight="1">
      <c r="FN409" s="50"/>
      <c r="FO409" s="47"/>
      <c r="FP409" s="47"/>
      <c r="FQ409" s="47"/>
      <c r="FR409" s="47"/>
    </row>
    <row r="410" spans="170:174" ht="11.25" customHeight="1">
      <c r="FN410" s="50"/>
      <c r="FO410" s="47"/>
      <c r="FP410" s="47"/>
      <c r="FQ410" s="47"/>
      <c r="FR410" s="47"/>
    </row>
    <row r="411" spans="170:174" ht="11.25" customHeight="1">
      <c r="FN411" s="50"/>
      <c r="FO411" s="47"/>
      <c r="FP411" s="47"/>
      <c r="FQ411" s="47"/>
      <c r="FR411" s="47"/>
    </row>
    <row r="412" spans="170:174" ht="11.25" customHeight="1">
      <c r="FN412" s="50"/>
      <c r="FO412" s="47"/>
      <c r="FP412" s="47"/>
      <c r="FQ412" s="47"/>
      <c r="FR412" s="47"/>
    </row>
    <row r="413" spans="170:174" ht="11.25" customHeight="1">
      <c r="FN413" s="50"/>
      <c r="FO413" s="47"/>
      <c r="FP413" s="47"/>
      <c r="FQ413" s="47"/>
      <c r="FR413" s="47"/>
    </row>
    <row r="414" spans="170:174" ht="11.25" customHeight="1">
      <c r="FN414" s="50"/>
      <c r="FO414" s="47"/>
      <c r="FP414" s="47"/>
      <c r="FQ414" s="47"/>
      <c r="FR414" s="47"/>
    </row>
    <row r="415" spans="170:174" ht="11.25" customHeight="1">
      <c r="FN415" s="50"/>
      <c r="FO415" s="47"/>
      <c r="FP415" s="47"/>
      <c r="FQ415" s="47"/>
      <c r="FR415" s="47"/>
    </row>
    <row r="416" spans="170:174" ht="11.25" customHeight="1">
      <c r="FN416" s="50"/>
      <c r="FO416" s="47"/>
      <c r="FP416" s="47"/>
      <c r="FQ416" s="47"/>
      <c r="FR416" s="47"/>
    </row>
    <row r="417" spans="170:174" ht="11.25" customHeight="1">
      <c r="FN417" s="50"/>
      <c r="FO417" s="47"/>
      <c r="FP417" s="47"/>
      <c r="FQ417" s="47"/>
      <c r="FR417" s="47"/>
    </row>
    <row r="418" spans="170:174" ht="11.25" customHeight="1">
      <c r="FN418" s="50"/>
      <c r="FO418" s="47"/>
      <c r="FP418" s="47"/>
      <c r="FQ418" s="47"/>
      <c r="FR418" s="47"/>
    </row>
    <row r="419" spans="170:174" ht="11.25" customHeight="1">
      <c r="FN419" s="50"/>
      <c r="FO419" s="47"/>
      <c r="FP419" s="47"/>
      <c r="FQ419" s="47"/>
      <c r="FR419" s="47"/>
    </row>
    <row r="420" spans="170:174" ht="11.25" customHeight="1">
      <c r="FN420" s="50"/>
      <c r="FO420" s="47"/>
      <c r="FP420" s="47"/>
      <c r="FQ420" s="47"/>
      <c r="FR420" s="47"/>
    </row>
    <row r="421" spans="170:174" ht="11.25" customHeight="1">
      <c r="FN421" s="50"/>
      <c r="FO421" s="47"/>
      <c r="FP421" s="47"/>
      <c r="FQ421" s="47"/>
      <c r="FR421" s="47"/>
    </row>
    <row r="422" spans="170:174" ht="11.25" customHeight="1">
      <c r="FN422" s="50"/>
      <c r="FO422" s="47"/>
      <c r="FP422" s="47"/>
      <c r="FQ422" s="47"/>
      <c r="FR422" s="47"/>
    </row>
    <row r="423" spans="170:174" ht="11.25" customHeight="1">
      <c r="FN423" s="50"/>
      <c r="FO423" s="47"/>
      <c r="FP423" s="47"/>
      <c r="FQ423" s="47"/>
      <c r="FR423" s="47"/>
    </row>
    <row r="424" spans="170:174" ht="11.25" customHeight="1">
      <c r="FN424" s="50"/>
      <c r="FO424" s="47"/>
      <c r="FP424" s="47"/>
      <c r="FQ424" s="47"/>
      <c r="FR424" s="47"/>
    </row>
    <row r="425" spans="170:174" ht="11.25" customHeight="1">
      <c r="FN425" s="50"/>
      <c r="FO425" s="47"/>
      <c r="FP425" s="47"/>
      <c r="FQ425" s="47"/>
      <c r="FR425" s="47"/>
    </row>
    <row r="426" spans="170:174" ht="11.25" customHeight="1">
      <c r="FN426" s="50"/>
      <c r="FO426" s="47"/>
      <c r="FP426" s="47"/>
      <c r="FQ426" s="47"/>
      <c r="FR426" s="47"/>
    </row>
    <row r="427" spans="170:174" ht="11.25" customHeight="1">
      <c r="FN427" s="50"/>
      <c r="FO427" s="47"/>
      <c r="FP427" s="47"/>
      <c r="FQ427" s="47"/>
      <c r="FR427" s="47"/>
    </row>
    <row r="428" spans="170:174" ht="11.25" customHeight="1">
      <c r="FN428" s="50"/>
      <c r="FO428" s="47"/>
      <c r="FP428" s="47"/>
      <c r="FQ428" s="47"/>
      <c r="FR428" s="47"/>
    </row>
    <row r="429" spans="170:174" ht="11.25" customHeight="1">
      <c r="FN429" s="50"/>
      <c r="FO429" s="47"/>
      <c r="FP429" s="47"/>
      <c r="FQ429" s="47"/>
      <c r="FR429" s="47"/>
    </row>
    <row r="430" spans="170:174" ht="11.25" customHeight="1">
      <c r="FN430" s="50"/>
      <c r="FO430" s="47"/>
      <c r="FP430" s="47"/>
      <c r="FQ430" s="47"/>
      <c r="FR430" s="47"/>
    </row>
    <row r="431" spans="170:174" ht="11.25" customHeight="1">
      <c r="FN431" s="50"/>
      <c r="FO431" s="47"/>
      <c r="FP431" s="47"/>
      <c r="FQ431" s="47"/>
      <c r="FR431" s="47"/>
    </row>
    <row r="432" spans="170:174" ht="11.25" customHeight="1">
      <c r="FN432" s="50"/>
      <c r="FO432" s="47"/>
      <c r="FP432" s="47"/>
      <c r="FQ432" s="47"/>
      <c r="FR432" s="47"/>
    </row>
    <row r="433" spans="170:174" ht="11.25" customHeight="1">
      <c r="FN433" s="50"/>
      <c r="FO433" s="47"/>
      <c r="FP433" s="47"/>
      <c r="FQ433" s="47"/>
      <c r="FR433" s="47"/>
    </row>
    <row r="434" spans="170:174" ht="11.25" customHeight="1">
      <c r="FN434" s="50"/>
      <c r="FO434" s="47"/>
      <c r="FP434" s="47"/>
      <c r="FQ434" s="47"/>
      <c r="FR434" s="47"/>
    </row>
    <row r="435" spans="170:174" ht="11.25" customHeight="1">
      <c r="FN435" s="50"/>
      <c r="FO435" s="47"/>
      <c r="FP435" s="47"/>
      <c r="FQ435" s="47"/>
      <c r="FR435" s="47"/>
    </row>
    <row r="436" spans="170:174" ht="11.25" customHeight="1">
      <c r="FN436" s="50"/>
      <c r="FO436" s="47"/>
      <c r="FP436" s="47"/>
      <c r="FQ436" s="47"/>
      <c r="FR436" s="47"/>
    </row>
    <row r="437" spans="170:174" ht="11.25" customHeight="1">
      <c r="FN437" s="50"/>
      <c r="FO437" s="47"/>
      <c r="FP437" s="47"/>
      <c r="FQ437" s="47"/>
      <c r="FR437" s="47"/>
    </row>
    <row r="438" spans="170:174" ht="11.25" customHeight="1">
      <c r="FN438" s="50"/>
      <c r="FO438" s="47"/>
      <c r="FP438" s="47"/>
      <c r="FQ438" s="47"/>
      <c r="FR438" s="47"/>
    </row>
    <row r="439" spans="170:174" ht="11.25" customHeight="1">
      <c r="FN439" s="50"/>
      <c r="FO439" s="47"/>
      <c r="FP439" s="47"/>
      <c r="FQ439" s="47"/>
      <c r="FR439" s="47"/>
    </row>
    <row r="440" spans="170:174" ht="11.25" customHeight="1">
      <c r="FN440" s="50"/>
      <c r="FO440" s="47"/>
      <c r="FP440" s="47"/>
      <c r="FQ440" s="47"/>
      <c r="FR440" s="47"/>
    </row>
    <row r="441" spans="170:174" ht="11.25" customHeight="1">
      <c r="FN441" s="50"/>
      <c r="FO441" s="47"/>
      <c r="FP441" s="47"/>
      <c r="FQ441" s="47"/>
      <c r="FR441" s="47"/>
    </row>
    <row r="442" spans="170:174" ht="11.25" customHeight="1">
      <c r="FN442" s="50"/>
      <c r="FO442" s="47"/>
      <c r="FP442" s="47"/>
      <c r="FQ442" s="47"/>
      <c r="FR442" s="47"/>
    </row>
    <row r="443" spans="170:174" ht="11.25" customHeight="1">
      <c r="FN443" s="50"/>
      <c r="FO443" s="47"/>
      <c r="FP443" s="47"/>
      <c r="FQ443" s="47"/>
      <c r="FR443" s="47"/>
    </row>
    <row r="444" spans="170:174" ht="11.25" customHeight="1">
      <c r="FN444" s="50"/>
      <c r="FO444" s="47"/>
      <c r="FP444" s="47"/>
      <c r="FQ444" s="47"/>
      <c r="FR444" s="47"/>
    </row>
    <row r="445" spans="170:174" ht="11.25" customHeight="1">
      <c r="FN445" s="50"/>
      <c r="FO445" s="47"/>
      <c r="FP445" s="47"/>
      <c r="FQ445" s="47"/>
      <c r="FR445" s="47"/>
    </row>
    <row r="446" spans="170:174" ht="11.25" customHeight="1">
      <c r="FN446" s="50"/>
      <c r="FO446" s="47"/>
      <c r="FP446" s="47"/>
      <c r="FQ446" s="47"/>
      <c r="FR446" s="47"/>
    </row>
    <row r="447" spans="170:174" ht="11.25" customHeight="1">
      <c r="FN447" s="50"/>
      <c r="FO447" s="47"/>
      <c r="FP447" s="47"/>
      <c r="FQ447" s="47"/>
      <c r="FR447" s="47"/>
    </row>
    <row r="448" spans="170:174" ht="11.25" customHeight="1">
      <c r="FN448" s="50"/>
      <c r="FO448" s="47"/>
      <c r="FP448" s="47"/>
      <c r="FQ448" s="47"/>
      <c r="FR448" s="47"/>
    </row>
    <row r="449" spans="170:174" ht="11.25" customHeight="1">
      <c r="FN449" s="50"/>
      <c r="FO449" s="47"/>
      <c r="FP449" s="47"/>
      <c r="FQ449" s="47"/>
      <c r="FR449" s="47"/>
    </row>
    <row r="450" spans="170:174" ht="11.25" customHeight="1">
      <c r="FN450" s="50"/>
      <c r="FO450" s="47"/>
      <c r="FP450" s="47"/>
      <c r="FQ450" s="47"/>
      <c r="FR450" s="47"/>
    </row>
    <row r="451" spans="170:174" ht="11.25" customHeight="1">
      <c r="FN451" s="50"/>
      <c r="FO451" s="47"/>
      <c r="FP451" s="47"/>
      <c r="FQ451" s="47"/>
      <c r="FR451" s="47"/>
    </row>
    <row r="452" spans="170:174" ht="11.25" customHeight="1">
      <c r="FN452" s="50"/>
      <c r="FO452" s="47"/>
      <c r="FP452" s="47"/>
      <c r="FQ452" s="47"/>
      <c r="FR452" s="47"/>
    </row>
    <row r="453" spans="170:174" ht="11.25" customHeight="1">
      <c r="FN453" s="50"/>
      <c r="FO453" s="47"/>
      <c r="FP453" s="47"/>
      <c r="FQ453" s="47"/>
      <c r="FR453" s="47"/>
    </row>
    <row r="454" spans="170:174" ht="11.25" customHeight="1">
      <c r="FN454" s="50"/>
      <c r="FO454" s="47"/>
      <c r="FP454" s="47"/>
      <c r="FQ454" s="47"/>
      <c r="FR454" s="47"/>
    </row>
    <row r="455" spans="170:174" ht="11.25" customHeight="1">
      <c r="FN455" s="50"/>
      <c r="FO455" s="47"/>
      <c r="FP455" s="47"/>
      <c r="FQ455" s="47"/>
      <c r="FR455" s="47"/>
    </row>
    <row r="456" spans="170:174" ht="11.25" customHeight="1">
      <c r="FN456" s="50"/>
      <c r="FO456" s="47"/>
      <c r="FP456" s="47"/>
      <c r="FQ456" s="47"/>
      <c r="FR456" s="47"/>
    </row>
    <row r="457" spans="170:174" ht="11.25" customHeight="1">
      <c r="FN457" s="50"/>
      <c r="FO457" s="47"/>
      <c r="FP457" s="47"/>
      <c r="FQ457" s="47"/>
      <c r="FR457" s="47"/>
    </row>
    <row r="458" spans="170:174" ht="11.25" customHeight="1">
      <c r="FN458" s="50"/>
      <c r="FO458" s="47"/>
      <c r="FP458" s="47"/>
      <c r="FQ458" s="47"/>
      <c r="FR458" s="47"/>
    </row>
    <row r="459" spans="170:174" ht="11.25" customHeight="1">
      <c r="FN459" s="50"/>
      <c r="FO459" s="47"/>
      <c r="FP459" s="47"/>
      <c r="FQ459" s="47"/>
      <c r="FR459" s="47"/>
    </row>
    <row r="460" spans="170:174" ht="11.25" customHeight="1">
      <c r="FN460" s="50"/>
      <c r="FO460" s="47"/>
      <c r="FP460" s="47"/>
      <c r="FQ460" s="47"/>
      <c r="FR460" s="47"/>
    </row>
    <row r="461" spans="170:174" ht="11.25" customHeight="1">
      <c r="FN461" s="50"/>
      <c r="FO461" s="47"/>
      <c r="FP461" s="47"/>
      <c r="FQ461" s="47"/>
      <c r="FR461" s="47"/>
    </row>
    <row r="462" spans="170:174" ht="11.25" customHeight="1">
      <c r="FN462" s="50"/>
      <c r="FO462" s="47"/>
      <c r="FP462" s="47"/>
      <c r="FQ462" s="47"/>
      <c r="FR462" s="47"/>
    </row>
    <row r="463" spans="170:174" ht="11.25" customHeight="1">
      <c r="FN463" s="50"/>
      <c r="FO463" s="47"/>
      <c r="FP463" s="47"/>
      <c r="FQ463" s="47"/>
      <c r="FR463" s="47"/>
    </row>
    <row r="464" spans="170:174" ht="11.25" customHeight="1">
      <c r="FN464" s="50"/>
      <c r="FO464" s="47"/>
      <c r="FP464" s="47"/>
      <c r="FQ464" s="47"/>
      <c r="FR464" s="47"/>
    </row>
    <row r="465" spans="170:174" ht="11.25" customHeight="1">
      <c r="FN465" s="50"/>
      <c r="FO465" s="47"/>
      <c r="FP465" s="47"/>
      <c r="FQ465" s="47"/>
      <c r="FR465" s="47"/>
    </row>
    <row r="466" spans="170:174" ht="11.25" customHeight="1">
      <c r="FN466" s="50"/>
      <c r="FO466" s="47"/>
      <c r="FP466" s="47"/>
      <c r="FQ466" s="47"/>
      <c r="FR466" s="47"/>
    </row>
    <row r="467" spans="170:174" ht="11.25" customHeight="1">
      <c r="FN467" s="50"/>
      <c r="FO467" s="47"/>
      <c r="FP467" s="47"/>
      <c r="FQ467" s="47"/>
      <c r="FR467" s="47"/>
    </row>
    <row r="468" spans="170:174" ht="11.25" customHeight="1">
      <c r="FN468" s="50"/>
      <c r="FO468" s="47"/>
      <c r="FP468" s="47"/>
      <c r="FQ468" s="47"/>
      <c r="FR468" s="47"/>
    </row>
    <row r="469" spans="170:174" ht="11.25" customHeight="1">
      <c r="FN469" s="50"/>
      <c r="FO469" s="47"/>
      <c r="FP469" s="47"/>
      <c r="FQ469" s="47"/>
      <c r="FR469" s="47"/>
    </row>
    <row r="470" spans="170:174" ht="11.25" customHeight="1">
      <c r="FN470" s="50"/>
      <c r="FO470" s="47"/>
      <c r="FP470" s="47"/>
      <c r="FQ470" s="47"/>
      <c r="FR470" s="47"/>
    </row>
    <row r="471" spans="170:174" ht="11.25" customHeight="1">
      <c r="FN471" s="50"/>
      <c r="FO471" s="47"/>
      <c r="FP471" s="47"/>
      <c r="FQ471" s="47"/>
      <c r="FR471" s="47"/>
    </row>
    <row r="472" spans="170:174" ht="11.25" customHeight="1">
      <c r="FN472" s="50"/>
      <c r="FO472" s="47"/>
      <c r="FP472" s="47"/>
      <c r="FQ472" s="47"/>
      <c r="FR472" s="47"/>
    </row>
    <row r="473" spans="170:174" ht="11.25" customHeight="1">
      <c r="FN473" s="50"/>
      <c r="FO473" s="47"/>
      <c r="FP473" s="47"/>
      <c r="FQ473" s="47"/>
      <c r="FR473" s="47"/>
    </row>
    <row r="474" spans="170:174" ht="11.25" customHeight="1">
      <c r="FN474" s="50"/>
      <c r="FO474" s="47"/>
      <c r="FP474" s="47"/>
      <c r="FQ474" s="47"/>
      <c r="FR474" s="47"/>
    </row>
    <row r="475" spans="170:174" ht="11.25" customHeight="1">
      <c r="FN475" s="50"/>
      <c r="FO475" s="47"/>
      <c r="FP475" s="47"/>
      <c r="FQ475" s="47"/>
      <c r="FR475" s="47"/>
    </row>
    <row r="476" spans="170:174" ht="11.25" customHeight="1">
      <c r="FN476" s="50"/>
      <c r="FO476" s="47"/>
      <c r="FP476" s="47"/>
      <c r="FQ476" s="47"/>
      <c r="FR476" s="47"/>
    </row>
    <row r="477" spans="170:174" ht="11.25" customHeight="1">
      <c r="FN477" s="50"/>
      <c r="FO477" s="47"/>
      <c r="FP477" s="47"/>
      <c r="FQ477" s="47"/>
      <c r="FR477" s="47"/>
    </row>
    <row r="478" spans="170:174" ht="11.25" customHeight="1">
      <c r="FN478" s="50"/>
      <c r="FO478" s="47"/>
      <c r="FP478" s="47"/>
      <c r="FQ478" s="47"/>
      <c r="FR478" s="47"/>
    </row>
    <row r="479" spans="170:174" ht="11.25" customHeight="1">
      <c r="FN479" s="50"/>
      <c r="FO479" s="47"/>
      <c r="FP479" s="47"/>
      <c r="FQ479" s="47"/>
      <c r="FR479" s="47"/>
    </row>
    <row r="480" spans="170:174" ht="11.25" customHeight="1">
      <c r="FN480" s="50"/>
      <c r="FO480" s="47"/>
      <c r="FP480" s="47"/>
      <c r="FQ480" s="47"/>
      <c r="FR480" s="47"/>
    </row>
    <row r="481" spans="170:174" ht="11.25" customHeight="1">
      <c r="FN481" s="50"/>
      <c r="FO481" s="47"/>
      <c r="FP481" s="47"/>
      <c r="FQ481" s="47"/>
      <c r="FR481" s="47"/>
    </row>
    <row r="482" spans="170:174" ht="11.25" customHeight="1">
      <c r="FN482" s="50"/>
      <c r="FO482" s="47"/>
      <c r="FP482" s="47"/>
      <c r="FQ482" s="47"/>
      <c r="FR482" s="47"/>
    </row>
    <row r="483" spans="170:174" ht="11.25" customHeight="1">
      <c r="FN483" s="50"/>
      <c r="FO483" s="47"/>
      <c r="FP483" s="47"/>
      <c r="FQ483" s="47"/>
      <c r="FR483" s="47"/>
    </row>
    <row r="484" spans="170:174" ht="11.25" customHeight="1">
      <c r="FN484" s="50"/>
      <c r="FO484" s="47"/>
      <c r="FP484" s="47"/>
      <c r="FQ484" s="47"/>
      <c r="FR484" s="47"/>
    </row>
    <row r="485" spans="170:174" ht="11.25" customHeight="1">
      <c r="FN485" s="50"/>
      <c r="FO485" s="47"/>
      <c r="FP485" s="47"/>
      <c r="FQ485" s="47"/>
      <c r="FR485" s="47"/>
    </row>
    <row r="486" spans="170:174" ht="11.25" customHeight="1">
      <c r="FN486" s="50"/>
      <c r="FO486" s="47"/>
      <c r="FP486" s="47"/>
      <c r="FQ486" s="47"/>
      <c r="FR486" s="47"/>
    </row>
    <row r="487" spans="170:174" ht="11.25" customHeight="1">
      <c r="FN487" s="50"/>
      <c r="FO487" s="47"/>
      <c r="FP487" s="47"/>
      <c r="FQ487" s="47"/>
      <c r="FR487" s="47"/>
    </row>
    <row r="488" spans="170:174" ht="11.25" customHeight="1">
      <c r="FN488" s="50"/>
      <c r="FO488" s="47"/>
      <c r="FP488" s="47"/>
      <c r="FQ488" s="47"/>
      <c r="FR488" s="47"/>
    </row>
    <row r="489" spans="170:174" ht="11.25" customHeight="1">
      <c r="FN489" s="50"/>
      <c r="FO489" s="47"/>
      <c r="FP489" s="47"/>
      <c r="FQ489" s="47"/>
      <c r="FR489" s="47"/>
    </row>
    <row r="490" spans="170:174" ht="11.25" customHeight="1">
      <c r="FN490" s="50"/>
      <c r="FO490" s="47"/>
      <c r="FP490" s="47"/>
      <c r="FQ490" s="47"/>
      <c r="FR490" s="47"/>
    </row>
    <row r="491" spans="170:174" ht="11.25" customHeight="1">
      <c r="FN491" s="50"/>
      <c r="FO491" s="47"/>
      <c r="FP491" s="47"/>
      <c r="FQ491" s="47"/>
      <c r="FR491" s="47"/>
    </row>
    <row r="492" spans="170:174" ht="11.25" customHeight="1">
      <c r="FN492" s="50"/>
      <c r="FO492" s="47"/>
      <c r="FP492" s="47"/>
      <c r="FQ492" s="47"/>
      <c r="FR492" s="47"/>
    </row>
    <row r="493" spans="170:174" ht="11.25" customHeight="1">
      <c r="FN493" s="50"/>
      <c r="FO493" s="47"/>
      <c r="FP493" s="47"/>
      <c r="FQ493" s="47"/>
      <c r="FR493" s="47"/>
    </row>
    <row r="494" spans="170:174" ht="11.25" customHeight="1">
      <c r="FN494" s="50"/>
      <c r="FO494" s="47"/>
      <c r="FP494" s="47"/>
      <c r="FQ494" s="47"/>
      <c r="FR494" s="47"/>
    </row>
    <row r="495" spans="170:174" ht="11.25" customHeight="1">
      <c r="FN495" s="50"/>
      <c r="FO495" s="47"/>
      <c r="FP495" s="47"/>
      <c r="FQ495" s="47"/>
      <c r="FR495" s="47"/>
    </row>
    <row r="496" spans="170:174" ht="11.25" customHeight="1">
      <c r="FN496" s="50"/>
      <c r="FO496" s="47"/>
      <c r="FP496" s="47"/>
      <c r="FQ496" s="47"/>
      <c r="FR496" s="47"/>
    </row>
    <row r="497" spans="170:174" ht="11.25" customHeight="1">
      <c r="FN497" s="50"/>
      <c r="FO497" s="47"/>
      <c r="FP497" s="47"/>
      <c r="FQ497" s="47"/>
      <c r="FR497" s="47"/>
    </row>
    <row r="498" spans="170:174" ht="11.25" customHeight="1">
      <c r="FN498" s="50"/>
      <c r="FO498" s="47"/>
      <c r="FP498" s="47"/>
      <c r="FQ498" s="47"/>
      <c r="FR498" s="47"/>
    </row>
    <row r="499" spans="170:174" ht="11.25" customHeight="1">
      <c r="FN499" s="50"/>
      <c r="FO499" s="47"/>
      <c r="FP499" s="47"/>
      <c r="FQ499" s="47"/>
      <c r="FR499" s="47"/>
    </row>
    <row r="500" spans="170:174" ht="11.25" customHeight="1">
      <c r="FN500" s="50"/>
      <c r="FO500" s="47"/>
      <c r="FP500" s="47"/>
      <c r="FQ500" s="47"/>
      <c r="FR500" s="47"/>
    </row>
    <row r="501" spans="170:174" ht="11.25" customHeight="1">
      <c r="FN501" s="50"/>
      <c r="FO501" s="47"/>
      <c r="FP501" s="47"/>
      <c r="FQ501" s="47"/>
      <c r="FR501" s="47"/>
    </row>
    <row r="502" spans="170:174" ht="11.25" customHeight="1">
      <c r="FN502" s="50"/>
      <c r="FO502" s="47"/>
      <c r="FP502" s="47"/>
      <c r="FQ502" s="47"/>
      <c r="FR502" s="47"/>
    </row>
    <row r="503" spans="170:174" ht="11.25" customHeight="1">
      <c r="FN503" s="50"/>
      <c r="FO503" s="47"/>
      <c r="FP503" s="47"/>
      <c r="FQ503" s="47"/>
      <c r="FR503" s="47"/>
    </row>
    <row r="504" spans="170:174" ht="11.25" customHeight="1">
      <c r="FN504" s="50"/>
      <c r="FO504" s="47"/>
      <c r="FP504" s="47"/>
      <c r="FQ504" s="47"/>
      <c r="FR504" s="47"/>
    </row>
    <row r="505" spans="170:174" ht="11.25" customHeight="1">
      <c r="FN505" s="50"/>
      <c r="FO505" s="47"/>
      <c r="FP505" s="47"/>
      <c r="FQ505" s="47"/>
      <c r="FR505" s="47"/>
    </row>
    <row r="506" spans="170:174" ht="11.25" customHeight="1">
      <c r="FN506" s="50"/>
      <c r="FO506" s="47"/>
      <c r="FP506" s="47"/>
      <c r="FQ506" s="47"/>
      <c r="FR506" s="47"/>
    </row>
    <row r="507" spans="170:174" ht="11.25" customHeight="1">
      <c r="FN507" s="50"/>
      <c r="FO507" s="47"/>
      <c r="FP507" s="47"/>
      <c r="FQ507" s="47"/>
      <c r="FR507" s="47"/>
    </row>
    <row r="508" spans="170:174" ht="11.25" customHeight="1">
      <c r="FN508" s="50"/>
      <c r="FO508" s="47"/>
      <c r="FP508" s="47"/>
      <c r="FQ508" s="47"/>
      <c r="FR508" s="47"/>
    </row>
    <row r="509" spans="170:174" ht="11.25" customHeight="1">
      <c r="FN509" s="50"/>
      <c r="FO509" s="47"/>
      <c r="FP509" s="47"/>
      <c r="FQ509" s="47"/>
      <c r="FR509" s="47"/>
    </row>
    <row r="510" spans="170:174" ht="11.25" customHeight="1">
      <c r="FN510" s="50"/>
      <c r="FO510" s="47"/>
      <c r="FP510" s="47"/>
      <c r="FQ510" s="47"/>
      <c r="FR510" s="47"/>
    </row>
    <row r="511" spans="170:174" ht="11.25" customHeight="1">
      <c r="FN511" s="50"/>
      <c r="FO511" s="47"/>
      <c r="FP511" s="47"/>
      <c r="FQ511" s="47"/>
      <c r="FR511" s="47"/>
    </row>
    <row r="512" spans="170:174" ht="11.25" customHeight="1">
      <c r="FN512" s="50"/>
      <c r="FO512" s="47"/>
      <c r="FP512" s="47"/>
      <c r="FQ512" s="47"/>
      <c r="FR512" s="47"/>
    </row>
    <row r="513" spans="170:174" ht="11.25" customHeight="1">
      <c r="FN513" s="50"/>
      <c r="FO513" s="47"/>
      <c r="FP513" s="47"/>
      <c r="FQ513" s="47"/>
      <c r="FR513" s="47"/>
    </row>
    <row r="514" spans="170:174" ht="11.25" customHeight="1">
      <c r="FN514" s="50"/>
      <c r="FO514" s="47"/>
      <c r="FP514" s="47"/>
      <c r="FQ514" s="47"/>
      <c r="FR514" s="47"/>
    </row>
    <row r="515" spans="170:174" ht="11.25" customHeight="1">
      <c r="FN515" s="50"/>
      <c r="FO515" s="47"/>
      <c r="FP515" s="47"/>
      <c r="FQ515" s="47"/>
      <c r="FR515" s="47"/>
    </row>
    <row r="516" spans="170:174" ht="11.25" customHeight="1">
      <c r="FN516" s="50"/>
      <c r="FO516" s="47"/>
      <c r="FP516" s="47"/>
      <c r="FQ516" s="47"/>
      <c r="FR516" s="47"/>
    </row>
    <row r="517" spans="170:174" ht="11.25" customHeight="1">
      <c r="FN517" s="50"/>
      <c r="FO517" s="47"/>
      <c r="FP517" s="47"/>
      <c r="FQ517" s="47"/>
      <c r="FR517" s="47"/>
    </row>
    <row r="518" spans="170:174" ht="11.25" customHeight="1">
      <c r="FN518" s="50"/>
      <c r="FO518" s="47"/>
      <c r="FP518" s="47"/>
      <c r="FQ518" s="47"/>
      <c r="FR518" s="47"/>
    </row>
    <row r="519" spans="170:174" ht="11.25" customHeight="1">
      <c r="FN519" s="50"/>
      <c r="FO519" s="47"/>
      <c r="FP519" s="47"/>
      <c r="FQ519" s="47"/>
      <c r="FR519" s="47"/>
    </row>
    <row r="520" spans="170:174" ht="11.25" customHeight="1">
      <c r="FN520" s="50"/>
      <c r="FO520" s="47"/>
      <c r="FP520" s="47"/>
      <c r="FQ520" s="47"/>
      <c r="FR520" s="47"/>
    </row>
    <row r="521" spans="170:174" ht="11.25" customHeight="1">
      <c r="FN521" s="50"/>
      <c r="FO521" s="47"/>
      <c r="FP521" s="47"/>
      <c r="FQ521" s="47"/>
      <c r="FR521" s="47"/>
    </row>
    <row r="522" spans="170:174" ht="11.25" customHeight="1">
      <c r="FN522" s="50"/>
      <c r="FO522" s="47"/>
      <c r="FP522" s="47"/>
      <c r="FQ522" s="47"/>
      <c r="FR522" s="47"/>
    </row>
    <row r="523" spans="170:174" ht="11.25" customHeight="1">
      <c r="FN523" s="50"/>
      <c r="FO523" s="47"/>
      <c r="FP523" s="47"/>
      <c r="FQ523" s="47"/>
      <c r="FR523" s="47"/>
    </row>
    <row r="524" spans="170:174" ht="11.25" customHeight="1">
      <c r="FN524" s="50"/>
      <c r="FO524" s="47"/>
      <c r="FP524" s="47"/>
      <c r="FQ524" s="47"/>
      <c r="FR524" s="47"/>
    </row>
    <row r="525" spans="170:174" ht="11.25" customHeight="1">
      <c r="FN525" s="50"/>
      <c r="FO525" s="47"/>
      <c r="FP525" s="47"/>
      <c r="FQ525" s="47"/>
      <c r="FR525" s="47"/>
    </row>
    <row r="526" spans="170:174" ht="11.25" customHeight="1">
      <c r="FN526" s="50"/>
      <c r="FO526" s="47"/>
      <c r="FP526" s="47"/>
      <c r="FQ526" s="47"/>
      <c r="FR526" s="47"/>
    </row>
    <row r="527" spans="170:174" ht="11.25" customHeight="1">
      <c r="FN527" s="50"/>
      <c r="FO527" s="47"/>
      <c r="FP527" s="47"/>
      <c r="FQ527" s="47"/>
      <c r="FR527" s="47"/>
    </row>
    <row r="528" spans="170:174" ht="11.25" customHeight="1">
      <c r="FN528" s="50"/>
      <c r="FO528" s="47"/>
      <c r="FP528" s="47"/>
      <c r="FQ528" s="47"/>
      <c r="FR528" s="47"/>
    </row>
    <row r="529" spans="170:174" ht="11.25" customHeight="1">
      <c r="FN529" s="50"/>
      <c r="FO529" s="47"/>
      <c r="FP529" s="47"/>
      <c r="FQ529" s="47"/>
      <c r="FR529" s="47"/>
    </row>
    <row r="530" spans="170:174" ht="11.25" customHeight="1">
      <c r="FN530" s="50"/>
      <c r="FO530" s="47"/>
      <c r="FP530" s="47"/>
      <c r="FQ530" s="47"/>
      <c r="FR530" s="47"/>
    </row>
    <row r="531" spans="170:174" ht="11.25" customHeight="1">
      <c r="FN531" s="50"/>
      <c r="FO531" s="47"/>
      <c r="FP531" s="47"/>
      <c r="FQ531" s="47"/>
      <c r="FR531" s="47"/>
    </row>
    <row r="532" spans="170:174" ht="11.25" customHeight="1">
      <c r="FN532" s="50"/>
      <c r="FO532" s="47"/>
      <c r="FP532" s="47"/>
      <c r="FQ532" s="47"/>
      <c r="FR532" s="47"/>
    </row>
    <row r="533" spans="170:174" ht="11.25" customHeight="1">
      <c r="FN533" s="50"/>
      <c r="FO533" s="47"/>
      <c r="FP533" s="47"/>
      <c r="FQ533" s="47"/>
      <c r="FR533" s="47"/>
    </row>
    <row r="534" spans="170:174" ht="11.25" customHeight="1">
      <c r="FN534" s="50"/>
      <c r="FO534" s="47"/>
      <c r="FP534" s="47"/>
      <c r="FQ534" s="47"/>
      <c r="FR534" s="47"/>
    </row>
    <row r="535" spans="170:174" ht="11.25" customHeight="1">
      <c r="FN535" s="50"/>
      <c r="FO535" s="47"/>
      <c r="FP535" s="47"/>
      <c r="FQ535" s="47"/>
      <c r="FR535" s="47"/>
    </row>
    <row r="536" spans="170:174" ht="11.25" customHeight="1">
      <c r="FN536" s="50"/>
      <c r="FO536" s="47"/>
      <c r="FP536" s="47"/>
      <c r="FQ536" s="47"/>
      <c r="FR536" s="47"/>
    </row>
    <row r="537" spans="170:174" ht="11.25" customHeight="1">
      <c r="FN537" s="50"/>
      <c r="FO537" s="47"/>
      <c r="FP537" s="47"/>
      <c r="FQ537" s="47"/>
      <c r="FR537" s="47"/>
    </row>
    <row r="538" spans="170:174" ht="11.25" customHeight="1">
      <c r="FN538" s="50"/>
      <c r="FO538" s="47"/>
      <c r="FP538" s="47"/>
      <c r="FQ538" s="47"/>
      <c r="FR538" s="47"/>
    </row>
    <row r="539" spans="170:174" ht="11.25" customHeight="1">
      <c r="FN539" s="50"/>
      <c r="FO539" s="47"/>
      <c r="FP539" s="47"/>
      <c r="FQ539" s="47"/>
      <c r="FR539" s="47"/>
    </row>
    <row r="540" spans="170:174" ht="11.25" customHeight="1">
      <c r="FN540" s="50"/>
      <c r="FO540" s="47"/>
      <c r="FP540" s="47"/>
      <c r="FQ540" s="47"/>
      <c r="FR540" s="47"/>
    </row>
    <row r="541" spans="170:174" ht="11.25" customHeight="1">
      <c r="FN541" s="50"/>
      <c r="FO541" s="47"/>
      <c r="FP541" s="47"/>
      <c r="FQ541" s="47"/>
      <c r="FR541" s="47"/>
    </row>
    <row r="542" spans="170:174" ht="11.25" customHeight="1">
      <c r="FN542" s="50"/>
      <c r="FO542" s="47"/>
      <c r="FP542" s="47"/>
      <c r="FQ542" s="47"/>
      <c r="FR542" s="47"/>
    </row>
    <row r="543" spans="170:174" ht="11.25" customHeight="1">
      <c r="FN543" s="50"/>
      <c r="FO543" s="47"/>
      <c r="FP543" s="47"/>
      <c r="FQ543" s="47"/>
      <c r="FR543" s="47"/>
    </row>
    <row r="544" spans="170:174" ht="11.25" customHeight="1">
      <c r="FN544" s="50"/>
      <c r="FO544" s="47"/>
      <c r="FP544" s="47"/>
      <c r="FQ544" s="47"/>
      <c r="FR544" s="47"/>
    </row>
    <row r="545" spans="170:174" ht="11.25" customHeight="1">
      <c r="FN545" s="50"/>
      <c r="FO545" s="47"/>
      <c r="FP545" s="47"/>
      <c r="FQ545" s="47"/>
      <c r="FR545" s="47"/>
    </row>
    <row r="546" spans="170:174" ht="11.25" customHeight="1">
      <c r="FN546" s="50"/>
      <c r="FO546" s="47"/>
      <c r="FP546" s="47"/>
      <c r="FQ546" s="47"/>
      <c r="FR546" s="47"/>
    </row>
    <row r="547" spans="170:174" ht="11.25" customHeight="1">
      <c r="FN547" s="50"/>
      <c r="FO547" s="47"/>
      <c r="FP547" s="47"/>
      <c r="FQ547" s="47"/>
      <c r="FR547" s="47"/>
    </row>
    <row r="548" spans="170:174" ht="11.25" customHeight="1">
      <c r="FN548" s="50"/>
      <c r="FO548" s="47"/>
      <c r="FP548" s="47"/>
      <c r="FQ548" s="47"/>
      <c r="FR548" s="47"/>
    </row>
    <row r="549" spans="170:174" ht="11.25" customHeight="1">
      <c r="FN549" s="50"/>
      <c r="FO549" s="47"/>
      <c r="FP549" s="47"/>
      <c r="FQ549" s="47"/>
      <c r="FR549" s="47"/>
    </row>
    <row r="550" spans="170:174" ht="11.25" customHeight="1">
      <c r="FN550" s="50"/>
      <c r="FO550" s="47"/>
      <c r="FP550" s="47"/>
      <c r="FQ550" s="47"/>
      <c r="FR550" s="47"/>
    </row>
    <row r="551" spans="170:174" ht="11.25" customHeight="1">
      <c r="FN551" s="50"/>
      <c r="FO551" s="47"/>
      <c r="FP551" s="47"/>
      <c r="FQ551" s="47"/>
      <c r="FR551" s="47"/>
    </row>
    <row r="552" spans="170:174" ht="11.25" customHeight="1">
      <c r="FN552" s="50"/>
      <c r="FO552" s="47"/>
      <c r="FP552" s="47"/>
      <c r="FQ552" s="47"/>
      <c r="FR552" s="47"/>
    </row>
    <row r="553" spans="170:174" ht="11.25" customHeight="1">
      <c r="FN553" s="50"/>
      <c r="FO553" s="47"/>
      <c r="FP553" s="47"/>
      <c r="FQ553" s="47"/>
      <c r="FR553" s="47"/>
    </row>
    <row r="554" spans="170:174" ht="11.25" customHeight="1">
      <c r="FN554" s="50"/>
      <c r="FO554" s="47"/>
      <c r="FP554" s="47"/>
      <c r="FQ554" s="47"/>
      <c r="FR554" s="47"/>
    </row>
    <row r="555" spans="170:174" ht="11.25" customHeight="1">
      <c r="FN555" s="50"/>
      <c r="FO555" s="47"/>
      <c r="FP555" s="47"/>
      <c r="FQ555" s="47"/>
      <c r="FR555" s="47"/>
    </row>
    <row r="556" spans="170:174" ht="11.25" customHeight="1">
      <c r="FN556" s="50"/>
      <c r="FO556" s="47"/>
      <c r="FP556" s="47"/>
      <c r="FQ556" s="47"/>
      <c r="FR556" s="47"/>
    </row>
    <row r="557" spans="170:174" ht="11.25" customHeight="1">
      <c r="FN557" s="50"/>
      <c r="FO557" s="47"/>
      <c r="FP557" s="47"/>
      <c r="FQ557" s="47"/>
      <c r="FR557" s="47"/>
    </row>
    <row r="558" spans="170:174" ht="11.25" customHeight="1">
      <c r="FN558" s="50"/>
      <c r="FO558" s="47"/>
      <c r="FP558" s="47"/>
      <c r="FQ558" s="47"/>
      <c r="FR558" s="47"/>
    </row>
    <row r="559" spans="170:174" ht="11.25" customHeight="1">
      <c r="FN559" s="50"/>
      <c r="FO559" s="47"/>
      <c r="FP559" s="47"/>
      <c r="FQ559" s="47"/>
      <c r="FR559" s="47"/>
    </row>
    <row r="560" spans="170:174" ht="11.25" customHeight="1">
      <c r="FN560" s="50"/>
      <c r="FO560" s="47"/>
      <c r="FP560" s="47"/>
      <c r="FQ560" s="47"/>
      <c r="FR560" s="47"/>
    </row>
    <row r="561" spans="170:174" ht="11.25" customHeight="1">
      <c r="FN561" s="50"/>
      <c r="FO561" s="47"/>
      <c r="FP561" s="47"/>
      <c r="FQ561" s="47"/>
      <c r="FR561" s="47"/>
    </row>
    <row r="562" spans="170:174" ht="11.25" customHeight="1">
      <c r="FN562" s="50"/>
      <c r="FO562" s="47"/>
      <c r="FP562" s="47"/>
      <c r="FQ562" s="47"/>
      <c r="FR562" s="47"/>
    </row>
    <row r="563" spans="170:174" ht="11.25" customHeight="1">
      <c r="FN563" s="50"/>
      <c r="FO563" s="47"/>
      <c r="FP563" s="47"/>
      <c r="FQ563" s="47"/>
      <c r="FR563" s="47"/>
    </row>
    <row r="564" spans="170:174" ht="11.25" customHeight="1">
      <c r="FN564" s="50"/>
      <c r="FO564" s="47"/>
      <c r="FP564" s="47"/>
      <c r="FQ564" s="47"/>
      <c r="FR564" s="47"/>
    </row>
    <row r="565" spans="170:174" ht="11.25" customHeight="1">
      <c r="FN565" s="50"/>
      <c r="FO565" s="47"/>
      <c r="FP565" s="47"/>
      <c r="FQ565" s="47"/>
      <c r="FR565" s="47"/>
    </row>
    <row r="566" spans="170:174" ht="11.25" customHeight="1">
      <c r="FN566" s="50"/>
      <c r="FO566" s="47"/>
      <c r="FP566" s="47"/>
      <c r="FQ566" s="47"/>
      <c r="FR566" s="47"/>
    </row>
    <row r="567" spans="170:174" ht="11.25" customHeight="1">
      <c r="FN567" s="50"/>
      <c r="FO567" s="47"/>
      <c r="FP567" s="47"/>
      <c r="FQ567" s="47"/>
      <c r="FR567" s="47"/>
    </row>
    <row r="568" spans="170:174" ht="11.25" customHeight="1">
      <c r="FN568" s="50"/>
      <c r="FO568" s="47"/>
      <c r="FP568" s="47"/>
      <c r="FQ568" s="47"/>
      <c r="FR568" s="47"/>
    </row>
    <row r="569" spans="170:174" ht="11.25" customHeight="1">
      <c r="FN569" s="50"/>
      <c r="FO569" s="47"/>
      <c r="FP569" s="47"/>
      <c r="FQ569" s="47"/>
      <c r="FR569" s="47"/>
    </row>
    <row r="570" spans="170:174" ht="11.25" customHeight="1">
      <c r="FN570" s="50"/>
      <c r="FO570" s="47"/>
      <c r="FP570" s="47"/>
      <c r="FQ570" s="47"/>
      <c r="FR570" s="47"/>
    </row>
    <row r="571" spans="170:174" ht="11.25" customHeight="1">
      <c r="FN571" s="50"/>
      <c r="FO571" s="47"/>
      <c r="FP571" s="47"/>
      <c r="FQ571" s="47"/>
      <c r="FR571" s="47"/>
    </row>
    <row r="572" spans="170:174" ht="11.25" customHeight="1">
      <c r="FN572" s="50"/>
      <c r="FO572" s="47"/>
      <c r="FP572" s="47"/>
      <c r="FQ572" s="47"/>
      <c r="FR572" s="47"/>
    </row>
    <row r="573" spans="170:174" ht="11.25" customHeight="1">
      <c r="FN573" s="50"/>
      <c r="FO573" s="47"/>
      <c r="FP573" s="47"/>
      <c r="FQ573" s="47"/>
      <c r="FR573" s="47"/>
    </row>
    <row r="574" spans="170:174" ht="11.25" customHeight="1">
      <c r="FN574" s="50"/>
      <c r="FO574" s="47"/>
      <c r="FP574" s="47"/>
      <c r="FQ574" s="47"/>
      <c r="FR574" s="47"/>
    </row>
    <row r="575" spans="170:174" ht="11.25" customHeight="1">
      <c r="FN575" s="50"/>
      <c r="FO575" s="47"/>
      <c r="FP575" s="47"/>
      <c r="FQ575" s="47"/>
      <c r="FR575" s="47"/>
    </row>
    <row r="576" spans="170:174" ht="11.25" customHeight="1">
      <c r="FN576" s="50"/>
      <c r="FO576" s="47"/>
      <c r="FP576" s="47"/>
      <c r="FQ576" s="47"/>
      <c r="FR576" s="47"/>
    </row>
    <row r="577" spans="170:174" ht="11.25" customHeight="1">
      <c r="FN577" s="50"/>
      <c r="FO577" s="47"/>
      <c r="FP577" s="47"/>
      <c r="FQ577" s="47"/>
      <c r="FR577" s="47"/>
    </row>
    <row r="578" spans="170:174" ht="11.25" customHeight="1">
      <c r="FN578" s="50"/>
      <c r="FO578" s="47"/>
      <c r="FP578" s="47"/>
      <c r="FQ578" s="47"/>
      <c r="FR578" s="47"/>
    </row>
    <row r="579" spans="170:174" ht="11.25" customHeight="1">
      <c r="FN579" s="50"/>
      <c r="FO579" s="47"/>
      <c r="FP579" s="47"/>
      <c r="FQ579" s="47"/>
      <c r="FR579" s="47"/>
    </row>
    <row r="580" spans="170:174" ht="11.25" customHeight="1">
      <c r="FN580" s="50"/>
      <c r="FO580" s="47"/>
      <c r="FP580" s="47"/>
      <c r="FQ580" s="47"/>
      <c r="FR580" s="47"/>
    </row>
    <row r="581" spans="170:174" ht="11.25" customHeight="1">
      <c r="FN581" s="50"/>
      <c r="FO581" s="47"/>
      <c r="FP581" s="47"/>
      <c r="FQ581" s="47"/>
      <c r="FR581" s="47"/>
    </row>
    <row r="582" spans="170:174" ht="11.25" customHeight="1">
      <c r="FN582" s="50"/>
      <c r="FO582" s="47"/>
      <c r="FP582" s="47"/>
      <c r="FQ582" s="47"/>
      <c r="FR582" s="47"/>
    </row>
    <row r="583" spans="170:174" ht="11.25" customHeight="1">
      <c r="FN583" s="50"/>
      <c r="FO583" s="47"/>
      <c r="FP583" s="47"/>
      <c r="FQ583" s="47"/>
      <c r="FR583" s="47"/>
    </row>
    <row r="584" spans="170:174" ht="11.25" customHeight="1">
      <c r="FN584" s="50"/>
      <c r="FO584" s="47"/>
      <c r="FP584" s="47"/>
      <c r="FQ584" s="47"/>
      <c r="FR584" s="47"/>
    </row>
    <row r="585" spans="170:174" ht="11.25" customHeight="1">
      <c r="FN585" s="50"/>
      <c r="FO585" s="47"/>
      <c r="FP585" s="47"/>
      <c r="FQ585" s="47"/>
      <c r="FR585" s="47"/>
    </row>
    <row r="586" spans="170:174" ht="11.25" customHeight="1">
      <c r="FN586" s="50"/>
      <c r="FO586" s="47"/>
      <c r="FP586" s="47"/>
      <c r="FQ586" s="47"/>
      <c r="FR586" s="47"/>
    </row>
    <row r="587" spans="170:174" ht="11.25" customHeight="1">
      <c r="FN587" s="50"/>
      <c r="FO587" s="47"/>
      <c r="FP587" s="47"/>
      <c r="FQ587" s="47"/>
      <c r="FR587" s="47"/>
    </row>
    <row r="588" spans="170:174" ht="11.25" customHeight="1">
      <c r="FN588" s="50"/>
      <c r="FO588" s="47"/>
      <c r="FP588" s="47"/>
      <c r="FQ588" s="47"/>
      <c r="FR588" s="47"/>
    </row>
    <row r="589" spans="170:174" ht="11.25" customHeight="1">
      <c r="FN589" s="50"/>
      <c r="FO589" s="47"/>
      <c r="FP589" s="47"/>
      <c r="FQ589" s="47"/>
      <c r="FR589" s="47"/>
    </row>
    <row r="590" spans="170:174" ht="11.25" customHeight="1">
      <c r="FN590" s="50"/>
      <c r="FO590" s="47"/>
      <c r="FP590" s="47"/>
      <c r="FQ590" s="47"/>
      <c r="FR590" s="47"/>
    </row>
    <row r="591" spans="170:174" ht="11.25" customHeight="1">
      <c r="FN591" s="50"/>
      <c r="FO591" s="47"/>
      <c r="FP591" s="47"/>
      <c r="FQ591" s="47"/>
      <c r="FR591" s="47"/>
    </row>
    <row r="592" spans="170:174" ht="11.25" customHeight="1">
      <c r="FN592" s="50"/>
      <c r="FO592" s="47"/>
      <c r="FP592" s="47"/>
      <c r="FQ592" s="47"/>
      <c r="FR592" s="47"/>
    </row>
    <row r="593" spans="170:174" ht="11.25" customHeight="1">
      <c r="FN593" s="50"/>
      <c r="FO593" s="47"/>
      <c r="FP593" s="47"/>
      <c r="FQ593" s="47"/>
      <c r="FR593" s="47"/>
    </row>
    <row r="594" spans="170:174" ht="11.25" customHeight="1">
      <c r="FN594" s="50"/>
      <c r="FO594" s="47"/>
      <c r="FP594" s="47"/>
      <c r="FQ594" s="47"/>
      <c r="FR594" s="47"/>
    </row>
    <row r="595" spans="170:174" ht="11.25" customHeight="1">
      <c r="FN595" s="50"/>
      <c r="FO595" s="47"/>
      <c r="FP595" s="47"/>
      <c r="FQ595" s="47"/>
      <c r="FR595" s="47"/>
    </row>
    <row r="596" spans="170:174" ht="11.25" customHeight="1">
      <c r="FN596" s="50"/>
      <c r="FO596" s="47"/>
      <c r="FP596" s="47"/>
      <c r="FQ596" s="47"/>
      <c r="FR596" s="47"/>
    </row>
    <row r="597" spans="170:174" ht="11.25" customHeight="1">
      <c r="FN597" s="50"/>
      <c r="FO597" s="47"/>
      <c r="FP597" s="47"/>
      <c r="FQ597" s="47"/>
      <c r="FR597" s="47"/>
    </row>
    <row r="598" spans="170:174" ht="11.25" customHeight="1">
      <c r="FN598" s="50"/>
      <c r="FO598" s="47"/>
      <c r="FP598" s="47"/>
      <c r="FQ598" s="47"/>
      <c r="FR598" s="47"/>
    </row>
    <row r="599" spans="170:174" ht="11.25" customHeight="1">
      <c r="FN599" s="50"/>
      <c r="FO599" s="47"/>
      <c r="FP599" s="47"/>
      <c r="FQ599" s="47"/>
      <c r="FR599" s="47"/>
    </row>
    <row r="600" spans="170:174" ht="11.25" customHeight="1">
      <c r="FN600" s="50"/>
      <c r="FO600" s="47"/>
      <c r="FP600" s="47"/>
      <c r="FQ600" s="47"/>
      <c r="FR600" s="47"/>
    </row>
    <row r="601" spans="170:174" ht="11.25" customHeight="1">
      <c r="FN601" s="50"/>
      <c r="FO601" s="47"/>
      <c r="FP601" s="47"/>
      <c r="FQ601" s="47"/>
      <c r="FR601" s="47"/>
    </row>
    <row r="602" spans="170:174" ht="11.25" customHeight="1">
      <c r="FN602" s="50"/>
      <c r="FO602" s="47"/>
      <c r="FP602" s="47"/>
      <c r="FQ602" s="47"/>
      <c r="FR602" s="47"/>
    </row>
    <row r="603" spans="170:174" ht="11.25" customHeight="1">
      <c r="FN603" s="50"/>
      <c r="FO603" s="47"/>
      <c r="FP603" s="47"/>
      <c r="FQ603" s="47"/>
      <c r="FR603" s="47"/>
    </row>
    <row r="604" spans="170:174" ht="11.25" customHeight="1">
      <c r="FN604" s="50"/>
      <c r="FO604" s="47"/>
      <c r="FP604" s="47"/>
      <c r="FQ604" s="47"/>
      <c r="FR604" s="47"/>
    </row>
    <row r="605" spans="170:174" ht="11.25" customHeight="1">
      <c r="FN605" s="50"/>
      <c r="FO605" s="47"/>
      <c r="FP605" s="47"/>
      <c r="FQ605" s="47"/>
      <c r="FR605" s="47"/>
    </row>
    <row r="606" spans="170:174" ht="11.25" customHeight="1">
      <c r="FN606" s="50"/>
      <c r="FO606" s="47"/>
      <c r="FP606" s="47"/>
      <c r="FQ606" s="47"/>
      <c r="FR606" s="47"/>
    </row>
    <row r="607" spans="170:174" ht="11.25" customHeight="1">
      <c r="FN607" s="50"/>
      <c r="FO607" s="47"/>
      <c r="FP607" s="47"/>
      <c r="FQ607" s="47"/>
      <c r="FR607" s="47"/>
    </row>
    <row r="608" spans="170:174" ht="11.25" customHeight="1">
      <c r="FN608" s="50"/>
      <c r="FO608" s="47"/>
      <c r="FP608" s="47"/>
      <c r="FQ608" s="47"/>
      <c r="FR608" s="47"/>
    </row>
    <row r="609" spans="170:174" ht="11.25" customHeight="1">
      <c r="FN609" s="50"/>
      <c r="FO609" s="47"/>
      <c r="FP609" s="47"/>
      <c r="FQ609" s="47"/>
      <c r="FR609" s="47"/>
    </row>
    <row r="610" spans="170:174" ht="11.25" customHeight="1">
      <c r="FN610" s="50"/>
      <c r="FO610" s="47"/>
      <c r="FP610" s="47"/>
      <c r="FQ610" s="47"/>
      <c r="FR610" s="47"/>
    </row>
    <row r="611" spans="170:174" ht="11.25" customHeight="1">
      <c r="FN611" s="50"/>
      <c r="FO611" s="47"/>
      <c r="FP611" s="47"/>
      <c r="FQ611" s="47"/>
      <c r="FR611" s="47"/>
    </row>
    <row r="612" spans="170:174" ht="11.25" customHeight="1">
      <c r="FN612" s="50"/>
      <c r="FO612" s="47"/>
      <c r="FP612" s="47"/>
      <c r="FQ612" s="47"/>
      <c r="FR612" s="47"/>
    </row>
    <row r="613" spans="170:174" ht="11.25" customHeight="1">
      <c r="FN613" s="50"/>
      <c r="FO613" s="47"/>
      <c r="FP613" s="47"/>
      <c r="FQ613" s="47"/>
      <c r="FR613" s="47"/>
    </row>
    <row r="614" spans="170:174" ht="11.25" customHeight="1">
      <c r="FN614" s="50"/>
      <c r="FO614" s="47"/>
      <c r="FP614" s="47"/>
      <c r="FQ614" s="47"/>
      <c r="FR614" s="47"/>
    </row>
    <row r="615" spans="170:174" ht="11.25" customHeight="1">
      <c r="FN615" s="50"/>
      <c r="FO615" s="47"/>
      <c r="FP615" s="47"/>
      <c r="FQ615" s="47"/>
      <c r="FR615" s="47"/>
    </row>
    <row r="616" spans="170:174" ht="11.25" customHeight="1">
      <c r="FN616" s="50"/>
      <c r="FO616" s="47"/>
      <c r="FP616" s="47"/>
      <c r="FQ616" s="47"/>
      <c r="FR616" s="47"/>
    </row>
    <row r="617" spans="170:174" ht="11.25" customHeight="1">
      <c r="FN617" s="50"/>
      <c r="FO617" s="47"/>
      <c r="FP617" s="47"/>
      <c r="FQ617" s="47"/>
      <c r="FR617" s="47"/>
    </row>
    <row r="618" spans="170:174" ht="11.25" customHeight="1">
      <c r="FN618" s="50"/>
      <c r="FO618" s="47"/>
      <c r="FP618" s="47"/>
      <c r="FQ618" s="47"/>
      <c r="FR618" s="47"/>
    </row>
    <row r="619" spans="170:174" ht="11.25" customHeight="1">
      <c r="FN619" s="50"/>
      <c r="FO619" s="47"/>
      <c r="FP619" s="47"/>
      <c r="FQ619" s="47"/>
      <c r="FR619" s="47"/>
    </row>
    <row r="620" spans="170:174" ht="11.25" customHeight="1">
      <c r="FN620" s="50"/>
      <c r="FO620" s="47"/>
      <c r="FP620" s="47"/>
      <c r="FQ620" s="47"/>
      <c r="FR620" s="47"/>
    </row>
    <row r="621" spans="170:174" ht="11.25" customHeight="1">
      <c r="FN621" s="50"/>
      <c r="FO621" s="47"/>
      <c r="FP621" s="47"/>
      <c r="FQ621" s="47"/>
      <c r="FR621" s="47"/>
    </row>
    <row r="622" spans="170:174" ht="11.25" customHeight="1">
      <c r="FN622" s="50"/>
      <c r="FO622" s="47"/>
      <c r="FP622" s="47"/>
      <c r="FQ622" s="47"/>
      <c r="FR622" s="47"/>
    </row>
    <row r="623" spans="170:174" ht="11.25" customHeight="1">
      <c r="FN623" s="50"/>
      <c r="FO623" s="47"/>
      <c r="FP623" s="47"/>
      <c r="FQ623" s="47"/>
      <c r="FR623" s="47"/>
    </row>
    <row r="624" spans="170:174" ht="11.25" customHeight="1">
      <c r="FN624" s="50"/>
      <c r="FO624" s="47"/>
      <c r="FP624" s="47"/>
      <c r="FQ624" s="47"/>
      <c r="FR624" s="47"/>
    </row>
    <row r="625" spans="170:174" ht="11.25" customHeight="1">
      <c r="FN625" s="50"/>
      <c r="FO625" s="47"/>
      <c r="FP625" s="47"/>
      <c r="FQ625" s="47"/>
      <c r="FR625" s="47"/>
    </row>
    <row r="626" spans="170:174" ht="11.25" customHeight="1">
      <c r="FN626" s="50"/>
      <c r="FO626" s="47"/>
      <c r="FP626" s="47"/>
      <c r="FQ626" s="47"/>
      <c r="FR626" s="47"/>
    </row>
    <row r="627" spans="170:174" ht="11.25" customHeight="1">
      <c r="FN627" s="50"/>
      <c r="FO627" s="47"/>
      <c r="FP627" s="47"/>
      <c r="FQ627" s="47"/>
      <c r="FR627" s="47"/>
    </row>
    <row r="628" spans="170:174" ht="11.25" customHeight="1">
      <c r="FN628" s="50"/>
      <c r="FO628" s="47"/>
      <c r="FP628" s="47"/>
      <c r="FQ628" s="47"/>
      <c r="FR628" s="47"/>
    </row>
    <row r="629" spans="170:174" ht="11.25" customHeight="1">
      <c r="FN629" s="50"/>
      <c r="FO629" s="47"/>
      <c r="FP629" s="47"/>
      <c r="FQ629" s="47"/>
      <c r="FR629" s="47"/>
    </row>
    <row r="630" spans="170:174" ht="11.25" customHeight="1">
      <c r="FN630" s="50"/>
      <c r="FO630" s="47"/>
      <c r="FP630" s="47"/>
      <c r="FQ630" s="47"/>
      <c r="FR630" s="47"/>
    </row>
    <row r="631" spans="170:174" ht="11.25" customHeight="1">
      <c r="FN631" s="50"/>
      <c r="FO631" s="47"/>
      <c r="FP631" s="47"/>
      <c r="FQ631" s="47"/>
      <c r="FR631" s="47"/>
    </row>
    <row r="632" spans="170:174" ht="11.25" customHeight="1">
      <c r="FN632" s="50"/>
      <c r="FO632" s="47"/>
      <c r="FP632" s="47"/>
      <c r="FQ632" s="47"/>
      <c r="FR632" s="47"/>
    </row>
    <row r="633" spans="170:174" ht="11.25" customHeight="1">
      <c r="FN633" s="50"/>
      <c r="FO633" s="47"/>
      <c r="FP633" s="47"/>
      <c r="FQ633" s="47"/>
      <c r="FR633" s="47"/>
    </row>
    <row r="634" spans="170:174" ht="11.25" customHeight="1">
      <c r="FN634" s="50"/>
      <c r="FO634" s="47"/>
      <c r="FP634" s="47"/>
      <c r="FQ634" s="47"/>
      <c r="FR634" s="47"/>
    </row>
    <row r="635" spans="170:174" ht="11.25" customHeight="1">
      <c r="FN635" s="50"/>
      <c r="FO635" s="47"/>
      <c r="FP635" s="47"/>
      <c r="FQ635" s="47"/>
      <c r="FR635" s="47"/>
    </row>
    <row r="636" spans="170:174" ht="11.25" customHeight="1">
      <c r="FN636" s="50"/>
      <c r="FO636" s="47"/>
      <c r="FP636" s="47"/>
      <c r="FQ636" s="47"/>
      <c r="FR636" s="47"/>
    </row>
    <row r="637" spans="170:174" ht="11.25" customHeight="1">
      <c r="FN637" s="50"/>
      <c r="FO637" s="47"/>
      <c r="FP637" s="47"/>
      <c r="FQ637" s="47"/>
      <c r="FR637" s="47"/>
    </row>
    <row r="638" spans="170:174" ht="11.25" customHeight="1">
      <c r="FN638" s="50"/>
      <c r="FO638" s="47"/>
      <c r="FP638" s="47"/>
      <c r="FQ638" s="47"/>
      <c r="FR638" s="47"/>
    </row>
    <row r="639" spans="170:174" ht="11.25" customHeight="1">
      <c r="FN639" s="50"/>
      <c r="FO639" s="47"/>
      <c r="FP639" s="47"/>
      <c r="FQ639" s="47"/>
      <c r="FR639" s="47"/>
    </row>
    <row r="640" spans="170:174" ht="11.25" customHeight="1">
      <c r="FN640" s="50"/>
      <c r="FO640" s="47"/>
      <c r="FP640" s="47"/>
      <c r="FQ640" s="47"/>
      <c r="FR640" s="47"/>
    </row>
    <row r="641" spans="170:174" ht="11.25" customHeight="1">
      <c r="FN641" s="50"/>
      <c r="FO641" s="47"/>
      <c r="FP641" s="47"/>
      <c r="FQ641" s="47"/>
      <c r="FR641" s="47"/>
    </row>
    <row r="642" spans="170:174" ht="11.25" customHeight="1">
      <c r="FN642" s="50"/>
      <c r="FO642" s="47"/>
      <c r="FP642" s="47"/>
      <c r="FQ642" s="47"/>
      <c r="FR642" s="47"/>
    </row>
    <row r="643" spans="170:174" ht="11.25" customHeight="1">
      <c r="FN643" s="50"/>
      <c r="FO643" s="47"/>
      <c r="FP643" s="47"/>
      <c r="FQ643" s="47"/>
      <c r="FR643" s="47"/>
    </row>
    <row r="644" spans="170:174" ht="11.25" customHeight="1">
      <c r="FN644" s="50"/>
      <c r="FO644" s="47"/>
      <c r="FP644" s="47"/>
      <c r="FQ644" s="47"/>
      <c r="FR644" s="47"/>
    </row>
    <row r="645" spans="170:174" ht="11.25" customHeight="1">
      <c r="FN645" s="50"/>
      <c r="FO645" s="47"/>
      <c r="FP645" s="47"/>
      <c r="FQ645" s="47"/>
      <c r="FR645" s="47"/>
    </row>
    <row r="646" spans="170:174" ht="11.25" customHeight="1">
      <c r="FN646" s="50"/>
      <c r="FO646" s="47"/>
      <c r="FP646" s="47"/>
      <c r="FQ646" s="47"/>
      <c r="FR646" s="47"/>
    </row>
    <row r="647" spans="170:174" ht="11.25" customHeight="1">
      <c r="FN647" s="50"/>
      <c r="FO647" s="47"/>
      <c r="FP647" s="47"/>
      <c r="FQ647" s="47"/>
      <c r="FR647" s="47"/>
    </row>
    <row r="648" spans="170:174" ht="11.25" customHeight="1">
      <c r="FN648" s="50"/>
      <c r="FO648" s="47"/>
      <c r="FP648" s="47"/>
      <c r="FQ648" s="47"/>
      <c r="FR648" s="47"/>
    </row>
    <row r="649" spans="170:174" ht="11.25" customHeight="1">
      <c r="FN649" s="50"/>
      <c r="FO649" s="47"/>
      <c r="FP649" s="47"/>
      <c r="FQ649" s="47"/>
      <c r="FR649" s="47"/>
    </row>
    <row r="650" spans="170:174" ht="11.25" customHeight="1">
      <c r="FN650" s="50"/>
      <c r="FO650" s="47"/>
      <c r="FP650" s="47"/>
      <c r="FQ650" s="47"/>
      <c r="FR650" s="47"/>
    </row>
    <row r="651" spans="170:174" ht="11.25" customHeight="1">
      <c r="FN651" s="50"/>
      <c r="FO651" s="47"/>
      <c r="FP651" s="47"/>
      <c r="FQ651" s="47"/>
      <c r="FR651" s="47"/>
    </row>
    <row r="652" spans="170:174" ht="11.25" customHeight="1">
      <c r="FN652" s="50"/>
      <c r="FO652" s="47"/>
      <c r="FP652" s="47"/>
      <c r="FQ652" s="47"/>
      <c r="FR652" s="47"/>
    </row>
    <row r="653" spans="170:174" ht="11.25" customHeight="1">
      <c r="FN653" s="50"/>
      <c r="FO653" s="47"/>
      <c r="FP653" s="47"/>
      <c r="FQ653" s="47"/>
      <c r="FR653" s="47"/>
    </row>
    <row r="654" spans="170:174" ht="11.25" customHeight="1">
      <c r="FN654" s="50"/>
      <c r="FO654" s="47"/>
      <c r="FP654" s="47"/>
      <c r="FQ654" s="47"/>
      <c r="FR654" s="47"/>
    </row>
    <row r="655" spans="170:174" ht="11.25" customHeight="1">
      <c r="FN655" s="50"/>
      <c r="FO655" s="47"/>
      <c r="FP655" s="47"/>
      <c r="FQ655" s="47"/>
      <c r="FR655" s="47"/>
    </row>
    <row r="656" spans="170:174" ht="11.25" customHeight="1">
      <c r="FN656" s="50"/>
      <c r="FO656" s="47"/>
      <c r="FP656" s="47"/>
      <c r="FQ656" s="47"/>
      <c r="FR656" s="47"/>
    </row>
    <row r="657" spans="170:174" ht="11.25" customHeight="1">
      <c r="FN657" s="50"/>
      <c r="FO657" s="47"/>
      <c r="FP657" s="47"/>
      <c r="FQ657" s="47"/>
      <c r="FR657" s="47"/>
    </row>
    <row r="658" spans="170:174" ht="11.25" customHeight="1">
      <c r="FN658" s="50"/>
      <c r="FO658" s="47"/>
      <c r="FP658" s="47"/>
      <c r="FQ658" s="47"/>
      <c r="FR658" s="47"/>
    </row>
    <row r="659" spans="170:174" ht="11.25" customHeight="1">
      <c r="FN659" s="50"/>
      <c r="FO659" s="47"/>
      <c r="FP659" s="47"/>
      <c r="FQ659" s="47"/>
      <c r="FR659" s="47"/>
    </row>
    <row r="660" spans="170:174" ht="11.25" customHeight="1">
      <c r="FN660" s="50"/>
      <c r="FO660" s="47"/>
      <c r="FP660" s="47"/>
      <c r="FQ660" s="47"/>
      <c r="FR660" s="47"/>
    </row>
    <row r="661" spans="170:174" ht="11.25" customHeight="1">
      <c r="FN661" s="50"/>
      <c r="FO661" s="47"/>
      <c r="FP661" s="47"/>
      <c r="FQ661" s="47"/>
      <c r="FR661" s="47"/>
    </row>
    <row r="662" spans="170:174" ht="11.25" customHeight="1">
      <c r="FN662" s="50"/>
      <c r="FO662" s="47"/>
      <c r="FP662" s="47"/>
      <c r="FQ662" s="47"/>
      <c r="FR662" s="47"/>
    </row>
    <row r="663" spans="170:174" ht="11.25" customHeight="1">
      <c r="FN663" s="50"/>
      <c r="FO663" s="47"/>
      <c r="FP663" s="47"/>
      <c r="FQ663" s="47"/>
      <c r="FR663" s="47"/>
    </row>
    <row r="664" spans="170:174" ht="11.25" customHeight="1">
      <c r="FN664" s="50"/>
      <c r="FO664" s="47"/>
      <c r="FP664" s="47"/>
      <c r="FQ664" s="47"/>
      <c r="FR664" s="47"/>
    </row>
    <row r="665" spans="170:174" ht="11.25" customHeight="1">
      <c r="FN665" s="50"/>
      <c r="FO665" s="47"/>
      <c r="FP665" s="47"/>
      <c r="FQ665" s="47"/>
      <c r="FR665" s="47"/>
    </row>
    <row r="666" spans="170:174" ht="11.25" customHeight="1">
      <c r="FN666" s="50"/>
      <c r="FO666" s="47"/>
      <c r="FP666" s="47"/>
      <c r="FQ666" s="47"/>
      <c r="FR666" s="47"/>
    </row>
    <row r="667" spans="170:174" ht="11.25" customHeight="1">
      <c r="FN667" s="50"/>
      <c r="FO667" s="47"/>
      <c r="FP667" s="47"/>
      <c r="FQ667" s="47"/>
      <c r="FR667" s="47"/>
    </row>
    <row r="668" spans="170:174" ht="11.25" customHeight="1">
      <c r="FN668" s="50"/>
      <c r="FO668" s="47"/>
      <c r="FP668" s="47"/>
      <c r="FQ668" s="47"/>
      <c r="FR668" s="47"/>
    </row>
    <row r="669" spans="170:174" ht="11.25" customHeight="1">
      <c r="FN669" s="50"/>
      <c r="FO669" s="47"/>
      <c r="FP669" s="47"/>
      <c r="FQ669" s="47"/>
      <c r="FR669" s="47"/>
    </row>
    <row r="670" spans="170:174" ht="11.25" customHeight="1">
      <c r="FN670" s="50"/>
      <c r="FO670" s="47"/>
      <c r="FP670" s="47"/>
      <c r="FQ670" s="47"/>
      <c r="FR670" s="47"/>
    </row>
    <row r="671" spans="170:174" ht="11.25" customHeight="1">
      <c r="FN671" s="50"/>
      <c r="FO671" s="47"/>
      <c r="FP671" s="47"/>
      <c r="FQ671" s="47"/>
      <c r="FR671" s="47"/>
    </row>
    <row r="672" spans="170:174" ht="11.25" customHeight="1">
      <c r="FN672" s="50"/>
      <c r="FO672" s="47"/>
      <c r="FP672" s="47"/>
      <c r="FQ672" s="47"/>
      <c r="FR672" s="47"/>
    </row>
    <row r="673" spans="170:174" ht="11.25" customHeight="1">
      <c r="FN673" s="50"/>
      <c r="FO673" s="47"/>
      <c r="FP673" s="47"/>
      <c r="FQ673" s="47"/>
      <c r="FR673" s="47"/>
    </row>
    <row r="674" spans="170:174" ht="11.25" customHeight="1">
      <c r="FN674" s="50"/>
      <c r="FO674" s="47"/>
      <c r="FP674" s="47"/>
      <c r="FQ674" s="47"/>
      <c r="FR674" s="47"/>
    </row>
    <row r="675" spans="170:174" ht="11.25" customHeight="1">
      <c r="FN675" s="50"/>
      <c r="FO675" s="47"/>
      <c r="FP675" s="47"/>
      <c r="FQ675" s="47"/>
      <c r="FR675" s="47"/>
    </row>
    <row r="676" spans="170:174" ht="11.25" customHeight="1">
      <c r="FN676" s="50"/>
      <c r="FO676" s="47"/>
      <c r="FP676" s="47"/>
      <c r="FQ676" s="47"/>
      <c r="FR676" s="47"/>
    </row>
    <row r="677" spans="170:174" ht="11.25" customHeight="1">
      <c r="FN677" s="50"/>
      <c r="FO677" s="47"/>
      <c r="FP677" s="47"/>
      <c r="FQ677" s="47"/>
      <c r="FR677" s="47"/>
    </row>
    <row r="678" spans="170:174" ht="11.25" customHeight="1">
      <c r="FN678" s="50"/>
      <c r="FO678" s="47"/>
      <c r="FP678" s="47"/>
      <c r="FQ678" s="47"/>
      <c r="FR678" s="47"/>
    </row>
    <row r="679" spans="170:174" ht="11.25" customHeight="1">
      <c r="FN679" s="50"/>
      <c r="FO679" s="47"/>
      <c r="FP679" s="47"/>
      <c r="FQ679" s="47"/>
      <c r="FR679" s="47"/>
    </row>
    <row r="680" spans="170:174" ht="11.25" customHeight="1">
      <c r="FN680" s="50"/>
      <c r="FO680" s="47"/>
      <c r="FP680" s="47"/>
      <c r="FQ680" s="47"/>
      <c r="FR680" s="47"/>
    </row>
    <row r="681" spans="170:174" ht="11.25" customHeight="1">
      <c r="FN681" s="50"/>
      <c r="FO681" s="47"/>
      <c r="FP681" s="47"/>
      <c r="FQ681" s="47"/>
      <c r="FR681" s="47"/>
    </row>
    <row r="682" spans="170:174" ht="11.25" customHeight="1">
      <c r="FN682" s="50"/>
      <c r="FO682" s="47"/>
      <c r="FP682" s="47"/>
      <c r="FQ682" s="47"/>
      <c r="FR682" s="47"/>
    </row>
    <row r="683" spans="170:174" ht="11.25" customHeight="1">
      <c r="FN683" s="50"/>
      <c r="FO683" s="47"/>
      <c r="FP683" s="47"/>
      <c r="FQ683" s="47"/>
      <c r="FR683" s="47"/>
    </row>
    <row r="684" spans="170:174" ht="11.25" customHeight="1">
      <c r="FN684" s="50"/>
      <c r="FO684" s="47"/>
      <c r="FP684" s="47"/>
      <c r="FQ684" s="47"/>
      <c r="FR684" s="47"/>
    </row>
    <row r="685" spans="170:174" ht="11.25" customHeight="1">
      <c r="FN685" s="50"/>
      <c r="FO685" s="47"/>
      <c r="FP685" s="47"/>
      <c r="FQ685" s="47"/>
      <c r="FR685" s="47"/>
    </row>
    <row r="686" spans="170:174" ht="11.25" customHeight="1">
      <c r="FN686" s="50"/>
      <c r="FO686" s="47"/>
      <c r="FP686" s="47"/>
      <c r="FQ686" s="47"/>
      <c r="FR686" s="47"/>
    </row>
    <row r="687" spans="170:174" ht="11.25" customHeight="1">
      <c r="FN687" s="50"/>
      <c r="FO687" s="47"/>
      <c r="FP687" s="47"/>
      <c r="FQ687" s="47"/>
      <c r="FR687" s="47"/>
    </row>
    <row r="688" spans="170:174" ht="11.25" customHeight="1">
      <c r="FN688" s="50"/>
      <c r="FO688" s="47"/>
      <c r="FP688" s="47"/>
      <c r="FQ688" s="47"/>
      <c r="FR688" s="47"/>
    </row>
    <row r="689" spans="170:174" ht="11.25" customHeight="1">
      <c r="FN689" s="50"/>
      <c r="FO689" s="47"/>
      <c r="FP689" s="47"/>
      <c r="FQ689" s="47"/>
      <c r="FR689" s="47"/>
    </row>
    <row r="690" spans="170:174" ht="11.25" customHeight="1">
      <c r="FN690" s="50"/>
      <c r="FO690" s="47"/>
      <c r="FP690" s="47"/>
      <c r="FQ690" s="47"/>
      <c r="FR690" s="47"/>
    </row>
    <row r="691" spans="170:174" ht="11.25" customHeight="1">
      <c r="FN691" s="50"/>
      <c r="FO691" s="47"/>
      <c r="FP691" s="47"/>
      <c r="FQ691" s="47"/>
      <c r="FR691" s="47"/>
    </row>
    <row r="692" spans="170:174" ht="11.25" customHeight="1">
      <c r="FN692" s="50"/>
      <c r="FO692" s="47"/>
      <c r="FP692" s="47"/>
      <c r="FQ692" s="47"/>
      <c r="FR692" s="47"/>
    </row>
    <row r="693" spans="170:174" ht="11.25" customHeight="1">
      <c r="FN693" s="50"/>
      <c r="FO693" s="47"/>
      <c r="FP693" s="47"/>
      <c r="FQ693" s="47"/>
      <c r="FR693" s="47"/>
    </row>
    <row r="694" spans="170:174" ht="11.25" customHeight="1">
      <c r="FN694" s="50"/>
      <c r="FO694" s="47"/>
      <c r="FP694" s="47"/>
      <c r="FQ694" s="47"/>
      <c r="FR694" s="47"/>
    </row>
    <row r="695" spans="170:174" ht="11.25" customHeight="1">
      <c r="FN695" s="50"/>
      <c r="FO695" s="47"/>
      <c r="FP695" s="47"/>
      <c r="FQ695" s="47"/>
      <c r="FR695" s="47"/>
    </row>
    <row r="696" spans="170:174" ht="11.25" customHeight="1">
      <c r="FN696" s="50"/>
      <c r="FO696" s="47"/>
      <c r="FP696" s="47"/>
      <c r="FQ696" s="47"/>
      <c r="FR696" s="47"/>
    </row>
    <row r="697" spans="170:174" ht="11.25" customHeight="1">
      <c r="FN697" s="50"/>
      <c r="FO697" s="47"/>
      <c r="FP697" s="47"/>
      <c r="FQ697" s="47"/>
      <c r="FR697" s="47"/>
    </row>
    <row r="698" spans="170:174" ht="11.25" customHeight="1">
      <c r="FN698" s="50"/>
      <c r="FO698" s="47"/>
      <c r="FP698" s="47"/>
      <c r="FQ698" s="47"/>
      <c r="FR698" s="47"/>
    </row>
    <row r="699" spans="170:174" ht="11.25" customHeight="1">
      <c r="FN699" s="50"/>
      <c r="FO699" s="47"/>
      <c r="FP699" s="47"/>
      <c r="FQ699" s="47"/>
      <c r="FR699" s="47"/>
    </row>
    <row r="700" spans="170:174" ht="11.25" customHeight="1">
      <c r="FN700" s="50"/>
      <c r="FO700" s="47"/>
      <c r="FP700" s="47"/>
      <c r="FQ700" s="47"/>
      <c r="FR700" s="47"/>
    </row>
    <row r="701" spans="170:174" ht="11.25" customHeight="1">
      <c r="FN701" s="50"/>
      <c r="FO701" s="47"/>
      <c r="FP701" s="47"/>
      <c r="FQ701" s="47"/>
      <c r="FR701" s="47"/>
    </row>
    <row r="702" spans="170:174" ht="11.25" customHeight="1">
      <c r="FN702" s="50"/>
      <c r="FO702" s="47"/>
      <c r="FP702" s="47"/>
      <c r="FQ702" s="47"/>
      <c r="FR702" s="47"/>
    </row>
    <row r="703" spans="170:174" ht="11.25" customHeight="1">
      <c r="FN703" s="50"/>
      <c r="FO703" s="47"/>
      <c r="FP703" s="47"/>
      <c r="FQ703" s="47"/>
      <c r="FR703" s="47"/>
    </row>
    <row r="704" spans="170:174" ht="11.25" customHeight="1">
      <c r="FN704" s="50"/>
      <c r="FO704" s="47"/>
      <c r="FP704" s="47"/>
      <c r="FQ704" s="47"/>
      <c r="FR704" s="47"/>
    </row>
    <row r="705" spans="170:174" ht="11.25" customHeight="1">
      <c r="FN705" s="50"/>
      <c r="FO705" s="47"/>
      <c r="FP705" s="47"/>
      <c r="FQ705" s="47"/>
      <c r="FR705" s="47"/>
    </row>
    <row r="706" spans="170:174" ht="11.25" customHeight="1">
      <c r="FN706" s="50"/>
      <c r="FO706" s="47"/>
      <c r="FP706" s="47"/>
      <c r="FQ706" s="47"/>
      <c r="FR706" s="47"/>
    </row>
    <row r="707" spans="170:174" ht="11.25" customHeight="1">
      <c r="FN707" s="50"/>
      <c r="FO707" s="47"/>
      <c r="FP707" s="47"/>
      <c r="FQ707" s="47"/>
      <c r="FR707" s="47"/>
    </row>
    <row r="708" spans="170:174" ht="11.25" customHeight="1">
      <c r="FN708" s="50"/>
      <c r="FO708" s="47"/>
      <c r="FP708" s="47"/>
      <c r="FQ708" s="47"/>
      <c r="FR708" s="47"/>
    </row>
    <row r="709" spans="170:174" ht="11.25" customHeight="1">
      <c r="FN709" s="50"/>
      <c r="FO709" s="47"/>
      <c r="FP709" s="47"/>
      <c r="FQ709" s="47"/>
      <c r="FR709" s="47"/>
    </row>
    <row r="710" spans="170:174" ht="11.25" customHeight="1">
      <c r="FN710" s="50"/>
      <c r="FO710" s="47"/>
      <c r="FP710" s="47"/>
      <c r="FQ710" s="47"/>
      <c r="FR710" s="47"/>
    </row>
    <row r="711" spans="170:174" ht="11.25" customHeight="1">
      <c r="FN711" s="50"/>
      <c r="FO711" s="47"/>
      <c r="FP711" s="47"/>
      <c r="FQ711" s="47"/>
      <c r="FR711" s="47"/>
    </row>
    <row r="712" spans="170:174" ht="11.25" customHeight="1">
      <c r="FN712" s="50"/>
      <c r="FO712" s="47"/>
      <c r="FP712" s="47"/>
      <c r="FQ712" s="47"/>
      <c r="FR712" s="47"/>
    </row>
    <row r="713" spans="170:174" ht="11.25" customHeight="1">
      <c r="FN713" s="50"/>
      <c r="FO713" s="47"/>
      <c r="FP713" s="47"/>
      <c r="FQ713" s="47"/>
      <c r="FR713" s="47"/>
    </row>
    <row r="714" spans="170:174" ht="11.25" customHeight="1">
      <c r="FN714" s="50"/>
      <c r="FO714" s="47"/>
      <c r="FP714" s="47"/>
      <c r="FQ714" s="47"/>
      <c r="FR714" s="47"/>
    </row>
    <row r="715" spans="170:174" ht="11.25" customHeight="1">
      <c r="FN715" s="50"/>
      <c r="FO715" s="47"/>
      <c r="FP715" s="47"/>
      <c r="FQ715" s="47"/>
      <c r="FR715" s="47"/>
    </row>
    <row r="716" spans="170:174" ht="11.25" customHeight="1">
      <c r="FN716" s="50"/>
      <c r="FO716" s="47"/>
      <c r="FP716" s="47"/>
      <c r="FQ716" s="47"/>
      <c r="FR716" s="47"/>
    </row>
    <row r="717" spans="170:174" ht="11.25" customHeight="1">
      <c r="FN717" s="50"/>
      <c r="FO717" s="47"/>
      <c r="FP717" s="47"/>
      <c r="FQ717" s="47"/>
      <c r="FR717" s="47"/>
    </row>
    <row r="718" spans="170:174" ht="11.25" customHeight="1">
      <c r="FN718" s="50"/>
      <c r="FO718" s="47"/>
      <c r="FP718" s="47"/>
      <c r="FQ718" s="47"/>
      <c r="FR718" s="47"/>
    </row>
    <row r="719" spans="170:174" ht="11.25" customHeight="1">
      <c r="FN719" s="50"/>
      <c r="FO719" s="47"/>
      <c r="FP719" s="47"/>
      <c r="FQ719" s="47"/>
      <c r="FR719" s="47"/>
    </row>
    <row r="720" spans="170:174" ht="11.25" customHeight="1">
      <c r="FN720" s="50"/>
      <c r="FO720" s="47"/>
      <c r="FP720" s="47"/>
      <c r="FQ720" s="47"/>
      <c r="FR720" s="47"/>
    </row>
    <row r="721" spans="170:174" ht="11.25" customHeight="1">
      <c r="FN721" s="50"/>
      <c r="FO721" s="47"/>
      <c r="FP721" s="47"/>
      <c r="FQ721" s="47"/>
      <c r="FR721" s="47"/>
    </row>
    <row r="722" spans="170:174" ht="11.25" customHeight="1">
      <c r="FN722" s="50"/>
      <c r="FO722" s="47"/>
      <c r="FP722" s="47"/>
      <c r="FQ722" s="47"/>
      <c r="FR722" s="47"/>
    </row>
    <row r="723" spans="170:174" ht="11.25" customHeight="1">
      <c r="FN723" s="50"/>
      <c r="FO723" s="47"/>
      <c r="FP723" s="47"/>
      <c r="FQ723" s="47"/>
      <c r="FR723" s="47"/>
    </row>
    <row r="724" spans="170:174" ht="11.25" customHeight="1">
      <c r="FN724" s="50"/>
      <c r="FO724" s="47"/>
      <c r="FP724" s="47"/>
      <c r="FQ724" s="47"/>
      <c r="FR724" s="47"/>
    </row>
    <row r="725" spans="170:174" ht="11.25" customHeight="1">
      <c r="FN725" s="50"/>
      <c r="FO725" s="47"/>
      <c r="FP725" s="47"/>
      <c r="FQ725" s="47"/>
      <c r="FR725" s="47"/>
    </row>
    <row r="726" spans="170:174" ht="11.25" customHeight="1">
      <c r="FN726" s="50"/>
      <c r="FO726" s="47"/>
      <c r="FP726" s="47"/>
      <c r="FQ726" s="47"/>
      <c r="FR726" s="47"/>
    </row>
    <row r="727" spans="170:174" ht="11.25" customHeight="1">
      <c r="FN727" s="50"/>
      <c r="FO727" s="47"/>
      <c r="FP727" s="47"/>
      <c r="FQ727" s="47"/>
      <c r="FR727" s="47"/>
    </row>
    <row r="728" spans="170:174" ht="11.25" customHeight="1">
      <c r="FN728" s="50"/>
      <c r="FO728" s="47"/>
      <c r="FP728" s="47"/>
      <c r="FQ728" s="47"/>
      <c r="FR728" s="47"/>
    </row>
    <row r="729" spans="170:174" ht="11.25" customHeight="1">
      <c r="FN729" s="50"/>
      <c r="FO729" s="47"/>
      <c r="FP729" s="47"/>
      <c r="FQ729" s="47"/>
      <c r="FR729" s="47"/>
    </row>
    <row r="730" spans="170:174" ht="11.25" customHeight="1">
      <c r="FN730" s="50"/>
      <c r="FO730" s="47"/>
      <c r="FP730" s="47"/>
      <c r="FQ730" s="47"/>
      <c r="FR730" s="47"/>
    </row>
    <row r="731" spans="170:174" ht="11.25" customHeight="1">
      <c r="FN731" s="50"/>
      <c r="FO731" s="47"/>
      <c r="FP731" s="47"/>
      <c r="FQ731" s="47"/>
      <c r="FR731" s="47"/>
    </row>
    <row r="732" spans="170:174" ht="11.25" customHeight="1">
      <c r="FN732" s="50"/>
      <c r="FO732" s="47"/>
      <c r="FP732" s="47"/>
      <c r="FQ732" s="47"/>
      <c r="FR732" s="47"/>
    </row>
    <row r="733" spans="170:174" ht="11.25" customHeight="1">
      <c r="FN733" s="50"/>
      <c r="FO733" s="47"/>
      <c r="FP733" s="47"/>
      <c r="FQ733" s="47"/>
      <c r="FR733" s="47"/>
    </row>
    <row r="734" spans="170:174" ht="11.25" customHeight="1">
      <c r="FN734" s="50"/>
      <c r="FO734" s="47"/>
      <c r="FP734" s="47"/>
      <c r="FQ734" s="47"/>
      <c r="FR734" s="47"/>
    </row>
    <row r="735" spans="170:174" ht="11.25" customHeight="1">
      <c r="FN735" s="50"/>
      <c r="FO735" s="47"/>
      <c r="FP735" s="47"/>
      <c r="FQ735" s="47"/>
      <c r="FR735" s="47"/>
    </row>
    <row r="736" spans="170:174" ht="11.25" customHeight="1">
      <c r="FN736" s="50"/>
      <c r="FO736" s="47"/>
      <c r="FP736" s="47"/>
      <c r="FQ736" s="47"/>
      <c r="FR736" s="47"/>
    </row>
    <row r="737" spans="170:174" ht="11.25" customHeight="1">
      <c r="FN737" s="50"/>
      <c r="FO737" s="47"/>
      <c r="FP737" s="47"/>
      <c r="FQ737" s="47"/>
      <c r="FR737" s="47"/>
    </row>
    <row r="738" spans="170:174" ht="11.25" customHeight="1">
      <c r="FN738" s="50"/>
      <c r="FO738" s="47"/>
      <c r="FP738" s="47"/>
      <c r="FQ738" s="47"/>
      <c r="FR738" s="47"/>
    </row>
    <row r="739" spans="170:174" ht="11.25" customHeight="1">
      <c r="FN739" s="50"/>
      <c r="FO739" s="47"/>
      <c r="FP739" s="47"/>
      <c r="FQ739" s="47"/>
      <c r="FR739" s="47"/>
    </row>
    <row r="740" spans="170:174" ht="11.25" customHeight="1">
      <c r="FN740" s="50"/>
      <c r="FO740" s="47"/>
      <c r="FP740" s="47"/>
      <c r="FQ740" s="47"/>
      <c r="FR740" s="47"/>
    </row>
    <row r="741" spans="170:174" ht="11.25" customHeight="1">
      <c r="FN741" s="50"/>
      <c r="FO741" s="47"/>
      <c r="FP741" s="47"/>
      <c r="FQ741" s="47"/>
      <c r="FR741" s="47"/>
    </row>
    <row r="742" spans="170:174" ht="11.25" customHeight="1">
      <c r="FN742" s="50"/>
      <c r="FO742" s="47"/>
      <c r="FP742" s="47"/>
      <c r="FQ742" s="47"/>
      <c r="FR742" s="47"/>
    </row>
    <row r="743" spans="170:174" ht="11.25" customHeight="1">
      <c r="FN743" s="50"/>
      <c r="FO743" s="47"/>
      <c r="FP743" s="47"/>
      <c r="FQ743" s="47"/>
      <c r="FR743" s="47"/>
    </row>
    <row r="744" spans="170:174" ht="11.25" customHeight="1">
      <c r="FN744" s="50"/>
      <c r="FO744" s="47"/>
      <c r="FP744" s="47"/>
      <c r="FQ744" s="47"/>
      <c r="FR744" s="47"/>
    </row>
    <row r="745" spans="170:174" ht="11.25" customHeight="1">
      <c r="FN745" s="50"/>
      <c r="FO745" s="47"/>
      <c r="FP745" s="47"/>
      <c r="FQ745" s="47"/>
      <c r="FR745" s="47"/>
    </row>
    <row r="746" spans="170:174" ht="11.25" customHeight="1">
      <c r="FN746" s="50"/>
      <c r="FO746" s="47"/>
      <c r="FP746" s="47"/>
      <c r="FQ746" s="47"/>
      <c r="FR746" s="47"/>
    </row>
    <row r="747" spans="170:174" ht="11.25" customHeight="1">
      <c r="FN747" s="50"/>
      <c r="FO747" s="47"/>
      <c r="FP747" s="47"/>
      <c r="FQ747" s="47"/>
      <c r="FR747" s="47"/>
    </row>
    <row r="748" spans="170:174" ht="11.25" customHeight="1">
      <c r="FN748" s="50"/>
      <c r="FO748" s="47"/>
      <c r="FP748" s="47"/>
      <c r="FQ748" s="47"/>
      <c r="FR748" s="47"/>
    </row>
    <row r="749" spans="170:174" ht="11.25" customHeight="1">
      <c r="FN749" s="50"/>
      <c r="FO749" s="47"/>
      <c r="FP749" s="47"/>
      <c r="FQ749" s="47"/>
      <c r="FR749" s="47"/>
    </row>
    <row r="750" spans="170:174" ht="11.25" customHeight="1">
      <c r="FN750" s="50"/>
      <c r="FO750" s="47"/>
      <c r="FP750" s="47"/>
      <c r="FQ750" s="47"/>
      <c r="FR750" s="47"/>
    </row>
    <row r="751" spans="170:174" ht="11.25" customHeight="1">
      <c r="FN751" s="50"/>
      <c r="FO751" s="47"/>
      <c r="FP751" s="47"/>
      <c r="FQ751" s="47"/>
      <c r="FR751" s="47"/>
    </row>
    <row r="752" spans="170:174" ht="11.25" customHeight="1">
      <c r="FN752" s="50"/>
      <c r="FO752" s="47"/>
      <c r="FP752" s="47"/>
      <c r="FQ752" s="47"/>
      <c r="FR752" s="47"/>
    </row>
    <row r="753" spans="170:174" ht="11.25" customHeight="1">
      <c r="FN753" s="50"/>
      <c r="FO753" s="47"/>
      <c r="FP753" s="47"/>
      <c r="FQ753" s="47"/>
      <c r="FR753" s="47"/>
    </row>
    <row r="754" spans="170:174" ht="11.25" customHeight="1">
      <c r="FN754" s="50"/>
      <c r="FO754" s="47"/>
      <c r="FP754" s="47"/>
      <c r="FQ754" s="47"/>
      <c r="FR754" s="47"/>
    </row>
    <row r="755" spans="170:174" ht="11.25" customHeight="1">
      <c r="FN755" s="50"/>
      <c r="FO755" s="47"/>
      <c r="FP755" s="47"/>
      <c r="FQ755" s="47"/>
      <c r="FR755" s="47"/>
    </row>
    <row r="756" spans="170:174" ht="11.25" customHeight="1">
      <c r="FN756" s="50"/>
      <c r="FO756" s="47"/>
      <c r="FP756" s="47"/>
      <c r="FQ756" s="47"/>
      <c r="FR756" s="47"/>
    </row>
    <row r="757" spans="170:174" ht="11.25" customHeight="1">
      <c r="FN757" s="50"/>
      <c r="FO757" s="47"/>
      <c r="FP757" s="47"/>
      <c r="FQ757" s="47"/>
      <c r="FR757" s="47"/>
    </row>
    <row r="758" spans="170:174" ht="11.25" customHeight="1">
      <c r="FN758" s="50"/>
      <c r="FO758" s="47"/>
      <c r="FP758" s="47"/>
      <c r="FQ758" s="47"/>
      <c r="FR758" s="47"/>
    </row>
    <row r="759" spans="170:174" ht="11.25" customHeight="1">
      <c r="FN759" s="50"/>
      <c r="FO759" s="47"/>
      <c r="FP759" s="47"/>
      <c r="FQ759" s="47"/>
      <c r="FR759" s="47"/>
    </row>
    <row r="760" spans="170:174" ht="11.25" customHeight="1">
      <c r="FN760" s="50"/>
      <c r="FO760" s="47"/>
      <c r="FP760" s="47"/>
      <c r="FQ760" s="47"/>
      <c r="FR760" s="47"/>
    </row>
    <row r="761" spans="170:174" ht="11.25" customHeight="1">
      <c r="FN761" s="50"/>
      <c r="FO761" s="47"/>
      <c r="FP761" s="47"/>
      <c r="FQ761" s="47"/>
      <c r="FR761" s="47"/>
    </row>
    <row r="762" spans="170:174" ht="11.25" customHeight="1">
      <c r="FN762" s="50"/>
      <c r="FO762" s="47"/>
      <c r="FP762" s="47"/>
      <c r="FQ762" s="47"/>
      <c r="FR762" s="47"/>
    </row>
    <row r="763" spans="170:174" ht="11.25" customHeight="1">
      <c r="FN763" s="50"/>
      <c r="FO763" s="47"/>
      <c r="FP763" s="47"/>
      <c r="FQ763" s="47"/>
      <c r="FR763" s="47"/>
    </row>
    <row r="764" spans="170:174" ht="11.25" customHeight="1">
      <c r="FN764" s="50"/>
      <c r="FO764" s="47"/>
      <c r="FP764" s="47"/>
      <c r="FQ764" s="47"/>
      <c r="FR764" s="47"/>
    </row>
    <row r="765" spans="170:174" ht="11.25" customHeight="1">
      <c r="FN765" s="50"/>
      <c r="FO765" s="47"/>
      <c r="FP765" s="47"/>
      <c r="FQ765" s="47"/>
      <c r="FR765" s="47"/>
    </row>
    <row r="766" spans="170:174" ht="11.25" customHeight="1">
      <c r="FN766" s="50"/>
      <c r="FO766" s="47"/>
      <c r="FP766" s="47"/>
      <c r="FQ766" s="47"/>
      <c r="FR766" s="47"/>
    </row>
    <row r="767" spans="170:174" ht="11.25" customHeight="1">
      <c r="FN767" s="50"/>
      <c r="FO767" s="47"/>
      <c r="FP767" s="47"/>
      <c r="FQ767" s="47"/>
      <c r="FR767" s="47"/>
    </row>
    <row r="768" spans="170:174" ht="11.25" customHeight="1">
      <c r="FN768" s="50"/>
      <c r="FO768" s="47"/>
      <c r="FP768" s="47"/>
      <c r="FQ768" s="47"/>
      <c r="FR768" s="47"/>
    </row>
    <row r="769" spans="170:174" ht="11.25" customHeight="1">
      <c r="FN769" s="50"/>
      <c r="FO769" s="47"/>
      <c r="FP769" s="47"/>
      <c r="FQ769" s="47"/>
      <c r="FR769" s="47"/>
    </row>
    <row r="770" spans="170:174" ht="11.25" customHeight="1">
      <c r="FN770" s="50"/>
      <c r="FO770" s="47"/>
      <c r="FP770" s="47"/>
      <c r="FQ770" s="47"/>
      <c r="FR770" s="47"/>
    </row>
    <row r="771" spans="170:174" ht="11.25" customHeight="1">
      <c r="FN771" s="50"/>
      <c r="FO771" s="47"/>
      <c r="FP771" s="47"/>
      <c r="FQ771" s="47"/>
      <c r="FR771" s="47"/>
    </row>
    <row r="772" spans="170:174" ht="11.25" customHeight="1">
      <c r="FN772" s="50"/>
      <c r="FO772" s="47"/>
      <c r="FP772" s="47"/>
      <c r="FQ772" s="47"/>
      <c r="FR772" s="47"/>
    </row>
    <row r="773" spans="170:174" ht="11.25" customHeight="1">
      <c r="FN773" s="50"/>
      <c r="FO773" s="47"/>
      <c r="FP773" s="47"/>
      <c r="FQ773" s="47"/>
      <c r="FR773" s="47"/>
    </row>
    <row r="774" spans="170:174" ht="11.25" customHeight="1">
      <c r="FN774" s="50"/>
      <c r="FO774" s="47"/>
      <c r="FP774" s="47"/>
      <c r="FQ774" s="47"/>
      <c r="FR774" s="47"/>
    </row>
    <row r="775" spans="170:174" ht="11.25" customHeight="1">
      <c r="FN775" s="50"/>
      <c r="FO775" s="47"/>
      <c r="FP775" s="47"/>
      <c r="FQ775" s="47"/>
      <c r="FR775" s="47"/>
    </row>
    <row r="776" spans="170:174" ht="11.25" customHeight="1">
      <c r="FN776" s="50"/>
      <c r="FO776" s="47"/>
      <c r="FP776" s="47"/>
      <c r="FQ776" s="47"/>
      <c r="FR776" s="47"/>
    </row>
    <row r="777" spans="170:174" ht="11.25" customHeight="1">
      <c r="FN777" s="50"/>
      <c r="FO777" s="47"/>
      <c r="FP777" s="47"/>
      <c r="FQ777" s="47"/>
      <c r="FR777" s="47"/>
    </row>
    <row r="778" spans="170:174" ht="11.25" customHeight="1">
      <c r="FN778" s="50"/>
      <c r="FO778" s="47"/>
      <c r="FP778" s="47"/>
      <c r="FQ778" s="47"/>
      <c r="FR778" s="47"/>
    </row>
    <row r="779" spans="170:174" ht="11.25" customHeight="1">
      <c r="FN779" s="50"/>
      <c r="FO779" s="47"/>
      <c r="FP779" s="47"/>
      <c r="FQ779" s="47"/>
      <c r="FR779" s="47"/>
    </row>
    <row r="780" spans="170:174" ht="11.25" customHeight="1">
      <c r="FN780" s="50"/>
      <c r="FO780" s="47"/>
      <c r="FP780" s="47"/>
      <c r="FQ780" s="47"/>
      <c r="FR780" s="47"/>
    </row>
    <row r="781" spans="170:174" ht="11.25" customHeight="1">
      <c r="FN781" s="50"/>
      <c r="FO781" s="47"/>
      <c r="FP781" s="47"/>
      <c r="FQ781" s="47"/>
      <c r="FR781" s="47"/>
    </row>
    <row r="782" spans="170:174" ht="11.25" customHeight="1">
      <c r="FN782" s="50"/>
      <c r="FO782" s="47"/>
      <c r="FP782" s="47"/>
      <c r="FQ782" s="47"/>
      <c r="FR782" s="47"/>
    </row>
    <row r="783" spans="170:174" ht="11.25" customHeight="1">
      <c r="FN783" s="50"/>
      <c r="FO783" s="47"/>
      <c r="FP783" s="47"/>
      <c r="FQ783" s="47"/>
      <c r="FR783" s="47"/>
    </row>
    <row r="784" spans="170:174" ht="11.25" customHeight="1">
      <c r="FN784" s="50"/>
      <c r="FO784" s="47"/>
      <c r="FP784" s="47"/>
      <c r="FQ784" s="47"/>
      <c r="FR784" s="47"/>
    </row>
    <row r="785" spans="170:174" ht="11.25" customHeight="1">
      <c r="FN785" s="50"/>
      <c r="FO785" s="47"/>
      <c r="FP785" s="47"/>
      <c r="FQ785" s="47"/>
      <c r="FR785" s="47"/>
    </row>
    <row r="786" spans="170:174" ht="11.25" customHeight="1">
      <c r="FN786" s="50"/>
      <c r="FO786" s="47"/>
      <c r="FP786" s="47"/>
      <c r="FQ786" s="47"/>
      <c r="FR786" s="47"/>
    </row>
    <row r="787" spans="170:174" ht="11.25" customHeight="1">
      <c r="FN787" s="50"/>
      <c r="FO787" s="47"/>
      <c r="FP787" s="47"/>
      <c r="FQ787" s="47"/>
      <c r="FR787" s="47"/>
    </row>
    <row r="788" spans="170:174" ht="11.25" customHeight="1">
      <c r="FN788" s="50"/>
      <c r="FO788" s="47"/>
      <c r="FP788" s="47"/>
      <c r="FQ788" s="47"/>
      <c r="FR788" s="47"/>
    </row>
    <row r="789" spans="170:174" ht="11.25" customHeight="1">
      <c r="FN789" s="50"/>
      <c r="FO789" s="47"/>
      <c r="FP789" s="47"/>
      <c r="FQ789" s="47"/>
      <c r="FR789" s="47"/>
    </row>
    <row r="790" spans="170:174" ht="11.25" customHeight="1">
      <c r="FN790" s="50"/>
      <c r="FO790" s="47"/>
      <c r="FP790" s="47"/>
      <c r="FQ790" s="47"/>
      <c r="FR790" s="47"/>
    </row>
    <row r="791" spans="170:174" ht="11.25" customHeight="1">
      <c r="FN791" s="50"/>
      <c r="FO791" s="47"/>
      <c r="FP791" s="47"/>
      <c r="FQ791" s="47"/>
      <c r="FR791" s="47"/>
    </row>
    <row r="792" spans="170:174" ht="11.25" customHeight="1">
      <c r="FN792" s="50"/>
      <c r="FO792" s="47"/>
      <c r="FP792" s="47"/>
      <c r="FQ792" s="47"/>
      <c r="FR792" s="47"/>
    </row>
    <row r="793" spans="170:174" ht="11.25" customHeight="1">
      <c r="FN793" s="50"/>
      <c r="FO793" s="47"/>
      <c r="FP793" s="47"/>
      <c r="FQ793" s="47"/>
      <c r="FR793" s="47"/>
    </row>
    <row r="794" spans="170:174" ht="11.25" customHeight="1">
      <c r="FN794" s="50"/>
      <c r="FO794" s="47"/>
      <c r="FP794" s="47"/>
      <c r="FQ794" s="47"/>
      <c r="FR794" s="47"/>
    </row>
    <row r="795" spans="170:174" ht="11.25" customHeight="1">
      <c r="FN795" s="50"/>
      <c r="FO795" s="47"/>
      <c r="FP795" s="47"/>
      <c r="FQ795" s="47"/>
      <c r="FR795" s="47"/>
    </row>
    <row r="796" spans="170:174" ht="11.25" customHeight="1">
      <c r="FN796" s="50"/>
      <c r="FO796" s="47"/>
      <c r="FP796" s="47"/>
      <c r="FQ796" s="47"/>
      <c r="FR796" s="47"/>
    </row>
    <row r="797" spans="170:174" ht="11.25" customHeight="1">
      <c r="FN797" s="50"/>
      <c r="FO797" s="47"/>
      <c r="FP797" s="47"/>
      <c r="FQ797" s="47"/>
      <c r="FR797" s="47"/>
    </row>
    <row r="798" spans="170:174" ht="11.25" customHeight="1">
      <c r="FN798" s="50"/>
      <c r="FO798" s="47"/>
      <c r="FP798" s="47"/>
      <c r="FQ798" s="47"/>
      <c r="FR798" s="47"/>
    </row>
    <row r="799" spans="170:174" ht="11.25" customHeight="1">
      <c r="FN799" s="50"/>
      <c r="FO799" s="47"/>
      <c r="FP799" s="47"/>
      <c r="FQ799" s="47"/>
      <c r="FR799" s="47"/>
    </row>
    <row r="800" spans="170:174" ht="11.25" customHeight="1">
      <c r="FN800" s="50"/>
      <c r="FO800" s="47"/>
      <c r="FP800" s="47"/>
      <c r="FQ800" s="47"/>
      <c r="FR800" s="47"/>
    </row>
    <row r="801" spans="170:174" ht="11.25" customHeight="1">
      <c r="FN801" s="50"/>
      <c r="FO801" s="47"/>
      <c r="FP801" s="47"/>
      <c r="FQ801" s="47"/>
      <c r="FR801" s="47"/>
    </row>
    <row r="802" spans="170:174" ht="11.25" customHeight="1">
      <c r="FN802" s="50"/>
      <c r="FO802" s="47"/>
      <c r="FP802" s="47"/>
      <c r="FQ802" s="47"/>
      <c r="FR802" s="47"/>
    </row>
    <row r="803" spans="170:174" ht="11.25" customHeight="1">
      <c r="FN803" s="50"/>
      <c r="FO803" s="47"/>
      <c r="FP803" s="47"/>
      <c r="FQ803" s="47"/>
      <c r="FR803" s="47"/>
    </row>
    <row r="804" spans="170:174" ht="11.25" customHeight="1">
      <c r="FN804" s="50"/>
      <c r="FO804" s="47"/>
      <c r="FP804" s="47"/>
      <c r="FQ804" s="47"/>
      <c r="FR804" s="47"/>
    </row>
    <row r="805" spans="170:174" ht="11.25" customHeight="1">
      <c r="FN805" s="50"/>
      <c r="FO805" s="47"/>
      <c r="FP805" s="47"/>
      <c r="FQ805" s="47"/>
      <c r="FR805" s="47"/>
    </row>
    <row r="806" spans="170:174" ht="11.25" customHeight="1">
      <c r="FN806" s="50"/>
      <c r="FO806" s="47"/>
      <c r="FP806" s="47"/>
      <c r="FQ806" s="47"/>
      <c r="FR806" s="47"/>
    </row>
    <row r="807" spans="170:174" ht="11.25" customHeight="1">
      <c r="FN807" s="50"/>
      <c r="FO807" s="47"/>
      <c r="FP807" s="47"/>
      <c r="FQ807" s="47"/>
      <c r="FR807" s="47"/>
    </row>
    <row r="808" spans="170:174" ht="11.25" customHeight="1">
      <c r="FN808" s="50"/>
      <c r="FO808" s="47"/>
      <c r="FP808" s="47"/>
      <c r="FQ808" s="47"/>
      <c r="FR808" s="47"/>
    </row>
    <row r="809" spans="170:174" ht="11.25" customHeight="1">
      <c r="FN809" s="50"/>
      <c r="FO809" s="47"/>
      <c r="FP809" s="47"/>
      <c r="FQ809" s="47"/>
      <c r="FR809" s="47"/>
    </row>
    <row r="810" spans="170:174" ht="11.25" customHeight="1">
      <c r="FN810" s="50"/>
      <c r="FO810" s="47"/>
      <c r="FP810" s="47"/>
      <c r="FQ810" s="47"/>
      <c r="FR810" s="47"/>
    </row>
    <row r="811" spans="170:174" ht="11.25" customHeight="1">
      <c r="FN811" s="50"/>
      <c r="FO811" s="47"/>
      <c r="FP811" s="47"/>
      <c r="FQ811" s="47"/>
      <c r="FR811" s="47"/>
    </row>
    <row r="812" spans="170:174" ht="11.25" customHeight="1">
      <c r="FN812" s="50"/>
      <c r="FO812" s="47"/>
      <c r="FP812" s="47"/>
      <c r="FQ812" s="47"/>
      <c r="FR812" s="47"/>
    </row>
    <row r="813" spans="170:174" ht="11.25" customHeight="1">
      <c r="FN813" s="50"/>
      <c r="FO813" s="47"/>
      <c r="FP813" s="47"/>
      <c r="FQ813" s="47"/>
      <c r="FR813" s="47"/>
    </row>
    <row r="814" spans="170:174" ht="11.25" customHeight="1">
      <c r="FN814" s="50"/>
      <c r="FO814" s="47"/>
      <c r="FP814" s="47"/>
      <c r="FQ814" s="47"/>
      <c r="FR814" s="47"/>
    </row>
    <row r="815" spans="170:174" ht="11.25" customHeight="1">
      <c r="FN815" s="50"/>
      <c r="FO815" s="47"/>
      <c r="FP815" s="47"/>
      <c r="FQ815" s="47"/>
      <c r="FR815" s="47"/>
    </row>
    <row r="816" spans="170:174" ht="11.25" customHeight="1">
      <c r="FN816" s="50"/>
      <c r="FO816" s="47"/>
      <c r="FP816" s="47"/>
      <c r="FQ816" s="47"/>
      <c r="FR816" s="47"/>
    </row>
    <row r="817" spans="170:174" ht="11.25" customHeight="1">
      <c r="FN817" s="50"/>
      <c r="FO817" s="47"/>
      <c r="FP817" s="47"/>
      <c r="FQ817" s="47"/>
      <c r="FR817" s="47"/>
    </row>
    <row r="818" spans="170:174" ht="11.25" customHeight="1">
      <c r="FN818" s="50"/>
      <c r="FO818" s="47"/>
      <c r="FP818" s="47"/>
      <c r="FQ818" s="47"/>
      <c r="FR818" s="47"/>
    </row>
    <row r="819" spans="170:174" ht="11.25" customHeight="1">
      <c r="FN819" s="50"/>
      <c r="FO819" s="47"/>
      <c r="FP819" s="47"/>
      <c r="FQ819" s="47"/>
      <c r="FR819" s="47"/>
    </row>
    <row r="820" spans="170:174" ht="11.25" customHeight="1">
      <c r="FN820" s="50"/>
      <c r="FO820" s="47"/>
      <c r="FP820" s="47"/>
      <c r="FQ820" s="47"/>
      <c r="FR820" s="47"/>
    </row>
    <row r="821" spans="170:174" ht="11.25" customHeight="1">
      <c r="FN821" s="50"/>
      <c r="FO821" s="47"/>
      <c r="FP821" s="47"/>
      <c r="FQ821" s="47"/>
      <c r="FR821" s="47"/>
    </row>
    <row r="822" spans="170:174" ht="11.25" customHeight="1">
      <c r="FN822" s="50"/>
      <c r="FO822" s="47"/>
      <c r="FP822" s="47"/>
      <c r="FQ822" s="47"/>
      <c r="FR822" s="47"/>
    </row>
    <row r="823" spans="170:174" ht="11.25" customHeight="1">
      <c r="FN823" s="50"/>
      <c r="FO823" s="47"/>
      <c r="FP823" s="47"/>
      <c r="FQ823" s="47"/>
      <c r="FR823" s="47"/>
    </row>
    <row r="824" spans="170:174" ht="11.25" customHeight="1">
      <c r="FN824" s="50"/>
      <c r="FO824" s="47"/>
      <c r="FP824" s="47"/>
      <c r="FQ824" s="47"/>
      <c r="FR824" s="47"/>
    </row>
    <row r="825" spans="170:174" ht="11.25" customHeight="1">
      <c r="FN825" s="50"/>
      <c r="FO825" s="47"/>
      <c r="FP825" s="47"/>
      <c r="FQ825" s="47"/>
      <c r="FR825" s="47"/>
    </row>
    <row r="826" spans="170:174" ht="11.25" customHeight="1">
      <c r="FN826" s="50"/>
      <c r="FO826" s="47"/>
      <c r="FP826" s="47"/>
      <c r="FQ826" s="47"/>
      <c r="FR826" s="47"/>
    </row>
    <row r="827" spans="170:174" ht="11.25" customHeight="1">
      <c r="FN827" s="50"/>
      <c r="FO827" s="47"/>
      <c r="FP827" s="47"/>
      <c r="FQ827" s="47"/>
      <c r="FR827" s="47"/>
    </row>
    <row r="828" spans="170:174" ht="11.25" customHeight="1">
      <c r="FN828" s="50"/>
      <c r="FO828" s="47"/>
      <c r="FP828" s="47"/>
      <c r="FQ828" s="47"/>
      <c r="FR828" s="47"/>
    </row>
    <row r="829" spans="170:174" ht="11.25" customHeight="1">
      <c r="FN829" s="50"/>
      <c r="FO829" s="47"/>
      <c r="FP829" s="47"/>
      <c r="FQ829" s="47"/>
      <c r="FR829" s="47"/>
    </row>
    <row r="830" spans="170:174" ht="11.25" customHeight="1">
      <c r="FN830" s="50"/>
      <c r="FO830" s="47"/>
      <c r="FP830" s="47"/>
      <c r="FQ830" s="47"/>
      <c r="FR830" s="47"/>
    </row>
    <row r="831" spans="170:174" ht="11.25" customHeight="1">
      <c r="FN831" s="50"/>
      <c r="FO831" s="47"/>
      <c r="FP831" s="47"/>
      <c r="FQ831" s="47"/>
      <c r="FR831" s="47"/>
    </row>
    <row r="832" spans="170:174" ht="11.25" customHeight="1">
      <c r="FN832" s="50"/>
      <c r="FO832" s="47"/>
      <c r="FP832" s="47"/>
      <c r="FQ832" s="47"/>
      <c r="FR832" s="47"/>
    </row>
    <row r="833" spans="170:174" ht="11.25" customHeight="1">
      <c r="FN833" s="50"/>
      <c r="FO833" s="47"/>
      <c r="FP833" s="47"/>
      <c r="FQ833" s="47"/>
      <c r="FR833" s="47"/>
    </row>
    <row r="834" spans="170:174" ht="11.25" customHeight="1">
      <c r="FN834" s="50"/>
      <c r="FO834" s="47"/>
      <c r="FP834" s="47"/>
      <c r="FQ834" s="47"/>
      <c r="FR834" s="47"/>
    </row>
    <row r="835" spans="170:174" ht="11.25" customHeight="1">
      <c r="FN835" s="50"/>
      <c r="FO835" s="47"/>
      <c r="FP835" s="47"/>
      <c r="FQ835" s="47"/>
      <c r="FR835" s="47"/>
    </row>
    <row r="836" spans="170:174" ht="11.25" customHeight="1">
      <c r="FN836" s="50"/>
      <c r="FO836" s="47"/>
      <c r="FP836" s="47"/>
      <c r="FQ836" s="47"/>
      <c r="FR836" s="47"/>
    </row>
    <row r="837" spans="170:174" ht="11.25" customHeight="1">
      <c r="FN837" s="50"/>
      <c r="FO837" s="47"/>
      <c r="FP837" s="47"/>
      <c r="FQ837" s="47"/>
      <c r="FR837" s="47"/>
    </row>
    <row r="838" spans="170:174" ht="11.25" customHeight="1">
      <c r="FN838" s="50"/>
      <c r="FO838" s="47"/>
      <c r="FP838" s="47"/>
      <c r="FQ838" s="47"/>
      <c r="FR838" s="47"/>
    </row>
    <row r="839" spans="170:174" ht="11.25" customHeight="1">
      <c r="FN839" s="50"/>
      <c r="FO839" s="47"/>
      <c r="FP839" s="47"/>
      <c r="FQ839" s="47"/>
      <c r="FR839" s="47"/>
    </row>
    <row r="840" spans="170:174" ht="11.25" customHeight="1">
      <c r="FN840" s="50"/>
      <c r="FO840" s="47"/>
      <c r="FP840" s="47"/>
      <c r="FQ840" s="47"/>
      <c r="FR840" s="47"/>
    </row>
    <row r="841" spans="170:174" ht="11.25" customHeight="1">
      <c r="FN841" s="50"/>
      <c r="FO841" s="47"/>
      <c r="FP841" s="47"/>
      <c r="FQ841" s="47"/>
      <c r="FR841" s="47"/>
    </row>
    <row r="842" spans="170:174" ht="11.25" customHeight="1">
      <c r="FN842" s="50"/>
      <c r="FO842" s="47"/>
      <c r="FP842" s="47"/>
      <c r="FQ842" s="47"/>
      <c r="FR842" s="47"/>
    </row>
    <row r="843" spans="170:174" ht="11.25" customHeight="1">
      <c r="FN843" s="50"/>
      <c r="FO843" s="47"/>
      <c r="FP843" s="47"/>
      <c r="FQ843" s="47"/>
      <c r="FR843" s="47"/>
    </row>
    <row r="844" spans="170:174" ht="11.25" customHeight="1">
      <c r="FN844" s="50"/>
      <c r="FO844" s="47"/>
      <c r="FP844" s="47"/>
      <c r="FQ844" s="47"/>
      <c r="FR844" s="47"/>
    </row>
    <row r="845" spans="170:174" ht="11.25" customHeight="1">
      <c r="FN845" s="50"/>
      <c r="FO845" s="47"/>
      <c r="FP845" s="47"/>
      <c r="FQ845" s="47"/>
      <c r="FR845" s="47"/>
    </row>
    <row r="846" spans="170:174" ht="11.25" customHeight="1">
      <c r="FN846" s="50"/>
      <c r="FO846" s="47"/>
      <c r="FP846" s="47"/>
      <c r="FQ846" s="47"/>
      <c r="FR846" s="47"/>
    </row>
    <row r="847" spans="170:174" ht="11.25" customHeight="1">
      <c r="FN847" s="50"/>
      <c r="FO847" s="47"/>
      <c r="FP847" s="47"/>
      <c r="FQ847" s="47"/>
      <c r="FR847" s="47"/>
    </row>
    <row r="848" spans="170:174" ht="11.25" customHeight="1">
      <c r="FN848" s="50"/>
      <c r="FO848" s="47"/>
      <c r="FP848" s="47"/>
      <c r="FQ848" s="47"/>
      <c r="FR848" s="47"/>
    </row>
    <row r="849" spans="170:174" ht="11.25" customHeight="1">
      <c r="FN849" s="50"/>
      <c r="FO849" s="47"/>
      <c r="FP849" s="47"/>
      <c r="FQ849" s="47"/>
      <c r="FR849" s="47"/>
    </row>
    <row r="850" spans="170:174" ht="11.25" customHeight="1">
      <c r="FN850" s="50"/>
      <c r="FO850" s="47"/>
      <c r="FP850" s="47"/>
      <c r="FQ850" s="47"/>
      <c r="FR850" s="47"/>
    </row>
    <row r="851" spans="170:174" ht="11.25" customHeight="1">
      <c r="FN851" s="50"/>
      <c r="FO851" s="47"/>
      <c r="FP851" s="47"/>
      <c r="FQ851" s="47"/>
      <c r="FR851" s="47"/>
    </row>
    <row r="852" spans="170:174" ht="11.25" customHeight="1">
      <c r="FN852" s="50"/>
      <c r="FO852" s="47"/>
      <c r="FP852" s="47"/>
      <c r="FQ852" s="47"/>
      <c r="FR852" s="47"/>
    </row>
    <row r="853" spans="170:174" ht="11.25" customHeight="1">
      <c r="FN853" s="50"/>
      <c r="FO853" s="47"/>
      <c r="FP853" s="47"/>
      <c r="FQ853" s="47"/>
      <c r="FR853" s="47"/>
    </row>
    <row r="854" spans="170:174" ht="11.25" customHeight="1">
      <c r="FN854" s="50"/>
      <c r="FO854" s="47"/>
      <c r="FP854" s="47"/>
      <c r="FQ854" s="47"/>
      <c r="FR854" s="47"/>
    </row>
    <row r="855" spans="170:174" ht="11.25" customHeight="1">
      <c r="FN855" s="50"/>
      <c r="FO855" s="47"/>
      <c r="FP855" s="47"/>
      <c r="FQ855" s="47"/>
      <c r="FR855" s="47"/>
    </row>
    <row r="856" spans="170:174" ht="11.25" customHeight="1">
      <c r="FN856" s="50"/>
      <c r="FO856" s="47"/>
      <c r="FP856" s="47"/>
      <c r="FQ856" s="47"/>
      <c r="FR856" s="47"/>
    </row>
    <row r="857" spans="170:174" ht="11.25" customHeight="1">
      <c r="FN857" s="50"/>
      <c r="FO857" s="47"/>
      <c r="FP857" s="47"/>
      <c r="FQ857" s="47"/>
      <c r="FR857" s="47"/>
    </row>
    <row r="858" spans="170:174" ht="11.25" customHeight="1">
      <c r="FN858" s="50"/>
      <c r="FO858" s="47"/>
      <c r="FP858" s="47"/>
      <c r="FQ858" s="47"/>
      <c r="FR858" s="47"/>
    </row>
    <row r="859" spans="170:174" ht="11.25" customHeight="1">
      <c r="FN859" s="50"/>
      <c r="FO859" s="47"/>
      <c r="FP859" s="47"/>
      <c r="FQ859" s="47"/>
      <c r="FR859" s="47"/>
    </row>
    <row r="860" spans="170:174" ht="11.25" customHeight="1">
      <c r="FN860" s="50"/>
      <c r="FO860" s="47"/>
      <c r="FP860" s="47"/>
      <c r="FQ860" s="47"/>
      <c r="FR860" s="47"/>
    </row>
    <row r="861" spans="170:174" ht="11.25" customHeight="1">
      <c r="FN861" s="50"/>
      <c r="FO861" s="47"/>
      <c r="FP861" s="47"/>
      <c r="FQ861" s="47"/>
      <c r="FR861" s="47"/>
    </row>
    <row r="862" spans="170:174" ht="11.25" customHeight="1">
      <c r="FN862" s="50"/>
      <c r="FO862" s="47"/>
      <c r="FP862" s="47"/>
      <c r="FQ862" s="47"/>
      <c r="FR862" s="47"/>
    </row>
    <row r="863" spans="170:174" ht="11.25" customHeight="1">
      <c r="FN863" s="50"/>
      <c r="FO863" s="47"/>
      <c r="FP863" s="47"/>
      <c r="FQ863" s="47"/>
      <c r="FR863" s="47"/>
    </row>
    <row r="864" spans="170:174" ht="11.25" customHeight="1">
      <c r="FN864" s="50"/>
      <c r="FO864" s="47"/>
      <c r="FP864" s="47"/>
      <c r="FQ864" s="47"/>
      <c r="FR864" s="47"/>
    </row>
    <row r="865" spans="170:174" ht="11.25" customHeight="1">
      <c r="FN865" s="50"/>
      <c r="FO865" s="47"/>
      <c r="FP865" s="47"/>
      <c r="FQ865" s="47"/>
      <c r="FR865" s="47"/>
    </row>
    <row r="866" spans="170:174" ht="11.25" customHeight="1">
      <c r="FN866" s="50"/>
      <c r="FO866" s="47"/>
      <c r="FP866" s="47"/>
      <c r="FQ866" s="47"/>
      <c r="FR866" s="47"/>
    </row>
    <row r="867" spans="170:174" ht="11.25" customHeight="1">
      <c r="FN867" s="50"/>
      <c r="FO867" s="47"/>
      <c r="FP867" s="47"/>
      <c r="FQ867" s="47"/>
      <c r="FR867" s="47"/>
    </row>
    <row r="868" spans="170:174" ht="11.25" customHeight="1">
      <c r="FN868" s="50"/>
      <c r="FO868" s="47"/>
      <c r="FP868" s="47"/>
      <c r="FQ868" s="47"/>
      <c r="FR868" s="47"/>
    </row>
    <row r="869" spans="170:174" ht="11.25" customHeight="1">
      <c r="FN869" s="50"/>
      <c r="FO869" s="47"/>
      <c r="FP869" s="47"/>
      <c r="FQ869" s="47"/>
      <c r="FR869" s="47"/>
    </row>
    <row r="870" spans="170:174" ht="11.25" customHeight="1">
      <c r="FN870" s="50"/>
      <c r="FO870" s="47"/>
      <c r="FP870" s="47"/>
      <c r="FQ870" s="47"/>
      <c r="FR870" s="47"/>
    </row>
    <row r="871" spans="170:174" ht="11.25" customHeight="1">
      <c r="FN871" s="50"/>
      <c r="FO871" s="47"/>
      <c r="FP871" s="47"/>
      <c r="FQ871" s="47"/>
      <c r="FR871" s="47"/>
    </row>
    <row r="872" spans="170:174" ht="11.25" customHeight="1">
      <c r="FN872" s="50"/>
      <c r="FO872" s="47"/>
      <c r="FP872" s="47"/>
      <c r="FQ872" s="47"/>
      <c r="FR872" s="47"/>
    </row>
    <row r="873" spans="170:174" ht="11.25" customHeight="1">
      <c r="FN873" s="50"/>
      <c r="FO873" s="47"/>
      <c r="FP873" s="47"/>
      <c r="FQ873" s="47"/>
      <c r="FR873" s="47"/>
    </row>
    <row r="874" spans="170:174" ht="11.25" customHeight="1">
      <c r="FN874" s="50"/>
      <c r="FO874" s="47"/>
      <c r="FP874" s="47"/>
      <c r="FQ874" s="47"/>
      <c r="FR874" s="47"/>
    </row>
    <row r="875" spans="170:174" ht="11.25" customHeight="1">
      <c r="FN875" s="50"/>
      <c r="FO875" s="47"/>
      <c r="FP875" s="47"/>
      <c r="FQ875" s="47"/>
      <c r="FR875" s="47"/>
    </row>
    <row r="876" spans="170:174" ht="11.25" customHeight="1">
      <c r="FN876" s="50"/>
      <c r="FO876" s="47"/>
      <c r="FP876" s="47"/>
      <c r="FQ876" s="47"/>
      <c r="FR876" s="47"/>
    </row>
    <row r="877" spans="170:174" ht="11.25" customHeight="1">
      <c r="FN877" s="50"/>
      <c r="FO877" s="47"/>
      <c r="FP877" s="47"/>
      <c r="FQ877" s="47"/>
      <c r="FR877" s="47"/>
    </row>
    <row r="878" spans="170:174" ht="11.25" customHeight="1">
      <c r="FN878" s="50"/>
      <c r="FO878" s="47"/>
      <c r="FP878" s="47"/>
      <c r="FQ878" s="47"/>
      <c r="FR878" s="47"/>
    </row>
    <row r="879" spans="170:174" ht="11.25" customHeight="1">
      <c r="FN879" s="50"/>
      <c r="FO879" s="47"/>
      <c r="FP879" s="47"/>
      <c r="FQ879" s="47"/>
      <c r="FR879" s="47"/>
    </row>
    <row r="880" spans="170:174" ht="11.25" customHeight="1">
      <c r="FN880" s="50"/>
      <c r="FO880" s="47"/>
      <c r="FP880" s="47"/>
      <c r="FQ880" s="47"/>
      <c r="FR880" s="47"/>
    </row>
    <row r="881" spans="170:174" ht="11.25" customHeight="1">
      <c r="FN881" s="50"/>
      <c r="FO881" s="47"/>
      <c r="FP881" s="47"/>
      <c r="FQ881" s="47"/>
      <c r="FR881" s="47"/>
    </row>
    <row r="882" spans="170:174" ht="11.25" customHeight="1">
      <c r="FN882" s="50"/>
      <c r="FO882" s="47"/>
      <c r="FP882" s="47"/>
      <c r="FQ882" s="47"/>
      <c r="FR882" s="47"/>
    </row>
    <row r="883" spans="170:174" ht="11.25" customHeight="1">
      <c r="FN883" s="50"/>
      <c r="FO883" s="47"/>
      <c r="FP883" s="47"/>
      <c r="FQ883" s="47"/>
      <c r="FR883" s="47"/>
    </row>
    <row r="884" spans="170:174" ht="11.25" customHeight="1">
      <c r="FN884" s="50"/>
      <c r="FO884" s="47"/>
      <c r="FP884" s="47"/>
      <c r="FQ884" s="47"/>
      <c r="FR884" s="47"/>
    </row>
    <row r="885" spans="170:174" ht="11.25" customHeight="1">
      <c r="FN885" s="50"/>
      <c r="FO885" s="47"/>
      <c r="FP885" s="47"/>
      <c r="FQ885" s="47"/>
      <c r="FR885" s="47"/>
    </row>
    <row r="886" spans="170:174" ht="11.25" customHeight="1">
      <c r="FN886" s="50"/>
      <c r="FO886" s="47"/>
      <c r="FP886" s="47"/>
      <c r="FQ886" s="47"/>
      <c r="FR886" s="47"/>
    </row>
    <row r="887" spans="170:174" ht="11.25" customHeight="1">
      <c r="FN887" s="50"/>
      <c r="FO887" s="47"/>
      <c r="FP887" s="47"/>
      <c r="FQ887" s="47"/>
      <c r="FR887" s="47"/>
    </row>
    <row r="888" spans="170:174" ht="11.25" customHeight="1">
      <c r="FN888" s="50"/>
      <c r="FO888" s="47"/>
      <c r="FP888" s="47"/>
      <c r="FQ888" s="47"/>
      <c r="FR888" s="47"/>
    </row>
    <row r="889" spans="170:174" ht="11.25" customHeight="1">
      <c r="FN889" s="50"/>
      <c r="FO889" s="47"/>
      <c r="FP889" s="47"/>
      <c r="FQ889" s="47"/>
      <c r="FR889" s="47"/>
    </row>
    <row r="890" spans="170:174" ht="11.25" customHeight="1">
      <c r="FN890" s="50"/>
      <c r="FO890" s="47"/>
      <c r="FP890" s="47"/>
      <c r="FQ890" s="47"/>
      <c r="FR890" s="47"/>
    </row>
    <row r="891" spans="170:174" ht="11.25" customHeight="1">
      <c r="FN891" s="50"/>
      <c r="FO891" s="47"/>
      <c r="FP891" s="47"/>
      <c r="FQ891" s="47"/>
      <c r="FR891" s="47"/>
    </row>
    <row r="892" spans="170:174" ht="11.25" customHeight="1">
      <c r="FN892" s="50"/>
      <c r="FO892" s="47"/>
      <c r="FP892" s="47"/>
      <c r="FQ892" s="47"/>
      <c r="FR892" s="47"/>
    </row>
    <row r="893" spans="170:174" ht="11.25" customHeight="1">
      <c r="FN893" s="50"/>
      <c r="FO893" s="47"/>
      <c r="FP893" s="47"/>
      <c r="FQ893" s="47"/>
      <c r="FR893" s="47"/>
    </row>
    <row r="894" spans="170:174" ht="11.25" customHeight="1">
      <c r="FN894" s="50"/>
      <c r="FO894" s="47"/>
      <c r="FP894" s="47"/>
      <c r="FQ894" s="47"/>
      <c r="FR894" s="47"/>
    </row>
    <row r="895" spans="170:174" ht="11.25" customHeight="1">
      <c r="FN895" s="50"/>
      <c r="FO895" s="47"/>
      <c r="FP895" s="47"/>
      <c r="FQ895" s="47"/>
      <c r="FR895" s="47"/>
    </row>
    <row r="896" spans="170:174" ht="11.25" customHeight="1">
      <c r="FN896" s="50"/>
      <c r="FO896" s="47"/>
      <c r="FP896" s="47"/>
      <c r="FQ896" s="47"/>
      <c r="FR896" s="47"/>
    </row>
    <row r="897" spans="170:174" ht="11.25" customHeight="1">
      <c r="FN897" s="50"/>
      <c r="FO897" s="47"/>
      <c r="FP897" s="47"/>
      <c r="FQ897" s="47"/>
      <c r="FR897" s="47"/>
    </row>
    <row r="898" spans="170:174" ht="11.25" customHeight="1">
      <c r="FN898" s="50"/>
      <c r="FO898" s="47"/>
      <c r="FP898" s="47"/>
      <c r="FQ898" s="47"/>
      <c r="FR898" s="47"/>
    </row>
    <row r="899" spans="170:174" ht="11.25" customHeight="1">
      <c r="FN899" s="50"/>
      <c r="FO899" s="47"/>
      <c r="FP899" s="47"/>
      <c r="FQ899" s="47"/>
      <c r="FR899" s="47"/>
    </row>
    <row r="900" spans="170:174" ht="11.25" customHeight="1">
      <c r="FN900" s="50"/>
      <c r="FO900" s="47"/>
      <c r="FP900" s="47"/>
      <c r="FQ900" s="47"/>
      <c r="FR900" s="47"/>
    </row>
    <row r="901" spans="170:174" ht="11.25" customHeight="1">
      <c r="FN901" s="50"/>
      <c r="FO901" s="47"/>
      <c r="FP901" s="47"/>
      <c r="FQ901" s="47"/>
      <c r="FR901" s="47"/>
    </row>
    <row r="902" spans="170:174" ht="11.25" customHeight="1">
      <c r="FN902" s="50"/>
      <c r="FO902" s="47"/>
      <c r="FP902" s="47"/>
      <c r="FQ902" s="47"/>
      <c r="FR902" s="47"/>
    </row>
    <row r="903" spans="170:174" ht="11.25" customHeight="1">
      <c r="FN903" s="50"/>
      <c r="FO903" s="47"/>
      <c r="FP903" s="47"/>
      <c r="FQ903" s="47"/>
      <c r="FR903" s="47"/>
    </row>
    <row r="904" spans="170:174" ht="11.25" customHeight="1">
      <c r="FN904" s="50"/>
      <c r="FO904" s="47"/>
      <c r="FP904" s="47"/>
      <c r="FQ904" s="47"/>
      <c r="FR904" s="47"/>
    </row>
    <row r="905" spans="170:174" ht="11.25" customHeight="1">
      <c r="FN905" s="50"/>
      <c r="FO905" s="47"/>
      <c r="FP905" s="47"/>
      <c r="FQ905" s="47"/>
      <c r="FR905" s="47"/>
    </row>
    <row r="906" spans="170:174" ht="11.25" customHeight="1">
      <c r="FN906" s="50"/>
      <c r="FO906" s="47"/>
      <c r="FP906" s="47"/>
      <c r="FQ906" s="47"/>
      <c r="FR906" s="47"/>
    </row>
    <row r="907" spans="170:174" ht="11.25" customHeight="1">
      <c r="FN907" s="50"/>
      <c r="FO907" s="47"/>
      <c r="FP907" s="47"/>
      <c r="FQ907" s="47"/>
      <c r="FR907" s="47"/>
    </row>
    <row r="908" spans="170:174" ht="11.25" customHeight="1">
      <c r="FN908" s="50"/>
      <c r="FO908" s="47"/>
      <c r="FP908" s="47"/>
      <c r="FQ908" s="47"/>
      <c r="FR908" s="47"/>
    </row>
    <row r="909" spans="170:174" ht="11.25" customHeight="1">
      <c r="FN909" s="50"/>
      <c r="FO909" s="47"/>
      <c r="FP909" s="47"/>
      <c r="FQ909" s="47"/>
      <c r="FR909" s="47"/>
    </row>
    <row r="910" spans="170:174" ht="11.25" customHeight="1">
      <c r="FN910" s="50"/>
      <c r="FO910" s="47"/>
      <c r="FP910" s="47"/>
      <c r="FQ910" s="47"/>
      <c r="FR910" s="47"/>
    </row>
    <row r="911" spans="170:174" ht="11.25" customHeight="1">
      <c r="FN911" s="50"/>
      <c r="FO911" s="47"/>
      <c r="FP911" s="47"/>
      <c r="FQ911" s="47"/>
      <c r="FR911" s="47"/>
    </row>
    <row r="912" spans="170:174" ht="11.25" customHeight="1">
      <c r="FN912" s="50"/>
      <c r="FO912" s="47"/>
      <c r="FP912" s="47"/>
      <c r="FQ912" s="47"/>
      <c r="FR912" s="47"/>
    </row>
    <row r="913" spans="170:174" ht="11.25" customHeight="1">
      <c r="FN913" s="50"/>
      <c r="FO913" s="47"/>
      <c r="FP913" s="47"/>
      <c r="FQ913" s="47"/>
      <c r="FR913" s="47"/>
    </row>
    <row r="914" spans="170:174" ht="11.25" customHeight="1">
      <c r="FN914" s="50"/>
      <c r="FO914" s="47"/>
      <c r="FP914" s="47"/>
      <c r="FQ914" s="47"/>
      <c r="FR914" s="47"/>
    </row>
    <row r="915" spans="170:174" ht="11.25" customHeight="1">
      <c r="FN915" s="50"/>
      <c r="FO915" s="47"/>
      <c r="FP915" s="47"/>
      <c r="FQ915" s="47"/>
      <c r="FR915" s="47"/>
    </row>
    <row r="916" spans="170:174" ht="11.25" customHeight="1">
      <c r="FN916" s="50"/>
      <c r="FO916" s="47"/>
      <c r="FP916" s="47"/>
      <c r="FQ916" s="47"/>
      <c r="FR916" s="47"/>
    </row>
    <row r="917" spans="170:174" ht="11.25" customHeight="1">
      <c r="FN917" s="50"/>
      <c r="FO917" s="47"/>
      <c r="FP917" s="47"/>
      <c r="FQ917" s="47"/>
      <c r="FR917" s="47"/>
    </row>
    <row r="918" spans="170:174" ht="11.25" customHeight="1">
      <c r="FN918" s="50"/>
      <c r="FO918" s="47"/>
      <c r="FP918" s="47"/>
      <c r="FQ918" s="47"/>
      <c r="FR918" s="47"/>
    </row>
    <row r="919" spans="170:174" ht="11.25" customHeight="1">
      <c r="FN919" s="50"/>
      <c r="FO919" s="47"/>
      <c r="FP919" s="47"/>
      <c r="FQ919" s="47"/>
      <c r="FR919" s="47"/>
    </row>
    <row r="920" spans="170:174" ht="11.25" customHeight="1">
      <c r="FN920" s="50"/>
      <c r="FO920" s="47"/>
      <c r="FP920" s="47"/>
      <c r="FQ920" s="47"/>
      <c r="FR920" s="47"/>
    </row>
    <row r="921" spans="170:174" ht="11.25" customHeight="1">
      <c r="FN921" s="50"/>
      <c r="FO921" s="47"/>
      <c r="FP921" s="47"/>
      <c r="FQ921" s="47"/>
      <c r="FR921" s="47"/>
    </row>
    <row r="922" spans="170:174" ht="11.25" customHeight="1">
      <c r="FN922" s="50"/>
      <c r="FO922" s="47"/>
      <c r="FP922" s="47"/>
      <c r="FQ922" s="47"/>
      <c r="FR922" s="47"/>
    </row>
    <row r="923" spans="170:174" ht="11.25" customHeight="1">
      <c r="FN923" s="50"/>
      <c r="FO923" s="47"/>
      <c r="FP923" s="47"/>
      <c r="FQ923" s="47"/>
      <c r="FR923" s="47"/>
    </row>
    <row r="924" spans="170:174" ht="11.25" customHeight="1">
      <c r="FN924" s="50"/>
      <c r="FO924" s="47"/>
      <c r="FP924" s="47"/>
      <c r="FQ924" s="47"/>
      <c r="FR924" s="47"/>
    </row>
    <row r="925" spans="170:174" ht="11.25" customHeight="1">
      <c r="FN925" s="50"/>
      <c r="FO925" s="47"/>
      <c r="FP925" s="47"/>
      <c r="FQ925" s="47"/>
      <c r="FR925" s="47"/>
    </row>
    <row r="926" spans="170:174" ht="11.25" customHeight="1">
      <c r="FN926" s="50"/>
      <c r="FO926" s="47"/>
      <c r="FP926" s="47"/>
      <c r="FQ926" s="47"/>
      <c r="FR926" s="47"/>
    </row>
    <row r="927" spans="170:174" ht="11.25" customHeight="1">
      <c r="FN927" s="50"/>
      <c r="FO927" s="47"/>
      <c r="FP927" s="47"/>
      <c r="FQ927" s="47"/>
      <c r="FR927" s="47"/>
    </row>
    <row r="928" spans="170:174" ht="11.25" customHeight="1">
      <c r="FN928" s="50"/>
      <c r="FO928" s="47"/>
      <c r="FP928" s="47"/>
      <c r="FQ928" s="47"/>
      <c r="FR928" s="47"/>
    </row>
    <row r="929" spans="170:174" ht="11.25" customHeight="1">
      <c r="FN929" s="50"/>
      <c r="FO929" s="47"/>
      <c r="FP929" s="47"/>
      <c r="FQ929" s="47"/>
      <c r="FR929" s="47"/>
    </row>
    <row r="930" spans="170:174" ht="11.25" customHeight="1">
      <c r="FN930" s="50"/>
      <c r="FO930" s="47"/>
      <c r="FP930" s="47"/>
      <c r="FQ930" s="47"/>
      <c r="FR930" s="47"/>
    </row>
    <row r="931" spans="170:174" ht="11.25" customHeight="1">
      <c r="FN931" s="50"/>
      <c r="FO931" s="47"/>
      <c r="FP931" s="47"/>
      <c r="FQ931" s="47"/>
      <c r="FR931" s="47"/>
    </row>
    <row r="932" spans="170:174" ht="11.25" customHeight="1">
      <c r="FN932" s="50"/>
      <c r="FO932" s="47"/>
      <c r="FP932" s="47"/>
      <c r="FQ932" s="47"/>
      <c r="FR932" s="47"/>
    </row>
    <row r="933" spans="170:174" ht="11.25" customHeight="1">
      <c r="FN933" s="50"/>
      <c r="FO933" s="47"/>
      <c r="FP933" s="47"/>
      <c r="FQ933" s="47"/>
      <c r="FR933" s="47"/>
    </row>
    <row r="934" spans="170:174" ht="11.25" customHeight="1">
      <c r="FN934" s="50"/>
      <c r="FO934" s="47"/>
      <c r="FP934" s="47"/>
      <c r="FQ934" s="47"/>
      <c r="FR934" s="47"/>
    </row>
    <row r="935" spans="170:174" ht="11.25" customHeight="1">
      <c r="FN935" s="50"/>
      <c r="FO935" s="47"/>
      <c r="FP935" s="47"/>
      <c r="FQ935" s="47"/>
      <c r="FR935" s="47"/>
    </row>
    <row r="936" spans="170:174" ht="11.25" customHeight="1">
      <c r="FN936" s="50"/>
      <c r="FO936" s="47"/>
      <c r="FP936" s="47"/>
      <c r="FQ936" s="47"/>
      <c r="FR936" s="47"/>
    </row>
    <row r="937" spans="170:174" ht="11.25" customHeight="1">
      <c r="FN937" s="50"/>
      <c r="FO937" s="47"/>
      <c r="FP937" s="47"/>
      <c r="FQ937" s="47"/>
      <c r="FR937" s="47"/>
    </row>
    <row r="938" spans="170:174" ht="11.25" customHeight="1">
      <c r="FN938" s="50"/>
      <c r="FO938" s="47"/>
      <c r="FP938" s="47"/>
      <c r="FQ938" s="47"/>
      <c r="FR938" s="47"/>
    </row>
    <row r="939" spans="170:174" ht="11.25" customHeight="1">
      <c r="FN939" s="50"/>
      <c r="FO939" s="47"/>
      <c r="FP939" s="47"/>
      <c r="FQ939" s="47"/>
      <c r="FR939" s="47"/>
    </row>
    <row r="940" spans="170:174" ht="11.25" customHeight="1">
      <c r="FN940" s="50"/>
      <c r="FO940" s="47"/>
      <c r="FP940" s="47"/>
      <c r="FQ940" s="47"/>
      <c r="FR940" s="47"/>
    </row>
    <row r="941" spans="170:174" ht="11.25" customHeight="1">
      <c r="FN941" s="50"/>
      <c r="FO941" s="47"/>
      <c r="FP941" s="47"/>
      <c r="FQ941" s="47"/>
      <c r="FR941" s="47"/>
    </row>
    <row r="942" spans="170:174" ht="11.25" customHeight="1">
      <c r="FN942" s="50"/>
      <c r="FO942" s="47"/>
      <c r="FP942" s="47"/>
      <c r="FQ942" s="47"/>
      <c r="FR942" s="47"/>
    </row>
    <row r="943" spans="170:174" ht="11.25" customHeight="1">
      <c r="FN943" s="50"/>
      <c r="FO943" s="47"/>
      <c r="FP943" s="47"/>
      <c r="FQ943" s="47"/>
      <c r="FR943" s="47"/>
    </row>
    <row r="944" spans="170:174" ht="11.25" customHeight="1">
      <c r="FN944" s="50"/>
      <c r="FO944" s="47"/>
      <c r="FP944" s="47"/>
      <c r="FQ944" s="47"/>
      <c r="FR944" s="47"/>
    </row>
    <row r="945" spans="170:174" ht="11.25" customHeight="1">
      <c r="FN945" s="50"/>
      <c r="FO945" s="47"/>
      <c r="FP945" s="47"/>
      <c r="FQ945" s="47"/>
      <c r="FR945" s="47"/>
    </row>
    <row r="946" spans="170:174" ht="11.25" customHeight="1">
      <c r="FN946" s="50"/>
      <c r="FO946" s="47"/>
      <c r="FP946" s="47"/>
      <c r="FQ946" s="47"/>
      <c r="FR946" s="47"/>
    </row>
    <row r="947" spans="170:174" ht="11.25" customHeight="1">
      <c r="FN947" s="50"/>
      <c r="FO947" s="47"/>
      <c r="FP947" s="47"/>
      <c r="FQ947" s="47"/>
      <c r="FR947" s="47"/>
    </row>
    <row r="948" spans="170:174" ht="11.25" customHeight="1">
      <c r="FN948" s="50"/>
      <c r="FO948" s="47"/>
      <c r="FP948" s="47"/>
      <c r="FQ948" s="47"/>
      <c r="FR948" s="47"/>
    </row>
    <row r="949" spans="170:174" ht="11.25" customHeight="1">
      <c r="FN949" s="50"/>
      <c r="FO949" s="47"/>
      <c r="FP949" s="47"/>
      <c r="FQ949" s="47"/>
      <c r="FR949" s="47"/>
    </row>
    <row r="950" spans="170:174" ht="11.25" customHeight="1">
      <c r="FN950" s="50"/>
      <c r="FO950" s="47"/>
      <c r="FP950" s="47"/>
      <c r="FQ950" s="47"/>
      <c r="FR950" s="47"/>
    </row>
    <row r="951" spans="170:174" ht="11.25" customHeight="1">
      <c r="FN951" s="50"/>
      <c r="FO951" s="47"/>
      <c r="FP951" s="47"/>
      <c r="FQ951" s="47"/>
      <c r="FR951" s="47"/>
    </row>
    <row r="952" spans="170:174" ht="11.25" customHeight="1">
      <c r="FN952" s="50"/>
      <c r="FO952" s="47"/>
      <c r="FP952" s="47"/>
      <c r="FQ952" s="47"/>
      <c r="FR952" s="47"/>
    </row>
    <row r="953" spans="170:174" ht="11.25" customHeight="1">
      <c r="FN953" s="50"/>
      <c r="FO953" s="47"/>
      <c r="FP953" s="47"/>
      <c r="FQ953" s="47"/>
      <c r="FR953" s="47"/>
    </row>
    <row r="954" spans="170:174" ht="11.25" customHeight="1">
      <c r="FN954" s="50"/>
      <c r="FO954" s="47"/>
      <c r="FP954" s="47"/>
      <c r="FQ954" s="47"/>
      <c r="FR954" s="47"/>
    </row>
    <row r="955" spans="170:174" ht="11.25" customHeight="1">
      <c r="FN955" s="50"/>
      <c r="FO955" s="47"/>
      <c r="FP955" s="47"/>
      <c r="FQ955" s="47"/>
      <c r="FR955" s="47"/>
    </row>
    <row r="956" spans="170:174" ht="11.25" customHeight="1">
      <c r="FN956" s="50"/>
      <c r="FO956" s="47"/>
      <c r="FP956" s="47"/>
      <c r="FQ956" s="47"/>
      <c r="FR956" s="47"/>
    </row>
    <row r="957" spans="170:174" ht="11.25" customHeight="1">
      <c r="FN957" s="50"/>
      <c r="FO957" s="47"/>
      <c r="FP957" s="47"/>
      <c r="FQ957" s="47"/>
      <c r="FR957" s="47"/>
    </row>
    <row r="958" spans="170:174" ht="11.25" customHeight="1">
      <c r="FN958" s="50"/>
      <c r="FO958" s="47"/>
      <c r="FP958" s="47"/>
      <c r="FQ958" s="47"/>
      <c r="FR958" s="47"/>
    </row>
    <row r="959" spans="170:174" ht="11.25" customHeight="1">
      <c r="FN959" s="50"/>
      <c r="FO959" s="47"/>
      <c r="FP959" s="47"/>
      <c r="FQ959" s="47"/>
      <c r="FR959" s="47"/>
    </row>
    <row r="960" spans="170:174" ht="11.25" customHeight="1">
      <c r="FN960" s="50"/>
      <c r="FO960" s="47"/>
      <c r="FP960" s="47"/>
      <c r="FQ960" s="47"/>
      <c r="FR960" s="47"/>
    </row>
    <row r="961" spans="170:174" ht="11.25" customHeight="1">
      <c r="FN961" s="50"/>
      <c r="FO961" s="47"/>
      <c r="FP961" s="47"/>
      <c r="FQ961" s="47"/>
      <c r="FR961" s="47"/>
    </row>
    <row r="962" spans="170:174" ht="11.25" customHeight="1">
      <c r="FN962" s="50"/>
      <c r="FO962" s="47"/>
      <c r="FP962" s="47"/>
      <c r="FQ962" s="47"/>
      <c r="FR962" s="47"/>
    </row>
    <row r="963" spans="170:174" ht="11.25" customHeight="1">
      <c r="FN963" s="50"/>
      <c r="FO963" s="47"/>
      <c r="FP963" s="47"/>
      <c r="FQ963" s="47"/>
      <c r="FR963" s="47"/>
    </row>
    <row r="964" spans="170:174" ht="11.25" customHeight="1">
      <c r="FN964" s="50"/>
      <c r="FO964" s="47"/>
      <c r="FP964" s="47"/>
      <c r="FQ964" s="47"/>
      <c r="FR964" s="47"/>
    </row>
    <row r="965" spans="170:174" ht="11.25" customHeight="1">
      <c r="FN965" s="50"/>
      <c r="FO965" s="47"/>
      <c r="FP965" s="47"/>
      <c r="FQ965" s="47"/>
      <c r="FR965" s="47"/>
    </row>
    <row r="966" spans="170:174" ht="11.25" customHeight="1">
      <c r="FN966" s="50"/>
      <c r="FO966" s="47"/>
      <c r="FP966" s="47"/>
      <c r="FQ966" s="47"/>
      <c r="FR966" s="47"/>
    </row>
    <row r="967" spans="170:174" ht="11.25" customHeight="1">
      <c r="FN967" s="50"/>
      <c r="FO967" s="47"/>
      <c r="FP967" s="47"/>
      <c r="FQ967" s="47"/>
      <c r="FR967" s="47"/>
    </row>
    <row r="968" spans="170:174" ht="11.25" customHeight="1">
      <c r="FN968" s="50"/>
      <c r="FO968" s="47"/>
      <c r="FP968" s="47"/>
      <c r="FQ968" s="47"/>
      <c r="FR968" s="47"/>
    </row>
    <row r="969" spans="170:174" ht="11.25" customHeight="1">
      <c r="FN969" s="50"/>
      <c r="FO969" s="47"/>
      <c r="FP969" s="47"/>
      <c r="FQ969" s="47"/>
      <c r="FR969" s="47"/>
    </row>
    <row r="970" spans="170:174" ht="11.25" customHeight="1">
      <c r="FN970" s="50"/>
      <c r="FO970" s="47"/>
      <c r="FP970" s="47"/>
      <c r="FQ970" s="47"/>
      <c r="FR970" s="47"/>
    </row>
    <row r="971" spans="170:174" ht="11.25" customHeight="1">
      <c r="FN971" s="50"/>
      <c r="FO971" s="47"/>
      <c r="FP971" s="47"/>
      <c r="FQ971" s="47"/>
      <c r="FR971" s="47"/>
    </row>
    <row r="972" spans="170:174" ht="11.25" customHeight="1">
      <c r="FN972" s="50"/>
      <c r="FO972" s="47"/>
      <c r="FP972" s="47"/>
      <c r="FQ972" s="47"/>
      <c r="FR972" s="47"/>
    </row>
    <row r="973" spans="170:174" ht="11.25" customHeight="1">
      <c r="FN973" s="50"/>
      <c r="FO973" s="47"/>
      <c r="FP973" s="47"/>
      <c r="FQ973" s="47"/>
      <c r="FR973" s="47"/>
    </row>
    <row r="974" spans="170:174" ht="11.25" customHeight="1">
      <c r="FN974" s="50"/>
      <c r="FO974" s="47"/>
      <c r="FP974" s="47"/>
      <c r="FQ974" s="47"/>
      <c r="FR974" s="47"/>
    </row>
    <row r="975" spans="170:174" ht="11.25" customHeight="1">
      <c r="FN975" s="50"/>
      <c r="FO975" s="47"/>
      <c r="FP975" s="47"/>
      <c r="FQ975" s="47"/>
      <c r="FR975" s="47"/>
    </row>
    <row r="976" spans="170:174" ht="11.25" customHeight="1">
      <c r="FN976" s="50"/>
      <c r="FO976" s="47"/>
      <c r="FP976" s="47"/>
      <c r="FQ976" s="47"/>
      <c r="FR976" s="47"/>
    </row>
    <row r="977" spans="170:174" ht="11.25" customHeight="1">
      <c r="FN977" s="50"/>
      <c r="FO977" s="47"/>
      <c r="FP977" s="47"/>
      <c r="FQ977" s="47"/>
      <c r="FR977" s="47"/>
    </row>
    <row r="978" spans="170:174" ht="11.25" customHeight="1">
      <c r="FN978" s="50"/>
      <c r="FO978" s="47"/>
      <c r="FP978" s="47"/>
      <c r="FQ978" s="47"/>
      <c r="FR978" s="47"/>
    </row>
    <row r="979" spans="170:174" ht="11.25" customHeight="1">
      <c r="FN979" s="50"/>
      <c r="FO979" s="47"/>
      <c r="FP979" s="47"/>
      <c r="FQ979" s="47"/>
      <c r="FR979" s="47"/>
    </row>
    <row r="980" spans="170:174" ht="11.25" customHeight="1">
      <c r="FN980" s="50"/>
      <c r="FO980" s="47"/>
      <c r="FP980" s="47"/>
      <c r="FQ980" s="47"/>
      <c r="FR980" s="47"/>
    </row>
    <row r="981" spans="170:174" ht="11.25" customHeight="1">
      <c r="FN981" s="50"/>
      <c r="FO981" s="47"/>
      <c r="FP981" s="47"/>
      <c r="FQ981" s="47"/>
      <c r="FR981" s="47"/>
    </row>
    <row r="982" spans="170:174" ht="11.25" customHeight="1">
      <c r="FN982" s="50"/>
      <c r="FO982" s="47"/>
      <c r="FP982" s="47"/>
      <c r="FQ982" s="47"/>
      <c r="FR982" s="47"/>
    </row>
    <row r="983" spans="170:174" ht="11.25" customHeight="1">
      <c r="FN983" s="50"/>
      <c r="FO983" s="47"/>
      <c r="FP983" s="47"/>
      <c r="FQ983" s="47"/>
      <c r="FR983" s="47"/>
    </row>
    <row r="984" spans="170:174" ht="11.25" customHeight="1">
      <c r="FN984" s="50"/>
      <c r="FO984" s="47"/>
      <c r="FP984" s="47"/>
      <c r="FQ984" s="47"/>
      <c r="FR984" s="47"/>
    </row>
    <row r="985" spans="170:174" ht="11.25" customHeight="1">
      <c r="FN985" s="50"/>
      <c r="FO985" s="47"/>
      <c r="FP985" s="47"/>
      <c r="FQ985" s="47"/>
      <c r="FR985" s="47"/>
    </row>
    <row r="986" spans="170:174" ht="11.25" customHeight="1">
      <c r="FN986" s="50"/>
      <c r="FO986" s="47"/>
      <c r="FP986" s="47"/>
      <c r="FQ986" s="47"/>
      <c r="FR986" s="47"/>
    </row>
    <row r="987" spans="170:174" ht="11.25" customHeight="1">
      <c r="FN987" s="50"/>
      <c r="FO987" s="47"/>
      <c r="FP987" s="47"/>
      <c r="FQ987" s="47"/>
      <c r="FR987" s="47"/>
    </row>
    <row r="988" spans="170:174" ht="11.25" customHeight="1">
      <c r="FN988" s="50"/>
      <c r="FO988" s="47"/>
      <c r="FP988" s="47"/>
      <c r="FQ988" s="47"/>
      <c r="FR988" s="47"/>
    </row>
    <row r="989" spans="170:174" ht="11.25" customHeight="1">
      <c r="FN989" s="50"/>
      <c r="FO989" s="47"/>
      <c r="FP989" s="47"/>
      <c r="FQ989" s="47"/>
      <c r="FR989" s="47"/>
    </row>
    <row r="990" spans="170:174" ht="11.25" customHeight="1">
      <c r="FN990" s="50"/>
      <c r="FO990" s="47"/>
      <c r="FP990" s="47"/>
      <c r="FQ990" s="47"/>
      <c r="FR990" s="47"/>
    </row>
    <row r="991" spans="170:174" ht="11.25" customHeight="1">
      <c r="FN991" s="50"/>
      <c r="FO991" s="47"/>
      <c r="FP991" s="47"/>
      <c r="FQ991" s="47"/>
      <c r="FR991" s="47"/>
    </row>
    <row r="992" spans="170:174" ht="11.25" customHeight="1">
      <c r="FN992" s="50"/>
      <c r="FO992" s="47"/>
      <c r="FP992" s="47"/>
      <c r="FQ992" s="47"/>
      <c r="FR992" s="47"/>
    </row>
    <row r="993" spans="170:174" ht="11.25" customHeight="1">
      <c r="FN993" s="50"/>
      <c r="FO993" s="47"/>
      <c r="FP993" s="47"/>
      <c r="FQ993" s="47"/>
      <c r="FR993" s="47"/>
    </row>
    <row r="994" spans="170:174" ht="11.25" customHeight="1">
      <c r="FN994" s="50"/>
      <c r="FO994" s="47"/>
      <c r="FP994" s="47"/>
      <c r="FQ994" s="47"/>
      <c r="FR994" s="47"/>
    </row>
    <row r="995" spans="170:174" ht="11.25" customHeight="1">
      <c r="FN995" s="50"/>
      <c r="FO995" s="47"/>
      <c r="FP995" s="47"/>
      <c r="FQ995" s="47"/>
      <c r="FR995" s="47"/>
    </row>
    <row r="996" spans="170:174" ht="11.25" customHeight="1">
      <c r="FN996" s="50"/>
      <c r="FO996" s="47"/>
      <c r="FP996" s="47"/>
      <c r="FQ996" s="47"/>
      <c r="FR996" s="47"/>
    </row>
    <row r="997" spans="170:174" ht="11.25" customHeight="1">
      <c r="FN997" s="50"/>
      <c r="FO997" s="47"/>
      <c r="FP997" s="47"/>
      <c r="FQ997" s="47"/>
      <c r="FR997" s="47"/>
    </row>
    <row r="998" spans="170:174" ht="11.25" customHeight="1">
      <c r="FN998" s="50"/>
      <c r="FO998" s="47"/>
      <c r="FP998" s="47"/>
      <c r="FQ998" s="47"/>
      <c r="FR998" s="47"/>
    </row>
    <row r="999" spans="170:174" ht="11.25" customHeight="1">
      <c r="FN999" s="50"/>
      <c r="FO999" s="47"/>
      <c r="FP999" s="47"/>
      <c r="FQ999" s="47"/>
      <c r="FR999" s="47"/>
    </row>
    <row r="1000" spans="170:174" ht="11.25" customHeight="1">
      <c r="FN1000" s="50"/>
      <c r="FO1000" s="47"/>
      <c r="FP1000" s="47"/>
      <c r="FQ1000" s="47"/>
      <c r="FR1000" s="47"/>
    </row>
    <row r="1001" spans="170:174" ht="11.25" customHeight="1">
      <c r="FN1001" s="50"/>
      <c r="FO1001" s="47"/>
      <c r="FP1001" s="47"/>
      <c r="FQ1001" s="47"/>
      <c r="FR1001" s="47"/>
    </row>
    <row r="1002" spans="170:174" ht="11.25" customHeight="1">
      <c r="FN1002" s="50"/>
      <c r="FO1002" s="47"/>
      <c r="FP1002" s="47"/>
      <c r="FQ1002" s="47"/>
      <c r="FR1002" s="47"/>
    </row>
    <row r="1003" spans="170:174" ht="11.25" customHeight="1">
      <c r="FN1003" s="50"/>
      <c r="FO1003" s="47"/>
      <c r="FP1003" s="47"/>
      <c r="FQ1003" s="47"/>
      <c r="FR1003" s="47"/>
    </row>
    <row r="1004" spans="170:174" ht="11.25" customHeight="1">
      <c r="FN1004" s="50"/>
      <c r="FO1004" s="47"/>
      <c r="FP1004" s="47"/>
      <c r="FQ1004" s="47"/>
      <c r="FR1004" s="47"/>
    </row>
    <row r="1005" spans="170:174" ht="11.25" customHeight="1">
      <c r="FN1005" s="50"/>
      <c r="FO1005" s="47"/>
      <c r="FP1005" s="47"/>
      <c r="FQ1005" s="47"/>
      <c r="FR1005" s="47"/>
    </row>
    <row r="1006" spans="170:174" ht="11.25" customHeight="1">
      <c r="FN1006" s="50"/>
      <c r="FO1006" s="47"/>
      <c r="FP1006" s="47"/>
      <c r="FQ1006" s="47"/>
      <c r="FR1006" s="47"/>
    </row>
    <row r="1007" spans="170:174" ht="11.25" customHeight="1">
      <c r="FN1007" s="50"/>
      <c r="FO1007" s="47"/>
      <c r="FP1007" s="47"/>
      <c r="FQ1007" s="47"/>
      <c r="FR1007" s="47"/>
    </row>
    <row r="1008" spans="170:174" ht="11.25" customHeight="1">
      <c r="FN1008" s="50"/>
      <c r="FO1008" s="47"/>
      <c r="FP1008" s="47"/>
      <c r="FQ1008" s="47"/>
      <c r="FR1008" s="47"/>
    </row>
    <row r="1009" spans="170:174" ht="11.25" customHeight="1">
      <c r="FN1009" s="50"/>
      <c r="FO1009" s="47"/>
      <c r="FP1009" s="47"/>
      <c r="FQ1009" s="47"/>
      <c r="FR1009" s="47"/>
    </row>
    <row r="1010" spans="170:174" ht="11.25" customHeight="1">
      <c r="FN1010" s="50"/>
      <c r="FO1010" s="47"/>
      <c r="FP1010" s="47"/>
      <c r="FQ1010" s="47"/>
      <c r="FR1010" s="47"/>
    </row>
    <row r="1011" spans="170:174" ht="11.25" customHeight="1">
      <c r="FN1011" s="50"/>
      <c r="FO1011" s="47"/>
      <c r="FP1011" s="47"/>
      <c r="FQ1011" s="47"/>
      <c r="FR1011" s="47"/>
    </row>
    <row r="1012" spans="170:174" ht="11.25" customHeight="1">
      <c r="FN1012" s="50"/>
      <c r="FO1012" s="47"/>
      <c r="FP1012" s="47"/>
      <c r="FQ1012" s="47"/>
      <c r="FR1012" s="47"/>
    </row>
    <row r="1013" spans="170:174" ht="11.25" customHeight="1">
      <c r="FN1013" s="50"/>
      <c r="FO1013" s="47"/>
      <c r="FP1013" s="47"/>
      <c r="FQ1013" s="47"/>
      <c r="FR1013" s="47"/>
    </row>
    <row r="1014" spans="170:174" ht="11.25" customHeight="1">
      <c r="FN1014" s="50"/>
      <c r="FO1014" s="47"/>
      <c r="FP1014" s="47"/>
      <c r="FQ1014" s="47"/>
      <c r="FR1014" s="47"/>
    </row>
    <row r="1015" spans="170:174" ht="11.25" customHeight="1">
      <c r="FN1015" s="50"/>
      <c r="FO1015" s="47"/>
      <c r="FP1015" s="47"/>
      <c r="FQ1015" s="47"/>
      <c r="FR1015" s="47"/>
    </row>
    <row r="1016" spans="170:174" ht="11.25" customHeight="1">
      <c r="FN1016" s="50"/>
      <c r="FO1016" s="47"/>
      <c r="FP1016" s="47"/>
      <c r="FQ1016" s="47"/>
      <c r="FR1016" s="47"/>
    </row>
    <row r="1017" spans="170:174" ht="11.25" customHeight="1">
      <c r="FN1017" s="50"/>
      <c r="FO1017" s="47"/>
      <c r="FP1017" s="47"/>
      <c r="FQ1017" s="47"/>
      <c r="FR1017" s="47"/>
    </row>
    <row r="1018" spans="170:174" ht="11.25" customHeight="1">
      <c r="FN1018" s="50"/>
      <c r="FO1018" s="47"/>
      <c r="FP1018" s="47"/>
      <c r="FQ1018" s="47"/>
      <c r="FR1018" s="47"/>
    </row>
    <row r="1019" spans="170:174" ht="11.25" customHeight="1">
      <c r="FN1019" s="50"/>
      <c r="FO1019" s="47"/>
      <c r="FP1019" s="47"/>
      <c r="FQ1019" s="47"/>
      <c r="FR1019" s="47"/>
    </row>
    <row r="1020" spans="170:174" ht="11.25" customHeight="1">
      <c r="FN1020" s="50"/>
      <c r="FO1020" s="47"/>
      <c r="FP1020" s="47"/>
      <c r="FQ1020" s="47"/>
      <c r="FR1020" s="47"/>
    </row>
    <row r="1021" spans="170:174" ht="11.25" customHeight="1">
      <c r="FN1021" s="50"/>
      <c r="FO1021" s="47"/>
      <c r="FP1021" s="47"/>
      <c r="FQ1021" s="47"/>
      <c r="FR1021" s="47"/>
    </row>
    <row r="1022" spans="170:174" ht="11.25" customHeight="1">
      <c r="FN1022" s="50"/>
      <c r="FO1022" s="47"/>
      <c r="FP1022" s="47"/>
      <c r="FQ1022" s="47"/>
      <c r="FR1022" s="47"/>
    </row>
    <row r="1023" spans="170:174" ht="11.25" customHeight="1">
      <c r="FN1023" s="50"/>
      <c r="FO1023" s="47"/>
      <c r="FP1023" s="47"/>
      <c r="FQ1023" s="47"/>
      <c r="FR1023" s="47"/>
    </row>
    <row r="1024" spans="170:174" ht="11.25" customHeight="1">
      <c r="FN1024" s="50"/>
      <c r="FO1024" s="47"/>
      <c r="FP1024" s="47"/>
      <c r="FQ1024" s="47"/>
      <c r="FR1024" s="47"/>
    </row>
    <row r="1025" spans="170:174" ht="11.25" customHeight="1">
      <c r="FN1025" s="50"/>
      <c r="FO1025" s="47"/>
      <c r="FP1025" s="47"/>
      <c r="FQ1025" s="47"/>
      <c r="FR1025" s="47"/>
    </row>
    <row r="1026" spans="170:174" ht="11.25" customHeight="1">
      <c r="FN1026" s="50"/>
      <c r="FO1026" s="47"/>
      <c r="FP1026" s="47"/>
      <c r="FQ1026" s="47"/>
      <c r="FR1026" s="47"/>
    </row>
    <row r="1027" spans="170:174" ht="11.25" customHeight="1">
      <c r="FN1027" s="50"/>
      <c r="FO1027" s="47"/>
      <c r="FP1027" s="47"/>
      <c r="FQ1027" s="47"/>
      <c r="FR1027" s="47"/>
    </row>
    <row r="1028" spans="170:174" ht="11.25" customHeight="1">
      <c r="FN1028" s="50"/>
      <c r="FO1028" s="47"/>
      <c r="FP1028" s="47"/>
      <c r="FQ1028" s="47"/>
      <c r="FR1028" s="47"/>
    </row>
    <row r="1029" spans="170:174" ht="11.25" customHeight="1">
      <c r="FN1029" s="50"/>
      <c r="FO1029" s="47"/>
      <c r="FP1029" s="47"/>
      <c r="FQ1029" s="47"/>
      <c r="FR1029" s="47"/>
    </row>
    <row r="1030" spans="170:174" ht="11.25" customHeight="1">
      <c r="FN1030" s="50"/>
      <c r="FO1030" s="47"/>
      <c r="FP1030" s="47"/>
      <c r="FQ1030" s="47"/>
      <c r="FR1030" s="47"/>
    </row>
    <row r="1031" spans="170:174" ht="11.25" customHeight="1">
      <c r="FN1031" s="50"/>
      <c r="FO1031" s="47"/>
      <c r="FP1031" s="47"/>
      <c r="FQ1031" s="47"/>
      <c r="FR1031" s="47"/>
    </row>
    <row r="1032" spans="170:174" ht="11.25" customHeight="1">
      <c r="FN1032" s="50"/>
      <c r="FO1032" s="47"/>
      <c r="FP1032" s="47"/>
      <c r="FQ1032" s="47"/>
      <c r="FR1032" s="47"/>
    </row>
    <row r="1033" spans="170:174" ht="11.25" customHeight="1">
      <c r="FN1033" s="50"/>
      <c r="FO1033" s="47"/>
      <c r="FP1033" s="47"/>
      <c r="FQ1033" s="47"/>
      <c r="FR1033" s="47"/>
    </row>
    <row r="1034" spans="170:174" ht="11.25" customHeight="1">
      <c r="FN1034" s="50"/>
      <c r="FO1034" s="47"/>
      <c r="FP1034" s="47"/>
      <c r="FQ1034" s="47"/>
      <c r="FR1034" s="47"/>
    </row>
    <row r="1035" spans="170:174" ht="11.25" customHeight="1">
      <c r="FN1035" s="50"/>
      <c r="FO1035" s="47"/>
      <c r="FP1035" s="47"/>
      <c r="FQ1035" s="47"/>
      <c r="FR1035" s="47"/>
    </row>
    <row r="1036" spans="170:174" ht="11.25" customHeight="1">
      <c r="FN1036" s="50"/>
      <c r="FO1036" s="47"/>
      <c r="FP1036" s="47"/>
      <c r="FQ1036" s="47"/>
      <c r="FR1036" s="47"/>
    </row>
    <row r="1037" spans="170:174" ht="11.25" customHeight="1">
      <c r="FN1037" s="50"/>
      <c r="FO1037" s="47"/>
      <c r="FP1037" s="47"/>
      <c r="FQ1037" s="47"/>
      <c r="FR1037" s="47"/>
    </row>
    <row r="1038" spans="170:174" ht="11.25" customHeight="1">
      <c r="FN1038" s="50"/>
      <c r="FO1038" s="47"/>
      <c r="FP1038" s="47"/>
      <c r="FQ1038" s="47"/>
      <c r="FR1038" s="47"/>
    </row>
    <row r="1039" spans="170:174" ht="11.25" customHeight="1">
      <c r="FN1039" s="50"/>
      <c r="FO1039" s="47"/>
      <c r="FP1039" s="47"/>
      <c r="FQ1039" s="47"/>
      <c r="FR1039" s="47"/>
    </row>
    <row r="1040" spans="170:174" ht="11.25" customHeight="1">
      <c r="FN1040" s="50"/>
      <c r="FO1040" s="47"/>
      <c r="FP1040" s="47"/>
      <c r="FQ1040" s="47"/>
      <c r="FR1040" s="47"/>
    </row>
    <row r="1041" spans="170:174" ht="11.25" customHeight="1">
      <c r="FN1041" s="50"/>
      <c r="FO1041" s="47"/>
      <c r="FP1041" s="47"/>
      <c r="FQ1041" s="47"/>
      <c r="FR1041" s="47"/>
    </row>
    <row r="1042" spans="170:174" ht="11.25" customHeight="1">
      <c r="FN1042" s="50"/>
      <c r="FO1042" s="47"/>
      <c r="FP1042" s="47"/>
      <c r="FQ1042" s="47"/>
      <c r="FR1042" s="47"/>
    </row>
    <row r="1043" spans="170:174" ht="11.25" customHeight="1">
      <c r="FN1043" s="50"/>
      <c r="FO1043" s="47"/>
      <c r="FP1043" s="47"/>
      <c r="FQ1043" s="47"/>
      <c r="FR1043" s="47"/>
    </row>
    <row r="1044" spans="170:174" ht="11.25" customHeight="1">
      <c r="FN1044" s="50"/>
      <c r="FO1044" s="47"/>
      <c r="FP1044" s="47"/>
      <c r="FQ1044" s="47"/>
      <c r="FR1044" s="47"/>
    </row>
    <row r="1045" spans="170:174" ht="11.25" customHeight="1">
      <c r="FN1045" s="50"/>
      <c r="FO1045" s="47"/>
      <c r="FP1045" s="47"/>
      <c r="FQ1045" s="47"/>
      <c r="FR1045" s="47"/>
    </row>
    <row r="1046" spans="170:174" ht="11.25" customHeight="1">
      <c r="FN1046" s="50"/>
      <c r="FO1046" s="47"/>
      <c r="FP1046" s="47"/>
      <c r="FQ1046" s="47"/>
      <c r="FR1046" s="47"/>
    </row>
    <row r="1047" spans="170:174" ht="11.25" customHeight="1">
      <c r="FN1047" s="50"/>
      <c r="FO1047" s="47"/>
      <c r="FP1047" s="47"/>
      <c r="FQ1047" s="47"/>
      <c r="FR1047" s="47"/>
    </row>
    <row r="1048" spans="170:174" ht="11.25" customHeight="1">
      <c r="FN1048" s="50"/>
      <c r="FO1048" s="47"/>
      <c r="FP1048" s="47"/>
      <c r="FQ1048" s="47"/>
      <c r="FR1048" s="47"/>
    </row>
    <row r="1049" spans="170:174" ht="11.25" customHeight="1">
      <c r="FN1049" s="50"/>
      <c r="FO1049" s="47"/>
      <c r="FP1049" s="47"/>
      <c r="FQ1049" s="47"/>
      <c r="FR1049" s="47"/>
    </row>
    <row r="1050" spans="170:174" ht="11.25" customHeight="1">
      <c r="FN1050" s="50"/>
      <c r="FO1050" s="47"/>
      <c r="FP1050" s="47"/>
      <c r="FQ1050" s="47"/>
      <c r="FR1050" s="47"/>
    </row>
    <row r="1051" spans="170:174" ht="11.25" customHeight="1">
      <c r="FN1051" s="50"/>
      <c r="FO1051" s="47"/>
      <c r="FP1051" s="47"/>
      <c r="FQ1051" s="47"/>
      <c r="FR1051" s="47"/>
    </row>
    <row r="1052" spans="170:174" ht="11.25" customHeight="1">
      <c r="FN1052" s="50"/>
      <c r="FO1052" s="47"/>
      <c r="FP1052" s="47"/>
      <c r="FQ1052" s="47"/>
      <c r="FR1052" s="47"/>
    </row>
    <row r="1053" spans="170:174" ht="11.25" customHeight="1">
      <c r="FN1053" s="50"/>
      <c r="FO1053" s="47"/>
      <c r="FP1053" s="47"/>
      <c r="FQ1053" s="47"/>
      <c r="FR1053" s="47"/>
    </row>
    <row r="1054" spans="170:174" ht="11.25" customHeight="1">
      <c r="FN1054" s="50"/>
      <c r="FO1054" s="47"/>
      <c r="FP1054" s="47"/>
      <c r="FQ1054" s="47"/>
      <c r="FR1054" s="47"/>
    </row>
    <row r="1055" spans="170:174" ht="11.25" customHeight="1">
      <c r="FN1055" s="50"/>
      <c r="FO1055" s="47"/>
      <c r="FP1055" s="47"/>
      <c r="FQ1055" s="47"/>
      <c r="FR1055" s="47"/>
    </row>
    <row r="1056" spans="170:174" ht="11.25" customHeight="1">
      <c r="FN1056" s="50"/>
      <c r="FO1056" s="47"/>
      <c r="FP1056" s="47"/>
      <c r="FQ1056" s="47"/>
      <c r="FR1056" s="47"/>
    </row>
    <row r="1057" spans="170:174" ht="11.25" customHeight="1">
      <c r="FN1057" s="50"/>
      <c r="FO1057" s="47"/>
      <c r="FP1057" s="47"/>
      <c r="FQ1057" s="47"/>
      <c r="FR1057" s="47"/>
    </row>
    <row r="1058" spans="170:174" ht="11.25" customHeight="1">
      <c r="FN1058" s="50"/>
      <c r="FO1058" s="47"/>
      <c r="FP1058" s="47"/>
      <c r="FQ1058" s="47"/>
      <c r="FR1058" s="47"/>
    </row>
    <row r="1059" spans="170:174" ht="11.25" customHeight="1">
      <c r="FN1059" s="50"/>
      <c r="FO1059" s="47"/>
      <c r="FP1059" s="47"/>
      <c r="FQ1059" s="47"/>
      <c r="FR1059" s="47"/>
    </row>
    <row r="1060" spans="170:174" ht="11.25" customHeight="1">
      <c r="FN1060" s="50"/>
      <c r="FO1060" s="47"/>
      <c r="FP1060" s="47"/>
      <c r="FQ1060" s="47"/>
      <c r="FR1060" s="47"/>
    </row>
    <row r="1061" spans="170:174" ht="11.25" customHeight="1">
      <c r="FN1061" s="50"/>
      <c r="FO1061" s="47"/>
      <c r="FP1061" s="47"/>
      <c r="FQ1061" s="47"/>
      <c r="FR1061" s="47"/>
    </row>
    <row r="1062" spans="170:174" ht="11.25" customHeight="1">
      <c r="FN1062" s="50"/>
      <c r="FO1062" s="47"/>
      <c r="FP1062" s="47"/>
      <c r="FQ1062" s="47"/>
      <c r="FR1062" s="47"/>
    </row>
    <row r="1063" spans="170:174" ht="11.25" customHeight="1">
      <c r="FN1063" s="50"/>
      <c r="FO1063" s="47"/>
      <c r="FP1063" s="47"/>
      <c r="FQ1063" s="47"/>
      <c r="FR1063" s="47"/>
    </row>
    <row r="1064" spans="170:174" ht="11.25" customHeight="1">
      <c r="FN1064" s="50"/>
      <c r="FO1064" s="47"/>
      <c r="FP1064" s="47"/>
      <c r="FQ1064" s="47"/>
      <c r="FR1064" s="47"/>
    </row>
    <row r="1065" spans="170:174" ht="11.25" customHeight="1">
      <c r="FN1065" s="50"/>
      <c r="FO1065" s="47"/>
      <c r="FP1065" s="47"/>
      <c r="FQ1065" s="47"/>
      <c r="FR1065" s="47"/>
    </row>
    <row r="1066" spans="170:174" ht="11.25" customHeight="1">
      <c r="FN1066" s="50"/>
      <c r="FO1066" s="47"/>
      <c r="FP1066" s="47"/>
      <c r="FQ1066" s="47"/>
      <c r="FR1066" s="47"/>
    </row>
    <row r="1067" spans="170:174" ht="11.25" customHeight="1">
      <c r="FN1067" s="50"/>
      <c r="FO1067" s="47"/>
      <c r="FP1067" s="47"/>
      <c r="FQ1067" s="47"/>
      <c r="FR1067" s="47"/>
    </row>
    <row r="1068" spans="170:174" ht="11.25" customHeight="1">
      <c r="FN1068" s="50"/>
      <c r="FO1068" s="47"/>
      <c r="FP1068" s="47"/>
      <c r="FQ1068" s="47"/>
      <c r="FR1068" s="47"/>
    </row>
    <row r="1069" spans="170:174" ht="11.25" customHeight="1">
      <c r="FN1069" s="50"/>
      <c r="FO1069" s="47"/>
      <c r="FP1069" s="47"/>
      <c r="FQ1069" s="47"/>
      <c r="FR1069" s="47"/>
    </row>
    <row r="1070" spans="170:174" ht="11.25" customHeight="1">
      <c r="FN1070" s="50"/>
      <c r="FO1070" s="47"/>
      <c r="FP1070" s="47"/>
      <c r="FQ1070" s="47"/>
      <c r="FR1070" s="47"/>
    </row>
    <row r="1071" spans="170:174" ht="11.25" customHeight="1">
      <c r="FN1071" s="50"/>
      <c r="FO1071" s="47"/>
      <c r="FP1071" s="47"/>
      <c r="FQ1071" s="47"/>
      <c r="FR1071" s="47"/>
    </row>
    <row r="1072" spans="170:174" ht="11.25" customHeight="1">
      <c r="FN1072" s="50"/>
      <c r="FO1072" s="47"/>
      <c r="FP1072" s="47"/>
      <c r="FQ1072" s="47"/>
      <c r="FR1072" s="47"/>
    </row>
    <row r="1073" spans="170:174" ht="11.25" customHeight="1">
      <c r="FN1073" s="50"/>
      <c r="FO1073" s="47"/>
      <c r="FP1073" s="47"/>
      <c r="FQ1073" s="47"/>
      <c r="FR1073" s="47"/>
    </row>
    <row r="1074" spans="170:174" ht="11.25" customHeight="1">
      <c r="FN1074" s="50"/>
      <c r="FO1074" s="47"/>
      <c r="FP1074" s="47"/>
      <c r="FQ1074" s="47"/>
      <c r="FR1074" s="47"/>
    </row>
    <row r="1075" spans="170:174" ht="11.25" customHeight="1">
      <c r="FN1075" s="50"/>
      <c r="FO1075" s="47"/>
      <c r="FP1075" s="47"/>
      <c r="FQ1075" s="47"/>
      <c r="FR1075" s="47"/>
    </row>
    <row r="1076" spans="170:174" ht="11.25" customHeight="1">
      <c r="FN1076" s="50"/>
      <c r="FO1076" s="47"/>
      <c r="FP1076" s="47"/>
      <c r="FQ1076" s="47"/>
      <c r="FR1076" s="47"/>
    </row>
    <row r="1077" spans="170:174" ht="11.25" customHeight="1">
      <c r="FN1077" s="50"/>
      <c r="FO1077" s="47"/>
      <c r="FP1077" s="47"/>
      <c r="FQ1077" s="47"/>
      <c r="FR1077" s="47"/>
    </row>
    <row r="1078" spans="170:174" ht="11.25" customHeight="1">
      <c r="FN1078" s="50"/>
      <c r="FO1078" s="47"/>
      <c r="FP1078" s="47"/>
      <c r="FQ1078" s="47"/>
      <c r="FR1078" s="47"/>
    </row>
    <row r="1079" spans="170:174" ht="11.25" customHeight="1">
      <c r="FN1079" s="50"/>
      <c r="FO1079" s="47"/>
      <c r="FP1079" s="47"/>
      <c r="FQ1079" s="47"/>
      <c r="FR1079" s="47"/>
    </row>
    <row r="1080" spans="170:174" ht="11.25" customHeight="1">
      <c r="FN1080" s="50"/>
      <c r="FO1080" s="47"/>
      <c r="FP1080" s="47"/>
      <c r="FQ1080" s="47"/>
      <c r="FR1080" s="47"/>
    </row>
    <row r="1081" spans="170:174" ht="11.25" customHeight="1">
      <c r="FN1081" s="50"/>
      <c r="FO1081" s="47"/>
      <c r="FP1081" s="47"/>
      <c r="FQ1081" s="47"/>
      <c r="FR1081" s="47"/>
    </row>
    <row r="1082" spans="170:174" ht="11.25" customHeight="1">
      <c r="FN1082" s="50"/>
      <c r="FO1082" s="47"/>
      <c r="FP1082" s="47"/>
      <c r="FQ1082" s="47"/>
      <c r="FR1082" s="47"/>
    </row>
    <row r="1083" spans="170:174" ht="11.25" customHeight="1">
      <c r="FN1083" s="50"/>
      <c r="FO1083" s="47"/>
      <c r="FP1083" s="47"/>
      <c r="FQ1083" s="47"/>
      <c r="FR1083" s="47"/>
    </row>
    <row r="1084" spans="170:174" ht="11.25" customHeight="1">
      <c r="FN1084" s="50"/>
      <c r="FO1084" s="47"/>
      <c r="FP1084" s="47"/>
      <c r="FQ1084" s="47"/>
      <c r="FR1084" s="47"/>
    </row>
    <row r="1085" spans="170:174" ht="11.25" customHeight="1">
      <c r="FN1085" s="50"/>
      <c r="FO1085" s="47"/>
      <c r="FP1085" s="47"/>
      <c r="FQ1085" s="47"/>
      <c r="FR1085" s="47"/>
    </row>
    <row r="1086" spans="170:174" ht="11.25" customHeight="1">
      <c r="FN1086" s="50"/>
      <c r="FO1086" s="47"/>
      <c r="FP1086" s="47"/>
      <c r="FQ1086" s="47"/>
      <c r="FR1086" s="47"/>
    </row>
    <row r="1087" spans="170:174" ht="11.25" customHeight="1">
      <c r="FN1087" s="50"/>
      <c r="FO1087" s="47"/>
      <c r="FP1087" s="47"/>
      <c r="FQ1087" s="47"/>
      <c r="FR1087" s="47"/>
    </row>
    <row r="1088" spans="170:174" ht="11.25" customHeight="1">
      <c r="FN1088" s="50"/>
      <c r="FO1088" s="47"/>
      <c r="FP1088" s="47"/>
      <c r="FQ1088" s="47"/>
      <c r="FR1088" s="47"/>
    </row>
    <row r="1089" spans="170:174" ht="11.25" customHeight="1">
      <c r="FN1089" s="50"/>
      <c r="FO1089" s="47"/>
      <c r="FP1089" s="47"/>
      <c r="FQ1089" s="47"/>
      <c r="FR1089" s="47"/>
    </row>
    <row r="1090" spans="170:174" ht="11.25" customHeight="1">
      <c r="FN1090" s="50"/>
      <c r="FO1090" s="47"/>
      <c r="FP1090" s="47"/>
      <c r="FQ1090" s="47"/>
      <c r="FR1090" s="47"/>
    </row>
    <row r="1091" spans="170:174" ht="11.25" customHeight="1">
      <c r="FN1091" s="50"/>
      <c r="FO1091" s="47"/>
      <c r="FP1091" s="47"/>
      <c r="FQ1091" s="47"/>
      <c r="FR1091" s="47"/>
    </row>
    <row r="1092" spans="170:174" ht="11.25" customHeight="1">
      <c r="FN1092" s="50"/>
      <c r="FO1092" s="47"/>
      <c r="FP1092" s="47"/>
      <c r="FQ1092" s="47"/>
      <c r="FR1092" s="47"/>
    </row>
    <row r="1093" spans="170:174" ht="11.25" customHeight="1">
      <c r="FN1093" s="50"/>
      <c r="FO1093" s="47"/>
      <c r="FP1093" s="47"/>
      <c r="FQ1093" s="47"/>
      <c r="FR1093" s="47"/>
    </row>
    <row r="1094" spans="170:174" ht="11.25" customHeight="1">
      <c r="FN1094" s="50"/>
      <c r="FO1094" s="47"/>
      <c r="FP1094" s="47"/>
      <c r="FQ1094" s="47"/>
      <c r="FR1094" s="47"/>
    </row>
    <row r="1095" spans="170:174" ht="11.25" customHeight="1">
      <c r="FN1095" s="50"/>
      <c r="FO1095" s="47"/>
      <c r="FP1095" s="47"/>
      <c r="FQ1095" s="47"/>
      <c r="FR1095" s="47"/>
    </row>
    <row r="1096" spans="170:174" ht="11.25" customHeight="1">
      <c r="FN1096" s="50"/>
      <c r="FO1096" s="47"/>
      <c r="FP1096" s="47"/>
      <c r="FQ1096" s="47"/>
      <c r="FR1096" s="47"/>
    </row>
    <row r="1097" spans="170:174" ht="11.25" customHeight="1">
      <c r="FN1097" s="50"/>
      <c r="FO1097" s="47"/>
      <c r="FP1097" s="47"/>
      <c r="FQ1097" s="47"/>
      <c r="FR1097" s="47"/>
    </row>
    <row r="1098" spans="170:174" ht="11.25" customHeight="1">
      <c r="FN1098" s="50"/>
      <c r="FO1098" s="47"/>
      <c r="FP1098" s="47"/>
      <c r="FQ1098" s="47"/>
      <c r="FR1098" s="47"/>
    </row>
    <row r="1099" spans="170:174" ht="11.25" customHeight="1">
      <c r="FN1099" s="50"/>
      <c r="FO1099" s="47"/>
      <c r="FP1099" s="47"/>
      <c r="FQ1099" s="47"/>
      <c r="FR1099" s="47"/>
    </row>
    <row r="1100" spans="170:174" ht="11.25" customHeight="1">
      <c r="FN1100" s="50"/>
      <c r="FO1100" s="47"/>
      <c r="FP1100" s="47"/>
      <c r="FQ1100" s="47"/>
      <c r="FR1100" s="47"/>
    </row>
    <row r="1101" spans="170:174" ht="11.25" customHeight="1">
      <c r="FN1101" s="50"/>
      <c r="FO1101" s="47"/>
      <c r="FP1101" s="47"/>
      <c r="FQ1101" s="47"/>
      <c r="FR1101" s="47"/>
    </row>
    <row r="1102" spans="170:174" ht="11.25" customHeight="1">
      <c r="FN1102" s="50"/>
      <c r="FO1102" s="47"/>
      <c r="FP1102" s="47"/>
      <c r="FQ1102" s="47"/>
      <c r="FR1102" s="47"/>
    </row>
    <row r="1103" spans="170:174" ht="11.25" customHeight="1">
      <c r="FN1103" s="50"/>
      <c r="FO1103" s="47"/>
      <c r="FP1103" s="47"/>
      <c r="FQ1103" s="47"/>
      <c r="FR1103" s="47"/>
    </row>
    <row r="1104" spans="170:174" ht="11.25" customHeight="1">
      <c r="FN1104" s="50"/>
      <c r="FO1104" s="47"/>
      <c r="FP1104" s="47"/>
      <c r="FQ1104" s="47"/>
      <c r="FR1104" s="47"/>
    </row>
    <row r="1105" spans="170:174" ht="11.25" customHeight="1">
      <c r="FN1105" s="50"/>
      <c r="FO1105" s="47"/>
      <c r="FP1105" s="47"/>
      <c r="FQ1105" s="47"/>
      <c r="FR1105" s="47"/>
    </row>
    <row r="1106" spans="170:174" ht="11.25" customHeight="1">
      <c r="FN1106" s="50"/>
      <c r="FO1106" s="47"/>
      <c r="FP1106" s="47"/>
      <c r="FQ1106" s="47"/>
      <c r="FR1106" s="47"/>
    </row>
    <row r="1107" spans="170:174" ht="11.25" customHeight="1">
      <c r="FN1107" s="50"/>
      <c r="FO1107" s="47"/>
      <c r="FP1107" s="47"/>
      <c r="FQ1107" s="47"/>
      <c r="FR1107" s="47"/>
    </row>
    <row r="1108" spans="170:174" ht="11.25" customHeight="1">
      <c r="FN1108" s="50"/>
      <c r="FO1108" s="47"/>
      <c r="FP1108" s="47"/>
      <c r="FQ1108" s="47"/>
      <c r="FR1108" s="47"/>
    </row>
    <row r="1109" spans="170:174" ht="11.25" customHeight="1">
      <c r="FN1109" s="50"/>
      <c r="FO1109" s="47"/>
      <c r="FP1109" s="47"/>
      <c r="FQ1109" s="47"/>
      <c r="FR1109" s="47"/>
    </row>
    <row r="1110" spans="170:174" ht="11.25" customHeight="1">
      <c r="FN1110" s="50"/>
      <c r="FO1110" s="47"/>
      <c r="FP1110" s="47"/>
      <c r="FQ1110" s="47"/>
      <c r="FR1110" s="47"/>
    </row>
    <row r="1111" spans="170:174" ht="11.25" customHeight="1">
      <c r="FN1111" s="50"/>
      <c r="FO1111" s="47"/>
      <c r="FP1111" s="47"/>
      <c r="FQ1111" s="47"/>
      <c r="FR1111" s="47"/>
    </row>
    <row r="1112" spans="170:174" ht="11.25" customHeight="1">
      <c r="FN1112" s="50"/>
      <c r="FO1112" s="47"/>
      <c r="FP1112" s="47"/>
      <c r="FQ1112" s="47"/>
      <c r="FR1112" s="47"/>
    </row>
    <row r="1113" spans="170:174" ht="11.25" customHeight="1">
      <c r="FN1113" s="50"/>
      <c r="FO1113" s="47"/>
      <c r="FP1113" s="47"/>
      <c r="FQ1113" s="47"/>
      <c r="FR1113" s="47"/>
    </row>
    <row r="1114" spans="170:174" ht="11.25" customHeight="1">
      <c r="FN1114" s="50"/>
      <c r="FO1114" s="47"/>
      <c r="FP1114" s="47"/>
      <c r="FQ1114" s="47"/>
      <c r="FR1114" s="47"/>
    </row>
    <row r="1115" spans="170:174" ht="11.25" customHeight="1">
      <c r="FN1115" s="50"/>
      <c r="FO1115" s="47"/>
      <c r="FP1115" s="47"/>
      <c r="FQ1115" s="47"/>
      <c r="FR1115" s="47"/>
    </row>
    <row r="1116" spans="170:174" ht="11.25" customHeight="1">
      <c r="FN1116" s="50"/>
      <c r="FO1116" s="47"/>
      <c r="FP1116" s="47"/>
      <c r="FQ1116" s="47"/>
      <c r="FR1116" s="47"/>
    </row>
    <row r="1117" spans="170:174" ht="11.25" customHeight="1">
      <c r="FN1117" s="50"/>
      <c r="FO1117" s="47"/>
      <c r="FP1117" s="47"/>
      <c r="FQ1117" s="47"/>
      <c r="FR1117" s="47"/>
    </row>
    <row r="1118" spans="170:174" ht="11.25" customHeight="1">
      <c r="FN1118" s="50"/>
      <c r="FO1118" s="47"/>
      <c r="FP1118" s="47"/>
      <c r="FQ1118" s="47"/>
      <c r="FR1118" s="47"/>
    </row>
    <row r="1119" spans="170:174" ht="11.25" customHeight="1">
      <c r="FN1119" s="50"/>
      <c r="FO1119" s="47"/>
      <c r="FP1119" s="47"/>
      <c r="FQ1119" s="47"/>
      <c r="FR1119" s="47"/>
    </row>
    <row r="1120" spans="170:174" ht="11.25" customHeight="1">
      <c r="FN1120" s="50"/>
      <c r="FO1120" s="47"/>
      <c r="FP1120" s="47"/>
      <c r="FQ1120" s="47"/>
      <c r="FR1120" s="47"/>
    </row>
    <row r="1121" spans="170:174" ht="11.25" customHeight="1">
      <c r="FN1121" s="50"/>
      <c r="FO1121" s="47"/>
      <c r="FP1121" s="47"/>
      <c r="FQ1121" s="47"/>
      <c r="FR1121" s="47"/>
    </row>
    <row r="1122" spans="170:174" ht="11.25" customHeight="1">
      <c r="FN1122" s="50"/>
      <c r="FO1122" s="47"/>
      <c r="FP1122" s="47"/>
      <c r="FQ1122" s="47"/>
      <c r="FR1122" s="47"/>
    </row>
    <row r="1123" spans="170:174" ht="11.25" customHeight="1">
      <c r="FN1123" s="50"/>
      <c r="FO1123" s="47"/>
      <c r="FP1123" s="47"/>
      <c r="FQ1123" s="47"/>
      <c r="FR1123" s="47"/>
    </row>
    <row r="1124" spans="170:174" ht="11.25" customHeight="1">
      <c r="FN1124" s="50"/>
      <c r="FO1124" s="47"/>
      <c r="FP1124" s="47"/>
      <c r="FQ1124" s="47"/>
      <c r="FR1124" s="47"/>
    </row>
    <row r="1125" spans="170:174" ht="11.25" customHeight="1">
      <c r="FN1125" s="50"/>
      <c r="FO1125" s="47"/>
      <c r="FP1125" s="47"/>
      <c r="FQ1125" s="47"/>
      <c r="FR1125" s="47"/>
    </row>
    <row r="1126" spans="170:174" ht="11.25" customHeight="1">
      <c r="FN1126" s="50"/>
      <c r="FO1126" s="47"/>
      <c r="FP1126" s="47"/>
      <c r="FQ1126" s="47"/>
      <c r="FR1126" s="47"/>
    </row>
    <row r="1127" spans="170:174" ht="11.25" customHeight="1">
      <c r="FN1127" s="50"/>
      <c r="FO1127" s="47"/>
      <c r="FP1127" s="47"/>
      <c r="FQ1127" s="47"/>
      <c r="FR1127" s="47"/>
    </row>
    <row r="1128" spans="170:174" ht="11.25" customHeight="1">
      <c r="FN1128" s="50"/>
      <c r="FO1128" s="47"/>
      <c r="FP1128" s="47"/>
      <c r="FQ1128" s="47"/>
      <c r="FR1128" s="47"/>
    </row>
    <row r="1129" spans="170:174" ht="11.25" customHeight="1">
      <c r="FN1129" s="50"/>
      <c r="FO1129" s="47"/>
      <c r="FP1129" s="47"/>
      <c r="FQ1129" s="47"/>
      <c r="FR1129" s="47"/>
    </row>
    <row r="1130" spans="170:174" ht="11.25" customHeight="1">
      <c r="FN1130" s="50"/>
      <c r="FO1130" s="47"/>
      <c r="FP1130" s="47"/>
      <c r="FQ1130" s="47"/>
      <c r="FR1130" s="47"/>
    </row>
    <row r="1131" spans="170:174" ht="11.25" customHeight="1">
      <c r="FN1131" s="50"/>
      <c r="FO1131" s="47"/>
      <c r="FP1131" s="47"/>
      <c r="FQ1131" s="47"/>
      <c r="FR1131" s="47"/>
    </row>
    <row r="1132" spans="170:174" ht="11.25" customHeight="1">
      <c r="FN1132" s="50"/>
      <c r="FO1132" s="47"/>
      <c r="FP1132" s="47"/>
      <c r="FQ1132" s="47"/>
      <c r="FR1132" s="47"/>
    </row>
    <row r="1133" spans="170:174" ht="11.25" customHeight="1">
      <c r="FN1133" s="50"/>
      <c r="FO1133" s="47"/>
      <c r="FP1133" s="47"/>
      <c r="FQ1133" s="47"/>
      <c r="FR1133" s="47"/>
    </row>
    <row r="1134" spans="170:174" ht="11.25" customHeight="1">
      <c r="FN1134" s="50"/>
      <c r="FO1134" s="47"/>
      <c r="FP1134" s="47"/>
      <c r="FQ1134" s="47"/>
      <c r="FR1134" s="47"/>
    </row>
    <row r="1135" spans="170:174" ht="11.25" customHeight="1">
      <c r="FN1135" s="50"/>
      <c r="FO1135" s="47"/>
      <c r="FP1135" s="47"/>
      <c r="FQ1135" s="47"/>
      <c r="FR1135" s="47"/>
    </row>
    <row r="1136" spans="170:174" ht="11.25" customHeight="1">
      <c r="FN1136" s="50"/>
      <c r="FO1136" s="47"/>
      <c r="FP1136" s="47"/>
      <c r="FQ1136" s="47"/>
      <c r="FR1136" s="47"/>
    </row>
    <row r="1137" spans="170:174" ht="11.25" customHeight="1">
      <c r="FN1137" s="50"/>
      <c r="FO1137" s="47"/>
      <c r="FP1137" s="47"/>
      <c r="FQ1137" s="47"/>
      <c r="FR1137" s="47"/>
    </row>
    <row r="1138" spans="170:174" ht="11.25" customHeight="1">
      <c r="FN1138" s="50"/>
      <c r="FO1138" s="47"/>
      <c r="FP1138" s="47"/>
      <c r="FQ1138" s="47"/>
      <c r="FR1138" s="47"/>
    </row>
    <row r="1139" spans="170:174" ht="11.25" customHeight="1">
      <c r="FN1139" s="50"/>
      <c r="FO1139" s="47"/>
      <c r="FP1139" s="47"/>
      <c r="FQ1139" s="47"/>
      <c r="FR1139" s="47"/>
    </row>
    <row r="1140" spans="170:174" ht="11.25" customHeight="1">
      <c r="FN1140" s="50"/>
      <c r="FO1140" s="47"/>
      <c r="FP1140" s="47"/>
      <c r="FQ1140" s="47"/>
      <c r="FR1140" s="47"/>
    </row>
    <row r="1141" spans="170:174" ht="11.25" customHeight="1">
      <c r="FN1141" s="50"/>
      <c r="FO1141" s="47"/>
      <c r="FP1141" s="47"/>
      <c r="FQ1141" s="47"/>
      <c r="FR1141" s="47"/>
    </row>
    <row r="1142" spans="170:174" ht="11.25" customHeight="1">
      <c r="FN1142" s="50"/>
      <c r="FO1142" s="47"/>
      <c r="FP1142" s="47"/>
      <c r="FQ1142" s="47"/>
      <c r="FR1142" s="47"/>
    </row>
    <row r="1143" spans="170:174" ht="11.25" customHeight="1">
      <c r="FN1143" s="50"/>
      <c r="FO1143" s="47"/>
      <c r="FP1143" s="47"/>
      <c r="FQ1143" s="47"/>
      <c r="FR1143" s="47"/>
    </row>
    <row r="1144" spans="170:174" ht="11.25" customHeight="1">
      <c r="FN1144" s="50"/>
      <c r="FO1144" s="47"/>
      <c r="FP1144" s="47"/>
      <c r="FQ1144" s="47"/>
      <c r="FR1144" s="47"/>
    </row>
    <row r="1145" spans="170:174" ht="11.25" customHeight="1">
      <c r="FN1145" s="50"/>
      <c r="FO1145" s="47"/>
      <c r="FP1145" s="47"/>
      <c r="FQ1145" s="47"/>
      <c r="FR1145" s="47"/>
    </row>
    <row r="1146" spans="170:174" ht="11.25" customHeight="1">
      <c r="FN1146" s="50"/>
      <c r="FO1146" s="47"/>
      <c r="FP1146" s="47"/>
      <c r="FQ1146" s="47"/>
      <c r="FR1146" s="47"/>
    </row>
    <row r="1147" spans="170:174" ht="11.25" customHeight="1">
      <c r="FN1147" s="50"/>
      <c r="FO1147" s="47"/>
      <c r="FP1147" s="47"/>
      <c r="FQ1147" s="47"/>
      <c r="FR1147" s="47"/>
    </row>
    <row r="1148" spans="170:174" ht="11.25" customHeight="1">
      <c r="FN1148" s="50"/>
      <c r="FO1148" s="47"/>
      <c r="FP1148" s="47"/>
      <c r="FQ1148" s="47"/>
      <c r="FR1148" s="47"/>
    </row>
    <row r="1149" spans="170:174" ht="11.25" customHeight="1">
      <c r="FN1149" s="50"/>
      <c r="FO1149" s="47"/>
      <c r="FP1149" s="47"/>
      <c r="FQ1149" s="47"/>
      <c r="FR1149" s="47"/>
    </row>
    <row r="1150" spans="170:174" ht="11.25" customHeight="1">
      <c r="FN1150" s="50"/>
      <c r="FO1150" s="47"/>
      <c r="FP1150" s="47"/>
      <c r="FQ1150" s="47"/>
      <c r="FR1150" s="47"/>
    </row>
    <row r="1151" spans="170:174" ht="11.25" customHeight="1">
      <c r="FN1151" s="50"/>
      <c r="FO1151" s="47"/>
      <c r="FP1151" s="47"/>
      <c r="FQ1151" s="47"/>
      <c r="FR1151" s="47"/>
    </row>
    <row r="1152" spans="170:174" ht="11.25" customHeight="1">
      <c r="FN1152" s="50"/>
      <c r="FO1152" s="47"/>
      <c r="FP1152" s="47"/>
      <c r="FQ1152" s="47"/>
      <c r="FR1152" s="47"/>
    </row>
    <row r="1153" spans="170:174" ht="11.25" customHeight="1">
      <c r="FN1153" s="50"/>
      <c r="FO1153" s="47"/>
      <c r="FP1153" s="47"/>
      <c r="FQ1153" s="47"/>
      <c r="FR1153" s="47"/>
    </row>
    <row r="1154" spans="170:174" ht="11.25" customHeight="1">
      <c r="FN1154" s="50"/>
      <c r="FO1154" s="47"/>
      <c r="FP1154" s="47"/>
      <c r="FQ1154" s="47"/>
      <c r="FR1154" s="47"/>
    </row>
    <row r="1155" spans="170:174" ht="11.25" customHeight="1">
      <c r="FN1155" s="50"/>
      <c r="FO1155" s="47"/>
      <c r="FP1155" s="47"/>
      <c r="FQ1155" s="47"/>
      <c r="FR1155" s="47"/>
    </row>
    <row r="1156" spans="170:174" ht="11.25" customHeight="1">
      <c r="FN1156" s="50"/>
      <c r="FO1156" s="47"/>
      <c r="FP1156" s="47"/>
      <c r="FQ1156" s="47"/>
      <c r="FR1156" s="47"/>
    </row>
    <row r="1157" spans="170:174" ht="11.25" customHeight="1">
      <c r="FN1157" s="50"/>
      <c r="FO1157" s="47"/>
      <c r="FP1157" s="47"/>
      <c r="FQ1157" s="47"/>
      <c r="FR1157" s="47"/>
    </row>
    <row r="1158" spans="170:174" ht="11.25" customHeight="1">
      <c r="FN1158" s="50"/>
      <c r="FO1158" s="47"/>
      <c r="FP1158" s="47"/>
      <c r="FQ1158" s="47"/>
      <c r="FR1158" s="47"/>
    </row>
    <row r="1159" spans="170:174" ht="11.25" customHeight="1">
      <c r="FN1159" s="50"/>
      <c r="FO1159" s="47"/>
      <c r="FP1159" s="47"/>
      <c r="FQ1159" s="47"/>
      <c r="FR1159" s="47"/>
    </row>
    <row r="1160" spans="170:174" ht="11.25" customHeight="1">
      <c r="FN1160" s="50"/>
      <c r="FO1160" s="47"/>
      <c r="FP1160" s="47"/>
      <c r="FQ1160" s="47"/>
      <c r="FR1160" s="47"/>
    </row>
    <row r="1161" spans="170:174" ht="11.25" customHeight="1">
      <c r="FN1161" s="50"/>
      <c r="FO1161" s="47"/>
      <c r="FP1161" s="47"/>
      <c r="FQ1161" s="47"/>
      <c r="FR1161" s="47"/>
    </row>
    <row r="1162" spans="170:174" ht="11.25" customHeight="1">
      <c r="FN1162" s="50"/>
      <c r="FO1162" s="47"/>
      <c r="FP1162" s="47"/>
      <c r="FQ1162" s="47"/>
      <c r="FR1162" s="47"/>
    </row>
    <row r="1163" spans="170:174" ht="11.25" customHeight="1">
      <c r="FN1163" s="50"/>
      <c r="FO1163" s="47"/>
      <c r="FP1163" s="47"/>
      <c r="FQ1163" s="47"/>
      <c r="FR1163" s="47"/>
    </row>
    <row r="1164" spans="170:174" ht="11.25" customHeight="1">
      <c r="FN1164" s="50"/>
      <c r="FO1164" s="47"/>
      <c r="FP1164" s="47"/>
      <c r="FQ1164" s="47"/>
      <c r="FR1164" s="47"/>
    </row>
    <row r="1165" spans="170:174" ht="11.25" customHeight="1">
      <c r="FN1165" s="50"/>
      <c r="FO1165" s="47"/>
      <c r="FP1165" s="47"/>
      <c r="FQ1165" s="47"/>
      <c r="FR1165" s="47"/>
    </row>
    <row r="1166" spans="170:174" ht="11.25" customHeight="1">
      <c r="FN1166" s="50"/>
      <c r="FO1166" s="47"/>
      <c r="FP1166" s="47"/>
      <c r="FQ1166" s="47"/>
      <c r="FR1166" s="47"/>
    </row>
    <row r="1167" spans="170:174" ht="11.25" customHeight="1">
      <c r="FN1167" s="50"/>
      <c r="FO1167" s="47"/>
      <c r="FP1167" s="47"/>
      <c r="FQ1167" s="47"/>
      <c r="FR1167" s="47"/>
    </row>
    <row r="1168" spans="170:174" ht="11.25" customHeight="1">
      <c r="FN1168" s="50"/>
      <c r="FO1168" s="47"/>
      <c r="FP1168" s="47"/>
      <c r="FQ1168" s="47"/>
      <c r="FR1168" s="47"/>
    </row>
    <row r="1169" spans="170:174" ht="11.25" customHeight="1">
      <c r="FN1169" s="50"/>
      <c r="FO1169" s="47"/>
      <c r="FP1169" s="47"/>
      <c r="FQ1169" s="47"/>
      <c r="FR1169" s="47"/>
    </row>
    <row r="1170" spans="170:174" ht="11.25" customHeight="1">
      <c r="FN1170" s="50"/>
      <c r="FO1170" s="47"/>
      <c r="FP1170" s="47"/>
      <c r="FQ1170" s="47"/>
      <c r="FR1170" s="47"/>
    </row>
    <row r="1171" spans="170:174" ht="11.25" customHeight="1">
      <c r="FN1171" s="50"/>
      <c r="FO1171" s="47"/>
      <c r="FP1171" s="47"/>
      <c r="FQ1171" s="47"/>
      <c r="FR1171" s="47"/>
    </row>
    <row r="1172" spans="170:174" ht="11.25" customHeight="1">
      <c r="FN1172" s="50"/>
      <c r="FO1172" s="47"/>
      <c r="FP1172" s="47"/>
      <c r="FQ1172" s="47"/>
      <c r="FR1172" s="47"/>
    </row>
    <row r="1173" spans="170:174" ht="11.25" customHeight="1">
      <c r="FN1173" s="50"/>
      <c r="FO1173" s="47"/>
      <c r="FP1173" s="47"/>
      <c r="FQ1173" s="47"/>
      <c r="FR1173" s="47"/>
    </row>
    <row r="1174" spans="170:174" ht="11.25" customHeight="1">
      <c r="FN1174" s="50"/>
      <c r="FO1174" s="47"/>
      <c r="FP1174" s="47"/>
      <c r="FQ1174" s="47"/>
      <c r="FR1174" s="47"/>
    </row>
    <row r="1175" spans="170:174" ht="11.25" customHeight="1">
      <c r="FN1175" s="50"/>
      <c r="FO1175" s="47"/>
      <c r="FP1175" s="47"/>
      <c r="FQ1175" s="47"/>
      <c r="FR1175" s="47"/>
    </row>
    <row r="1176" spans="170:174" ht="11.25" customHeight="1">
      <c r="FN1176" s="50"/>
      <c r="FO1176" s="47"/>
      <c r="FP1176" s="47"/>
      <c r="FQ1176" s="47"/>
      <c r="FR1176" s="47"/>
    </row>
    <row r="1177" spans="170:174" ht="11.25" customHeight="1">
      <c r="FN1177" s="50"/>
      <c r="FO1177" s="47"/>
      <c r="FP1177" s="47"/>
      <c r="FQ1177" s="47"/>
      <c r="FR1177" s="47"/>
    </row>
    <row r="1178" spans="170:174" ht="11.25" customHeight="1">
      <c r="FN1178" s="50"/>
      <c r="FO1178" s="47"/>
      <c r="FP1178" s="47"/>
      <c r="FQ1178" s="47"/>
      <c r="FR1178" s="47"/>
    </row>
    <row r="1179" spans="170:174" ht="11.25" customHeight="1">
      <c r="FN1179" s="50"/>
      <c r="FO1179" s="47"/>
      <c r="FP1179" s="47"/>
      <c r="FQ1179" s="47"/>
      <c r="FR1179" s="47"/>
    </row>
    <row r="1180" spans="170:174" ht="11.25" customHeight="1">
      <c r="FN1180" s="50"/>
      <c r="FO1180" s="47"/>
      <c r="FP1180" s="47"/>
      <c r="FQ1180" s="47"/>
      <c r="FR1180" s="47"/>
    </row>
    <row r="1181" spans="170:174" ht="11.25" customHeight="1">
      <c r="FN1181" s="50"/>
      <c r="FO1181" s="47"/>
      <c r="FP1181" s="47"/>
      <c r="FQ1181" s="47"/>
      <c r="FR1181" s="47"/>
    </row>
    <row r="1182" spans="170:174" ht="11.25" customHeight="1">
      <c r="FN1182" s="50"/>
      <c r="FO1182" s="47"/>
      <c r="FP1182" s="47"/>
      <c r="FQ1182" s="47"/>
      <c r="FR1182" s="47"/>
    </row>
    <row r="1183" spans="170:174" ht="11.25" customHeight="1">
      <c r="FN1183" s="50"/>
      <c r="FO1183" s="47"/>
      <c r="FP1183" s="47"/>
      <c r="FQ1183" s="47"/>
      <c r="FR1183" s="47"/>
    </row>
    <row r="1184" spans="170:174" ht="11.25" customHeight="1">
      <c r="FN1184" s="50"/>
      <c r="FO1184" s="47"/>
      <c r="FP1184" s="47"/>
      <c r="FQ1184" s="47"/>
      <c r="FR1184" s="47"/>
    </row>
    <row r="1185" spans="170:174" ht="11.25" customHeight="1">
      <c r="FN1185" s="50"/>
      <c r="FO1185" s="47"/>
      <c r="FP1185" s="47"/>
      <c r="FQ1185" s="47"/>
      <c r="FR1185" s="47"/>
    </row>
    <row r="1186" spans="170:174" ht="11.25" customHeight="1">
      <c r="FN1186" s="50"/>
      <c r="FO1186" s="47"/>
      <c r="FP1186" s="47"/>
      <c r="FQ1186" s="47"/>
      <c r="FR1186" s="47"/>
    </row>
    <row r="1187" spans="170:174" ht="11.25" customHeight="1">
      <c r="FN1187" s="50"/>
      <c r="FO1187" s="47"/>
      <c r="FP1187" s="47"/>
      <c r="FQ1187" s="47"/>
      <c r="FR1187" s="47"/>
    </row>
    <row r="1188" spans="170:174" ht="11.25" customHeight="1">
      <c r="FN1188" s="50"/>
      <c r="FO1188" s="47"/>
      <c r="FP1188" s="47"/>
      <c r="FQ1188" s="47"/>
      <c r="FR1188" s="47"/>
    </row>
    <row r="1189" spans="170:174" ht="11.25" customHeight="1">
      <c r="FN1189" s="50"/>
      <c r="FO1189" s="47"/>
      <c r="FP1189" s="47"/>
      <c r="FQ1189" s="47"/>
      <c r="FR1189" s="47"/>
    </row>
    <row r="1190" spans="170:174" ht="11.25" customHeight="1">
      <c r="FN1190" s="50"/>
      <c r="FO1190" s="47"/>
      <c r="FP1190" s="47"/>
      <c r="FQ1190" s="47"/>
      <c r="FR1190" s="47"/>
    </row>
    <row r="1191" spans="170:174" ht="11.25" customHeight="1">
      <c r="FN1191" s="50"/>
      <c r="FO1191" s="47"/>
      <c r="FP1191" s="47"/>
      <c r="FQ1191" s="47"/>
      <c r="FR1191" s="47"/>
    </row>
    <row r="1192" spans="170:174" ht="11.25" customHeight="1">
      <c r="FN1192" s="50"/>
      <c r="FO1192" s="47"/>
      <c r="FP1192" s="47"/>
      <c r="FQ1192" s="47"/>
      <c r="FR1192" s="47"/>
    </row>
    <row r="1193" spans="170:174" ht="11.25" customHeight="1">
      <c r="FN1193" s="50"/>
      <c r="FO1193" s="47"/>
      <c r="FP1193" s="47"/>
      <c r="FQ1193" s="47"/>
      <c r="FR1193" s="47"/>
    </row>
    <row r="1194" spans="170:174" ht="11.25" customHeight="1">
      <c r="FN1194" s="50"/>
      <c r="FO1194" s="47"/>
      <c r="FP1194" s="47"/>
      <c r="FQ1194" s="47"/>
      <c r="FR1194" s="47"/>
    </row>
    <row r="1195" spans="170:174" ht="11.25" customHeight="1">
      <c r="FN1195" s="50"/>
      <c r="FO1195" s="47"/>
      <c r="FP1195" s="47"/>
      <c r="FQ1195" s="47"/>
      <c r="FR1195" s="47"/>
    </row>
    <row r="1196" spans="170:174" ht="11.25" customHeight="1">
      <c r="FN1196" s="50"/>
      <c r="FO1196" s="47"/>
      <c r="FP1196" s="47"/>
      <c r="FQ1196" s="47"/>
      <c r="FR1196" s="47"/>
    </row>
    <row r="1197" spans="170:174" ht="11.25" customHeight="1">
      <c r="FN1197" s="50"/>
      <c r="FO1197" s="47"/>
      <c r="FP1197" s="47"/>
      <c r="FQ1197" s="47"/>
      <c r="FR1197" s="47"/>
    </row>
    <row r="1198" spans="170:174" ht="11.25" customHeight="1">
      <c r="FN1198" s="50"/>
      <c r="FO1198" s="47"/>
      <c r="FP1198" s="47"/>
      <c r="FQ1198" s="47"/>
      <c r="FR1198" s="47"/>
    </row>
    <row r="1199" spans="170:174" ht="11.25" customHeight="1">
      <c r="FN1199" s="50"/>
      <c r="FO1199" s="47"/>
      <c r="FP1199" s="47"/>
      <c r="FQ1199" s="47"/>
      <c r="FR1199" s="47"/>
    </row>
    <row r="1200" spans="170:174" ht="11.25" customHeight="1">
      <c r="FN1200" s="50"/>
      <c r="FO1200" s="47"/>
      <c r="FP1200" s="47"/>
      <c r="FQ1200" s="47"/>
      <c r="FR1200" s="47"/>
    </row>
    <row r="1201" spans="170:174" ht="11.25" customHeight="1">
      <c r="FN1201" s="50"/>
      <c r="FO1201" s="47"/>
      <c r="FP1201" s="47"/>
      <c r="FQ1201" s="47"/>
      <c r="FR1201" s="47"/>
    </row>
    <row r="1202" spans="170:174" ht="11.25" customHeight="1">
      <c r="FN1202" s="50"/>
      <c r="FO1202" s="47"/>
      <c r="FP1202" s="47"/>
      <c r="FQ1202" s="47"/>
      <c r="FR1202" s="47"/>
    </row>
    <row r="1203" spans="170:174" ht="11.25" customHeight="1">
      <c r="FN1203" s="50"/>
      <c r="FO1203" s="47"/>
      <c r="FP1203" s="47"/>
      <c r="FQ1203" s="47"/>
      <c r="FR1203" s="47"/>
    </row>
    <row r="1204" spans="170:174" ht="11.25" customHeight="1">
      <c r="FN1204" s="50"/>
      <c r="FO1204" s="47"/>
      <c r="FP1204" s="47"/>
      <c r="FQ1204" s="47"/>
      <c r="FR1204" s="47"/>
    </row>
    <row r="1205" spans="170:174" ht="11.25" customHeight="1">
      <c r="FN1205" s="50"/>
      <c r="FO1205" s="47"/>
      <c r="FP1205" s="47"/>
      <c r="FQ1205" s="47"/>
      <c r="FR1205" s="47"/>
    </row>
    <row r="1206" spans="170:174" ht="11.25" customHeight="1">
      <c r="FN1206" s="50"/>
      <c r="FO1206" s="47"/>
      <c r="FP1206" s="47"/>
      <c r="FQ1206" s="47"/>
      <c r="FR1206" s="47"/>
    </row>
    <row r="1207" spans="170:174" ht="11.25" customHeight="1">
      <c r="FN1207" s="50"/>
      <c r="FO1207" s="47"/>
      <c r="FP1207" s="47"/>
      <c r="FQ1207" s="47"/>
      <c r="FR1207" s="47"/>
    </row>
    <row r="1208" spans="170:174" ht="11.25" customHeight="1">
      <c r="FN1208" s="50"/>
      <c r="FO1208" s="47"/>
      <c r="FP1208" s="47"/>
      <c r="FQ1208" s="47"/>
      <c r="FR1208" s="47"/>
    </row>
    <row r="1209" spans="170:174" ht="11.25" customHeight="1">
      <c r="FN1209" s="50"/>
      <c r="FO1209" s="47"/>
      <c r="FP1209" s="47"/>
      <c r="FQ1209" s="47"/>
      <c r="FR1209" s="47"/>
    </row>
    <row r="1210" spans="170:174" ht="11.25" customHeight="1">
      <c r="FN1210" s="50"/>
      <c r="FO1210" s="47"/>
      <c r="FP1210" s="47"/>
      <c r="FQ1210" s="47"/>
      <c r="FR1210" s="47"/>
    </row>
    <row r="1211" spans="170:174" ht="11.25" customHeight="1">
      <c r="FN1211" s="50"/>
      <c r="FO1211" s="47"/>
      <c r="FP1211" s="47"/>
      <c r="FQ1211" s="47"/>
      <c r="FR1211" s="47"/>
    </row>
    <row r="1212" spans="170:174" ht="11.25" customHeight="1">
      <c r="FN1212" s="50"/>
      <c r="FO1212" s="47"/>
      <c r="FP1212" s="47"/>
      <c r="FQ1212" s="47"/>
      <c r="FR1212" s="47"/>
    </row>
    <row r="1213" spans="170:174" ht="11.25" customHeight="1">
      <c r="FN1213" s="50"/>
      <c r="FO1213" s="47"/>
      <c r="FP1213" s="47"/>
      <c r="FQ1213" s="47"/>
      <c r="FR1213" s="47"/>
    </row>
    <row r="1214" spans="170:174" ht="11.25" customHeight="1">
      <c r="FN1214" s="50"/>
      <c r="FO1214" s="47"/>
      <c r="FP1214" s="47"/>
      <c r="FQ1214" s="47"/>
      <c r="FR1214" s="47"/>
    </row>
    <row r="1215" spans="170:174" ht="11.25" customHeight="1">
      <c r="FN1215" s="50"/>
      <c r="FO1215" s="47"/>
      <c r="FP1215" s="47"/>
      <c r="FQ1215" s="47"/>
      <c r="FR1215" s="47"/>
    </row>
    <row r="1216" spans="170:174" ht="11.25" customHeight="1">
      <c r="FN1216" s="50"/>
      <c r="FO1216" s="47"/>
      <c r="FP1216" s="47"/>
      <c r="FQ1216" s="47"/>
      <c r="FR1216" s="47"/>
    </row>
    <row r="1217" spans="170:174" ht="11.25" customHeight="1">
      <c r="FN1217" s="50"/>
      <c r="FO1217" s="47"/>
      <c r="FP1217" s="47"/>
      <c r="FQ1217" s="47"/>
      <c r="FR1217" s="47"/>
    </row>
    <row r="1218" spans="170:174" ht="11.25" customHeight="1">
      <c r="FN1218" s="50"/>
      <c r="FO1218" s="47"/>
      <c r="FP1218" s="47"/>
      <c r="FQ1218" s="47"/>
      <c r="FR1218" s="47"/>
    </row>
    <row r="1219" spans="170:174" ht="11.25" customHeight="1">
      <c r="FN1219" s="50"/>
      <c r="FO1219" s="47"/>
      <c r="FP1219" s="47"/>
      <c r="FQ1219" s="47"/>
      <c r="FR1219" s="47"/>
    </row>
    <row r="1220" spans="170:174" ht="11.25" customHeight="1">
      <c r="FN1220" s="50"/>
      <c r="FO1220" s="47"/>
      <c r="FP1220" s="47"/>
      <c r="FQ1220" s="47"/>
      <c r="FR1220" s="47"/>
    </row>
    <row r="1221" spans="170:174" ht="11.25" customHeight="1">
      <c r="FN1221" s="50"/>
      <c r="FO1221" s="47"/>
      <c r="FP1221" s="47"/>
      <c r="FQ1221" s="47"/>
      <c r="FR1221" s="47"/>
    </row>
    <row r="1222" spans="170:174" ht="11.25" customHeight="1">
      <c r="FN1222" s="50"/>
      <c r="FO1222" s="47"/>
      <c r="FP1222" s="47"/>
      <c r="FQ1222" s="47"/>
      <c r="FR1222" s="47"/>
    </row>
    <row r="1223" spans="170:174" ht="11.25" customHeight="1">
      <c r="FN1223" s="50"/>
      <c r="FO1223" s="47"/>
      <c r="FP1223" s="47"/>
      <c r="FQ1223" s="47"/>
      <c r="FR1223" s="47"/>
    </row>
    <row r="1224" spans="170:174" ht="11.25" customHeight="1">
      <c r="FN1224" s="50"/>
      <c r="FO1224" s="47"/>
      <c r="FP1224" s="47"/>
      <c r="FQ1224" s="47"/>
      <c r="FR1224" s="47"/>
    </row>
    <row r="1225" spans="170:174" ht="11.25" customHeight="1">
      <c r="FN1225" s="50"/>
      <c r="FO1225" s="47"/>
      <c r="FP1225" s="47"/>
      <c r="FQ1225" s="47"/>
      <c r="FR1225" s="47"/>
    </row>
  </sheetData>
  <sheetProtection sheet="1" objects="1" scenarios="1" selectLockedCells="1"/>
  <mergeCells count="1">
    <mergeCell ref="B11:B26"/>
  </mergeCells>
  <phoneticPr fontId="2" type="noConversion"/>
  <conditionalFormatting sqref="Q3">
    <cfRule type="cellIs" dxfId="9" priority="1" stopIfTrue="1" operator="greaterThan">
      <formula>$CW$50</formula>
    </cfRule>
    <cfRule type="cellIs" dxfId="8" priority="2" stopIfTrue="1" operator="lessThan">
      <formula>$CW$50</formula>
    </cfRule>
  </conditionalFormatting>
  <conditionalFormatting sqref="S3">
    <cfRule type="cellIs" dxfId="7" priority="3" stopIfTrue="1" operator="greaterThan">
      <formula>$CW$50</formula>
    </cfRule>
    <cfRule type="cellIs" dxfId="6" priority="4" stopIfTrue="1" operator="lessThan">
      <formula>$CW$50</formula>
    </cfRule>
  </conditionalFormatting>
  <conditionalFormatting sqref="Q2">
    <cfRule type="cellIs" dxfId="5" priority="5" stopIfTrue="1" operator="equal">
      <formula>$CZ$72</formula>
    </cfRule>
    <cfRule type="cellIs" dxfId="4" priority="6" stopIfTrue="1" operator="notEqual">
      <formula>$CZ$72</formula>
    </cfRule>
  </conditionalFormatting>
  <conditionalFormatting sqref="S2">
    <cfRule type="cellIs" dxfId="3" priority="7" stopIfTrue="1" operator="equal">
      <formula>$CZ$73</formula>
    </cfRule>
    <cfRule type="cellIs" dxfId="2" priority="8" stopIfTrue="1" operator="notEqual">
      <formula>$CZ$73</formula>
    </cfRule>
  </conditionalFormatting>
  <dataValidations disablePrompts="1" count="4">
    <dataValidation type="whole" operator="greaterThanOrEqual" allowBlank="1" showInputMessage="1" showErrorMessage="1" errorTitle="Group size" error="Min 2" sqref="DC31 G12:H12 G20:H20 DQ41:DR41 CW70:CX70">
      <formula1>2</formula1>
    </dataValidation>
    <dataValidation type="decimal" operator="greaterThan" allowBlank="1" showInputMessage="1" showErrorMessage="1" errorTitle="Group mean" error="Must be a number" sqref="DC32 G13:H13 G21:H21 DQ42:DR42 CW71:CX71">
      <formula1>-9999999999998</formula1>
    </dataValidation>
    <dataValidation type="decimal" operator="greaterThan" allowBlank="1" showInputMessage="1" showErrorMessage="1" errorTitle="Group SD" error="Must be a positive number" sqref="DC33 G14:H14 G22:H22 DQ43:DR43 CW72:CX72">
      <formula1>0</formula1>
    </dataValidation>
    <dataValidation type="decimal" allowBlank="1" showInputMessage="1" showErrorMessage="1" errorTitle="Level of confidence" error="Min 1, max 99.9" sqref="H6">
      <formula1>1</formula1>
      <formula2>99.9</formula2>
    </dataValidation>
  </dataValidations>
  <pageMargins left="0.55118110236220474" right="0.55118110236220474" top="0.59055118110236227" bottom="0.59055118110236227" header="0.51181102362204722" footer="0.51181102362204722"/>
  <pageSetup paperSize="9" orientation="landscape" r:id="rId1"/>
  <headerFooter alignWithMargins="0">
    <oddHeader>&amp;A</oddHeader>
    <oddFooter>Page &amp;P</oddFooter>
  </headerFooter>
  <drawing r:id="rId2"/>
  <legacyDrawing r:id="rId3"/>
</worksheet>
</file>

<file path=xl/worksheets/sheet13.xml><?xml version="1.0" encoding="utf-8"?>
<worksheet xmlns="http://schemas.openxmlformats.org/spreadsheetml/2006/main" xmlns:r="http://schemas.openxmlformats.org/officeDocument/2006/relationships">
  <sheetPr codeName="Sheet211"/>
  <dimension ref="A1:CG1030"/>
  <sheetViews>
    <sheetView showGridLines="0" showRowColHeaders="0" zoomScale="120" workbookViewId="0">
      <selection activeCell="B9" sqref="B9"/>
    </sheetView>
  </sheetViews>
  <sheetFormatPr defaultRowHeight="12.75" customHeight="1"/>
  <cols>
    <col min="1" max="1" width="3.85546875" style="5" customWidth="1"/>
    <col min="2" max="2" width="7.7109375" style="5" customWidth="1"/>
    <col min="3" max="3" width="3.5703125" style="43" customWidth="1"/>
    <col min="4" max="4" width="3.85546875" style="5" customWidth="1"/>
    <col min="5" max="5" width="7.7109375" style="5" customWidth="1"/>
    <col min="6" max="6" width="3.5703125" style="5" customWidth="1"/>
    <col min="7" max="7" width="1.42578125" style="5" customWidth="1"/>
    <col min="8" max="8" width="3" style="5" customWidth="1"/>
    <col min="9" max="9" width="5.85546875" style="5" customWidth="1"/>
    <col min="10" max="10" width="4.7109375" style="5" customWidth="1"/>
    <col min="11" max="14" width="7.42578125" style="5" customWidth="1"/>
    <col min="15" max="15" width="5.85546875" style="68" customWidth="1"/>
    <col min="16" max="16" width="7.42578125" style="5" customWidth="1"/>
    <col min="17" max="17" width="4.28515625" style="5" customWidth="1"/>
    <col min="18" max="18" width="8.85546875" style="5" customWidth="1"/>
    <col min="19" max="19" width="11.7109375" style="5" customWidth="1"/>
    <col min="20" max="20" width="8.85546875" style="5" customWidth="1"/>
    <col min="21" max="21" width="8.140625" style="5" customWidth="1"/>
    <col min="22" max="22" width="4.85546875" style="5" customWidth="1"/>
    <col min="23" max="23" width="3.7109375" style="5" customWidth="1"/>
    <col min="24" max="24" width="8.5703125" style="5" customWidth="1"/>
    <col min="25" max="28" width="5.7109375" style="5" customWidth="1"/>
    <col min="29" max="37" width="9.140625" style="5"/>
    <col min="38" max="38" width="4.5703125" style="5" customWidth="1"/>
    <col min="39" max="39" width="5.85546875" style="5" customWidth="1"/>
    <col min="40" max="40" width="6.28515625" style="5" customWidth="1"/>
    <col min="41" max="41" width="6" style="5" customWidth="1"/>
    <col min="42" max="61" width="8" style="5" customWidth="1"/>
    <col min="62" max="62" width="3.85546875" style="5" customWidth="1"/>
    <col min="63" max="63" width="7.7109375" style="5" customWidth="1"/>
    <col min="64" max="64" width="3.5703125" style="43" customWidth="1"/>
    <col min="65" max="65" width="3.85546875" style="5" customWidth="1"/>
    <col min="66" max="66" width="7.7109375" style="5" customWidth="1"/>
    <col min="67" max="67" width="3.5703125" style="5" customWidth="1"/>
    <col min="68" max="68" width="1.42578125" style="5" customWidth="1"/>
    <col min="69" max="69" width="9.140625" style="5"/>
    <col min="70" max="70" width="3.85546875" style="5" customWidth="1"/>
    <col min="71" max="71" width="7.7109375" style="5" customWidth="1"/>
    <col min="72" max="72" width="3.5703125" style="43" customWidth="1"/>
    <col min="73" max="73" width="3.85546875" style="5" customWidth="1"/>
    <col min="74" max="74" width="7.7109375" style="5" customWidth="1"/>
    <col min="75" max="75" width="3.5703125" style="5" customWidth="1"/>
    <col min="76" max="76" width="1.42578125" style="5" customWidth="1"/>
    <col min="77" max="77" width="9.140625" style="5"/>
    <col min="78" max="78" width="3.85546875" style="5" customWidth="1"/>
    <col min="79" max="79" width="7.7109375" style="5" customWidth="1"/>
    <col min="80" max="80" width="3.5703125" style="43" customWidth="1"/>
    <col min="81" max="81" width="3.85546875" style="5" customWidth="1"/>
    <col min="82" max="82" width="7.7109375" style="5" customWidth="1"/>
    <col min="83" max="83" width="3.5703125" style="5" customWidth="1"/>
    <col min="84" max="84" width="1.42578125" style="5" customWidth="1"/>
    <col min="85" max="16384" width="9.140625" style="5"/>
  </cols>
  <sheetData>
    <row r="1" spans="1:84" ht="12.75" customHeight="1">
      <c r="B1" s="22"/>
      <c r="C1" s="542" t="s">
        <v>1375</v>
      </c>
      <c r="Q1" s="614">
        <f>(AN11+AN14+$AP$93+$X$86)/1000000</f>
        <v>2.1499999999999999E-4</v>
      </c>
      <c r="R1" s="614">
        <f t="shared" ref="R1:AE1" si="0">$Q$1</f>
        <v>2.1499999999999999E-4</v>
      </c>
      <c r="S1" s="614">
        <f t="shared" si="0"/>
        <v>2.1499999999999999E-4</v>
      </c>
      <c r="T1" s="614">
        <f t="shared" si="0"/>
        <v>2.1499999999999999E-4</v>
      </c>
      <c r="U1" s="614">
        <f t="shared" si="0"/>
        <v>2.1499999999999999E-4</v>
      </c>
      <c r="V1" s="84">
        <f t="shared" si="0"/>
        <v>2.1499999999999999E-4</v>
      </c>
      <c r="W1" s="614">
        <f t="shared" si="0"/>
        <v>2.1499999999999999E-4</v>
      </c>
      <c r="X1" s="614">
        <f t="shared" si="0"/>
        <v>2.1499999999999999E-4</v>
      </c>
      <c r="Y1" s="614">
        <f t="shared" si="0"/>
        <v>2.1499999999999999E-4</v>
      </c>
      <c r="Z1" s="614">
        <f t="shared" si="0"/>
        <v>2.1499999999999999E-4</v>
      </c>
      <c r="AA1" s="614">
        <f t="shared" si="0"/>
        <v>2.1499999999999999E-4</v>
      </c>
      <c r="AB1" s="614">
        <f t="shared" si="0"/>
        <v>2.1499999999999999E-4</v>
      </c>
      <c r="AC1" s="614">
        <f t="shared" si="0"/>
        <v>2.1499999999999999E-4</v>
      </c>
      <c r="AD1" s="614">
        <f t="shared" si="0"/>
        <v>2.1499999999999999E-4</v>
      </c>
      <c r="AE1" s="84">
        <f t="shared" si="0"/>
        <v>2.1499999999999999E-4</v>
      </c>
      <c r="BJ1" s="87"/>
      <c r="BK1" s="615"/>
      <c r="BL1" s="356"/>
      <c r="BM1" s="12"/>
      <c r="BN1" s="12"/>
      <c r="BO1" s="12"/>
      <c r="BP1" s="13"/>
      <c r="BR1" s="87"/>
      <c r="BS1" s="615"/>
      <c r="BT1" s="356"/>
      <c r="BU1" s="12"/>
      <c r="BV1" s="12"/>
      <c r="BW1" s="12"/>
      <c r="BX1" s="13"/>
      <c r="BZ1" s="87"/>
      <c r="CA1" s="615"/>
      <c r="CB1" s="356"/>
      <c r="CC1" s="12"/>
      <c r="CD1" s="12"/>
      <c r="CE1" s="12"/>
      <c r="CF1" s="13"/>
    </row>
    <row r="2" spans="1:84" ht="12.75" customHeight="1">
      <c r="B2" s="7"/>
      <c r="C2" s="5" t="s">
        <v>234</v>
      </c>
      <c r="M2" s="616" t="s">
        <v>1379</v>
      </c>
      <c r="Q2" s="614">
        <f t="shared" ref="Q2:Q36" si="1">$Q$1</f>
        <v>2.1499999999999999E-4</v>
      </c>
      <c r="R2" s="95"/>
      <c r="V2" s="84">
        <f t="shared" ref="V2:W21" si="2">$Q$1</f>
        <v>2.1499999999999999E-4</v>
      </c>
      <c r="W2" s="614">
        <f t="shared" si="2"/>
        <v>2.1499999999999999E-4</v>
      </c>
      <c r="AE2" s="84">
        <f t="shared" ref="AE2:AE36" si="3">$Q$1</f>
        <v>2.1499999999999999E-4</v>
      </c>
      <c r="BJ2" s="617" t="s">
        <v>235</v>
      </c>
      <c r="BK2" s="611"/>
      <c r="BL2" s="12"/>
      <c r="BM2" s="12"/>
      <c r="BN2" s="12"/>
      <c r="BO2" s="12"/>
      <c r="BP2" s="13"/>
      <c r="BR2" s="617" t="s">
        <v>236</v>
      </c>
      <c r="BS2" s="611"/>
      <c r="BT2" s="12"/>
      <c r="BU2" s="12"/>
      <c r="BV2" s="12"/>
      <c r="BW2" s="12"/>
      <c r="BX2" s="13"/>
      <c r="BZ2" s="617" t="s">
        <v>237</v>
      </c>
      <c r="CA2" s="611"/>
      <c r="CB2" s="12"/>
      <c r="CC2" s="12"/>
      <c r="CD2" s="12"/>
      <c r="CE2" s="12"/>
      <c r="CF2" s="13"/>
    </row>
    <row r="3" spans="1:84" ht="12.75" customHeight="1">
      <c r="B3" s="7"/>
      <c r="C3" s="5" t="s">
        <v>1305</v>
      </c>
      <c r="Q3" s="614">
        <f t="shared" si="1"/>
        <v>2.1499999999999999E-4</v>
      </c>
      <c r="V3" s="84">
        <f t="shared" si="2"/>
        <v>2.1499999999999999E-4</v>
      </c>
      <c r="W3" s="614">
        <f t="shared" si="2"/>
        <v>2.1499999999999999E-4</v>
      </c>
      <c r="AE3" s="84">
        <f t="shared" si="3"/>
        <v>2.1499999999999999E-4</v>
      </c>
      <c r="BJ3" s="87"/>
      <c r="BK3" s="611"/>
      <c r="BL3" s="12"/>
      <c r="BM3" s="12"/>
      <c r="BN3" s="12"/>
      <c r="BO3" s="12"/>
      <c r="BP3" s="13"/>
      <c r="BR3" s="87"/>
      <c r="BS3" s="611"/>
      <c r="BT3" s="12"/>
      <c r="BU3" s="12"/>
      <c r="BV3" s="12"/>
      <c r="BW3" s="12"/>
      <c r="BX3" s="13"/>
      <c r="BZ3" s="87"/>
      <c r="CA3" s="611"/>
      <c r="CB3" s="12"/>
      <c r="CC3" s="12"/>
      <c r="CD3" s="12"/>
      <c r="CE3" s="12"/>
      <c r="CF3" s="13"/>
    </row>
    <row r="4" spans="1:84" ht="12.75" customHeight="1">
      <c r="A4" s="70"/>
      <c r="B4" s="70"/>
      <c r="C4" s="454"/>
      <c r="D4" s="70"/>
      <c r="E4" s="70"/>
      <c r="F4" s="70"/>
      <c r="G4" s="70"/>
      <c r="Q4" s="614">
        <f t="shared" si="1"/>
        <v>2.1499999999999999E-4</v>
      </c>
      <c r="V4" s="84">
        <f t="shared" si="2"/>
        <v>2.1499999999999999E-4</v>
      </c>
      <c r="W4" s="614">
        <f t="shared" si="2"/>
        <v>2.1499999999999999E-4</v>
      </c>
      <c r="AE4" s="84">
        <f t="shared" si="3"/>
        <v>2.1499999999999999E-4</v>
      </c>
      <c r="BJ4" s="87"/>
      <c r="BK4" s="12"/>
      <c r="BL4" s="383"/>
      <c r="BM4" s="12"/>
      <c r="BN4" s="12"/>
      <c r="BO4" s="12"/>
      <c r="BP4" s="13"/>
      <c r="BR4" s="87"/>
      <c r="BS4" s="12"/>
      <c r="BT4" s="383"/>
      <c r="BU4" s="12"/>
      <c r="BV4" s="12"/>
      <c r="BW4" s="12"/>
      <c r="BX4" s="13"/>
      <c r="BZ4" s="87"/>
      <c r="CA4" s="12"/>
      <c r="CB4" s="383"/>
      <c r="CC4" s="12"/>
      <c r="CD4" s="12"/>
      <c r="CE4" s="12"/>
      <c r="CF4" s="13"/>
    </row>
    <row r="5" spans="1:84" ht="12.75" customHeight="1">
      <c r="A5" s="12"/>
      <c r="B5" s="12"/>
      <c r="C5" s="618" t="s">
        <v>238</v>
      </c>
      <c r="D5" s="619" t="s">
        <v>5</v>
      </c>
      <c r="F5" s="620"/>
      <c r="G5" s="621"/>
      <c r="H5" s="34">
        <v>3</v>
      </c>
      <c r="I5" s="571" t="s">
        <v>328</v>
      </c>
      <c r="J5" s="664"/>
      <c r="K5" s="664"/>
      <c r="L5" s="664"/>
      <c r="M5" s="555"/>
      <c r="N5" s="664"/>
      <c r="O5" s="358"/>
      <c r="P5" s="19"/>
      <c r="Q5" s="614">
        <f t="shared" si="1"/>
        <v>2.1499999999999999E-4</v>
      </c>
      <c r="V5" s="84">
        <f t="shared" si="2"/>
        <v>2.1499999999999999E-4</v>
      </c>
      <c r="W5" s="614">
        <f t="shared" si="2"/>
        <v>2.1499999999999999E-4</v>
      </c>
      <c r="AE5" s="84">
        <f t="shared" si="3"/>
        <v>2.1499999999999999E-4</v>
      </c>
      <c r="BJ5" s="87"/>
      <c r="BK5" s="12"/>
      <c r="BL5" s="129" t="s">
        <v>238</v>
      </c>
      <c r="BM5" s="619" t="s">
        <v>5</v>
      </c>
      <c r="BN5" s="144"/>
      <c r="BO5" s="620"/>
      <c r="BP5" s="88"/>
      <c r="BR5" s="87"/>
      <c r="BS5" s="12"/>
      <c r="BT5" s="129" t="s">
        <v>238</v>
      </c>
      <c r="BU5" s="619" t="s">
        <v>1166</v>
      </c>
      <c r="BV5" s="144"/>
      <c r="BW5" s="620"/>
      <c r="BX5" s="88"/>
      <c r="BZ5" s="87"/>
      <c r="CA5" s="12"/>
      <c r="CB5" s="129" t="s">
        <v>238</v>
      </c>
      <c r="CC5" s="619" t="s">
        <v>239</v>
      </c>
      <c r="CD5" s="144"/>
      <c r="CE5" s="620"/>
      <c r="CF5" s="88"/>
    </row>
    <row r="6" spans="1:84" ht="12.75" customHeight="1">
      <c r="A6" s="622">
        <v>1</v>
      </c>
      <c r="B6" s="623" t="s">
        <v>240</v>
      </c>
      <c r="C6" s="619" t="s">
        <v>587</v>
      </c>
      <c r="D6" s="624"/>
      <c r="E6" s="620"/>
      <c r="F6" s="12"/>
      <c r="G6" s="13"/>
      <c r="H6" s="428"/>
      <c r="I6" s="493" t="s">
        <v>369</v>
      </c>
      <c r="J6" s="665"/>
      <c r="K6" s="665"/>
      <c r="L6" s="667"/>
      <c r="M6" s="722" t="s">
        <v>244</v>
      </c>
      <c r="N6" s="422">
        <f>AP93</f>
        <v>95</v>
      </c>
      <c r="O6" s="665"/>
      <c r="P6" s="19"/>
      <c r="Q6" s="614">
        <f t="shared" si="1"/>
        <v>2.1499999999999999E-4</v>
      </c>
      <c r="V6" s="84">
        <f t="shared" si="2"/>
        <v>2.1499999999999999E-4</v>
      </c>
      <c r="W6" s="614">
        <f t="shared" si="2"/>
        <v>2.1499999999999999E-4</v>
      </c>
      <c r="AE6" s="84">
        <f t="shared" si="3"/>
        <v>2.1499999999999999E-4</v>
      </c>
      <c r="BJ6" s="610"/>
      <c r="BK6" s="623" t="s">
        <v>240</v>
      </c>
      <c r="BL6" s="619" t="s">
        <v>587</v>
      </c>
      <c r="BM6" s="624"/>
      <c r="BN6" s="620"/>
      <c r="BO6" s="12"/>
      <c r="BP6" s="13"/>
      <c r="BR6" s="610"/>
      <c r="BS6" s="623" t="s">
        <v>240</v>
      </c>
      <c r="BT6" s="619" t="s">
        <v>1376</v>
      </c>
      <c r="BU6" s="624"/>
      <c r="BV6" s="620"/>
      <c r="BW6" s="12"/>
      <c r="BX6" s="13"/>
      <c r="BZ6" s="610"/>
      <c r="CA6" s="623" t="s">
        <v>240</v>
      </c>
      <c r="CB6" s="619" t="s">
        <v>241</v>
      </c>
      <c r="CC6" s="624"/>
      <c r="CD6" s="620"/>
      <c r="CE6" s="12"/>
      <c r="CF6" s="13"/>
    </row>
    <row r="7" spans="1:84" ht="12.75" customHeight="1">
      <c r="A7" s="625"/>
      <c r="B7" s="626" t="s">
        <v>242</v>
      </c>
      <c r="C7" s="627"/>
      <c r="D7" s="628"/>
      <c r="E7" s="626" t="s">
        <v>243</v>
      </c>
      <c r="F7" s="12"/>
      <c r="G7" s="13"/>
      <c r="H7" s="148"/>
      <c r="I7" s="673"/>
      <c r="J7" s="673"/>
      <c r="K7" s="673" t="s">
        <v>368</v>
      </c>
      <c r="L7" s="723"/>
      <c r="M7" s="673"/>
      <c r="N7" s="673"/>
      <c r="O7" s="429"/>
      <c r="P7" s="629"/>
      <c r="Q7" s="614">
        <f t="shared" si="1"/>
        <v>2.1499999999999999E-4</v>
      </c>
      <c r="V7" s="84">
        <f t="shared" si="2"/>
        <v>2.1499999999999999E-4</v>
      </c>
      <c r="W7" s="614">
        <f t="shared" si="2"/>
        <v>2.1499999999999999E-4</v>
      </c>
      <c r="AE7" s="84">
        <f t="shared" si="3"/>
        <v>2.1499999999999999E-4</v>
      </c>
      <c r="BJ7" s="630"/>
      <c r="BK7" s="626" t="s">
        <v>242</v>
      </c>
      <c r="BL7" s="627"/>
      <c r="BM7" s="628"/>
      <c r="BN7" s="626" t="s">
        <v>243</v>
      </c>
      <c r="BO7" s="12"/>
      <c r="BP7" s="13"/>
      <c r="BR7" s="630"/>
      <c r="BS7" s="626" t="s">
        <v>242</v>
      </c>
      <c r="BT7" s="627"/>
      <c r="BU7" s="628"/>
      <c r="BV7" s="626" t="s">
        <v>243</v>
      </c>
      <c r="BW7" s="12"/>
      <c r="BX7" s="13"/>
      <c r="BZ7" s="630"/>
      <c r="CA7" s="626" t="s">
        <v>242</v>
      </c>
      <c r="CB7" s="627"/>
      <c r="CC7" s="628"/>
      <c r="CD7" s="626" t="s">
        <v>243</v>
      </c>
      <c r="CE7" s="12"/>
      <c r="CF7" s="13"/>
    </row>
    <row r="8" spans="1:84" ht="12.75" customHeight="1">
      <c r="A8" s="625"/>
      <c r="B8" s="631" t="s">
        <v>585</v>
      </c>
      <c r="C8" s="632"/>
      <c r="D8" s="12"/>
      <c r="E8" s="631" t="s">
        <v>586</v>
      </c>
      <c r="F8" s="632"/>
      <c r="G8" s="13"/>
      <c r="H8" s="31">
        <v>4</v>
      </c>
      <c r="I8" s="693" t="s">
        <v>1306</v>
      </c>
      <c r="J8" s="188"/>
      <c r="K8" s="188"/>
      <c r="L8" s="188"/>
      <c r="M8" s="188"/>
      <c r="N8" s="188"/>
      <c r="O8" s="314"/>
      <c r="P8" s="19"/>
      <c r="Q8" s="614">
        <f t="shared" si="1"/>
        <v>2.1499999999999999E-4</v>
      </c>
      <c r="V8" s="84">
        <f t="shared" si="2"/>
        <v>2.1499999999999999E-4</v>
      </c>
      <c r="W8" s="614">
        <f t="shared" si="2"/>
        <v>2.1499999999999999E-4</v>
      </c>
      <c r="AE8" s="84">
        <f t="shared" si="3"/>
        <v>2.1499999999999999E-4</v>
      </c>
      <c r="AL8" s="633" t="s">
        <v>1380</v>
      </c>
      <c r="AM8" s="548" t="s">
        <v>1381</v>
      </c>
      <c r="AN8" s="548"/>
      <c r="AO8" s="306"/>
      <c r="AX8"/>
      <c r="AY8"/>
      <c r="AZ8"/>
      <c r="BJ8" s="630"/>
      <c r="BK8" s="631"/>
      <c r="BL8" s="632"/>
      <c r="BM8" s="12"/>
      <c r="BN8" s="631"/>
      <c r="BO8" s="632"/>
      <c r="BP8" s="13"/>
      <c r="BR8" s="630"/>
      <c r="BS8" s="631"/>
      <c r="BT8" s="632"/>
      <c r="BU8" s="12"/>
      <c r="BV8" s="631"/>
      <c r="BW8" s="632"/>
      <c r="BX8" s="13"/>
      <c r="BZ8" s="630"/>
      <c r="CA8" s="631" t="s">
        <v>245</v>
      </c>
      <c r="CB8" s="632"/>
      <c r="CC8" s="12"/>
      <c r="CD8" s="631" t="s">
        <v>246</v>
      </c>
      <c r="CE8" s="632"/>
      <c r="CF8" s="13"/>
    </row>
    <row r="9" spans="1:84" ht="12.75" customHeight="1">
      <c r="A9" s="610" t="s">
        <v>248</v>
      </c>
      <c r="B9" s="634">
        <v>151</v>
      </c>
      <c r="C9" s="447"/>
      <c r="D9" s="635">
        <v>1</v>
      </c>
      <c r="E9" s="636">
        <v>50</v>
      </c>
      <c r="F9" s="637"/>
      <c r="G9" s="638"/>
      <c r="H9" s="724" t="s">
        <v>353</v>
      </c>
      <c r="I9" s="690"/>
      <c r="J9" s="647"/>
      <c r="K9" s="691" t="s">
        <v>242</v>
      </c>
      <c r="L9" s="648"/>
      <c r="M9" s="649" t="s">
        <v>243</v>
      </c>
      <c r="N9" s="648"/>
      <c r="O9" s="650"/>
      <c r="P9" s="19"/>
      <c r="Q9" s="614">
        <f t="shared" si="1"/>
        <v>2.1499999999999999E-4</v>
      </c>
      <c r="V9" s="84">
        <f t="shared" si="2"/>
        <v>2.1499999999999999E-4</v>
      </c>
      <c r="W9" s="614">
        <f t="shared" si="2"/>
        <v>2.1499999999999999E-4</v>
      </c>
      <c r="AE9" s="84">
        <f t="shared" si="3"/>
        <v>2.1499999999999999E-4</v>
      </c>
      <c r="AL9" s="117"/>
      <c r="AM9" s="118"/>
      <c r="AN9" s="118"/>
      <c r="AO9" s="124"/>
      <c r="AX9"/>
      <c r="AY9"/>
      <c r="AZ9"/>
      <c r="BJ9" s="640">
        <v>1</v>
      </c>
      <c r="BK9" s="634">
        <v>151</v>
      </c>
      <c r="BL9" s="447"/>
      <c r="BM9" s="635">
        <v>1</v>
      </c>
      <c r="BN9" s="636">
        <v>50</v>
      </c>
      <c r="BO9" s="637"/>
      <c r="BP9" s="638"/>
      <c r="BR9" s="640">
        <v>1</v>
      </c>
      <c r="BS9" s="634">
        <v>0.77</v>
      </c>
      <c r="BT9" s="447"/>
      <c r="BU9" s="635">
        <v>1</v>
      </c>
      <c r="BV9" s="636">
        <v>0.59</v>
      </c>
      <c r="BW9" s="637"/>
      <c r="BX9" s="638"/>
      <c r="BZ9" s="640">
        <v>1</v>
      </c>
      <c r="CA9" s="634">
        <v>8.99</v>
      </c>
      <c r="CB9" s="447"/>
      <c r="CC9" s="635">
        <v>1</v>
      </c>
      <c r="CD9" s="636">
        <v>24.82</v>
      </c>
      <c r="CE9" s="637"/>
      <c r="CF9" s="638"/>
    </row>
    <row r="10" spans="1:84" ht="12.75" customHeight="1">
      <c r="A10" s="640">
        <v>2</v>
      </c>
      <c r="B10" s="641">
        <v>86</v>
      </c>
      <c r="C10" s="642"/>
      <c r="D10" s="635">
        <v>2</v>
      </c>
      <c r="E10" s="643">
        <v>30</v>
      </c>
      <c r="F10" s="12"/>
      <c r="G10" s="13"/>
      <c r="H10" s="86"/>
      <c r="I10" s="688"/>
      <c r="J10" s="648"/>
      <c r="K10" s="651" t="str">
        <f>IF(B8="","",B8)</f>
        <v>Males</v>
      </c>
      <c r="L10" s="652"/>
      <c r="M10" s="651" t="str">
        <f>IF(E8="","",E8)</f>
        <v>Females</v>
      </c>
      <c r="N10" s="648"/>
      <c r="O10" s="650"/>
      <c r="Q10" s="614">
        <f t="shared" si="1"/>
        <v>2.1499999999999999E-4</v>
      </c>
      <c r="V10" s="84">
        <f t="shared" si="2"/>
        <v>2.1499999999999999E-4</v>
      </c>
      <c r="W10" s="614">
        <f t="shared" si="2"/>
        <v>2.1499999999999999E-4</v>
      </c>
      <c r="AE10" s="84">
        <f t="shared" si="3"/>
        <v>2.1499999999999999E-4</v>
      </c>
      <c r="AL10" s="117"/>
      <c r="AM10" s="163"/>
      <c r="AN10" s="644" t="s">
        <v>1262</v>
      </c>
      <c r="AO10" s="645"/>
      <c r="AX10"/>
      <c r="AY10"/>
      <c r="AZ10"/>
      <c r="BJ10" s="640">
        <v>2</v>
      </c>
      <c r="BK10" s="641">
        <v>86</v>
      </c>
      <c r="BL10" s="642"/>
      <c r="BM10" s="635">
        <v>2</v>
      </c>
      <c r="BN10" s="643">
        <v>30</v>
      </c>
      <c r="BO10" s="12"/>
      <c r="BP10" s="13"/>
      <c r="BR10" s="640">
        <v>2</v>
      </c>
      <c r="BS10" s="641">
        <v>0.87</v>
      </c>
      <c r="BT10" s="642"/>
      <c r="BU10" s="635">
        <v>2</v>
      </c>
      <c r="BV10" s="643">
        <v>1.06</v>
      </c>
      <c r="BW10" s="12"/>
      <c r="BX10" s="13"/>
      <c r="BZ10" s="640">
        <v>2</v>
      </c>
      <c r="CA10" s="641">
        <v>1.35</v>
      </c>
      <c r="CB10" s="642"/>
      <c r="CC10" s="635">
        <v>2</v>
      </c>
      <c r="CD10" s="643">
        <v>11.76</v>
      </c>
      <c r="CE10" s="12"/>
      <c r="CF10" s="13"/>
    </row>
    <row r="11" spans="1:84" ht="12.75" customHeight="1">
      <c r="A11" s="640">
        <v>3</v>
      </c>
      <c r="B11" s="641">
        <v>50</v>
      </c>
      <c r="C11" s="642"/>
      <c r="D11" s="635">
        <v>3</v>
      </c>
      <c r="E11" s="643">
        <v>20</v>
      </c>
      <c r="F11" s="12"/>
      <c r="G11" s="13"/>
      <c r="H11" s="86"/>
      <c r="I11" s="648"/>
      <c r="J11" s="654" t="s">
        <v>312</v>
      </c>
      <c r="K11" s="655">
        <f>COUNTA(B9:B208)</f>
        <v>51</v>
      </c>
      <c r="L11" s="654" t="s">
        <v>313</v>
      </c>
      <c r="M11" s="656">
        <f>COUNTA(E9:E208)</f>
        <v>44</v>
      </c>
      <c r="N11" s="648"/>
      <c r="O11" s="650"/>
      <c r="Q11" s="614">
        <f t="shared" si="1"/>
        <v>2.1499999999999999E-4</v>
      </c>
      <c r="V11" s="84">
        <f t="shared" si="2"/>
        <v>2.1499999999999999E-4</v>
      </c>
      <c r="W11" s="614">
        <f t="shared" si="2"/>
        <v>2.1499999999999999E-4</v>
      </c>
      <c r="AE11" s="84">
        <f t="shared" si="3"/>
        <v>2.1499999999999999E-4</v>
      </c>
      <c r="AL11" s="117"/>
      <c r="AM11" s="163"/>
      <c r="AN11" s="646">
        <v>54</v>
      </c>
      <c r="AO11" s="645"/>
      <c r="AX11"/>
      <c r="AY11"/>
      <c r="AZ11"/>
      <c r="BJ11" s="640">
        <v>3</v>
      </c>
      <c r="BK11" s="641">
        <v>50</v>
      </c>
      <c r="BL11" s="642"/>
      <c r="BM11" s="635">
        <v>3</v>
      </c>
      <c r="BN11" s="643">
        <v>20</v>
      </c>
      <c r="BO11" s="12"/>
      <c r="BP11" s="13"/>
      <c r="BR11" s="640">
        <v>3</v>
      </c>
      <c r="BS11" s="641">
        <v>0.88</v>
      </c>
      <c r="BT11" s="642"/>
      <c r="BU11" s="635">
        <v>3</v>
      </c>
      <c r="BV11" s="643">
        <v>1.74</v>
      </c>
      <c r="BW11" s="12"/>
      <c r="BX11" s="13"/>
      <c r="BZ11" s="640">
        <v>3</v>
      </c>
      <c r="CA11" s="641">
        <v>8.2200000000000006</v>
      </c>
      <c r="CB11" s="642"/>
      <c r="CC11" s="635">
        <v>3</v>
      </c>
      <c r="CD11" s="643">
        <v>12.72</v>
      </c>
      <c r="CE11" s="12"/>
      <c r="CF11" s="13"/>
    </row>
    <row r="12" spans="1:84" ht="12.75" customHeight="1">
      <c r="A12" s="640">
        <v>4</v>
      </c>
      <c r="B12" s="641">
        <v>30</v>
      </c>
      <c r="C12" s="642"/>
      <c r="D12" s="635">
        <v>4</v>
      </c>
      <c r="E12" s="643">
        <v>16</v>
      </c>
      <c r="F12" s="12"/>
      <c r="G12" s="13"/>
      <c r="H12" s="86"/>
      <c r="I12" s="648"/>
      <c r="J12" s="647" t="s">
        <v>314</v>
      </c>
      <c r="K12" s="657">
        <f>IF(None&gt;0,AVERAGE(B9:B1008),"")</f>
        <v>11.549019607843137</v>
      </c>
      <c r="L12" s="658" t="s">
        <v>315</v>
      </c>
      <c r="M12" s="657">
        <f>IF(Ntwo&gt;0,AVERAGE(E9:E1008),"")</f>
        <v>7.0909090909090908</v>
      </c>
      <c r="N12" s="648" t="str">
        <f>IF($C$6="","",$C$6)</f>
        <v>N sex partners</v>
      </c>
      <c r="O12" s="650"/>
      <c r="Q12" s="614">
        <f t="shared" si="1"/>
        <v>2.1499999999999999E-4</v>
      </c>
      <c r="V12" s="84">
        <f t="shared" si="2"/>
        <v>2.1499999999999999E-4</v>
      </c>
      <c r="W12" s="614">
        <f t="shared" si="2"/>
        <v>2.1499999999999999E-4</v>
      </c>
      <c r="AE12" s="84">
        <f t="shared" si="3"/>
        <v>2.1499999999999999E-4</v>
      </c>
      <c r="AL12" s="117"/>
      <c r="AM12" s="163"/>
      <c r="AN12" s="118"/>
      <c r="AO12" s="124"/>
      <c r="BJ12" s="640">
        <v>4</v>
      </c>
      <c r="BK12" s="641">
        <v>30</v>
      </c>
      <c r="BL12" s="642"/>
      <c r="BM12" s="635">
        <v>4</v>
      </c>
      <c r="BN12" s="643">
        <v>16</v>
      </c>
      <c r="BO12" s="12"/>
      <c r="BP12" s="13"/>
      <c r="BR12" s="640">
        <v>4</v>
      </c>
      <c r="BS12" s="641">
        <v>1.1399999999999999</v>
      </c>
      <c r="BT12" s="642"/>
      <c r="BU12" s="635">
        <v>4</v>
      </c>
      <c r="BV12" s="643">
        <v>2.0699999999999998</v>
      </c>
      <c r="BW12" s="12"/>
      <c r="BX12" s="13"/>
      <c r="BZ12" s="640">
        <v>4</v>
      </c>
      <c r="CA12" s="641">
        <v>4.3099999999999996</v>
      </c>
      <c r="CB12" s="642"/>
      <c r="CC12" s="635">
        <v>4</v>
      </c>
      <c r="CD12" s="643">
        <v>14.19</v>
      </c>
      <c r="CE12" s="12"/>
      <c r="CF12" s="13"/>
    </row>
    <row r="13" spans="1:84" ht="12.75" customHeight="1">
      <c r="A13" s="640">
        <v>5</v>
      </c>
      <c r="B13" s="641">
        <v>23</v>
      </c>
      <c r="C13" s="642"/>
      <c r="D13" s="635">
        <v>5</v>
      </c>
      <c r="E13" s="643">
        <v>15</v>
      </c>
      <c r="F13" s="12"/>
      <c r="G13" s="13"/>
      <c r="H13" s="162"/>
      <c r="I13" s="315"/>
      <c r="J13" s="660" t="s">
        <v>316</v>
      </c>
      <c r="K13" s="657">
        <f>IF(None&gt;1,STDEV(B9:B1008),"")</f>
        <v>24.398617768627954</v>
      </c>
      <c r="L13" s="661" t="s">
        <v>317</v>
      </c>
      <c r="M13" s="657">
        <f>IF(Ntwo&gt;1,STDEV(E9:E1008),"")</f>
        <v>8.8602015353691179</v>
      </c>
      <c r="N13" s="315" t="str">
        <f>IF($C$6="","",$C$6)</f>
        <v>N sex partners</v>
      </c>
      <c r="O13" s="316"/>
      <c r="Q13" s="614">
        <f t="shared" si="1"/>
        <v>2.1499999999999999E-4</v>
      </c>
      <c r="V13" s="84">
        <f t="shared" si="2"/>
        <v>2.1499999999999999E-4</v>
      </c>
      <c r="W13" s="614">
        <f t="shared" si="2"/>
        <v>2.1499999999999999E-4</v>
      </c>
      <c r="AE13" s="84">
        <f t="shared" si="3"/>
        <v>2.1499999999999999E-4</v>
      </c>
      <c r="AL13" s="117"/>
      <c r="AM13" s="163"/>
      <c r="AN13" s="644" t="s">
        <v>1184</v>
      </c>
      <c r="AO13" s="645"/>
      <c r="BJ13" s="640">
        <v>5</v>
      </c>
      <c r="BK13" s="641">
        <v>23</v>
      </c>
      <c r="BL13" s="642"/>
      <c r="BM13" s="635">
        <v>5</v>
      </c>
      <c r="BN13" s="643">
        <v>15</v>
      </c>
      <c r="BO13" s="12"/>
      <c r="BP13" s="13"/>
      <c r="BR13" s="640">
        <v>5</v>
      </c>
      <c r="BS13" s="641">
        <v>1.51</v>
      </c>
      <c r="BT13" s="642"/>
      <c r="BU13" s="635">
        <v>5</v>
      </c>
      <c r="BV13" s="643">
        <v>2.19</v>
      </c>
      <c r="BW13" s="12"/>
      <c r="BX13" s="13"/>
      <c r="BZ13" s="640">
        <v>5</v>
      </c>
      <c r="CA13" s="641">
        <v>6.59</v>
      </c>
      <c r="CB13" s="642"/>
      <c r="CC13" s="635">
        <v>5</v>
      </c>
      <c r="CD13" s="643">
        <v>10.86</v>
      </c>
      <c r="CE13" s="12"/>
      <c r="CF13" s="13"/>
    </row>
    <row r="14" spans="1:84" ht="12.75" customHeight="1">
      <c r="A14" s="640">
        <v>6</v>
      </c>
      <c r="B14" s="641">
        <v>20</v>
      </c>
      <c r="C14" s="642"/>
      <c r="D14" s="635">
        <v>6</v>
      </c>
      <c r="E14" s="643">
        <v>13</v>
      </c>
      <c r="F14" s="12"/>
      <c r="G14" s="13"/>
      <c r="H14" s="692" t="s">
        <v>1377</v>
      </c>
      <c r="I14" s="693" t="s">
        <v>250</v>
      </c>
      <c r="J14" s="188"/>
      <c r="K14" s="188"/>
      <c r="L14" s="188"/>
      <c r="M14" s="188"/>
      <c r="N14" s="188"/>
      <c r="O14" s="314"/>
      <c r="Q14" s="614">
        <f t="shared" si="1"/>
        <v>2.1499999999999999E-4</v>
      </c>
      <c r="V14" s="84">
        <f t="shared" si="2"/>
        <v>2.1499999999999999E-4</v>
      </c>
      <c r="W14" s="614">
        <f t="shared" si="2"/>
        <v>2.1499999999999999E-4</v>
      </c>
      <c r="AE14" s="84">
        <f t="shared" si="3"/>
        <v>2.1499999999999999E-4</v>
      </c>
      <c r="AL14" s="117"/>
      <c r="AM14" s="163"/>
      <c r="AN14" s="653">
        <v>46</v>
      </c>
      <c r="AO14" s="124"/>
      <c r="BJ14" s="640">
        <v>6</v>
      </c>
      <c r="BK14" s="641">
        <v>20</v>
      </c>
      <c r="BL14" s="642"/>
      <c r="BM14" s="635">
        <v>6</v>
      </c>
      <c r="BN14" s="643">
        <v>13</v>
      </c>
      <c r="BO14" s="12"/>
      <c r="BP14" s="13"/>
      <c r="BR14" s="640">
        <v>6</v>
      </c>
      <c r="BS14" s="641">
        <v>2.1</v>
      </c>
      <c r="BT14" s="642"/>
      <c r="BU14" s="635">
        <v>6</v>
      </c>
      <c r="BV14" s="643">
        <v>2.37</v>
      </c>
      <c r="BW14" s="12"/>
      <c r="BX14" s="13"/>
      <c r="BZ14" s="640">
        <v>6</v>
      </c>
      <c r="CA14" s="641">
        <v>16</v>
      </c>
      <c r="CB14" s="642"/>
      <c r="CC14" s="635">
        <v>6</v>
      </c>
      <c r="CD14" s="643">
        <v>20.09</v>
      </c>
      <c r="CE14" s="12"/>
      <c r="CF14" s="13"/>
    </row>
    <row r="15" spans="1:84" ht="12.75" customHeight="1">
      <c r="A15" s="640">
        <v>7</v>
      </c>
      <c r="B15" s="641">
        <v>20</v>
      </c>
      <c r="C15" s="642"/>
      <c r="D15" s="635">
        <v>7</v>
      </c>
      <c r="E15" s="643">
        <v>12</v>
      </c>
      <c r="F15" s="12"/>
      <c r="G15" s="13"/>
      <c r="H15" s="648"/>
      <c r="I15" s="648"/>
      <c r="J15" s="654" t="s">
        <v>318</v>
      </c>
      <c r="K15" s="666">
        <f>IF(None&gt;1,(K13/SQRT(None))*TINV(1-$AP$93/100,(None-1)),"")</f>
        <v>6.8622216909807561</v>
      </c>
      <c r="L15" s="658" t="s">
        <v>319</v>
      </c>
      <c r="M15" s="666">
        <f>IF(Ntwo&gt;1,(M13/SQRT(Ntwo))*TINV(1-$AP$93/100,(Ntwo-1)),"")</f>
        <v>2.6937474421913334</v>
      </c>
      <c r="N15" s="694" t="str">
        <f>IF($C$6="","",$C$6)</f>
        <v>N sex partners</v>
      </c>
      <c r="O15" s="650"/>
      <c r="P15" s="19"/>
      <c r="Q15" s="614">
        <f t="shared" si="1"/>
        <v>2.1499999999999999E-4</v>
      </c>
      <c r="V15" s="84">
        <f t="shared" si="2"/>
        <v>2.1499999999999999E-4</v>
      </c>
      <c r="W15" s="614">
        <f t="shared" si="2"/>
        <v>2.1499999999999999E-4</v>
      </c>
      <c r="AE15" s="84">
        <f t="shared" si="3"/>
        <v>2.1499999999999999E-4</v>
      </c>
      <c r="AL15" s="307"/>
      <c r="AM15" s="269"/>
      <c r="AN15" s="730"/>
      <c r="AO15" s="313"/>
      <c r="BJ15" s="640">
        <v>7</v>
      </c>
      <c r="BK15" s="641">
        <v>20</v>
      </c>
      <c r="BL15" s="642"/>
      <c r="BM15" s="635">
        <v>7</v>
      </c>
      <c r="BN15" s="643">
        <v>12</v>
      </c>
      <c r="BO15" s="12"/>
      <c r="BP15" s="13"/>
      <c r="BR15" s="640">
        <v>7</v>
      </c>
      <c r="BS15" s="641">
        <v>2.19</v>
      </c>
      <c r="BT15" s="642"/>
      <c r="BU15" s="635">
        <v>7</v>
      </c>
      <c r="BV15" s="643">
        <v>3.13</v>
      </c>
      <c r="BW15" s="12"/>
      <c r="BX15" s="13"/>
      <c r="BZ15" s="640">
        <v>7</v>
      </c>
      <c r="CA15" s="641">
        <v>5.85</v>
      </c>
      <c r="CB15" s="642"/>
      <c r="CC15" s="635">
        <v>7</v>
      </c>
      <c r="CD15" s="643">
        <v>7.66</v>
      </c>
      <c r="CE15" s="12"/>
      <c r="CF15" s="13"/>
    </row>
    <row r="16" spans="1:84" ht="12.75" customHeight="1">
      <c r="A16" s="640">
        <v>8</v>
      </c>
      <c r="B16" s="641">
        <v>16</v>
      </c>
      <c r="C16" s="642"/>
      <c r="D16" s="635">
        <v>8</v>
      </c>
      <c r="E16" s="643">
        <v>10</v>
      </c>
      <c r="F16" s="12"/>
      <c r="G16" s="13"/>
      <c r="H16" s="648"/>
      <c r="I16" s="648"/>
      <c r="J16" s="647" t="s">
        <v>1308</v>
      </c>
      <c r="K16" s="728">
        <f>IF(None&gt;1,K12-K15,"")</f>
        <v>4.686797916862381</v>
      </c>
      <c r="L16" s="695" t="s">
        <v>321</v>
      </c>
      <c r="M16" s="728">
        <f>IF(Ntwo&gt;1,M12-M15,"")</f>
        <v>4.3971616487177574</v>
      </c>
      <c r="N16" s="648" t="s">
        <v>251</v>
      </c>
      <c r="O16" s="650"/>
      <c r="P16" s="19"/>
      <c r="Q16" s="614">
        <f t="shared" si="1"/>
        <v>2.1499999999999999E-4</v>
      </c>
      <c r="V16" s="84">
        <f t="shared" si="2"/>
        <v>2.1499999999999999E-4</v>
      </c>
      <c r="W16" s="614">
        <f t="shared" si="2"/>
        <v>2.1499999999999999E-4</v>
      </c>
      <c r="AE16" s="84">
        <f t="shared" si="3"/>
        <v>2.1499999999999999E-4</v>
      </c>
      <c r="AN16" s="95"/>
      <c r="BJ16" s="640">
        <v>8</v>
      </c>
      <c r="BK16" s="641">
        <v>16</v>
      </c>
      <c r="BL16" s="642"/>
      <c r="BM16" s="635">
        <v>8</v>
      </c>
      <c r="BN16" s="643">
        <v>10</v>
      </c>
      <c r="BO16" s="12"/>
      <c r="BP16" s="13"/>
      <c r="BR16" s="640">
        <v>8</v>
      </c>
      <c r="BS16" s="641">
        <v>2.46</v>
      </c>
      <c r="BT16" s="642"/>
      <c r="BU16" s="635">
        <v>8</v>
      </c>
      <c r="BV16" s="643">
        <v>3.65</v>
      </c>
      <c r="BW16" s="12"/>
      <c r="BX16" s="13"/>
      <c r="BZ16" s="640">
        <v>8</v>
      </c>
      <c r="CA16" s="641">
        <v>6.64</v>
      </c>
      <c r="CB16" s="642"/>
      <c r="CC16" s="635">
        <v>8</v>
      </c>
      <c r="CD16" s="643">
        <v>15.72</v>
      </c>
      <c r="CE16" s="12"/>
      <c r="CF16" s="13"/>
    </row>
    <row r="17" spans="1:84" ht="12.75" customHeight="1">
      <c r="A17" s="640">
        <v>9</v>
      </c>
      <c r="B17" s="641">
        <v>15</v>
      </c>
      <c r="C17" s="642"/>
      <c r="D17" s="635">
        <v>9</v>
      </c>
      <c r="E17" s="643">
        <v>10</v>
      </c>
      <c r="F17" s="12"/>
      <c r="G17" s="13"/>
      <c r="H17" s="648"/>
      <c r="I17" s="648"/>
      <c r="J17" s="647"/>
      <c r="K17" s="668">
        <f>IF(None&gt;1,K12+K15,"")</f>
        <v>18.411241298823892</v>
      </c>
      <c r="L17" s="696" t="s">
        <v>1536</v>
      </c>
      <c r="M17" s="668">
        <f>IF(Ntwo&gt;1,M12+M15,"")</f>
        <v>9.7846565331004243</v>
      </c>
      <c r="N17" s="688" t="s">
        <v>1536</v>
      </c>
      <c r="O17" s="697"/>
      <c r="P17" s="19"/>
      <c r="Q17" s="662">
        <f t="shared" si="1"/>
        <v>2.1499999999999999E-4</v>
      </c>
      <c r="V17" s="84">
        <f t="shared" si="2"/>
        <v>2.1499999999999999E-4</v>
      </c>
      <c r="W17" s="614">
        <f t="shared" si="2"/>
        <v>2.1499999999999999E-4</v>
      </c>
      <c r="AE17" s="84">
        <f t="shared" si="3"/>
        <v>2.1499999999999999E-4</v>
      </c>
      <c r="AN17" s="95"/>
      <c r="BJ17" s="640">
        <v>9</v>
      </c>
      <c r="BK17" s="641">
        <v>15</v>
      </c>
      <c r="BL17" s="642"/>
      <c r="BM17" s="635">
        <v>9</v>
      </c>
      <c r="BN17" s="643">
        <v>10</v>
      </c>
      <c r="BO17" s="12"/>
      <c r="BP17" s="13"/>
      <c r="BR17" s="640">
        <v>9</v>
      </c>
      <c r="BS17" s="641">
        <v>2.5299999999999998</v>
      </c>
      <c r="BT17" s="642"/>
      <c r="BU17" s="635">
        <v>9</v>
      </c>
      <c r="BV17" s="643">
        <v>4.58</v>
      </c>
      <c r="BW17" s="12"/>
      <c r="BX17" s="13"/>
      <c r="BZ17" s="640">
        <v>9</v>
      </c>
      <c r="CA17" s="641">
        <v>5.54</v>
      </c>
      <c r="CB17" s="642"/>
      <c r="CC17" s="635">
        <v>9</v>
      </c>
      <c r="CD17" s="643">
        <v>15.96</v>
      </c>
      <c r="CE17" s="12"/>
      <c r="CF17" s="13"/>
    </row>
    <row r="18" spans="1:84" ht="12.75" customHeight="1">
      <c r="A18" s="640">
        <v>10</v>
      </c>
      <c r="B18" s="641">
        <v>13</v>
      </c>
      <c r="C18" s="642"/>
      <c r="D18" s="635">
        <v>10</v>
      </c>
      <c r="E18" s="643">
        <v>10</v>
      </c>
      <c r="F18" s="12"/>
      <c r="G18" s="13"/>
      <c r="H18" s="648"/>
      <c r="I18" s="648"/>
      <c r="J18" s="648"/>
      <c r="K18" s="698" t="s">
        <v>253</v>
      </c>
      <c r="L18" s="699">
        <f>IF(AND(K12&lt;&gt;"",M12&lt;&gt;""),M12-K12,"")</f>
        <v>-4.4581105169340463</v>
      </c>
      <c r="M18" s="648" t="str">
        <f>IF($C$6="","",$C$6)</f>
        <v>N sex partners</v>
      </c>
      <c r="N18" s="648"/>
      <c r="O18" s="650"/>
      <c r="P18" s="19"/>
      <c r="Q18" s="614">
        <f t="shared" si="1"/>
        <v>2.1499999999999999E-4</v>
      </c>
      <c r="V18" s="84">
        <f t="shared" si="2"/>
        <v>2.1499999999999999E-4</v>
      </c>
      <c r="W18" s="614">
        <f t="shared" si="2"/>
        <v>2.1499999999999999E-4</v>
      </c>
      <c r="AE18" s="84">
        <f t="shared" si="3"/>
        <v>2.1499999999999999E-4</v>
      </c>
      <c r="BJ18" s="640">
        <v>10</v>
      </c>
      <c r="BK18" s="641">
        <v>13</v>
      </c>
      <c r="BL18" s="642"/>
      <c r="BM18" s="635">
        <v>10</v>
      </c>
      <c r="BN18" s="643">
        <v>10</v>
      </c>
      <c r="BO18" s="12"/>
      <c r="BP18" s="13"/>
      <c r="BR18" s="640">
        <v>10</v>
      </c>
      <c r="BS18" s="641">
        <v>2.62</v>
      </c>
      <c r="BT18" s="642"/>
      <c r="BU18" s="635">
        <v>10</v>
      </c>
      <c r="BV18" s="643">
        <v>4.97</v>
      </c>
      <c r="BW18" s="12"/>
      <c r="BX18" s="13"/>
      <c r="BZ18" s="640">
        <v>10</v>
      </c>
      <c r="CA18" s="641">
        <v>4.0199999999999996</v>
      </c>
      <c r="CB18" s="642"/>
      <c r="CC18" s="635">
        <v>10</v>
      </c>
      <c r="CD18" s="643">
        <v>11.27</v>
      </c>
      <c r="CE18" s="12"/>
      <c r="CF18" s="13"/>
    </row>
    <row r="19" spans="1:84" ht="12.75" customHeight="1">
      <c r="A19" s="640">
        <v>11</v>
      </c>
      <c r="B19" s="641">
        <v>11</v>
      </c>
      <c r="C19" s="642"/>
      <c r="D19" s="635">
        <v>11</v>
      </c>
      <c r="E19" s="643">
        <v>9</v>
      </c>
      <c r="F19" s="12"/>
      <c r="G19" s="12"/>
      <c r="H19" s="31">
        <v>6</v>
      </c>
      <c r="I19" s="693" t="s">
        <v>254</v>
      </c>
      <c r="J19" s="188"/>
      <c r="K19" s="188"/>
      <c r="L19" s="188"/>
      <c r="M19" s="188" t="s">
        <v>255</v>
      </c>
      <c r="N19" s="188"/>
      <c r="O19" s="314"/>
      <c r="Q19" s="614">
        <f t="shared" si="1"/>
        <v>2.1499999999999999E-4</v>
      </c>
      <c r="V19" s="84">
        <f t="shared" si="2"/>
        <v>2.1499999999999999E-4</v>
      </c>
      <c r="W19" s="614">
        <f t="shared" si="2"/>
        <v>2.1499999999999999E-4</v>
      </c>
      <c r="AE19" s="84">
        <f t="shared" si="3"/>
        <v>2.1499999999999999E-4</v>
      </c>
      <c r="BJ19" s="640">
        <v>11</v>
      </c>
      <c r="BK19" s="641">
        <v>11</v>
      </c>
      <c r="BL19" s="642"/>
      <c r="BM19" s="635">
        <v>11</v>
      </c>
      <c r="BN19" s="643">
        <v>9</v>
      </c>
      <c r="BO19" s="12"/>
      <c r="BP19" s="13"/>
      <c r="BR19" s="640">
        <v>11</v>
      </c>
      <c r="BS19" s="641">
        <v>2.96</v>
      </c>
      <c r="BT19" s="642"/>
      <c r="BU19" s="635">
        <v>11</v>
      </c>
      <c r="BV19" s="643">
        <v>5.15</v>
      </c>
      <c r="BW19" s="12"/>
      <c r="BX19" s="13"/>
      <c r="BZ19" s="640">
        <v>11</v>
      </c>
      <c r="CA19" s="641">
        <v>3.73</v>
      </c>
      <c r="CB19" s="642"/>
      <c r="CC19" s="635">
        <v>11</v>
      </c>
      <c r="CD19" s="643">
        <v>12.5</v>
      </c>
      <c r="CE19" s="12"/>
      <c r="CF19" s="13"/>
    </row>
    <row r="20" spans="1:84" ht="12.75" customHeight="1">
      <c r="A20" s="640">
        <v>12</v>
      </c>
      <c r="B20" s="641">
        <v>9</v>
      </c>
      <c r="C20" s="642"/>
      <c r="D20" s="635">
        <v>12</v>
      </c>
      <c r="E20" s="643">
        <v>9</v>
      </c>
      <c r="F20" s="12"/>
      <c r="G20" s="12"/>
      <c r="H20" s="86"/>
      <c r="I20" s="648"/>
      <c r="J20" s="648"/>
      <c r="K20" s="648"/>
      <c r="L20" s="647" t="s">
        <v>256</v>
      </c>
      <c r="M20" s="648"/>
      <c r="N20" s="648"/>
      <c r="O20" s="650"/>
      <c r="Q20" s="614">
        <f t="shared" si="1"/>
        <v>2.1499999999999999E-4</v>
      </c>
      <c r="V20" s="84">
        <f t="shared" si="2"/>
        <v>2.1499999999999999E-4</v>
      </c>
      <c r="W20" s="614">
        <f t="shared" si="2"/>
        <v>2.1499999999999999E-4</v>
      </c>
      <c r="AE20" s="84">
        <f t="shared" si="3"/>
        <v>2.1499999999999999E-4</v>
      </c>
      <c r="AQ20" s="58"/>
      <c r="BJ20" s="640">
        <v>12</v>
      </c>
      <c r="BK20" s="641">
        <v>9</v>
      </c>
      <c r="BL20" s="642"/>
      <c r="BM20" s="635">
        <v>12</v>
      </c>
      <c r="BN20" s="643">
        <v>9</v>
      </c>
      <c r="BO20" s="12"/>
      <c r="BP20" s="13"/>
      <c r="BR20" s="640">
        <v>12</v>
      </c>
      <c r="BS20" s="641">
        <v>2.99</v>
      </c>
      <c r="BT20" s="642"/>
      <c r="BU20" s="635">
        <v>12</v>
      </c>
      <c r="BV20" s="643">
        <v>5.29</v>
      </c>
      <c r="BW20" s="12"/>
      <c r="BX20" s="13"/>
      <c r="BZ20" s="640">
        <v>12</v>
      </c>
      <c r="CA20" s="641">
        <v>3.81</v>
      </c>
      <c r="CB20" s="642"/>
      <c r="CC20" s="635">
        <v>12</v>
      </c>
      <c r="CD20" s="643">
        <v>5.92</v>
      </c>
      <c r="CE20" s="12"/>
      <c r="CF20" s="13"/>
    </row>
    <row r="21" spans="1:84" ht="12.75" customHeight="1">
      <c r="A21" s="640">
        <v>13</v>
      </c>
      <c r="B21" s="641">
        <v>9</v>
      </c>
      <c r="C21" s="642"/>
      <c r="D21" s="635">
        <v>13</v>
      </c>
      <c r="E21" s="643">
        <v>8</v>
      </c>
      <c r="F21" s="12"/>
      <c r="G21" s="12"/>
      <c r="H21" s="162"/>
      <c r="I21" s="315"/>
      <c r="J21" s="315"/>
      <c r="K21" s="315"/>
      <c r="L21" s="315"/>
      <c r="M21" s="315" t="s">
        <v>257</v>
      </c>
      <c r="N21" s="315"/>
      <c r="O21" s="316"/>
      <c r="Q21" s="614">
        <f t="shared" si="1"/>
        <v>2.1499999999999999E-4</v>
      </c>
      <c r="V21" s="84">
        <f t="shared" si="2"/>
        <v>2.1499999999999999E-4</v>
      </c>
      <c r="W21" s="614">
        <f t="shared" si="2"/>
        <v>2.1499999999999999E-4</v>
      </c>
      <c r="AE21" s="84">
        <f t="shared" si="3"/>
        <v>2.1499999999999999E-4</v>
      </c>
      <c r="BJ21" s="640">
        <v>13</v>
      </c>
      <c r="BK21" s="641">
        <v>9</v>
      </c>
      <c r="BL21" s="642"/>
      <c r="BM21" s="635">
        <v>13</v>
      </c>
      <c r="BN21" s="643">
        <v>8</v>
      </c>
      <c r="BO21" s="12"/>
      <c r="BP21" s="13"/>
      <c r="BR21" s="640">
        <v>13</v>
      </c>
      <c r="BS21" s="641">
        <v>3.06</v>
      </c>
      <c r="BT21" s="642"/>
      <c r="BU21" s="635">
        <v>13</v>
      </c>
      <c r="BV21" s="643">
        <v>5.57</v>
      </c>
      <c r="BW21" s="12"/>
      <c r="BX21" s="13"/>
      <c r="BZ21" s="640">
        <v>13</v>
      </c>
      <c r="CA21" s="641">
        <v>13.33</v>
      </c>
      <c r="CB21" s="642"/>
      <c r="CC21" s="635">
        <v>13</v>
      </c>
      <c r="CD21" s="643">
        <v>8.7100000000000009</v>
      </c>
      <c r="CE21" s="12"/>
      <c r="CF21" s="13"/>
    </row>
    <row r="22" spans="1:84" ht="12.75" customHeight="1">
      <c r="A22" s="640">
        <v>14</v>
      </c>
      <c r="B22" s="641">
        <v>8</v>
      </c>
      <c r="C22" s="642"/>
      <c r="D22" s="635">
        <v>14</v>
      </c>
      <c r="E22" s="643">
        <v>8</v>
      </c>
      <c r="F22" s="12"/>
      <c r="G22" s="13"/>
      <c r="H22" s="700">
        <v>7</v>
      </c>
      <c r="I22" s="701" t="s">
        <v>258</v>
      </c>
      <c r="J22" s="702"/>
      <c r="K22" s="703" t="s">
        <v>322</v>
      </c>
      <c r="L22" s="708">
        <f>IF(AND(AO111&lt;&gt;"",AQ97=1),AO111,"")</f>
        <v>18.877153459613936</v>
      </c>
      <c r="M22" s="188" t="str">
        <f>IF(AND(AQ97=1,$C$6&lt;&gt;""),$C$6,"")</f>
        <v>N sex partners</v>
      </c>
      <c r="N22" s="188"/>
      <c r="O22" s="314"/>
      <c r="Q22" s="614">
        <f t="shared" si="1"/>
        <v>2.1499999999999999E-4</v>
      </c>
      <c r="V22" s="84">
        <f t="shared" ref="V22:W36" si="4">$Q$1</f>
        <v>2.1499999999999999E-4</v>
      </c>
      <c r="W22" s="614">
        <f t="shared" si="4"/>
        <v>2.1499999999999999E-4</v>
      </c>
      <c r="AE22" s="84">
        <f t="shared" si="3"/>
        <v>2.1499999999999999E-4</v>
      </c>
      <c r="BJ22" s="640">
        <v>14</v>
      </c>
      <c r="BK22" s="641">
        <v>8</v>
      </c>
      <c r="BL22" s="642"/>
      <c r="BM22" s="635">
        <v>14</v>
      </c>
      <c r="BN22" s="643">
        <v>8</v>
      </c>
      <c r="BO22" s="12"/>
      <c r="BP22" s="13"/>
      <c r="BR22" s="640">
        <v>14</v>
      </c>
      <c r="BS22" s="641">
        <v>3.76</v>
      </c>
      <c r="BT22" s="642"/>
      <c r="BU22" s="635">
        <v>14</v>
      </c>
      <c r="BV22" s="643">
        <v>6.15</v>
      </c>
      <c r="BW22" s="12"/>
      <c r="BX22" s="13"/>
      <c r="BZ22" s="640">
        <v>14</v>
      </c>
      <c r="CA22" s="641">
        <v>5.31</v>
      </c>
      <c r="CB22" s="642"/>
      <c r="CC22" s="635">
        <v>14</v>
      </c>
      <c r="CD22" s="643">
        <v>9.31</v>
      </c>
      <c r="CE22" s="12"/>
      <c r="CF22" s="13"/>
    </row>
    <row r="23" spans="1:84" ht="12.75" customHeight="1">
      <c r="A23" s="669">
        <v>15</v>
      </c>
      <c r="B23" s="641">
        <v>8</v>
      </c>
      <c r="C23" s="642"/>
      <c r="D23" s="635">
        <v>15</v>
      </c>
      <c r="E23" s="643">
        <v>7</v>
      </c>
      <c r="F23" s="12"/>
      <c r="G23" s="13"/>
      <c r="H23" s="648"/>
      <c r="I23" s="648"/>
      <c r="J23" s="648"/>
      <c r="K23" s="704" t="s">
        <v>323</v>
      </c>
      <c r="L23" s="708">
        <f>IF(AND(K13=0,M13=0),0,IF(AO111&lt;&gt;"",IF(AQ97=1,AO113,AO123),""))</f>
        <v>7.7129901334298863</v>
      </c>
      <c r="M23" s="694" t="str">
        <f>IF($C$6="","",$C$6)</f>
        <v>N sex partners</v>
      </c>
      <c r="N23" s="648"/>
      <c r="O23" s="650"/>
      <c r="Q23" s="614">
        <f t="shared" si="1"/>
        <v>2.1499999999999999E-4</v>
      </c>
      <c r="V23" s="84">
        <f t="shared" si="4"/>
        <v>2.1499999999999999E-4</v>
      </c>
      <c r="W23" s="614">
        <f t="shared" si="4"/>
        <v>2.1499999999999999E-4</v>
      </c>
      <c r="AE23" s="84">
        <f t="shared" si="3"/>
        <v>2.1499999999999999E-4</v>
      </c>
      <c r="BJ23" s="669">
        <v>15</v>
      </c>
      <c r="BK23" s="641">
        <v>8</v>
      </c>
      <c r="BL23" s="642"/>
      <c r="BM23" s="635">
        <v>15</v>
      </c>
      <c r="BN23" s="643">
        <v>7</v>
      </c>
      <c r="BO23" s="12"/>
      <c r="BP23" s="13"/>
      <c r="BR23" s="669">
        <v>15</v>
      </c>
      <c r="BS23" s="641">
        <v>4.28</v>
      </c>
      <c r="BT23" s="642"/>
      <c r="BU23" s="635">
        <v>15</v>
      </c>
      <c r="BV23" s="643">
        <v>6.25</v>
      </c>
      <c r="BW23" s="12"/>
      <c r="BX23" s="13"/>
      <c r="BZ23" s="669">
        <v>15</v>
      </c>
      <c r="CA23" s="641">
        <v>18.03</v>
      </c>
      <c r="CB23" s="642"/>
      <c r="CC23" s="635">
        <v>15</v>
      </c>
      <c r="CD23" s="643">
        <v>20.89</v>
      </c>
      <c r="CE23" s="12"/>
      <c r="CF23" s="13"/>
    </row>
    <row r="24" spans="1:84" ht="12.75" customHeight="1">
      <c r="A24" s="640">
        <v>16</v>
      </c>
      <c r="B24" s="641">
        <v>7</v>
      </c>
      <c r="C24" s="642"/>
      <c r="D24" s="635">
        <v>16</v>
      </c>
      <c r="E24" s="643">
        <v>7</v>
      </c>
      <c r="F24" s="12"/>
      <c r="G24" s="13"/>
      <c r="H24" s="648"/>
      <c r="I24" s="648"/>
      <c r="J24" s="648"/>
      <c r="K24" s="647" t="s">
        <v>1307</v>
      </c>
      <c r="L24" s="728">
        <f>IF(AND(L18&lt;&gt;"",L23&lt;&gt;""),L18-L23,"")</f>
        <v>-12.171100650363933</v>
      </c>
      <c r="M24" s="648" t="s">
        <v>251</v>
      </c>
      <c r="N24" s="648"/>
      <c r="O24" s="650"/>
      <c r="Q24" s="614">
        <f t="shared" si="1"/>
        <v>2.1499999999999999E-4</v>
      </c>
      <c r="V24" s="84">
        <f t="shared" si="4"/>
        <v>2.1499999999999999E-4</v>
      </c>
      <c r="W24" s="614">
        <f t="shared" si="4"/>
        <v>2.1499999999999999E-4</v>
      </c>
      <c r="AE24" s="84">
        <f t="shared" si="3"/>
        <v>2.1499999999999999E-4</v>
      </c>
      <c r="BJ24" s="640">
        <v>16</v>
      </c>
      <c r="BK24" s="641">
        <v>7</v>
      </c>
      <c r="BL24" s="642"/>
      <c r="BM24" s="635">
        <v>16</v>
      </c>
      <c r="BN24" s="643">
        <v>7</v>
      </c>
      <c r="BO24" s="12"/>
      <c r="BP24" s="13"/>
      <c r="BR24" s="640">
        <v>16</v>
      </c>
      <c r="BS24" s="641">
        <v>5.15</v>
      </c>
      <c r="BT24" s="642"/>
      <c r="BU24" s="635">
        <v>16</v>
      </c>
      <c r="BV24" s="643">
        <v>6.45</v>
      </c>
      <c r="BW24" s="12"/>
      <c r="BX24" s="13"/>
      <c r="BZ24" s="640">
        <v>16</v>
      </c>
      <c r="CA24" s="641">
        <v>5.44</v>
      </c>
      <c r="CB24" s="642"/>
      <c r="CC24" s="635">
        <v>16</v>
      </c>
      <c r="CD24" s="643">
        <v>15.49</v>
      </c>
      <c r="CE24" s="12"/>
      <c r="CF24" s="13"/>
    </row>
    <row r="25" spans="1:84" ht="12.75" customHeight="1">
      <c r="A25" s="640">
        <v>17</v>
      </c>
      <c r="B25" s="641">
        <v>7</v>
      </c>
      <c r="C25" s="642"/>
      <c r="D25" s="635">
        <v>17</v>
      </c>
      <c r="E25" s="643">
        <v>6</v>
      </c>
      <c r="F25" s="12"/>
      <c r="G25" s="13"/>
      <c r="H25" s="648"/>
      <c r="I25" s="648"/>
      <c r="J25" s="648"/>
      <c r="K25" s="648"/>
      <c r="L25" s="668">
        <f>IF(AND(L18&lt;&gt;"",L23&lt;&gt;""),L18+L23,"")</f>
        <v>3.25487961649584</v>
      </c>
      <c r="M25" s="705" t="s">
        <v>349</v>
      </c>
      <c r="N25" s="672">
        <f>IF(AND(K13=0,M13=0),"",IF(AO111&lt;&gt;"",IF(AQ97=1,None+Ntwo-2,AO118),""))</f>
        <v>93</v>
      </c>
      <c r="O25" s="650"/>
      <c r="Q25" s="614">
        <f t="shared" si="1"/>
        <v>2.1499999999999999E-4</v>
      </c>
      <c r="V25" s="84">
        <f t="shared" si="4"/>
        <v>2.1499999999999999E-4</v>
      </c>
      <c r="W25" s="614">
        <f t="shared" si="4"/>
        <v>2.1499999999999999E-4</v>
      </c>
      <c r="AE25" s="84">
        <f t="shared" si="3"/>
        <v>2.1499999999999999E-4</v>
      </c>
      <c r="BJ25" s="640">
        <v>17</v>
      </c>
      <c r="BK25" s="641">
        <v>7</v>
      </c>
      <c r="BL25" s="642"/>
      <c r="BM25" s="635">
        <v>17</v>
      </c>
      <c r="BN25" s="643">
        <v>6</v>
      </c>
      <c r="BO25" s="12"/>
      <c r="BP25" s="13"/>
      <c r="BR25" s="640">
        <v>17</v>
      </c>
      <c r="BS25" s="641">
        <v>6.66</v>
      </c>
      <c r="BT25" s="642"/>
      <c r="BU25" s="635">
        <v>17</v>
      </c>
      <c r="BV25" s="643">
        <v>9.73</v>
      </c>
      <c r="BW25" s="12"/>
      <c r="BX25" s="13"/>
      <c r="BZ25" s="640">
        <v>17</v>
      </c>
      <c r="CA25" s="641">
        <v>7.06</v>
      </c>
      <c r="CB25" s="642"/>
      <c r="CC25" s="635">
        <v>17</v>
      </c>
      <c r="CD25" s="643">
        <v>17.68</v>
      </c>
      <c r="CE25" s="12"/>
      <c r="CF25" s="13"/>
    </row>
    <row r="26" spans="1:84" ht="12.75" customHeight="1">
      <c r="A26" s="640">
        <v>18</v>
      </c>
      <c r="B26" s="641">
        <v>7</v>
      </c>
      <c r="C26" s="642"/>
      <c r="D26" s="635">
        <v>18</v>
      </c>
      <c r="E26" s="643">
        <v>6</v>
      </c>
      <c r="F26" s="12"/>
      <c r="G26" s="13"/>
      <c r="H26" s="648"/>
      <c r="I26" s="648"/>
      <c r="J26" s="648"/>
      <c r="K26" s="706" t="s">
        <v>324</v>
      </c>
      <c r="L26" s="671">
        <f>IF(AND(AO111&gt;0,AO111&lt;&gt;""),IF(AQ97=1,(M12-K12)/(AO111*SQRT(1/None+1/Ntwo)),AO117),"")</f>
        <v>-1.1477939935565009</v>
      </c>
      <c r="M26" s="707" t="s">
        <v>325</v>
      </c>
      <c r="N26" s="689">
        <f>IF(L26&lt;&gt;"",IF(AQ97=1,TDIST(ABS(L26),None+Ntwo-2,2),AO122),"")</f>
        <v>0.25399762696573081</v>
      </c>
      <c r="O26" s="650"/>
      <c r="Q26" s="614">
        <f t="shared" si="1"/>
        <v>2.1499999999999999E-4</v>
      </c>
      <c r="V26" s="84">
        <f t="shared" si="4"/>
        <v>2.1499999999999999E-4</v>
      </c>
      <c r="W26" s="614">
        <f t="shared" si="4"/>
        <v>2.1499999999999999E-4</v>
      </c>
      <c r="AE26" s="84">
        <f t="shared" si="3"/>
        <v>2.1499999999999999E-4</v>
      </c>
      <c r="BJ26" s="640">
        <v>18</v>
      </c>
      <c r="BK26" s="641">
        <v>7</v>
      </c>
      <c r="BL26" s="642"/>
      <c r="BM26" s="635">
        <v>18</v>
      </c>
      <c r="BN26" s="643">
        <v>6</v>
      </c>
      <c r="BO26" s="12"/>
      <c r="BP26" s="13"/>
      <c r="BR26" s="640">
        <v>18</v>
      </c>
      <c r="BS26" s="641">
        <v>13.1</v>
      </c>
      <c r="BT26" s="642"/>
      <c r="BU26" s="635">
        <v>18</v>
      </c>
      <c r="BV26" s="643">
        <v>10.65</v>
      </c>
      <c r="BW26" s="12"/>
      <c r="BX26" s="13"/>
      <c r="BZ26" s="640">
        <v>18</v>
      </c>
      <c r="CA26" s="641">
        <v>15.38</v>
      </c>
      <c r="CB26" s="642"/>
      <c r="CC26" s="635">
        <v>18</v>
      </c>
      <c r="CD26" s="643">
        <v>12.21</v>
      </c>
      <c r="CE26" s="12"/>
      <c r="CF26" s="13"/>
    </row>
    <row r="27" spans="1:84" ht="12.75" customHeight="1">
      <c r="A27" s="640">
        <v>19</v>
      </c>
      <c r="B27" s="641">
        <v>6</v>
      </c>
      <c r="C27" s="642"/>
      <c r="D27" s="635">
        <v>19</v>
      </c>
      <c r="E27" s="643">
        <v>5</v>
      </c>
      <c r="F27" s="12"/>
      <c r="G27" s="13"/>
      <c r="H27" s="315"/>
      <c r="I27" s="315"/>
      <c r="J27" s="315"/>
      <c r="K27" s="315"/>
      <c r="L27" s="315"/>
      <c r="M27" s="315"/>
      <c r="N27" s="315"/>
      <c r="O27" s="316"/>
      <c r="Q27" s="614">
        <f t="shared" si="1"/>
        <v>2.1499999999999999E-4</v>
      </c>
      <c r="V27" s="84">
        <f t="shared" si="4"/>
        <v>2.1499999999999999E-4</v>
      </c>
      <c r="W27" s="614">
        <f t="shared" si="4"/>
        <v>2.1499999999999999E-4</v>
      </c>
      <c r="AE27" s="84">
        <f t="shared" si="3"/>
        <v>2.1499999999999999E-4</v>
      </c>
      <c r="BJ27" s="640">
        <v>19</v>
      </c>
      <c r="BK27" s="641">
        <v>6</v>
      </c>
      <c r="BL27" s="642"/>
      <c r="BM27" s="635">
        <v>19</v>
      </c>
      <c r="BN27" s="643">
        <v>5</v>
      </c>
      <c r="BO27" s="12"/>
      <c r="BP27" s="13"/>
      <c r="BR27" s="640">
        <v>19</v>
      </c>
      <c r="BS27" s="641">
        <v>26.11</v>
      </c>
      <c r="BT27" s="642"/>
      <c r="BU27" s="635">
        <v>19</v>
      </c>
      <c r="BV27" s="643">
        <v>32.15</v>
      </c>
      <c r="BW27" s="12"/>
      <c r="BX27" s="13"/>
      <c r="BZ27" s="640">
        <v>19</v>
      </c>
      <c r="CA27" s="641">
        <v>4.55</v>
      </c>
      <c r="CB27" s="642"/>
      <c r="CC27" s="635">
        <v>19</v>
      </c>
      <c r="CD27" s="643">
        <v>8</v>
      </c>
      <c r="CE27" s="12"/>
      <c r="CF27" s="13"/>
    </row>
    <row r="28" spans="1:84" ht="12.75" customHeight="1">
      <c r="A28" s="640">
        <v>20</v>
      </c>
      <c r="B28" s="641">
        <v>6</v>
      </c>
      <c r="C28" s="642"/>
      <c r="D28" s="635">
        <v>20</v>
      </c>
      <c r="E28" s="643">
        <v>5</v>
      </c>
      <c r="F28" s="12"/>
      <c r="G28" s="13"/>
      <c r="H28" s="710">
        <v>8</v>
      </c>
      <c r="I28" s="496" t="s">
        <v>351</v>
      </c>
      <c r="J28" s="214"/>
      <c r="K28" s="214"/>
      <c r="L28" s="214"/>
      <c r="M28" s="214"/>
      <c r="N28" s="214"/>
      <c r="O28" s="215"/>
      <c r="Q28" s="614">
        <f t="shared" si="1"/>
        <v>2.1499999999999999E-4</v>
      </c>
      <c r="V28" s="84">
        <f t="shared" si="4"/>
        <v>2.1499999999999999E-4</v>
      </c>
      <c r="W28" s="614">
        <f t="shared" si="4"/>
        <v>2.1499999999999999E-4</v>
      </c>
      <c r="AE28" s="84">
        <f t="shared" si="3"/>
        <v>2.1499999999999999E-4</v>
      </c>
      <c r="BJ28" s="640">
        <v>20</v>
      </c>
      <c r="BK28" s="641">
        <v>6</v>
      </c>
      <c r="BL28" s="642"/>
      <c r="BM28" s="635">
        <v>20</v>
      </c>
      <c r="BN28" s="643">
        <v>5</v>
      </c>
      <c r="BO28" s="12"/>
      <c r="BP28" s="13"/>
      <c r="BR28" s="640">
        <v>20</v>
      </c>
      <c r="BS28" s="641"/>
      <c r="BT28" s="642"/>
      <c r="BU28" s="635">
        <v>20</v>
      </c>
      <c r="BV28" s="643"/>
      <c r="BW28" s="12"/>
      <c r="BX28" s="13"/>
      <c r="BZ28" s="640">
        <v>20</v>
      </c>
      <c r="CA28" s="641">
        <v>12.5</v>
      </c>
      <c r="CB28" s="642"/>
      <c r="CC28" s="635">
        <v>20</v>
      </c>
      <c r="CD28" s="643">
        <v>13.43</v>
      </c>
      <c r="CE28" s="12"/>
      <c r="CF28" s="13"/>
    </row>
    <row r="29" spans="1:84" ht="12.75" customHeight="1">
      <c r="A29" s="640">
        <v>21</v>
      </c>
      <c r="B29" s="641">
        <v>6</v>
      </c>
      <c r="C29" s="642"/>
      <c r="D29" s="635">
        <v>21</v>
      </c>
      <c r="E29" s="643">
        <v>5</v>
      </c>
      <c r="F29" s="12"/>
      <c r="G29" s="13"/>
      <c r="H29" s="216"/>
      <c r="I29" s="100" t="s">
        <v>352</v>
      </c>
      <c r="J29" s="100"/>
      <c r="K29" s="100"/>
      <c r="L29" s="100"/>
      <c r="M29" s="711" t="s">
        <v>329</v>
      </c>
      <c r="N29" s="422">
        <f>X86</f>
        <v>20</v>
      </c>
      <c r="O29" s="217"/>
      <c r="Q29" s="614">
        <f t="shared" si="1"/>
        <v>2.1499999999999999E-4</v>
      </c>
      <c r="V29" s="84">
        <f t="shared" si="4"/>
        <v>2.1499999999999999E-4</v>
      </c>
      <c r="W29" s="614">
        <f t="shared" si="4"/>
        <v>2.1499999999999999E-4</v>
      </c>
      <c r="AE29" s="84">
        <f t="shared" si="3"/>
        <v>2.1499999999999999E-4</v>
      </c>
      <c r="BJ29" s="640">
        <v>21</v>
      </c>
      <c r="BK29" s="641">
        <v>6</v>
      </c>
      <c r="BL29" s="642"/>
      <c r="BM29" s="635">
        <v>21</v>
      </c>
      <c r="BN29" s="643">
        <v>5</v>
      </c>
      <c r="BO29" s="12"/>
      <c r="BP29" s="13"/>
      <c r="BR29" s="640">
        <v>21</v>
      </c>
      <c r="BS29" s="641"/>
      <c r="BT29" s="642"/>
      <c r="BU29" s="635">
        <v>21</v>
      </c>
      <c r="BV29" s="643"/>
      <c r="BW29" s="12"/>
      <c r="BX29" s="13"/>
      <c r="BZ29" s="640">
        <v>21</v>
      </c>
      <c r="CA29" s="641">
        <v>1.33</v>
      </c>
      <c r="CB29" s="642"/>
      <c r="CC29" s="635">
        <v>21</v>
      </c>
      <c r="CD29" s="643">
        <v>19.63</v>
      </c>
      <c r="CE29" s="12"/>
      <c r="CF29" s="13"/>
    </row>
    <row r="30" spans="1:84" ht="12.75" customHeight="1">
      <c r="A30" s="640">
        <v>22</v>
      </c>
      <c r="B30" s="641">
        <v>6</v>
      </c>
      <c r="C30" s="642"/>
      <c r="D30" s="635">
        <v>22</v>
      </c>
      <c r="E30" s="643">
        <v>5</v>
      </c>
      <c r="F30" s="12"/>
      <c r="G30" s="12"/>
      <c r="H30" s="731" t="s">
        <v>350</v>
      </c>
      <c r="I30" s="100"/>
      <c r="J30" s="395"/>
      <c r="K30" s="732" t="s">
        <v>242</v>
      </c>
      <c r="L30" s="100"/>
      <c r="M30" s="733" t="s">
        <v>243</v>
      </c>
      <c r="N30" s="100"/>
      <c r="O30" s="217"/>
      <c r="P30" s="667"/>
      <c r="Q30" s="614">
        <f t="shared" si="1"/>
        <v>2.1499999999999999E-4</v>
      </c>
      <c r="V30" s="84">
        <f t="shared" si="4"/>
        <v>2.1499999999999999E-4</v>
      </c>
      <c r="W30" s="614">
        <f t="shared" si="4"/>
        <v>2.1499999999999999E-4</v>
      </c>
      <c r="AE30" s="84">
        <f t="shared" si="3"/>
        <v>2.1499999999999999E-4</v>
      </c>
      <c r="BJ30" s="640">
        <v>22</v>
      </c>
      <c r="BK30" s="641">
        <v>6</v>
      </c>
      <c r="BL30" s="642"/>
      <c r="BM30" s="635">
        <v>22</v>
      </c>
      <c r="BN30" s="643">
        <v>5</v>
      </c>
      <c r="BO30" s="12"/>
      <c r="BP30" s="13"/>
      <c r="BR30" s="640">
        <v>22</v>
      </c>
      <c r="BS30" s="641"/>
      <c r="BT30" s="642"/>
      <c r="BU30" s="635">
        <v>22</v>
      </c>
      <c r="BV30" s="643"/>
      <c r="BW30" s="12"/>
      <c r="BX30" s="13"/>
      <c r="BZ30" s="640">
        <v>22</v>
      </c>
      <c r="CA30" s="641">
        <v>4.21</v>
      </c>
      <c r="CB30" s="642"/>
      <c r="CC30" s="635">
        <v>22</v>
      </c>
      <c r="CD30" s="643">
        <v>18.079999999999998</v>
      </c>
      <c r="CE30" s="12"/>
      <c r="CF30" s="13"/>
    </row>
    <row r="31" spans="1:84" ht="12.75" customHeight="1">
      <c r="A31" s="640">
        <v>23</v>
      </c>
      <c r="B31" s="641">
        <v>6</v>
      </c>
      <c r="C31" s="642"/>
      <c r="D31" s="635">
        <v>23</v>
      </c>
      <c r="E31" s="643">
        <v>4</v>
      </c>
      <c r="F31" s="12"/>
      <c r="G31" s="13"/>
      <c r="H31" s="216"/>
      <c r="I31" s="712"/>
      <c r="J31" s="100"/>
      <c r="K31" s="651" t="str">
        <f>IF(B8="","",B8)</f>
        <v>Males</v>
      </c>
      <c r="L31" s="396"/>
      <c r="M31" s="651" t="str">
        <f>IF(E8="","",E8)</f>
        <v>Females</v>
      </c>
      <c r="N31" s="100"/>
      <c r="O31" s="217"/>
      <c r="P31" s="667"/>
      <c r="Q31" s="614">
        <f t="shared" si="1"/>
        <v>2.1499999999999999E-4</v>
      </c>
      <c r="V31" s="84">
        <f t="shared" si="4"/>
        <v>2.1499999999999999E-4</v>
      </c>
      <c r="W31" s="614">
        <f t="shared" si="4"/>
        <v>2.1499999999999999E-4</v>
      </c>
      <c r="AE31" s="84">
        <f t="shared" si="3"/>
        <v>2.1499999999999999E-4</v>
      </c>
      <c r="AP31" s="96"/>
      <c r="BJ31" s="640">
        <v>23</v>
      </c>
      <c r="BK31" s="641">
        <v>6</v>
      </c>
      <c r="BL31" s="642"/>
      <c r="BM31" s="635">
        <v>23</v>
      </c>
      <c r="BN31" s="643">
        <v>4</v>
      </c>
      <c r="BO31" s="12"/>
      <c r="BP31" s="13"/>
      <c r="BR31" s="640">
        <v>23</v>
      </c>
      <c r="BS31" s="641"/>
      <c r="BT31" s="642"/>
      <c r="BU31" s="635">
        <v>23</v>
      </c>
      <c r="BV31" s="643"/>
      <c r="BW31" s="12"/>
      <c r="BX31" s="13"/>
      <c r="BZ31" s="640">
        <v>23</v>
      </c>
      <c r="CA31" s="641">
        <v>6.63</v>
      </c>
      <c r="CB31" s="642"/>
      <c r="CC31" s="635">
        <v>23</v>
      </c>
      <c r="CD31" s="643">
        <v>8.16</v>
      </c>
      <c r="CE31" s="12"/>
      <c r="CF31" s="13"/>
    </row>
    <row r="32" spans="1:84" ht="12.75" customHeight="1">
      <c r="A32" s="669">
        <v>24</v>
      </c>
      <c r="B32" s="641">
        <v>6</v>
      </c>
      <c r="C32" s="642"/>
      <c r="D32" s="635">
        <v>24</v>
      </c>
      <c r="E32" s="643">
        <v>4</v>
      </c>
      <c r="F32" s="329"/>
      <c r="G32" s="670"/>
      <c r="H32" s="216"/>
      <c r="I32" s="100"/>
      <c r="J32" s="395" t="s">
        <v>1384</v>
      </c>
      <c r="K32" s="655" t="str">
        <f>IF($AC$91,V90,"")</f>
        <v/>
      </c>
      <c r="L32" s="713" t="s">
        <v>1385</v>
      </c>
      <c r="M32" s="656" t="str">
        <f>IF($AC$91,AE90,"")</f>
        <v/>
      </c>
      <c r="N32" s="100"/>
      <c r="O32" s="217"/>
      <c r="Q32" s="614">
        <f t="shared" si="1"/>
        <v>2.1499999999999999E-4</v>
      </c>
      <c r="V32" s="84">
        <f t="shared" si="4"/>
        <v>2.1499999999999999E-4</v>
      </c>
      <c r="W32" s="614">
        <f t="shared" si="4"/>
        <v>2.1499999999999999E-4</v>
      </c>
      <c r="AE32" s="84">
        <f t="shared" si="3"/>
        <v>2.1499999999999999E-4</v>
      </c>
      <c r="BJ32" s="669">
        <v>24</v>
      </c>
      <c r="BK32" s="641">
        <v>6</v>
      </c>
      <c r="BL32" s="642"/>
      <c r="BM32" s="635">
        <v>24</v>
      </c>
      <c r="BN32" s="643">
        <v>4</v>
      </c>
      <c r="BO32" s="329"/>
      <c r="BP32" s="670"/>
      <c r="BR32" s="669">
        <v>24</v>
      </c>
      <c r="BS32" s="641"/>
      <c r="BT32" s="642"/>
      <c r="BU32" s="635">
        <v>24</v>
      </c>
      <c r="BV32" s="643"/>
      <c r="BW32" s="329"/>
      <c r="BX32" s="670"/>
      <c r="BZ32" s="669">
        <v>24</v>
      </c>
      <c r="CA32" s="641">
        <v>5.56</v>
      </c>
      <c r="CB32" s="642"/>
      <c r="CC32" s="635">
        <v>24</v>
      </c>
      <c r="CD32" s="643">
        <v>10</v>
      </c>
      <c r="CE32" s="329"/>
      <c r="CF32" s="670"/>
    </row>
    <row r="33" spans="1:85" ht="12.75" customHeight="1">
      <c r="A33" s="640">
        <v>25</v>
      </c>
      <c r="B33" s="641">
        <v>5</v>
      </c>
      <c r="C33" s="642"/>
      <c r="D33" s="635">
        <v>25</v>
      </c>
      <c r="E33" s="643">
        <v>4</v>
      </c>
      <c r="F33" s="12"/>
      <c r="G33" s="13"/>
      <c r="H33" s="216"/>
      <c r="I33" s="100"/>
      <c r="J33" s="395" t="s">
        <v>1386</v>
      </c>
      <c r="K33" s="709" t="str">
        <f>IF($AC$91,X90,"")</f>
        <v/>
      </c>
      <c r="L33" s="713" t="s">
        <v>1387</v>
      </c>
      <c r="M33" s="709" t="str">
        <f>IF($AC$91,AC90,"")</f>
        <v/>
      </c>
      <c r="N33" s="100"/>
      <c r="O33" s="217"/>
      <c r="Q33" s="614">
        <f t="shared" si="1"/>
        <v>2.1499999999999999E-4</v>
      </c>
      <c r="V33" s="84">
        <f t="shared" si="4"/>
        <v>2.1499999999999999E-4</v>
      </c>
      <c r="W33" s="614">
        <f t="shared" si="4"/>
        <v>2.1499999999999999E-4</v>
      </c>
      <c r="AE33" s="84">
        <f t="shared" si="3"/>
        <v>2.1499999999999999E-4</v>
      </c>
      <c r="BJ33" s="640">
        <v>25</v>
      </c>
      <c r="BK33" s="641">
        <v>5</v>
      </c>
      <c r="BL33" s="642"/>
      <c r="BM33" s="635">
        <v>25</v>
      </c>
      <c r="BN33" s="643">
        <v>4</v>
      </c>
      <c r="BO33" s="12"/>
      <c r="BP33" s="13"/>
      <c r="BR33" s="640">
        <v>25</v>
      </c>
      <c r="BS33" s="641"/>
      <c r="BT33" s="642"/>
      <c r="BU33" s="635">
        <v>25</v>
      </c>
      <c r="BV33" s="643"/>
      <c r="BW33" s="12"/>
      <c r="BX33" s="13"/>
      <c r="BZ33" s="640">
        <v>25</v>
      </c>
      <c r="CA33" s="641">
        <v>2.67</v>
      </c>
      <c r="CB33" s="642"/>
      <c r="CC33" s="635">
        <v>25</v>
      </c>
      <c r="CD33" s="643">
        <v>16.05</v>
      </c>
      <c r="CE33" s="12"/>
      <c r="CF33" s="13"/>
    </row>
    <row r="34" spans="1:85" ht="12.75" customHeight="1">
      <c r="A34" s="640">
        <v>26</v>
      </c>
      <c r="B34" s="641">
        <v>5</v>
      </c>
      <c r="C34" s="642"/>
      <c r="D34" s="635">
        <v>26</v>
      </c>
      <c r="E34" s="643">
        <v>4</v>
      </c>
      <c r="F34" s="12"/>
      <c r="G34" s="13"/>
      <c r="H34" s="216"/>
      <c r="I34" s="100"/>
      <c r="J34" s="395" t="s">
        <v>1388</v>
      </c>
      <c r="K34" s="657" t="str">
        <f>IF(AND($AC$91,V90&gt;0),Z89,"")</f>
        <v/>
      </c>
      <c r="L34" s="714" t="s">
        <v>1389</v>
      </c>
      <c r="M34" s="657" t="str">
        <f>IF(AND($AC$91,AE90&gt;0),AJ89,"")</f>
        <v/>
      </c>
      <c r="N34" s="100" t="str">
        <f>IF($C$6="","",$C$6)</f>
        <v>N sex partners</v>
      </c>
      <c r="O34" s="217"/>
      <c r="P34" s="126"/>
      <c r="Q34" s="614">
        <f t="shared" si="1"/>
        <v>2.1499999999999999E-4</v>
      </c>
      <c r="V34" s="84">
        <f t="shared" si="4"/>
        <v>2.1499999999999999E-4</v>
      </c>
      <c r="W34" s="614">
        <f t="shared" si="4"/>
        <v>2.1499999999999999E-4</v>
      </c>
      <c r="AE34" s="84">
        <f t="shared" si="3"/>
        <v>2.1499999999999999E-4</v>
      </c>
      <c r="BJ34" s="640">
        <v>26</v>
      </c>
      <c r="BK34" s="641">
        <v>5</v>
      </c>
      <c r="BL34" s="642"/>
      <c r="BM34" s="635">
        <v>26</v>
      </c>
      <c r="BN34" s="643">
        <v>4</v>
      </c>
      <c r="BO34" s="12"/>
      <c r="BP34" s="13"/>
      <c r="BR34" s="640">
        <v>26</v>
      </c>
      <c r="BS34" s="641"/>
      <c r="BT34" s="642"/>
      <c r="BU34" s="635">
        <v>26</v>
      </c>
      <c r="BV34" s="643"/>
      <c r="BW34" s="12"/>
      <c r="BX34" s="13"/>
      <c r="BZ34" s="640">
        <v>26</v>
      </c>
      <c r="CA34" s="641">
        <v>5.29</v>
      </c>
      <c r="CB34" s="642"/>
      <c r="CC34" s="635">
        <v>26</v>
      </c>
      <c r="CD34" s="643">
        <v>5.19</v>
      </c>
      <c r="CE34" s="12"/>
      <c r="CF34" s="13"/>
    </row>
    <row r="35" spans="1:85" ht="12.75" customHeight="1">
      <c r="A35" s="640">
        <v>27</v>
      </c>
      <c r="B35" s="641">
        <v>5</v>
      </c>
      <c r="C35" s="642"/>
      <c r="D35" s="635">
        <v>27</v>
      </c>
      <c r="E35" s="643">
        <v>3</v>
      </c>
      <c r="F35" s="12"/>
      <c r="G35" s="13"/>
      <c r="H35" s="127"/>
      <c r="I35" s="101"/>
      <c r="J35" s="715" t="s">
        <v>193</v>
      </c>
      <c r="K35" s="657" t="str">
        <f>IF(AND($AC$91,V90&gt;1),AA89,"")</f>
        <v/>
      </c>
      <c r="L35" s="716" t="s">
        <v>194</v>
      </c>
      <c r="M35" s="657" t="str">
        <f>IF(AND($AC$91,AE90&gt;1),AK89,"")</f>
        <v/>
      </c>
      <c r="N35" s="101" t="str">
        <f>IF($C$6="","",$C$6)</f>
        <v>N sex partners</v>
      </c>
      <c r="O35" s="128"/>
      <c r="P35" s="91"/>
      <c r="Q35" s="614">
        <f t="shared" si="1"/>
        <v>2.1499999999999999E-4</v>
      </c>
      <c r="V35" s="84">
        <f t="shared" si="4"/>
        <v>2.1499999999999999E-4</v>
      </c>
      <c r="W35" s="614">
        <f t="shared" si="4"/>
        <v>2.1499999999999999E-4</v>
      </c>
      <c r="AE35" s="84">
        <f t="shared" si="3"/>
        <v>2.1499999999999999E-4</v>
      </c>
      <c r="BJ35" s="640">
        <v>27</v>
      </c>
      <c r="BK35" s="641">
        <v>5</v>
      </c>
      <c r="BL35" s="642"/>
      <c r="BM35" s="635">
        <v>27</v>
      </c>
      <c r="BN35" s="643">
        <v>3</v>
      </c>
      <c r="BO35" s="12"/>
      <c r="BP35" s="13"/>
      <c r="BR35" s="640">
        <v>27</v>
      </c>
      <c r="BS35" s="641"/>
      <c r="BT35" s="642"/>
      <c r="BU35" s="635">
        <v>27</v>
      </c>
      <c r="BV35" s="643"/>
      <c r="BW35" s="12"/>
      <c r="BX35" s="13"/>
      <c r="BZ35" s="640">
        <v>27</v>
      </c>
      <c r="CA35" s="641">
        <v>18.18</v>
      </c>
      <c r="CB35" s="642"/>
      <c r="CC35" s="635">
        <v>27</v>
      </c>
      <c r="CD35" s="643">
        <v>10.14</v>
      </c>
      <c r="CE35" s="12"/>
      <c r="CF35" s="13"/>
    </row>
    <row r="36" spans="1:85" ht="12.75" customHeight="1">
      <c r="A36" s="640">
        <v>28</v>
      </c>
      <c r="B36" s="641">
        <v>4</v>
      </c>
      <c r="C36" s="642"/>
      <c r="D36" s="635">
        <v>28</v>
      </c>
      <c r="E36" s="643">
        <v>3</v>
      </c>
      <c r="F36" s="12"/>
      <c r="G36" s="13"/>
      <c r="H36" s="734" t="s">
        <v>1378</v>
      </c>
      <c r="I36" s="496" t="s">
        <v>250</v>
      </c>
      <c r="J36" s="125"/>
      <c r="K36" s="125"/>
      <c r="L36" s="125"/>
      <c r="M36" s="125"/>
      <c r="N36" s="125"/>
      <c r="O36" s="126"/>
      <c r="P36" s="508"/>
      <c r="Q36" s="687">
        <f t="shared" si="1"/>
        <v>2.1499999999999999E-4</v>
      </c>
      <c r="R36" s="96"/>
      <c r="S36" s="96"/>
      <c r="T36" s="96"/>
      <c r="U36" s="96"/>
      <c r="V36" s="478">
        <f t="shared" si="4"/>
        <v>2.1499999999999999E-4</v>
      </c>
      <c r="W36" s="614">
        <f t="shared" si="4"/>
        <v>2.1499999999999999E-4</v>
      </c>
      <c r="AE36" s="84">
        <f t="shared" si="3"/>
        <v>2.1499999999999999E-4</v>
      </c>
      <c r="BJ36" s="640">
        <v>28</v>
      </c>
      <c r="BK36" s="641">
        <v>4</v>
      </c>
      <c r="BL36" s="642"/>
      <c r="BM36" s="635">
        <v>28</v>
      </c>
      <c r="BN36" s="643">
        <v>3</v>
      </c>
      <c r="BO36" s="12"/>
      <c r="BP36" s="13"/>
      <c r="BR36" s="640">
        <v>28</v>
      </c>
      <c r="BS36" s="641"/>
      <c r="BT36" s="642"/>
      <c r="BU36" s="635">
        <v>28</v>
      </c>
      <c r="BV36" s="643"/>
      <c r="BW36" s="12"/>
      <c r="BX36" s="13"/>
      <c r="BZ36" s="640">
        <v>28</v>
      </c>
      <c r="CA36" s="641">
        <v>10.48</v>
      </c>
      <c r="CB36" s="642"/>
      <c r="CC36" s="635">
        <v>28</v>
      </c>
      <c r="CD36" s="643">
        <v>2.37</v>
      </c>
      <c r="CE36" s="12"/>
      <c r="CF36" s="13"/>
    </row>
    <row r="37" spans="1:85" ht="12.75" customHeight="1">
      <c r="A37" s="640">
        <v>29</v>
      </c>
      <c r="B37" s="641">
        <v>4</v>
      </c>
      <c r="C37" s="642"/>
      <c r="D37" s="635">
        <v>29</v>
      </c>
      <c r="E37" s="643">
        <v>3</v>
      </c>
      <c r="F37" s="12"/>
      <c r="G37" s="13"/>
      <c r="H37" s="216"/>
      <c r="I37" s="100"/>
      <c r="J37" s="713" t="s">
        <v>318</v>
      </c>
      <c r="K37" s="666" t="str">
        <f>IF(AND($AC$91,V90&gt;1),(AA89/(X87*SQRT(X89)))*TINV(1-$AP$93/100,(V90-1)),"")</f>
        <v/>
      </c>
      <c r="L37" s="714" t="s">
        <v>319</v>
      </c>
      <c r="M37" s="666" t="str">
        <f>IF(AND($AC$91,AE90&gt;1),(AK89/(X87*SQRT(AC89)))*TINV(1-$AP$93/100,(AE90-1)),"")</f>
        <v/>
      </c>
      <c r="N37" s="717" t="str">
        <f>IF($C$6="","",$C$6)</f>
        <v>N sex partners</v>
      </c>
      <c r="O37" s="217"/>
      <c r="P37" s="272"/>
      <c r="Q37" s="96"/>
      <c r="R37" s="96"/>
      <c r="S37" s="96"/>
      <c r="T37" s="96"/>
      <c r="U37" s="96"/>
      <c r="V37" s="96"/>
      <c r="BJ37" s="640">
        <v>29</v>
      </c>
      <c r="BK37" s="641">
        <v>4</v>
      </c>
      <c r="BL37" s="642"/>
      <c r="BM37" s="635">
        <v>29</v>
      </c>
      <c r="BN37" s="643">
        <v>3</v>
      </c>
      <c r="BO37" s="12"/>
      <c r="BP37" s="12"/>
      <c r="BQ37" s="72"/>
      <c r="BR37" s="640">
        <v>29</v>
      </c>
      <c r="BS37" s="641"/>
      <c r="BT37" s="642"/>
      <c r="BU37" s="635">
        <v>29</v>
      </c>
      <c r="BV37" s="643"/>
      <c r="BW37" s="12"/>
      <c r="BX37" s="12"/>
      <c r="BY37" s="72"/>
      <c r="BZ37" s="640">
        <v>29</v>
      </c>
      <c r="CA37" s="641">
        <v>4.04</v>
      </c>
      <c r="CB37" s="642"/>
      <c r="CC37" s="635">
        <v>29</v>
      </c>
      <c r="CD37" s="643">
        <v>9.64</v>
      </c>
      <c r="CE37" s="12"/>
      <c r="CF37" s="12"/>
      <c r="CG37" s="67"/>
    </row>
    <row r="38" spans="1:85" ht="12.75" customHeight="1">
      <c r="A38" s="640">
        <v>30</v>
      </c>
      <c r="B38" s="641">
        <v>4</v>
      </c>
      <c r="C38" s="642"/>
      <c r="D38" s="635">
        <v>30</v>
      </c>
      <c r="E38" s="643">
        <v>3</v>
      </c>
      <c r="F38" s="12"/>
      <c r="G38" s="13"/>
      <c r="H38" s="216"/>
      <c r="I38" s="100"/>
      <c r="J38" s="395" t="s">
        <v>320</v>
      </c>
      <c r="K38" s="728" t="str">
        <f>IF(AND($AC$91,V90&gt;1),K34-K37,"")</f>
        <v/>
      </c>
      <c r="L38" s="718" t="s">
        <v>1391</v>
      </c>
      <c r="M38" s="728" t="str">
        <f>IF(AND($AC$91,AE90&gt;1),M34-M37,"")</f>
        <v/>
      </c>
      <c r="N38" s="100" t="s">
        <v>251</v>
      </c>
      <c r="O38" s="217"/>
      <c r="P38" s="96"/>
      <c r="Q38" s="96"/>
      <c r="R38" s="96"/>
      <c r="S38" s="96"/>
      <c r="T38" s="96"/>
      <c r="U38" s="96"/>
      <c r="V38" s="96"/>
      <c r="BJ38" s="640">
        <v>30</v>
      </c>
      <c r="BK38" s="641">
        <v>4</v>
      </c>
      <c r="BL38" s="642"/>
      <c r="BM38" s="635">
        <v>30</v>
      </c>
      <c r="BN38" s="643">
        <v>3</v>
      </c>
      <c r="BO38" s="12"/>
      <c r="BP38" s="12"/>
      <c r="BQ38" s="72"/>
      <c r="BR38" s="640">
        <v>30</v>
      </c>
      <c r="BS38" s="641"/>
      <c r="BT38" s="642"/>
      <c r="BU38" s="635">
        <v>30</v>
      </c>
      <c r="BV38" s="643"/>
      <c r="BW38" s="12"/>
      <c r="BX38" s="12"/>
      <c r="BY38" s="72"/>
      <c r="BZ38" s="640">
        <v>30</v>
      </c>
      <c r="CA38" s="641">
        <v>2.94</v>
      </c>
      <c r="CB38" s="642"/>
      <c r="CC38" s="635">
        <v>30</v>
      </c>
      <c r="CD38" s="643">
        <v>20</v>
      </c>
      <c r="CE38" s="12"/>
      <c r="CF38" s="12"/>
      <c r="CG38" s="67"/>
    </row>
    <row r="39" spans="1:85" ht="12.75" customHeight="1">
      <c r="A39" s="640">
        <v>31</v>
      </c>
      <c r="B39" s="641">
        <v>4</v>
      </c>
      <c r="C39" s="642"/>
      <c r="D39" s="635">
        <v>31</v>
      </c>
      <c r="E39" s="643">
        <v>3</v>
      </c>
      <c r="F39" s="12"/>
      <c r="G39" s="13"/>
      <c r="H39" s="216"/>
      <c r="I39" s="100"/>
      <c r="J39" s="395"/>
      <c r="K39" s="668" t="str">
        <f>IF(AND($AC$91,V90&gt;1),K34+K37,"")</f>
        <v/>
      </c>
      <c r="L39" s="719" t="s">
        <v>1536</v>
      </c>
      <c r="M39" s="668" t="str">
        <f>IF(AND($AC$91,AE90&gt;1),M34+M37,"")</f>
        <v/>
      </c>
      <c r="N39" s="712" t="s">
        <v>1536</v>
      </c>
      <c r="O39" s="674"/>
      <c r="P39" s="96"/>
      <c r="Q39" s="96"/>
      <c r="R39" s="96"/>
      <c r="T39" s="96"/>
      <c r="U39" s="96"/>
      <c r="V39" s="96"/>
      <c r="BJ39" s="640">
        <v>31</v>
      </c>
      <c r="BK39" s="641">
        <v>4</v>
      </c>
      <c r="BL39" s="642"/>
      <c r="BM39" s="635">
        <v>31</v>
      </c>
      <c r="BN39" s="643">
        <v>3</v>
      </c>
      <c r="BO39" s="12"/>
      <c r="BP39" s="12"/>
      <c r="BQ39" s="72"/>
      <c r="BR39" s="640">
        <v>31</v>
      </c>
      <c r="BS39" s="641"/>
      <c r="BT39" s="642"/>
      <c r="BU39" s="635">
        <v>31</v>
      </c>
      <c r="BV39" s="643"/>
      <c r="BW39" s="12"/>
      <c r="BX39" s="12"/>
      <c r="BY39" s="72"/>
      <c r="BZ39" s="640">
        <v>31</v>
      </c>
      <c r="CA39" s="641">
        <v>2.84</v>
      </c>
      <c r="CB39" s="642"/>
      <c r="CC39" s="635">
        <v>31</v>
      </c>
      <c r="CD39" s="643">
        <v>14.45</v>
      </c>
      <c r="CE39" s="12"/>
      <c r="CF39" s="12"/>
      <c r="CG39" s="67"/>
    </row>
    <row r="40" spans="1:85" ht="12.75" customHeight="1">
      <c r="A40" s="640">
        <v>32</v>
      </c>
      <c r="B40" s="641">
        <v>4</v>
      </c>
      <c r="C40" s="642"/>
      <c r="D40" s="635">
        <v>32</v>
      </c>
      <c r="E40" s="643">
        <v>2</v>
      </c>
      <c r="F40" s="12"/>
      <c r="G40" s="13"/>
      <c r="H40" s="735">
        <v>10</v>
      </c>
      <c r="I40" s="720" t="s">
        <v>258</v>
      </c>
      <c r="J40" s="717"/>
      <c r="K40" s="726" t="s">
        <v>1390</v>
      </c>
      <c r="L40" s="699" t="str">
        <f>IF(AND(K34&lt;&gt;"",M34&lt;&gt;""),M34-K34,"")</f>
        <v/>
      </c>
      <c r="M40" s="100" t="str">
        <f>IF(AND(AQ126=1,$C$6&lt;&gt;""),$C$6,"")</f>
        <v/>
      </c>
      <c r="N40" s="100"/>
      <c r="O40" s="217"/>
      <c r="P40" s="96"/>
      <c r="Q40" s="481"/>
      <c r="R40" s="96"/>
      <c r="S40" s="96"/>
      <c r="T40" s="96"/>
      <c r="U40" s="96"/>
      <c r="V40" s="96"/>
      <c r="BJ40" s="640">
        <v>32</v>
      </c>
      <c r="BK40" s="641">
        <v>4</v>
      </c>
      <c r="BL40" s="642"/>
      <c r="BM40" s="635">
        <v>32</v>
      </c>
      <c r="BN40" s="643">
        <v>2</v>
      </c>
      <c r="BO40" s="12"/>
      <c r="BP40" s="12"/>
      <c r="BQ40" s="72"/>
      <c r="BR40" s="640">
        <v>32</v>
      </c>
      <c r="BS40" s="641"/>
      <c r="BT40" s="642"/>
      <c r="BU40" s="635">
        <v>32</v>
      </c>
      <c r="BV40" s="643"/>
      <c r="BW40" s="12"/>
      <c r="BX40" s="12"/>
      <c r="BY40" s="72"/>
      <c r="BZ40" s="640">
        <v>32</v>
      </c>
      <c r="CA40" s="641">
        <v>3.55</v>
      </c>
      <c r="CB40" s="642"/>
      <c r="CC40" s="635">
        <v>32</v>
      </c>
      <c r="CD40" s="643">
        <v>12.41</v>
      </c>
      <c r="CE40" s="12"/>
      <c r="CF40" s="12"/>
      <c r="CG40" s="67"/>
    </row>
    <row r="41" spans="1:85" ht="12.75" customHeight="1">
      <c r="A41" s="640">
        <v>33</v>
      </c>
      <c r="B41" s="641">
        <v>3</v>
      </c>
      <c r="C41" s="642"/>
      <c r="D41" s="635">
        <v>33</v>
      </c>
      <c r="E41" s="643">
        <v>2</v>
      </c>
      <c r="F41" s="12"/>
      <c r="G41" s="13"/>
      <c r="H41" s="216"/>
      <c r="I41" s="100"/>
      <c r="J41" s="100"/>
      <c r="K41" s="721" t="s">
        <v>323</v>
      </c>
      <c r="L41" s="708" t="str">
        <f>IF(AND(K35=0,M35=0),0,IF(AND($AC$91,T89&lt;&gt;""),T89,""))</f>
        <v/>
      </c>
      <c r="M41" s="717" t="str">
        <f>IF($C$6="","",$C$6)</f>
        <v>N sex partners</v>
      </c>
      <c r="N41" s="100"/>
      <c r="O41" s="217"/>
      <c r="P41" s="96"/>
      <c r="Q41" s="96"/>
      <c r="R41" s="96"/>
      <c r="S41" s="96"/>
      <c r="T41" s="96"/>
      <c r="U41" s="96"/>
      <c r="V41" s="96"/>
      <c r="BJ41" s="640">
        <v>33</v>
      </c>
      <c r="BK41" s="641">
        <v>3</v>
      </c>
      <c r="BL41" s="642"/>
      <c r="BM41" s="635">
        <v>33</v>
      </c>
      <c r="BN41" s="643">
        <v>2</v>
      </c>
      <c r="BO41" s="12"/>
      <c r="BP41" s="12"/>
      <c r="BQ41" s="72"/>
      <c r="BR41" s="640">
        <v>33</v>
      </c>
      <c r="BS41" s="641"/>
      <c r="BT41" s="642"/>
      <c r="BU41" s="635">
        <v>33</v>
      </c>
      <c r="BV41" s="643"/>
      <c r="BW41" s="12"/>
      <c r="BX41" s="12"/>
      <c r="BY41" s="72"/>
      <c r="BZ41" s="640">
        <v>33</v>
      </c>
      <c r="CA41" s="641">
        <v>6.25</v>
      </c>
      <c r="CB41" s="642"/>
      <c r="CC41" s="635">
        <v>33</v>
      </c>
      <c r="CD41" s="643">
        <v>3.57</v>
      </c>
      <c r="CE41" s="12"/>
      <c r="CF41" s="12"/>
      <c r="CG41" s="67"/>
    </row>
    <row r="42" spans="1:85" ht="12.75" customHeight="1">
      <c r="A42" s="640">
        <v>34</v>
      </c>
      <c r="B42" s="641">
        <v>3</v>
      </c>
      <c r="C42" s="642"/>
      <c r="D42" s="635">
        <v>34</v>
      </c>
      <c r="E42" s="643">
        <v>2</v>
      </c>
      <c r="F42" s="12"/>
      <c r="G42" s="13"/>
      <c r="H42" s="216"/>
      <c r="I42" s="100"/>
      <c r="J42" s="100"/>
      <c r="K42" s="395" t="s">
        <v>320</v>
      </c>
      <c r="L42" s="728" t="str">
        <f>IF(AND(L40&lt;&gt;"",L41&lt;&gt;""),L40-L41,"")</f>
        <v/>
      </c>
      <c r="M42" s="395" t="s">
        <v>367</v>
      </c>
      <c r="N42" s="672" t="str">
        <f>IF(AND(K35=0,M35=0),"",IF(AND($AC$91,R88&lt;&gt;""),R88,""))</f>
        <v/>
      </c>
      <c r="O42" s="217"/>
      <c r="P42" s="96"/>
      <c r="Q42" s="96"/>
      <c r="R42" s="96"/>
      <c r="S42" s="96"/>
      <c r="T42" s="96"/>
      <c r="U42" s="96"/>
      <c r="V42" s="96"/>
      <c r="BJ42" s="640">
        <v>34</v>
      </c>
      <c r="BK42" s="641">
        <v>3</v>
      </c>
      <c r="BL42" s="642"/>
      <c r="BM42" s="635">
        <v>34</v>
      </c>
      <c r="BN42" s="643">
        <v>2</v>
      </c>
      <c r="BO42" s="12"/>
      <c r="BP42" s="13"/>
      <c r="BR42" s="640">
        <v>34</v>
      </c>
      <c r="BS42" s="641"/>
      <c r="BT42" s="642"/>
      <c r="BU42" s="635">
        <v>34</v>
      </c>
      <c r="BV42" s="643"/>
      <c r="BW42" s="12"/>
      <c r="BX42" s="13"/>
      <c r="BZ42" s="640">
        <v>34</v>
      </c>
      <c r="CA42" s="641">
        <v>10.23</v>
      </c>
      <c r="CB42" s="642"/>
      <c r="CC42" s="635">
        <v>34</v>
      </c>
      <c r="CD42" s="643">
        <v>4.78</v>
      </c>
      <c r="CE42" s="12"/>
      <c r="CF42" s="13"/>
    </row>
    <row r="43" spans="1:85" ht="12.75" customHeight="1">
      <c r="A43" s="640">
        <v>35</v>
      </c>
      <c r="B43" s="641">
        <v>3</v>
      </c>
      <c r="C43" s="642"/>
      <c r="D43" s="635">
        <v>35</v>
      </c>
      <c r="E43" s="643">
        <v>2</v>
      </c>
      <c r="F43" s="12"/>
      <c r="G43" s="13"/>
      <c r="H43" s="216"/>
      <c r="I43" s="100"/>
      <c r="J43" s="100"/>
      <c r="K43" s="100"/>
      <c r="L43" s="668" t="str">
        <f>IF(AND(L40&lt;&gt;"",L41&lt;&gt;""),L40+L41,"")</f>
        <v/>
      </c>
      <c r="M43" s="727" t="s">
        <v>366</v>
      </c>
      <c r="N43" s="689" t="str">
        <f>IF(AND(K35=0,M35=0),"",IF(AND($AC$91,T88&lt;&gt;""),T88,""))</f>
        <v/>
      </c>
      <c r="O43" s="217"/>
      <c r="P43" s="96"/>
      <c r="Q43" s="96"/>
      <c r="R43" s="96"/>
      <c r="S43" s="96"/>
      <c r="T43" s="96"/>
      <c r="U43" s="96"/>
      <c r="V43" s="96"/>
      <c r="BJ43" s="640">
        <v>35</v>
      </c>
      <c r="BK43" s="641">
        <v>3</v>
      </c>
      <c r="BL43" s="642"/>
      <c r="BM43" s="635">
        <v>35</v>
      </c>
      <c r="BN43" s="643">
        <v>2</v>
      </c>
      <c r="BO43" s="12"/>
      <c r="BP43" s="13"/>
      <c r="BR43" s="640">
        <v>35</v>
      </c>
      <c r="BS43" s="641"/>
      <c r="BT43" s="642"/>
      <c r="BU43" s="635">
        <v>35</v>
      </c>
      <c r="BV43" s="643"/>
      <c r="BW43" s="12"/>
      <c r="BX43" s="13"/>
      <c r="BZ43" s="640">
        <v>35</v>
      </c>
      <c r="CA43" s="641">
        <v>1</v>
      </c>
      <c r="CB43" s="642"/>
      <c r="CC43" s="635">
        <v>35</v>
      </c>
      <c r="CD43" s="643">
        <v>17.829999999999998</v>
      </c>
      <c r="CE43" s="12"/>
      <c r="CF43" s="13"/>
    </row>
    <row r="44" spans="1:85" ht="12.75" customHeight="1">
      <c r="A44" s="640">
        <v>36</v>
      </c>
      <c r="B44" s="641">
        <v>3</v>
      </c>
      <c r="C44" s="642"/>
      <c r="D44" s="635">
        <v>36</v>
      </c>
      <c r="E44" s="643">
        <v>2</v>
      </c>
      <c r="F44" s="12"/>
      <c r="G44" s="13"/>
      <c r="H44" s="127"/>
      <c r="I44" s="101"/>
      <c r="J44" s="101"/>
      <c r="K44" s="101"/>
      <c r="L44" s="101"/>
      <c r="M44" s="101"/>
      <c r="N44" s="101"/>
      <c r="O44" s="128"/>
      <c r="P44" s="96"/>
      <c r="Q44" s="96"/>
      <c r="R44" s="96"/>
      <c r="S44" s="96"/>
      <c r="T44" s="96"/>
      <c r="U44" s="96"/>
      <c r="V44" s="96"/>
      <c r="BJ44" s="640">
        <v>36</v>
      </c>
      <c r="BK44" s="641">
        <v>3</v>
      </c>
      <c r="BL44" s="642"/>
      <c r="BM44" s="635">
        <v>36</v>
      </c>
      <c r="BN44" s="643">
        <v>2</v>
      </c>
      <c r="BO44" s="12"/>
      <c r="BP44" s="13"/>
      <c r="BR44" s="640">
        <v>36</v>
      </c>
      <c r="BS44" s="641"/>
      <c r="BT44" s="642"/>
      <c r="BU44" s="635">
        <v>36</v>
      </c>
      <c r="BV44" s="643"/>
      <c r="BW44" s="12"/>
      <c r="BX44" s="13"/>
      <c r="BZ44" s="640">
        <v>36</v>
      </c>
      <c r="CA44" s="641">
        <v>8</v>
      </c>
      <c r="CB44" s="642"/>
      <c r="CC44" s="635">
        <v>36</v>
      </c>
      <c r="CD44" s="643">
        <v>7.97</v>
      </c>
      <c r="CE44" s="12"/>
      <c r="CF44" s="13"/>
    </row>
    <row r="45" spans="1:85" ht="12.75" customHeight="1">
      <c r="A45" s="640">
        <v>37</v>
      </c>
      <c r="B45" s="641">
        <v>2</v>
      </c>
      <c r="C45" s="642"/>
      <c r="D45" s="635">
        <v>37</v>
      </c>
      <c r="E45" s="643">
        <v>1</v>
      </c>
      <c r="F45" s="12"/>
      <c r="G45" s="13"/>
      <c r="P45" s="96"/>
      <c r="Q45" s="96"/>
      <c r="R45" s="96"/>
      <c r="S45" s="96"/>
      <c r="T45" s="96"/>
      <c r="U45" s="96"/>
      <c r="V45" s="96"/>
      <c r="BJ45" s="640">
        <v>37</v>
      </c>
      <c r="BK45" s="641">
        <v>2</v>
      </c>
      <c r="BL45" s="642"/>
      <c r="BM45" s="635">
        <v>37</v>
      </c>
      <c r="BN45" s="643">
        <v>1</v>
      </c>
      <c r="BO45" s="12"/>
      <c r="BP45" s="13"/>
      <c r="BR45" s="640">
        <v>37</v>
      </c>
      <c r="BS45" s="641"/>
      <c r="BT45" s="642"/>
      <c r="BU45" s="635">
        <v>37</v>
      </c>
      <c r="BV45" s="643"/>
      <c r="BW45" s="12"/>
      <c r="BX45" s="13"/>
      <c r="BZ45" s="640">
        <v>37</v>
      </c>
      <c r="CA45" s="641">
        <v>4.6900000000000004</v>
      </c>
      <c r="CB45" s="642"/>
      <c r="CC45" s="635">
        <v>37</v>
      </c>
      <c r="CD45" s="643">
        <v>13.18</v>
      </c>
      <c r="CE45" s="12"/>
      <c r="CF45" s="13"/>
    </row>
    <row r="46" spans="1:85" ht="12.75" customHeight="1">
      <c r="A46" s="640">
        <v>38</v>
      </c>
      <c r="B46" s="641">
        <v>2</v>
      </c>
      <c r="C46" s="642"/>
      <c r="D46" s="635">
        <v>38</v>
      </c>
      <c r="E46" s="643">
        <v>1</v>
      </c>
      <c r="F46" s="12"/>
      <c r="G46" s="13"/>
      <c r="K46" s="62"/>
      <c r="P46" s="96"/>
      <c r="Q46" s="96"/>
      <c r="R46" s="96"/>
      <c r="S46" s="96"/>
      <c r="T46" s="96"/>
      <c r="U46" s="96"/>
      <c r="V46" s="96"/>
      <c r="AA46" s="96"/>
      <c r="AC46" s="96"/>
      <c r="BJ46" s="640">
        <v>38</v>
      </c>
      <c r="BK46" s="641">
        <v>2</v>
      </c>
      <c r="BL46" s="642"/>
      <c r="BM46" s="635">
        <v>38</v>
      </c>
      <c r="BN46" s="643">
        <v>1</v>
      </c>
      <c r="BO46" s="12"/>
      <c r="BP46" s="13"/>
      <c r="BR46" s="640">
        <v>38</v>
      </c>
      <c r="BS46" s="641"/>
      <c r="BT46" s="642"/>
      <c r="BU46" s="635">
        <v>38</v>
      </c>
      <c r="BV46" s="643"/>
      <c r="BW46" s="12"/>
      <c r="BX46" s="13"/>
      <c r="BZ46" s="640">
        <v>38</v>
      </c>
      <c r="CA46" s="641">
        <v>5.17</v>
      </c>
      <c r="CB46" s="642"/>
      <c r="CC46" s="635">
        <v>38</v>
      </c>
      <c r="CD46" s="643">
        <v>13.64</v>
      </c>
      <c r="CE46" s="12"/>
      <c r="CF46" s="13"/>
    </row>
    <row r="47" spans="1:85" ht="12.75" customHeight="1">
      <c r="A47" s="640">
        <v>39</v>
      </c>
      <c r="B47" s="641">
        <v>2</v>
      </c>
      <c r="C47" s="642"/>
      <c r="D47" s="635">
        <v>39</v>
      </c>
      <c r="E47" s="643">
        <v>1</v>
      </c>
      <c r="F47" s="12"/>
      <c r="G47" s="13"/>
      <c r="P47" s="96"/>
      <c r="Q47" s="96"/>
      <c r="R47" s="96"/>
      <c r="S47" s="96"/>
      <c r="T47" s="96"/>
      <c r="U47" s="96"/>
      <c r="V47" s="96"/>
      <c r="BJ47" s="640">
        <v>39</v>
      </c>
      <c r="BK47" s="641">
        <v>2</v>
      </c>
      <c r="BL47" s="642"/>
      <c r="BM47" s="635">
        <v>39</v>
      </c>
      <c r="BN47" s="643">
        <v>1</v>
      </c>
      <c r="BO47" s="12"/>
      <c r="BP47" s="13"/>
      <c r="BR47" s="640">
        <v>39</v>
      </c>
      <c r="BS47" s="641"/>
      <c r="BT47" s="642"/>
      <c r="BU47" s="635">
        <v>39</v>
      </c>
      <c r="BV47" s="643"/>
      <c r="BW47" s="12"/>
      <c r="BX47" s="13"/>
      <c r="BZ47" s="640">
        <v>39</v>
      </c>
      <c r="CA47" s="641">
        <v>5.63</v>
      </c>
      <c r="CB47" s="642"/>
      <c r="CC47" s="635">
        <v>39</v>
      </c>
      <c r="CD47" s="643">
        <v>10.19</v>
      </c>
      <c r="CE47" s="12"/>
      <c r="CF47" s="13"/>
    </row>
    <row r="48" spans="1:85" ht="12.75" customHeight="1">
      <c r="A48" s="640">
        <v>40</v>
      </c>
      <c r="B48" s="641">
        <v>2</v>
      </c>
      <c r="C48" s="642"/>
      <c r="D48" s="635">
        <v>40</v>
      </c>
      <c r="E48" s="643">
        <v>1</v>
      </c>
      <c r="F48" s="12"/>
      <c r="G48" s="13"/>
      <c r="P48" s="96"/>
      <c r="Q48" s="96"/>
      <c r="R48" s="96"/>
      <c r="S48" s="96"/>
      <c r="T48" s="96"/>
      <c r="U48" s="96"/>
      <c r="V48" s="96"/>
      <c r="BJ48" s="640">
        <v>40</v>
      </c>
      <c r="BK48" s="641">
        <v>2</v>
      </c>
      <c r="BL48" s="642"/>
      <c r="BM48" s="635">
        <v>40</v>
      </c>
      <c r="BN48" s="643">
        <v>1</v>
      </c>
      <c r="BO48" s="12"/>
      <c r="BP48" s="13"/>
      <c r="BR48" s="640">
        <v>40</v>
      </c>
      <c r="BS48" s="641"/>
      <c r="BT48" s="642"/>
      <c r="BU48" s="635">
        <v>40</v>
      </c>
      <c r="BV48" s="643"/>
      <c r="BW48" s="12"/>
      <c r="BX48" s="13"/>
      <c r="BZ48" s="640">
        <v>40</v>
      </c>
      <c r="CA48" s="641">
        <v>10.119999999999999</v>
      </c>
      <c r="CB48" s="642"/>
      <c r="CC48" s="635">
        <v>40</v>
      </c>
      <c r="CD48" s="643">
        <v>15.89</v>
      </c>
      <c r="CE48" s="12"/>
      <c r="CF48" s="13"/>
    </row>
    <row r="49" spans="1:84" ht="12.75" customHeight="1">
      <c r="A49" s="640">
        <v>41</v>
      </c>
      <c r="B49" s="641">
        <v>2</v>
      </c>
      <c r="C49" s="642"/>
      <c r="D49" s="635">
        <v>41</v>
      </c>
      <c r="E49" s="643">
        <v>1</v>
      </c>
      <c r="F49" s="12"/>
      <c r="G49" s="13"/>
      <c r="BJ49" s="640">
        <v>41</v>
      </c>
      <c r="BK49" s="641">
        <v>2</v>
      </c>
      <c r="BL49" s="642"/>
      <c r="BM49" s="635">
        <v>41</v>
      </c>
      <c r="BN49" s="643">
        <v>1</v>
      </c>
      <c r="BO49" s="12"/>
      <c r="BP49" s="13"/>
      <c r="BR49" s="640">
        <v>41</v>
      </c>
      <c r="BS49" s="641"/>
      <c r="BT49" s="642"/>
      <c r="BU49" s="635">
        <v>41</v>
      </c>
      <c r="BV49" s="643"/>
      <c r="BW49" s="12"/>
      <c r="BX49" s="13"/>
      <c r="BZ49" s="640">
        <v>41</v>
      </c>
      <c r="CA49" s="641">
        <v>13.21</v>
      </c>
      <c r="CB49" s="642"/>
      <c r="CC49" s="635">
        <v>41</v>
      </c>
      <c r="CD49" s="643">
        <v>6.6</v>
      </c>
      <c r="CE49" s="12"/>
      <c r="CF49" s="13"/>
    </row>
    <row r="50" spans="1:84" ht="12.75" customHeight="1">
      <c r="A50" s="640">
        <v>42</v>
      </c>
      <c r="B50" s="641">
        <v>1</v>
      </c>
      <c r="C50" s="642"/>
      <c r="D50" s="635">
        <v>42</v>
      </c>
      <c r="E50" s="643">
        <v>0</v>
      </c>
      <c r="F50" s="12"/>
      <c r="G50" s="13"/>
      <c r="BJ50" s="640">
        <v>42</v>
      </c>
      <c r="BK50" s="641">
        <v>1</v>
      </c>
      <c r="BL50" s="642"/>
      <c r="BM50" s="635">
        <v>42</v>
      </c>
      <c r="BN50" s="643">
        <v>0</v>
      </c>
      <c r="BO50" s="12"/>
      <c r="BP50" s="13"/>
      <c r="BR50" s="640">
        <v>42</v>
      </c>
      <c r="BS50" s="641"/>
      <c r="BT50" s="642"/>
      <c r="BU50" s="635">
        <v>42</v>
      </c>
      <c r="BV50" s="643"/>
      <c r="BW50" s="12"/>
      <c r="BX50" s="13"/>
      <c r="BZ50" s="640">
        <v>42</v>
      </c>
      <c r="CA50" s="641">
        <v>8.3800000000000008</v>
      </c>
      <c r="CB50" s="642"/>
      <c r="CC50" s="635">
        <v>42</v>
      </c>
      <c r="CD50" s="643">
        <v>7.81</v>
      </c>
      <c r="CE50" s="12"/>
      <c r="CF50" s="13"/>
    </row>
    <row r="51" spans="1:84" ht="12.75" customHeight="1">
      <c r="A51" s="640">
        <v>43</v>
      </c>
      <c r="B51" s="641">
        <v>1</v>
      </c>
      <c r="C51" s="642"/>
      <c r="D51" s="635">
        <v>43</v>
      </c>
      <c r="E51" s="643">
        <v>0</v>
      </c>
      <c r="F51" s="12"/>
      <c r="G51" s="13"/>
      <c r="BJ51" s="640">
        <v>43</v>
      </c>
      <c r="BK51" s="641">
        <v>1</v>
      </c>
      <c r="BL51" s="642"/>
      <c r="BM51" s="635">
        <v>43</v>
      </c>
      <c r="BN51" s="643">
        <v>0</v>
      </c>
      <c r="BO51" s="12"/>
      <c r="BP51" s="13"/>
      <c r="BR51" s="640">
        <v>43</v>
      </c>
      <c r="BS51" s="641"/>
      <c r="BT51" s="642"/>
      <c r="BU51" s="635">
        <v>43</v>
      </c>
      <c r="BV51" s="643"/>
      <c r="BW51" s="12"/>
      <c r="BX51" s="13"/>
      <c r="BZ51" s="640">
        <v>43</v>
      </c>
      <c r="CA51" s="641">
        <v>3.82</v>
      </c>
      <c r="CB51" s="642"/>
      <c r="CC51" s="635">
        <v>43</v>
      </c>
      <c r="CD51" s="643">
        <v>10.9</v>
      </c>
      <c r="CE51" s="12"/>
      <c r="CF51" s="13"/>
    </row>
    <row r="52" spans="1:84" ht="12.75" customHeight="1">
      <c r="A52" s="640">
        <v>44</v>
      </c>
      <c r="B52" s="641">
        <v>1</v>
      </c>
      <c r="C52" s="642"/>
      <c r="D52" s="635">
        <v>44</v>
      </c>
      <c r="E52" s="643">
        <v>0</v>
      </c>
      <c r="F52" s="12"/>
      <c r="G52" s="12"/>
      <c r="H52" s="67"/>
      <c r="BJ52" s="640">
        <v>44</v>
      </c>
      <c r="BK52" s="641">
        <v>1</v>
      </c>
      <c r="BL52" s="642"/>
      <c r="BM52" s="635">
        <v>44</v>
      </c>
      <c r="BN52" s="643">
        <v>0</v>
      </c>
      <c r="BO52" s="12"/>
      <c r="BP52" s="13"/>
      <c r="BR52" s="640">
        <v>44</v>
      </c>
      <c r="BS52" s="641"/>
      <c r="BT52" s="642"/>
      <c r="BU52" s="635">
        <v>44</v>
      </c>
      <c r="BV52" s="643"/>
      <c r="BW52" s="12"/>
      <c r="BX52" s="13"/>
      <c r="BZ52" s="640">
        <v>44</v>
      </c>
      <c r="CA52" s="641">
        <v>3.7</v>
      </c>
      <c r="CB52" s="642"/>
      <c r="CC52" s="635">
        <v>44</v>
      </c>
      <c r="CD52" s="643">
        <v>21.63</v>
      </c>
      <c r="CE52" s="12"/>
      <c r="CF52" s="13"/>
    </row>
    <row r="53" spans="1:84" ht="12.75" customHeight="1">
      <c r="A53" s="640">
        <v>45</v>
      </c>
      <c r="B53" s="641">
        <v>1</v>
      </c>
      <c r="C53" s="642"/>
      <c r="D53" s="635">
        <v>45</v>
      </c>
      <c r="E53" s="643"/>
      <c r="F53" s="12"/>
      <c r="G53" s="12"/>
      <c r="H53" s="67"/>
      <c r="BJ53" s="640">
        <v>45</v>
      </c>
      <c r="BK53" s="641">
        <v>1</v>
      </c>
      <c r="BL53" s="642"/>
      <c r="BM53" s="635">
        <v>45</v>
      </c>
      <c r="BN53" s="643"/>
      <c r="BO53" s="12"/>
      <c r="BP53" s="13"/>
      <c r="BR53" s="640">
        <v>45</v>
      </c>
      <c r="BS53" s="641"/>
      <c r="BT53" s="642"/>
      <c r="BU53" s="635">
        <v>45</v>
      </c>
      <c r="BV53" s="643"/>
      <c r="BW53" s="12"/>
      <c r="BX53" s="13"/>
      <c r="BZ53" s="640">
        <v>45</v>
      </c>
      <c r="CA53" s="641">
        <v>7.83</v>
      </c>
      <c r="CB53" s="642"/>
      <c r="CC53" s="635">
        <v>45</v>
      </c>
      <c r="CD53" s="643">
        <v>6.36</v>
      </c>
      <c r="CE53" s="12"/>
      <c r="CF53" s="13"/>
    </row>
    <row r="54" spans="1:84" ht="12.75" customHeight="1">
      <c r="A54" s="640">
        <v>46</v>
      </c>
      <c r="B54" s="641">
        <v>1</v>
      </c>
      <c r="C54" s="642"/>
      <c r="D54" s="635">
        <v>46</v>
      </c>
      <c r="E54" s="643"/>
      <c r="F54" s="12"/>
      <c r="G54" s="12"/>
      <c r="H54" s="67"/>
      <c r="BJ54" s="640">
        <v>46</v>
      </c>
      <c r="BK54" s="641">
        <v>1</v>
      </c>
      <c r="BL54" s="642"/>
      <c r="BM54" s="635">
        <v>46</v>
      </c>
      <c r="BN54" s="643"/>
      <c r="BO54" s="12"/>
      <c r="BP54" s="13"/>
      <c r="BR54" s="640">
        <v>46</v>
      </c>
      <c r="BS54" s="641"/>
      <c r="BT54" s="642"/>
      <c r="BU54" s="635">
        <v>46</v>
      </c>
      <c r="BV54" s="643"/>
      <c r="BW54" s="12"/>
      <c r="BX54" s="13"/>
      <c r="BZ54" s="640">
        <v>46</v>
      </c>
      <c r="CA54" s="641">
        <v>3.66</v>
      </c>
      <c r="CB54" s="642"/>
      <c r="CC54" s="635">
        <v>46</v>
      </c>
      <c r="CD54" s="643">
        <v>16.96</v>
      </c>
      <c r="CE54" s="12"/>
      <c r="CF54" s="13"/>
    </row>
    <row r="55" spans="1:84" ht="12.75" customHeight="1">
      <c r="A55" s="640">
        <v>47</v>
      </c>
      <c r="B55" s="641">
        <v>1</v>
      </c>
      <c r="C55" s="642"/>
      <c r="D55" s="635">
        <v>47</v>
      </c>
      <c r="E55" s="643"/>
      <c r="F55" s="12"/>
      <c r="G55" s="12"/>
      <c r="H55" s="67"/>
      <c r="BJ55" s="640">
        <v>47</v>
      </c>
      <c r="BK55" s="641">
        <v>1</v>
      </c>
      <c r="BL55" s="642"/>
      <c r="BM55" s="635">
        <v>47</v>
      </c>
      <c r="BN55" s="643"/>
      <c r="BO55" s="12"/>
      <c r="BP55" s="13"/>
      <c r="BR55" s="640">
        <v>47</v>
      </c>
      <c r="BS55" s="641"/>
      <c r="BT55" s="642"/>
      <c r="BU55" s="635">
        <v>47</v>
      </c>
      <c r="BV55" s="643"/>
      <c r="BW55" s="12"/>
      <c r="BX55" s="13"/>
      <c r="BZ55" s="640">
        <v>47</v>
      </c>
      <c r="CA55" s="641">
        <v>9.06</v>
      </c>
      <c r="CB55" s="642"/>
      <c r="CC55" s="635">
        <v>47</v>
      </c>
      <c r="CD55" s="643">
        <v>8.4</v>
      </c>
      <c r="CE55" s="12"/>
      <c r="CF55" s="13"/>
    </row>
    <row r="56" spans="1:84" ht="12.75" customHeight="1">
      <c r="A56" s="640">
        <v>48</v>
      </c>
      <c r="B56" s="641">
        <v>0</v>
      </c>
      <c r="C56" s="642"/>
      <c r="D56" s="635">
        <v>48</v>
      </c>
      <c r="E56" s="643"/>
      <c r="F56" s="12"/>
      <c r="G56" s="12"/>
      <c r="H56" s="67"/>
      <c r="BJ56" s="640">
        <v>48</v>
      </c>
      <c r="BK56" s="641">
        <v>0</v>
      </c>
      <c r="BL56" s="642"/>
      <c r="BM56" s="635">
        <v>48</v>
      </c>
      <c r="BN56" s="643"/>
      <c r="BO56" s="12"/>
      <c r="BP56" s="13"/>
      <c r="BR56" s="640">
        <v>48</v>
      </c>
      <c r="BS56" s="641"/>
      <c r="BT56" s="642"/>
      <c r="BU56" s="635">
        <v>48</v>
      </c>
      <c r="BV56" s="643"/>
      <c r="BW56" s="12"/>
      <c r="BX56" s="13"/>
      <c r="BZ56" s="640">
        <v>48</v>
      </c>
      <c r="CA56" s="641">
        <v>5.16</v>
      </c>
      <c r="CB56" s="642"/>
      <c r="CC56" s="635">
        <v>48</v>
      </c>
      <c r="CD56" s="643">
        <v>7.75</v>
      </c>
      <c r="CE56" s="12"/>
      <c r="CF56" s="13"/>
    </row>
    <row r="57" spans="1:84" ht="12.75" customHeight="1">
      <c r="A57" s="640">
        <v>49</v>
      </c>
      <c r="B57" s="641">
        <v>0</v>
      </c>
      <c r="C57" s="642"/>
      <c r="D57" s="635">
        <v>49</v>
      </c>
      <c r="E57" s="643"/>
      <c r="F57" s="12"/>
      <c r="G57" s="12"/>
      <c r="H57" s="67"/>
      <c r="BJ57" s="640">
        <v>49</v>
      </c>
      <c r="BK57" s="641">
        <v>0</v>
      </c>
      <c r="BL57" s="642"/>
      <c r="BM57" s="635">
        <v>49</v>
      </c>
      <c r="BN57" s="643"/>
      <c r="BO57" s="12"/>
      <c r="BP57" s="13"/>
      <c r="BR57" s="640">
        <v>49</v>
      </c>
      <c r="BS57" s="641"/>
      <c r="BT57" s="642"/>
      <c r="BU57" s="635">
        <v>49</v>
      </c>
      <c r="BV57" s="643"/>
      <c r="BW57" s="12"/>
      <c r="BX57" s="13"/>
      <c r="BZ57" s="640">
        <v>49</v>
      </c>
      <c r="CA57" s="641"/>
      <c r="CB57" s="642"/>
      <c r="CC57" s="635">
        <v>49</v>
      </c>
      <c r="CD57" s="643">
        <v>8.7899999999999991</v>
      </c>
      <c r="CE57" s="12"/>
      <c r="CF57" s="13"/>
    </row>
    <row r="58" spans="1:84" ht="12.75" customHeight="1">
      <c r="A58" s="640">
        <v>50</v>
      </c>
      <c r="B58" s="641">
        <v>0</v>
      </c>
      <c r="C58" s="642"/>
      <c r="D58" s="635">
        <v>50</v>
      </c>
      <c r="E58" s="643"/>
      <c r="F58" s="12"/>
      <c r="G58" s="13"/>
      <c r="BJ58" s="640">
        <v>50</v>
      </c>
      <c r="BK58" s="641">
        <v>0</v>
      </c>
      <c r="BL58" s="642"/>
      <c r="BM58" s="635">
        <v>50</v>
      </c>
      <c r="BN58" s="643"/>
      <c r="BO58" s="12"/>
      <c r="BP58" s="13"/>
      <c r="BR58" s="640">
        <v>50</v>
      </c>
      <c r="BS58" s="641"/>
      <c r="BT58" s="642"/>
      <c r="BU58" s="635">
        <v>50</v>
      </c>
      <c r="BV58" s="643"/>
      <c r="BW58" s="12"/>
      <c r="BX58" s="13"/>
      <c r="BZ58" s="640">
        <v>50</v>
      </c>
      <c r="CA58" s="641"/>
      <c r="CB58" s="642"/>
      <c r="CC58" s="635">
        <v>50</v>
      </c>
      <c r="CD58" s="643">
        <v>9.77</v>
      </c>
      <c r="CE58" s="12"/>
      <c r="CF58" s="13"/>
    </row>
    <row r="59" spans="1:84" ht="12.75" customHeight="1">
      <c r="A59" s="640">
        <v>51</v>
      </c>
      <c r="B59" s="641">
        <v>0</v>
      </c>
      <c r="C59" s="642"/>
      <c r="D59" s="635">
        <v>51</v>
      </c>
      <c r="E59" s="643"/>
      <c r="F59" s="12"/>
      <c r="G59" s="13"/>
      <c r="BJ59" s="640">
        <v>51</v>
      </c>
      <c r="BK59" s="641">
        <v>0</v>
      </c>
      <c r="BL59" s="642"/>
      <c r="BM59" s="635">
        <v>51</v>
      </c>
      <c r="BN59" s="643"/>
      <c r="BO59" s="12"/>
      <c r="BP59" s="13"/>
      <c r="BR59" s="640">
        <v>51</v>
      </c>
      <c r="BS59" s="641"/>
      <c r="BT59" s="642"/>
      <c r="BU59" s="635">
        <v>51</v>
      </c>
      <c r="BV59" s="643"/>
      <c r="BW59" s="12"/>
      <c r="BX59" s="13"/>
      <c r="BZ59" s="640">
        <v>51</v>
      </c>
      <c r="CA59" s="641"/>
      <c r="CB59" s="642"/>
      <c r="CC59" s="635">
        <v>51</v>
      </c>
      <c r="CD59" s="643">
        <v>10.220000000000001</v>
      </c>
      <c r="CE59" s="12"/>
      <c r="CF59" s="13"/>
    </row>
    <row r="60" spans="1:84" ht="12.75" customHeight="1">
      <c r="A60" s="640">
        <v>52</v>
      </c>
      <c r="B60" s="641"/>
      <c r="C60" s="642"/>
      <c r="D60" s="635">
        <v>52</v>
      </c>
      <c r="E60" s="643"/>
      <c r="F60" s="12"/>
      <c r="G60" s="13"/>
      <c r="BJ60" s="640">
        <v>52</v>
      </c>
      <c r="BK60" s="641"/>
      <c r="BL60" s="642"/>
      <c r="BM60" s="635">
        <v>52</v>
      </c>
      <c r="BN60" s="643"/>
      <c r="BO60" s="12"/>
      <c r="BP60" s="13"/>
      <c r="BR60" s="640">
        <v>52</v>
      </c>
      <c r="BS60" s="641"/>
      <c r="BT60" s="642"/>
      <c r="BU60" s="635">
        <v>52</v>
      </c>
      <c r="BV60" s="643"/>
      <c r="BW60" s="12"/>
      <c r="BX60" s="13"/>
      <c r="BZ60" s="640">
        <v>52</v>
      </c>
      <c r="CA60" s="641"/>
      <c r="CB60" s="642"/>
      <c r="CC60" s="635">
        <v>52</v>
      </c>
      <c r="CD60" s="643">
        <v>8.2799999999999994</v>
      </c>
      <c r="CE60" s="12"/>
      <c r="CF60" s="13"/>
    </row>
    <row r="61" spans="1:84" ht="12.75" customHeight="1">
      <c r="A61" s="640">
        <v>53</v>
      </c>
      <c r="B61" s="641"/>
      <c r="C61" s="642"/>
      <c r="D61" s="635">
        <v>53</v>
      </c>
      <c r="E61" s="643"/>
      <c r="F61" s="12"/>
      <c r="G61" s="13"/>
      <c r="BJ61" s="640">
        <v>53</v>
      </c>
      <c r="BK61" s="641"/>
      <c r="BL61" s="642"/>
      <c r="BM61" s="635">
        <v>53</v>
      </c>
      <c r="BN61" s="643"/>
      <c r="BO61" s="12"/>
      <c r="BP61" s="13"/>
      <c r="BR61" s="640">
        <v>53</v>
      </c>
      <c r="BS61" s="641"/>
      <c r="BT61" s="642"/>
      <c r="BU61" s="635">
        <v>53</v>
      </c>
      <c r="BV61" s="643"/>
      <c r="BW61" s="12"/>
      <c r="BX61" s="13"/>
      <c r="BZ61" s="640">
        <v>53</v>
      </c>
      <c r="CA61" s="641"/>
      <c r="CB61" s="642"/>
      <c r="CC61" s="635">
        <v>53</v>
      </c>
      <c r="CD61" s="643">
        <v>21.43</v>
      </c>
      <c r="CE61" s="12"/>
      <c r="CF61" s="13"/>
    </row>
    <row r="62" spans="1:84" ht="12.75" customHeight="1">
      <c r="A62" s="640">
        <v>54</v>
      </c>
      <c r="B62" s="641"/>
      <c r="C62" s="642"/>
      <c r="D62" s="635">
        <v>54</v>
      </c>
      <c r="E62" s="643"/>
      <c r="F62" s="12"/>
      <c r="G62" s="13"/>
      <c r="BJ62" s="640">
        <v>54</v>
      </c>
      <c r="BK62" s="641"/>
      <c r="BL62" s="642"/>
      <c r="BM62" s="635">
        <v>54</v>
      </c>
      <c r="BN62" s="643"/>
      <c r="BO62" s="12"/>
      <c r="BP62" s="13"/>
      <c r="BR62" s="640">
        <v>54</v>
      </c>
      <c r="BS62" s="641"/>
      <c r="BT62" s="642"/>
      <c r="BU62" s="635">
        <v>54</v>
      </c>
      <c r="BV62" s="643"/>
      <c r="BW62" s="12"/>
      <c r="BX62" s="13"/>
      <c r="BZ62" s="640">
        <v>54</v>
      </c>
      <c r="CA62" s="641"/>
      <c r="CB62" s="642"/>
      <c r="CC62" s="635">
        <v>54</v>
      </c>
      <c r="CD62" s="643">
        <v>6.25</v>
      </c>
      <c r="CE62" s="12"/>
      <c r="CF62" s="13"/>
    </row>
    <row r="63" spans="1:84" ht="12.75" customHeight="1">
      <c r="A63" s="640">
        <v>55</v>
      </c>
      <c r="B63" s="641"/>
      <c r="C63" s="642"/>
      <c r="D63" s="635">
        <v>55</v>
      </c>
      <c r="E63" s="643"/>
      <c r="F63" s="12"/>
      <c r="G63" s="13"/>
      <c r="BJ63" s="640">
        <v>55</v>
      </c>
      <c r="BK63" s="641"/>
      <c r="BL63" s="642"/>
      <c r="BM63" s="635">
        <v>55</v>
      </c>
      <c r="BN63" s="643"/>
      <c r="BO63" s="12"/>
      <c r="BP63" s="13"/>
      <c r="BR63" s="640">
        <v>55</v>
      </c>
      <c r="BS63" s="641"/>
      <c r="BT63" s="642"/>
      <c r="BU63" s="635">
        <v>55</v>
      </c>
      <c r="BV63" s="643"/>
      <c r="BW63" s="12"/>
      <c r="BX63" s="13"/>
      <c r="BZ63" s="640">
        <v>55</v>
      </c>
      <c r="CA63" s="641"/>
      <c r="CB63" s="642"/>
      <c r="CC63" s="635">
        <v>55</v>
      </c>
      <c r="CD63" s="643">
        <v>10.61</v>
      </c>
      <c r="CE63" s="12"/>
      <c r="CF63" s="13"/>
    </row>
    <row r="64" spans="1:84" ht="12.75" customHeight="1">
      <c r="A64" s="640">
        <v>56</v>
      </c>
      <c r="B64" s="641"/>
      <c r="C64" s="642"/>
      <c r="D64" s="635">
        <v>56</v>
      </c>
      <c r="E64" s="643"/>
      <c r="F64" s="12"/>
      <c r="G64" s="13"/>
      <c r="BJ64" s="640">
        <v>56</v>
      </c>
      <c r="BK64" s="641"/>
      <c r="BL64" s="642"/>
      <c r="BM64" s="635">
        <v>56</v>
      </c>
      <c r="BN64" s="643"/>
      <c r="BO64" s="12"/>
      <c r="BP64" s="13"/>
      <c r="BR64" s="640">
        <v>56</v>
      </c>
      <c r="BS64" s="641"/>
      <c r="BT64" s="642"/>
      <c r="BU64" s="635">
        <v>56</v>
      </c>
      <c r="BV64" s="643"/>
      <c r="BW64" s="12"/>
      <c r="BX64" s="13"/>
      <c r="BZ64" s="640">
        <v>56</v>
      </c>
      <c r="CA64" s="641"/>
      <c r="CB64" s="642"/>
      <c r="CC64" s="635">
        <v>56</v>
      </c>
      <c r="CD64" s="643">
        <v>3.41</v>
      </c>
      <c r="CE64" s="12"/>
      <c r="CF64" s="13"/>
    </row>
    <row r="65" spans="1:84" ht="12.75" customHeight="1">
      <c r="A65" s="640">
        <v>57</v>
      </c>
      <c r="B65" s="641"/>
      <c r="C65" s="642"/>
      <c r="D65" s="635">
        <v>57</v>
      </c>
      <c r="E65" s="643"/>
      <c r="F65" s="12"/>
      <c r="G65" s="13"/>
      <c r="BJ65" s="640">
        <v>57</v>
      </c>
      <c r="BK65" s="641"/>
      <c r="BL65" s="642"/>
      <c r="BM65" s="635">
        <v>57</v>
      </c>
      <c r="BN65" s="643"/>
      <c r="BO65" s="12"/>
      <c r="BP65" s="13"/>
      <c r="BR65" s="640">
        <v>57</v>
      </c>
      <c r="BS65" s="641"/>
      <c r="BT65" s="642"/>
      <c r="BU65" s="635">
        <v>57</v>
      </c>
      <c r="BV65" s="643"/>
      <c r="BW65" s="12"/>
      <c r="BX65" s="13"/>
      <c r="BZ65" s="640">
        <v>57</v>
      </c>
      <c r="CA65" s="641"/>
      <c r="CB65" s="642"/>
      <c r="CC65" s="635">
        <v>57</v>
      </c>
      <c r="CD65" s="643">
        <v>15.29</v>
      </c>
      <c r="CE65" s="12"/>
      <c r="CF65" s="13"/>
    </row>
    <row r="66" spans="1:84" ht="12.75" customHeight="1">
      <c r="A66" s="640">
        <v>58</v>
      </c>
      <c r="B66" s="641"/>
      <c r="C66" s="642"/>
      <c r="D66" s="635">
        <v>58</v>
      </c>
      <c r="E66" s="643"/>
      <c r="F66" s="12"/>
      <c r="G66" s="13"/>
      <c r="H66" s="19"/>
      <c r="BJ66" s="640">
        <v>58</v>
      </c>
      <c r="BK66" s="641"/>
      <c r="BL66" s="642"/>
      <c r="BM66" s="635">
        <v>58</v>
      </c>
      <c r="BN66" s="643"/>
      <c r="BO66" s="12"/>
      <c r="BP66" s="13"/>
      <c r="BR66" s="640">
        <v>58</v>
      </c>
      <c r="BS66" s="641"/>
      <c r="BT66" s="642"/>
      <c r="BU66" s="635">
        <v>58</v>
      </c>
      <c r="BV66" s="643"/>
      <c r="BW66" s="12"/>
      <c r="BX66" s="13"/>
      <c r="BZ66" s="640">
        <v>58</v>
      </c>
      <c r="CA66" s="641"/>
      <c r="CB66" s="642"/>
      <c r="CC66" s="635">
        <v>58</v>
      </c>
      <c r="CD66" s="643">
        <v>10.28</v>
      </c>
      <c r="CE66" s="12"/>
      <c r="CF66" s="13"/>
    </row>
    <row r="67" spans="1:84" ht="12.75" customHeight="1">
      <c r="A67" s="640">
        <v>59</v>
      </c>
      <c r="B67" s="641"/>
      <c r="C67" s="642"/>
      <c r="D67" s="635">
        <v>59</v>
      </c>
      <c r="E67" s="643"/>
      <c r="F67" s="12"/>
      <c r="G67" s="13"/>
      <c r="BJ67" s="640">
        <v>59</v>
      </c>
      <c r="BK67" s="641"/>
      <c r="BL67" s="642"/>
      <c r="BM67" s="635">
        <v>59</v>
      </c>
      <c r="BN67" s="643"/>
      <c r="BO67" s="12"/>
      <c r="BP67" s="13"/>
      <c r="BR67" s="640">
        <v>59</v>
      </c>
      <c r="BS67" s="641"/>
      <c r="BT67" s="642"/>
      <c r="BU67" s="635">
        <v>59</v>
      </c>
      <c r="BV67" s="643"/>
      <c r="BW67" s="12"/>
      <c r="BX67" s="13"/>
      <c r="BZ67" s="640">
        <v>59</v>
      </c>
      <c r="CA67" s="641"/>
      <c r="CB67" s="642"/>
      <c r="CC67" s="635">
        <v>59</v>
      </c>
      <c r="CD67" s="643">
        <v>18.899999999999999</v>
      </c>
      <c r="CE67" s="12"/>
      <c r="CF67" s="13"/>
    </row>
    <row r="68" spans="1:84" ht="12.75" customHeight="1">
      <c r="A68" s="640">
        <v>60</v>
      </c>
      <c r="B68" s="641"/>
      <c r="C68" s="642"/>
      <c r="D68" s="635">
        <v>60</v>
      </c>
      <c r="E68" s="643"/>
      <c r="F68" s="12"/>
      <c r="G68" s="13"/>
      <c r="H68" s="19"/>
      <c r="BJ68" s="640">
        <v>60</v>
      </c>
      <c r="BK68" s="641"/>
      <c r="BL68" s="642"/>
      <c r="BM68" s="635">
        <v>60</v>
      </c>
      <c r="BN68" s="643"/>
      <c r="BO68" s="12"/>
      <c r="BP68" s="13"/>
      <c r="BR68" s="640">
        <v>60</v>
      </c>
      <c r="BS68" s="641"/>
      <c r="BT68" s="642"/>
      <c r="BU68" s="635">
        <v>60</v>
      </c>
      <c r="BV68" s="643"/>
      <c r="BW68" s="12"/>
      <c r="BX68" s="13"/>
      <c r="BZ68" s="640">
        <v>60</v>
      </c>
      <c r="CA68" s="641"/>
      <c r="CB68" s="642"/>
      <c r="CC68" s="635">
        <v>60</v>
      </c>
      <c r="CD68" s="643">
        <v>17.690000000000001</v>
      </c>
      <c r="CE68" s="12"/>
      <c r="CF68" s="13"/>
    </row>
    <row r="69" spans="1:84" ht="12.75" customHeight="1">
      <c r="A69" s="640">
        <v>61</v>
      </c>
      <c r="B69" s="641"/>
      <c r="C69" s="642"/>
      <c r="D69" s="635">
        <v>61</v>
      </c>
      <c r="E69" s="643"/>
      <c r="F69" s="12"/>
      <c r="G69" s="13"/>
      <c r="BJ69" s="640">
        <v>61</v>
      </c>
      <c r="BK69" s="641"/>
      <c r="BL69" s="642"/>
      <c r="BM69" s="635">
        <v>61</v>
      </c>
      <c r="BN69" s="643"/>
      <c r="BO69" s="12"/>
      <c r="BP69" s="13"/>
      <c r="BR69" s="640">
        <v>61</v>
      </c>
      <c r="BS69" s="641"/>
      <c r="BT69" s="642"/>
      <c r="BU69" s="635">
        <v>61</v>
      </c>
      <c r="BV69" s="643"/>
      <c r="BW69" s="12"/>
      <c r="BX69" s="13"/>
      <c r="BZ69" s="640">
        <v>61</v>
      </c>
      <c r="CA69" s="641"/>
      <c r="CB69" s="642"/>
      <c r="CC69" s="635">
        <v>61</v>
      </c>
      <c r="CD69" s="643">
        <v>9.2799999999999994</v>
      </c>
      <c r="CE69" s="12"/>
      <c r="CF69" s="13"/>
    </row>
    <row r="70" spans="1:84" ht="12.75" customHeight="1">
      <c r="A70" s="640">
        <v>62</v>
      </c>
      <c r="B70" s="641"/>
      <c r="C70" s="642"/>
      <c r="D70" s="635">
        <v>62</v>
      </c>
      <c r="E70" s="643"/>
      <c r="F70" s="12"/>
      <c r="G70" s="13"/>
      <c r="H70" s="19"/>
      <c r="BJ70" s="640">
        <v>62</v>
      </c>
      <c r="BK70" s="641"/>
      <c r="BL70" s="642"/>
      <c r="BM70" s="635">
        <v>62</v>
      </c>
      <c r="BN70" s="643"/>
      <c r="BO70" s="12"/>
      <c r="BP70" s="13"/>
      <c r="BR70" s="640">
        <v>62</v>
      </c>
      <c r="BS70" s="641"/>
      <c r="BT70" s="642"/>
      <c r="BU70" s="635">
        <v>62</v>
      </c>
      <c r="BV70" s="643"/>
      <c r="BW70" s="12"/>
      <c r="BX70" s="13"/>
      <c r="BZ70" s="640">
        <v>62</v>
      </c>
      <c r="CA70" s="641"/>
      <c r="CB70" s="642"/>
      <c r="CC70" s="635">
        <v>62</v>
      </c>
      <c r="CD70" s="643">
        <v>27.03</v>
      </c>
      <c r="CE70" s="12"/>
      <c r="CF70" s="13"/>
    </row>
    <row r="71" spans="1:84" ht="12.75" customHeight="1">
      <c r="A71" s="640">
        <v>63</v>
      </c>
      <c r="B71" s="641"/>
      <c r="C71" s="642"/>
      <c r="D71" s="635">
        <v>63</v>
      </c>
      <c r="E71" s="643"/>
      <c r="F71" s="12"/>
      <c r="G71" s="13"/>
      <c r="BJ71" s="640">
        <v>63</v>
      </c>
      <c r="BK71" s="641"/>
      <c r="BL71" s="642"/>
      <c r="BM71" s="635">
        <v>63</v>
      </c>
      <c r="BN71" s="643"/>
      <c r="BO71" s="12"/>
      <c r="BP71" s="13"/>
      <c r="BR71" s="640">
        <v>63</v>
      </c>
      <c r="BS71" s="641"/>
      <c r="BT71" s="642"/>
      <c r="BU71" s="635">
        <v>63</v>
      </c>
      <c r="BV71" s="643"/>
      <c r="BW71" s="12"/>
      <c r="BX71" s="13"/>
      <c r="BZ71" s="640">
        <v>63</v>
      </c>
      <c r="CA71" s="641"/>
      <c r="CB71" s="642"/>
      <c r="CC71" s="635">
        <v>63</v>
      </c>
      <c r="CD71" s="643">
        <v>7.69</v>
      </c>
      <c r="CE71" s="12"/>
      <c r="CF71" s="13"/>
    </row>
    <row r="72" spans="1:84" ht="12.75" customHeight="1">
      <c r="A72" s="640">
        <v>64</v>
      </c>
      <c r="B72" s="641"/>
      <c r="C72" s="642"/>
      <c r="D72" s="635">
        <v>64</v>
      </c>
      <c r="E72" s="643"/>
      <c r="F72" s="12"/>
      <c r="G72" s="13"/>
      <c r="H72" s="19"/>
      <c r="BJ72" s="640">
        <v>64</v>
      </c>
      <c r="BK72" s="641"/>
      <c r="BL72" s="642"/>
      <c r="BM72" s="635">
        <v>64</v>
      </c>
      <c r="BN72" s="643"/>
      <c r="BO72" s="12"/>
      <c r="BP72" s="13"/>
      <c r="BR72" s="640">
        <v>64</v>
      </c>
      <c r="BS72" s="641"/>
      <c r="BT72" s="642"/>
      <c r="BU72" s="635">
        <v>64</v>
      </c>
      <c r="BV72" s="643"/>
      <c r="BW72" s="12"/>
      <c r="BX72" s="13"/>
      <c r="BZ72" s="640">
        <v>64</v>
      </c>
      <c r="CA72" s="641"/>
      <c r="CB72" s="642"/>
      <c r="CC72" s="635">
        <v>64</v>
      </c>
      <c r="CD72" s="643">
        <v>8.2899999999999991</v>
      </c>
      <c r="CE72" s="12"/>
      <c r="CF72" s="13"/>
    </row>
    <row r="73" spans="1:84" ht="12.75" customHeight="1">
      <c r="A73" s="640">
        <v>65</v>
      </c>
      <c r="B73" s="643"/>
      <c r="C73" s="642"/>
      <c r="D73" s="635">
        <v>65</v>
      </c>
      <c r="E73" s="643"/>
      <c r="F73" s="12"/>
      <c r="G73" s="13"/>
      <c r="BJ73" s="640">
        <v>65</v>
      </c>
      <c r="BK73" s="643"/>
      <c r="BL73" s="642"/>
      <c r="BM73" s="635">
        <v>65</v>
      </c>
      <c r="BN73" s="643"/>
      <c r="BO73" s="12"/>
      <c r="BP73" s="13"/>
      <c r="BR73" s="640">
        <v>65</v>
      </c>
      <c r="BS73" s="643"/>
      <c r="BT73" s="642"/>
      <c r="BU73" s="635">
        <v>65</v>
      </c>
      <c r="BV73" s="643"/>
      <c r="BW73" s="12"/>
      <c r="BX73" s="13"/>
      <c r="BZ73" s="640">
        <v>65</v>
      </c>
      <c r="CA73" s="643"/>
      <c r="CB73" s="642"/>
      <c r="CC73" s="635">
        <v>65</v>
      </c>
      <c r="CD73" s="643">
        <v>15.85</v>
      </c>
      <c r="CE73" s="12"/>
      <c r="CF73" s="13"/>
    </row>
    <row r="74" spans="1:84" ht="12.75" customHeight="1">
      <c r="A74" s="640">
        <v>66</v>
      </c>
      <c r="B74" s="643"/>
      <c r="C74" s="642"/>
      <c r="D74" s="635">
        <v>66</v>
      </c>
      <c r="E74" s="643"/>
      <c r="F74" s="12"/>
      <c r="G74" s="13"/>
      <c r="H74" s="19"/>
      <c r="BJ74" s="640">
        <v>66</v>
      </c>
      <c r="BK74" s="643"/>
      <c r="BL74" s="642"/>
      <c r="BM74" s="635">
        <v>66</v>
      </c>
      <c r="BN74" s="643"/>
      <c r="BO74" s="12"/>
      <c r="BP74" s="13"/>
      <c r="BR74" s="640">
        <v>66</v>
      </c>
      <c r="BS74" s="643"/>
      <c r="BT74" s="642"/>
      <c r="BU74" s="635">
        <v>66</v>
      </c>
      <c r="BV74" s="643"/>
      <c r="BW74" s="12"/>
      <c r="BX74" s="13"/>
      <c r="BZ74" s="640">
        <v>66</v>
      </c>
      <c r="CA74" s="643"/>
      <c r="CB74" s="642"/>
      <c r="CC74" s="635">
        <v>66</v>
      </c>
      <c r="CD74" s="643">
        <v>22.54</v>
      </c>
      <c r="CE74" s="12"/>
      <c r="CF74" s="13"/>
    </row>
    <row r="75" spans="1:84" ht="12.75" customHeight="1">
      <c r="A75" s="640">
        <v>67</v>
      </c>
      <c r="B75" s="643"/>
      <c r="C75" s="642"/>
      <c r="D75" s="635">
        <v>67</v>
      </c>
      <c r="E75" s="643"/>
      <c r="F75" s="12"/>
      <c r="G75" s="13"/>
      <c r="BJ75" s="640">
        <v>67</v>
      </c>
      <c r="BK75" s="643"/>
      <c r="BL75" s="642"/>
      <c r="BM75" s="635">
        <v>67</v>
      </c>
      <c r="BN75" s="643"/>
      <c r="BO75" s="12"/>
      <c r="BP75" s="13"/>
      <c r="BR75" s="640">
        <v>67</v>
      </c>
      <c r="BS75" s="643"/>
      <c r="BT75" s="642"/>
      <c r="BU75" s="635">
        <v>67</v>
      </c>
      <c r="BV75" s="643"/>
      <c r="BW75" s="12"/>
      <c r="BX75" s="13"/>
      <c r="BZ75" s="640">
        <v>67</v>
      </c>
      <c r="CA75" s="643"/>
      <c r="CB75" s="642"/>
      <c r="CC75" s="635">
        <v>67</v>
      </c>
      <c r="CD75" s="643">
        <v>10.77</v>
      </c>
      <c r="CE75" s="12"/>
      <c r="CF75" s="13"/>
    </row>
    <row r="76" spans="1:84" ht="12.75" customHeight="1">
      <c r="A76" s="640">
        <v>68</v>
      </c>
      <c r="B76" s="643"/>
      <c r="C76" s="642"/>
      <c r="D76" s="635">
        <v>68</v>
      </c>
      <c r="E76" s="643"/>
      <c r="F76" s="12"/>
      <c r="G76" s="13"/>
      <c r="H76" s="19"/>
      <c r="BJ76" s="640">
        <v>68</v>
      </c>
      <c r="BK76" s="643"/>
      <c r="BL76" s="642"/>
      <c r="BM76" s="635">
        <v>68</v>
      </c>
      <c r="BN76" s="643"/>
      <c r="BO76" s="12"/>
      <c r="BP76" s="13"/>
      <c r="BR76" s="640">
        <v>68</v>
      </c>
      <c r="BS76" s="643"/>
      <c r="BT76" s="642"/>
      <c r="BU76" s="635">
        <v>68</v>
      </c>
      <c r="BV76" s="643"/>
      <c r="BW76" s="12"/>
      <c r="BX76" s="13"/>
      <c r="BZ76" s="640">
        <v>68</v>
      </c>
      <c r="CA76" s="643"/>
      <c r="CB76" s="642"/>
      <c r="CC76" s="635">
        <v>68</v>
      </c>
      <c r="CD76" s="643">
        <v>0.56000000000000005</v>
      </c>
      <c r="CE76" s="12"/>
      <c r="CF76" s="13"/>
    </row>
    <row r="77" spans="1:84" ht="12.75" customHeight="1">
      <c r="A77" s="640">
        <v>69</v>
      </c>
      <c r="B77" s="643"/>
      <c r="C77" s="642"/>
      <c r="D77" s="635">
        <v>69</v>
      </c>
      <c r="E77" s="643"/>
      <c r="F77" s="12"/>
      <c r="G77" s="13"/>
      <c r="BJ77" s="640">
        <v>69</v>
      </c>
      <c r="BK77" s="643"/>
      <c r="BL77" s="642"/>
      <c r="BM77" s="635">
        <v>69</v>
      </c>
      <c r="BN77" s="643"/>
      <c r="BO77" s="12"/>
      <c r="BP77" s="13"/>
      <c r="BR77" s="640">
        <v>69</v>
      </c>
      <c r="BS77" s="643"/>
      <c r="BT77" s="642"/>
      <c r="BU77" s="635">
        <v>69</v>
      </c>
      <c r="BV77" s="643"/>
      <c r="BW77" s="12"/>
      <c r="BX77" s="13"/>
      <c r="BZ77" s="640">
        <v>69</v>
      </c>
      <c r="CA77" s="643"/>
      <c r="CB77" s="642"/>
      <c r="CC77" s="635">
        <v>69</v>
      </c>
      <c r="CD77" s="643">
        <v>9.82</v>
      </c>
      <c r="CE77" s="12"/>
      <c r="CF77" s="13"/>
    </row>
    <row r="78" spans="1:84" ht="12.75" customHeight="1">
      <c r="A78" s="640">
        <v>70</v>
      </c>
      <c r="B78" s="643"/>
      <c r="C78" s="642"/>
      <c r="D78" s="635">
        <v>70</v>
      </c>
      <c r="E78" s="643"/>
      <c r="F78" s="12"/>
      <c r="G78" s="13"/>
      <c r="H78" s="19"/>
      <c r="BJ78" s="640">
        <v>70</v>
      </c>
      <c r="BK78" s="643"/>
      <c r="BL78" s="642"/>
      <c r="BM78" s="635">
        <v>70</v>
      </c>
      <c r="BN78" s="643"/>
      <c r="BO78" s="12"/>
      <c r="BP78" s="13"/>
      <c r="BR78" s="640">
        <v>70</v>
      </c>
      <c r="BS78" s="643"/>
      <c r="BT78" s="642"/>
      <c r="BU78" s="635">
        <v>70</v>
      </c>
      <c r="BV78" s="643"/>
      <c r="BW78" s="12"/>
      <c r="BX78" s="13"/>
      <c r="BZ78" s="640">
        <v>70</v>
      </c>
      <c r="CA78" s="643"/>
      <c r="CB78" s="642"/>
      <c r="CC78" s="635">
        <v>70</v>
      </c>
      <c r="CD78" s="643">
        <v>14.2</v>
      </c>
      <c r="CE78" s="12"/>
      <c r="CF78" s="13"/>
    </row>
    <row r="79" spans="1:84" ht="12.75" customHeight="1">
      <c r="A79" s="640">
        <v>71</v>
      </c>
      <c r="B79" s="643"/>
      <c r="C79" s="642"/>
      <c r="D79" s="635">
        <v>71</v>
      </c>
      <c r="E79" s="643"/>
      <c r="F79" s="12"/>
      <c r="G79" s="13"/>
      <c r="BJ79" s="640">
        <v>71</v>
      </c>
      <c r="BK79" s="643"/>
      <c r="BL79" s="642"/>
      <c r="BM79" s="635">
        <v>71</v>
      </c>
      <c r="BN79" s="643"/>
      <c r="BO79" s="12"/>
      <c r="BP79" s="13"/>
      <c r="BR79" s="640">
        <v>71</v>
      </c>
      <c r="BS79" s="643"/>
      <c r="BT79" s="642"/>
      <c r="BU79" s="635">
        <v>71</v>
      </c>
      <c r="BV79" s="643"/>
      <c r="BW79" s="12"/>
      <c r="BX79" s="13"/>
      <c r="BZ79" s="640">
        <v>71</v>
      </c>
      <c r="CA79" s="643"/>
      <c r="CB79" s="642"/>
      <c r="CC79" s="635">
        <v>71</v>
      </c>
      <c r="CD79" s="643">
        <v>11.11</v>
      </c>
      <c r="CE79" s="12"/>
      <c r="CF79" s="13"/>
    </row>
    <row r="80" spans="1:84" ht="12.75" customHeight="1">
      <c r="A80" s="640">
        <v>72</v>
      </c>
      <c r="B80" s="643"/>
      <c r="C80" s="642"/>
      <c r="D80" s="635">
        <v>72</v>
      </c>
      <c r="E80" s="643"/>
      <c r="F80" s="12"/>
      <c r="G80" s="13"/>
      <c r="H80" s="19"/>
      <c r="BJ80" s="640">
        <v>72</v>
      </c>
      <c r="BK80" s="643"/>
      <c r="BL80" s="642"/>
      <c r="BM80" s="635">
        <v>72</v>
      </c>
      <c r="BN80" s="643"/>
      <c r="BO80" s="12"/>
      <c r="BP80" s="13"/>
      <c r="BR80" s="640">
        <v>72</v>
      </c>
      <c r="BS80" s="643"/>
      <c r="BT80" s="642"/>
      <c r="BU80" s="635">
        <v>72</v>
      </c>
      <c r="BV80" s="643"/>
      <c r="BW80" s="12"/>
      <c r="BX80" s="13"/>
      <c r="BZ80" s="640">
        <v>72</v>
      </c>
      <c r="CA80" s="643"/>
      <c r="CB80" s="642"/>
      <c r="CC80" s="635">
        <v>72</v>
      </c>
      <c r="CD80" s="643">
        <v>16.14</v>
      </c>
      <c r="CE80" s="12"/>
      <c r="CF80" s="13"/>
    </row>
    <row r="81" spans="1:84" ht="12.75" customHeight="1">
      <c r="A81" s="640">
        <v>73</v>
      </c>
      <c r="B81" s="643"/>
      <c r="C81" s="642"/>
      <c r="D81" s="635">
        <v>73</v>
      </c>
      <c r="E81" s="643"/>
      <c r="F81" s="12"/>
      <c r="G81" s="13"/>
      <c r="BJ81" s="640">
        <v>73</v>
      </c>
      <c r="BK81" s="643"/>
      <c r="BL81" s="642"/>
      <c r="BM81" s="635">
        <v>73</v>
      </c>
      <c r="BN81" s="643"/>
      <c r="BO81" s="12"/>
      <c r="BP81" s="13"/>
      <c r="BR81" s="640">
        <v>73</v>
      </c>
      <c r="BS81" s="643"/>
      <c r="BT81" s="642"/>
      <c r="BU81" s="635">
        <v>73</v>
      </c>
      <c r="BV81" s="643"/>
      <c r="BW81" s="12"/>
      <c r="BX81" s="13"/>
      <c r="BZ81" s="640">
        <v>73</v>
      </c>
      <c r="CA81" s="643"/>
      <c r="CB81" s="642"/>
      <c r="CC81" s="635">
        <v>73</v>
      </c>
      <c r="CD81" s="643">
        <v>4.41</v>
      </c>
      <c r="CE81" s="12"/>
      <c r="CF81" s="13"/>
    </row>
    <row r="82" spans="1:84" ht="12.75" customHeight="1">
      <c r="A82" s="640">
        <v>74</v>
      </c>
      <c r="B82" s="643"/>
      <c r="C82" s="642"/>
      <c r="D82" s="635">
        <v>74</v>
      </c>
      <c r="E82" s="643"/>
      <c r="F82" s="12"/>
      <c r="G82" s="13"/>
      <c r="H82" s="19"/>
      <c r="BJ82" s="640">
        <v>74</v>
      </c>
      <c r="BK82" s="643"/>
      <c r="BL82" s="642"/>
      <c r="BM82" s="635">
        <v>74</v>
      </c>
      <c r="BN82" s="643"/>
      <c r="BO82" s="12"/>
      <c r="BP82" s="13"/>
      <c r="BR82" s="640">
        <v>74</v>
      </c>
      <c r="BS82" s="643"/>
      <c r="BT82" s="642"/>
      <c r="BU82" s="635">
        <v>74</v>
      </c>
      <c r="BV82" s="643"/>
      <c r="BW82" s="12"/>
      <c r="BX82" s="13"/>
      <c r="BZ82" s="640">
        <v>74</v>
      </c>
      <c r="CA82" s="643"/>
      <c r="CB82" s="642"/>
      <c r="CC82" s="635">
        <v>74</v>
      </c>
      <c r="CD82" s="643">
        <v>5.97</v>
      </c>
      <c r="CE82" s="12"/>
      <c r="CF82" s="13"/>
    </row>
    <row r="83" spans="1:84" ht="12.75" customHeight="1">
      <c r="A83" s="640">
        <v>75</v>
      </c>
      <c r="B83" s="643"/>
      <c r="C83" s="642"/>
      <c r="D83" s="635">
        <v>75</v>
      </c>
      <c r="E83" s="643"/>
      <c r="F83" s="12"/>
      <c r="G83" s="13"/>
      <c r="I83" s="19"/>
      <c r="J83" s="62" t="s">
        <v>260</v>
      </c>
      <c r="K83" s="5" t="s">
        <v>261</v>
      </c>
      <c r="M83" s="5" t="s">
        <v>262</v>
      </c>
      <c r="R83" s="62" t="s">
        <v>584</v>
      </c>
      <c r="S83" s="5">
        <v>8.2000000000000003E-2</v>
      </c>
      <c r="BJ83" s="640">
        <v>75</v>
      </c>
      <c r="BK83" s="643"/>
      <c r="BL83" s="642"/>
      <c r="BM83" s="635">
        <v>75</v>
      </c>
      <c r="BN83" s="643"/>
      <c r="BO83" s="12"/>
      <c r="BP83" s="13"/>
      <c r="BR83" s="640">
        <v>75</v>
      </c>
      <c r="BS83" s="643"/>
      <c r="BT83" s="642"/>
      <c r="BU83" s="635">
        <v>75</v>
      </c>
      <c r="BV83" s="643"/>
      <c r="BW83" s="12"/>
      <c r="BX83" s="13"/>
      <c r="BZ83" s="640">
        <v>75</v>
      </c>
      <c r="CA83" s="643"/>
      <c r="CB83" s="642"/>
      <c r="CC83" s="635">
        <v>75</v>
      </c>
      <c r="CD83" s="643">
        <v>18.420000000000002</v>
      </c>
      <c r="CE83" s="12"/>
      <c r="CF83" s="13"/>
    </row>
    <row r="84" spans="1:84" ht="12.75" customHeight="1">
      <c r="A84" s="640">
        <v>76</v>
      </c>
      <c r="B84" s="643"/>
      <c r="C84" s="642"/>
      <c r="D84" s="635">
        <v>76</v>
      </c>
      <c r="E84" s="643"/>
      <c r="F84" s="12"/>
      <c r="G84" s="13"/>
      <c r="H84" s="19"/>
      <c r="J84" s="5">
        <f>0.85-IF($AP$92,BC94-$S$83,0)</f>
        <v>0.93199999999999994</v>
      </c>
      <c r="K84" s="5">
        <f t="shared" ref="K84:K115" si="5">IF($AC$91,NA(),IF(AZ94="",NA(),IF($AP$92,AZ94,AY94)))</f>
        <v>151.6644</v>
      </c>
      <c r="L84" s="5">
        <f>2.15+IF($AP$92,BI94-$S$83,0)</f>
        <v>2.0680000000000001</v>
      </c>
      <c r="M84" s="5">
        <f t="shared" ref="M84:M115" si="6">IF($AC$91,NA(),IF(BF94="",NA(),IF($AP$92,BF94,BE94)))</f>
        <v>50.5548</v>
      </c>
      <c r="Q84" s="94"/>
      <c r="R84" s="94" t="s">
        <v>364</v>
      </c>
      <c r="S84" s="94"/>
      <c r="T84" s="94"/>
      <c r="BJ84" s="640">
        <v>76</v>
      </c>
      <c r="BK84" s="643"/>
      <c r="BL84" s="642"/>
      <c r="BM84" s="635">
        <v>76</v>
      </c>
      <c r="BN84" s="643"/>
      <c r="BO84" s="12"/>
      <c r="BP84" s="13"/>
      <c r="BR84" s="640">
        <v>76</v>
      </c>
      <c r="BS84" s="643"/>
      <c r="BT84" s="642"/>
      <c r="BU84" s="635">
        <v>76</v>
      </c>
      <c r="BV84" s="643"/>
      <c r="BW84" s="12"/>
      <c r="BX84" s="13"/>
      <c r="BZ84" s="640">
        <v>76</v>
      </c>
      <c r="CA84" s="643"/>
      <c r="CB84" s="642"/>
      <c r="CC84" s="635">
        <v>76</v>
      </c>
      <c r="CD84" s="643">
        <v>16.899999999999999</v>
      </c>
      <c r="CE84" s="12"/>
      <c r="CF84" s="13"/>
    </row>
    <row r="85" spans="1:84" ht="12.75" customHeight="1">
      <c r="A85" s="640">
        <v>77</v>
      </c>
      <c r="B85" s="643"/>
      <c r="C85" s="642"/>
      <c r="D85" s="635">
        <v>77</v>
      </c>
      <c r="E85" s="643"/>
      <c r="F85" s="12"/>
      <c r="G85" s="13"/>
      <c r="I85" s="19"/>
      <c r="J85" s="5">
        <f t="shared" ref="J85:J148" si="7">0.85-IF($AP$92,BC95-$S$83,0)</f>
        <v>0.93199999999999994</v>
      </c>
      <c r="K85" s="5">
        <f t="shared" si="5"/>
        <v>86.432400000000001</v>
      </c>
      <c r="L85" s="5">
        <f t="shared" ref="L85:L148" si="8">2.15+IF($AP$92,BI95-$S$83,0)</f>
        <v>2.0680000000000001</v>
      </c>
      <c r="M85" s="5">
        <f t="shared" si="6"/>
        <v>29.354400000000002</v>
      </c>
      <c r="S85" s="58" t="s">
        <v>1102</v>
      </c>
      <c r="T85" s="58" t="s">
        <v>365</v>
      </c>
      <c r="AF85" s="65"/>
      <c r="AG85" s="93" t="s">
        <v>276</v>
      </c>
      <c r="BJ85" s="640">
        <v>77</v>
      </c>
      <c r="BK85" s="643"/>
      <c r="BL85" s="642"/>
      <c r="BM85" s="635">
        <v>77</v>
      </c>
      <c r="BN85" s="643"/>
      <c r="BO85" s="12"/>
      <c r="BP85" s="13"/>
      <c r="BR85" s="640">
        <v>77</v>
      </c>
      <c r="BS85" s="643"/>
      <c r="BT85" s="642"/>
      <c r="BU85" s="635">
        <v>77</v>
      </c>
      <c r="BV85" s="643"/>
      <c r="BW85" s="12"/>
      <c r="BX85" s="13"/>
      <c r="BZ85" s="640">
        <v>77</v>
      </c>
      <c r="CA85" s="643"/>
      <c r="CB85" s="642"/>
      <c r="CC85" s="635">
        <v>77</v>
      </c>
      <c r="CD85" s="643">
        <v>7.14</v>
      </c>
      <c r="CE85" s="12"/>
      <c r="CF85" s="13"/>
    </row>
    <row r="86" spans="1:84" ht="12.75" customHeight="1">
      <c r="A86" s="640">
        <v>78</v>
      </c>
      <c r="B86" s="643"/>
      <c r="C86" s="642"/>
      <c r="D86" s="635">
        <v>78</v>
      </c>
      <c r="E86" s="643"/>
      <c r="F86" s="12"/>
      <c r="G86" s="13"/>
      <c r="H86" s="19"/>
      <c r="J86" s="5">
        <f t="shared" si="7"/>
        <v>0.93199999999999994</v>
      </c>
      <c r="K86" s="5">
        <f t="shared" si="5"/>
        <v>50.5548</v>
      </c>
      <c r="L86" s="5">
        <f t="shared" si="8"/>
        <v>2.0680000000000001</v>
      </c>
      <c r="M86" s="5">
        <f t="shared" si="6"/>
        <v>19.569600000000001</v>
      </c>
      <c r="Q86" s="62" t="s">
        <v>361</v>
      </c>
      <c r="R86" s="5">
        <f>ROUNDUP(R88,0)</f>
        <v>57</v>
      </c>
      <c r="S86" s="5">
        <f>IF(R88&lt;&gt;"",TINV(1-$AP$93/100,(R86)),"")</f>
        <v>2.0024654439045246</v>
      </c>
      <c r="T86" s="5">
        <f>IF(R91&lt;&gt;"",TDIST(ABS(R91),R86,2),"")</f>
        <v>0.93324288437848857</v>
      </c>
      <c r="W86" s="62" t="s">
        <v>336</v>
      </c>
      <c r="X86" s="729">
        <v>20</v>
      </c>
      <c r="AF86" s="67" t="s">
        <v>279</v>
      </c>
      <c r="AG86" s="91">
        <f>MAX(B9:B1008,E9:E1008)</f>
        <v>151</v>
      </c>
      <c r="BJ86" s="640">
        <v>78</v>
      </c>
      <c r="BK86" s="643"/>
      <c r="BL86" s="642"/>
      <c r="BM86" s="635">
        <v>78</v>
      </c>
      <c r="BN86" s="643"/>
      <c r="BO86" s="12"/>
      <c r="BP86" s="13"/>
      <c r="BR86" s="640">
        <v>78</v>
      </c>
      <c r="BS86" s="643"/>
      <c r="BT86" s="642"/>
      <c r="BU86" s="635">
        <v>78</v>
      </c>
      <c r="BV86" s="643"/>
      <c r="BW86" s="12"/>
      <c r="BX86" s="13"/>
      <c r="BZ86" s="640">
        <v>78</v>
      </c>
      <c r="CA86" s="643"/>
      <c r="CB86" s="642"/>
      <c r="CC86" s="635">
        <v>78</v>
      </c>
      <c r="CD86" s="643">
        <v>16.850000000000001</v>
      </c>
      <c r="CE86" s="12"/>
      <c r="CF86" s="13"/>
    </row>
    <row r="87" spans="1:84" ht="12.75" customHeight="1">
      <c r="A87" s="640">
        <v>79</v>
      </c>
      <c r="B87" s="643"/>
      <c r="C87" s="642"/>
      <c r="D87" s="635">
        <v>79</v>
      </c>
      <c r="E87" s="643"/>
      <c r="F87" s="12"/>
      <c r="G87" s="13"/>
      <c r="I87" s="19"/>
      <c r="J87" s="5">
        <f t="shared" si="7"/>
        <v>0.93199999999999994</v>
      </c>
      <c r="K87" s="5">
        <f t="shared" si="5"/>
        <v>29.354400000000002</v>
      </c>
      <c r="L87" s="5">
        <f t="shared" si="8"/>
        <v>2.0680000000000001</v>
      </c>
      <c r="M87" s="5">
        <f t="shared" si="6"/>
        <v>16.308</v>
      </c>
      <c r="Q87" s="62" t="s">
        <v>362</v>
      </c>
      <c r="R87" s="5">
        <f>ROUNDDOWN(R88,0)</f>
        <v>56</v>
      </c>
      <c r="S87" s="5">
        <f>IF(R88&lt;&gt;"",TINV(1-$AP$93/100,(R87)),"")</f>
        <v>2.0032407042050862</v>
      </c>
      <c r="T87" s="5">
        <f>IF(R91&lt;&gt;"",TDIST(ABS(R91),R87,2),"")</f>
        <v>0.9332481364208931</v>
      </c>
      <c r="X87" s="5">
        <f>1-2*X88</f>
        <v>0.6</v>
      </c>
      <c r="AF87" s="67">
        <f>(AN11/5000)*ABS(AG86-AG88)</f>
        <v>1.6308</v>
      </c>
      <c r="AG87" s="91" t="s">
        <v>282</v>
      </c>
      <c r="BJ87" s="640">
        <v>79</v>
      </c>
      <c r="BK87" s="643"/>
      <c r="BL87" s="642"/>
      <c r="BM87" s="635">
        <v>79</v>
      </c>
      <c r="BN87" s="643"/>
      <c r="BO87" s="12"/>
      <c r="BP87" s="13"/>
      <c r="BR87" s="640">
        <v>79</v>
      </c>
      <c r="BS87" s="643"/>
      <c r="BT87" s="642"/>
      <c r="BU87" s="635">
        <v>79</v>
      </c>
      <c r="BV87" s="643"/>
      <c r="BW87" s="12"/>
      <c r="BX87" s="13"/>
      <c r="BZ87" s="640">
        <v>79</v>
      </c>
      <c r="CA87" s="643"/>
      <c r="CB87" s="642"/>
      <c r="CC87" s="635">
        <v>79</v>
      </c>
      <c r="CD87" s="643">
        <v>1.92</v>
      </c>
      <c r="CE87" s="12"/>
      <c r="CF87" s="13"/>
    </row>
    <row r="88" spans="1:84" ht="12.75" customHeight="1">
      <c r="A88" s="640">
        <v>80</v>
      </c>
      <c r="B88" s="643"/>
      <c r="C88" s="642"/>
      <c r="D88" s="635">
        <v>80</v>
      </c>
      <c r="E88" s="643"/>
      <c r="F88" s="12"/>
      <c r="G88" s="13"/>
      <c r="H88" s="19"/>
      <c r="J88" s="5">
        <f t="shared" si="7"/>
        <v>0.93199999999999994</v>
      </c>
      <c r="K88" s="5">
        <f t="shared" si="5"/>
        <v>22.831199999999999</v>
      </c>
      <c r="L88" s="5">
        <f t="shared" si="8"/>
        <v>2.0680000000000001</v>
      </c>
      <c r="M88" s="5">
        <f t="shared" si="6"/>
        <v>14.677200000000001</v>
      </c>
      <c r="Q88" s="62" t="s">
        <v>1187</v>
      </c>
      <c r="R88" s="5">
        <f>IF(AND(R89&lt;&gt;"",R90&lt;&gt;""),(R89+R90)^2/(R89^2/(V90-1)+R90^2/(AE90-1)),"")</f>
        <v>56.995974149688244</v>
      </c>
      <c r="S88" s="5">
        <f>IF(R88&lt;&gt;"",S86+(S87-S86)*(R86-R88),"")</f>
        <v>2.0024685649864473</v>
      </c>
      <c r="T88" s="5">
        <f>IF(R88&lt;&gt;"",T86+(T87-T86)*(R86-R88),"")</f>
        <v>0.93324290552242517</v>
      </c>
      <c r="W88" s="62" t="s">
        <v>336</v>
      </c>
      <c r="X88" s="5">
        <f>X86/100</f>
        <v>0.2</v>
      </c>
      <c r="Z88" s="62" t="s">
        <v>347</v>
      </c>
      <c r="AA88" s="5" t="s">
        <v>348</v>
      </c>
      <c r="AF88" s="67"/>
      <c r="AG88" s="91">
        <f>MIN(B9:B1008,E9:E1008)</f>
        <v>0</v>
      </c>
      <c r="AJ88" s="62" t="s">
        <v>347</v>
      </c>
      <c r="AK88" s="5" t="s">
        <v>348</v>
      </c>
      <c r="AN88" s="65" t="s">
        <v>356</v>
      </c>
      <c r="AO88" s="66"/>
      <c r="AP88" s="93"/>
      <c r="AU88" s="65" t="s">
        <v>355</v>
      </c>
      <c r="AV88" s="66"/>
      <c r="AW88" s="93"/>
      <c r="BJ88" s="640">
        <v>80</v>
      </c>
      <c r="BK88" s="643"/>
      <c r="BL88" s="642"/>
      <c r="BM88" s="635">
        <v>80</v>
      </c>
      <c r="BN88" s="643"/>
      <c r="BO88" s="12"/>
      <c r="BP88" s="13"/>
      <c r="BR88" s="640">
        <v>80</v>
      </c>
      <c r="BS88" s="643"/>
      <c r="BT88" s="642"/>
      <c r="BU88" s="635">
        <v>80</v>
      </c>
      <c r="BV88" s="643"/>
      <c r="BW88" s="12"/>
      <c r="BX88" s="13"/>
      <c r="BZ88" s="640">
        <v>80</v>
      </c>
      <c r="CA88" s="643"/>
      <c r="CB88" s="642"/>
      <c r="CC88" s="635">
        <v>80</v>
      </c>
      <c r="CD88" s="643">
        <v>9.57</v>
      </c>
      <c r="CE88" s="12"/>
      <c r="CF88" s="13"/>
    </row>
    <row r="89" spans="1:84" ht="12.75" customHeight="1">
      <c r="A89" s="640">
        <v>81</v>
      </c>
      <c r="B89" s="643"/>
      <c r="C89" s="642"/>
      <c r="D89" s="635">
        <v>81</v>
      </c>
      <c r="E89" s="643"/>
      <c r="F89" s="12"/>
      <c r="G89" s="13"/>
      <c r="I89" s="19"/>
      <c r="J89" s="5">
        <f t="shared" si="7"/>
        <v>0.88600000000000001</v>
      </c>
      <c r="K89" s="5">
        <f t="shared" si="5"/>
        <v>19.569600000000001</v>
      </c>
      <c r="L89" s="5">
        <f t="shared" si="8"/>
        <v>2.0680000000000001</v>
      </c>
      <c r="M89" s="5">
        <f t="shared" si="6"/>
        <v>13.0464</v>
      </c>
      <c r="Q89" s="62" t="s">
        <v>359</v>
      </c>
      <c r="R89" s="5">
        <f>IF(V90&gt;1,(X89-1)*AA89^2/(V90*(V90-1)),"")</f>
        <v>0.64229390681003573</v>
      </c>
      <c r="S89" s="62" t="s">
        <v>363</v>
      </c>
      <c r="T89" s="5">
        <f>IF(R88&lt;&gt;"",S88*SQRT(R89+R90),"")</f>
        <v>2.2209955449603225</v>
      </c>
      <c r="W89" s="62" t="s">
        <v>247</v>
      </c>
      <c r="X89" s="5">
        <f>COUNTA(B9:B208)</f>
        <v>51</v>
      </c>
      <c r="Z89" s="5">
        <f>AVERAGE(Z94:Z293)</f>
        <v>5.129032258064516</v>
      </c>
      <c r="AA89" s="5">
        <f>STDEV(AA94:AA293)</f>
        <v>3.4563950391508587</v>
      </c>
      <c r="AB89" s="5" t="s">
        <v>249</v>
      </c>
      <c r="AC89" s="5">
        <f>COUNTA(E9:E208)</f>
        <v>44</v>
      </c>
      <c r="AF89" s="67" t="s">
        <v>286</v>
      </c>
      <c r="AG89" s="91"/>
      <c r="AJ89" s="5">
        <f>AVERAGE(AJ94:AJ293)</f>
        <v>5.0357142857142856</v>
      </c>
      <c r="AK89" s="5">
        <f>STDEV(AK94:AK293)</f>
        <v>3.2149064805444865</v>
      </c>
      <c r="AN89" s="260" t="s">
        <v>347</v>
      </c>
      <c r="AO89" s="68" t="e">
        <f>IF(AND($AC$91,$K$34&lt;&gt;""),$K$34,NA())</f>
        <v>#N/A</v>
      </c>
      <c r="AP89" s="91" t="e">
        <f>IF(AND($AC$91,$M$34&lt;&gt;""),$M$34,NA())</f>
        <v>#N/A</v>
      </c>
      <c r="AU89" s="67" t="e">
        <f>IF(AND($AC$91,AW95),1,NA())</f>
        <v>#N/A</v>
      </c>
      <c r="AV89" s="68" t="str">
        <f>K34</f>
        <v/>
      </c>
      <c r="AW89" s="91"/>
      <c r="BJ89" s="640">
        <v>81</v>
      </c>
      <c r="BK89" s="643"/>
      <c r="BL89" s="642"/>
      <c r="BM89" s="635">
        <v>81</v>
      </c>
      <c r="BN89" s="643"/>
      <c r="BO89" s="12"/>
      <c r="BP89" s="13"/>
      <c r="BR89" s="640">
        <v>81</v>
      </c>
      <c r="BS89" s="643"/>
      <c r="BT89" s="642"/>
      <c r="BU89" s="635">
        <v>81</v>
      </c>
      <c r="BV89" s="643"/>
      <c r="BW89" s="12"/>
      <c r="BX89" s="13"/>
      <c r="BZ89" s="640">
        <v>81</v>
      </c>
      <c r="CA89" s="643"/>
      <c r="CB89" s="642"/>
      <c r="CC89" s="635">
        <v>81</v>
      </c>
      <c r="CD89" s="643">
        <v>23.69</v>
      </c>
      <c r="CE89" s="12"/>
      <c r="CF89" s="13"/>
    </row>
    <row r="90" spans="1:84" ht="12.75" customHeight="1">
      <c r="A90" s="640">
        <v>82</v>
      </c>
      <c r="B90" s="643"/>
      <c r="C90" s="642"/>
      <c r="D90" s="635">
        <v>82</v>
      </c>
      <c r="E90" s="643"/>
      <c r="F90" s="12"/>
      <c r="G90" s="13"/>
      <c r="H90" s="19"/>
      <c r="J90" s="5">
        <f t="shared" si="7"/>
        <v>0.93199999999999994</v>
      </c>
      <c r="K90" s="5">
        <f t="shared" si="5"/>
        <v>19.569600000000001</v>
      </c>
      <c r="L90" s="5">
        <f t="shared" si="8"/>
        <v>2.0680000000000001</v>
      </c>
      <c r="M90" s="5">
        <f t="shared" si="6"/>
        <v>11.4156</v>
      </c>
      <c r="Q90" s="62" t="s">
        <v>360</v>
      </c>
      <c r="R90" s="5">
        <f>IF(AE90&gt;1,(AC89-1)*AK89^2/(AE90*(AE90-1)),"")</f>
        <v>0.58787277537277549</v>
      </c>
      <c r="U90" s="62" t="s">
        <v>357</v>
      </c>
      <c r="V90" s="5">
        <f>COUNT(V94:V293)</f>
        <v>31</v>
      </c>
      <c r="W90" s="62" t="s">
        <v>337</v>
      </c>
      <c r="X90" s="5">
        <f>ROUNDDOWN(X89*X88,0)</f>
        <v>10</v>
      </c>
      <c r="Y90" s="62" t="s">
        <v>1114</v>
      </c>
      <c r="Z90" s="5">
        <f>MAX(Z94:Z293)</f>
        <v>11</v>
      </c>
      <c r="AB90" s="5" t="s">
        <v>338</v>
      </c>
      <c r="AC90" s="5">
        <f>ROUNDDOWN(AC89*X88,0)</f>
        <v>8</v>
      </c>
      <c r="AD90" s="5" t="s">
        <v>358</v>
      </c>
      <c r="AE90" s="5">
        <f>COUNT(AG94:AG293)</f>
        <v>28</v>
      </c>
      <c r="AF90" s="69">
        <f>AN14/1000</f>
        <v>4.5999999999999999E-2</v>
      </c>
      <c r="AG90" s="97"/>
      <c r="AI90" s="62" t="s">
        <v>1114</v>
      </c>
      <c r="AJ90" s="5">
        <f>MAX(AJ94:AJ293)</f>
        <v>10</v>
      </c>
      <c r="AN90" s="115" t="s">
        <v>1275</v>
      </c>
      <c r="AO90" s="70" t="str">
        <f>K37</f>
        <v/>
      </c>
      <c r="AP90" s="97" t="str">
        <f>M37</f>
        <v/>
      </c>
      <c r="AU90" s="67" t="e">
        <f>IF(AND($AC$91,AW95),AU105,NA())</f>
        <v>#N/A</v>
      </c>
      <c r="AV90" s="68" t="str">
        <f>AV89</f>
        <v/>
      </c>
      <c r="AW90" s="91"/>
      <c r="BJ90" s="640">
        <v>82</v>
      </c>
      <c r="BK90" s="643"/>
      <c r="BL90" s="642"/>
      <c r="BM90" s="635">
        <v>82</v>
      </c>
      <c r="BN90" s="643"/>
      <c r="BO90" s="12"/>
      <c r="BP90" s="13"/>
      <c r="BR90" s="640">
        <v>82</v>
      </c>
      <c r="BS90" s="643"/>
      <c r="BT90" s="642"/>
      <c r="BU90" s="635">
        <v>82</v>
      </c>
      <c r="BV90" s="643"/>
      <c r="BW90" s="12"/>
      <c r="BX90" s="13"/>
      <c r="BZ90" s="640">
        <v>82</v>
      </c>
      <c r="CA90" s="643"/>
      <c r="CB90" s="642"/>
      <c r="CC90" s="635">
        <v>82</v>
      </c>
      <c r="CD90" s="643">
        <v>22.64</v>
      </c>
      <c r="CE90" s="12"/>
      <c r="CF90" s="13"/>
    </row>
    <row r="91" spans="1:84" ht="12.75" customHeight="1">
      <c r="A91" s="640">
        <v>83</v>
      </c>
      <c r="B91" s="643"/>
      <c r="C91" s="642"/>
      <c r="D91" s="635">
        <v>83</v>
      </c>
      <c r="E91" s="643"/>
      <c r="F91" s="12"/>
      <c r="G91" s="13"/>
      <c r="I91" s="19"/>
      <c r="J91" s="5">
        <f t="shared" si="7"/>
        <v>0.93199999999999994</v>
      </c>
      <c r="K91" s="5">
        <f t="shared" si="5"/>
        <v>16.308</v>
      </c>
      <c r="L91" s="5">
        <f t="shared" si="8"/>
        <v>2.2519999999999998</v>
      </c>
      <c r="M91" s="5">
        <f t="shared" si="6"/>
        <v>9.7848000000000006</v>
      </c>
      <c r="Q91" s="62" t="s">
        <v>1374</v>
      </c>
      <c r="R91" s="5">
        <f>IF(AND(R89&lt;&gt;"",R90&lt;&gt;""),(AJ89-Z89)/SQRT(R89+R90),"")</f>
        <v>-8.4136281409312424E-2</v>
      </c>
      <c r="Y91" s="62" t="s">
        <v>1115</v>
      </c>
      <c r="Z91" s="5">
        <f>MIN(Z94:Z293)</f>
        <v>2</v>
      </c>
      <c r="AA91" s="262"/>
      <c r="AB91" s="263" t="s">
        <v>332</v>
      </c>
      <c r="AC91" s="223" t="b">
        <v>0</v>
      </c>
      <c r="AD91" s="262" t="s">
        <v>354</v>
      </c>
      <c r="AE91" s="725">
        <f>IF(AC91,-999999999999999,999999999999999)</f>
        <v>999999999999999</v>
      </c>
      <c r="AI91" s="62" t="s">
        <v>1115</v>
      </c>
      <c r="AJ91" s="5">
        <f>MIN(AJ94:AJ293)</f>
        <v>2</v>
      </c>
      <c r="AP91" s="257"/>
      <c r="AQ91" s="14"/>
      <c r="AU91" s="67" t="e">
        <f>IF(AND($AC$91,AW95),2,NA())</f>
        <v>#N/A</v>
      </c>
      <c r="AV91" s="68" t="str">
        <f>M34</f>
        <v/>
      </c>
      <c r="AW91" s="91"/>
      <c r="BJ91" s="640">
        <v>83</v>
      </c>
      <c r="BK91" s="643"/>
      <c r="BL91" s="642"/>
      <c r="BM91" s="635">
        <v>83</v>
      </c>
      <c r="BN91" s="643"/>
      <c r="BO91" s="12"/>
      <c r="BP91" s="13"/>
      <c r="BR91" s="640">
        <v>83</v>
      </c>
      <c r="BS91" s="643"/>
      <c r="BT91" s="642"/>
      <c r="BU91" s="635">
        <v>83</v>
      </c>
      <c r="BV91" s="643"/>
      <c r="BW91" s="12"/>
      <c r="BX91" s="13"/>
      <c r="BZ91" s="640">
        <v>83</v>
      </c>
      <c r="CA91" s="643"/>
      <c r="CB91" s="642"/>
      <c r="CC91" s="635">
        <v>83</v>
      </c>
      <c r="CD91" s="643">
        <v>9.92</v>
      </c>
      <c r="CE91" s="12"/>
      <c r="CF91" s="13"/>
    </row>
    <row r="92" spans="1:84" ht="12.75" customHeight="1">
      <c r="A92" s="640">
        <v>84</v>
      </c>
      <c r="B92" s="643"/>
      <c r="C92" s="642"/>
      <c r="D92" s="635">
        <v>84</v>
      </c>
      <c r="E92" s="643"/>
      <c r="F92" s="12"/>
      <c r="G92" s="13"/>
      <c r="H92" s="19"/>
      <c r="J92" s="5">
        <f t="shared" si="7"/>
        <v>0.93199999999999994</v>
      </c>
      <c r="K92" s="5">
        <f t="shared" si="5"/>
        <v>14.677200000000001</v>
      </c>
      <c r="L92" s="5">
        <f t="shared" si="8"/>
        <v>2.206</v>
      </c>
      <c r="M92" s="5">
        <f t="shared" si="6"/>
        <v>9.7848000000000006</v>
      </c>
      <c r="Q92" s="23"/>
      <c r="R92" s="23" t="s">
        <v>1382</v>
      </c>
      <c r="S92" s="23"/>
      <c r="T92" s="23"/>
      <c r="U92" s="23"/>
      <c r="V92" s="23"/>
      <c r="W92" s="23"/>
      <c r="X92" s="23"/>
      <c r="Y92" s="23"/>
      <c r="Z92" s="23" t="s">
        <v>345</v>
      </c>
      <c r="AA92" s="23"/>
      <c r="AB92" s="659"/>
      <c r="AC92" s="659" t="s">
        <v>1383</v>
      </c>
      <c r="AD92" s="659"/>
      <c r="AE92" s="659"/>
      <c r="AF92" s="659"/>
      <c r="AG92" s="659"/>
      <c r="AH92" s="659"/>
      <c r="AI92" s="659"/>
      <c r="AJ92" s="659" t="s">
        <v>345</v>
      </c>
      <c r="AK92" s="659"/>
      <c r="AO92" s="62" t="s">
        <v>259</v>
      </c>
      <c r="AP92" s="95" t="b">
        <v>1</v>
      </c>
      <c r="AU92" s="67" t="e">
        <f>IF(AND($AC$91,AW95),AU105,NA())</f>
        <v>#N/A</v>
      </c>
      <c r="AV92" s="68" t="str">
        <f>AV91</f>
        <v/>
      </c>
      <c r="AW92" s="91"/>
      <c r="AX92" s="23"/>
      <c r="AY92" s="23" t="s">
        <v>334</v>
      </c>
      <c r="AZ92" s="23"/>
      <c r="BA92" s="23"/>
      <c r="BB92" s="23"/>
      <c r="BC92" s="23"/>
      <c r="BD92" s="659"/>
      <c r="BE92" s="659" t="s">
        <v>335</v>
      </c>
      <c r="BF92" s="659"/>
      <c r="BG92" s="659"/>
      <c r="BH92" s="659"/>
      <c r="BI92" s="659"/>
      <c r="BJ92" s="640">
        <v>84</v>
      </c>
      <c r="BK92" s="643"/>
      <c r="BL92" s="642"/>
      <c r="BM92" s="635">
        <v>84</v>
      </c>
      <c r="BN92" s="643"/>
      <c r="BO92" s="12"/>
      <c r="BP92" s="13"/>
      <c r="BR92" s="640">
        <v>84</v>
      </c>
      <c r="BS92" s="643"/>
      <c r="BT92" s="642"/>
      <c r="BU92" s="635">
        <v>84</v>
      </c>
      <c r="BV92" s="643"/>
      <c r="BW92" s="12"/>
      <c r="BX92" s="13"/>
      <c r="BZ92" s="640">
        <v>84</v>
      </c>
      <c r="CA92" s="643"/>
      <c r="CB92" s="642"/>
      <c r="CC92" s="635">
        <v>84</v>
      </c>
      <c r="CD92" s="643">
        <v>8.98</v>
      </c>
      <c r="CE92" s="12"/>
      <c r="CF92" s="13"/>
    </row>
    <row r="93" spans="1:84" ht="12.75" customHeight="1">
      <c r="A93" s="640">
        <v>85</v>
      </c>
      <c r="B93" s="643"/>
      <c r="C93" s="642"/>
      <c r="D93" s="635">
        <v>85</v>
      </c>
      <c r="E93" s="643"/>
      <c r="F93" s="12"/>
      <c r="G93" s="13"/>
      <c r="I93" s="19"/>
      <c r="J93" s="5">
        <f t="shared" si="7"/>
        <v>0.93199999999999994</v>
      </c>
      <c r="K93" s="5">
        <f t="shared" si="5"/>
        <v>13.0464</v>
      </c>
      <c r="L93" s="5">
        <f t="shared" si="8"/>
        <v>2.1599999999999997</v>
      </c>
      <c r="M93" s="5">
        <f t="shared" si="6"/>
        <v>9.7848000000000006</v>
      </c>
      <c r="Q93" s="62" t="s">
        <v>265</v>
      </c>
      <c r="R93" s="5" t="s">
        <v>266</v>
      </c>
      <c r="S93" s="5" t="s">
        <v>267</v>
      </c>
      <c r="T93" s="5" t="s">
        <v>339</v>
      </c>
      <c r="U93" s="5" t="s">
        <v>331</v>
      </c>
      <c r="V93" s="5" t="s">
        <v>330</v>
      </c>
      <c r="W93" s="5" t="s">
        <v>341</v>
      </c>
      <c r="X93" s="68"/>
      <c r="Y93" s="5" t="s">
        <v>342</v>
      </c>
      <c r="Z93" s="5" t="s">
        <v>330</v>
      </c>
      <c r="AA93" s="5" t="s">
        <v>346</v>
      </c>
      <c r="AB93" s="62" t="s">
        <v>270</v>
      </c>
      <c r="AC93" s="5" t="s">
        <v>271</v>
      </c>
      <c r="AD93" s="5" t="s">
        <v>272</v>
      </c>
      <c r="AE93" s="5" t="s">
        <v>340</v>
      </c>
      <c r="AF93" s="5" t="s">
        <v>331</v>
      </c>
      <c r="AG93" s="5" t="s">
        <v>330</v>
      </c>
      <c r="AH93" s="5" t="s">
        <v>343</v>
      </c>
      <c r="AI93" s="5" t="s">
        <v>344</v>
      </c>
      <c r="AJ93" s="5" t="s">
        <v>330</v>
      </c>
      <c r="AK93" s="5" t="s">
        <v>346</v>
      </c>
      <c r="AN93" s="62"/>
      <c r="AO93" s="62" t="s">
        <v>370</v>
      </c>
      <c r="AP93" s="639">
        <v>95</v>
      </c>
      <c r="AU93" s="67" t="s">
        <v>288</v>
      </c>
      <c r="AV93" s="68"/>
      <c r="AW93" s="91" t="s">
        <v>289</v>
      </c>
      <c r="AX93" s="5" t="s">
        <v>333</v>
      </c>
      <c r="AY93" s="5" t="s">
        <v>263</v>
      </c>
      <c r="AZ93" s="5" t="s">
        <v>264</v>
      </c>
      <c r="BA93" s="5" t="s">
        <v>265</v>
      </c>
      <c r="BB93" s="5" t="s">
        <v>266</v>
      </c>
      <c r="BC93" s="5" t="s">
        <v>267</v>
      </c>
      <c r="BD93" s="5" t="s">
        <v>333</v>
      </c>
      <c r="BE93" s="5" t="s">
        <v>268</v>
      </c>
      <c r="BF93" s="5" t="s">
        <v>269</v>
      </c>
      <c r="BG93" s="5" t="s">
        <v>270</v>
      </c>
      <c r="BH93" s="5" t="s">
        <v>271</v>
      </c>
      <c r="BI93" s="5" t="s">
        <v>272</v>
      </c>
      <c r="BJ93" s="640">
        <v>85</v>
      </c>
      <c r="BK93" s="643"/>
      <c r="BL93" s="642"/>
      <c r="BM93" s="635">
        <v>85</v>
      </c>
      <c r="BN93" s="643"/>
      <c r="BO93" s="12"/>
      <c r="BP93" s="13"/>
      <c r="BR93" s="640">
        <v>85</v>
      </c>
      <c r="BS93" s="643"/>
      <c r="BT93" s="642"/>
      <c r="BU93" s="635">
        <v>85</v>
      </c>
      <c r="BV93" s="643"/>
      <c r="BW93" s="12"/>
      <c r="BX93" s="13"/>
      <c r="BZ93" s="640">
        <v>85</v>
      </c>
      <c r="CA93" s="643"/>
      <c r="CB93" s="642"/>
      <c r="CC93" s="635">
        <v>85</v>
      </c>
      <c r="CD93" s="643">
        <v>11.23</v>
      </c>
      <c r="CE93" s="12"/>
      <c r="CF93" s="13"/>
    </row>
    <row r="94" spans="1:84" ht="12.75" customHeight="1">
      <c r="A94" s="640">
        <v>86</v>
      </c>
      <c r="B94" s="643"/>
      <c r="C94" s="642"/>
      <c r="D94" s="635">
        <v>86</v>
      </c>
      <c r="E94" s="643"/>
      <c r="F94" s="12"/>
      <c r="G94" s="13"/>
      <c r="H94" s="19"/>
      <c r="J94" s="5">
        <f t="shared" si="7"/>
        <v>0.93199999999999994</v>
      </c>
      <c r="K94" s="5">
        <f t="shared" si="5"/>
        <v>11.4156</v>
      </c>
      <c r="L94" s="5">
        <f t="shared" si="8"/>
        <v>2.1139999999999999</v>
      </c>
      <c r="M94" s="5">
        <f t="shared" si="6"/>
        <v>9.7848000000000006</v>
      </c>
      <c r="Q94" s="5">
        <f t="shared" ref="Q94:Q125" si="9">IF(Y94="","",IF($AF$87=0,Y94,ROUND(Y94/$AF$87,0)))</f>
        <v>93</v>
      </c>
      <c r="R94" s="5">
        <f>IF(Q94="",NA(),COUNTIF(Q94:$Q$293,Q94))</f>
        <v>1</v>
      </c>
      <c r="S94" s="5">
        <f t="shared" ref="S94:S125" si="10">(R94-1)*$AF$90</f>
        <v>0</v>
      </c>
      <c r="T94" s="5" t="e">
        <f>IF($AC$91,0.85-IF($AP$92,S94-$S$83,0),NA())</f>
        <v>#N/A</v>
      </c>
      <c r="U94" s="5">
        <f t="shared" ref="U94:U125" si="11">IF(X94&gt;$X$89,NA(),IF(OR(X94&lt;=$X$90,X94&gt;$X$89-$X$90),IF($AP$92,W94,Y94),NA()))</f>
        <v>151.6644</v>
      </c>
      <c r="V94" s="5" t="e">
        <f t="shared" ref="V94:V125" si="12">IF(X94&gt;$X$89,NA(),IF(AND(X94&gt;$X$90,X94&lt;=$X$89-$X$90),IF($AP$92,W94,Y94),NA()))</f>
        <v>#N/A</v>
      </c>
      <c r="W94" s="5">
        <f t="shared" ref="W94:W125" si="13">IF(X94&gt;$X$89,"",LARGE($AZ$94:$AZ$293,X94))</f>
        <v>151.6644</v>
      </c>
      <c r="X94" s="5">
        <v>1</v>
      </c>
      <c r="Y94" s="5">
        <f t="shared" ref="Y94:Y125" si="14">IF(X94&gt;$X$89,"",LARGE($AX$94:$AX$293,X94))</f>
        <v>151</v>
      </c>
      <c r="Z94" s="5" t="str">
        <f t="shared" ref="Z94:Z125" si="15">IF(X94&gt;$X$89,"",IF(AND(X94&gt;$X$90,X94&lt;=$X$89-$X$90),Y94,""))</f>
        <v/>
      </c>
      <c r="AA94" s="5">
        <f>IF(X94&gt;$X$89,"",IF(AND(X94&gt;$X$90,X94&lt;=$X$89-$X$90),Y94,IF(X94&lt;=$X$90,$Z$90,$Z$91)))</f>
        <v>11</v>
      </c>
      <c r="AB94" s="5">
        <f t="shared" ref="AB94:AB125" si="16">IF(AI94="","",IF($AF$87=0,AI94,ROUND(AI94/$AF$87,0)))</f>
        <v>31</v>
      </c>
      <c r="AC94" s="5">
        <f>IF(AB94="",NA(),COUNTIF(AB94:$AB$293,AB94))</f>
        <v>1</v>
      </c>
      <c r="AD94" s="5">
        <f t="shared" ref="AD94:AD125" si="17">(AC94-1)*$AF$90</f>
        <v>0</v>
      </c>
      <c r="AE94" s="5" t="e">
        <f>IF($AC$91,2.15+IF($AP$92,AD94-$S$83,0),NA())</f>
        <v>#N/A</v>
      </c>
      <c r="AF94" s="5">
        <f t="shared" ref="AF94:AF125" si="18">IF(X94&gt;$AC$89,NA(),IF(OR(X94&lt;=$AC$90,X94&gt;$AC$89-$AC$90),IF($AP$92,AH94,AI94),NA()))</f>
        <v>50.5548</v>
      </c>
      <c r="AG94" s="5" t="e">
        <f t="shared" ref="AG94:AG125" si="19">IF(X94&gt;$AC$89,NA(),IF(AND(X94&gt;$AC$90,X94&lt;=$AC$89-$AC$90),IF($AP$92,AH94,AI94),NA()))</f>
        <v>#N/A</v>
      </c>
      <c r="AH94" s="5">
        <f t="shared" ref="AH94:AH125" si="20">IF(X94&gt;$AC$89,"",LARGE($BF$94:$BF$293,X94))</f>
        <v>50.5548</v>
      </c>
      <c r="AI94" s="5">
        <f t="shared" ref="AI94:AI125" si="21">IF(X94&gt;$AC$89,"",LARGE($BD$94:$BD$293,X94))</f>
        <v>50</v>
      </c>
      <c r="AJ94" s="5" t="str">
        <f t="shared" ref="AJ94:AJ125" si="22">IF(X94&gt;$AC$89,"",IF(AND(X94&gt;$AC$90,X94&lt;=$AC$89-$AC$90),AI94,""))</f>
        <v/>
      </c>
      <c r="AK94" s="5">
        <f t="shared" ref="AK94:AK125" si="23">IF(X94&gt;$AC$89,"",IF(AND(X94&gt;$AC$90,X94&lt;=$AC$89-$AC$90),AI94,IF(X94&lt;=$AC$90,$AJ$90,$AJ$91)))</f>
        <v>10</v>
      </c>
      <c r="AN94" s="62" t="s">
        <v>326</v>
      </c>
      <c r="AO94" s="95" t="b">
        <v>1</v>
      </c>
      <c r="AP94" s="62" t="s">
        <v>273</v>
      </c>
      <c r="AQ94" s="43" t="b">
        <v>1</v>
      </c>
      <c r="AR94" s="5" t="s">
        <v>274</v>
      </c>
      <c r="AU94" s="67" t="e">
        <f>IF(AND($AC$91,AW95),2.7,NA())</f>
        <v>#N/A</v>
      </c>
      <c r="AV94" s="68" t="str">
        <f>AV91</f>
        <v/>
      </c>
      <c r="AW94" s="91" t="e">
        <f>IF(AND($AC$91,T89&lt;&gt;""),T89,NA())</f>
        <v>#N/A</v>
      </c>
      <c r="AX94" s="5">
        <f>IF(ISNA(AY94),"",AY94)</f>
        <v>151</v>
      </c>
      <c r="AY94" s="5">
        <f t="shared" ref="AY94:AY125" si="24">IF(AND($AO$97,NOT(B9=""),$AO$95),B9,NA())</f>
        <v>151</v>
      </c>
      <c r="AZ94" s="5">
        <f t="shared" ref="AZ94:AZ125" si="25">IF(BA94="","",IF($AF$87=0,AY94,BA94*$AF$87))</f>
        <v>151.6644</v>
      </c>
      <c r="BA94" s="5">
        <f t="shared" ref="BA94:BA125" si="26">IF(ISNA(AY94),"",IF($AF$87=0,AY94,ROUND(AY94/$AF$87,0)))</f>
        <v>93</v>
      </c>
      <c r="BB94" s="5">
        <f>IF(BA94="",NA(),COUNTIF(BA94:$BA$193,BA94))</f>
        <v>1</v>
      </c>
      <c r="BC94" s="5">
        <f t="shared" ref="BC94:BC125" si="27">(BB94-1)*$AF$90</f>
        <v>0</v>
      </c>
      <c r="BD94" s="5">
        <f>IF(ISNA(BE94),"",BE94)</f>
        <v>50</v>
      </c>
      <c r="BE94" s="5">
        <f t="shared" ref="BE94:BE125" si="28">IF(AND($AO$97,NOT(E9=""),$AO$96),E9,NA())</f>
        <v>50</v>
      </c>
      <c r="BF94" s="5">
        <f t="shared" ref="BF94:BF125" si="29">IF(BG94="","",IF($AF$87=0,BE94,BG94*$AF$87))</f>
        <v>50.5548</v>
      </c>
      <c r="BG94" s="5">
        <f t="shared" ref="BG94:BG125" si="30">IF(ISNA(BE94),"",IF($AF$87=0,BE94,ROUND(BE94/$AF$87,0)))</f>
        <v>31</v>
      </c>
      <c r="BH94" s="5">
        <f>IF(BG94="",NA(),COUNTIF(BG94:$BG$193,BG94))</f>
        <v>1</v>
      </c>
      <c r="BI94" s="5">
        <f t="shared" ref="BI94:BI125" si="31">(BH94-1)*$AF$90</f>
        <v>0</v>
      </c>
      <c r="BJ94" s="640">
        <v>86</v>
      </c>
      <c r="BK94" s="643"/>
      <c r="BL94" s="642"/>
      <c r="BM94" s="635">
        <v>86</v>
      </c>
      <c r="BN94" s="643"/>
      <c r="BO94" s="12"/>
      <c r="BP94" s="13"/>
      <c r="BR94" s="640">
        <v>86</v>
      </c>
      <c r="BS94" s="643"/>
      <c r="BT94" s="642"/>
      <c r="BU94" s="635">
        <v>86</v>
      </c>
      <c r="BV94" s="643"/>
      <c r="BW94" s="12"/>
      <c r="BX94" s="13"/>
      <c r="BZ94" s="640">
        <v>86</v>
      </c>
      <c r="CA94" s="643"/>
      <c r="CB94" s="642"/>
      <c r="CC94" s="635">
        <v>86</v>
      </c>
      <c r="CD94" s="643">
        <v>9.17</v>
      </c>
      <c r="CE94" s="12"/>
      <c r="CF94" s="13"/>
    </row>
    <row r="95" spans="1:84" ht="12.75" customHeight="1">
      <c r="A95" s="640">
        <v>87</v>
      </c>
      <c r="B95" s="643"/>
      <c r="C95" s="642"/>
      <c r="D95" s="635">
        <v>87</v>
      </c>
      <c r="E95" s="643"/>
      <c r="F95" s="12"/>
      <c r="G95" s="13"/>
      <c r="I95" s="19"/>
      <c r="J95" s="5">
        <f t="shared" si="7"/>
        <v>0.88600000000000001</v>
      </c>
      <c r="K95" s="5">
        <f t="shared" si="5"/>
        <v>9.7848000000000006</v>
      </c>
      <c r="L95" s="5">
        <f t="shared" si="8"/>
        <v>2.0680000000000001</v>
      </c>
      <c r="M95" s="5">
        <f t="shared" si="6"/>
        <v>9.7848000000000006</v>
      </c>
      <c r="Q95" s="5">
        <f t="shared" si="9"/>
        <v>53</v>
      </c>
      <c r="R95" s="5">
        <f>IF(Q95="",NA(),COUNTIF(Q95:$Q$293,Q95))</f>
        <v>1</v>
      </c>
      <c r="S95" s="5">
        <f t="shared" si="10"/>
        <v>0</v>
      </c>
      <c r="T95" s="5" t="e">
        <f t="shared" ref="T95:T158" si="32">IF($AC$91,0.85-IF($AP$92,S95-$S$83,0),NA())</f>
        <v>#N/A</v>
      </c>
      <c r="U95" s="5">
        <f t="shared" si="11"/>
        <v>86.432400000000001</v>
      </c>
      <c r="V95" s="5" t="e">
        <f t="shared" si="12"/>
        <v>#N/A</v>
      </c>
      <c r="W95" s="5">
        <f t="shared" si="13"/>
        <v>86.432400000000001</v>
      </c>
      <c r="X95" s="5">
        <v>2</v>
      </c>
      <c r="Y95" s="5">
        <f t="shared" si="14"/>
        <v>86</v>
      </c>
      <c r="Z95" s="5" t="str">
        <f t="shared" si="15"/>
        <v/>
      </c>
      <c r="AA95" s="5">
        <f t="shared" ref="AA95:AA158" si="33">IF(X95&gt;$X$89,"",IF(AND(X95&gt;$X$90,X95&lt;=$X$89-$X$90),Y95,IF(X95&lt;=$X$90,$Z$90,$Z$91)))</f>
        <v>11</v>
      </c>
      <c r="AB95" s="5">
        <f t="shared" si="16"/>
        <v>18</v>
      </c>
      <c r="AC95" s="5">
        <f>IF(AB95="",NA(),COUNTIF(AB95:$AB$293,AB95))</f>
        <v>1</v>
      </c>
      <c r="AD95" s="5">
        <f t="shared" si="17"/>
        <v>0</v>
      </c>
      <c r="AE95" s="5" t="e">
        <f t="shared" ref="AE95:AE158" si="34">IF($AC$91,2.15+IF($AP$92,AD95-$S$83,0),NA())</f>
        <v>#N/A</v>
      </c>
      <c r="AF95" s="5">
        <f t="shared" si="18"/>
        <v>29.354400000000002</v>
      </c>
      <c r="AG95" s="5" t="e">
        <f t="shared" si="19"/>
        <v>#N/A</v>
      </c>
      <c r="AH95" s="5">
        <f t="shared" si="20"/>
        <v>29.354400000000002</v>
      </c>
      <c r="AI95" s="5">
        <f t="shared" si="21"/>
        <v>30</v>
      </c>
      <c r="AJ95" s="5" t="str">
        <f t="shared" si="22"/>
        <v/>
      </c>
      <c r="AK95" s="5">
        <f t="shared" si="23"/>
        <v>10</v>
      </c>
      <c r="AN95" s="62" t="s">
        <v>277</v>
      </c>
      <c r="AO95" s="43" t="b">
        <v>1</v>
      </c>
      <c r="AP95" s="62" t="s">
        <v>278</v>
      </c>
      <c r="AQ95" s="95" t="b">
        <v>1</v>
      </c>
      <c r="AR95" s="62">
        <v>1</v>
      </c>
      <c r="AS95" s="5">
        <f>AO107</f>
        <v>0</v>
      </c>
      <c r="AU95" s="69"/>
      <c r="AV95" s="261" t="s">
        <v>292</v>
      </c>
      <c r="AW95" s="97" t="b">
        <f>AND(K34&lt;&gt;"",M34&lt;&gt;"")</f>
        <v>0</v>
      </c>
      <c r="AX95" s="5">
        <f t="shared" ref="AX95:AX158" si="35">IF(ISNA(AY95),"",AY95)</f>
        <v>86</v>
      </c>
      <c r="AY95" s="5">
        <f t="shared" si="24"/>
        <v>86</v>
      </c>
      <c r="AZ95" s="5">
        <f t="shared" si="25"/>
        <v>86.432400000000001</v>
      </c>
      <c r="BA95" s="5">
        <f t="shared" si="26"/>
        <v>53</v>
      </c>
      <c r="BB95" s="5">
        <f>IF(BA95="",NA(),COUNTIF(BA95:$BA$193,BA95))</f>
        <v>1</v>
      </c>
      <c r="BC95" s="5">
        <f t="shared" si="27"/>
        <v>0</v>
      </c>
      <c r="BD95" s="5">
        <f t="shared" ref="BD95:BD158" si="36">IF(ISNA(BE95),"",BE95)</f>
        <v>30</v>
      </c>
      <c r="BE95" s="5">
        <f t="shared" si="28"/>
        <v>30</v>
      </c>
      <c r="BF95" s="5">
        <f t="shared" si="29"/>
        <v>29.354400000000002</v>
      </c>
      <c r="BG95" s="5">
        <f t="shared" si="30"/>
        <v>18</v>
      </c>
      <c r="BH95" s="5">
        <f>IF(BG95="",NA(),COUNTIF(BG95:$BG$193,BG95))</f>
        <v>1</v>
      </c>
      <c r="BI95" s="5">
        <f t="shared" si="31"/>
        <v>0</v>
      </c>
      <c r="BJ95" s="640">
        <v>87</v>
      </c>
      <c r="BK95" s="643"/>
      <c r="BL95" s="642"/>
      <c r="BM95" s="635">
        <v>87</v>
      </c>
      <c r="BN95" s="643"/>
      <c r="BO95" s="12"/>
      <c r="BP95" s="13"/>
      <c r="BR95" s="640">
        <v>87</v>
      </c>
      <c r="BS95" s="643"/>
      <c r="BT95" s="642"/>
      <c r="BU95" s="635">
        <v>87</v>
      </c>
      <c r="BV95" s="643"/>
      <c r="BW95" s="12"/>
      <c r="BX95" s="13"/>
      <c r="BZ95" s="640">
        <v>87</v>
      </c>
      <c r="CA95" s="643"/>
      <c r="CB95" s="642"/>
      <c r="CC95" s="635">
        <v>87</v>
      </c>
      <c r="CD95" s="643">
        <v>14.29</v>
      </c>
      <c r="CE95" s="12"/>
      <c r="CF95" s="13"/>
    </row>
    <row r="96" spans="1:84" ht="12.75" customHeight="1">
      <c r="A96" s="640">
        <v>88</v>
      </c>
      <c r="B96" s="643"/>
      <c r="C96" s="642"/>
      <c r="D96" s="635">
        <v>88</v>
      </c>
      <c r="E96" s="643"/>
      <c r="F96" s="12"/>
      <c r="G96" s="13"/>
      <c r="H96" s="19"/>
      <c r="J96" s="5">
        <f t="shared" si="7"/>
        <v>0.93199999999999994</v>
      </c>
      <c r="K96" s="5">
        <f t="shared" si="5"/>
        <v>9.7848000000000006</v>
      </c>
      <c r="L96" s="5">
        <f t="shared" si="8"/>
        <v>2.1139999999999999</v>
      </c>
      <c r="M96" s="5">
        <f t="shared" si="6"/>
        <v>8.1539999999999999</v>
      </c>
      <c r="Q96" s="5">
        <f t="shared" si="9"/>
        <v>31</v>
      </c>
      <c r="R96" s="5">
        <f>IF(Q96="",NA(),COUNTIF(Q96:$Q$293,Q96))</f>
        <v>1</v>
      </c>
      <c r="S96" s="5">
        <f t="shared" si="10"/>
        <v>0</v>
      </c>
      <c r="T96" s="5" t="e">
        <f t="shared" si="32"/>
        <v>#N/A</v>
      </c>
      <c r="U96" s="5">
        <f t="shared" si="11"/>
        <v>50.5548</v>
      </c>
      <c r="V96" s="5" t="e">
        <f t="shared" si="12"/>
        <v>#N/A</v>
      </c>
      <c r="W96" s="5">
        <f t="shared" si="13"/>
        <v>50.5548</v>
      </c>
      <c r="X96" s="5">
        <v>3</v>
      </c>
      <c r="Y96" s="5">
        <f t="shared" si="14"/>
        <v>50</v>
      </c>
      <c r="Z96" s="5" t="str">
        <f t="shared" si="15"/>
        <v/>
      </c>
      <c r="AA96" s="5">
        <f t="shared" si="33"/>
        <v>11</v>
      </c>
      <c r="AB96" s="5">
        <f t="shared" si="16"/>
        <v>12</v>
      </c>
      <c r="AC96" s="5">
        <f>IF(AB96="",NA(),COUNTIF(AB96:$AB$293,AB96))</f>
        <v>1</v>
      </c>
      <c r="AD96" s="5">
        <f t="shared" si="17"/>
        <v>0</v>
      </c>
      <c r="AE96" s="5" t="e">
        <f t="shared" si="34"/>
        <v>#N/A</v>
      </c>
      <c r="AF96" s="5">
        <f t="shared" si="18"/>
        <v>19.569600000000001</v>
      </c>
      <c r="AG96" s="5" t="e">
        <f t="shared" si="19"/>
        <v>#N/A</v>
      </c>
      <c r="AH96" s="5">
        <f t="shared" si="20"/>
        <v>19.569600000000001</v>
      </c>
      <c r="AI96" s="5">
        <f t="shared" si="21"/>
        <v>20</v>
      </c>
      <c r="AJ96" s="5" t="str">
        <f t="shared" si="22"/>
        <v/>
      </c>
      <c r="AK96" s="5">
        <f t="shared" si="23"/>
        <v>10</v>
      </c>
      <c r="AN96" s="62" t="s">
        <v>280</v>
      </c>
      <c r="AO96" s="43" t="b">
        <v>1</v>
      </c>
      <c r="AP96" s="62" t="s">
        <v>281</v>
      </c>
      <c r="AQ96" s="95">
        <v>1</v>
      </c>
      <c r="AR96" s="62">
        <v>2</v>
      </c>
      <c r="AS96" s="5">
        <f>AS95</f>
        <v>0</v>
      </c>
      <c r="AU96" s="65" t="s">
        <v>275</v>
      </c>
      <c r="AV96" s="66"/>
      <c r="AW96" s="93"/>
      <c r="AX96" s="5">
        <f t="shared" si="35"/>
        <v>50</v>
      </c>
      <c r="AY96" s="5">
        <f t="shared" si="24"/>
        <v>50</v>
      </c>
      <c r="AZ96" s="5">
        <f t="shared" si="25"/>
        <v>50.5548</v>
      </c>
      <c r="BA96" s="5">
        <f t="shared" si="26"/>
        <v>31</v>
      </c>
      <c r="BB96" s="5">
        <f>IF(BA96="",NA(),COUNTIF(BA96:$BA$193,BA96))</f>
        <v>1</v>
      </c>
      <c r="BC96" s="5">
        <f t="shared" si="27"/>
        <v>0</v>
      </c>
      <c r="BD96" s="5">
        <f t="shared" si="36"/>
        <v>20</v>
      </c>
      <c r="BE96" s="5">
        <f t="shared" si="28"/>
        <v>20</v>
      </c>
      <c r="BF96" s="5">
        <f t="shared" si="29"/>
        <v>19.569600000000001</v>
      </c>
      <c r="BG96" s="5">
        <f t="shared" si="30"/>
        <v>12</v>
      </c>
      <c r="BH96" s="5">
        <f>IF(BG96="",NA(),COUNTIF(BG96:$BG$193,BG96))</f>
        <v>1</v>
      </c>
      <c r="BI96" s="5">
        <f t="shared" si="31"/>
        <v>0</v>
      </c>
      <c r="BJ96" s="640">
        <v>88</v>
      </c>
      <c r="BK96" s="643"/>
      <c r="BL96" s="642"/>
      <c r="BM96" s="635">
        <v>88</v>
      </c>
      <c r="BN96" s="643"/>
      <c r="BO96" s="12"/>
      <c r="BP96" s="13"/>
      <c r="BR96" s="640">
        <v>88</v>
      </c>
      <c r="BS96" s="643"/>
      <c r="BT96" s="642"/>
      <c r="BU96" s="635">
        <v>88</v>
      </c>
      <c r="BV96" s="643"/>
      <c r="BW96" s="12"/>
      <c r="BX96" s="13"/>
      <c r="BZ96" s="640">
        <v>88</v>
      </c>
      <c r="CA96" s="643"/>
      <c r="CB96" s="642"/>
      <c r="CC96" s="635">
        <v>88</v>
      </c>
      <c r="CD96" s="643">
        <v>12.95</v>
      </c>
      <c r="CE96" s="12"/>
      <c r="CF96" s="13"/>
    </row>
    <row r="97" spans="1:84" ht="12.75" customHeight="1">
      <c r="A97" s="640">
        <v>89</v>
      </c>
      <c r="B97" s="643"/>
      <c r="C97" s="642"/>
      <c r="D97" s="635">
        <v>89</v>
      </c>
      <c r="E97" s="643"/>
      <c r="F97" s="12"/>
      <c r="G97" s="13"/>
      <c r="I97" s="19"/>
      <c r="J97" s="5">
        <f t="shared" si="7"/>
        <v>0.88600000000000001</v>
      </c>
      <c r="K97" s="5">
        <f t="shared" si="5"/>
        <v>8.1539999999999999</v>
      </c>
      <c r="L97" s="5">
        <f t="shared" si="8"/>
        <v>2.0680000000000001</v>
      </c>
      <c r="M97" s="5">
        <f t="shared" si="6"/>
        <v>8.1539999999999999</v>
      </c>
      <c r="Q97" s="5">
        <f t="shared" si="9"/>
        <v>18</v>
      </c>
      <c r="R97" s="5">
        <f>IF(Q97="",NA(),COUNTIF(Q97:$Q$293,Q97))</f>
        <v>1</v>
      </c>
      <c r="S97" s="5">
        <f t="shared" si="10"/>
        <v>0</v>
      </c>
      <c r="T97" s="5" t="e">
        <f t="shared" si="32"/>
        <v>#N/A</v>
      </c>
      <c r="U97" s="5">
        <f t="shared" si="11"/>
        <v>29.354400000000002</v>
      </c>
      <c r="V97" s="5" t="e">
        <f t="shared" si="12"/>
        <v>#N/A</v>
      </c>
      <c r="W97" s="5">
        <f t="shared" si="13"/>
        <v>29.354400000000002</v>
      </c>
      <c r="X97" s="5">
        <v>4</v>
      </c>
      <c r="Y97" s="5">
        <f t="shared" si="14"/>
        <v>30</v>
      </c>
      <c r="Z97" s="5" t="str">
        <f t="shared" si="15"/>
        <v/>
      </c>
      <c r="AA97" s="5">
        <f t="shared" si="33"/>
        <v>11</v>
      </c>
      <c r="AB97" s="5">
        <f t="shared" si="16"/>
        <v>10</v>
      </c>
      <c r="AC97" s="5">
        <f>IF(AB97="",NA(),COUNTIF(AB97:$AB$293,AB97))</f>
        <v>1</v>
      </c>
      <c r="AD97" s="5">
        <f t="shared" si="17"/>
        <v>0</v>
      </c>
      <c r="AE97" s="5" t="e">
        <f t="shared" si="34"/>
        <v>#N/A</v>
      </c>
      <c r="AF97" s="5">
        <f t="shared" si="18"/>
        <v>16.308</v>
      </c>
      <c r="AG97" s="5" t="e">
        <f t="shared" si="19"/>
        <v>#N/A</v>
      </c>
      <c r="AH97" s="5">
        <f t="shared" si="20"/>
        <v>16.308</v>
      </c>
      <c r="AI97" s="5">
        <f t="shared" si="21"/>
        <v>16</v>
      </c>
      <c r="AJ97" s="5" t="str">
        <f t="shared" si="22"/>
        <v/>
      </c>
      <c r="AK97" s="5">
        <f t="shared" si="23"/>
        <v>10</v>
      </c>
      <c r="AN97" s="62" t="s">
        <v>283</v>
      </c>
      <c r="AO97" s="43" t="b">
        <v>1</v>
      </c>
      <c r="AP97" s="62" t="s">
        <v>284</v>
      </c>
      <c r="AQ97" s="95">
        <v>1</v>
      </c>
      <c r="AR97" s="5">
        <v>3</v>
      </c>
      <c r="AS97" s="5">
        <f>AS96</f>
        <v>0</v>
      </c>
      <c r="AU97" s="67">
        <f>IF(AND(NOT($AC$91),AW103),1,NA())</f>
        <v>1</v>
      </c>
      <c r="AV97" s="68">
        <f>K12</f>
        <v>11.549019607843137</v>
      </c>
      <c r="AW97" s="91"/>
      <c r="AX97" s="5">
        <f t="shared" si="35"/>
        <v>30</v>
      </c>
      <c r="AY97" s="5">
        <f t="shared" si="24"/>
        <v>30</v>
      </c>
      <c r="AZ97" s="5">
        <f t="shared" si="25"/>
        <v>29.354400000000002</v>
      </c>
      <c r="BA97" s="5">
        <f t="shared" si="26"/>
        <v>18</v>
      </c>
      <c r="BB97" s="5">
        <f>IF(BA97="",NA(),COUNTIF(BA97:$BA$193,BA97))</f>
        <v>1</v>
      </c>
      <c r="BC97" s="5">
        <f t="shared" si="27"/>
        <v>0</v>
      </c>
      <c r="BD97" s="5">
        <f t="shared" si="36"/>
        <v>16</v>
      </c>
      <c r="BE97" s="5">
        <f t="shared" si="28"/>
        <v>16</v>
      </c>
      <c r="BF97" s="5">
        <f t="shared" si="29"/>
        <v>16.308</v>
      </c>
      <c r="BG97" s="5">
        <f t="shared" si="30"/>
        <v>10</v>
      </c>
      <c r="BH97" s="5">
        <f>IF(BG97="",NA(),COUNTIF(BG97:$BG$193,BG97))</f>
        <v>1</v>
      </c>
      <c r="BI97" s="5">
        <f t="shared" si="31"/>
        <v>0</v>
      </c>
      <c r="BJ97" s="640">
        <v>89</v>
      </c>
      <c r="BK97" s="643"/>
      <c r="BL97" s="642"/>
      <c r="BM97" s="635">
        <v>89</v>
      </c>
      <c r="BN97" s="643"/>
      <c r="BO97" s="12"/>
      <c r="BP97" s="13"/>
      <c r="BR97" s="640">
        <v>89</v>
      </c>
      <c r="BS97" s="643"/>
      <c r="BT97" s="642"/>
      <c r="BU97" s="635">
        <v>89</v>
      </c>
      <c r="BV97" s="643"/>
      <c r="BW97" s="12"/>
      <c r="BX97" s="13"/>
      <c r="BZ97" s="640">
        <v>89</v>
      </c>
      <c r="CA97" s="643"/>
      <c r="CB97" s="642"/>
      <c r="CC97" s="635">
        <v>89</v>
      </c>
      <c r="CD97" s="643">
        <v>13.74</v>
      </c>
      <c r="CE97" s="12"/>
      <c r="CF97" s="13"/>
    </row>
    <row r="98" spans="1:84" ht="12.75" customHeight="1">
      <c r="A98" s="640">
        <v>90</v>
      </c>
      <c r="B98" s="643"/>
      <c r="C98" s="642"/>
      <c r="D98" s="635">
        <v>90</v>
      </c>
      <c r="E98" s="643"/>
      <c r="F98" s="12"/>
      <c r="G98" s="13"/>
      <c r="H98" s="19"/>
      <c r="J98" s="5">
        <f t="shared" si="7"/>
        <v>0.93199999999999994</v>
      </c>
      <c r="K98" s="5">
        <f t="shared" si="5"/>
        <v>8.1539999999999999</v>
      </c>
      <c r="L98" s="5">
        <f t="shared" si="8"/>
        <v>2.206</v>
      </c>
      <c r="M98" s="5">
        <f t="shared" si="6"/>
        <v>6.5232000000000001</v>
      </c>
      <c r="Q98" s="5">
        <f t="shared" si="9"/>
        <v>14</v>
      </c>
      <c r="R98" s="5">
        <f>IF(Q98="",NA(),COUNTIF(Q98:$Q$293,Q98))</f>
        <v>1</v>
      </c>
      <c r="S98" s="5">
        <f t="shared" si="10"/>
        <v>0</v>
      </c>
      <c r="T98" s="5" t="e">
        <f t="shared" si="32"/>
        <v>#N/A</v>
      </c>
      <c r="U98" s="5">
        <f t="shared" si="11"/>
        <v>22.831199999999999</v>
      </c>
      <c r="V98" s="5" t="e">
        <f t="shared" si="12"/>
        <v>#N/A</v>
      </c>
      <c r="W98" s="5">
        <f t="shared" si="13"/>
        <v>22.831199999999999</v>
      </c>
      <c r="X98" s="5">
        <v>5</v>
      </c>
      <c r="Y98" s="5">
        <f t="shared" si="14"/>
        <v>23</v>
      </c>
      <c r="Z98" s="5" t="str">
        <f t="shared" si="15"/>
        <v/>
      </c>
      <c r="AA98" s="5">
        <f t="shared" si="33"/>
        <v>11</v>
      </c>
      <c r="AB98" s="5">
        <f t="shared" si="16"/>
        <v>9</v>
      </c>
      <c r="AC98" s="5">
        <f>IF(AB98="",NA(),COUNTIF(AB98:$AB$293,AB98))</f>
        <v>1</v>
      </c>
      <c r="AD98" s="5">
        <f t="shared" si="17"/>
        <v>0</v>
      </c>
      <c r="AE98" s="5" t="e">
        <f t="shared" si="34"/>
        <v>#N/A</v>
      </c>
      <c r="AF98" s="5">
        <f t="shared" si="18"/>
        <v>14.677200000000001</v>
      </c>
      <c r="AG98" s="5" t="e">
        <f t="shared" si="19"/>
        <v>#N/A</v>
      </c>
      <c r="AH98" s="5">
        <f t="shared" si="20"/>
        <v>14.677200000000001</v>
      </c>
      <c r="AI98" s="5">
        <f t="shared" si="21"/>
        <v>15</v>
      </c>
      <c r="AJ98" s="5" t="str">
        <f t="shared" si="22"/>
        <v/>
      </c>
      <c r="AK98" s="5">
        <f t="shared" si="23"/>
        <v>10</v>
      </c>
      <c r="AN98" s="196" t="s">
        <v>327</v>
      </c>
      <c r="AO98" s="43" t="b">
        <f>AND(AP93&gt;=0, AP93&lt;=99.9)</f>
        <v>1</v>
      </c>
      <c r="AP98" s="62" t="s">
        <v>285</v>
      </c>
      <c r="AQ98" s="95" t="b">
        <v>0</v>
      </c>
      <c r="AR98" s="5" t="s">
        <v>1252</v>
      </c>
      <c r="AU98" s="67">
        <f>IF(AND(NOT($AC$91),AW103),AU105,NA())</f>
        <v>3.1</v>
      </c>
      <c r="AV98" s="68">
        <f>AV97</f>
        <v>11.549019607843137</v>
      </c>
      <c r="AW98" s="91"/>
      <c r="AX98" s="5">
        <f t="shared" si="35"/>
        <v>23</v>
      </c>
      <c r="AY98" s="5">
        <f t="shared" si="24"/>
        <v>23</v>
      </c>
      <c r="AZ98" s="5">
        <f t="shared" si="25"/>
        <v>22.831199999999999</v>
      </c>
      <c r="BA98" s="5">
        <f t="shared" si="26"/>
        <v>14</v>
      </c>
      <c r="BB98" s="5">
        <f>IF(BA98="",NA(),COUNTIF(BA98:$BA$193,BA98))</f>
        <v>1</v>
      </c>
      <c r="BC98" s="5">
        <f t="shared" si="27"/>
        <v>0</v>
      </c>
      <c r="BD98" s="5">
        <f t="shared" si="36"/>
        <v>15</v>
      </c>
      <c r="BE98" s="5">
        <f t="shared" si="28"/>
        <v>15</v>
      </c>
      <c r="BF98" s="5">
        <f t="shared" si="29"/>
        <v>14.677200000000001</v>
      </c>
      <c r="BG98" s="5">
        <f t="shared" si="30"/>
        <v>9</v>
      </c>
      <c r="BH98" s="5">
        <f>IF(BG98="",NA(),COUNTIF(BG98:$BG$193,BG98))</f>
        <v>1</v>
      </c>
      <c r="BI98" s="5">
        <f t="shared" si="31"/>
        <v>0</v>
      </c>
      <c r="BJ98" s="640">
        <v>90</v>
      </c>
      <c r="BK98" s="643"/>
      <c r="BL98" s="642"/>
      <c r="BM98" s="635">
        <v>90</v>
      </c>
      <c r="BN98" s="643"/>
      <c r="BO98" s="12"/>
      <c r="BP98" s="13"/>
      <c r="BR98" s="640">
        <v>90</v>
      </c>
      <c r="BS98" s="643"/>
      <c r="BT98" s="642"/>
      <c r="BU98" s="635">
        <v>90</v>
      </c>
      <c r="BV98" s="643"/>
      <c r="BW98" s="12"/>
      <c r="BX98" s="13"/>
      <c r="BZ98" s="640">
        <v>90</v>
      </c>
      <c r="CA98" s="643"/>
      <c r="CB98" s="642"/>
      <c r="CC98" s="635">
        <v>90</v>
      </c>
      <c r="CD98" s="643">
        <v>9.66</v>
      </c>
      <c r="CE98" s="12"/>
      <c r="CF98" s="13"/>
    </row>
    <row r="99" spans="1:84" ht="12.75" customHeight="1">
      <c r="A99" s="640">
        <v>91</v>
      </c>
      <c r="B99" s="643"/>
      <c r="C99" s="642"/>
      <c r="D99" s="635">
        <v>91</v>
      </c>
      <c r="E99" s="643"/>
      <c r="F99" s="12"/>
      <c r="G99" s="13"/>
      <c r="I99" s="19"/>
      <c r="J99" s="5">
        <f t="shared" si="7"/>
        <v>0.56400000000000006</v>
      </c>
      <c r="K99" s="5">
        <f t="shared" si="5"/>
        <v>6.5232000000000001</v>
      </c>
      <c r="L99" s="5">
        <f t="shared" si="8"/>
        <v>2.1599999999999997</v>
      </c>
      <c r="M99" s="5">
        <f t="shared" si="6"/>
        <v>6.5232000000000001</v>
      </c>
      <c r="Q99" s="5">
        <f t="shared" si="9"/>
        <v>12</v>
      </c>
      <c r="R99" s="5">
        <f>IF(Q99="",NA(),COUNTIF(Q99:$Q$293,Q99))</f>
        <v>2</v>
      </c>
      <c r="S99" s="5">
        <f t="shared" si="10"/>
        <v>4.5999999999999999E-2</v>
      </c>
      <c r="T99" s="5" t="e">
        <f t="shared" si="32"/>
        <v>#N/A</v>
      </c>
      <c r="U99" s="5">
        <f t="shared" si="11"/>
        <v>19.569600000000001</v>
      </c>
      <c r="V99" s="5" t="e">
        <f t="shared" si="12"/>
        <v>#N/A</v>
      </c>
      <c r="W99" s="5">
        <f t="shared" si="13"/>
        <v>19.569600000000001</v>
      </c>
      <c r="X99" s="5">
        <v>6</v>
      </c>
      <c r="Y99" s="5">
        <f t="shared" si="14"/>
        <v>20</v>
      </c>
      <c r="Z99" s="5" t="str">
        <f t="shared" si="15"/>
        <v/>
      </c>
      <c r="AA99" s="5">
        <f t="shared" si="33"/>
        <v>11</v>
      </c>
      <c r="AB99" s="5">
        <f t="shared" si="16"/>
        <v>8</v>
      </c>
      <c r="AC99" s="5">
        <f>IF(AB99="",NA(),COUNTIF(AB99:$AB$293,AB99))</f>
        <v>1</v>
      </c>
      <c r="AD99" s="5">
        <f t="shared" si="17"/>
        <v>0</v>
      </c>
      <c r="AE99" s="5" t="e">
        <f t="shared" si="34"/>
        <v>#N/A</v>
      </c>
      <c r="AF99" s="5">
        <f t="shared" si="18"/>
        <v>13.0464</v>
      </c>
      <c r="AG99" s="5" t="e">
        <f t="shared" si="19"/>
        <v>#N/A</v>
      </c>
      <c r="AH99" s="5">
        <f t="shared" si="20"/>
        <v>13.0464</v>
      </c>
      <c r="AI99" s="5">
        <f t="shared" si="21"/>
        <v>13</v>
      </c>
      <c r="AJ99" s="5" t="str">
        <f t="shared" si="22"/>
        <v/>
      </c>
      <c r="AK99" s="5">
        <f t="shared" si="23"/>
        <v>10</v>
      </c>
      <c r="AN99" s="62" t="s">
        <v>287</v>
      </c>
      <c r="AO99" s="5" t="str">
        <f>IF(B8&lt;&gt;"",LEFT("        ",MAX(0,8-0.5*LEN(B8)))&amp;B8&amp;LEFT("        ",MAX(0,8-0.5*LEN(B8))),"      Group 1")</f>
        <v xml:space="preserve">     Males     </v>
      </c>
      <c r="AP99" s="5" t="str">
        <f>IF(E8&lt;&gt;"",IF(E8="","  ",E8),"Group 2")</f>
        <v>Females</v>
      </c>
      <c r="AQ99" s="5" t="s">
        <v>1532</v>
      </c>
      <c r="AR99" s="62" t="s">
        <v>1253</v>
      </c>
      <c r="AS99" s="5">
        <f>IF(AO126-AO127=0,1,AO126-AO127)</f>
        <v>19.033322341344686</v>
      </c>
      <c r="AU99" s="67">
        <f>IF(AND(NOT($AC$91),AW103),2,NA())</f>
        <v>2</v>
      </c>
      <c r="AV99" s="68">
        <f>M12</f>
        <v>7.0909090909090908</v>
      </c>
      <c r="AW99" s="91"/>
      <c r="AX99" s="5">
        <f t="shared" si="35"/>
        <v>20</v>
      </c>
      <c r="AY99" s="5">
        <f t="shared" si="24"/>
        <v>20</v>
      </c>
      <c r="AZ99" s="5">
        <f t="shared" si="25"/>
        <v>19.569600000000001</v>
      </c>
      <c r="BA99" s="5">
        <f t="shared" si="26"/>
        <v>12</v>
      </c>
      <c r="BB99" s="5">
        <f>IF(BA99="",NA(),COUNTIF(BA99:$BA$193,BA99))</f>
        <v>2</v>
      </c>
      <c r="BC99" s="5">
        <f t="shared" si="27"/>
        <v>4.5999999999999999E-2</v>
      </c>
      <c r="BD99" s="5">
        <f t="shared" si="36"/>
        <v>13</v>
      </c>
      <c r="BE99" s="5">
        <f t="shared" si="28"/>
        <v>13</v>
      </c>
      <c r="BF99" s="5">
        <f t="shared" si="29"/>
        <v>13.0464</v>
      </c>
      <c r="BG99" s="5">
        <f t="shared" si="30"/>
        <v>8</v>
      </c>
      <c r="BH99" s="5">
        <f>IF(BG99="",NA(),COUNTIF(BG99:$BG$193,BG99))</f>
        <v>1</v>
      </c>
      <c r="BI99" s="5">
        <f t="shared" si="31"/>
        <v>0</v>
      </c>
      <c r="BJ99" s="640">
        <v>91</v>
      </c>
      <c r="BK99" s="643"/>
      <c r="BL99" s="642"/>
      <c r="BM99" s="635">
        <v>91</v>
      </c>
      <c r="BN99" s="643"/>
      <c r="BO99" s="12"/>
      <c r="BP99" s="13"/>
      <c r="BR99" s="640">
        <v>91</v>
      </c>
      <c r="BS99" s="643"/>
      <c r="BT99" s="642"/>
      <c r="BU99" s="635">
        <v>91</v>
      </c>
      <c r="BV99" s="643"/>
      <c r="BW99" s="12"/>
      <c r="BX99" s="13"/>
      <c r="BZ99" s="640">
        <v>91</v>
      </c>
      <c r="CA99" s="643"/>
      <c r="CB99" s="642"/>
      <c r="CC99" s="635">
        <v>91</v>
      </c>
      <c r="CD99" s="643">
        <v>11.43</v>
      </c>
      <c r="CE99" s="12"/>
      <c r="CF99" s="13"/>
    </row>
    <row r="100" spans="1:84" ht="12.75" customHeight="1">
      <c r="A100" s="640">
        <v>92</v>
      </c>
      <c r="B100" s="643"/>
      <c r="C100" s="642"/>
      <c r="D100" s="635">
        <v>92</v>
      </c>
      <c r="E100" s="643"/>
      <c r="F100" s="12"/>
      <c r="G100" s="13"/>
      <c r="H100" s="19"/>
      <c r="J100" s="5">
        <f t="shared" si="7"/>
        <v>0.61</v>
      </c>
      <c r="K100" s="5">
        <f t="shared" si="5"/>
        <v>6.5232000000000001</v>
      </c>
      <c r="L100" s="5">
        <f t="shared" si="8"/>
        <v>2.1139999999999999</v>
      </c>
      <c r="M100" s="5">
        <f t="shared" si="6"/>
        <v>6.5232000000000001</v>
      </c>
      <c r="Q100" s="5">
        <f t="shared" si="9"/>
        <v>12</v>
      </c>
      <c r="R100" s="5">
        <f>IF(Q100="",NA(),COUNTIF(Q100:$Q$293,Q100))</f>
        <v>1</v>
      </c>
      <c r="S100" s="5">
        <f t="shared" si="10"/>
        <v>0</v>
      </c>
      <c r="T100" s="5" t="e">
        <f t="shared" si="32"/>
        <v>#N/A</v>
      </c>
      <c r="U100" s="5">
        <f t="shared" si="11"/>
        <v>19.569600000000001</v>
      </c>
      <c r="V100" s="5" t="e">
        <f t="shared" si="12"/>
        <v>#N/A</v>
      </c>
      <c r="W100" s="5">
        <f t="shared" si="13"/>
        <v>19.569600000000001</v>
      </c>
      <c r="X100" s="5">
        <v>7</v>
      </c>
      <c r="Y100" s="5">
        <f t="shared" si="14"/>
        <v>20</v>
      </c>
      <c r="Z100" s="5" t="str">
        <f t="shared" si="15"/>
        <v/>
      </c>
      <c r="AA100" s="5">
        <f t="shared" si="33"/>
        <v>11</v>
      </c>
      <c r="AB100" s="5">
        <f t="shared" si="16"/>
        <v>7</v>
      </c>
      <c r="AC100" s="5">
        <f>IF(AB100="",NA(),COUNTIF(AB100:$AB$293,AB100))</f>
        <v>1</v>
      </c>
      <c r="AD100" s="5">
        <f t="shared" si="17"/>
        <v>0</v>
      </c>
      <c r="AE100" s="5" t="e">
        <f t="shared" si="34"/>
        <v>#N/A</v>
      </c>
      <c r="AF100" s="5">
        <f t="shared" si="18"/>
        <v>11.4156</v>
      </c>
      <c r="AG100" s="5" t="e">
        <f t="shared" si="19"/>
        <v>#N/A</v>
      </c>
      <c r="AH100" s="5">
        <f t="shared" si="20"/>
        <v>11.4156</v>
      </c>
      <c r="AI100" s="5">
        <f t="shared" si="21"/>
        <v>12</v>
      </c>
      <c r="AJ100" s="5" t="str">
        <f t="shared" si="22"/>
        <v/>
      </c>
      <c r="AK100" s="5">
        <f t="shared" si="23"/>
        <v>10</v>
      </c>
      <c r="AN100" s="62" t="s">
        <v>290</v>
      </c>
      <c r="AO100" s="5">
        <f>IF(AND(NOT($AC$91),$K$12&lt;&gt;"",$AQ$96=1,AO95),$K$12,NA())</f>
        <v>11.549019607843137</v>
      </c>
      <c r="AP100" s="5">
        <f>IF(AND(NOT($AC$91),$M$12&lt;&gt;"",$AQ$96=1,AO96),$M$12,NA())</f>
        <v>7.0909090909090908</v>
      </c>
      <c r="AR100" s="62" t="s">
        <v>1254</v>
      </c>
      <c r="AS100" s="5">
        <f>POWER(10,INT(LOG10(AS99)))</f>
        <v>10</v>
      </c>
      <c r="AU100" s="67">
        <f>IF(AND(NOT($AC$91),AW103),AU105,NA())</f>
        <v>3.1</v>
      </c>
      <c r="AV100" s="68">
        <f>AV99</f>
        <v>7.0909090909090908</v>
      </c>
      <c r="AW100" s="91"/>
      <c r="AX100" s="5">
        <f t="shared" si="35"/>
        <v>20</v>
      </c>
      <c r="AY100" s="5">
        <f t="shared" si="24"/>
        <v>20</v>
      </c>
      <c r="AZ100" s="5">
        <f t="shared" si="25"/>
        <v>19.569600000000001</v>
      </c>
      <c r="BA100" s="5">
        <f t="shared" si="26"/>
        <v>12</v>
      </c>
      <c r="BB100" s="5">
        <f>IF(BA100="",NA(),COUNTIF(BA100:$BA$193,BA100))</f>
        <v>1</v>
      </c>
      <c r="BC100" s="5">
        <f t="shared" si="27"/>
        <v>0</v>
      </c>
      <c r="BD100" s="5">
        <f t="shared" si="36"/>
        <v>12</v>
      </c>
      <c r="BE100" s="5">
        <f t="shared" si="28"/>
        <v>12</v>
      </c>
      <c r="BF100" s="5">
        <f t="shared" si="29"/>
        <v>11.4156</v>
      </c>
      <c r="BG100" s="5">
        <f t="shared" si="30"/>
        <v>7</v>
      </c>
      <c r="BH100" s="5">
        <f>IF(BG100="",NA(),COUNTIF(BG100:$BG$193,BG100))</f>
        <v>1</v>
      </c>
      <c r="BI100" s="5">
        <f t="shared" si="31"/>
        <v>0</v>
      </c>
      <c r="BJ100" s="640">
        <v>92</v>
      </c>
      <c r="BK100" s="643"/>
      <c r="BL100" s="642"/>
      <c r="BM100" s="635">
        <v>92</v>
      </c>
      <c r="BN100" s="643"/>
      <c r="BO100" s="12"/>
      <c r="BP100" s="13"/>
      <c r="BR100" s="640">
        <v>92</v>
      </c>
      <c r="BS100" s="643"/>
      <c r="BT100" s="642"/>
      <c r="BU100" s="635">
        <v>92</v>
      </c>
      <c r="BV100" s="643"/>
      <c r="BW100" s="12"/>
      <c r="BX100" s="13"/>
      <c r="BZ100" s="640">
        <v>92</v>
      </c>
      <c r="CA100" s="643"/>
      <c r="CB100" s="642"/>
      <c r="CC100" s="635">
        <v>92</v>
      </c>
      <c r="CD100" s="643">
        <v>11.35</v>
      </c>
      <c r="CE100" s="12"/>
      <c r="CF100" s="13"/>
    </row>
    <row r="101" spans="1:84" ht="12.75" customHeight="1">
      <c r="A101" s="640">
        <v>93</v>
      </c>
      <c r="B101" s="643"/>
      <c r="C101" s="642"/>
      <c r="D101" s="635">
        <v>93</v>
      </c>
      <c r="E101" s="643"/>
      <c r="F101" s="12"/>
      <c r="G101" s="13"/>
      <c r="I101" s="19"/>
      <c r="J101" s="5">
        <f t="shared" si="7"/>
        <v>0.65599999999999992</v>
      </c>
      <c r="K101" s="5">
        <f t="shared" si="5"/>
        <v>6.5232000000000001</v>
      </c>
      <c r="L101" s="5">
        <f t="shared" si="8"/>
        <v>2.0680000000000001</v>
      </c>
      <c r="M101" s="5">
        <f t="shared" si="6"/>
        <v>6.5232000000000001</v>
      </c>
      <c r="Q101" s="5">
        <f t="shared" si="9"/>
        <v>10</v>
      </c>
      <c r="R101" s="5">
        <f>IF(Q101="",NA(),COUNTIF(Q101:$Q$293,Q101))</f>
        <v>1</v>
      </c>
      <c r="S101" s="5">
        <f t="shared" si="10"/>
        <v>0</v>
      </c>
      <c r="T101" s="5" t="e">
        <f t="shared" si="32"/>
        <v>#N/A</v>
      </c>
      <c r="U101" s="5">
        <f t="shared" si="11"/>
        <v>16.308</v>
      </c>
      <c r="V101" s="5" t="e">
        <f t="shared" si="12"/>
        <v>#N/A</v>
      </c>
      <c r="W101" s="5">
        <f t="shared" si="13"/>
        <v>16.308</v>
      </c>
      <c r="X101" s="5">
        <v>8</v>
      </c>
      <c r="Y101" s="5">
        <f t="shared" si="14"/>
        <v>16</v>
      </c>
      <c r="Z101" s="5" t="str">
        <f t="shared" si="15"/>
        <v/>
      </c>
      <c r="AA101" s="5">
        <f t="shared" si="33"/>
        <v>11</v>
      </c>
      <c r="AB101" s="5">
        <f t="shared" si="16"/>
        <v>6</v>
      </c>
      <c r="AC101" s="5">
        <f>IF(AB101="",NA(),COUNTIF(AB101:$AB$293,AB101))</f>
        <v>5</v>
      </c>
      <c r="AD101" s="5">
        <f t="shared" si="17"/>
        <v>0.184</v>
      </c>
      <c r="AE101" s="5" t="e">
        <f t="shared" si="34"/>
        <v>#N/A</v>
      </c>
      <c r="AF101" s="5">
        <f t="shared" si="18"/>
        <v>9.7848000000000006</v>
      </c>
      <c r="AG101" s="5" t="e">
        <f t="shared" si="19"/>
        <v>#N/A</v>
      </c>
      <c r="AH101" s="5">
        <f t="shared" si="20"/>
        <v>9.7848000000000006</v>
      </c>
      <c r="AI101" s="5">
        <f t="shared" si="21"/>
        <v>10</v>
      </c>
      <c r="AJ101" s="5" t="str">
        <f t="shared" si="22"/>
        <v/>
      </c>
      <c r="AK101" s="5">
        <f t="shared" si="23"/>
        <v>10</v>
      </c>
      <c r="AN101" s="62" t="s">
        <v>291</v>
      </c>
      <c r="AO101" s="5" t="e">
        <f>IF(AND($K$12&lt;&gt;"",$AQ$96=2,AO95),$K$12,NA())</f>
        <v>#N/A</v>
      </c>
      <c r="AP101" s="5" t="e">
        <f>IF(AND($M$12&lt;&gt;"",$AQ$96=2,AO96),$M$12,NA())</f>
        <v>#N/A</v>
      </c>
      <c r="AR101" s="62" t="s">
        <v>1256</v>
      </c>
      <c r="AS101" s="5">
        <f>ROUNDUP(AS99/AS100,0)</f>
        <v>2</v>
      </c>
      <c r="AU101" s="67" t="s">
        <v>288</v>
      </c>
      <c r="AV101" s="68"/>
      <c r="AW101" s="91" t="s">
        <v>289</v>
      </c>
      <c r="AX101" s="5">
        <f t="shared" si="35"/>
        <v>16</v>
      </c>
      <c r="AY101" s="5">
        <f t="shared" si="24"/>
        <v>16</v>
      </c>
      <c r="AZ101" s="5">
        <f t="shared" si="25"/>
        <v>16.308</v>
      </c>
      <c r="BA101" s="5">
        <f t="shared" si="26"/>
        <v>10</v>
      </c>
      <c r="BB101" s="5">
        <f>IF(BA101="",NA(),COUNTIF(BA101:$BA$193,BA101))</f>
        <v>1</v>
      </c>
      <c r="BC101" s="5">
        <f t="shared" si="27"/>
        <v>0</v>
      </c>
      <c r="BD101" s="5">
        <f t="shared" si="36"/>
        <v>10</v>
      </c>
      <c r="BE101" s="5">
        <f t="shared" si="28"/>
        <v>10</v>
      </c>
      <c r="BF101" s="5">
        <f t="shared" si="29"/>
        <v>9.7848000000000006</v>
      </c>
      <c r="BG101" s="5">
        <f t="shared" si="30"/>
        <v>6</v>
      </c>
      <c r="BH101" s="5">
        <f>IF(BG101="",NA(),COUNTIF(BG101:$BG$193,BG101))</f>
        <v>5</v>
      </c>
      <c r="BI101" s="5">
        <f t="shared" si="31"/>
        <v>0.184</v>
      </c>
      <c r="BJ101" s="640">
        <v>93</v>
      </c>
      <c r="BK101" s="643"/>
      <c r="BL101" s="642"/>
      <c r="BM101" s="635">
        <v>93</v>
      </c>
      <c r="BN101" s="643"/>
      <c r="BO101" s="12"/>
      <c r="BP101" s="13"/>
      <c r="BR101" s="640">
        <v>93</v>
      </c>
      <c r="BS101" s="643"/>
      <c r="BT101" s="642"/>
      <c r="BU101" s="635">
        <v>93</v>
      </c>
      <c r="BV101" s="643"/>
      <c r="BW101" s="12"/>
      <c r="BX101" s="13"/>
      <c r="BZ101" s="640">
        <v>93</v>
      </c>
      <c r="CA101" s="643"/>
      <c r="CB101" s="642"/>
      <c r="CC101" s="635">
        <v>93</v>
      </c>
      <c r="CD101" s="643">
        <v>6.25</v>
      </c>
      <c r="CE101" s="12"/>
      <c r="CF101" s="13"/>
    </row>
    <row r="102" spans="1:84" ht="12.75" customHeight="1">
      <c r="A102" s="640">
        <v>94</v>
      </c>
      <c r="B102" s="643"/>
      <c r="C102" s="642"/>
      <c r="D102" s="635">
        <v>94</v>
      </c>
      <c r="E102" s="643"/>
      <c r="F102" s="12"/>
      <c r="G102" s="13"/>
      <c r="H102" s="19"/>
      <c r="J102" s="5">
        <f t="shared" si="7"/>
        <v>0.70199999999999996</v>
      </c>
      <c r="K102" s="5">
        <f t="shared" si="5"/>
        <v>6.5232000000000001</v>
      </c>
      <c r="L102" s="5">
        <f t="shared" si="8"/>
        <v>2.206</v>
      </c>
      <c r="M102" s="5">
        <f t="shared" si="6"/>
        <v>4.8924000000000003</v>
      </c>
      <c r="Q102" s="5">
        <f t="shared" si="9"/>
        <v>9</v>
      </c>
      <c r="R102" s="5">
        <f>IF(Q102="",NA(),COUNTIF(Q102:$Q$293,Q102))</f>
        <v>1</v>
      </c>
      <c r="S102" s="5">
        <f t="shared" si="10"/>
        <v>0</v>
      </c>
      <c r="T102" s="5" t="e">
        <f t="shared" si="32"/>
        <v>#N/A</v>
      </c>
      <c r="U102" s="5">
        <f t="shared" si="11"/>
        <v>14.677200000000001</v>
      </c>
      <c r="V102" s="5" t="e">
        <f t="shared" si="12"/>
        <v>#N/A</v>
      </c>
      <c r="W102" s="5">
        <f t="shared" si="13"/>
        <v>14.677200000000001</v>
      </c>
      <c r="X102" s="5">
        <v>9</v>
      </c>
      <c r="Y102" s="5">
        <f t="shared" si="14"/>
        <v>15</v>
      </c>
      <c r="Z102" s="5" t="str">
        <f t="shared" si="15"/>
        <v/>
      </c>
      <c r="AA102" s="5">
        <f t="shared" si="33"/>
        <v>11</v>
      </c>
      <c r="AB102" s="5">
        <f t="shared" si="16"/>
        <v>6</v>
      </c>
      <c r="AC102" s="5">
        <f>IF(AB102="",NA(),COUNTIF(AB102:$AB$293,AB102))</f>
        <v>4</v>
      </c>
      <c r="AD102" s="5">
        <f t="shared" si="17"/>
        <v>0.13800000000000001</v>
      </c>
      <c r="AE102" s="5" t="e">
        <f t="shared" si="34"/>
        <v>#N/A</v>
      </c>
      <c r="AF102" s="5" t="e">
        <f t="shared" si="18"/>
        <v>#N/A</v>
      </c>
      <c r="AG102" s="5">
        <f t="shared" si="19"/>
        <v>9.7848000000000006</v>
      </c>
      <c r="AH102" s="5">
        <f t="shared" si="20"/>
        <v>9.7848000000000006</v>
      </c>
      <c r="AI102" s="5">
        <f t="shared" si="21"/>
        <v>10</v>
      </c>
      <c r="AJ102" s="5">
        <f t="shared" si="22"/>
        <v>10</v>
      </c>
      <c r="AK102" s="5">
        <f t="shared" si="23"/>
        <v>10</v>
      </c>
      <c r="AN102" s="62" t="s">
        <v>293</v>
      </c>
      <c r="AO102" s="5">
        <f>IF(AND(NOT($AC$91),$K$12&lt;&gt;"",$AQ$94,AO95),$K$12,NA())</f>
        <v>11.549019607843137</v>
      </c>
      <c r="AP102" s="5">
        <f>IF(AND(NOT($AC$91),$M$12&lt;&gt;"",$AQ$94,AO96),$M$12,NA())</f>
        <v>7.0909090909090908</v>
      </c>
      <c r="AR102" s="62" t="s">
        <v>1257</v>
      </c>
      <c r="AS102" s="5">
        <f>CHOOSE(AS101,10,5,5,2,2,2,2,1,1,1)</f>
        <v>5</v>
      </c>
      <c r="AU102" s="67">
        <f>IF(AND(NOT($AC$91),AQ94,AW103),2.7,NA())</f>
        <v>2.7</v>
      </c>
      <c r="AV102" s="68">
        <f>AV99</f>
        <v>7.0909090909090908</v>
      </c>
      <c r="AW102" s="91">
        <f>IF(AQ97=1,AO113,AO123)</f>
        <v>7.7129901334298863</v>
      </c>
      <c r="AX102" s="5">
        <f t="shared" si="35"/>
        <v>15</v>
      </c>
      <c r="AY102" s="5">
        <f t="shared" si="24"/>
        <v>15</v>
      </c>
      <c r="AZ102" s="5">
        <f t="shared" si="25"/>
        <v>14.677200000000001</v>
      </c>
      <c r="BA102" s="5">
        <f t="shared" si="26"/>
        <v>9</v>
      </c>
      <c r="BB102" s="5">
        <f>IF(BA102="",NA(),COUNTIF(BA102:$BA$193,BA102))</f>
        <v>1</v>
      </c>
      <c r="BC102" s="5">
        <f t="shared" si="27"/>
        <v>0</v>
      </c>
      <c r="BD102" s="5">
        <f t="shared" si="36"/>
        <v>10</v>
      </c>
      <c r="BE102" s="5">
        <f t="shared" si="28"/>
        <v>10</v>
      </c>
      <c r="BF102" s="5">
        <f t="shared" si="29"/>
        <v>9.7848000000000006</v>
      </c>
      <c r="BG102" s="5">
        <f t="shared" si="30"/>
        <v>6</v>
      </c>
      <c r="BH102" s="5">
        <f>IF(BG102="",NA(),COUNTIF(BG102:$BG$193,BG102))</f>
        <v>4</v>
      </c>
      <c r="BI102" s="5">
        <f t="shared" si="31"/>
        <v>0.13800000000000001</v>
      </c>
      <c r="BJ102" s="640">
        <v>94</v>
      </c>
      <c r="BK102" s="643"/>
      <c r="BL102" s="642"/>
      <c r="BM102" s="635">
        <v>94</v>
      </c>
      <c r="BN102" s="643"/>
      <c r="BO102" s="12"/>
      <c r="BP102" s="13"/>
      <c r="BR102" s="640">
        <v>94</v>
      </c>
      <c r="BS102" s="643"/>
      <c r="BT102" s="642"/>
      <c r="BU102" s="635">
        <v>94</v>
      </c>
      <c r="BV102" s="643"/>
      <c r="BW102" s="12"/>
      <c r="BX102" s="13"/>
      <c r="BZ102" s="640">
        <v>94</v>
      </c>
      <c r="CA102" s="643"/>
      <c r="CB102" s="642"/>
      <c r="CC102" s="635">
        <v>94</v>
      </c>
      <c r="CD102" s="643">
        <v>9.4499999999999993</v>
      </c>
      <c r="CE102" s="12"/>
      <c r="CF102" s="13"/>
    </row>
    <row r="103" spans="1:84" ht="12.75" customHeight="1">
      <c r="A103" s="640">
        <v>95</v>
      </c>
      <c r="B103" s="643"/>
      <c r="C103" s="642"/>
      <c r="D103" s="635">
        <v>95</v>
      </c>
      <c r="E103" s="643"/>
      <c r="F103" s="12"/>
      <c r="G103" s="13"/>
      <c r="I103" s="19"/>
      <c r="J103" s="5">
        <f t="shared" si="7"/>
        <v>0.748</v>
      </c>
      <c r="K103" s="5">
        <f t="shared" si="5"/>
        <v>6.5232000000000001</v>
      </c>
      <c r="L103" s="5">
        <f t="shared" si="8"/>
        <v>2.1599999999999997</v>
      </c>
      <c r="M103" s="5">
        <f t="shared" si="6"/>
        <v>4.8924000000000003</v>
      </c>
      <c r="Q103" s="5">
        <f t="shared" si="9"/>
        <v>8</v>
      </c>
      <c r="R103" s="5">
        <f>IF(Q103="",NA(),COUNTIF(Q103:$Q$293,Q103))</f>
        <v>1</v>
      </c>
      <c r="S103" s="5">
        <f t="shared" si="10"/>
        <v>0</v>
      </c>
      <c r="T103" s="5" t="e">
        <f t="shared" si="32"/>
        <v>#N/A</v>
      </c>
      <c r="U103" s="5">
        <f t="shared" si="11"/>
        <v>13.0464</v>
      </c>
      <c r="V103" s="5" t="e">
        <f t="shared" si="12"/>
        <v>#N/A</v>
      </c>
      <c r="W103" s="5">
        <f t="shared" si="13"/>
        <v>13.0464</v>
      </c>
      <c r="X103" s="5">
        <v>10</v>
      </c>
      <c r="Y103" s="5">
        <f t="shared" si="14"/>
        <v>13</v>
      </c>
      <c r="Z103" s="5" t="str">
        <f t="shared" si="15"/>
        <v/>
      </c>
      <c r="AA103" s="5">
        <f t="shared" si="33"/>
        <v>11</v>
      </c>
      <c r="AB103" s="5">
        <f t="shared" si="16"/>
        <v>6</v>
      </c>
      <c r="AC103" s="5">
        <f>IF(AB103="",NA(),COUNTIF(AB103:$AB$293,AB103))</f>
        <v>3</v>
      </c>
      <c r="AD103" s="5">
        <f t="shared" si="17"/>
        <v>9.1999999999999998E-2</v>
      </c>
      <c r="AE103" s="5" t="e">
        <f t="shared" si="34"/>
        <v>#N/A</v>
      </c>
      <c r="AF103" s="5" t="e">
        <f t="shared" si="18"/>
        <v>#N/A</v>
      </c>
      <c r="AG103" s="5">
        <f t="shared" si="19"/>
        <v>9.7848000000000006</v>
      </c>
      <c r="AH103" s="5">
        <f t="shared" si="20"/>
        <v>9.7848000000000006</v>
      </c>
      <c r="AI103" s="5">
        <f t="shared" si="21"/>
        <v>10</v>
      </c>
      <c r="AJ103" s="5">
        <f t="shared" si="22"/>
        <v>10</v>
      </c>
      <c r="AK103" s="5">
        <f t="shared" si="23"/>
        <v>10</v>
      </c>
      <c r="AN103" s="62" t="s">
        <v>294</v>
      </c>
      <c r="AO103" s="675">
        <f>K15</f>
        <v>6.8622216909807561</v>
      </c>
      <c r="AP103" s="676">
        <f>M15</f>
        <v>2.6937474421913334</v>
      </c>
      <c r="AR103" s="62" t="s">
        <v>1258</v>
      </c>
      <c r="AS103" s="5">
        <f>AS100/AS102</f>
        <v>2</v>
      </c>
      <c r="AU103" s="69"/>
      <c r="AV103" s="261" t="s">
        <v>292</v>
      </c>
      <c r="AW103" s="97" t="b">
        <f>AND(K12&lt;&gt;"",M12&lt;&gt;"",AO95,AO96)</f>
        <v>1</v>
      </c>
      <c r="AX103" s="5">
        <f t="shared" si="35"/>
        <v>13</v>
      </c>
      <c r="AY103" s="5">
        <f t="shared" si="24"/>
        <v>13</v>
      </c>
      <c r="AZ103" s="5">
        <f t="shared" si="25"/>
        <v>13.0464</v>
      </c>
      <c r="BA103" s="5">
        <f t="shared" si="26"/>
        <v>8</v>
      </c>
      <c r="BB103" s="5">
        <f>IF(BA103="",NA(),COUNTIF(BA103:$BA$193,BA103))</f>
        <v>1</v>
      </c>
      <c r="BC103" s="5">
        <f t="shared" si="27"/>
        <v>0</v>
      </c>
      <c r="BD103" s="5">
        <f t="shared" si="36"/>
        <v>10</v>
      </c>
      <c r="BE103" s="5">
        <f t="shared" si="28"/>
        <v>10</v>
      </c>
      <c r="BF103" s="5">
        <f t="shared" si="29"/>
        <v>9.7848000000000006</v>
      </c>
      <c r="BG103" s="5">
        <f t="shared" si="30"/>
        <v>6</v>
      </c>
      <c r="BH103" s="5">
        <f>IF(BG103="",NA(),COUNTIF(BG103:$BG$193,BG103))</f>
        <v>3</v>
      </c>
      <c r="BI103" s="5">
        <f t="shared" si="31"/>
        <v>9.1999999999999998E-2</v>
      </c>
      <c r="BJ103" s="640">
        <v>95</v>
      </c>
      <c r="BK103" s="643"/>
      <c r="BL103" s="642"/>
      <c r="BM103" s="635">
        <v>95</v>
      </c>
      <c r="BN103" s="643"/>
      <c r="BO103" s="12"/>
      <c r="BP103" s="13"/>
      <c r="BR103" s="640">
        <v>95</v>
      </c>
      <c r="BS103" s="643"/>
      <c r="BT103" s="642"/>
      <c r="BU103" s="635">
        <v>95</v>
      </c>
      <c r="BV103" s="643"/>
      <c r="BW103" s="12"/>
      <c r="BX103" s="13"/>
      <c r="BZ103" s="640">
        <v>95</v>
      </c>
      <c r="CA103" s="643"/>
      <c r="CB103" s="642"/>
      <c r="CC103" s="635">
        <v>95</v>
      </c>
      <c r="CD103" s="643">
        <v>13.39</v>
      </c>
      <c r="CE103" s="12"/>
      <c r="CF103" s="13"/>
    </row>
    <row r="104" spans="1:84" ht="12.75" customHeight="1">
      <c r="A104" s="640">
        <v>96</v>
      </c>
      <c r="B104" s="643"/>
      <c r="C104" s="642"/>
      <c r="D104" s="635">
        <v>96</v>
      </c>
      <c r="E104" s="643"/>
      <c r="F104" s="12"/>
      <c r="G104" s="13"/>
      <c r="H104" s="19"/>
      <c r="J104" s="5">
        <f t="shared" si="7"/>
        <v>0.79399999999999993</v>
      </c>
      <c r="K104" s="5">
        <f t="shared" si="5"/>
        <v>6.5232000000000001</v>
      </c>
      <c r="L104" s="5">
        <f t="shared" si="8"/>
        <v>2.1139999999999999</v>
      </c>
      <c r="M104" s="5">
        <f t="shared" si="6"/>
        <v>4.8924000000000003</v>
      </c>
      <c r="Q104" s="5">
        <f t="shared" si="9"/>
        <v>7</v>
      </c>
      <c r="R104" s="5">
        <f>IF(Q104="",NA(),COUNTIF(Q104:$Q$293,Q104))</f>
        <v>1</v>
      </c>
      <c r="S104" s="5">
        <f t="shared" si="10"/>
        <v>0</v>
      </c>
      <c r="T104" s="5" t="e">
        <f t="shared" si="32"/>
        <v>#N/A</v>
      </c>
      <c r="U104" s="5" t="e">
        <f t="shared" si="11"/>
        <v>#N/A</v>
      </c>
      <c r="V104" s="5">
        <f t="shared" si="12"/>
        <v>11.4156</v>
      </c>
      <c r="W104" s="5">
        <f t="shared" si="13"/>
        <v>11.4156</v>
      </c>
      <c r="X104" s="5">
        <v>11</v>
      </c>
      <c r="Y104" s="5">
        <f t="shared" si="14"/>
        <v>11</v>
      </c>
      <c r="Z104" s="5">
        <f t="shared" si="15"/>
        <v>11</v>
      </c>
      <c r="AA104" s="5">
        <f t="shared" si="33"/>
        <v>11</v>
      </c>
      <c r="AB104" s="5">
        <f t="shared" si="16"/>
        <v>6</v>
      </c>
      <c r="AC104" s="5">
        <f>IF(AB104="",NA(),COUNTIF(AB104:$AB$293,AB104))</f>
        <v>2</v>
      </c>
      <c r="AD104" s="5">
        <f t="shared" si="17"/>
        <v>4.5999999999999999E-2</v>
      </c>
      <c r="AE104" s="5" t="e">
        <f t="shared" si="34"/>
        <v>#N/A</v>
      </c>
      <c r="AF104" s="5" t="e">
        <f t="shared" si="18"/>
        <v>#N/A</v>
      </c>
      <c r="AG104" s="5">
        <f t="shared" si="19"/>
        <v>9.7848000000000006</v>
      </c>
      <c r="AH104" s="5">
        <f t="shared" si="20"/>
        <v>9.7848000000000006</v>
      </c>
      <c r="AI104" s="5">
        <f t="shared" si="21"/>
        <v>9</v>
      </c>
      <c r="AJ104" s="5">
        <f t="shared" si="22"/>
        <v>9</v>
      </c>
      <c r="AK104" s="5">
        <f t="shared" si="23"/>
        <v>9</v>
      </c>
      <c r="AN104" s="114" t="s">
        <v>295</v>
      </c>
      <c r="AO104" s="677">
        <f>IF(AND($AQ$94,$AQ$95,$K$15&lt;&gt;"",$M$15&lt;&gt;"",AO95,AO96),MIN($K$12+$K$15,$M$12+$M$15),NA())</f>
        <v>9.7846565331004243</v>
      </c>
      <c r="AP104" s="677">
        <f>IF(AND($AQ$94,$AQ$95,$K$15&lt;&gt;"",$M$15&lt;&gt;"",AO95,AO96),MIN($K$12+$K$15,$M$12+$M$15),NA())</f>
        <v>9.7846565331004243</v>
      </c>
      <c r="AQ104" s="93"/>
      <c r="AR104" s="62" t="s">
        <v>1259</v>
      </c>
      <c r="AS104" s="5" t="s">
        <v>1261</v>
      </c>
      <c r="AT104" s="58" t="s">
        <v>1262</v>
      </c>
      <c r="AU104" s="58" t="s">
        <v>1184</v>
      </c>
      <c r="AV104" s="58" t="s">
        <v>1263</v>
      </c>
      <c r="AX104" s="5">
        <f t="shared" si="35"/>
        <v>11</v>
      </c>
      <c r="AY104" s="5">
        <f t="shared" si="24"/>
        <v>11</v>
      </c>
      <c r="AZ104" s="5">
        <f t="shared" si="25"/>
        <v>11.4156</v>
      </c>
      <c r="BA104" s="5">
        <f t="shared" si="26"/>
        <v>7</v>
      </c>
      <c r="BB104" s="5">
        <f>IF(BA104="",NA(),COUNTIF(BA104:$BA$193,BA104))</f>
        <v>1</v>
      </c>
      <c r="BC104" s="5">
        <f t="shared" si="27"/>
        <v>0</v>
      </c>
      <c r="BD104" s="5">
        <f t="shared" si="36"/>
        <v>9</v>
      </c>
      <c r="BE104" s="5">
        <f t="shared" si="28"/>
        <v>9</v>
      </c>
      <c r="BF104" s="5">
        <f t="shared" si="29"/>
        <v>9.7848000000000006</v>
      </c>
      <c r="BG104" s="5">
        <f t="shared" si="30"/>
        <v>6</v>
      </c>
      <c r="BH104" s="5">
        <f>IF(BG104="",NA(),COUNTIF(BG104:$BG$193,BG104))</f>
        <v>2</v>
      </c>
      <c r="BI104" s="5">
        <f t="shared" si="31"/>
        <v>4.5999999999999999E-2</v>
      </c>
      <c r="BJ104" s="640">
        <v>96</v>
      </c>
      <c r="BK104" s="643"/>
      <c r="BL104" s="642"/>
      <c r="BM104" s="635">
        <v>96</v>
      </c>
      <c r="BN104" s="643"/>
      <c r="BO104" s="12"/>
      <c r="BP104" s="13"/>
      <c r="BR104" s="640">
        <v>96</v>
      </c>
      <c r="BS104" s="643"/>
      <c r="BT104" s="642"/>
      <c r="BU104" s="635">
        <v>96</v>
      </c>
      <c r="BV104" s="643"/>
      <c r="BW104" s="12"/>
      <c r="BX104" s="13"/>
      <c r="BZ104" s="640">
        <v>96</v>
      </c>
      <c r="CA104" s="643"/>
      <c r="CB104" s="642"/>
      <c r="CC104" s="635">
        <v>96</v>
      </c>
      <c r="CD104" s="643">
        <v>4.07</v>
      </c>
      <c r="CE104" s="12"/>
      <c r="CF104" s="13"/>
    </row>
    <row r="105" spans="1:84" ht="12.75" customHeight="1">
      <c r="A105" s="640">
        <v>97</v>
      </c>
      <c r="B105" s="643"/>
      <c r="C105" s="642"/>
      <c r="D105" s="635">
        <v>97</v>
      </c>
      <c r="E105" s="643"/>
      <c r="F105" s="12"/>
      <c r="G105" s="13"/>
      <c r="I105" s="19"/>
      <c r="J105" s="5">
        <f t="shared" si="7"/>
        <v>0.84</v>
      </c>
      <c r="K105" s="5">
        <f t="shared" si="5"/>
        <v>6.5232000000000001</v>
      </c>
      <c r="L105" s="5">
        <f t="shared" si="8"/>
        <v>2.0680000000000001</v>
      </c>
      <c r="M105" s="5">
        <f t="shared" si="6"/>
        <v>4.8924000000000003</v>
      </c>
      <c r="Q105" s="5">
        <f t="shared" si="9"/>
        <v>6</v>
      </c>
      <c r="R105" s="5">
        <f>IF(Q105="",NA(),COUNTIF(Q105:$Q$293,Q105))</f>
        <v>2</v>
      </c>
      <c r="S105" s="5">
        <f t="shared" si="10"/>
        <v>4.5999999999999999E-2</v>
      </c>
      <c r="T105" s="5" t="e">
        <f t="shared" si="32"/>
        <v>#N/A</v>
      </c>
      <c r="U105" s="5" t="e">
        <f t="shared" si="11"/>
        <v>#N/A</v>
      </c>
      <c r="V105" s="5">
        <f t="shared" si="12"/>
        <v>9.7848000000000006</v>
      </c>
      <c r="W105" s="5">
        <f t="shared" si="13"/>
        <v>9.7848000000000006</v>
      </c>
      <c r="X105" s="5">
        <v>12</v>
      </c>
      <c r="Y105" s="5">
        <f t="shared" si="14"/>
        <v>9</v>
      </c>
      <c r="Z105" s="5">
        <f t="shared" si="15"/>
        <v>9</v>
      </c>
      <c r="AA105" s="5">
        <f t="shared" si="33"/>
        <v>9</v>
      </c>
      <c r="AB105" s="5">
        <f t="shared" si="16"/>
        <v>6</v>
      </c>
      <c r="AC105" s="5">
        <f>IF(AB105="",NA(),COUNTIF(AB105:$AB$293,AB105))</f>
        <v>1</v>
      </c>
      <c r="AD105" s="5">
        <f t="shared" si="17"/>
        <v>0</v>
      </c>
      <c r="AE105" s="5" t="e">
        <f t="shared" si="34"/>
        <v>#N/A</v>
      </c>
      <c r="AF105" s="5" t="e">
        <f t="shared" si="18"/>
        <v>#N/A</v>
      </c>
      <c r="AG105" s="5">
        <f t="shared" si="19"/>
        <v>9.7848000000000006</v>
      </c>
      <c r="AH105" s="5">
        <f t="shared" si="20"/>
        <v>9.7848000000000006</v>
      </c>
      <c r="AI105" s="5">
        <f t="shared" si="21"/>
        <v>9</v>
      </c>
      <c r="AJ105" s="5">
        <f t="shared" si="22"/>
        <v>9</v>
      </c>
      <c r="AK105" s="5">
        <f t="shared" si="23"/>
        <v>9</v>
      </c>
      <c r="AN105" s="69"/>
      <c r="AO105" s="678">
        <f>IF(AND($AQ$94,$AQ$95,$K$15&lt;&gt;"",$M$15&lt;&gt;"",AO95,AO96),MAX($K$12-$K$15,$M$12-$M$15),NA())</f>
        <v>4.686797916862381</v>
      </c>
      <c r="AP105" s="678">
        <f>IF(AND($AQ$94,$AQ$95,$K$15&lt;&gt;"",$M$15&lt;&gt;"",AO95,AO96),MAX($K$12-$K$15,$M$12-$M$15),NA())</f>
        <v>4.686797916862381</v>
      </c>
      <c r="AQ105" s="97"/>
      <c r="AR105" s="62">
        <v>10</v>
      </c>
      <c r="AS105" s="5">
        <f t="shared" ref="AS105:AS125" si="37">$AS$103*AR105</f>
        <v>20</v>
      </c>
      <c r="AT105" s="5">
        <f>IF($AC$91,$K$34,$K$12)+$AS$103*AR105</f>
        <v>31.549019607843135</v>
      </c>
      <c r="AU105" s="5">
        <f>IF(AW103,3.1,NA())</f>
        <v>3.1</v>
      </c>
      <c r="AV105" s="5" t="e">
        <f>IF(AND(AT105&lt;=$AO$126,AT105&gt;=$AO$127),AT105,NA())</f>
        <v>#N/A</v>
      </c>
      <c r="AX105" s="5">
        <f t="shared" si="35"/>
        <v>9</v>
      </c>
      <c r="AY105" s="5">
        <f t="shared" si="24"/>
        <v>9</v>
      </c>
      <c r="AZ105" s="5">
        <f t="shared" si="25"/>
        <v>9.7848000000000006</v>
      </c>
      <c r="BA105" s="5">
        <f t="shared" si="26"/>
        <v>6</v>
      </c>
      <c r="BB105" s="5">
        <f>IF(BA105="",NA(),COUNTIF(BA105:$BA$193,BA105))</f>
        <v>2</v>
      </c>
      <c r="BC105" s="5">
        <f t="shared" si="27"/>
        <v>4.5999999999999999E-2</v>
      </c>
      <c r="BD105" s="5">
        <f t="shared" si="36"/>
        <v>9</v>
      </c>
      <c r="BE105" s="5">
        <f t="shared" si="28"/>
        <v>9</v>
      </c>
      <c r="BF105" s="5">
        <f t="shared" si="29"/>
        <v>9.7848000000000006</v>
      </c>
      <c r="BG105" s="5">
        <f t="shared" si="30"/>
        <v>6</v>
      </c>
      <c r="BH105" s="5">
        <f>IF(BG105="",NA(),COUNTIF(BG105:$BG$193,BG105))</f>
        <v>1</v>
      </c>
      <c r="BI105" s="5">
        <f t="shared" si="31"/>
        <v>0</v>
      </c>
      <c r="BJ105" s="640">
        <v>97</v>
      </c>
      <c r="BK105" s="643"/>
      <c r="BL105" s="642"/>
      <c r="BM105" s="635">
        <v>97</v>
      </c>
      <c r="BN105" s="643"/>
      <c r="BO105" s="12"/>
      <c r="BP105" s="13"/>
      <c r="BR105" s="640">
        <v>97</v>
      </c>
      <c r="BS105" s="643"/>
      <c r="BT105" s="642"/>
      <c r="BU105" s="635">
        <v>97</v>
      </c>
      <c r="BV105" s="643"/>
      <c r="BW105" s="12"/>
      <c r="BX105" s="13"/>
      <c r="BZ105" s="640">
        <v>97</v>
      </c>
      <c r="CA105" s="643"/>
      <c r="CB105" s="642"/>
      <c r="CC105" s="635">
        <v>97</v>
      </c>
      <c r="CD105" s="643">
        <v>11.4</v>
      </c>
      <c r="CE105" s="12"/>
      <c r="CF105" s="13"/>
    </row>
    <row r="106" spans="1:84" ht="12.75" customHeight="1">
      <c r="A106" s="640">
        <v>98</v>
      </c>
      <c r="B106" s="643"/>
      <c r="C106" s="642"/>
      <c r="D106" s="635">
        <v>98</v>
      </c>
      <c r="E106" s="643"/>
      <c r="F106" s="12"/>
      <c r="G106" s="13"/>
      <c r="H106" s="19"/>
      <c r="J106" s="5">
        <f t="shared" si="7"/>
        <v>0.88600000000000001</v>
      </c>
      <c r="K106" s="5">
        <f t="shared" si="5"/>
        <v>6.5232000000000001</v>
      </c>
      <c r="L106" s="5">
        <f t="shared" si="8"/>
        <v>2.4359999999999999</v>
      </c>
      <c r="M106" s="5">
        <f t="shared" si="6"/>
        <v>3.2616000000000001</v>
      </c>
      <c r="Q106" s="5">
        <f t="shared" si="9"/>
        <v>6</v>
      </c>
      <c r="R106" s="5">
        <f>IF(Q106="",NA(),COUNTIF(Q106:$Q$293,Q106))</f>
        <v>1</v>
      </c>
      <c r="S106" s="5">
        <f t="shared" si="10"/>
        <v>0</v>
      </c>
      <c r="T106" s="5" t="e">
        <f t="shared" si="32"/>
        <v>#N/A</v>
      </c>
      <c r="U106" s="5" t="e">
        <f t="shared" si="11"/>
        <v>#N/A</v>
      </c>
      <c r="V106" s="5">
        <f t="shared" si="12"/>
        <v>9.7848000000000006</v>
      </c>
      <c r="W106" s="5">
        <f t="shared" si="13"/>
        <v>9.7848000000000006</v>
      </c>
      <c r="X106" s="5">
        <v>13</v>
      </c>
      <c r="Y106" s="5">
        <f t="shared" si="14"/>
        <v>9</v>
      </c>
      <c r="Z106" s="5">
        <f t="shared" si="15"/>
        <v>9</v>
      </c>
      <c r="AA106" s="5">
        <f t="shared" si="33"/>
        <v>9</v>
      </c>
      <c r="AB106" s="5">
        <f t="shared" si="16"/>
        <v>5</v>
      </c>
      <c r="AC106" s="5">
        <f>IF(AB106="",NA(),COUNTIF(AB106:$AB$293,AB106))</f>
        <v>2</v>
      </c>
      <c r="AD106" s="5">
        <f t="shared" si="17"/>
        <v>4.5999999999999999E-2</v>
      </c>
      <c r="AE106" s="5" t="e">
        <f t="shared" si="34"/>
        <v>#N/A</v>
      </c>
      <c r="AF106" s="5" t="e">
        <f t="shared" si="18"/>
        <v>#N/A</v>
      </c>
      <c r="AG106" s="5">
        <f t="shared" si="19"/>
        <v>8.1539999999999999</v>
      </c>
      <c r="AH106" s="5">
        <f t="shared" si="20"/>
        <v>8.1539999999999999</v>
      </c>
      <c r="AI106" s="5">
        <f t="shared" si="21"/>
        <v>8</v>
      </c>
      <c r="AJ106" s="5">
        <f t="shared" si="22"/>
        <v>8</v>
      </c>
      <c r="AK106" s="5">
        <f t="shared" si="23"/>
        <v>8</v>
      </c>
      <c r="AN106" s="114" t="s">
        <v>296</v>
      </c>
      <c r="AO106" s="677">
        <f>MAX(B9:B208,E9:E208,K17,M17)</f>
        <v>151</v>
      </c>
      <c r="AP106" s="663">
        <f>MAX(B9:B208,E9:E208,K17,M17)</f>
        <v>151</v>
      </c>
      <c r="AQ106" s="93"/>
      <c r="AR106" s="62">
        <v>9</v>
      </c>
      <c r="AS106" s="5">
        <f t="shared" si="37"/>
        <v>18</v>
      </c>
      <c r="AT106" s="5">
        <f t="shared" ref="AT106:AT125" si="38">IF($AC$91,$K$34,$K$12)+$AS$103*AR106</f>
        <v>29.549019607843135</v>
      </c>
      <c r="AU106" s="5">
        <f t="shared" ref="AU106:AU125" si="39">IF($AW$103,AU105,NA())</f>
        <v>3.1</v>
      </c>
      <c r="AV106" s="5" t="e">
        <f t="shared" ref="AV106:AV125" si="40">IF(AND(AT106&lt;=$AO$126,AT106&gt;=$AO$127),AT106,NA())</f>
        <v>#N/A</v>
      </c>
      <c r="AX106" s="5">
        <f t="shared" si="35"/>
        <v>9</v>
      </c>
      <c r="AY106" s="5">
        <f t="shared" si="24"/>
        <v>9</v>
      </c>
      <c r="AZ106" s="5">
        <f t="shared" si="25"/>
        <v>9.7848000000000006</v>
      </c>
      <c r="BA106" s="5">
        <f t="shared" si="26"/>
        <v>6</v>
      </c>
      <c r="BB106" s="5">
        <f>IF(BA106="",NA(),COUNTIF(BA106:$BA$193,BA106))</f>
        <v>1</v>
      </c>
      <c r="BC106" s="5">
        <f t="shared" si="27"/>
        <v>0</v>
      </c>
      <c r="BD106" s="5">
        <f t="shared" si="36"/>
        <v>8</v>
      </c>
      <c r="BE106" s="5">
        <f t="shared" si="28"/>
        <v>8</v>
      </c>
      <c r="BF106" s="5">
        <f t="shared" si="29"/>
        <v>8.1539999999999999</v>
      </c>
      <c r="BG106" s="5">
        <f t="shared" si="30"/>
        <v>5</v>
      </c>
      <c r="BH106" s="5">
        <f>IF(BG106="",NA(),COUNTIF(BG106:$BG$193,BG106))</f>
        <v>2</v>
      </c>
      <c r="BI106" s="5">
        <f t="shared" si="31"/>
        <v>4.5999999999999999E-2</v>
      </c>
      <c r="BJ106" s="640">
        <v>98</v>
      </c>
      <c r="BK106" s="643"/>
      <c r="BL106" s="642"/>
      <c r="BM106" s="635">
        <v>98</v>
      </c>
      <c r="BN106" s="643"/>
      <c r="BO106" s="12"/>
      <c r="BP106" s="13"/>
      <c r="BR106" s="640">
        <v>98</v>
      </c>
      <c r="BS106" s="643"/>
      <c r="BT106" s="642"/>
      <c r="BU106" s="635">
        <v>98</v>
      </c>
      <c r="BV106" s="643"/>
      <c r="BW106" s="12"/>
      <c r="BX106" s="13"/>
      <c r="BZ106" s="640">
        <v>98</v>
      </c>
      <c r="CA106" s="643"/>
      <c r="CB106" s="642"/>
      <c r="CC106" s="635">
        <v>98</v>
      </c>
      <c r="CD106" s="643">
        <v>11.51</v>
      </c>
      <c r="CE106" s="12"/>
      <c r="CF106" s="13"/>
    </row>
    <row r="107" spans="1:84" ht="12.75" customHeight="1">
      <c r="A107" s="640">
        <v>99</v>
      </c>
      <c r="B107" s="643"/>
      <c r="C107" s="642"/>
      <c r="D107" s="635">
        <v>99</v>
      </c>
      <c r="E107" s="643"/>
      <c r="F107" s="12"/>
      <c r="G107" s="13"/>
      <c r="I107" s="19"/>
      <c r="J107" s="5">
        <f t="shared" si="7"/>
        <v>0.93199999999999994</v>
      </c>
      <c r="K107" s="5">
        <f t="shared" si="5"/>
        <v>6.5232000000000001</v>
      </c>
      <c r="L107" s="5">
        <f t="shared" si="8"/>
        <v>2.3899999999999997</v>
      </c>
      <c r="M107" s="5">
        <f t="shared" si="6"/>
        <v>3.2616000000000001</v>
      </c>
      <c r="Q107" s="5">
        <f t="shared" si="9"/>
        <v>5</v>
      </c>
      <c r="R107" s="5">
        <f>IF(Q107="",NA(),COUNTIF(Q107:$Q$293,Q107))</f>
        <v>2</v>
      </c>
      <c r="S107" s="5">
        <f t="shared" si="10"/>
        <v>4.5999999999999999E-2</v>
      </c>
      <c r="T107" s="5" t="e">
        <f t="shared" si="32"/>
        <v>#N/A</v>
      </c>
      <c r="U107" s="5" t="e">
        <f t="shared" si="11"/>
        <v>#N/A</v>
      </c>
      <c r="V107" s="5">
        <f t="shared" si="12"/>
        <v>8.1539999999999999</v>
      </c>
      <c r="W107" s="5">
        <f t="shared" si="13"/>
        <v>8.1539999999999999</v>
      </c>
      <c r="X107" s="5">
        <v>14</v>
      </c>
      <c r="Y107" s="5">
        <f t="shared" si="14"/>
        <v>8</v>
      </c>
      <c r="Z107" s="5">
        <f t="shared" si="15"/>
        <v>8</v>
      </c>
      <c r="AA107" s="5">
        <f t="shared" si="33"/>
        <v>8</v>
      </c>
      <c r="AB107" s="5">
        <f t="shared" si="16"/>
        <v>5</v>
      </c>
      <c r="AC107" s="5">
        <f>IF(AB107="",NA(),COUNTIF(AB107:$AB$293,AB107))</f>
        <v>1</v>
      </c>
      <c r="AD107" s="5">
        <f t="shared" si="17"/>
        <v>0</v>
      </c>
      <c r="AE107" s="5" t="e">
        <f t="shared" si="34"/>
        <v>#N/A</v>
      </c>
      <c r="AF107" s="5" t="e">
        <f t="shared" si="18"/>
        <v>#N/A</v>
      </c>
      <c r="AG107" s="5">
        <f t="shared" si="19"/>
        <v>8.1539999999999999</v>
      </c>
      <c r="AH107" s="5">
        <f t="shared" si="20"/>
        <v>8.1539999999999999</v>
      </c>
      <c r="AI107" s="5">
        <f t="shared" si="21"/>
        <v>8</v>
      </c>
      <c r="AJ107" s="5">
        <f t="shared" si="22"/>
        <v>8</v>
      </c>
      <c r="AK107" s="5">
        <f t="shared" si="23"/>
        <v>8</v>
      </c>
      <c r="AN107" s="260" t="s">
        <v>297</v>
      </c>
      <c r="AO107" s="68">
        <f>MIN(B9:B208,E9:E208,K16,M16)</f>
        <v>0</v>
      </c>
      <c r="AP107" s="68">
        <f>MIN(B9:B208,E9:E208,K16,M16)</f>
        <v>0</v>
      </c>
      <c r="AQ107" s="91"/>
      <c r="AR107" s="62">
        <v>8</v>
      </c>
      <c r="AS107" s="5">
        <f t="shared" si="37"/>
        <v>16</v>
      </c>
      <c r="AT107" s="5">
        <f t="shared" si="38"/>
        <v>27.549019607843135</v>
      </c>
      <c r="AU107" s="5">
        <f t="shared" si="39"/>
        <v>3.1</v>
      </c>
      <c r="AV107" s="5" t="e">
        <f t="shared" si="40"/>
        <v>#N/A</v>
      </c>
      <c r="AX107" s="5">
        <f t="shared" si="35"/>
        <v>8</v>
      </c>
      <c r="AY107" s="5">
        <f t="shared" si="24"/>
        <v>8</v>
      </c>
      <c r="AZ107" s="5">
        <f t="shared" si="25"/>
        <v>8.1539999999999999</v>
      </c>
      <c r="BA107" s="5">
        <f t="shared" si="26"/>
        <v>5</v>
      </c>
      <c r="BB107" s="5">
        <f>IF(BA107="",NA(),COUNTIF(BA107:$BA$193,BA107))</f>
        <v>2</v>
      </c>
      <c r="BC107" s="5">
        <f t="shared" si="27"/>
        <v>4.5999999999999999E-2</v>
      </c>
      <c r="BD107" s="5">
        <f t="shared" si="36"/>
        <v>8</v>
      </c>
      <c r="BE107" s="5">
        <f t="shared" si="28"/>
        <v>8</v>
      </c>
      <c r="BF107" s="5">
        <f t="shared" si="29"/>
        <v>8.1539999999999999</v>
      </c>
      <c r="BG107" s="5">
        <f t="shared" si="30"/>
        <v>5</v>
      </c>
      <c r="BH107" s="5">
        <f>IF(BG107="",NA(),COUNTIF(BG107:$BG$193,BG107))</f>
        <v>1</v>
      </c>
      <c r="BI107" s="5">
        <f t="shared" si="31"/>
        <v>0</v>
      </c>
      <c r="BJ107" s="640">
        <v>99</v>
      </c>
      <c r="BK107" s="643"/>
      <c r="BL107" s="642"/>
      <c r="BM107" s="635">
        <v>99</v>
      </c>
      <c r="BN107" s="643"/>
      <c r="BO107" s="12"/>
      <c r="BP107" s="13"/>
      <c r="BR107" s="640">
        <v>99</v>
      </c>
      <c r="BS107" s="643"/>
      <c r="BT107" s="642"/>
      <c r="BU107" s="635">
        <v>99</v>
      </c>
      <c r="BV107" s="643"/>
      <c r="BW107" s="12"/>
      <c r="BX107" s="13"/>
      <c r="BZ107" s="640">
        <v>99</v>
      </c>
      <c r="CA107" s="643"/>
      <c r="CB107" s="642"/>
      <c r="CC107" s="635">
        <v>99</v>
      </c>
      <c r="CD107" s="643">
        <v>12.88</v>
      </c>
      <c r="CE107" s="12"/>
      <c r="CF107" s="13"/>
    </row>
    <row r="108" spans="1:84" ht="12.75" customHeight="1">
      <c r="A108" s="640">
        <v>100</v>
      </c>
      <c r="B108" s="643"/>
      <c r="C108" s="642"/>
      <c r="D108" s="635">
        <v>100</v>
      </c>
      <c r="E108" s="643"/>
      <c r="F108" s="87"/>
      <c r="G108" s="13"/>
      <c r="H108" s="19"/>
      <c r="J108" s="5">
        <f t="shared" si="7"/>
        <v>0.84</v>
      </c>
      <c r="K108" s="5">
        <f t="shared" si="5"/>
        <v>4.8924000000000003</v>
      </c>
      <c r="L108" s="5">
        <f t="shared" si="8"/>
        <v>2.3439999999999999</v>
      </c>
      <c r="M108" s="5">
        <f t="shared" si="6"/>
        <v>3.2616000000000001</v>
      </c>
      <c r="Q108" s="5">
        <f t="shared" si="9"/>
        <v>5</v>
      </c>
      <c r="R108" s="5">
        <f>IF(Q108="",NA(),COUNTIF(Q108:$Q$293,Q108))</f>
        <v>1</v>
      </c>
      <c r="S108" s="5">
        <f t="shared" si="10"/>
        <v>0</v>
      </c>
      <c r="T108" s="5" t="e">
        <f t="shared" si="32"/>
        <v>#N/A</v>
      </c>
      <c r="U108" s="5" t="e">
        <f t="shared" si="11"/>
        <v>#N/A</v>
      </c>
      <c r="V108" s="5">
        <f t="shared" si="12"/>
        <v>8.1539999999999999</v>
      </c>
      <c r="W108" s="5">
        <f t="shared" si="13"/>
        <v>8.1539999999999999</v>
      </c>
      <c r="X108" s="5">
        <v>15</v>
      </c>
      <c r="Y108" s="5">
        <f t="shared" si="14"/>
        <v>8</v>
      </c>
      <c r="Z108" s="5">
        <f t="shared" si="15"/>
        <v>8</v>
      </c>
      <c r="AA108" s="5">
        <f t="shared" si="33"/>
        <v>8</v>
      </c>
      <c r="AB108" s="5">
        <f t="shared" si="16"/>
        <v>4</v>
      </c>
      <c r="AC108" s="5">
        <f>IF(AB108="",NA(),COUNTIF(AB108:$AB$293,AB108))</f>
        <v>4</v>
      </c>
      <c r="AD108" s="5">
        <f t="shared" si="17"/>
        <v>0.13800000000000001</v>
      </c>
      <c r="AE108" s="5" t="e">
        <f t="shared" si="34"/>
        <v>#N/A</v>
      </c>
      <c r="AF108" s="5" t="e">
        <f t="shared" si="18"/>
        <v>#N/A</v>
      </c>
      <c r="AG108" s="5">
        <f t="shared" si="19"/>
        <v>6.5232000000000001</v>
      </c>
      <c r="AH108" s="5">
        <f t="shared" si="20"/>
        <v>6.5232000000000001</v>
      </c>
      <c r="AI108" s="5">
        <f t="shared" si="21"/>
        <v>7</v>
      </c>
      <c r="AJ108" s="5">
        <f t="shared" si="22"/>
        <v>7</v>
      </c>
      <c r="AK108" s="5">
        <f t="shared" si="23"/>
        <v>7</v>
      </c>
      <c r="AN108" s="69"/>
      <c r="AO108" s="70"/>
      <c r="AP108" s="261" t="s">
        <v>298</v>
      </c>
      <c r="AQ108" s="97"/>
      <c r="AR108" s="62">
        <v>7</v>
      </c>
      <c r="AS108" s="5">
        <f t="shared" si="37"/>
        <v>14</v>
      </c>
      <c r="AT108" s="5">
        <f t="shared" si="38"/>
        <v>25.549019607843135</v>
      </c>
      <c r="AU108" s="5">
        <f t="shared" si="39"/>
        <v>3.1</v>
      </c>
      <c r="AV108" s="5" t="e">
        <f t="shared" si="40"/>
        <v>#N/A</v>
      </c>
      <c r="AX108" s="5">
        <f t="shared" si="35"/>
        <v>8</v>
      </c>
      <c r="AY108" s="5">
        <f t="shared" si="24"/>
        <v>8</v>
      </c>
      <c r="AZ108" s="5">
        <f t="shared" si="25"/>
        <v>8.1539999999999999</v>
      </c>
      <c r="BA108" s="5">
        <f t="shared" si="26"/>
        <v>5</v>
      </c>
      <c r="BB108" s="5">
        <f>IF(BA108="",NA(),COUNTIF(BA108:$BA$193,BA108))</f>
        <v>1</v>
      </c>
      <c r="BC108" s="5">
        <f t="shared" si="27"/>
        <v>0</v>
      </c>
      <c r="BD108" s="5">
        <f t="shared" si="36"/>
        <v>7</v>
      </c>
      <c r="BE108" s="5">
        <f t="shared" si="28"/>
        <v>7</v>
      </c>
      <c r="BF108" s="5">
        <f t="shared" si="29"/>
        <v>6.5232000000000001</v>
      </c>
      <c r="BG108" s="5">
        <f t="shared" si="30"/>
        <v>4</v>
      </c>
      <c r="BH108" s="5">
        <f>IF(BG108="",NA(),COUNTIF(BG108:$BG$193,BG108))</f>
        <v>4</v>
      </c>
      <c r="BI108" s="5">
        <f t="shared" si="31"/>
        <v>0.13800000000000001</v>
      </c>
      <c r="BJ108" s="640">
        <v>100</v>
      </c>
      <c r="BK108" s="643"/>
      <c r="BL108" s="642"/>
      <c r="BM108" s="635">
        <v>100</v>
      </c>
      <c r="BN108" s="643"/>
      <c r="BO108" s="87"/>
      <c r="BP108" s="13"/>
      <c r="BR108" s="640">
        <v>100</v>
      </c>
      <c r="BS108" s="643"/>
      <c r="BT108" s="642"/>
      <c r="BU108" s="635">
        <v>100</v>
      </c>
      <c r="BV108" s="643"/>
      <c r="BW108" s="87"/>
      <c r="BX108" s="13"/>
      <c r="BZ108" s="640">
        <v>100</v>
      </c>
      <c r="CA108" s="643"/>
      <c r="CB108" s="642"/>
      <c r="CC108" s="635">
        <v>100</v>
      </c>
      <c r="CD108" s="643">
        <v>5.64</v>
      </c>
      <c r="CE108" s="87"/>
      <c r="CF108" s="13"/>
    </row>
    <row r="109" spans="1:84" ht="12.75" customHeight="1">
      <c r="A109" s="640">
        <v>101</v>
      </c>
      <c r="B109" s="643"/>
      <c r="C109" s="642"/>
      <c r="D109" s="635">
        <v>101</v>
      </c>
      <c r="E109" s="643"/>
      <c r="F109" s="87"/>
      <c r="G109" s="13"/>
      <c r="I109" s="19"/>
      <c r="J109" s="5">
        <f t="shared" si="7"/>
        <v>0.88600000000000001</v>
      </c>
      <c r="K109" s="5">
        <f t="shared" si="5"/>
        <v>4.8924000000000003</v>
      </c>
      <c r="L109" s="5">
        <f t="shared" si="8"/>
        <v>2.298</v>
      </c>
      <c r="M109" s="5">
        <f t="shared" si="6"/>
        <v>3.2616000000000001</v>
      </c>
      <c r="Q109" s="5">
        <f t="shared" si="9"/>
        <v>4</v>
      </c>
      <c r="R109" s="5">
        <f>IF(Q109="",NA(),COUNTIF(Q109:$Q$293,Q109))</f>
        <v>9</v>
      </c>
      <c r="S109" s="5">
        <f t="shared" si="10"/>
        <v>0.36799999999999999</v>
      </c>
      <c r="T109" s="5" t="e">
        <f t="shared" si="32"/>
        <v>#N/A</v>
      </c>
      <c r="U109" s="5" t="e">
        <f t="shared" si="11"/>
        <v>#N/A</v>
      </c>
      <c r="V109" s="5">
        <f t="shared" si="12"/>
        <v>6.5232000000000001</v>
      </c>
      <c r="W109" s="5">
        <f t="shared" si="13"/>
        <v>6.5232000000000001</v>
      </c>
      <c r="X109" s="5">
        <v>16</v>
      </c>
      <c r="Y109" s="5">
        <f t="shared" si="14"/>
        <v>7</v>
      </c>
      <c r="Z109" s="5">
        <f t="shared" si="15"/>
        <v>7</v>
      </c>
      <c r="AA109" s="5">
        <f t="shared" si="33"/>
        <v>7</v>
      </c>
      <c r="AB109" s="5">
        <f t="shared" si="16"/>
        <v>4</v>
      </c>
      <c r="AC109" s="5">
        <f>IF(AB109="",NA(),COUNTIF(AB109:$AB$293,AB109))</f>
        <v>3</v>
      </c>
      <c r="AD109" s="5">
        <f t="shared" si="17"/>
        <v>9.1999999999999998E-2</v>
      </c>
      <c r="AE109" s="5" t="e">
        <f t="shared" si="34"/>
        <v>#N/A</v>
      </c>
      <c r="AF109" s="5" t="e">
        <f t="shared" si="18"/>
        <v>#N/A</v>
      </c>
      <c r="AG109" s="5">
        <f t="shared" si="19"/>
        <v>6.5232000000000001</v>
      </c>
      <c r="AH109" s="5">
        <f t="shared" si="20"/>
        <v>6.5232000000000001</v>
      </c>
      <c r="AI109" s="5">
        <f t="shared" si="21"/>
        <v>7</v>
      </c>
      <c r="AJ109" s="5">
        <f t="shared" si="22"/>
        <v>7</v>
      </c>
      <c r="AK109" s="5">
        <f t="shared" si="23"/>
        <v>7</v>
      </c>
      <c r="AN109" s="65"/>
      <c r="AO109" s="66" t="s">
        <v>299</v>
      </c>
      <c r="AP109" s="66"/>
      <c r="AQ109" s="93"/>
      <c r="AR109" s="62">
        <v>6</v>
      </c>
      <c r="AS109" s="5">
        <f t="shared" si="37"/>
        <v>12</v>
      </c>
      <c r="AT109" s="5">
        <f t="shared" si="38"/>
        <v>23.549019607843135</v>
      </c>
      <c r="AU109" s="5">
        <f t="shared" si="39"/>
        <v>3.1</v>
      </c>
      <c r="AV109" s="5" t="e">
        <f t="shared" si="40"/>
        <v>#N/A</v>
      </c>
      <c r="AX109" s="5">
        <f t="shared" si="35"/>
        <v>7</v>
      </c>
      <c r="AY109" s="5">
        <f t="shared" si="24"/>
        <v>7</v>
      </c>
      <c r="AZ109" s="5">
        <f t="shared" si="25"/>
        <v>6.5232000000000001</v>
      </c>
      <c r="BA109" s="5">
        <f t="shared" si="26"/>
        <v>4</v>
      </c>
      <c r="BB109" s="5">
        <f>IF(BA109="",NA(),COUNTIF(BA109:$BA$193,BA109))</f>
        <v>9</v>
      </c>
      <c r="BC109" s="5">
        <f t="shared" si="27"/>
        <v>0.36799999999999999</v>
      </c>
      <c r="BD109" s="5">
        <f t="shared" si="36"/>
        <v>7</v>
      </c>
      <c r="BE109" s="5">
        <f t="shared" si="28"/>
        <v>7</v>
      </c>
      <c r="BF109" s="5">
        <f t="shared" si="29"/>
        <v>6.5232000000000001</v>
      </c>
      <c r="BG109" s="5">
        <f t="shared" si="30"/>
        <v>4</v>
      </c>
      <c r="BH109" s="5">
        <f>IF(BG109="",NA(),COUNTIF(BG109:$BG$193,BG109))</f>
        <v>3</v>
      </c>
      <c r="BI109" s="5">
        <f t="shared" si="31"/>
        <v>9.1999999999999998E-2</v>
      </c>
      <c r="BJ109" s="640">
        <v>101</v>
      </c>
      <c r="BK109" s="643"/>
      <c r="BL109" s="642"/>
      <c r="BM109" s="635">
        <v>101</v>
      </c>
      <c r="BN109" s="643"/>
      <c r="BO109" s="87"/>
      <c r="BP109" s="13"/>
      <c r="BR109" s="640">
        <v>101</v>
      </c>
      <c r="BS109" s="643"/>
      <c r="BT109" s="642"/>
      <c r="BU109" s="635">
        <v>101</v>
      </c>
      <c r="BV109" s="643"/>
      <c r="BW109" s="87"/>
      <c r="BX109" s="13"/>
      <c r="BZ109" s="640">
        <v>101</v>
      </c>
      <c r="CA109" s="643"/>
      <c r="CB109" s="642"/>
      <c r="CC109" s="635">
        <v>101</v>
      </c>
      <c r="CD109" s="643">
        <v>7.78</v>
      </c>
      <c r="CE109" s="87"/>
      <c r="CF109" s="13"/>
    </row>
    <row r="110" spans="1:84" ht="12.75" customHeight="1">
      <c r="A110" s="640">
        <v>102</v>
      </c>
      <c r="B110" s="643"/>
      <c r="C110" s="642"/>
      <c r="D110" s="635">
        <v>102</v>
      </c>
      <c r="E110" s="643"/>
      <c r="F110" s="87"/>
      <c r="G110" s="13"/>
      <c r="H110" s="19"/>
      <c r="J110" s="5">
        <f t="shared" si="7"/>
        <v>0.93199999999999994</v>
      </c>
      <c r="K110" s="5">
        <f t="shared" si="5"/>
        <v>4.8924000000000003</v>
      </c>
      <c r="L110" s="5">
        <f t="shared" si="8"/>
        <v>2.2519999999999998</v>
      </c>
      <c r="M110" s="5">
        <f t="shared" si="6"/>
        <v>3.2616000000000001</v>
      </c>
      <c r="Q110" s="5">
        <f t="shared" si="9"/>
        <v>4</v>
      </c>
      <c r="R110" s="5">
        <f>IF(Q110="",NA(),COUNTIF(Q110:$Q$293,Q110))</f>
        <v>8</v>
      </c>
      <c r="S110" s="5">
        <f t="shared" si="10"/>
        <v>0.32200000000000001</v>
      </c>
      <c r="T110" s="5" t="e">
        <f t="shared" si="32"/>
        <v>#N/A</v>
      </c>
      <c r="U110" s="5" t="e">
        <f t="shared" si="11"/>
        <v>#N/A</v>
      </c>
      <c r="V110" s="5">
        <f t="shared" si="12"/>
        <v>6.5232000000000001</v>
      </c>
      <c r="W110" s="5">
        <f t="shared" si="13"/>
        <v>6.5232000000000001</v>
      </c>
      <c r="X110" s="5">
        <v>17</v>
      </c>
      <c r="Y110" s="5">
        <f t="shared" si="14"/>
        <v>7</v>
      </c>
      <c r="Z110" s="5">
        <f t="shared" si="15"/>
        <v>7</v>
      </c>
      <c r="AA110" s="5">
        <f t="shared" si="33"/>
        <v>7</v>
      </c>
      <c r="AB110" s="5">
        <f t="shared" si="16"/>
        <v>4</v>
      </c>
      <c r="AC110" s="5">
        <f>IF(AB110="",NA(),COUNTIF(AB110:$AB$293,AB110))</f>
        <v>2</v>
      </c>
      <c r="AD110" s="5">
        <f t="shared" si="17"/>
        <v>4.5999999999999999E-2</v>
      </c>
      <c r="AE110" s="5" t="e">
        <f t="shared" si="34"/>
        <v>#N/A</v>
      </c>
      <c r="AF110" s="5" t="e">
        <f t="shared" si="18"/>
        <v>#N/A</v>
      </c>
      <c r="AG110" s="5">
        <f t="shared" si="19"/>
        <v>6.5232000000000001</v>
      </c>
      <c r="AH110" s="5">
        <f t="shared" si="20"/>
        <v>6.5232000000000001</v>
      </c>
      <c r="AI110" s="5">
        <f t="shared" si="21"/>
        <v>6</v>
      </c>
      <c r="AJ110" s="5">
        <f t="shared" si="22"/>
        <v>6</v>
      </c>
      <c r="AK110" s="5">
        <f t="shared" si="23"/>
        <v>6</v>
      </c>
      <c r="AN110" s="69"/>
      <c r="AO110" s="70" t="str">
        <f>IF(C6="","Dependent variable ",C6)</f>
        <v>N sex partners</v>
      </c>
      <c r="AP110" s="679"/>
      <c r="AQ110" s="97"/>
      <c r="AR110" s="62">
        <v>5</v>
      </c>
      <c r="AS110" s="5">
        <f t="shared" si="37"/>
        <v>10</v>
      </c>
      <c r="AT110" s="5">
        <f t="shared" si="38"/>
        <v>21.549019607843135</v>
      </c>
      <c r="AU110" s="5">
        <f t="shared" si="39"/>
        <v>3.1</v>
      </c>
      <c r="AV110" s="5" t="e">
        <f t="shared" si="40"/>
        <v>#N/A</v>
      </c>
      <c r="AX110" s="5">
        <f t="shared" si="35"/>
        <v>7</v>
      </c>
      <c r="AY110" s="5">
        <f t="shared" si="24"/>
        <v>7</v>
      </c>
      <c r="AZ110" s="5">
        <f t="shared" si="25"/>
        <v>6.5232000000000001</v>
      </c>
      <c r="BA110" s="5">
        <f t="shared" si="26"/>
        <v>4</v>
      </c>
      <c r="BB110" s="5">
        <f>IF(BA110="",NA(),COUNTIF(BA110:$BA$193,BA110))</f>
        <v>8</v>
      </c>
      <c r="BC110" s="5">
        <f t="shared" si="27"/>
        <v>0.32200000000000001</v>
      </c>
      <c r="BD110" s="5">
        <f t="shared" si="36"/>
        <v>6</v>
      </c>
      <c r="BE110" s="5">
        <f t="shared" si="28"/>
        <v>6</v>
      </c>
      <c r="BF110" s="5">
        <f t="shared" si="29"/>
        <v>6.5232000000000001</v>
      </c>
      <c r="BG110" s="5">
        <f t="shared" si="30"/>
        <v>4</v>
      </c>
      <c r="BH110" s="5">
        <f>IF(BG110="",NA(),COUNTIF(BG110:$BG$193,BG110))</f>
        <v>2</v>
      </c>
      <c r="BI110" s="5">
        <f t="shared" si="31"/>
        <v>4.5999999999999999E-2</v>
      </c>
      <c r="BJ110" s="640">
        <v>102</v>
      </c>
      <c r="BK110" s="643"/>
      <c r="BL110" s="642"/>
      <c r="BM110" s="635">
        <v>102</v>
      </c>
      <c r="BN110" s="643"/>
      <c r="BO110" s="87"/>
      <c r="BP110" s="13"/>
      <c r="BR110" s="640">
        <v>102</v>
      </c>
      <c r="BS110" s="643"/>
      <c r="BT110" s="642"/>
      <c r="BU110" s="635">
        <v>102</v>
      </c>
      <c r="BV110" s="643"/>
      <c r="BW110" s="87"/>
      <c r="BX110" s="13"/>
      <c r="BZ110" s="640">
        <v>102</v>
      </c>
      <c r="CA110" s="643"/>
      <c r="CB110" s="642"/>
      <c r="CC110" s="635">
        <v>102</v>
      </c>
      <c r="CD110" s="643">
        <v>26.77</v>
      </c>
      <c r="CE110" s="87"/>
      <c r="CF110" s="13"/>
    </row>
    <row r="111" spans="1:84" ht="12.75" customHeight="1">
      <c r="A111" s="640">
        <v>103</v>
      </c>
      <c r="B111" s="643"/>
      <c r="C111" s="642"/>
      <c r="D111" s="635">
        <v>103</v>
      </c>
      <c r="E111" s="643"/>
      <c r="F111" s="87"/>
      <c r="G111" s="13"/>
      <c r="I111" s="19"/>
      <c r="J111" s="5">
        <f t="shared" si="7"/>
        <v>0.56400000000000006</v>
      </c>
      <c r="K111" s="5">
        <f t="shared" si="5"/>
        <v>3.2616000000000001</v>
      </c>
      <c r="L111" s="5">
        <f t="shared" si="8"/>
        <v>2.206</v>
      </c>
      <c r="M111" s="5">
        <f t="shared" si="6"/>
        <v>3.2616000000000001</v>
      </c>
      <c r="Q111" s="5">
        <f t="shared" si="9"/>
        <v>4</v>
      </c>
      <c r="R111" s="5">
        <f>IF(Q111="",NA(),COUNTIF(Q111:$Q$293,Q111))</f>
        <v>7</v>
      </c>
      <c r="S111" s="5">
        <f t="shared" si="10"/>
        <v>0.27600000000000002</v>
      </c>
      <c r="T111" s="5" t="e">
        <f t="shared" si="32"/>
        <v>#N/A</v>
      </c>
      <c r="U111" s="5" t="e">
        <f t="shared" si="11"/>
        <v>#N/A</v>
      </c>
      <c r="V111" s="5">
        <f t="shared" si="12"/>
        <v>6.5232000000000001</v>
      </c>
      <c r="W111" s="5">
        <f t="shared" si="13"/>
        <v>6.5232000000000001</v>
      </c>
      <c r="X111" s="5">
        <v>18</v>
      </c>
      <c r="Y111" s="5">
        <f t="shared" si="14"/>
        <v>7</v>
      </c>
      <c r="Z111" s="5">
        <f t="shared" si="15"/>
        <v>7</v>
      </c>
      <c r="AA111" s="5">
        <f t="shared" si="33"/>
        <v>7</v>
      </c>
      <c r="AB111" s="5">
        <f t="shared" si="16"/>
        <v>4</v>
      </c>
      <c r="AC111" s="5">
        <f>IF(AB111="",NA(),COUNTIF(AB111:$AB$293,AB111))</f>
        <v>1</v>
      </c>
      <c r="AD111" s="5">
        <f t="shared" si="17"/>
        <v>0</v>
      </c>
      <c r="AE111" s="5" t="e">
        <f t="shared" si="34"/>
        <v>#N/A</v>
      </c>
      <c r="AF111" s="5" t="e">
        <f t="shared" si="18"/>
        <v>#N/A</v>
      </c>
      <c r="AG111" s="5">
        <f t="shared" si="19"/>
        <v>6.5232000000000001</v>
      </c>
      <c r="AH111" s="5">
        <f t="shared" si="20"/>
        <v>6.5232000000000001</v>
      </c>
      <c r="AI111" s="5">
        <f t="shared" si="21"/>
        <v>6</v>
      </c>
      <c r="AJ111" s="5">
        <f t="shared" si="22"/>
        <v>6</v>
      </c>
      <c r="AK111" s="5">
        <f t="shared" si="23"/>
        <v>6</v>
      </c>
      <c r="AN111" s="62" t="s">
        <v>598</v>
      </c>
      <c r="AO111" s="5">
        <f>IF(AND(K13&lt;&gt;"",M13&lt;&gt;""),SQRT((K13*K13*(None-1)+M13*M13*(Ntwo-1))/(None+Ntwo-2)),"")</f>
        <v>18.877153459613936</v>
      </c>
      <c r="AP111" s="5">
        <f>None+Ntwo-2</f>
        <v>93</v>
      </c>
      <c r="AQ111" s="5" t="s">
        <v>1187</v>
      </c>
      <c r="AR111" s="62">
        <v>4</v>
      </c>
      <c r="AS111" s="5">
        <f t="shared" si="37"/>
        <v>8</v>
      </c>
      <c r="AT111" s="5">
        <f t="shared" si="38"/>
        <v>19.549019607843135</v>
      </c>
      <c r="AU111" s="5">
        <f t="shared" si="39"/>
        <v>3.1</v>
      </c>
      <c r="AV111" s="5" t="e">
        <f t="shared" si="40"/>
        <v>#N/A</v>
      </c>
      <c r="AX111" s="5">
        <f t="shared" si="35"/>
        <v>7</v>
      </c>
      <c r="AY111" s="5">
        <f t="shared" si="24"/>
        <v>7</v>
      </c>
      <c r="AZ111" s="5">
        <f t="shared" si="25"/>
        <v>6.5232000000000001</v>
      </c>
      <c r="BA111" s="5">
        <f t="shared" si="26"/>
        <v>4</v>
      </c>
      <c r="BB111" s="5">
        <f>IF(BA111="",NA(),COUNTIF(BA111:$BA$193,BA111))</f>
        <v>7</v>
      </c>
      <c r="BC111" s="5">
        <f t="shared" si="27"/>
        <v>0.27600000000000002</v>
      </c>
      <c r="BD111" s="5">
        <f t="shared" si="36"/>
        <v>6</v>
      </c>
      <c r="BE111" s="5">
        <f t="shared" si="28"/>
        <v>6</v>
      </c>
      <c r="BF111" s="5">
        <f t="shared" si="29"/>
        <v>6.5232000000000001</v>
      </c>
      <c r="BG111" s="5">
        <f t="shared" si="30"/>
        <v>4</v>
      </c>
      <c r="BH111" s="5">
        <f>IF(BG111="",NA(),COUNTIF(BG111:$BG$193,BG111))</f>
        <v>1</v>
      </c>
      <c r="BI111" s="5">
        <f t="shared" si="31"/>
        <v>0</v>
      </c>
      <c r="BJ111" s="640">
        <v>103</v>
      </c>
      <c r="BK111" s="643"/>
      <c r="BL111" s="642"/>
      <c r="BM111" s="635">
        <v>103</v>
      </c>
      <c r="BN111" s="643"/>
      <c r="BO111" s="87"/>
      <c r="BP111" s="13"/>
      <c r="BR111" s="640">
        <v>103</v>
      </c>
      <c r="BS111" s="643"/>
      <c r="BT111" s="642"/>
      <c r="BU111" s="635">
        <v>103</v>
      </c>
      <c r="BV111" s="643"/>
      <c r="BW111" s="87"/>
      <c r="BX111" s="13"/>
      <c r="BZ111" s="640">
        <v>103</v>
      </c>
      <c r="CA111" s="643"/>
      <c r="CB111" s="642"/>
      <c r="CC111" s="635">
        <v>103</v>
      </c>
      <c r="CD111" s="643">
        <v>12.69</v>
      </c>
      <c r="CE111" s="87"/>
      <c r="CF111" s="13"/>
    </row>
    <row r="112" spans="1:84" ht="12.75" customHeight="1">
      <c r="A112" s="640">
        <v>104</v>
      </c>
      <c r="B112" s="643"/>
      <c r="C112" s="642"/>
      <c r="D112" s="635">
        <v>104</v>
      </c>
      <c r="E112" s="643"/>
      <c r="F112" s="87"/>
      <c r="G112" s="13"/>
      <c r="H112" s="19"/>
      <c r="J112" s="5">
        <f t="shared" si="7"/>
        <v>0.61</v>
      </c>
      <c r="K112" s="5">
        <f t="shared" si="5"/>
        <v>3.2616000000000001</v>
      </c>
      <c r="L112" s="5">
        <f t="shared" si="8"/>
        <v>2.1599999999999997</v>
      </c>
      <c r="M112" s="5">
        <f t="shared" si="6"/>
        <v>3.2616000000000001</v>
      </c>
      <c r="Q112" s="5">
        <f t="shared" si="9"/>
        <v>4</v>
      </c>
      <c r="R112" s="5">
        <f>IF(Q112="",NA(),COUNTIF(Q112:$Q$293,Q112))</f>
        <v>6</v>
      </c>
      <c r="S112" s="5">
        <f t="shared" si="10"/>
        <v>0.22999999999999998</v>
      </c>
      <c r="T112" s="5" t="e">
        <f t="shared" si="32"/>
        <v>#N/A</v>
      </c>
      <c r="U112" s="5" t="e">
        <f t="shared" si="11"/>
        <v>#N/A</v>
      </c>
      <c r="V112" s="5">
        <f t="shared" si="12"/>
        <v>6.5232000000000001</v>
      </c>
      <c r="W112" s="5">
        <f t="shared" si="13"/>
        <v>6.5232000000000001</v>
      </c>
      <c r="X112" s="5">
        <v>19</v>
      </c>
      <c r="Y112" s="5">
        <f t="shared" si="14"/>
        <v>6</v>
      </c>
      <c r="Z112" s="5">
        <f t="shared" si="15"/>
        <v>6</v>
      </c>
      <c r="AA112" s="5">
        <f t="shared" si="33"/>
        <v>6</v>
      </c>
      <c r="AB112" s="5">
        <f t="shared" si="16"/>
        <v>3</v>
      </c>
      <c r="AC112" s="5">
        <f>IF(AB112="",NA(),COUNTIF(AB112:$AB$293,AB112))</f>
        <v>4</v>
      </c>
      <c r="AD112" s="5">
        <f t="shared" si="17"/>
        <v>0.13800000000000001</v>
      </c>
      <c r="AE112" s="5" t="e">
        <f t="shared" si="34"/>
        <v>#N/A</v>
      </c>
      <c r="AF112" s="5" t="e">
        <f t="shared" si="18"/>
        <v>#N/A</v>
      </c>
      <c r="AG112" s="5">
        <f t="shared" si="19"/>
        <v>4.8924000000000003</v>
      </c>
      <c r="AH112" s="5">
        <f t="shared" si="20"/>
        <v>4.8924000000000003</v>
      </c>
      <c r="AI112" s="5">
        <f t="shared" si="21"/>
        <v>5</v>
      </c>
      <c r="AJ112" s="5">
        <f t="shared" si="22"/>
        <v>5</v>
      </c>
      <c r="AK112" s="5">
        <f t="shared" si="23"/>
        <v>5</v>
      </c>
      <c r="AN112" s="62" t="s">
        <v>1101</v>
      </c>
      <c r="AO112" s="5">
        <f>AO111*SQRT(1/None+1/Ntwo)</f>
        <v>3.8840685192299644</v>
      </c>
      <c r="AP112" s="5">
        <f>TINV((1-AP93/100),AP111)</f>
        <v>1.9858017682342597</v>
      </c>
      <c r="AQ112" s="5" t="s">
        <v>300</v>
      </c>
      <c r="AR112" s="62">
        <v>3</v>
      </c>
      <c r="AS112" s="5">
        <f t="shared" si="37"/>
        <v>6</v>
      </c>
      <c r="AT112" s="5">
        <f t="shared" si="38"/>
        <v>17.549019607843135</v>
      </c>
      <c r="AU112" s="5">
        <f t="shared" si="39"/>
        <v>3.1</v>
      </c>
      <c r="AV112" s="5">
        <f t="shared" si="40"/>
        <v>17.549019607843135</v>
      </c>
      <c r="AX112" s="5">
        <f t="shared" si="35"/>
        <v>6</v>
      </c>
      <c r="AY112" s="5">
        <f t="shared" si="24"/>
        <v>6</v>
      </c>
      <c r="AZ112" s="5">
        <f t="shared" si="25"/>
        <v>6.5232000000000001</v>
      </c>
      <c r="BA112" s="5">
        <f t="shared" si="26"/>
        <v>4</v>
      </c>
      <c r="BB112" s="5">
        <f>IF(BA112="",NA(),COUNTIF(BA112:$BA$193,BA112))</f>
        <v>6</v>
      </c>
      <c r="BC112" s="5">
        <f t="shared" si="27"/>
        <v>0.22999999999999998</v>
      </c>
      <c r="BD112" s="5">
        <f t="shared" si="36"/>
        <v>5</v>
      </c>
      <c r="BE112" s="5">
        <f t="shared" si="28"/>
        <v>5</v>
      </c>
      <c r="BF112" s="5">
        <f t="shared" si="29"/>
        <v>4.8924000000000003</v>
      </c>
      <c r="BG112" s="5">
        <f t="shared" si="30"/>
        <v>3</v>
      </c>
      <c r="BH112" s="5">
        <f>IF(BG112="",NA(),COUNTIF(BG112:$BG$193,BG112))</f>
        <v>4</v>
      </c>
      <c r="BI112" s="5">
        <f t="shared" si="31"/>
        <v>0.13800000000000001</v>
      </c>
      <c r="BJ112" s="640">
        <v>104</v>
      </c>
      <c r="BK112" s="643"/>
      <c r="BL112" s="642"/>
      <c r="BM112" s="635">
        <v>104</v>
      </c>
      <c r="BN112" s="643"/>
      <c r="BO112" s="87"/>
      <c r="BP112" s="13"/>
      <c r="BR112" s="640">
        <v>104</v>
      </c>
      <c r="BS112" s="643"/>
      <c r="BT112" s="642"/>
      <c r="BU112" s="635">
        <v>104</v>
      </c>
      <c r="BV112" s="643"/>
      <c r="BW112" s="87"/>
      <c r="BX112" s="13"/>
      <c r="BZ112" s="640">
        <v>104</v>
      </c>
      <c r="CA112" s="643"/>
      <c r="CB112" s="642"/>
      <c r="CC112" s="635">
        <v>104</v>
      </c>
      <c r="CD112" s="643"/>
      <c r="CE112" s="87"/>
      <c r="CF112" s="13"/>
    </row>
    <row r="113" spans="1:84" ht="12.75" customHeight="1">
      <c r="A113" s="640">
        <v>105</v>
      </c>
      <c r="B113" s="643"/>
      <c r="C113" s="642"/>
      <c r="D113" s="635">
        <v>105</v>
      </c>
      <c r="E113" s="643"/>
      <c r="F113" s="87"/>
      <c r="G113" s="13"/>
      <c r="I113" s="19"/>
      <c r="J113" s="5">
        <f t="shared" si="7"/>
        <v>0.65599999999999992</v>
      </c>
      <c r="K113" s="5">
        <f t="shared" si="5"/>
        <v>3.2616000000000001</v>
      </c>
      <c r="L113" s="5">
        <f t="shared" si="8"/>
        <v>2.1139999999999999</v>
      </c>
      <c r="M113" s="5">
        <f t="shared" si="6"/>
        <v>3.2616000000000001</v>
      </c>
      <c r="Q113" s="5">
        <f t="shared" si="9"/>
        <v>4</v>
      </c>
      <c r="R113" s="5">
        <f>IF(Q113="",NA(),COUNTIF(Q113:$Q$293,Q113))</f>
        <v>5</v>
      </c>
      <c r="S113" s="5">
        <f t="shared" si="10"/>
        <v>0.184</v>
      </c>
      <c r="T113" s="5" t="e">
        <f t="shared" si="32"/>
        <v>#N/A</v>
      </c>
      <c r="U113" s="5" t="e">
        <f t="shared" si="11"/>
        <v>#N/A</v>
      </c>
      <c r="V113" s="5">
        <f t="shared" si="12"/>
        <v>6.5232000000000001</v>
      </c>
      <c r="W113" s="5">
        <f t="shared" si="13"/>
        <v>6.5232000000000001</v>
      </c>
      <c r="X113" s="5">
        <v>20</v>
      </c>
      <c r="Y113" s="5">
        <f t="shared" si="14"/>
        <v>6</v>
      </c>
      <c r="Z113" s="5">
        <f t="shared" si="15"/>
        <v>6</v>
      </c>
      <c r="AA113" s="5">
        <f t="shared" si="33"/>
        <v>6</v>
      </c>
      <c r="AB113" s="5">
        <f t="shared" si="16"/>
        <v>3</v>
      </c>
      <c r="AC113" s="5">
        <f>IF(AB113="",NA(),COUNTIF(AB113:$AB$293,AB113))</f>
        <v>3</v>
      </c>
      <c r="AD113" s="5">
        <f t="shared" si="17"/>
        <v>9.1999999999999998E-2</v>
      </c>
      <c r="AE113" s="5" t="e">
        <f t="shared" si="34"/>
        <v>#N/A</v>
      </c>
      <c r="AF113" s="5" t="e">
        <f t="shared" si="18"/>
        <v>#N/A</v>
      </c>
      <c r="AG113" s="5">
        <f t="shared" si="19"/>
        <v>4.8924000000000003</v>
      </c>
      <c r="AH113" s="5">
        <f t="shared" si="20"/>
        <v>4.8924000000000003</v>
      </c>
      <c r="AI113" s="5">
        <f t="shared" si="21"/>
        <v>5</v>
      </c>
      <c r="AJ113" s="5">
        <f t="shared" si="22"/>
        <v>5</v>
      </c>
      <c r="AK113" s="5">
        <f t="shared" si="23"/>
        <v>5</v>
      </c>
      <c r="AN113" s="62" t="s">
        <v>289</v>
      </c>
      <c r="AO113" s="5">
        <f>AP112*AO112</f>
        <v>7.7129901334298863</v>
      </c>
      <c r="AR113" s="62">
        <v>2</v>
      </c>
      <c r="AS113" s="5">
        <f t="shared" si="37"/>
        <v>4</v>
      </c>
      <c r="AT113" s="5">
        <f t="shared" si="38"/>
        <v>15.549019607843137</v>
      </c>
      <c r="AU113" s="5">
        <f t="shared" si="39"/>
        <v>3.1</v>
      </c>
      <c r="AV113" s="5">
        <f t="shared" si="40"/>
        <v>15.549019607843137</v>
      </c>
      <c r="AX113" s="5">
        <f t="shared" si="35"/>
        <v>6</v>
      </c>
      <c r="AY113" s="5">
        <f t="shared" si="24"/>
        <v>6</v>
      </c>
      <c r="AZ113" s="5">
        <f t="shared" si="25"/>
        <v>6.5232000000000001</v>
      </c>
      <c r="BA113" s="5">
        <f t="shared" si="26"/>
        <v>4</v>
      </c>
      <c r="BB113" s="5">
        <f>IF(BA113="",NA(),COUNTIF(BA113:$BA$193,BA113))</f>
        <v>5</v>
      </c>
      <c r="BC113" s="5">
        <f t="shared" si="27"/>
        <v>0.184</v>
      </c>
      <c r="BD113" s="5">
        <f t="shared" si="36"/>
        <v>5</v>
      </c>
      <c r="BE113" s="5">
        <f t="shared" si="28"/>
        <v>5</v>
      </c>
      <c r="BF113" s="5">
        <f t="shared" si="29"/>
        <v>4.8924000000000003</v>
      </c>
      <c r="BG113" s="5">
        <f t="shared" si="30"/>
        <v>3</v>
      </c>
      <c r="BH113" s="5">
        <f>IF(BG113="",NA(),COUNTIF(BG113:$BG$193,BG113))</f>
        <v>3</v>
      </c>
      <c r="BI113" s="5">
        <f t="shared" si="31"/>
        <v>9.1999999999999998E-2</v>
      </c>
      <c r="BJ113" s="640">
        <v>105</v>
      </c>
      <c r="BK113" s="643"/>
      <c r="BL113" s="642"/>
      <c r="BM113" s="635">
        <v>105</v>
      </c>
      <c r="BN113" s="643"/>
      <c r="BO113" s="87"/>
      <c r="BP113" s="13"/>
      <c r="BR113" s="640">
        <v>105</v>
      </c>
      <c r="BS113" s="643"/>
      <c r="BT113" s="642"/>
      <c r="BU113" s="635">
        <v>105</v>
      </c>
      <c r="BV113" s="643"/>
      <c r="BW113" s="87"/>
      <c r="BX113" s="13"/>
      <c r="BZ113" s="640">
        <v>105</v>
      </c>
      <c r="CA113" s="643"/>
      <c r="CB113" s="642"/>
      <c r="CC113" s="635">
        <v>105</v>
      </c>
      <c r="CD113" s="643"/>
      <c r="CE113" s="87"/>
      <c r="CF113" s="13"/>
    </row>
    <row r="114" spans="1:84" ht="12.75" customHeight="1">
      <c r="A114" s="640">
        <v>106</v>
      </c>
      <c r="B114" s="643"/>
      <c r="C114" s="642"/>
      <c r="D114" s="635">
        <v>106</v>
      </c>
      <c r="E114" s="643"/>
      <c r="F114" s="87"/>
      <c r="G114" s="13"/>
      <c r="J114" s="5">
        <f t="shared" si="7"/>
        <v>0.70199999999999996</v>
      </c>
      <c r="K114" s="5">
        <f t="shared" si="5"/>
        <v>3.2616000000000001</v>
      </c>
      <c r="L114" s="5">
        <f t="shared" si="8"/>
        <v>2.0680000000000001</v>
      </c>
      <c r="M114" s="5">
        <f t="shared" si="6"/>
        <v>3.2616000000000001</v>
      </c>
      <c r="Q114" s="5">
        <f t="shared" si="9"/>
        <v>4</v>
      </c>
      <c r="R114" s="5">
        <f>IF(Q114="",NA(),COUNTIF(Q114:$Q$293,Q114))</f>
        <v>4</v>
      </c>
      <c r="S114" s="5">
        <f t="shared" si="10"/>
        <v>0.13800000000000001</v>
      </c>
      <c r="T114" s="5" t="e">
        <f t="shared" si="32"/>
        <v>#N/A</v>
      </c>
      <c r="U114" s="5" t="e">
        <f t="shared" si="11"/>
        <v>#N/A</v>
      </c>
      <c r="V114" s="5">
        <f t="shared" si="12"/>
        <v>6.5232000000000001</v>
      </c>
      <c r="W114" s="5">
        <f t="shared" si="13"/>
        <v>6.5232000000000001</v>
      </c>
      <c r="X114" s="5">
        <v>21</v>
      </c>
      <c r="Y114" s="5">
        <f t="shared" si="14"/>
        <v>6</v>
      </c>
      <c r="Z114" s="5">
        <f t="shared" si="15"/>
        <v>6</v>
      </c>
      <c r="AA114" s="5">
        <f t="shared" si="33"/>
        <v>6</v>
      </c>
      <c r="AB114" s="5">
        <f t="shared" si="16"/>
        <v>3</v>
      </c>
      <c r="AC114" s="5">
        <f>IF(AB114="",NA(),COUNTIF(AB114:$AB$293,AB114))</f>
        <v>2</v>
      </c>
      <c r="AD114" s="5">
        <f t="shared" si="17"/>
        <v>4.5999999999999999E-2</v>
      </c>
      <c r="AE114" s="5" t="e">
        <f t="shared" si="34"/>
        <v>#N/A</v>
      </c>
      <c r="AF114" s="5" t="e">
        <f t="shared" si="18"/>
        <v>#N/A</v>
      </c>
      <c r="AG114" s="5">
        <f t="shared" si="19"/>
        <v>4.8924000000000003</v>
      </c>
      <c r="AH114" s="5">
        <f t="shared" si="20"/>
        <v>4.8924000000000003</v>
      </c>
      <c r="AI114" s="5">
        <f t="shared" si="21"/>
        <v>5</v>
      </c>
      <c r="AJ114" s="5">
        <f t="shared" si="22"/>
        <v>5</v>
      </c>
      <c r="AK114" s="5">
        <f t="shared" si="23"/>
        <v>5</v>
      </c>
      <c r="AN114" s="680" t="s">
        <v>301</v>
      </c>
      <c r="AO114" s="664"/>
      <c r="AP114" s="664"/>
      <c r="AQ114" s="358"/>
      <c r="AR114" s="62">
        <v>1</v>
      </c>
      <c r="AS114" s="5">
        <f t="shared" si="37"/>
        <v>2</v>
      </c>
      <c r="AT114" s="5">
        <f t="shared" si="38"/>
        <v>13.549019607843137</v>
      </c>
      <c r="AU114" s="5">
        <f t="shared" si="39"/>
        <v>3.1</v>
      </c>
      <c r="AV114" s="5">
        <f t="shared" si="40"/>
        <v>13.549019607843137</v>
      </c>
      <c r="AX114" s="5">
        <f t="shared" si="35"/>
        <v>6</v>
      </c>
      <c r="AY114" s="5">
        <f t="shared" si="24"/>
        <v>6</v>
      </c>
      <c r="AZ114" s="5">
        <f t="shared" si="25"/>
        <v>6.5232000000000001</v>
      </c>
      <c r="BA114" s="5">
        <f t="shared" si="26"/>
        <v>4</v>
      </c>
      <c r="BB114" s="5">
        <f>IF(BA114="",NA(),COUNTIF(BA114:$BA$193,BA114))</f>
        <v>4</v>
      </c>
      <c r="BC114" s="5">
        <f t="shared" si="27"/>
        <v>0.13800000000000001</v>
      </c>
      <c r="BD114" s="5">
        <f t="shared" si="36"/>
        <v>5</v>
      </c>
      <c r="BE114" s="5">
        <f t="shared" si="28"/>
        <v>5</v>
      </c>
      <c r="BF114" s="5">
        <f t="shared" si="29"/>
        <v>4.8924000000000003</v>
      </c>
      <c r="BG114" s="5">
        <f t="shared" si="30"/>
        <v>3</v>
      </c>
      <c r="BH114" s="5">
        <f>IF(BG114="",NA(),COUNTIF(BG114:$BG$193,BG114))</f>
        <v>2</v>
      </c>
      <c r="BI114" s="5">
        <f t="shared" si="31"/>
        <v>4.5999999999999999E-2</v>
      </c>
      <c r="BJ114" s="640">
        <v>106</v>
      </c>
      <c r="BK114" s="643"/>
      <c r="BL114" s="642"/>
      <c r="BM114" s="635">
        <v>106</v>
      </c>
      <c r="BN114" s="643"/>
      <c r="BO114" s="87"/>
      <c r="BP114" s="13"/>
      <c r="BR114" s="640">
        <v>106</v>
      </c>
      <c r="BS114" s="643"/>
      <c r="BT114" s="642"/>
      <c r="BU114" s="635">
        <v>106</v>
      </c>
      <c r="BV114" s="643"/>
      <c r="BW114" s="87"/>
      <c r="BX114" s="13"/>
      <c r="BZ114" s="640">
        <v>106</v>
      </c>
      <c r="CA114" s="643"/>
      <c r="CB114" s="642"/>
      <c r="CC114" s="635">
        <v>106</v>
      </c>
      <c r="CD114" s="643"/>
      <c r="CE114" s="87"/>
      <c r="CF114" s="13"/>
    </row>
    <row r="115" spans="1:84" ht="12.75" customHeight="1">
      <c r="A115" s="640">
        <v>107</v>
      </c>
      <c r="B115" s="641"/>
      <c r="C115" s="642"/>
      <c r="D115" s="635">
        <v>107</v>
      </c>
      <c r="E115" s="643"/>
      <c r="F115" s="87"/>
      <c r="G115" s="13"/>
      <c r="I115" s="19"/>
      <c r="J115" s="5">
        <f t="shared" si="7"/>
        <v>0.748</v>
      </c>
      <c r="K115" s="5">
        <f t="shared" si="5"/>
        <v>3.2616000000000001</v>
      </c>
      <c r="L115" s="5">
        <f t="shared" si="8"/>
        <v>2.4819999999999998</v>
      </c>
      <c r="M115" s="5">
        <f t="shared" si="6"/>
        <v>1.6308</v>
      </c>
      <c r="Q115" s="5">
        <f t="shared" si="9"/>
        <v>4</v>
      </c>
      <c r="R115" s="5">
        <f>IF(Q115="",NA(),COUNTIF(Q115:$Q$293,Q115))</f>
        <v>3</v>
      </c>
      <c r="S115" s="5">
        <f t="shared" si="10"/>
        <v>9.1999999999999998E-2</v>
      </c>
      <c r="T115" s="5" t="e">
        <f t="shared" si="32"/>
        <v>#N/A</v>
      </c>
      <c r="U115" s="5" t="e">
        <f t="shared" si="11"/>
        <v>#N/A</v>
      </c>
      <c r="V115" s="5">
        <f t="shared" si="12"/>
        <v>6.5232000000000001</v>
      </c>
      <c r="W115" s="5">
        <f t="shared" si="13"/>
        <v>6.5232000000000001</v>
      </c>
      <c r="X115" s="5">
        <v>22</v>
      </c>
      <c r="Y115" s="5">
        <f t="shared" si="14"/>
        <v>6</v>
      </c>
      <c r="Z115" s="5">
        <f t="shared" si="15"/>
        <v>6</v>
      </c>
      <c r="AA115" s="5">
        <f t="shared" si="33"/>
        <v>6</v>
      </c>
      <c r="AB115" s="5">
        <f t="shared" si="16"/>
        <v>3</v>
      </c>
      <c r="AC115" s="5">
        <f>IF(AB115="",NA(),COUNTIF(AB115:$AB$293,AB115))</f>
        <v>1</v>
      </c>
      <c r="AD115" s="5">
        <f t="shared" si="17"/>
        <v>0</v>
      </c>
      <c r="AE115" s="5" t="e">
        <f t="shared" si="34"/>
        <v>#N/A</v>
      </c>
      <c r="AF115" s="5" t="e">
        <f t="shared" si="18"/>
        <v>#N/A</v>
      </c>
      <c r="AG115" s="5">
        <f t="shared" si="19"/>
        <v>4.8924000000000003</v>
      </c>
      <c r="AH115" s="5">
        <f t="shared" si="20"/>
        <v>4.8924000000000003</v>
      </c>
      <c r="AI115" s="5">
        <f t="shared" si="21"/>
        <v>5</v>
      </c>
      <c r="AJ115" s="5">
        <f t="shared" si="22"/>
        <v>5</v>
      </c>
      <c r="AK115" s="5">
        <f t="shared" si="23"/>
        <v>5</v>
      </c>
      <c r="AN115" s="260" t="s">
        <v>302</v>
      </c>
      <c r="AO115" s="68">
        <f>K13^2/None+M13^2/Ntwo</f>
        <v>13.456565904847576</v>
      </c>
      <c r="AP115" s="68"/>
      <c r="AQ115" s="91"/>
      <c r="AR115" s="62">
        <v>0</v>
      </c>
      <c r="AS115" s="5">
        <f t="shared" si="37"/>
        <v>0</v>
      </c>
      <c r="AT115" s="5">
        <f t="shared" si="38"/>
        <v>11.549019607843137</v>
      </c>
      <c r="AU115" s="5">
        <f t="shared" si="39"/>
        <v>3.1</v>
      </c>
      <c r="AV115" s="5">
        <f t="shared" si="40"/>
        <v>11.549019607843137</v>
      </c>
      <c r="AX115" s="5">
        <f t="shared" si="35"/>
        <v>6</v>
      </c>
      <c r="AY115" s="5">
        <f t="shared" si="24"/>
        <v>6</v>
      </c>
      <c r="AZ115" s="5">
        <f t="shared" si="25"/>
        <v>6.5232000000000001</v>
      </c>
      <c r="BA115" s="5">
        <f t="shared" si="26"/>
        <v>4</v>
      </c>
      <c r="BB115" s="5">
        <f>IF(BA115="",NA(),COUNTIF(BA115:$BA$193,BA115))</f>
        <v>3</v>
      </c>
      <c r="BC115" s="5">
        <f t="shared" si="27"/>
        <v>9.1999999999999998E-2</v>
      </c>
      <c r="BD115" s="5">
        <f t="shared" si="36"/>
        <v>5</v>
      </c>
      <c r="BE115" s="5">
        <f t="shared" si="28"/>
        <v>5</v>
      </c>
      <c r="BF115" s="5">
        <f t="shared" si="29"/>
        <v>4.8924000000000003</v>
      </c>
      <c r="BG115" s="5">
        <f t="shared" si="30"/>
        <v>3</v>
      </c>
      <c r="BH115" s="5">
        <f>IF(BG115="",NA(),COUNTIF(BG115:$BG$193,BG115))</f>
        <v>1</v>
      </c>
      <c r="BI115" s="5">
        <f t="shared" si="31"/>
        <v>0</v>
      </c>
      <c r="BJ115" s="640">
        <v>107</v>
      </c>
      <c r="BK115" s="641"/>
      <c r="BL115" s="642"/>
      <c r="BM115" s="635">
        <v>107</v>
      </c>
      <c r="BN115" s="643"/>
      <c r="BO115" s="87"/>
      <c r="BP115" s="13"/>
      <c r="BR115" s="640">
        <v>107</v>
      </c>
      <c r="BS115" s="641"/>
      <c r="BT115" s="642"/>
      <c r="BU115" s="635">
        <v>107</v>
      </c>
      <c r="BV115" s="643"/>
      <c r="BW115" s="87"/>
      <c r="BX115" s="13"/>
      <c r="BZ115" s="640">
        <v>107</v>
      </c>
      <c r="CA115" s="641"/>
      <c r="CB115" s="642"/>
      <c r="CC115" s="635">
        <v>107</v>
      </c>
      <c r="CD115" s="643"/>
      <c r="CE115" s="87"/>
      <c r="CF115" s="13"/>
    </row>
    <row r="116" spans="1:84" ht="12.75" customHeight="1">
      <c r="A116" s="640">
        <v>108</v>
      </c>
      <c r="B116" s="641"/>
      <c r="C116" s="642"/>
      <c r="D116" s="635">
        <v>108</v>
      </c>
      <c r="E116" s="643"/>
      <c r="F116" s="87"/>
      <c r="G116" s="13"/>
      <c r="J116" s="5">
        <f t="shared" si="7"/>
        <v>0.79399999999999993</v>
      </c>
      <c r="K116" s="5">
        <f t="shared" ref="K116:K147" si="41">IF($AC$91,NA(),IF(AZ126="",NA(),IF($AP$92,AZ126,AY126)))</f>
        <v>3.2616000000000001</v>
      </c>
      <c r="L116" s="5">
        <f t="shared" si="8"/>
        <v>2.4359999999999999</v>
      </c>
      <c r="M116" s="5">
        <f t="shared" ref="M116:M147" si="42">IF($AC$91,NA(),IF(BF126="",NA(),IF($AP$92,BF126,BE126)))</f>
        <v>1.6308</v>
      </c>
      <c r="Q116" s="5">
        <f t="shared" si="9"/>
        <v>4</v>
      </c>
      <c r="R116" s="5">
        <f>IF(Q116="",NA(),COUNTIF(Q116:$Q$293,Q116))</f>
        <v>2</v>
      </c>
      <c r="S116" s="5">
        <f t="shared" si="10"/>
        <v>4.5999999999999999E-2</v>
      </c>
      <c r="T116" s="5" t="e">
        <f t="shared" si="32"/>
        <v>#N/A</v>
      </c>
      <c r="U116" s="5" t="e">
        <f t="shared" si="11"/>
        <v>#N/A</v>
      </c>
      <c r="V116" s="5">
        <f t="shared" si="12"/>
        <v>6.5232000000000001</v>
      </c>
      <c r="W116" s="5">
        <f t="shared" si="13"/>
        <v>6.5232000000000001</v>
      </c>
      <c r="X116" s="5">
        <v>23</v>
      </c>
      <c r="Y116" s="5">
        <f t="shared" si="14"/>
        <v>6</v>
      </c>
      <c r="Z116" s="5">
        <f t="shared" si="15"/>
        <v>6</v>
      </c>
      <c r="AA116" s="5">
        <f t="shared" si="33"/>
        <v>6</v>
      </c>
      <c r="AB116" s="5">
        <f t="shared" si="16"/>
        <v>2</v>
      </c>
      <c r="AC116" s="5">
        <f>IF(AB116="",NA(),COUNTIF(AB116:$AB$293,AB116))</f>
        <v>9</v>
      </c>
      <c r="AD116" s="5">
        <f t="shared" si="17"/>
        <v>0.36799999999999999</v>
      </c>
      <c r="AE116" s="5" t="e">
        <f t="shared" si="34"/>
        <v>#N/A</v>
      </c>
      <c r="AF116" s="5" t="e">
        <f t="shared" si="18"/>
        <v>#N/A</v>
      </c>
      <c r="AG116" s="5">
        <f t="shared" si="19"/>
        <v>3.2616000000000001</v>
      </c>
      <c r="AH116" s="5">
        <f t="shared" si="20"/>
        <v>3.2616000000000001</v>
      </c>
      <c r="AI116" s="5">
        <f t="shared" si="21"/>
        <v>4</v>
      </c>
      <c r="AJ116" s="5">
        <f t="shared" si="22"/>
        <v>4</v>
      </c>
      <c r="AK116" s="5">
        <f t="shared" si="23"/>
        <v>4</v>
      </c>
      <c r="AN116" s="260" t="s">
        <v>303</v>
      </c>
      <c r="AO116" s="68">
        <f>SQRT(AO115)</f>
        <v>3.6683192206850777</v>
      </c>
      <c r="AP116" s="68"/>
      <c r="AQ116" s="91"/>
      <c r="AR116" s="62">
        <v>-1</v>
      </c>
      <c r="AS116" s="5">
        <f t="shared" si="37"/>
        <v>-2</v>
      </c>
      <c r="AT116" s="5">
        <f t="shared" si="38"/>
        <v>9.5490196078431371</v>
      </c>
      <c r="AU116" s="5">
        <f t="shared" si="39"/>
        <v>3.1</v>
      </c>
      <c r="AV116" s="5">
        <f t="shared" si="40"/>
        <v>9.5490196078431371</v>
      </c>
      <c r="AX116" s="5">
        <f t="shared" si="35"/>
        <v>6</v>
      </c>
      <c r="AY116" s="5">
        <f t="shared" si="24"/>
        <v>6</v>
      </c>
      <c r="AZ116" s="5">
        <f t="shared" si="25"/>
        <v>6.5232000000000001</v>
      </c>
      <c r="BA116" s="5">
        <f t="shared" si="26"/>
        <v>4</v>
      </c>
      <c r="BB116" s="5">
        <f>IF(BA116="",NA(),COUNTIF(BA116:$BA$193,BA116))</f>
        <v>2</v>
      </c>
      <c r="BC116" s="5">
        <f t="shared" si="27"/>
        <v>4.5999999999999999E-2</v>
      </c>
      <c r="BD116" s="5">
        <f t="shared" si="36"/>
        <v>4</v>
      </c>
      <c r="BE116" s="5">
        <f t="shared" si="28"/>
        <v>4</v>
      </c>
      <c r="BF116" s="5">
        <f t="shared" si="29"/>
        <v>3.2616000000000001</v>
      </c>
      <c r="BG116" s="5">
        <f t="shared" si="30"/>
        <v>2</v>
      </c>
      <c r="BH116" s="5">
        <f>IF(BG116="",NA(),COUNTIF(BG116:$BG$193,BG116))</f>
        <v>9</v>
      </c>
      <c r="BI116" s="5">
        <f t="shared" si="31"/>
        <v>0.36799999999999999</v>
      </c>
      <c r="BJ116" s="640">
        <v>108</v>
      </c>
      <c r="BK116" s="641"/>
      <c r="BL116" s="642"/>
      <c r="BM116" s="635">
        <v>108</v>
      </c>
      <c r="BN116" s="643"/>
      <c r="BO116" s="87"/>
      <c r="BP116" s="13"/>
      <c r="BR116" s="640">
        <v>108</v>
      </c>
      <c r="BS116" s="641"/>
      <c r="BT116" s="642"/>
      <c r="BU116" s="635">
        <v>108</v>
      </c>
      <c r="BV116" s="643"/>
      <c r="BW116" s="87"/>
      <c r="BX116" s="13"/>
      <c r="BZ116" s="640">
        <v>108</v>
      </c>
      <c r="CA116" s="641"/>
      <c r="CB116" s="642"/>
      <c r="CC116" s="635">
        <v>108</v>
      </c>
      <c r="CD116" s="643"/>
      <c r="CE116" s="87"/>
      <c r="CF116" s="13"/>
    </row>
    <row r="117" spans="1:84" ht="12.75" customHeight="1">
      <c r="A117" s="640">
        <v>109</v>
      </c>
      <c r="B117" s="641"/>
      <c r="C117" s="642"/>
      <c r="D117" s="635">
        <v>109</v>
      </c>
      <c r="E117" s="643"/>
      <c r="F117" s="87"/>
      <c r="G117" s="13"/>
      <c r="I117" s="19"/>
      <c r="J117" s="5">
        <f t="shared" si="7"/>
        <v>0.84</v>
      </c>
      <c r="K117" s="5">
        <f t="shared" si="41"/>
        <v>3.2616000000000001</v>
      </c>
      <c r="L117" s="5">
        <f t="shared" si="8"/>
        <v>2.3899999999999997</v>
      </c>
      <c r="M117" s="5">
        <f t="shared" si="42"/>
        <v>1.6308</v>
      </c>
      <c r="Q117" s="5">
        <f t="shared" si="9"/>
        <v>4</v>
      </c>
      <c r="R117" s="5">
        <f>IF(Q117="",NA(),COUNTIF(Q117:$Q$293,Q117))</f>
        <v>1</v>
      </c>
      <c r="S117" s="5">
        <f t="shared" si="10"/>
        <v>0</v>
      </c>
      <c r="T117" s="5" t="e">
        <f t="shared" si="32"/>
        <v>#N/A</v>
      </c>
      <c r="U117" s="5" t="e">
        <f t="shared" si="11"/>
        <v>#N/A</v>
      </c>
      <c r="V117" s="5">
        <f t="shared" si="12"/>
        <v>6.5232000000000001</v>
      </c>
      <c r="W117" s="5">
        <f t="shared" si="13"/>
        <v>6.5232000000000001</v>
      </c>
      <c r="X117" s="5">
        <v>24</v>
      </c>
      <c r="Y117" s="5">
        <f t="shared" si="14"/>
        <v>6</v>
      </c>
      <c r="Z117" s="5">
        <f t="shared" si="15"/>
        <v>6</v>
      </c>
      <c r="AA117" s="5">
        <f t="shared" si="33"/>
        <v>6</v>
      </c>
      <c r="AB117" s="5">
        <f t="shared" si="16"/>
        <v>2</v>
      </c>
      <c r="AC117" s="5">
        <f>IF(AB117="",NA(),COUNTIF(AB117:$AB$293,AB117))</f>
        <v>8</v>
      </c>
      <c r="AD117" s="5">
        <f t="shared" si="17"/>
        <v>0.32200000000000001</v>
      </c>
      <c r="AE117" s="5" t="e">
        <f t="shared" si="34"/>
        <v>#N/A</v>
      </c>
      <c r="AF117" s="5" t="e">
        <f t="shared" si="18"/>
        <v>#N/A</v>
      </c>
      <c r="AG117" s="5">
        <f t="shared" si="19"/>
        <v>3.2616000000000001</v>
      </c>
      <c r="AH117" s="5">
        <f t="shared" si="20"/>
        <v>3.2616000000000001</v>
      </c>
      <c r="AI117" s="5">
        <f t="shared" si="21"/>
        <v>4</v>
      </c>
      <c r="AJ117" s="5">
        <f t="shared" si="22"/>
        <v>4</v>
      </c>
      <c r="AK117" s="5">
        <f t="shared" si="23"/>
        <v>4</v>
      </c>
      <c r="AN117" s="260" t="s">
        <v>304</v>
      </c>
      <c r="AO117" s="68">
        <f>(M12-K12)/AO116</f>
        <v>-1.2153005910160324</v>
      </c>
      <c r="AP117" s="681"/>
      <c r="AQ117" s="91"/>
      <c r="AR117" s="62">
        <v>-2</v>
      </c>
      <c r="AS117" s="5">
        <f t="shared" si="37"/>
        <v>-4</v>
      </c>
      <c r="AT117" s="5">
        <f t="shared" si="38"/>
        <v>7.5490196078431371</v>
      </c>
      <c r="AU117" s="5">
        <f t="shared" si="39"/>
        <v>3.1</v>
      </c>
      <c r="AV117" s="5">
        <f t="shared" si="40"/>
        <v>7.5490196078431371</v>
      </c>
      <c r="AX117" s="5">
        <f t="shared" si="35"/>
        <v>6</v>
      </c>
      <c r="AY117" s="5">
        <f t="shared" si="24"/>
        <v>6</v>
      </c>
      <c r="AZ117" s="5">
        <f t="shared" si="25"/>
        <v>6.5232000000000001</v>
      </c>
      <c r="BA117" s="5">
        <f t="shared" si="26"/>
        <v>4</v>
      </c>
      <c r="BB117" s="5">
        <f>IF(BA117="",NA(),COUNTIF(BA117:$BA$193,BA117))</f>
        <v>1</v>
      </c>
      <c r="BC117" s="5">
        <f t="shared" si="27"/>
        <v>0</v>
      </c>
      <c r="BD117" s="5">
        <f t="shared" si="36"/>
        <v>4</v>
      </c>
      <c r="BE117" s="5">
        <f t="shared" si="28"/>
        <v>4</v>
      </c>
      <c r="BF117" s="5">
        <f t="shared" si="29"/>
        <v>3.2616000000000001</v>
      </c>
      <c r="BG117" s="5">
        <f t="shared" si="30"/>
        <v>2</v>
      </c>
      <c r="BH117" s="5">
        <f>IF(BG117="",NA(),COUNTIF(BG117:$BG$193,BG117))</f>
        <v>8</v>
      </c>
      <c r="BI117" s="5">
        <f t="shared" si="31"/>
        <v>0.32200000000000001</v>
      </c>
      <c r="BJ117" s="640">
        <v>109</v>
      </c>
      <c r="BK117" s="641"/>
      <c r="BL117" s="642"/>
      <c r="BM117" s="635">
        <v>109</v>
      </c>
      <c r="BN117" s="643"/>
      <c r="BO117" s="87"/>
      <c r="BP117" s="13"/>
      <c r="BR117" s="640">
        <v>109</v>
      </c>
      <c r="BS117" s="641"/>
      <c r="BT117" s="642"/>
      <c r="BU117" s="635">
        <v>109</v>
      </c>
      <c r="BV117" s="643"/>
      <c r="BW117" s="87"/>
      <c r="BX117" s="13"/>
      <c r="BZ117" s="640">
        <v>109</v>
      </c>
      <c r="CA117" s="641"/>
      <c r="CB117" s="642"/>
      <c r="CC117" s="635">
        <v>109</v>
      </c>
      <c r="CD117" s="643"/>
      <c r="CE117" s="87"/>
      <c r="CF117" s="13"/>
    </row>
    <row r="118" spans="1:84" ht="12.75" customHeight="1">
      <c r="A118" s="640">
        <v>110</v>
      </c>
      <c r="B118" s="641"/>
      <c r="C118" s="642"/>
      <c r="D118" s="635">
        <v>110</v>
      </c>
      <c r="E118" s="643"/>
      <c r="F118" s="87"/>
      <c r="G118" s="13"/>
      <c r="J118" s="5">
        <f t="shared" si="7"/>
        <v>0.88600000000000001</v>
      </c>
      <c r="K118" s="5">
        <f t="shared" si="41"/>
        <v>3.2616000000000001</v>
      </c>
      <c r="L118" s="5">
        <f t="shared" si="8"/>
        <v>2.3439999999999999</v>
      </c>
      <c r="M118" s="5">
        <f t="shared" si="42"/>
        <v>1.6308</v>
      </c>
      <c r="Q118" s="5">
        <f t="shared" si="9"/>
        <v>3</v>
      </c>
      <c r="R118" s="5">
        <f>IF(Q118="",NA(),COUNTIF(Q118:$Q$293,Q118))</f>
        <v>3</v>
      </c>
      <c r="S118" s="5">
        <f t="shared" si="10"/>
        <v>9.1999999999999998E-2</v>
      </c>
      <c r="T118" s="5" t="e">
        <f t="shared" si="32"/>
        <v>#N/A</v>
      </c>
      <c r="U118" s="5" t="e">
        <f t="shared" si="11"/>
        <v>#N/A</v>
      </c>
      <c r="V118" s="5">
        <f t="shared" si="12"/>
        <v>4.8924000000000003</v>
      </c>
      <c r="W118" s="5">
        <f t="shared" si="13"/>
        <v>4.8924000000000003</v>
      </c>
      <c r="X118" s="5">
        <v>25</v>
      </c>
      <c r="Y118" s="5">
        <f t="shared" si="14"/>
        <v>5</v>
      </c>
      <c r="Z118" s="5">
        <f t="shared" si="15"/>
        <v>5</v>
      </c>
      <c r="AA118" s="5">
        <f t="shared" si="33"/>
        <v>5</v>
      </c>
      <c r="AB118" s="5">
        <f t="shared" si="16"/>
        <v>2</v>
      </c>
      <c r="AC118" s="5">
        <f>IF(AB118="",NA(),COUNTIF(AB118:$AB$293,AB118))</f>
        <v>7</v>
      </c>
      <c r="AD118" s="5">
        <f t="shared" si="17"/>
        <v>0.27600000000000002</v>
      </c>
      <c r="AE118" s="5" t="e">
        <f t="shared" si="34"/>
        <v>#N/A</v>
      </c>
      <c r="AF118" s="5" t="e">
        <f t="shared" si="18"/>
        <v>#N/A</v>
      </c>
      <c r="AG118" s="5">
        <f t="shared" si="19"/>
        <v>3.2616000000000001</v>
      </c>
      <c r="AH118" s="5">
        <f t="shared" si="20"/>
        <v>3.2616000000000001</v>
      </c>
      <c r="AI118" s="5">
        <f t="shared" si="21"/>
        <v>4</v>
      </c>
      <c r="AJ118" s="5">
        <f t="shared" si="22"/>
        <v>4</v>
      </c>
      <c r="AK118" s="5">
        <f t="shared" si="23"/>
        <v>4</v>
      </c>
      <c r="AN118" s="260" t="s">
        <v>305</v>
      </c>
      <c r="AO118" s="68">
        <f>AO115^2/(K13^4/(None^2*(None-1))+M13^4/(Ntwo^2*(Ntwo-1)))</f>
        <v>64.695886585592646</v>
      </c>
      <c r="AP118" s="68"/>
      <c r="AQ118" s="91"/>
      <c r="AR118" s="62">
        <v>-3</v>
      </c>
      <c r="AS118" s="5">
        <f t="shared" si="37"/>
        <v>-6</v>
      </c>
      <c r="AT118" s="5">
        <f t="shared" si="38"/>
        <v>5.5490196078431371</v>
      </c>
      <c r="AU118" s="5">
        <f t="shared" si="39"/>
        <v>3.1</v>
      </c>
      <c r="AV118" s="5">
        <f t="shared" si="40"/>
        <v>5.5490196078431371</v>
      </c>
      <c r="AX118" s="5">
        <f t="shared" si="35"/>
        <v>5</v>
      </c>
      <c r="AY118" s="5">
        <f t="shared" si="24"/>
        <v>5</v>
      </c>
      <c r="AZ118" s="5">
        <f t="shared" si="25"/>
        <v>4.8924000000000003</v>
      </c>
      <c r="BA118" s="5">
        <f t="shared" si="26"/>
        <v>3</v>
      </c>
      <c r="BB118" s="5">
        <f>IF(BA118="",NA(),COUNTIF(BA118:$BA$193,BA118))</f>
        <v>3</v>
      </c>
      <c r="BC118" s="5">
        <f t="shared" si="27"/>
        <v>9.1999999999999998E-2</v>
      </c>
      <c r="BD118" s="5">
        <f t="shared" si="36"/>
        <v>4</v>
      </c>
      <c r="BE118" s="5">
        <f t="shared" si="28"/>
        <v>4</v>
      </c>
      <c r="BF118" s="5">
        <f t="shared" si="29"/>
        <v>3.2616000000000001</v>
      </c>
      <c r="BG118" s="5">
        <f t="shared" si="30"/>
        <v>2</v>
      </c>
      <c r="BH118" s="5">
        <f>IF(BG118="",NA(),COUNTIF(BG118:$BG$193,BG118))</f>
        <v>7</v>
      </c>
      <c r="BI118" s="5">
        <f t="shared" si="31"/>
        <v>0.27600000000000002</v>
      </c>
      <c r="BJ118" s="640">
        <v>110</v>
      </c>
      <c r="BK118" s="641"/>
      <c r="BL118" s="642"/>
      <c r="BM118" s="635">
        <v>110</v>
      </c>
      <c r="BN118" s="643"/>
      <c r="BO118" s="87"/>
      <c r="BP118" s="13"/>
      <c r="BR118" s="640">
        <v>110</v>
      </c>
      <c r="BS118" s="641"/>
      <c r="BT118" s="642"/>
      <c r="BU118" s="635">
        <v>110</v>
      </c>
      <c r="BV118" s="643"/>
      <c r="BW118" s="87"/>
      <c r="BX118" s="13"/>
      <c r="BZ118" s="640">
        <v>110</v>
      </c>
      <c r="CA118" s="641"/>
      <c r="CB118" s="642"/>
      <c r="CC118" s="635">
        <v>110</v>
      </c>
      <c r="CD118" s="643"/>
      <c r="CE118" s="87"/>
      <c r="CF118" s="13"/>
    </row>
    <row r="119" spans="1:84" ht="12.75" customHeight="1">
      <c r="A119" s="640">
        <v>111</v>
      </c>
      <c r="B119" s="641"/>
      <c r="C119" s="642"/>
      <c r="D119" s="635">
        <v>111</v>
      </c>
      <c r="E119" s="643"/>
      <c r="F119" s="87"/>
      <c r="G119" s="13"/>
      <c r="I119" s="19"/>
      <c r="J119" s="5">
        <f t="shared" si="7"/>
        <v>0.93199999999999994</v>
      </c>
      <c r="K119" s="5">
        <f t="shared" si="41"/>
        <v>3.2616000000000001</v>
      </c>
      <c r="L119" s="5">
        <f t="shared" si="8"/>
        <v>2.298</v>
      </c>
      <c r="M119" s="5">
        <f t="shared" si="42"/>
        <v>1.6308</v>
      </c>
      <c r="Q119" s="5">
        <f t="shared" si="9"/>
        <v>3</v>
      </c>
      <c r="R119" s="5">
        <f>IF(Q119="",NA(),COUNTIF(Q119:$Q$293,Q119))</f>
        <v>2</v>
      </c>
      <c r="S119" s="5">
        <f t="shared" si="10"/>
        <v>4.5999999999999999E-2</v>
      </c>
      <c r="T119" s="5" t="e">
        <f t="shared" si="32"/>
        <v>#N/A</v>
      </c>
      <c r="U119" s="5" t="e">
        <f t="shared" si="11"/>
        <v>#N/A</v>
      </c>
      <c r="V119" s="5">
        <f t="shared" si="12"/>
        <v>4.8924000000000003</v>
      </c>
      <c r="W119" s="5">
        <f t="shared" si="13"/>
        <v>4.8924000000000003</v>
      </c>
      <c r="X119" s="5">
        <v>26</v>
      </c>
      <c r="Y119" s="5">
        <f t="shared" si="14"/>
        <v>5</v>
      </c>
      <c r="Z119" s="5">
        <f t="shared" si="15"/>
        <v>5</v>
      </c>
      <c r="AA119" s="5">
        <f t="shared" si="33"/>
        <v>5</v>
      </c>
      <c r="AB119" s="5">
        <f t="shared" si="16"/>
        <v>2</v>
      </c>
      <c r="AC119" s="5">
        <f>IF(AB119="",NA(),COUNTIF(AB119:$AB$293,AB119))</f>
        <v>6</v>
      </c>
      <c r="AD119" s="5">
        <f t="shared" si="17"/>
        <v>0.22999999999999998</v>
      </c>
      <c r="AE119" s="5" t="e">
        <f t="shared" si="34"/>
        <v>#N/A</v>
      </c>
      <c r="AF119" s="5" t="e">
        <f t="shared" si="18"/>
        <v>#N/A</v>
      </c>
      <c r="AG119" s="5">
        <f t="shared" si="19"/>
        <v>3.2616000000000001</v>
      </c>
      <c r="AH119" s="5">
        <f t="shared" si="20"/>
        <v>3.2616000000000001</v>
      </c>
      <c r="AI119" s="5">
        <f t="shared" si="21"/>
        <v>4</v>
      </c>
      <c r="AJ119" s="5">
        <f t="shared" si="22"/>
        <v>4</v>
      </c>
      <c r="AK119" s="5">
        <f t="shared" si="23"/>
        <v>4</v>
      </c>
      <c r="AN119" s="260" t="s">
        <v>306</v>
      </c>
      <c r="AO119" s="68">
        <f>TDIST(ABS(AO117),ROUNDDOWN(AO118,0),2)</f>
        <v>0.22871576576934505</v>
      </c>
      <c r="AP119" s="68">
        <f>TINV((1-AP93/100),ROUNDDOWN(AO118,0))</f>
        <v>1.9977296334339405</v>
      </c>
      <c r="AQ119" s="91" t="s">
        <v>307</v>
      </c>
      <c r="AR119" s="62">
        <v>-4</v>
      </c>
      <c r="AS119" s="5">
        <f t="shared" si="37"/>
        <v>-8</v>
      </c>
      <c r="AT119" s="5">
        <f t="shared" si="38"/>
        <v>3.5490196078431371</v>
      </c>
      <c r="AU119" s="5">
        <f t="shared" si="39"/>
        <v>3.1</v>
      </c>
      <c r="AV119" s="5">
        <f t="shared" si="40"/>
        <v>3.5490196078431371</v>
      </c>
      <c r="AX119" s="5">
        <f t="shared" si="35"/>
        <v>5</v>
      </c>
      <c r="AY119" s="5">
        <f t="shared" si="24"/>
        <v>5</v>
      </c>
      <c r="AZ119" s="5">
        <f t="shared" si="25"/>
        <v>4.8924000000000003</v>
      </c>
      <c r="BA119" s="5">
        <f t="shared" si="26"/>
        <v>3</v>
      </c>
      <c r="BB119" s="5">
        <f>IF(BA119="",NA(),COUNTIF(BA119:$BA$193,BA119))</f>
        <v>2</v>
      </c>
      <c r="BC119" s="5">
        <f t="shared" si="27"/>
        <v>4.5999999999999999E-2</v>
      </c>
      <c r="BD119" s="5">
        <f t="shared" si="36"/>
        <v>4</v>
      </c>
      <c r="BE119" s="5">
        <f t="shared" si="28"/>
        <v>4</v>
      </c>
      <c r="BF119" s="5">
        <f t="shared" si="29"/>
        <v>3.2616000000000001</v>
      </c>
      <c r="BG119" s="5">
        <f t="shared" si="30"/>
        <v>2</v>
      </c>
      <c r="BH119" s="5">
        <f>IF(BG119="",NA(),COUNTIF(BG119:$BG$193,BG119))</f>
        <v>6</v>
      </c>
      <c r="BI119" s="5">
        <f t="shared" si="31"/>
        <v>0.22999999999999998</v>
      </c>
      <c r="BJ119" s="640">
        <v>111</v>
      </c>
      <c r="BK119" s="641"/>
      <c r="BL119" s="642"/>
      <c r="BM119" s="635">
        <v>111</v>
      </c>
      <c r="BN119" s="643"/>
      <c r="BO119" s="87"/>
      <c r="BP119" s="13"/>
      <c r="BR119" s="640">
        <v>111</v>
      </c>
      <c r="BS119" s="641"/>
      <c r="BT119" s="642"/>
      <c r="BU119" s="635">
        <v>111</v>
      </c>
      <c r="BV119" s="643"/>
      <c r="BW119" s="87"/>
      <c r="BX119" s="13"/>
      <c r="BZ119" s="640">
        <v>111</v>
      </c>
      <c r="CA119" s="641"/>
      <c r="CB119" s="642"/>
      <c r="CC119" s="635">
        <v>111</v>
      </c>
      <c r="CD119" s="643"/>
      <c r="CE119" s="87"/>
      <c r="CF119" s="13"/>
    </row>
    <row r="120" spans="1:84" ht="12.75" customHeight="1">
      <c r="A120" s="640">
        <v>112</v>
      </c>
      <c r="B120" s="641"/>
      <c r="C120" s="642"/>
      <c r="D120" s="635">
        <v>112</v>
      </c>
      <c r="E120" s="643"/>
      <c r="F120" s="87"/>
      <c r="G120" s="13"/>
      <c r="J120" s="5">
        <f t="shared" si="7"/>
        <v>0.47200000000000003</v>
      </c>
      <c r="K120" s="5">
        <f t="shared" si="41"/>
        <v>1.6308</v>
      </c>
      <c r="L120" s="5">
        <f t="shared" si="8"/>
        <v>2.2519999999999998</v>
      </c>
      <c r="M120" s="5">
        <f t="shared" si="42"/>
        <v>1.6308</v>
      </c>
      <c r="Q120" s="5">
        <f t="shared" si="9"/>
        <v>3</v>
      </c>
      <c r="R120" s="5">
        <f>IF(Q120="",NA(),COUNTIF(Q120:$Q$293,Q120))</f>
        <v>1</v>
      </c>
      <c r="S120" s="5">
        <f t="shared" si="10"/>
        <v>0</v>
      </c>
      <c r="T120" s="5" t="e">
        <f t="shared" si="32"/>
        <v>#N/A</v>
      </c>
      <c r="U120" s="5" t="e">
        <f t="shared" si="11"/>
        <v>#N/A</v>
      </c>
      <c r="V120" s="5">
        <f t="shared" si="12"/>
        <v>4.8924000000000003</v>
      </c>
      <c r="W120" s="5">
        <f t="shared" si="13"/>
        <v>4.8924000000000003</v>
      </c>
      <c r="X120" s="5">
        <v>27</v>
      </c>
      <c r="Y120" s="5">
        <f t="shared" si="14"/>
        <v>5</v>
      </c>
      <c r="Z120" s="5">
        <f t="shared" si="15"/>
        <v>5</v>
      </c>
      <c r="AA120" s="5">
        <f t="shared" si="33"/>
        <v>5</v>
      </c>
      <c r="AB120" s="5">
        <f t="shared" si="16"/>
        <v>2</v>
      </c>
      <c r="AC120" s="5">
        <f>IF(AB120="",NA(),COUNTIF(AB120:$AB$293,AB120))</f>
        <v>5</v>
      </c>
      <c r="AD120" s="5">
        <f t="shared" si="17"/>
        <v>0.184</v>
      </c>
      <c r="AE120" s="5" t="e">
        <f t="shared" si="34"/>
        <v>#N/A</v>
      </c>
      <c r="AF120" s="5" t="e">
        <f t="shared" si="18"/>
        <v>#N/A</v>
      </c>
      <c r="AG120" s="5">
        <f t="shared" si="19"/>
        <v>3.2616000000000001</v>
      </c>
      <c r="AH120" s="5">
        <f t="shared" si="20"/>
        <v>3.2616000000000001</v>
      </c>
      <c r="AI120" s="5">
        <f t="shared" si="21"/>
        <v>3</v>
      </c>
      <c r="AJ120" s="5">
        <f t="shared" si="22"/>
        <v>3</v>
      </c>
      <c r="AK120" s="5">
        <f t="shared" si="23"/>
        <v>3</v>
      </c>
      <c r="AN120" s="260" t="s">
        <v>308</v>
      </c>
      <c r="AO120" s="68">
        <f>TDIST(ABS(AO117),ROUNDUP(AO118,0),2)</f>
        <v>0.22864737053963557</v>
      </c>
      <c r="AP120" s="68">
        <f>TINV((1-AP93/100),ROUNDUP(AO118,0))</f>
        <v>1.9971378866881433</v>
      </c>
      <c r="AQ120" s="91" t="s">
        <v>309</v>
      </c>
      <c r="AR120" s="62">
        <v>-5</v>
      </c>
      <c r="AS120" s="5">
        <f t="shared" si="37"/>
        <v>-10</v>
      </c>
      <c r="AT120" s="5">
        <f t="shared" si="38"/>
        <v>1.5490196078431371</v>
      </c>
      <c r="AU120" s="5">
        <f t="shared" si="39"/>
        <v>3.1</v>
      </c>
      <c r="AV120" s="5">
        <f t="shared" si="40"/>
        <v>1.5490196078431371</v>
      </c>
      <c r="AX120" s="5">
        <f t="shared" si="35"/>
        <v>5</v>
      </c>
      <c r="AY120" s="5">
        <f t="shared" si="24"/>
        <v>5</v>
      </c>
      <c r="AZ120" s="5">
        <f t="shared" si="25"/>
        <v>4.8924000000000003</v>
      </c>
      <c r="BA120" s="5">
        <f t="shared" si="26"/>
        <v>3</v>
      </c>
      <c r="BB120" s="5">
        <f>IF(BA120="",NA(),COUNTIF(BA120:$BA$193,BA120))</f>
        <v>1</v>
      </c>
      <c r="BC120" s="5">
        <f t="shared" si="27"/>
        <v>0</v>
      </c>
      <c r="BD120" s="5">
        <f t="shared" si="36"/>
        <v>3</v>
      </c>
      <c r="BE120" s="5">
        <f t="shared" si="28"/>
        <v>3</v>
      </c>
      <c r="BF120" s="5">
        <f t="shared" si="29"/>
        <v>3.2616000000000001</v>
      </c>
      <c r="BG120" s="5">
        <f t="shared" si="30"/>
        <v>2</v>
      </c>
      <c r="BH120" s="5">
        <f>IF(BG120="",NA(),COUNTIF(BG120:$BG$193,BG120))</f>
        <v>5</v>
      </c>
      <c r="BI120" s="5">
        <f t="shared" si="31"/>
        <v>0.184</v>
      </c>
      <c r="BJ120" s="640">
        <v>112</v>
      </c>
      <c r="BK120" s="641"/>
      <c r="BL120" s="642"/>
      <c r="BM120" s="635">
        <v>112</v>
      </c>
      <c r="BN120" s="643"/>
      <c r="BO120" s="87"/>
      <c r="BP120" s="13"/>
      <c r="BR120" s="640">
        <v>112</v>
      </c>
      <c r="BS120" s="641"/>
      <c r="BT120" s="642"/>
      <c r="BU120" s="635">
        <v>112</v>
      </c>
      <c r="BV120" s="643"/>
      <c r="BW120" s="87"/>
      <c r="BX120" s="13"/>
      <c r="BZ120" s="640">
        <v>112</v>
      </c>
      <c r="CA120" s="641"/>
      <c r="CB120" s="642"/>
      <c r="CC120" s="635">
        <v>112</v>
      </c>
      <c r="CD120" s="643"/>
      <c r="CE120" s="87"/>
      <c r="CF120" s="13"/>
    </row>
    <row r="121" spans="1:84" ht="12.75" customHeight="1">
      <c r="A121" s="640">
        <v>113</v>
      </c>
      <c r="B121" s="641"/>
      <c r="C121" s="642"/>
      <c r="D121" s="635">
        <v>113</v>
      </c>
      <c r="E121" s="643"/>
      <c r="F121" s="87"/>
      <c r="G121" s="13"/>
      <c r="I121" s="19"/>
      <c r="J121" s="5">
        <f t="shared" si="7"/>
        <v>0.51800000000000002</v>
      </c>
      <c r="K121" s="5">
        <f t="shared" si="41"/>
        <v>1.6308</v>
      </c>
      <c r="L121" s="5">
        <f t="shared" si="8"/>
        <v>2.206</v>
      </c>
      <c r="M121" s="5">
        <f t="shared" si="42"/>
        <v>1.6308</v>
      </c>
      <c r="Q121" s="5">
        <f t="shared" si="9"/>
        <v>2</v>
      </c>
      <c r="R121" s="5">
        <f>IF(Q121="",NA(),COUNTIF(Q121:$Q$293,Q121))</f>
        <v>9</v>
      </c>
      <c r="S121" s="5">
        <f t="shared" si="10"/>
        <v>0.36799999999999999</v>
      </c>
      <c r="T121" s="5" t="e">
        <f t="shared" si="32"/>
        <v>#N/A</v>
      </c>
      <c r="U121" s="5" t="e">
        <f t="shared" si="11"/>
        <v>#N/A</v>
      </c>
      <c r="V121" s="5">
        <f t="shared" si="12"/>
        <v>3.2616000000000001</v>
      </c>
      <c r="W121" s="5">
        <f t="shared" si="13"/>
        <v>3.2616000000000001</v>
      </c>
      <c r="X121" s="5">
        <v>28</v>
      </c>
      <c r="Y121" s="5">
        <f t="shared" si="14"/>
        <v>4</v>
      </c>
      <c r="Z121" s="5">
        <f t="shared" si="15"/>
        <v>4</v>
      </c>
      <c r="AA121" s="5">
        <f t="shared" si="33"/>
        <v>4</v>
      </c>
      <c r="AB121" s="5">
        <f t="shared" si="16"/>
        <v>2</v>
      </c>
      <c r="AC121" s="5">
        <f>IF(AB121="",NA(),COUNTIF(AB121:$AB$293,AB121))</f>
        <v>4</v>
      </c>
      <c r="AD121" s="5">
        <f t="shared" si="17"/>
        <v>0.13800000000000001</v>
      </c>
      <c r="AE121" s="5" t="e">
        <f t="shared" si="34"/>
        <v>#N/A</v>
      </c>
      <c r="AF121" s="5" t="e">
        <f t="shared" si="18"/>
        <v>#N/A</v>
      </c>
      <c r="AG121" s="5">
        <f t="shared" si="19"/>
        <v>3.2616000000000001</v>
      </c>
      <c r="AH121" s="5">
        <f t="shared" si="20"/>
        <v>3.2616000000000001</v>
      </c>
      <c r="AI121" s="5">
        <f t="shared" si="21"/>
        <v>3</v>
      </c>
      <c r="AJ121" s="5">
        <f t="shared" si="22"/>
        <v>3</v>
      </c>
      <c r="AK121" s="5">
        <f t="shared" si="23"/>
        <v>3</v>
      </c>
      <c r="AN121" s="260" t="s">
        <v>310</v>
      </c>
      <c r="AO121" s="68">
        <f>AO118-ROUNDDOWN(AO118,0)</f>
        <v>0.69588658559264616</v>
      </c>
      <c r="AP121" s="68"/>
      <c r="AQ121" s="91"/>
      <c r="AR121" s="62">
        <v>-6</v>
      </c>
      <c r="AS121" s="5">
        <f t="shared" si="37"/>
        <v>-12</v>
      </c>
      <c r="AT121" s="5">
        <f t="shared" si="38"/>
        <v>-0.45098039215686292</v>
      </c>
      <c r="AU121" s="5">
        <f t="shared" si="39"/>
        <v>3.1</v>
      </c>
      <c r="AV121" s="5">
        <f t="shared" si="40"/>
        <v>-0.45098039215686292</v>
      </c>
      <c r="AX121" s="5">
        <f t="shared" si="35"/>
        <v>4</v>
      </c>
      <c r="AY121" s="5">
        <f t="shared" si="24"/>
        <v>4</v>
      </c>
      <c r="AZ121" s="5">
        <f t="shared" si="25"/>
        <v>3.2616000000000001</v>
      </c>
      <c r="BA121" s="5">
        <f t="shared" si="26"/>
        <v>2</v>
      </c>
      <c r="BB121" s="5">
        <f>IF(BA121="",NA(),COUNTIF(BA121:$BA$193,BA121))</f>
        <v>9</v>
      </c>
      <c r="BC121" s="5">
        <f t="shared" si="27"/>
        <v>0.36799999999999999</v>
      </c>
      <c r="BD121" s="5">
        <f t="shared" si="36"/>
        <v>3</v>
      </c>
      <c r="BE121" s="5">
        <f t="shared" si="28"/>
        <v>3</v>
      </c>
      <c r="BF121" s="5">
        <f t="shared" si="29"/>
        <v>3.2616000000000001</v>
      </c>
      <c r="BG121" s="5">
        <f t="shared" si="30"/>
        <v>2</v>
      </c>
      <c r="BH121" s="5">
        <f>IF(BG121="",NA(),COUNTIF(BG121:$BG$193,BG121))</f>
        <v>4</v>
      </c>
      <c r="BI121" s="5">
        <f t="shared" si="31"/>
        <v>0.13800000000000001</v>
      </c>
      <c r="BJ121" s="640">
        <v>113</v>
      </c>
      <c r="BK121" s="641"/>
      <c r="BL121" s="642"/>
      <c r="BM121" s="635">
        <v>113</v>
      </c>
      <c r="BN121" s="643"/>
      <c r="BO121" s="87"/>
      <c r="BP121" s="13"/>
      <c r="BR121" s="640">
        <v>113</v>
      </c>
      <c r="BS121" s="641"/>
      <c r="BT121" s="642"/>
      <c r="BU121" s="635">
        <v>113</v>
      </c>
      <c r="BV121" s="643"/>
      <c r="BW121" s="87"/>
      <c r="BX121" s="13"/>
      <c r="BZ121" s="640">
        <v>113</v>
      </c>
      <c r="CA121" s="641"/>
      <c r="CB121" s="642"/>
      <c r="CC121" s="635">
        <v>113</v>
      </c>
      <c r="CD121" s="643"/>
      <c r="CE121" s="87"/>
      <c r="CF121" s="13"/>
    </row>
    <row r="122" spans="1:84" ht="12.75" customHeight="1">
      <c r="A122" s="640">
        <v>114</v>
      </c>
      <c r="B122" s="641"/>
      <c r="C122" s="642"/>
      <c r="D122" s="635">
        <v>114</v>
      </c>
      <c r="E122" s="643"/>
      <c r="F122" s="87"/>
      <c r="G122" s="13"/>
      <c r="J122" s="5">
        <f t="shared" si="7"/>
        <v>0.56400000000000006</v>
      </c>
      <c r="K122" s="5">
        <f t="shared" si="41"/>
        <v>1.6308</v>
      </c>
      <c r="L122" s="5">
        <f t="shared" si="8"/>
        <v>2.1599999999999997</v>
      </c>
      <c r="M122" s="5">
        <f t="shared" si="42"/>
        <v>1.6308</v>
      </c>
      <c r="Q122" s="5">
        <f t="shared" si="9"/>
        <v>2</v>
      </c>
      <c r="R122" s="5">
        <f>IF(Q122="",NA(),COUNTIF(Q122:$Q$293,Q122))</f>
        <v>8</v>
      </c>
      <c r="S122" s="5">
        <f t="shared" si="10"/>
        <v>0.32200000000000001</v>
      </c>
      <c r="T122" s="5" t="e">
        <f t="shared" si="32"/>
        <v>#N/A</v>
      </c>
      <c r="U122" s="5" t="e">
        <f t="shared" si="11"/>
        <v>#N/A</v>
      </c>
      <c r="V122" s="5">
        <f t="shared" si="12"/>
        <v>3.2616000000000001</v>
      </c>
      <c r="W122" s="5">
        <f t="shared" si="13"/>
        <v>3.2616000000000001</v>
      </c>
      <c r="X122" s="5">
        <v>29</v>
      </c>
      <c r="Y122" s="5">
        <f t="shared" si="14"/>
        <v>4</v>
      </c>
      <c r="Z122" s="5">
        <f t="shared" si="15"/>
        <v>4</v>
      </c>
      <c r="AA122" s="5">
        <f t="shared" si="33"/>
        <v>4</v>
      </c>
      <c r="AB122" s="5">
        <f t="shared" si="16"/>
        <v>2</v>
      </c>
      <c r="AC122" s="5">
        <f>IF(AB122="",NA(),COUNTIF(AB122:$AB$293,AB122))</f>
        <v>3</v>
      </c>
      <c r="AD122" s="5">
        <f t="shared" si="17"/>
        <v>9.1999999999999998E-2</v>
      </c>
      <c r="AE122" s="5" t="e">
        <f t="shared" si="34"/>
        <v>#N/A</v>
      </c>
      <c r="AF122" s="5" t="e">
        <f t="shared" si="18"/>
        <v>#N/A</v>
      </c>
      <c r="AG122" s="5">
        <f t="shared" si="19"/>
        <v>3.2616000000000001</v>
      </c>
      <c r="AH122" s="5">
        <f t="shared" si="20"/>
        <v>3.2616000000000001</v>
      </c>
      <c r="AI122" s="5">
        <f t="shared" si="21"/>
        <v>3</v>
      </c>
      <c r="AJ122" s="5">
        <f t="shared" si="22"/>
        <v>3</v>
      </c>
      <c r="AK122" s="5">
        <f t="shared" si="23"/>
        <v>3</v>
      </c>
      <c r="AN122" s="260" t="s">
        <v>311</v>
      </c>
      <c r="AO122" s="68">
        <f>AO120*$AO$121+AO119*(1-$AO$121)</f>
        <v>0.2286681704464717</v>
      </c>
      <c r="AP122" s="68">
        <f>AP120*$AO$121+AP119*(1-$AO$121)</f>
        <v>1.9973178448114721</v>
      </c>
      <c r="AQ122" s="91" t="s">
        <v>300</v>
      </c>
      <c r="AR122" s="62">
        <v>-7</v>
      </c>
      <c r="AS122" s="5">
        <f t="shared" si="37"/>
        <v>-14</v>
      </c>
      <c r="AT122" s="5">
        <f t="shared" si="38"/>
        <v>-2.4509803921568629</v>
      </c>
      <c r="AU122" s="5">
        <f t="shared" si="39"/>
        <v>3.1</v>
      </c>
      <c r="AV122" s="5" t="e">
        <f t="shared" si="40"/>
        <v>#N/A</v>
      </c>
      <c r="AX122" s="5">
        <f t="shared" si="35"/>
        <v>4</v>
      </c>
      <c r="AY122" s="5">
        <f t="shared" si="24"/>
        <v>4</v>
      </c>
      <c r="AZ122" s="5">
        <f t="shared" si="25"/>
        <v>3.2616000000000001</v>
      </c>
      <c r="BA122" s="5">
        <f t="shared" si="26"/>
        <v>2</v>
      </c>
      <c r="BB122" s="5">
        <f>IF(BA122="",NA(),COUNTIF(BA122:$BA$193,BA122))</f>
        <v>8</v>
      </c>
      <c r="BC122" s="5">
        <f t="shared" si="27"/>
        <v>0.32200000000000001</v>
      </c>
      <c r="BD122" s="5">
        <f t="shared" si="36"/>
        <v>3</v>
      </c>
      <c r="BE122" s="5">
        <f t="shared" si="28"/>
        <v>3</v>
      </c>
      <c r="BF122" s="5">
        <f t="shared" si="29"/>
        <v>3.2616000000000001</v>
      </c>
      <c r="BG122" s="5">
        <f t="shared" si="30"/>
        <v>2</v>
      </c>
      <c r="BH122" s="5">
        <f>IF(BG122="",NA(),COUNTIF(BG122:$BG$193,BG122))</f>
        <v>3</v>
      </c>
      <c r="BI122" s="5">
        <f t="shared" si="31"/>
        <v>9.1999999999999998E-2</v>
      </c>
      <c r="BJ122" s="640">
        <v>114</v>
      </c>
      <c r="BK122" s="641"/>
      <c r="BL122" s="642"/>
      <c r="BM122" s="635">
        <v>114</v>
      </c>
      <c r="BN122" s="643"/>
      <c r="BO122" s="87"/>
      <c r="BP122" s="13"/>
      <c r="BR122" s="640">
        <v>114</v>
      </c>
      <c r="BS122" s="641"/>
      <c r="BT122" s="642"/>
      <c r="BU122" s="635">
        <v>114</v>
      </c>
      <c r="BV122" s="643"/>
      <c r="BW122" s="87"/>
      <c r="BX122" s="13"/>
      <c r="BZ122" s="640">
        <v>114</v>
      </c>
      <c r="CA122" s="641"/>
      <c r="CB122" s="642"/>
      <c r="CC122" s="635">
        <v>114</v>
      </c>
      <c r="CD122" s="643"/>
      <c r="CE122" s="87"/>
      <c r="CF122" s="13"/>
    </row>
    <row r="123" spans="1:84" ht="12.75" customHeight="1">
      <c r="A123" s="640">
        <v>115</v>
      </c>
      <c r="B123" s="641"/>
      <c r="C123" s="642"/>
      <c r="D123" s="635">
        <v>115</v>
      </c>
      <c r="E123" s="643"/>
      <c r="F123" s="87"/>
      <c r="G123" s="13"/>
      <c r="I123" s="19"/>
      <c r="J123" s="5">
        <f t="shared" si="7"/>
        <v>0.61</v>
      </c>
      <c r="K123" s="5">
        <f t="shared" si="41"/>
        <v>1.6308</v>
      </c>
      <c r="L123" s="5">
        <f t="shared" si="8"/>
        <v>2.1139999999999999</v>
      </c>
      <c r="M123" s="5">
        <f t="shared" si="42"/>
        <v>1.6308</v>
      </c>
      <c r="Q123" s="5">
        <f t="shared" si="9"/>
        <v>2</v>
      </c>
      <c r="R123" s="5">
        <f>IF(Q123="",NA(),COUNTIF(Q123:$Q$293,Q123))</f>
        <v>7</v>
      </c>
      <c r="S123" s="5">
        <f t="shared" si="10"/>
        <v>0.27600000000000002</v>
      </c>
      <c r="T123" s="5" t="e">
        <f t="shared" si="32"/>
        <v>#N/A</v>
      </c>
      <c r="U123" s="5" t="e">
        <f t="shared" si="11"/>
        <v>#N/A</v>
      </c>
      <c r="V123" s="5">
        <f t="shared" si="12"/>
        <v>3.2616000000000001</v>
      </c>
      <c r="W123" s="5">
        <f t="shared" si="13"/>
        <v>3.2616000000000001</v>
      </c>
      <c r="X123" s="5">
        <v>30</v>
      </c>
      <c r="Y123" s="5">
        <f t="shared" si="14"/>
        <v>4</v>
      </c>
      <c r="Z123" s="5">
        <f t="shared" si="15"/>
        <v>4</v>
      </c>
      <c r="AA123" s="5">
        <f t="shared" si="33"/>
        <v>4</v>
      </c>
      <c r="AB123" s="5">
        <f t="shared" si="16"/>
        <v>2</v>
      </c>
      <c r="AC123" s="5">
        <f>IF(AB123="",NA(),COUNTIF(AB123:$AB$293,AB123))</f>
        <v>2</v>
      </c>
      <c r="AD123" s="5">
        <f t="shared" si="17"/>
        <v>4.5999999999999999E-2</v>
      </c>
      <c r="AE123" s="5" t="e">
        <f t="shared" si="34"/>
        <v>#N/A</v>
      </c>
      <c r="AF123" s="5" t="e">
        <f t="shared" si="18"/>
        <v>#N/A</v>
      </c>
      <c r="AG123" s="5">
        <f t="shared" si="19"/>
        <v>3.2616000000000001</v>
      </c>
      <c r="AH123" s="5">
        <f t="shared" si="20"/>
        <v>3.2616000000000001</v>
      </c>
      <c r="AI123" s="5">
        <f t="shared" si="21"/>
        <v>3</v>
      </c>
      <c r="AJ123" s="5">
        <f t="shared" si="22"/>
        <v>3</v>
      </c>
      <c r="AK123" s="5">
        <f t="shared" si="23"/>
        <v>3</v>
      </c>
      <c r="AN123" s="115" t="s">
        <v>289</v>
      </c>
      <c r="AO123" s="70">
        <f>AP122*AO116</f>
        <v>7.3267994399392187</v>
      </c>
      <c r="AP123" s="682"/>
      <c r="AQ123" s="97"/>
      <c r="AR123" s="62">
        <v>-8</v>
      </c>
      <c r="AS123" s="5">
        <f t="shared" si="37"/>
        <v>-16</v>
      </c>
      <c r="AT123" s="5">
        <f t="shared" si="38"/>
        <v>-4.4509803921568629</v>
      </c>
      <c r="AU123" s="5">
        <f t="shared" si="39"/>
        <v>3.1</v>
      </c>
      <c r="AV123" s="5" t="e">
        <f t="shared" si="40"/>
        <v>#N/A</v>
      </c>
      <c r="AX123" s="5">
        <f t="shared" si="35"/>
        <v>4</v>
      </c>
      <c r="AY123" s="5">
        <f t="shared" si="24"/>
        <v>4</v>
      </c>
      <c r="AZ123" s="5">
        <f t="shared" si="25"/>
        <v>3.2616000000000001</v>
      </c>
      <c r="BA123" s="5">
        <f t="shared" si="26"/>
        <v>2</v>
      </c>
      <c r="BB123" s="5">
        <f>IF(BA123="",NA(),COUNTIF(BA123:$BA$193,BA123))</f>
        <v>7</v>
      </c>
      <c r="BC123" s="5">
        <f t="shared" si="27"/>
        <v>0.27600000000000002</v>
      </c>
      <c r="BD123" s="5">
        <f t="shared" si="36"/>
        <v>3</v>
      </c>
      <c r="BE123" s="5">
        <f t="shared" si="28"/>
        <v>3</v>
      </c>
      <c r="BF123" s="5">
        <f t="shared" si="29"/>
        <v>3.2616000000000001</v>
      </c>
      <c r="BG123" s="5">
        <f t="shared" si="30"/>
        <v>2</v>
      </c>
      <c r="BH123" s="5">
        <f>IF(BG123="",NA(),COUNTIF(BG123:$BG$193,BG123))</f>
        <v>2</v>
      </c>
      <c r="BI123" s="5">
        <f t="shared" si="31"/>
        <v>4.5999999999999999E-2</v>
      </c>
      <c r="BJ123" s="640">
        <v>115</v>
      </c>
      <c r="BK123" s="641"/>
      <c r="BL123" s="642"/>
      <c r="BM123" s="635">
        <v>115</v>
      </c>
      <c r="BN123" s="643"/>
      <c r="BO123" s="87"/>
      <c r="BP123" s="13"/>
      <c r="BR123" s="640">
        <v>115</v>
      </c>
      <c r="BS123" s="641"/>
      <c r="BT123" s="642"/>
      <c r="BU123" s="635">
        <v>115</v>
      </c>
      <c r="BV123" s="643"/>
      <c r="BW123" s="87"/>
      <c r="BX123" s="13"/>
      <c r="BZ123" s="640">
        <v>115</v>
      </c>
      <c r="CA123" s="641"/>
      <c r="CB123" s="642"/>
      <c r="CC123" s="635">
        <v>115</v>
      </c>
      <c r="CD123" s="643"/>
      <c r="CE123" s="87"/>
      <c r="CF123" s="13"/>
    </row>
    <row r="124" spans="1:84" ht="12.75" customHeight="1">
      <c r="A124" s="640">
        <v>116</v>
      </c>
      <c r="B124" s="641"/>
      <c r="C124" s="642"/>
      <c r="D124" s="635">
        <v>116</v>
      </c>
      <c r="E124" s="643"/>
      <c r="F124" s="87"/>
      <c r="G124" s="13"/>
      <c r="J124" s="5">
        <f t="shared" si="7"/>
        <v>0.65599999999999992</v>
      </c>
      <c r="K124" s="5">
        <f t="shared" si="41"/>
        <v>1.6308</v>
      </c>
      <c r="L124" s="5">
        <f t="shared" si="8"/>
        <v>2.0680000000000001</v>
      </c>
      <c r="M124" s="5">
        <f t="shared" si="42"/>
        <v>1.6308</v>
      </c>
      <c r="Q124" s="5">
        <f t="shared" si="9"/>
        <v>2</v>
      </c>
      <c r="R124" s="5">
        <f>IF(Q124="",NA(),COUNTIF(Q124:$Q$293,Q124))</f>
        <v>6</v>
      </c>
      <c r="S124" s="5">
        <f t="shared" si="10"/>
        <v>0.22999999999999998</v>
      </c>
      <c r="T124" s="5" t="e">
        <f t="shared" si="32"/>
        <v>#N/A</v>
      </c>
      <c r="U124" s="5" t="e">
        <f t="shared" si="11"/>
        <v>#N/A</v>
      </c>
      <c r="V124" s="5">
        <f t="shared" si="12"/>
        <v>3.2616000000000001</v>
      </c>
      <c r="W124" s="5">
        <f t="shared" si="13"/>
        <v>3.2616000000000001</v>
      </c>
      <c r="X124" s="5">
        <v>31</v>
      </c>
      <c r="Y124" s="5">
        <f t="shared" si="14"/>
        <v>4</v>
      </c>
      <c r="Z124" s="5">
        <f t="shared" si="15"/>
        <v>4</v>
      </c>
      <c r="AA124" s="5">
        <f t="shared" si="33"/>
        <v>4</v>
      </c>
      <c r="AB124" s="5">
        <f t="shared" si="16"/>
        <v>2</v>
      </c>
      <c r="AC124" s="5">
        <f>IF(AB124="",NA(),COUNTIF(AB124:$AB$293,AB124))</f>
        <v>1</v>
      </c>
      <c r="AD124" s="5">
        <f t="shared" si="17"/>
        <v>0</v>
      </c>
      <c r="AE124" s="5" t="e">
        <f t="shared" si="34"/>
        <v>#N/A</v>
      </c>
      <c r="AF124" s="5" t="e">
        <f t="shared" si="18"/>
        <v>#N/A</v>
      </c>
      <c r="AG124" s="5">
        <f t="shared" si="19"/>
        <v>3.2616000000000001</v>
      </c>
      <c r="AH124" s="5">
        <f t="shared" si="20"/>
        <v>3.2616000000000001</v>
      </c>
      <c r="AI124" s="5">
        <f t="shared" si="21"/>
        <v>3</v>
      </c>
      <c r="AJ124" s="5">
        <f t="shared" si="22"/>
        <v>3</v>
      </c>
      <c r="AK124" s="5">
        <f t="shared" si="23"/>
        <v>3</v>
      </c>
      <c r="AR124" s="62">
        <v>-9</v>
      </c>
      <c r="AS124" s="5">
        <f t="shared" si="37"/>
        <v>-18</v>
      </c>
      <c r="AT124" s="5">
        <f t="shared" si="38"/>
        <v>-6.4509803921568629</v>
      </c>
      <c r="AU124" s="5">
        <f t="shared" si="39"/>
        <v>3.1</v>
      </c>
      <c r="AV124" s="5" t="e">
        <f t="shared" si="40"/>
        <v>#N/A</v>
      </c>
      <c r="AX124" s="5">
        <f t="shared" si="35"/>
        <v>4</v>
      </c>
      <c r="AY124" s="5">
        <f t="shared" si="24"/>
        <v>4</v>
      </c>
      <c r="AZ124" s="5">
        <f t="shared" si="25"/>
        <v>3.2616000000000001</v>
      </c>
      <c r="BA124" s="5">
        <f t="shared" si="26"/>
        <v>2</v>
      </c>
      <c r="BB124" s="5">
        <f>IF(BA124="",NA(),COUNTIF(BA124:$BA$193,BA124))</f>
        <v>6</v>
      </c>
      <c r="BC124" s="5">
        <f t="shared" si="27"/>
        <v>0.22999999999999998</v>
      </c>
      <c r="BD124" s="5">
        <f t="shared" si="36"/>
        <v>3</v>
      </c>
      <c r="BE124" s="5">
        <f t="shared" si="28"/>
        <v>3</v>
      </c>
      <c r="BF124" s="5">
        <f t="shared" si="29"/>
        <v>3.2616000000000001</v>
      </c>
      <c r="BG124" s="5">
        <f t="shared" si="30"/>
        <v>2</v>
      </c>
      <c r="BH124" s="5">
        <f>IF(BG124="",NA(),COUNTIF(BG124:$BG$193,BG124))</f>
        <v>1</v>
      </c>
      <c r="BI124" s="5">
        <f t="shared" si="31"/>
        <v>0</v>
      </c>
      <c r="BJ124" s="640">
        <v>116</v>
      </c>
      <c r="BK124" s="641"/>
      <c r="BL124" s="642"/>
      <c r="BM124" s="635">
        <v>116</v>
      </c>
      <c r="BN124" s="643"/>
      <c r="BO124" s="87"/>
      <c r="BP124" s="13"/>
      <c r="BR124" s="640">
        <v>116</v>
      </c>
      <c r="BS124" s="641"/>
      <c r="BT124" s="642"/>
      <c r="BU124" s="635">
        <v>116</v>
      </c>
      <c r="BV124" s="643"/>
      <c r="BW124" s="87"/>
      <c r="BX124" s="13"/>
      <c r="BZ124" s="640">
        <v>116</v>
      </c>
      <c r="CA124" s="641"/>
      <c r="CB124" s="642"/>
      <c r="CC124" s="635">
        <v>116</v>
      </c>
      <c r="CD124" s="643"/>
      <c r="CE124" s="87"/>
      <c r="CF124" s="13"/>
    </row>
    <row r="125" spans="1:84" ht="12.75" customHeight="1">
      <c r="A125" s="640">
        <v>117</v>
      </c>
      <c r="B125" s="641"/>
      <c r="C125" s="642"/>
      <c r="D125" s="635">
        <v>117</v>
      </c>
      <c r="E125" s="643"/>
      <c r="F125" s="87"/>
      <c r="G125" s="13"/>
      <c r="I125" s="19"/>
      <c r="J125" s="5">
        <f t="shared" si="7"/>
        <v>0.70199999999999996</v>
      </c>
      <c r="K125" s="5">
        <f t="shared" si="41"/>
        <v>1.6308</v>
      </c>
      <c r="L125" s="5">
        <f t="shared" si="8"/>
        <v>2.1599999999999997</v>
      </c>
      <c r="M125" s="5">
        <f t="shared" si="42"/>
        <v>0</v>
      </c>
      <c r="Q125" s="5">
        <f t="shared" si="9"/>
        <v>2</v>
      </c>
      <c r="R125" s="5">
        <f>IF(Q125="",NA(),COUNTIF(Q125:$Q$293,Q125))</f>
        <v>5</v>
      </c>
      <c r="S125" s="5">
        <f t="shared" si="10"/>
        <v>0.184</v>
      </c>
      <c r="T125" s="5" t="e">
        <f t="shared" si="32"/>
        <v>#N/A</v>
      </c>
      <c r="U125" s="5" t="e">
        <f t="shared" si="11"/>
        <v>#N/A</v>
      </c>
      <c r="V125" s="5">
        <f t="shared" si="12"/>
        <v>3.2616000000000001</v>
      </c>
      <c r="W125" s="5">
        <f t="shared" si="13"/>
        <v>3.2616000000000001</v>
      </c>
      <c r="X125" s="5">
        <v>32</v>
      </c>
      <c r="Y125" s="5">
        <f t="shared" si="14"/>
        <v>4</v>
      </c>
      <c r="Z125" s="5">
        <f t="shared" si="15"/>
        <v>4</v>
      </c>
      <c r="AA125" s="5">
        <f t="shared" si="33"/>
        <v>4</v>
      </c>
      <c r="AB125" s="5">
        <f t="shared" si="16"/>
        <v>1</v>
      </c>
      <c r="AC125" s="5">
        <f>IF(AB125="",NA(),COUNTIF(AB125:$AB$293,AB125))</f>
        <v>10</v>
      </c>
      <c r="AD125" s="5">
        <f t="shared" si="17"/>
        <v>0.41399999999999998</v>
      </c>
      <c r="AE125" s="5" t="e">
        <f t="shared" si="34"/>
        <v>#N/A</v>
      </c>
      <c r="AF125" s="5" t="e">
        <f t="shared" si="18"/>
        <v>#N/A</v>
      </c>
      <c r="AG125" s="5">
        <f t="shared" si="19"/>
        <v>1.6308</v>
      </c>
      <c r="AH125" s="5">
        <f t="shared" si="20"/>
        <v>1.6308</v>
      </c>
      <c r="AI125" s="5">
        <f t="shared" si="21"/>
        <v>2</v>
      </c>
      <c r="AJ125" s="5">
        <f t="shared" si="22"/>
        <v>2</v>
      </c>
      <c r="AK125" s="5">
        <f t="shared" si="23"/>
        <v>2</v>
      </c>
      <c r="AN125" s="5" t="s">
        <v>192</v>
      </c>
      <c r="AR125" s="62">
        <v>-10</v>
      </c>
      <c r="AS125" s="5">
        <f t="shared" si="37"/>
        <v>-20</v>
      </c>
      <c r="AT125" s="5">
        <f t="shared" si="38"/>
        <v>-8.4509803921568629</v>
      </c>
      <c r="AU125" s="5">
        <f t="shared" si="39"/>
        <v>3.1</v>
      </c>
      <c r="AV125" s="5" t="e">
        <f t="shared" si="40"/>
        <v>#N/A</v>
      </c>
      <c r="AX125" s="5">
        <f t="shared" si="35"/>
        <v>4</v>
      </c>
      <c r="AY125" s="5">
        <f t="shared" si="24"/>
        <v>4</v>
      </c>
      <c r="AZ125" s="5">
        <f t="shared" si="25"/>
        <v>3.2616000000000001</v>
      </c>
      <c r="BA125" s="5">
        <f t="shared" si="26"/>
        <v>2</v>
      </c>
      <c r="BB125" s="5">
        <f>IF(BA125="",NA(),COUNTIF(BA125:$BA$193,BA125))</f>
        <v>5</v>
      </c>
      <c r="BC125" s="5">
        <f t="shared" si="27"/>
        <v>0.184</v>
      </c>
      <c r="BD125" s="5">
        <f t="shared" si="36"/>
        <v>2</v>
      </c>
      <c r="BE125" s="5">
        <f t="shared" si="28"/>
        <v>2</v>
      </c>
      <c r="BF125" s="5">
        <f t="shared" si="29"/>
        <v>1.6308</v>
      </c>
      <c r="BG125" s="5">
        <f t="shared" si="30"/>
        <v>1</v>
      </c>
      <c r="BH125" s="5">
        <f>IF(BG125="",NA(),COUNTIF(BG125:$BG$193,BG125))</f>
        <v>10</v>
      </c>
      <c r="BI125" s="5">
        <f t="shared" si="31"/>
        <v>0.41399999999999998</v>
      </c>
      <c r="BJ125" s="640">
        <v>117</v>
      </c>
      <c r="BK125" s="641"/>
      <c r="BL125" s="642"/>
      <c r="BM125" s="635">
        <v>117</v>
      </c>
      <c r="BN125" s="643"/>
      <c r="BO125" s="87"/>
      <c r="BP125" s="13"/>
      <c r="BR125" s="640">
        <v>117</v>
      </c>
      <c r="BS125" s="641"/>
      <c r="BT125" s="642"/>
      <c r="BU125" s="635">
        <v>117</v>
      </c>
      <c r="BV125" s="643"/>
      <c r="BW125" s="87"/>
      <c r="BX125" s="13"/>
      <c r="BZ125" s="640">
        <v>117</v>
      </c>
      <c r="CA125" s="641"/>
      <c r="CB125" s="642"/>
      <c r="CC125" s="635">
        <v>117</v>
      </c>
      <c r="CD125" s="643"/>
      <c r="CE125" s="87"/>
      <c r="CF125" s="13"/>
    </row>
    <row r="126" spans="1:84" ht="12.75" customHeight="1">
      <c r="A126" s="640">
        <v>118</v>
      </c>
      <c r="B126" s="641"/>
      <c r="C126" s="642"/>
      <c r="D126" s="635">
        <v>118</v>
      </c>
      <c r="E126" s="643"/>
      <c r="F126" s="87"/>
      <c r="G126" s="13"/>
      <c r="J126" s="5">
        <f t="shared" si="7"/>
        <v>0.748</v>
      </c>
      <c r="K126" s="5">
        <f t="shared" si="41"/>
        <v>1.6308</v>
      </c>
      <c r="L126" s="5">
        <f t="shared" si="8"/>
        <v>2.1139999999999999</v>
      </c>
      <c r="M126" s="5">
        <f t="shared" si="42"/>
        <v>0</v>
      </c>
      <c r="Q126" s="5">
        <f t="shared" ref="Q126:Q157" si="43">IF(Y126="","",IF($AF$87=0,Y126,ROUND(Y126/$AF$87,0)))</f>
        <v>2</v>
      </c>
      <c r="R126" s="5">
        <f>IF(Q126="",NA(),COUNTIF(Q126:$Q$293,Q126))</f>
        <v>4</v>
      </c>
      <c r="S126" s="5">
        <f t="shared" ref="S126:S157" si="44">(R126-1)*$AF$90</f>
        <v>0.13800000000000001</v>
      </c>
      <c r="T126" s="5" t="e">
        <f t="shared" si="32"/>
        <v>#N/A</v>
      </c>
      <c r="U126" s="5" t="e">
        <f t="shared" ref="U126:U157" si="45">IF(X126&gt;$X$89,NA(),IF(OR(X126&lt;=$X$90,X126&gt;$X$89-$X$90),IF($AP$92,W126,Y126),NA()))</f>
        <v>#N/A</v>
      </c>
      <c r="V126" s="5">
        <f t="shared" ref="V126:V157" si="46">IF(X126&gt;$X$89,NA(),IF(AND(X126&gt;$X$90,X126&lt;=$X$89-$X$90),IF($AP$92,W126,Y126),NA()))</f>
        <v>3.2616000000000001</v>
      </c>
      <c r="W126" s="5">
        <f t="shared" ref="W126:W157" si="47">IF(X126&gt;$X$89,"",LARGE($AZ$94:$AZ$293,X126))</f>
        <v>3.2616000000000001</v>
      </c>
      <c r="X126" s="5">
        <v>33</v>
      </c>
      <c r="Y126" s="5">
        <f t="shared" ref="Y126:Y157" si="48">IF(X126&gt;$X$89,"",LARGE($AX$94:$AX$293,X126))</f>
        <v>3</v>
      </c>
      <c r="Z126" s="5">
        <f t="shared" ref="Z126:Z157" si="49">IF(X126&gt;$X$89,"",IF(AND(X126&gt;$X$90,X126&lt;=$X$89-$X$90),Y126,""))</f>
        <v>3</v>
      </c>
      <c r="AA126" s="5">
        <f t="shared" si="33"/>
        <v>3</v>
      </c>
      <c r="AB126" s="5">
        <f t="shared" ref="AB126:AB157" si="50">IF(AI126="","",IF($AF$87=0,AI126,ROUND(AI126/$AF$87,0)))</f>
        <v>1</v>
      </c>
      <c r="AC126" s="5">
        <f>IF(AB126="",NA(),COUNTIF(AB126:$AB$293,AB126))</f>
        <v>9</v>
      </c>
      <c r="AD126" s="5">
        <f t="shared" ref="AD126:AD157" si="51">(AC126-1)*$AF$90</f>
        <v>0.36799999999999999</v>
      </c>
      <c r="AE126" s="5" t="e">
        <f t="shared" si="34"/>
        <v>#N/A</v>
      </c>
      <c r="AF126" s="5" t="e">
        <f t="shared" ref="AF126:AF157" si="52">IF(X126&gt;$AC$89,NA(),IF(OR(X126&lt;=$AC$90,X126&gt;$AC$89-$AC$90),IF($AP$92,AH126,AI126),NA()))</f>
        <v>#N/A</v>
      </c>
      <c r="AG126" s="5">
        <f t="shared" ref="AG126:AG157" si="53">IF(X126&gt;$AC$89,NA(),IF(AND(X126&gt;$AC$90,X126&lt;=$AC$89-$AC$90),IF($AP$92,AH126,AI126),NA()))</f>
        <v>1.6308</v>
      </c>
      <c r="AH126" s="5">
        <f t="shared" ref="AH126:AH157" si="54">IF(X126&gt;$AC$89,"",LARGE($BF$94:$BF$293,X126))</f>
        <v>1.6308</v>
      </c>
      <c r="AI126" s="5">
        <f t="shared" ref="AI126:AI157" si="55">IF(X126&gt;$AC$89,"",LARGE($BD$94:$BD$293,X126))</f>
        <v>2</v>
      </c>
      <c r="AJ126" s="5">
        <f t="shared" ref="AJ126:AJ157" si="56">IF(X126&gt;$AC$89,"",IF(AND(X126&gt;$AC$90,X126&lt;=$AC$89-$AC$90),AI126,""))</f>
        <v>2</v>
      </c>
      <c r="AK126" s="5">
        <f t="shared" ref="AK126:AK157" si="57">IF(X126&gt;$AC$89,"",IF(AND(X126&gt;$AC$90,X126&lt;=$AC$89-$AC$90),AI126,IF(X126&lt;=$AC$90,$AJ$90,$AJ$91)))</f>
        <v>2</v>
      </c>
      <c r="AN126" s="114" t="s">
        <v>296</v>
      </c>
      <c r="AO126" s="5">
        <f>MAX(K17,M17,M12+L23)</f>
        <v>18.411241298823892</v>
      </c>
      <c r="AP126" s="5">
        <f>AO126</f>
        <v>18.411241298823892</v>
      </c>
      <c r="AX126" s="5">
        <f t="shared" si="35"/>
        <v>3</v>
      </c>
      <c r="AY126" s="5">
        <f t="shared" ref="AY126:AY157" si="58">IF(AND($AO$97,NOT(B41=""),$AO$95),B41,NA())</f>
        <v>3</v>
      </c>
      <c r="AZ126" s="5">
        <f t="shared" ref="AZ126:AZ157" si="59">IF(BA126="","",IF($AF$87=0,AY126,BA126*$AF$87))</f>
        <v>3.2616000000000001</v>
      </c>
      <c r="BA126" s="5">
        <f t="shared" ref="BA126:BA157" si="60">IF(ISNA(AY126),"",IF($AF$87=0,AY126,ROUND(AY126/$AF$87,0)))</f>
        <v>2</v>
      </c>
      <c r="BB126" s="5">
        <f>IF(BA126="",NA(),COUNTIF(BA126:$BA$193,BA126))</f>
        <v>4</v>
      </c>
      <c r="BC126" s="5">
        <f t="shared" ref="BC126:BC157" si="61">(BB126-1)*$AF$90</f>
        <v>0.13800000000000001</v>
      </c>
      <c r="BD126" s="5">
        <f t="shared" si="36"/>
        <v>2</v>
      </c>
      <c r="BE126" s="5">
        <f t="shared" ref="BE126:BE157" si="62">IF(AND($AO$97,NOT(E41=""),$AO$96),E41,NA())</f>
        <v>2</v>
      </c>
      <c r="BF126" s="5">
        <f t="shared" ref="BF126:BF157" si="63">IF(BG126="","",IF($AF$87=0,BE126,BG126*$AF$87))</f>
        <v>1.6308</v>
      </c>
      <c r="BG126" s="5">
        <f t="shared" ref="BG126:BG157" si="64">IF(ISNA(BE126),"",IF($AF$87=0,BE126,ROUND(BE126/$AF$87,0)))</f>
        <v>1</v>
      </c>
      <c r="BH126" s="5">
        <f>IF(BG126="",NA(),COUNTIF(BG126:$BG$193,BG126))</f>
        <v>9</v>
      </c>
      <c r="BI126" s="5">
        <f t="shared" ref="BI126:BI157" si="65">(BH126-1)*$AF$90</f>
        <v>0.36799999999999999</v>
      </c>
      <c r="BJ126" s="640">
        <v>118</v>
      </c>
      <c r="BK126" s="641"/>
      <c r="BL126" s="642"/>
      <c r="BM126" s="635">
        <v>118</v>
      </c>
      <c r="BN126" s="643"/>
      <c r="BO126" s="87"/>
      <c r="BP126" s="13"/>
      <c r="BR126" s="640">
        <v>118</v>
      </c>
      <c r="BS126" s="641"/>
      <c r="BT126" s="642"/>
      <c r="BU126" s="635">
        <v>118</v>
      </c>
      <c r="BV126" s="643"/>
      <c r="BW126" s="87"/>
      <c r="BX126" s="13"/>
      <c r="BZ126" s="640">
        <v>118</v>
      </c>
      <c r="CA126" s="641"/>
      <c r="CB126" s="642"/>
      <c r="CC126" s="635">
        <v>118</v>
      </c>
      <c r="CD126" s="643"/>
      <c r="CE126" s="87"/>
      <c r="CF126" s="13"/>
    </row>
    <row r="127" spans="1:84" ht="12.75" customHeight="1">
      <c r="A127" s="640">
        <v>119</v>
      </c>
      <c r="B127" s="641"/>
      <c r="C127" s="642"/>
      <c r="D127" s="635">
        <v>119</v>
      </c>
      <c r="E127" s="643"/>
      <c r="F127" s="87"/>
      <c r="G127" s="13"/>
      <c r="I127" s="19"/>
      <c r="J127" s="5">
        <f t="shared" si="7"/>
        <v>0.79399999999999993</v>
      </c>
      <c r="K127" s="5">
        <f t="shared" si="41"/>
        <v>1.6308</v>
      </c>
      <c r="L127" s="5">
        <f t="shared" si="8"/>
        <v>2.0680000000000001</v>
      </c>
      <c r="M127" s="5">
        <f t="shared" si="42"/>
        <v>0</v>
      </c>
      <c r="Q127" s="5">
        <f t="shared" si="43"/>
        <v>2</v>
      </c>
      <c r="R127" s="5">
        <f>IF(Q127="",NA(),COUNTIF(Q127:$Q$293,Q127))</f>
        <v>3</v>
      </c>
      <c r="S127" s="5">
        <f t="shared" si="44"/>
        <v>9.1999999999999998E-2</v>
      </c>
      <c r="T127" s="5" t="e">
        <f t="shared" si="32"/>
        <v>#N/A</v>
      </c>
      <c r="U127" s="5" t="e">
        <f t="shared" si="45"/>
        <v>#N/A</v>
      </c>
      <c r="V127" s="5">
        <f t="shared" si="46"/>
        <v>3.2616000000000001</v>
      </c>
      <c r="W127" s="5">
        <f t="shared" si="47"/>
        <v>3.2616000000000001</v>
      </c>
      <c r="X127" s="5">
        <v>34</v>
      </c>
      <c r="Y127" s="5">
        <f t="shared" si="48"/>
        <v>3</v>
      </c>
      <c r="Z127" s="5">
        <f t="shared" si="49"/>
        <v>3</v>
      </c>
      <c r="AA127" s="5">
        <f t="shared" si="33"/>
        <v>3</v>
      </c>
      <c r="AB127" s="5">
        <f t="shared" si="50"/>
        <v>1</v>
      </c>
      <c r="AC127" s="5">
        <f>IF(AB127="",NA(),COUNTIF(AB127:$AB$293,AB127))</f>
        <v>8</v>
      </c>
      <c r="AD127" s="5">
        <f t="shared" si="51"/>
        <v>0.32200000000000001</v>
      </c>
      <c r="AE127" s="5" t="e">
        <f t="shared" si="34"/>
        <v>#N/A</v>
      </c>
      <c r="AF127" s="5" t="e">
        <f t="shared" si="52"/>
        <v>#N/A</v>
      </c>
      <c r="AG127" s="5">
        <f t="shared" si="53"/>
        <v>1.6308</v>
      </c>
      <c r="AH127" s="5">
        <f t="shared" si="54"/>
        <v>1.6308</v>
      </c>
      <c r="AI127" s="5">
        <f t="shared" si="55"/>
        <v>2</v>
      </c>
      <c r="AJ127" s="5">
        <f t="shared" si="56"/>
        <v>2</v>
      </c>
      <c r="AK127" s="5">
        <f t="shared" si="57"/>
        <v>2</v>
      </c>
      <c r="AN127" s="260" t="s">
        <v>297</v>
      </c>
      <c r="AO127" s="5">
        <f>MIN(K16,M16,M12-L23)</f>
        <v>-0.62208104252079544</v>
      </c>
      <c r="AP127" s="5">
        <f>AO127</f>
        <v>-0.62208104252079544</v>
      </c>
      <c r="AX127" s="5">
        <f t="shared" si="35"/>
        <v>3</v>
      </c>
      <c r="AY127" s="5">
        <f t="shared" si="58"/>
        <v>3</v>
      </c>
      <c r="AZ127" s="5">
        <f t="shared" si="59"/>
        <v>3.2616000000000001</v>
      </c>
      <c r="BA127" s="5">
        <f t="shared" si="60"/>
        <v>2</v>
      </c>
      <c r="BB127" s="5">
        <f>IF(BA127="",NA(),COUNTIF(BA127:$BA$193,BA127))</f>
        <v>3</v>
      </c>
      <c r="BC127" s="5">
        <f t="shared" si="61"/>
        <v>9.1999999999999998E-2</v>
      </c>
      <c r="BD127" s="5">
        <f t="shared" si="36"/>
        <v>2</v>
      </c>
      <c r="BE127" s="5">
        <f t="shared" si="62"/>
        <v>2</v>
      </c>
      <c r="BF127" s="5">
        <f t="shared" si="63"/>
        <v>1.6308</v>
      </c>
      <c r="BG127" s="5">
        <f t="shared" si="64"/>
        <v>1</v>
      </c>
      <c r="BH127" s="5">
        <f>IF(BG127="",NA(),COUNTIF(BG127:$BG$193,BG127))</f>
        <v>8</v>
      </c>
      <c r="BI127" s="5">
        <f t="shared" si="65"/>
        <v>0.32200000000000001</v>
      </c>
      <c r="BJ127" s="640">
        <v>119</v>
      </c>
      <c r="BK127" s="641"/>
      <c r="BL127" s="642"/>
      <c r="BM127" s="635">
        <v>119</v>
      </c>
      <c r="BN127" s="643"/>
      <c r="BO127" s="87"/>
      <c r="BP127" s="13"/>
      <c r="BR127" s="640">
        <v>119</v>
      </c>
      <c r="BS127" s="641"/>
      <c r="BT127" s="642"/>
      <c r="BU127" s="635">
        <v>119</v>
      </c>
      <c r="BV127" s="643"/>
      <c r="BW127" s="87"/>
      <c r="BX127" s="13"/>
      <c r="BZ127" s="640">
        <v>119</v>
      </c>
      <c r="CA127" s="641"/>
      <c r="CB127" s="642"/>
      <c r="CC127" s="635">
        <v>119</v>
      </c>
      <c r="CD127" s="643"/>
      <c r="CE127" s="87"/>
      <c r="CF127" s="13"/>
    </row>
    <row r="128" spans="1:84" ht="12.75" customHeight="1">
      <c r="A128" s="640">
        <v>120</v>
      </c>
      <c r="B128" s="641"/>
      <c r="C128" s="642"/>
      <c r="D128" s="635">
        <v>120</v>
      </c>
      <c r="E128" s="643"/>
      <c r="F128" s="87"/>
      <c r="G128" s="13"/>
      <c r="J128" s="5">
        <f t="shared" si="7"/>
        <v>0.84</v>
      </c>
      <c r="K128" s="5">
        <f t="shared" si="41"/>
        <v>1.6308</v>
      </c>
      <c r="L128" s="5" t="e">
        <f t="shared" si="8"/>
        <v>#N/A</v>
      </c>
      <c r="M128" s="5" t="e">
        <f t="shared" si="42"/>
        <v>#N/A</v>
      </c>
      <c r="Q128" s="5">
        <f t="shared" si="43"/>
        <v>2</v>
      </c>
      <c r="R128" s="5">
        <f>IF(Q128="",NA(),COUNTIF(Q128:$Q$293,Q128))</f>
        <v>2</v>
      </c>
      <c r="S128" s="5">
        <f t="shared" si="44"/>
        <v>4.5999999999999999E-2</v>
      </c>
      <c r="T128" s="5" t="e">
        <f t="shared" si="32"/>
        <v>#N/A</v>
      </c>
      <c r="U128" s="5" t="e">
        <f t="shared" si="45"/>
        <v>#N/A</v>
      </c>
      <c r="V128" s="5">
        <f t="shared" si="46"/>
        <v>3.2616000000000001</v>
      </c>
      <c r="W128" s="5">
        <f t="shared" si="47"/>
        <v>3.2616000000000001</v>
      </c>
      <c r="X128" s="5">
        <v>35</v>
      </c>
      <c r="Y128" s="5">
        <f t="shared" si="48"/>
        <v>3</v>
      </c>
      <c r="Z128" s="5">
        <f t="shared" si="49"/>
        <v>3</v>
      </c>
      <c r="AA128" s="5">
        <f t="shared" si="33"/>
        <v>3</v>
      </c>
      <c r="AB128" s="5">
        <f t="shared" si="50"/>
        <v>1</v>
      </c>
      <c r="AC128" s="5">
        <f>IF(AB128="",NA(),COUNTIF(AB128:$AB$293,AB128))</f>
        <v>7</v>
      </c>
      <c r="AD128" s="5">
        <f t="shared" si="51"/>
        <v>0.27600000000000002</v>
      </c>
      <c r="AE128" s="5" t="e">
        <f t="shared" si="34"/>
        <v>#N/A</v>
      </c>
      <c r="AF128" s="5" t="e">
        <f t="shared" si="52"/>
        <v>#N/A</v>
      </c>
      <c r="AG128" s="5">
        <f t="shared" si="53"/>
        <v>1.6308</v>
      </c>
      <c r="AH128" s="5">
        <f t="shared" si="54"/>
        <v>1.6308</v>
      </c>
      <c r="AI128" s="5">
        <f t="shared" si="55"/>
        <v>2</v>
      </c>
      <c r="AJ128" s="5">
        <f t="shared" si="56"/>
        <v>2</v>
      </c>
      <c r="AK128" s="5">
        <f t="shared" si="57"/>
        <v>2</v>
      </c>
      <c r="AX128" s="5">
        <f t="shared" si="35"/>
        <v>3</v>
      </c>
      <c r="AY128" s="5">
        <f t="shared" si="58"/>
        <v>3</v>
      </c>
      <c r="AZ128" s="5">
        <f t="shared" si="59"/>
        <v>3.2616000000000001</v>
      </c>
      <c r="BA128" s="5">
        <f t="shared" si="60"/>
        <v>2</v>
      </c>
      <c r="BB128" s="5">
        <f>IF(BA128="",NA(),COUNTIF(BA128:$BA$193,BA128))</f>
        <v>2</v>
      </c>
      <c r="BC128" s="5">
        <f t="shared" si="61"/>
        <v>4.5999999999999999E-2</v>
      </c>
      <c r="BD128" s="5">
        <f t="shared" si="36"/>
        <v>2</v>
      </c>
      <c r="BE128" s="5">
        <f t="shared" si="62"/>
        <v>2</v>
      </c>
      <c r="BF128" s="5">
        <f t="shared" si="63"/>
        <v>1.6308</v>
      </c>
      <c r="BG128" s="5">
        <f t="shared" si="64"/>
        <v>1</v>
      </c>
      <c r="BH128" s="5">
        <f>IF(BG128="",NA(),COUNTIF(BG128:$BG$193,BG128))</f>
        <v>7</v>
      </c>
      <c r="BI128" s="5">
        <f t="shared" si="65"/>
        <v>0.27600000000000002</v>
      </c>
      <c r="BJ128" s="640">
        <v>120</v>
      </c>
      <c r="BK128" s="641"/>
      <c r="BL128" s="642"/>
      <c r="BM128" s="635">
        <v>120</v>
      </c>
      <c r="BN128" s="643"/>
      <c r="BO128" s="87"/>
      <c r="BP128" s="13"/>
      <c r="BR128" s="640">
        <v>120</v>
      </c>
      <c r="BS128" s="641"/>
      <c r="BT128" s="642"/>
      <c r="BU128" s="635">
        <v>120</v>
      </c>
      <c r="BV128" s="643"/>
      <c r="BW128" s="87"/>
      <c r="BX128" s="13"/>
      <c r="BZ128" s="640">
        <v>120</v>
      </c>
      <c r="CA128" s="641"/>
      <c r="CB128" s="642"/>
      <c r="CC128" s="635">
        <v>120</v>
      </c>
      <c r="CD128" s="643"/>
      <c r="CE128" s="87"/>
      <c r="CF128" s="13"/>
    </row>
    <row r="129" spans="1:84" ht="12.75" customHeight="1">
      <c r="A129" s="640">
        <v>121</v>
      </c>
      <c r="B129" s="641"/>
      <c r="C129" s="642"/>
      <c r="D129" s="635">
        <v>121</v>
      </c>
      <c r="E129" s="643"/>
      <c r="F129" s="87"/>
      <c r="G129" s="13"/>
      <c r="I129" s="19"/>
      <c r="J129" s="5">
        <f t="shared" si="7"/>
        <v>0.88600000000000001</v>
      </c>
      <c r="K129" s="5">
        <f t="shared" si="41"/>
        <v>1.6308</v>
      </c>
      <c r="L129" s="5" t="e">
        <f t="shared" si="8"/>
        <v>#N/A</v>
      </c>
      <c r="M129" s="5" t="e">
        <f t="shared" si="42"/>
        <v>#N/A</v>
      </c>
      <c r="Q129" s="5">
        <f t="shared" si="43"/>
        <v>2</v>
      </c>
      <c r="R129" s="5">
        <f>IF(Q129="",NA(),COUNTIF(Q129:$Q$293,Q129))</f>
        <v>1</v>
      </c>
      <c r="S129" s="5">
        <f t="shared" si="44"/>
        <v>0</v>
      </c>
      <c r="T129" s="5" t="e">
        <f t="shared" si="32"/>
        <v>#N/A</v>
      </c>
      <c r="U129" s="5" t="e">
        <f t="shared" si="45"/>
        <v>#N/A</v>
      </c>
      <c r="V129" s="5">
        <f t="shared" si="46"/>
        <v>3.2616000000000001</v>
      </c>
      <c r="W129" s="5">
        <f t="shared" si="47"/>
        <v>3.2616000000000001</v>
      </c>
      <c r="X129" s="5">
        <v>36</v>
      </c>
      <c r="Y129" s="5">
        <f t="shared" si="48"/>
        <v>3</v>
      </c>
      <c r="Z129" s="5">
        <f t="shared" si="49"/>
        <v>3</v>
      </c>
      <c r="AA129" s="5">
        <f t="shared" si="33"/>
        <v>3</v>
      </c>
      <c r="AB129" s="5">
        <f t="shared" si="50"/>
        <v>1</v>
      </c>
      <c r="AC129" s="5">
        <f>IF(AB129="",NA(),COUNTIF(AB129:$AB$293,AB129))</f>
        <v>6</v>
      </c>
      <c r="AD129" s="5">
        <f t="shared" si="51"/>
        <v>0.22999999999999998</v>
      </c>
      <c r="AE129" s="5" t="e">
        <f t="shared" si="34"/>
        <v>#N/A</v>
      </c>
      <c r="AF129" s="5" t="e">
        <f t="shared" si="52"/>
        <v>#N/A</v>
      </c>
      <c r="AG129" s="5">
        <f t="shared" si="53"/>
        <v>1.6308</v>
      </c>
      <c r="AH129" s="5">
        <f t="shared" si="54"/>
        <v>1.6308</v>
      </c>
      <c r="AI129" s="5">
        <f t="shared" si="55"/>
        <v>2</v>
      </c>
      <c r="AJ129" s="5">
        <f t="shared" si="56"/>
        <v>2</v>
      </c>
      <c r="AK129" s="5">
        <f t="shared" si="57"/>
        <v>2</v>
      </c>
      <c r="AX129" s="5">
        <f t="shared" si="35"/>
        <v>3</v>
      </c>
      <c r="AY129" s="5">
        <f t="shared" si="58"/>
        <v>3</v>
      </c>
      <c r="AZ129" s="5">
        <f t="shared" si="59"/>
        <v>3.2616000000000001</v>
      </c>
      <c r="BA129" s="5">
        <f t="shared" si="60"/>
        <v>2</v>
      </c>
      <c r="BB129" s="5">
        <f>IF(BA129="",NA(),COUNTIF(BA129:$BA$193,BA129))</f>
        <v>1</v>
      </c>
      <c r="BC129" s="5">
        <f t="shared" si="61"/>
        <v>0</v>
      </c>
      <c r="BD129" s="5">
        <f t="shared" si="36"/>
        <v>2</v>
      </c>
      <c r="BE129" s="5">
        <f t="shared" si="62"/>
        <v>2</v>
      </c>
      <c r="BF129" s="5">
        <f t="shared" si="63"/>
        <v>1.6308</v>
      </c>
      <c r="BG129" s="5">
        <f t="shared" si="64"/>
        <v>1</v>
      </c>
      <c r="BH129" s="5">
        <f>IF(BG129="",NA(),COUNTIF(BG129:$BG$193,BG129))</f>
        <v>6</v>
      </c>
      <c r="BI129" s="5">
        <f t="shared" si="65"/>
        <v>0.22999999999999998</v>
      </c>
      <c r="BJ129" s="640">
        <v>121</v>
      </c>
      <c r="BK129" s="641"/>
      <c r="BL129" s="642"/>
      <c r="BM129" s="635">
        <v>121</v>
      </c>
      <c r="BN129" s="643"/>
      <c r="BO129" s="87"/>
      <c r="BP129" s="13"/>
      <c r="BR129" s="640">
        <v>121</v>
      </c>
      <c r="BS129" s="641"/>
      <c r="BT129" s="642"/>
      <c r="BU129" s="635">
        <v>121</v>
      </c>
      <c r="BV129" s="643"/>
      <c r="BW129" s="87"/>
      <c r="BX129" s="13"/>
      <c r="BZ129" s="640">
        <v>121</v>
      </c>
      <c r="CA129" s="641"/>
      <c r="CB129" s="642"/>
      <c r="CC129" s="635">
        <v>121</v>
      </c>
      <c r="CD129" s="643"/>
      <c r="CE129" s="87"/>
      <c r="CF129" s="13"/>
    </row>
    <row r="130" spans="1:84" ht="12.75" customHeight="1">
      <c r="A130" s="640">
        <v>122</v>
      </c>
      <c r="B130" s="641"/>
      <c r="C130" s="642"/>
      <c r="D130" s="635">
        <v>122</v>
      </c>
      <c r="E130" s="643"/>
      <c r="F130" s="87"/>
      <c r="G130" s="13"/>
      <c r="J130" s="5">
        <f t="shared" si="7"/>
        <v>0.93199999999999994</v>
      </c>
      <c r="K130" s="5">
        <f t="shared" si="41"/>
        <v>1.6308</v>
      </c>
      <c r="L130" s="5" t="e">
        <f t="shared" si="8"/>
        <v>#N/A</v>
      </c>
      <c r="M130" s="5" t="e">
        <f t="shared" si="42"/>
        <v>#N/A</v>
      </c>
      <c r="Q130" s="5">
        <f t="shared" si="43"/>
        <v>1</v>
      </c>
      <c r="R130" s="5">
        <f>IF(Q130="",NA(),COUNTIF(Q130:$Q$293,Q130))</f>
        <v>11</v>
      </c>
      <c r="S130" s="5">
        <f t="shared" si="44"/>
        <v>0.45999999999999996</v>
      </c>
      <c r="T130" s="5" t="e">
        <f t="shared" si="32"/>
        <v>#N/A</v>
      </c>
      <c r="U130" s="5" t="e">
        <f t="shared" si="45"/>
        <v>#N/A</v>
      </c>
      <c r="V130" s="5">
        <f t="shared" si="46"/>
        <v>1.6308</v>
      </c>
      <c r="W130" s="5">
        <f t="shared" si="47"/>
        <v>1.6308</v>
      </c>
      <c r="X130" s="5">
        <v>37</v>
      </c>
      <c r="Y130" s="5">
        <f t="shared" si="48"/>
        <v>2</v>
      </c>
      <c r="Z130" s="5">
        <f t="shared" si="49"/>
        <v>2</v>
      </c>
      <c r="AA130" s="5">
        <f t="shared" si="33"/>
        <v>2</v>
      </c>
      <c r="AB130" s="5">
        <f t="shared" si="50"/>
        <v>1</v>
      </c>
      <c r="AC130" s="5">
        <f>IF(AB130="",NA(),COUNTIF(AB130:$AB$293,AB130))</f>
        <v>5</v>
      </c>
      <c r="AD130" s="5">
        <f t="shared" si="51"/>
        <v>0.184</v>
      </c>
      <c r="AE130" s="5" t="e">
        <f t="shared" si="34"/>
        <v>#N/A</v>
      </c>
      <c r="AF130" s="5">
        <f t="shared" si="52"/>
        <v>1.6308</v>
      </c>
      <c r="AG130" s="5" t="e">
        <f t="shared" si="53"/>
        <v>#N/A</v>
      </c>
      <c r="AH130" s="5">
        <f t="shared" si="54"/>
        <v>1.6308</v>
      </c>
      <c r="AI130" s="5">
        <f t="shared" si="55"/>
        <v>1</v>
      </c>
      <c r="AJ130" s="5" t="str">
        <f t="shared" si="56"/>
        <v/>
      </c>
      <c r="AK130" s="5">
        <f t="shared" si="57"/>
        <v>2</v>
      </c>
      <c r="AX130" s="5">
        <f t="shared" si="35"/>
        <v>2</v>
      </c>
      <c r="AY130" s="5">
        <f t="shared" si="58"/>
        <v>2</v>
      </c>
      <c r="AZ130" s="5">
        <f t="shared" si="59"/>
        <v>1.6308</v>
      </c>
      <c r="BA130" s="5">
        <f t="shared" si="60"/>
        <v>1</v>
      </c>
      <c r="BB130" s="5">
        <f>IF(BA130="",NA(),COUNTIF(BA130:$BA$193,BA130))</f>
        <v>11</v>
      </c>
      <c r="BC130" s="5">
        <f t="shared" si="61"/>
        <v>0.45999999999999996</v>
      </c>
      <c r="BD130" s="5">
        <f t="shared" si="36"/>
        <v>1</v>
      </c>
      <c r="BE130" s="5">
        <f t="shared" si="62"/>
        <v>1</v>
      </c>
      <c r="BF130" s="5">
        <f t="shared" si="63"/>
        <v>1.6308</v>
      </c>
      <c r="BG130" s="5">
        <f t="shared" si="64"/>
        <v>1</v>
      </c>
      <c r="BH130" s="5">
        <f>IF(BG130="",NA(),COUNTIF(BG130:$BG$193,BG130))</f>
        <v>5</v>
      </c>
      <c r="BI130" s="5">
        <f t="shared" si="65"/>
        <v>0.184</v>
      </c>
      <c r="BJ130" s="640">
        <v>122</v>
      </c>
      <c r="BK130" s="641"/>
      <c r="BL130" s="642"/>
      <c r="BM130" s="635">
        <v>122</v>
      </c>
      <c r="BN130" s="643"/>
      <c r="BO130" s="87"/>
      <c r="BP130" s="13"/>
      <c r="BR130" s="640">
        <v>122</v>
      </c>
      <c r="BS130" s="641"/>
      <c r="BT130" s="642"/>
      <c r="BU130" s="635">
        <v>122</v>
      </c>
      <c r="BV130" s="643"/>
      <c r="BW130" s="87"/>
      <c r="BX130" s="13"/>
      <c r="BZ130" s="640">
        <v>122</v>
      </c>
      <c r="CA130" s="641"/>
      <c r="CB130" s="642"/>
      <c r="CC130" s="635">
        <v>122</v>
      </c>
      <c r="CD130" s="643"/>
      <c r="CE130" s="87"/>
      <c r="CF130" s="13"/>
    </row>
    <row r="131" spans="1:84" ht="12.75" customHeight="1">
      <c r="A131" s="640">
        <v>123</v>
      </c>
      <c r="B131" s="641"/>
      <c r="C131" s="642"/>
      <c r="D131" s="635">
        <v>123</v>
      </c>
      <c r="E131" s="643"/>
      <c r="F131" s="87"/>
      <c r="G131" s="13"/>
      <c r="I131" s="19"/>
      <c r="J131" s="5">
        <f t="shared" si="7"/>
        <v>0.79399999999999993</v>
      </c>
      <c r="K131" s="5">
        <f t="shared" si="41"/>
        <v>0</v>
      </c>
      <c r="L131" s="5" t="e">
        <f t="shared" si="8"/>
        <v>#N/A</v>
      </c>
      <c r="M131" s="5" t="e">
        <f t="shared" si="42"/>
        <v>#N/A</v>
      </c>
      <c r="Q131" s="5">
        <f t="shared" si="43"/>
        <v>1</v>
      </c>
      <c r="R131" s="5">
        <f>IF(Q131="",NA(),COUNTIF(Q131:$Q$293,Q131))</f>
        <v>10</v>
      </c>
      <c r="S131" s="5">
        <f t="shared" si="44"/>
        <v>0.41399999999999998</v>
      </c>
      <c r="T131" s="5" t="e">
        <f t="shared" si="32"/>
        <v>#N/A</v>
      </c>
      <c r="U131" s="5" t="e">
        <f t="shared" si="45"/>
        <v>#N/A</v>
      </c>
      <c r="V131" s="5">
        <f t="shared" si="46"/>
        <v>1.6308</v>
      </c>
      <c r="W131" s="5">
        <f t="shared" si="47"/>
        <v>1.6308</v>
      </c>
      <c r="X131" s="5">
        <v>38</v>
      </c>
      <c r="Y131" s="5">
        <f t="shared" si="48"/>
        <v>2</v>
      </c>
      <c r="Z131" s="5">
        <f t="shared" si="49"/>
        <v>2</v>
      </c>
      <c r="AA131" s="5">
        <f t="shared" si="33"/>
        <v>2</v>
      </c>
      <c r="AB131" s="5">
        <f t="shared" si="50"/>
        <v>1</v>
      </c>
      <c r="AC131" s="5">
        <f>IF(AB131="",NA(),COUNTIF(AB131:$AB$293,AB131))</f>
        <v>4</v>
      </c>
      <c r="AD131" s="5">
        <f t="shared" si="51"/>
        <v>0.13800000000000001</v>
      </c>
      <c r="AE131" s="5" t="e">
        <f t="shared" si="34"/>
        <v>#N/A</v>
      </c>
      <c r="AF131" s="5">
        <f t="shared" si="52"/>
        <v>1.6308</v>
      </c>
      <c r="AG131" s="5" t="e">
        <f t="shared" si="53"/>
        <v>#N/A</v>
      </c>
      <c r="AH131" s="5">
        <f t="shared" si="54"/>
        <v>1.6308</v>
      </c>
      <c r="AI131" s="5">
        <f t="shared" si="55"/>
        <v>1</v>
      </c>
      <c r="AJ131" s="5" t="str">
        <f t="shared" si="56"/>
        <v/>
      </c>
      <c r="AK131" s="5">
        <f t="shared" si="57"/>
        <v>2</v>
      </c>
      <c r="AX131" s="5">
        <f t="shared" si="35"/>
        <v>2</v>
      </c>
      <c r="AY131" s="5">
        <f t="shared" si="58"/>
        <v>2</v>
      </c>
      <c r="AZ131" s="5">
        <f t="shared" si="59"/>
        <v>1.6308</v>
      </c>
      <c r="BA131" s="5">
        <f t="shared" si="60"/>
        <v>1</v>
      </c>
      <c r="BB131" s="5">
        <f>IF(BA131="",NA(),COUNTIF(BA131:$BA$193,BA131))</f>
        <v>10</v>
      </c>
      <c r="BC131" s="5">
        <f t="shared" si="61"/>
        <v>0.41399999999999998</v>
      </c>
      <c r="BD131" s="5">
        <f t="shared" si="36"/>
        <v>1</v>
      </c>
      <c r="BE131" s="5">
        <f t="shared" si="62"/>
        <v>1</v>
      </c>
      <c r="BF131" s="5">
        <f t="shared" si="63"/>
        <v>1.6308</v>
      </c>
      <c r="BG131" s="5">
        <f t="shared" si="64"/>
        <v>1</v>
      </c>
      <c r="BH131" s="5">
        <f>IF(BG131="",NA(),COUNTIF(BG131:$BG$193,BG131))</f>
        <v>4</v>
      </c>
      <c r="BI131" s="5">
        <f t="shared" si="65"/>
        <v>0.13800000000000001</v>
      </c>
      <c r="BJ131" s="640">
        <v>123</v>
      </c>
      <c r="BK131" s="641"/>
      <c r="BL131" s="642"/>
      <c r="BM131" s="635">
        <v>123</v>
      </c>
      <c r="BN131" s="643"/>
      <c r="BO131" s="87"/>
      <c r="BP131" s="13"/>
      <c r="BR131" s="640">
        <v>123</v>
      </c>
      <c r="BS131" s="641"/>
      <c r="BT131" s="642"/>
      <c r="BU131" s="635">
        <v>123</v>
      </c>
      <c r="BV131" s="643"/>
      <c r="BW131" s="87"/>
      <c r="BX131" s="13"/>
      <c r="BZ131" s="640">
        <v>123</v>
      </c>
      <c r="CA131" s="641"/>
      <c r="CB131" s="642"/>
      <c r="CC131" s="635">
        <v>123</v>
      </c>
      <c r="CD131" s="643"/>
      <c r="CE131" s="87"/>
      <c r="CF131" s="13"/>
    </row>
    <row r="132" spans="1:84" ht="12.75" customHeight="1">
      <c r="A132" s="640">
        <v>124</v>
      </c>
      <c r="B132" s="641"/>
      <c r="C132" s="642"/>
      <c r="D132" s="635">
        <v>124</v>
      </c>
      <c r="E132" s="643"/>
      <c r="F132" s="87"/>
      <c r="G132" s="13"/>
      <c r="J132" s="5">
        <f t="shared" si="7"/>
        <v>0.84</v>
      </c>
      <c r="K132" s="5">
        <f t="shared" si="41"/>
        <v>0</v>
      </c>
      <c r="L132" s="5" t="e">
        <f t="shared" si="8"/>
        <v>#N/A</v>
      </c>
      <c r="M132" s="5" t="e">
        <f t="shared" si="42"/>
        <v>#N/A</v>
      </c>
      <c r="Q132" s="5">
        <f t="shared" si="43"/>
        <v>1</v>
      </c>
      <c r="R132" s="5">
        <f>IF(Q132="",NA(),COUNTIF(Q132:$Q$293,Q132))</f>
        <v>9</v>
      </c>
      <c r="S132" s="5">
        <f t="shared" si="44"/>
        <v>0.36799999999999999</v>
      </c>
      <c r="T132" s="5" t="e">
        <f t="shared" si="32"/>
        <v>#N/A</v>
      </c>
      <c r="U132" s="5" t="e">
        <f t="shared" si="45"/>
        <v>#N/A</v>
      </c>
      <c r="V132" s="5">
        <f t="shared" si="46"/>
        <v>1.6308</v>
      </c>
      <c r="W132" s="5">
        <f t="shared" si="47"/>
        <v>1.6308</v>
      </c>
      <c r="X132" s="5">
        <v>39</v>
      </c>
      <c r="Y132" s="5">
        <f t="shared" si="48"/>
        <v>2</v>
      </c>
      <c r="Z132" s="5">
        <f t="shared" si="49"/>
        <v>2</v>
      </c>
      <c r="AA132" s="5">
        <f t="shared" si="33"/>
        <v>2</v>
      </c>
      <c r="AB132" s="5">
        <f t="shared" si="50"/>
        <v>1</v>
      </c>
      <c r="AC132" s="5">
        <f>IF(AB132="",NA(),COUNTIF(AB132:$AB$293,AB132))</f>
        <v>3</v>
      </c>
      <c r="AD132" s="5">
        <f t="shared" si="51"/>
        <v>9.1999999999999998E-2</v>
      </c>
      <c r="AE132" s="5" t="e">
        <f t="shared" si="34"/>
        <v>#N/A</v>
      </c>
      <c r="AF132" s="5">
        <f t="shared" si="52"/>
        <v>1.6308</v>
      </c>
      <c r="AG132" s="5" t="e">
        <f t="shared" si="53"/>
        <v>#N/A</v>
      </c>
      <c r="AH132" s="5">
        <f t="shared" si="54"/>
        <v>1.6308</v>
      </c>
      <c r="AI132" s="5">
        <f t="shared" si="55"/>
        <v>1</v>
      </c>
      <c r="AJ132" s="5" t="str">
        <f t="shared" si="56"/>
        <v/>
      </c>
      <c r="AK132" s="5">
        <f t="shared" si="57"/>
        <v>2</v>
      </c>
      <c r="AX132" s="5">
        <f t="shared" si="35"/>
        <v>2</v>
      </c>
      <c r="AY132" s="5">
        <f t="shared" si="58"/>
        <v>2</v>
      </c>
      <c r="AZ132" s="5">
        <f t="shared" si="59"/>
        <v>1.6308</v>
      </c>
      <c r="BA132" s="5">
        <f t="shared" si="60"/>
        <v>1</v>
      </c>
      <c r="BB132" s="5">
        <f>IF(BA132="",NA(),COUNTIF(BA132:$BA$193,BA132))</f>
        <v>9</v>
      </c>
      <c r="BC132" s="5">
        <f t="shared" si="61"/>
        <v>0.36799999999999999</v>
      </c>
      <c r="BD132" s="5">
        <f t="shared" si="36"/>
        <v>1</v>
      </c>
      <c r="BE132" s="5">
        <f t="shared" si="62"/>
        <v>1</v>
      </c>
      <c r="BF132" s="5">
        <f t="shared" si="63"/>
        <v>1.6308</v>
      </c>
      <c r="BG132" s="5">
        <f t="shared" si="64"/>
        <v>1</v>
      </c>
      <c r="BH132" s="5">
        <f>IF(BG132="",NA(),COUNTIF(BG132:$BG$193,BG132))</f>
        <v>3</v>
      </c>
      <c r="BI132" s="5">
        <f t="shared" si="65"/>
        <v>9.1999999999999998E-2</v>
      </c>
      <c r="BJ132" s="640">
        <v>124</v>
      </c>
      <c r="BK132" s="641"/>
      <c r="BL132" s="642"/>
      <c r="BM132" s="635">
        <v>124</v>
      </c>
      <c r="BN132" s="643"/>
      <c r="BO132" s="87"/>
      <c r="BP132" s="13"/>
      <c r="BR132" s="640">
        <v>124</v>
      </c>
      <c r="BS132" s="641"/>
      <c r="BT132" s="642"/>
      <c r="BU132" s="635">
        <v>124</v>
      </c>
      <c r="BV132" s="643"/>
      <c r="BW132" s="87"/>
      <c r="BX132" s="13"/>
      <c r="BZ132" s="640">
        <v>124</v>
      </c>
      <c r="CA132" s="641"/>
      <c r="CB132" s="642"/>
      <c r="CC132" s="635">
        <v>124</v>
      </c>
      <c r="CD132" s="643"/>
      <c r="CE132" s="87"/>
      <c r="CF132" s="13"/>
    </row>
    <row r="133" spans="1:84" ht="12.75" customHeight="1">
      <c r="A133" s="640">
        <v>125</v>
      </c>
      <c r="B133" s="641"/>
      <c r="C133" s="642"/>
      <c r="D133" s="635">
        <v>125</v>
      </c>
      <c r="E133" s="643"/>
      <c r="F133" s="87"/>
      <c r="G133" s="13"/>
      <c r="I133" s="19"/>
      <c r="J133" s="5">
        <f t="shared" si="7"/>
        <v>0.88600000000000001</v>
      </c>
      <c r="K133" s="5">
        <f t="shared" si="41"/>
        <v>0</v>
      </c>
      <c r="L133" s="5" t="e">
        <f t="shared" si="8"/>
        <v>#N/A</v>
      </c>
      <c r="M133" s="5" t="e">
        <f t="shared" si="42"/>
        <v>#N/A</v>
      </c>
      <c r="Q133" s="5">
        <f t="shared" si="43"/>
        <v>1</v>
      </c>
      <c r="R133" s="5">
        <f>IF(Q133="",NA(),COUNTIF(Q133:$Q$293,Q133))</f>
        <v>8</v>
      </c>
      <c r="S133" s="5">
        <f t="shared" si="44"/>
        <v>0.32200000000000001</v>
      </c>
      <c r="T133" s="5" t="e">
        <f t="shared" si="32"/>
        <v>#N/A</v>
      </c>
      <c r="U133" s="5" t="e">
        <f t="shared" si="45"/>
        <v>#N/A</v>
      </c>
      <c r="V133" s="5">
        <f t="shared" si="46"/>
        <v>1.6308</v>
      </c>
      <c r="W133" s="5">
        <f t="shared" si="47"/>
        <v>1.6308</v>
      </c>
      <c r="X133" s="5">
        <v>40</v>
      </c>
      <c r="Y133" s="5">
        <f t="shared" si="48"/>
        <v>2</v>
      </c>
      <c r="Z133" s="5">
        <f t="shared" si="49"/>
        <v>2</v>
      </c>
      <c r="AA133" s="5">
        <f t="shared" si="33"/>
        <v>2</v>
      </c>
      <c r="AB133" s="5">
        <f t="shared" si="50"/>
        <v>1</v>
      </c>
      <c r="AC133" s="5">
        <f>IF(AB133="",NA(),COUNTIF(AB133:$AB$293,AB133))</f>
        <v>2</v>
      </c>
      <c r="AD133" s="5">
        <f t="shared" si="51"/>
        <v>4.5999999999999999E-2</v>
      </c>
      <c r="AE133" s="5" t="e">
        <f t="shared" si="34"/>
        <v>#N/A</v>
      </c>
      <c r="AF133" s="5">
        <f t="shared" si="52"/>
        <v>1.6308</v>
      </c>
      <c r="AG133" s="5" t="e">
        <f t="shared" si="53"/>
        <v>#N/A</v>
      </c>
      <c r="AH133" s="5">
        <f t="shared" si="54"/>
        <v>1.6308</v>
      </c>
      <c r="AI133" s="5">
        <f t="shared" si="55"/>
        <v>1</v>
      </c>
      <c r="AJ133" s="5" t="str">
        <f t="shared" si="56"/>
        <v/>
      </c>
      <c r="AK133" s="5">
        <f t="shared" si="57"/>
        <v>2</v>
      </c>
      <c r="AX133" s="5">
        <f t="shared" si="35"/>
        <v>2</v>
      </c>
      <c r="AY133" s="5">
        <f t="shared" si="58"/>
        <v>2</v>
      </c>
      <c r="AZ133" s="5">
        <f t="shared" si="59"/>
        <v>1.6308</v>
      </c>
      <c r="BA133" s="5">
        <f t="shared" si="60"/>
        <v>1</v>
      </c>
      <c r="BB133" s="5">
        <f>IF(BA133="",NA(),COUNTIF(BA133:$BA$193,BA133))</f>
        <v>8</v>
      </c>
      <c r="BC133" s="5">
        <f t="shared" si="61"/>
        <v>0.32200000000000001</v>
      </c>
      <c r="BD133" s="5">
        <f t="shared" si="36"/>
        <v>1</v>
      </c>
      <c r="BE133" s="5">
        <f t="shared" si="62"/>
        <v>1</v>
      </c>
      <c r="BF133" s="5">
        <f t="shared" si="63"/>
        <v>1.6308</v>
      </c>
      <c r="BG133" s="5">
        <f t="shared" si="64"/>
        <v>1</v>
      </c>
      <c r="BH133" s="5">
        <f>IF(BG133="",NA(),COUNTIF(BG133:$BG$193,BG133))</f>
        <v>2</v>
      </c>
      <c r="BI133" s="5">
        <f t="shared" si="65"/>
        <v>4.5999999999999999E-2</v>
      </c>
      <c r="BJ133" s="640">
        <v>125</v>
      </c>
      <c r="BK133" s="641"/>
      <c r="BL133" s="642"/>
      <c r="BM133" s="635">
        <v>125</v>
      </c>
      <c r="BN133" s="643"/>
      <c r="BO133" s="87"/>
      <c r="BP133" s="13"/>
      <c r="BR133" s="640">
        <v>125</v>
      </c>
      <c r="BS133" s="641"/>
      <c r="BT133" s="642"/>
      <c r="BU133" s="635">
        <v>125</v>
      </c>
      <c r="BV133" s="643"/>
      <c r="BW133" s="87"/>
      <c r="BX133" s="13"/>
      <c r="BZ133" s="640">
        <v>125</v>
      </c>
      <c r="CA133" s="641"/>
      <c r="CB133" s="642"/>
      <c r="CC133" s="635">
        <v>125</v>
      </c>
      <c r="CD133" s="643"/>
      <c r="CE133" s="87"/>
      <c r="CF133" s="13"/>
    </row>
    <row r="134" spans="1:84" ht="12.75" customHeight="1">
      <c r="A134" s="640">
        <v>126</v>
      </c>
      <c r="B134" s="641"/>
      <c r="C134" s="642"/>
      <c r="D134" s="635">
        <v>126</v>
      </c>
      <c r="E134" s="643"/>
      <c r="F134" s="87"/>
      <c r="G134" s="13"/>
      <c r="J134" s="5">
        <f t="shared" si="7"/>
        <v>0.93199999999999994</v>
      </c>
      <c r="K134" s="5">
        <f t="shared" si="41"/>
        <v>0</v>
      </c>
      <c r="L134" s="5" t="e">
        <f t="shared" si="8"/>
        <v>#N/A</v>
      </c>
      <c r="M134" s="5" t="e">
        <f t="shared" si="42"/>
        <v>#N/A</v>
      </c>
      <c r="Q134" s="5">
        <f t="shared" si="43"/>
        <v>1</v>
      </c>
      <c r="R134" s="5">
        <f>IF(Q134="",NA(),COUNTIF(Q134:$Q$293,Q134))</f>
        <v>7</v>
      </c>
      <c r="S134" s="5">
        <f t="shared" si="44"/>
        <v>0.27600000000000002</v>
      </c>
      <c r="T134" s="5" t="e">
        <f t="shared" si="32"/>
        <v>#N/A</v>
      </c>
      <c r="U134" s="5" t="e">
        <f t="shared" si="45"/>
        <v>#N/A</v>
      </c>
      <c r="V134" s="5">
        <f t="shared" si="46"/>
        <v>1.6308</v>
      </c>
      <c r="W134" s="5">
        <f t="shared" si="47"/>
        <v>1.6308</v>
      </c>
      <c r="X134" s="5">
        <v>41</v>
      </c>
      <c r="Y134" s="5">
        <f t="shared" si="48"/>
        <v>2</v>
      </c>
      <c r="Z134" s="5">
        <f t="shared" si="49"/>
        <v>2</v>
      </c>
      <c r="AA134" s="5">
        <f t="shared" si="33"/>
        <v>2</v>
      </c>
      <c r="AB134" s="5">
        <f t="shared" si="50"/>
        <v>1</v>
      </c>
      <c r="AC134" s="5">
        <f>IF(AB134="",NA(),COUNTIF(AB134:$AB$293,AB134))</f>
        <v>1</v>
      </c>
      <c r="AD134" s="5">
        <f t="shared" si="51"/>
        <v>0</v>
      </c>
      <c r="AE134" s="5" t="e">
        <f t="shared" si="34"/>
        <v>#N/A</v>
      </c>
      <c r="AF134" s="5">
        <f t="shared" si="52"/>
        <v>1.6308</v>
      </c>
      <c r="AG134" s="5" t="e">
        <f t="shared" si="53"/>
        <v>#N/A</v>
      </c>
      <c r="AH134" s="5">
        <f t="shared" si="54"/>
        <v>1.6308</v>
      </c>
      <c r="AI134" s="5">
        <f t="shared" si="55"/>
        <v>1</v>
      </c>
      <c r="AJ134" s="5" t="str">
        <f t="shared" si="56"/>
        <v/>
      </c>
      <c r="AK134" s="5">
        <f t="shared" si="57"/>
        <v>2</v>
      </c>
      <c r="AX134" s="5">
        <f t="shared" si="35"/>
        <v>2</v>
      </c>
      <c r="AY134" s="5">
        <f t="shared" si="58"/>
        <v>2</v>
      </c>
      <c r="AZ134" s="5">
        <f t="shared" si="59"/>
        <v>1.6308</v>
      </c>
      <c r="BA134" s="5">
        <f t="shared" si="60"/>
        <v>1</v>
      </c>
      <c r="BB134" s="5">
        <f>IF(BA134="",NA(),COUNTIF(BA134:$BA$193,BA134))</f>
        <v>7</v>
      </c>
      <c r="BC134" s="5">
        <f t="shared" si="61"/>
        <v>0.27600000000000002</v>
      </c>
      <c r="BD134" s="5">
        <f t="shared" si="36"/>
        <v>1</v>
      </c>
      <c r="BE134" s="5">
        <f t="shared" si="62"/>
        <v>1</v>
      </c>
      <c r="BF134" s="5">
        <f t="shared" si="63"/>
        <v>1.6308</v>
      </c>
      <c r="BG134" s="5">
        <f t="shared" si="64"/>
        <v>1</v>
      </c>
      <c r="BH134" s="5">
        <f>IF(BG134="",NA(),COUNTIF(BG134:$BG$193,BG134))</f>
        <v>1</v>
      </c>
      <c r="BI134" s="5">
        <f t="shared" si="65"/>
        <v>0</v>
      </c>
      <c r="BJ134" s="640">
        <v>126</v>
      </c>
      <c r="BK134" s="641"/>
      <c r="BL134" s="642"/>
      <c r="BM134" s="635">
        <v>126</v>
      </c>
      <c r="BN134" s="643"/>
      <c r="BO134" s="87"/>
      <c r="BP134" s="13"/>
      <c r="BR134" s="640">
        <v>126</v>
      </c>
      <c r="BS134" s="641"/>
      <c r="BT134" s="642"/>
      <c r="BU134" s="635">
        <v>126</v>
      </c>
      <c r="BV134" s="643"/>
      <c r="BW134" s="87"/>
      <c r="BX134" s="13"/>
      <c r="BZ134" s="640">
        <v>126</v>
      </c>
      <c r="CA134" s="641"/>
      <c r="CB134" s="642"/>
      <c r="CC134" s="635">
        <v>126</v>
      </c>
      <c r="CD134" s="643"/>
      <c r="CE134" s="87"/>
      <c r="CF134" s="13"/>
    </row>
    <row r="135" spans="1:84" ht="12.75" customHeight="1">
      <c r="A135" s="640">
        <v>127</v>
      </c>
      <c r="B135" s="641"/>
      <c r="C135" s="642"/>
      <c r="D135" s="635">
        <v>127</v>
      </c>
      <c r="E135" s="643"/>
      <c r="F135" s="87"/>
      <c r="G135" s="13"/>
      <c r="I135" s="19"/>
      <c r="J135" s="5" t="e">
        <f t="shared" si="7"/>
        <v>#N/A</v>
      </c>
      <c r="K135" s="5" t="e">
        <f t="shared" si="41"/>
        <v>#N/A</v>
      </c>
      <c r="L135" s="5" t="e">
        <f t="shared" si="8"/>
        <v>#N/A</v>
      </c>
      <c r="M135" s="5" t="e">
        <f t="shared" si="42"/>
        <v>#N/A</v>
      </c>
      <c r="Q135" s="5">
        <f t="shared" si="43"/>
        <v>1</v>
      </c>
      <c r="R135" s="5">
        <f>IF(Q135="",NA(),COUNTIF(Q135:$Q$293,Q135))</f>
        <v>6</v>
      </c>
      <c r="S135" s="5">
        <f t="shared" si="44"/>
        <v>0.22999999999999998</v>
      </c>
      <c r="T135" s="5" t="e">
        <f t="shared" si="32"/>
        <v>#N/A</v>
      </c>
      <c r="U135" s="5">
        <f t="shared" si="45"/>
        <v>1.6308</v>
      </c>
      <c r="V135" s="5" t="e">
        <f t="shared" si="46"/>
        <v>#N/A</v>
      </c>
      <c r="W135" s="5">
        <f t="shared" si="47"/>
        <v>1.6308</v>
      </c>
      <c r="X135" s="5">
        <v>42</v>
      </c>
      <c r="Y135" s="5">
        <f t="shared" si="48"/>
        <v>1</v>
      </c>
      <c r="Z135" s="5" t="str">
        <f t="shared" si="49"/>
        <v/>
      </c>
      <c r="AA135" s="5">
        <f t="shared" si="33"/>
        <v>2</v>
      </c>
      <c r="AB135" s="5">
        <f t="shared" si="50"/>
        <v>0</v>
      </c>
      <c r="AC135" s="5">
        <f>IF(AB135="",NA(),COUNTIF(AB135:$AB$293,AB135))</f>
        <v>3</v>
      </c>
      <c r="AD135" s="5">
        <f t="shared" si="51"/>
        <v>9.1999999999999998E-2</v>
      </c>
      <c r="AE135" s="5" t="e">
        <f t="shared" si="34"/>
        <v>#N/A</v>
      </c>
      <c r="AF135" s="5">
        <f t="shared" si="52"/>
        <v>0</v>
      </c>
      <c r="AG135" s="5" t="e">
        <f t="shared" si="53"/>
        <v>#N/A</v>
      </c>
      <c r="AH135" s="5">
        <f t="shared" si="54"/>
        <v>0</v>
      </c>
      <c r="AI135" s="5">
        <f t="shared" si="55"/>
        <v>0</v>
      </c>
      <c r="AJ135" s="5" t="str">
        <f t="shared" si="56"/>
        <v/>
      </c>
      <c r="AK135" s="5">
        <f t="shared" si="57"/>
        <v>2</v>
      </c>
      <c r="AX135" s="5">
        <f t="shared" si="35"/>
        <v>1</v>
      </c>
      <c r="AY135" s="5">
        <f t="shared" si="58"/>
        <v>1</v>
      </c>
      <c r="AZ135" s="5">
        <f t="shared" si="59"/>
        <v>1.6308</v>
      </c>
      <c r="BA135" s="5">
        <f t="shared" si="60"/>
        <v>1</v>
      </c>
      <c r="BB135" s="5">
        <f>IF(BA135="",NA(),COUNTIF(BA135:$BA$193,BA135))</f>
        <v>6</v>
      </c>
      <c r="BC135" s="5">
        <f t="shared" si="61"/>
        <v>0.22999999999999998</v>
      </c>
      <c r="BD135" s="5">
        <f t="shared" si="36"/>
        <v>0</v>
      </c>
      <c r="BE135" s="5">
        <f t="shared" si="62"/>
        <v>0</v>
      </c>
      <c r="BF135" s="5">
        <f t="shared" si="63"/>
        <v>0</v>
      </c>
      <c r="BG135" s="5">
        <f t="shared" si="64"/>
        <v>0</v>
      </c>
      <c r="BH135" s="5">
        <f>IF(BG135="",NA(),COUNTIF(BG135:$BG$193,BG135))</f>
        <v>3</v>
      </c>
      <c r="BI135" s="5">
        <f t="shared" si="65"/>
        <v>9.1999999999999998E-2</v>
      </c>
      <c r="BJ135" s="640">
        <v>127</v>
      </c>
      <c r="BK135" s="641"/>
      <c r="BL135" s="642"/>
      <c r="BM135" s="635">
        <v>127</v>
      </c>
      <c r="BN135" s="643"/>
      <c r="BO135" s="87"/>
      <c r="BP135" s="13"/>
      <c r="BR135" s="640">
        <v>127</v>
      </c>
      <c r="BS135" s="641"/>
      <c r="BT135" s="642"/>
      <c r="BU135" s="635">
        <v>127</v>
      </c>
      <c r="BV135" s="643"/>
      <c r="BW135" s="87"/>
      <c r="BX135" s="13"/>
      <c r="BZ135" s="640">
        <v>127</v>
      </c>
      <c r="CA135" s="641"/>
      <c r="CB135" s="642"/>
      <c r="CC135" s="635">
        <v>127</v>
      </c>
      <c r="CD135" s="643"/>
      <c r="CE135" s="87"/>
      <c r="CF135" s="13"/>
    </row>
    <row r="136" spans="1:84" ht="12.75" customHeight="1">
      <c r="A136" s="640">
        <v>128</v>
      </c>
      <c r="B136" s="641"/>
      <c r="C136" s="642"/>
      <c r="D136" s="635">
        <v>128</v>
      </c>
      <c r="E136" s="643"/>
      <c r="F136" s="87"/>
      <c r="G136" s="13"/>
      <c r="J136" s="5" t="e">
        <f t="shared" si="7"/>
        <v>#N/A</v>
      </c>
      <c r="K136" s="5" t="e">
        <f t="shared" si="41"/>
        <v>#N/A</v>
      </c>
      <c r="L136" s="5" t="e">
        <f t="shared" si="8"/>
        <v>#N/A</v>
      </c>
      <c r="M136" s="5" t="e">
        <f t="shared" si="42"/>
        <v>#N/A</v>
      </c>
      <c r="Q136" s="5">
        <f t="shared" si="43"/>
        <v>1</v>
      </c>
      <c r="R136" s="5">
        <f>IF(Q136="",NA(),COUNTIF(Q136:$Q$293,Q136))</f>
        <v>5</v>
      </c>
      <c r="S136" s="5">
        <f t="shared" si="44"/>
        <v>0.184</v>
      </c>
      <c r="T136" s="5" t="e">
        <f t="shared" si="32"/>
        <v>#N/A</v>
      </c>
      <c r="U136" s="5">
        <f t="shared" si="45"/>
        <v>1.6308</v>
      </c>
      <c r="V136" s="5" t="e">
        <f t="shared" si="46"/>
        <v>#N/A</v>
      </c>
      <c r="W136" s="5">
        <f t="shared" si="47"/>
        <v>1.6308</v>
      </c>
      <c r="X136" s="5">
        <v>43</v>
      </c>
      <c r="Y136" s="5">
        <f t="shared" si="48"/>
        <v>1</v>
      </c>
      <c r="Z136" s="5" t="str">
        <f t="shared" si="49"/>
        <v/>
      </c>
      <c r="AA136" s="5">
        <f t="shared" si="33"/>
        <v>2</v>
      </c>
      <c r="AB136" s="5">
        <f t="shared" si="50"/>
        <v>0</v>
      </c>
      <c r="AC136" s="5">
        <f>IF(AB136="",NA(),COUNTIF(AB136:$AB$293,AB136))</f>
        <v>2</v>
      </c>
      <c r="AD136" s="5">
        <f t="shared" si="51"/>
        <v>4.5999999999999999E-2</v>
      </c>
      <c r="AE136" s="5" t="e">
        <f t="shared" si="34"/>
        <v>#N/A</v>
      </c>
      <c r="AF136" s="5">
        <f t="shared" si="52"/>
        <v>0</v>
      </c>
      <c r="AG136" s="5" t="e">
        <f t="shared" si="53"/>
        <v>#N/A</v>
      </c>
      <c r="AH136" s="5">
        <f t="shared" si="54"/>
        <v>0</v>
      </c>
      <c r="AI136" s="5">
        <f t="shared" si="55"/>
        <v>0</v>
      </c>
      <c r="AJ136" s="5" t="str">
        <f t="shared" si="56"/>
        <v/>
      </c>
      <c r="AK136" s="5">
        <f t="shared" si="57"/>
        <v>2</v>
      </c>
      <c r="AX136" s="5">
        <f t="shared" si="35"/>
        <v>1</v>
      </c>
      <c r="AY136" s="5">
        <f t="shared" si="58"/>
        <v>1</v>
      </c>
      <c r="AZ136" s="5">
        <f t="shared" si="59"/>
        <v>1.6308</v>
      </c>
      <c r="BA136" s="5">
        <f t="shared" si="60"/>
        <v>1</v>
      </c>
      <c r="BB136" s="5">
        <f>IF(BA136="",NA(),COUNTIF(BA136:$BA$193,BA136))</f>
        <v>5</v>
      </c>
      <c r="BC136" s="5">
        <f t="shared" si="61"/>
        <v>0.184</v>
      </c>
      <c r="BD136" s="5">
        <f t="shared" si="36"/>
        <v>0</v>
      </c>
      <c r="BE136" s="5">
        <f t="shared" si="62"/>
        <v>0</v>
      </c>
      <c r="BF136" s="5">
        <f t="shared" si="63"/>
        <v>0</v>
      </c>
      <c r="BG136" s="5">
        <f t="shared" si="64"/>
        <v>0</v>
      </c>
      <c r="BH136" s="5">
        <f>IF(BG136="",NA(),COUNTIF(BG136:$BG$193,BG136))</f>
        <v>2</v>
      </c>
      <c r="BI136" s="5">
        <f t="shared" si="65"/>
        <v>4.5999999999999999E-2</v>
      </c>
      <c r="BJ136" s="640">
        <v>128</v>
      </c>
      <c r="BK136" s="641"/>
      <c r="BL136" s="642"/>
      <c r="BM136" s="635">
        <v>128</v>
      </c>
      <c r="BN136" s="643"/>
      <c r="BO136" s="87"/>
      <c r="BP136" s="13"/>
      <c r="BR136" s="640">
        <v>128</v>
      </c>
      <c r="BS136" s="641"/>
      <c r="BT136" s="642"/>
      <c r="BU136" s="635">
        <v>128</v>
      </c>
      <c r="BV136" s="643"/>
      <c r="BW136" s="87"/>
      <c r="BX136" s="13"/>
      <c r="BZ136" s="640">
        <v>128</v>
      </c>
      <c r="CA136" s="641"/>
      <c r="CB136" s="642"/>
      <c r="CC136" s="635">
        <v>128</v>
      </c>
      <c r="CD136" s="643"/>
      <c r="CE136" s="87"/>
      <c r="CF136" s="13"/>
    </row>
    <row r="137" spans="1:84" ht="12.75" customHeight="1">
      <c r="A137" s="640">
        <v>129</v>
      </c>
      <c r="B137" s="641"/>
      <c r="C137" s="642"/>
      <c r="D137" s="635">
        <v>129</v>
      </c>
      <c r="E137" s="643"/>
      <c r="F137" s="87"/>
      <c r="G137" s="13"/>
      <c r="I137" s="19"/>
      <c r="J137" s="5" t="e">
        <f t="shared" si="7"/>
        <v>#N/A</v>
      </c>
      <c r="K137" s="5" t="e">
        <f t="shared" si="41"/>
        <v>#N/A</v>
      </c>
      <c r="L137" s="5" t="e">
        <f t="shared" si="8"/>
        <v>#N/A</v>
      </c>
      <c r="M137" s="5" t="e">
        <f t="shared" si="42"/>
        <v>#N/A</v>
      </c>
      <c r="Q137" s="5">
        <f t="shared" si="43"/>
        <v>1</v>
      </c>
      <c r="R137" s="5">
        <f>IF(Q137="",NA(),COUNTIF(Q137:$Q$293,Q137))</f>
        <v>4</v>
      </c>
      <c r="S137" s="5">
        <f t="shared" si="44"/>
        <v>0.13800000000000001</v>
      </c>
      <c r="T137" s="5" t="e">
        <f t="shared" si="32"/>
        <v>#N/A</v>
      </c>
      <c r="U137" s="5">
        <f t="shared" si="45"/>
        <v>1.6308</v>
      </c>
      <c r="V137" s="5" t="e">
        <f t="shared" si="46"/>
        <v>#N/A</v>
      </c>
      <c r="W137" s="5">
        <f t="shared" si="47"/>
        <v>1.6308</v>
      </c>
      <c r="X137" s="5">
        <v>44</v>
      </c>
      <c r="Y137" s="5">
        <f t="shared" si="48"/>
        <v>1</v>
      </c>
      <c r="Z137" s="5" t="str">
        <f t="shared" si="49"/>
        <v/>
      </c>
      <c r="AA137" s="5">
        <f t="shared" si="33"/>
        <v>2</v>
      </c>
      <c r="AB137" s="5">
        <f t="shared" si="50"/>
        <v>0</v>
      </c>
      <c r="AC137" s="5">
        <f>IF(AB137="",NA(),COUNTIF(AB137:$AB$293,AB137))</f>
        <v>1</v>
      </c>
      <c r="AD137" s="5">
        <f t="shared" si="51"/>
        <v>0</v>
      </c>
      <c r="AE137" s="5" t="e">
        <f t="shared" si="34"/>
        <v>#N/A</v>
      </c>
      <c r="AF137" s="5">
        <f t="shared" si="52"/>
        <v>0</v>
      </c>
      <c r="AG137" s="5" t="e">
        <f t="shared" si="53"/>
        <v>#N/A</v>
      </c>
      <c r="AH137" s="5">
        <f t="shared" si="54"/>
        <v>0</v>
      </c>
      <c r="AI137" s="5">
        <f t="shared" si="55"/>
        <v>0</v>
      </c>
      <c r="AJ137" s="5" t="str">
        <f t="shared" si="56"/>
        <v/>
      </c>
      <c r="AK137" s="5">
        <f t="shared" si="57"/>
        <v>2</v>
      </c>
      <c r="AX137" s="5">
        <f t="shared" si="35"/>
        <v>1</v>
      </c>
      <c r="AY137" s="5">
        <f t="shared" si="58"/>
        <v>1</v>
      </c>
      <c r="AZ137" s="5">
        <f t="shared" si="59"/>
        <v>1.6308</v>
      </c>
      <c r="BA137" s="5">
        <f t="shared" si="60"/>
        <v>1</v>
      </c>
      <c r="BB137" s="5">
        <f>IF(BA137="",NA(),COUNTIF(BA137:$BA$193,BA137))</f>
        <v>4</v>
      </c>
      <c r="BC137" s="5">
        <f t="shared" si="61"/>
        <v>0.13800000000000001</v>
      </c>
      <c r="BD137" s="5">
        <f t="shared" si="36"/>
        <v>0</v>
      </c>
      <c r="BE137" s="5">
        <f t="shared" si="62"/>
        <v>0</v>
      </c>
      <c r="BF137" s="5">
        <f t="shared" si="63"/>
        <v>0</v>
      </c>
      <c r="BG137" s="5">
        <f t="shared" si="64"/>
        <v>0</v>
      </c>
      <c r="BH137" s="5">
        <f>IF(BG137="",NA(),COUNTIF(BG137:$BG$193,BG137))</f>
        <v>1</v>
      </c>
      <c r="BI137" s="5">
        <f t="shared" si="65"/>
        <v>0</v>
      </c>
      <c r="BJ137" s="640">
        <v>129</v>
      </c>
      <c r="BK137" s="641"/>
      <c r="BL137" s="642"/>
      <c r="BM137" s="635">
        <v>129</v>
      </c>
      <c r="BN137" s="643"/>
      <c r="BO137" s="87"/>
      <c r="BP137" s="13"/>
      <c r="BR137" s="640">
        <v>129</v>
      </c>
      <c r="BS137" s="641"/>
      <c r="BT137" s="642"/>
      <c r="BU137" s="635">
        <v>129</v>
      </c>
      <c r="BV137" s="643"/>
      <c r="BW137" s="87"/>
      <c r="BX137" s="13"/>
      <c r="BZ137" s="640">
        <v>129</v>
      </c>
      <c r="CA137" s="641"/>
      <c r="CB137" s="642"/>
      <c r="CC137" s="635">
        <v>129</v>
      </c>
      <c r="CD137" s="643"/>
      <c r="CE137" s="87"/>
      <c r="CF137" s="13"/>
    </row>
    <row r="138" spans="1:84" ht="12.75" customHeight="1">
      <c r="A138" s="640">
        <v>130</v>
      </c>
      <c r="B138" s="641"/>
      <c r="C138" s="642"/>
      <c r="D138" s="635">
        <v>130</v>
      </c>
      <c r="E138" s="643"/>
      <c r="F138" s="87"/>
      <c r="G138" s="13"/>
      <c r="J138" s="5" t="e">
        <f t="shared" si="7"/>
        <v>#N/A</v>
      </c>
      <c r="K138" s="5" t="e">
        <f t="shared" si="41"/>
        <v>#N/A</v>
      </c>
      <c r="L138" s="5" t="e">
        <f t="shared" si="8"/>
        <v>#N/A</v>
      </c>
      <c r="M138" s="5" t="e">
        <f t="shared" si="42"/>
        <v>#N/A</v>
      </c>
      <c r="Q138" s="5">
        <f t="shared" si="43"/>
        <v>1</v>
      </c>
      <c r="R138" s="5">
        <f>IF(Q138="",NA(),COUNTIF(Q138:$Q$293,Q138))</f>
        <v>3</v>
      </c>
      <c r="S138" s="5">
        <f t="shared" si="44"/>
        <v>9.1999999999999998E-2</v>
      </c>
      <c r="T138" s="5" t="e">
        <f t="shared" si="32"/>
        <v>#N/A</v>
      </c>
      <c r="U138" s="5">
        <f t="shared" si="45"/>
        <v>1.6308</v>
      </c>
      <c r="V138" s="5" t="e">
        <f t="shared" si="46"/>
        <v>#N/A</v>
      </c>
      <c r="W138" s="5">
        <f t="shared" si="47"/>
        <v>1.6308</v>
      </c>
      <c r="X138" s="5">
        <v>45</v>
      </c>
      <c r="Y138" s="5">
        <f t="shared" si="48"/>
        <v>1</v>
      </c>
      <c r="Z138" s="5" t="str">
        <f t="shared" si="49"/>
        <v/>
      </c>
      <c r="AA138" s="5">
        <f t="shared" si="33"/>
        <v>2</v>
      </c>
      <c r="AB138" s="5" t="str">
        <f t="shared" si="50"/>
        <v/>
      </c>
      <c r="AC138" s="5" t="e">
        <f>IF(AB138="",NA(),COUNTIF(AB138:$AB$293,AB138))</f>
        <v>#N/A</v>
      </c>
      <c r="AD138" s="5" t="e">
        <f t="shared" si="51"/>
        <v>#N/A</v>
      </c>
      <c r="AE138" s="5" t="e">
        <f t="shared" si="34"/>
        <v>#N/A</v>
      </c>
      <c r="AF138" s="5" t="e">
        <f t="shared" si="52"/>
        <v>#N/A</v>
      </c>
      <c r="AG138" s="5" t="e">
        <f t="shared" si="53"/>
        <v>#N/A</v>
      </c>
      <c r="AH138" s="5" t="str">
        <f t="shared" si="54"/>
        <v/>
      </c>
      <c r="AI138" s="5" t="str">
        <f t="shared" si="55"/>
        <v/>
      </c>
      <c r="AJ138" s="5" t="str">
        <f t="shared" si="56"/>
        <v/>
      </c>
      <c r="AK138" s="5" t="str">
        <f t="shared" si="57"/>
        <v/>
      </c>
      <c r="AX138" s="5">
        <f t="shared" si="35"/>
        <v>1</v>
      </c>
      <c r="AY138" s="5">
        <f t="shared" si="58"/>
        <v>1</v>
      </c>
      <c r="AZ138" s="5">
        <f t="shared" si="59"/>
        <v>1.6308</v>
      </c>
      <c r="BA138" s="5">
        <f t="shared" si="60"/>
        <v>1</v>
      </c>
      <c r="BB138" s="5">
        <f>IF(BA138="",NA(),COUNTIF(BA138:$BA$193,BA138))</f>
        <v>3</v>
      </c>
      <c r="BC138" s="5">
        <f t="shared" si="61"/>
        <v>9.1999999999999998E-2</v>
      </c>
      <c r="BD138" s="5" t="str">
        <f t="shared" si="36"/>
        <v/>
      </c>
      <c r="BE138" s="5" t="e">
        <f t="shared" si="62"/>
        <v>#N/A</v>
      </c>
      <c r="BF138" s="5" t="str">
        <f t="shared" si="63"/>
        <v/>
      </c>
      <c r="BG138" s="5" t="str">
        <f t="shared" si="64"/>
        <v/>
      </c>
      <c r="BH138" s="5" t="e">
        <f>IF(BG138="",NA(),COUNTIF(BG138:$BG$193,BG138))</f>
        <v>#N/A</v>
      </c>
      <c r="BI138" s="5" t="e">
        <f t="shared" si="65"/>
        <v>#N/A</v>
      </c>
      <c r="BJ138" s="640">
        <v>130</v>
      </c>
      <c r="BK138" s="641"/>
      <c r="BL138" s="642"/>
      <c r="BM138" s="635">
        <v>130</v>
      </c>
      <c r="BN138" s="643"/>
      <c r="BO138" s="87"/>
      <c r="BP138" s="13"/>
      <c r="BR138" s="640">
        <v>130</v>
      </c>
      <c r="BS138" s="641"/>
      <c r="BT138" s="642"/>
      <c r="BU138" s="635">
        <v>130</v>
      </c>
      <c r="BV138" s="643"/>
      <c r="BW138" s="87"/>
      <c r="BX138" s="13"/>
      <c r="BZ138" s="640">
        <v>130</v>
      </c>
      <c r="CA138" s="641"/>
      <c r="CB138" s="642"/>
      <c r="CC138" s="635">
        <v>130</v>
      </c>
      <c r="CD138" s="643"/>
      <c r="CE138" s="87"/>
      <c r="CF138" s="13"/>
    </row>
    <row r="139" spans="1:84" ht="12.75" customHeight="1">
      <c r="A139" s="640">
        <v>131</v>
      </c>
      <c r="B139" s="641"/>
      <c r="C139" s="642"/>
      <c r="D139" s="635">
        <v>131</v>
      </c>
      <c r="E139" s="643"/>
      <c r="F139" s="87"/>
      <c r="G139" s="13"/>
      <c r="I139" s="19"/>
      <c r="J139" s="5" t="e">
        <f t="shared" si="7"/>
        <v>#N/A</v>
      </c>
      <c r="K139" s="5" t="e">
        <f t="shared" si="41"/>
        <v>#N/A</v>
      </c>
      <c r="L139" s="5" t="e">
        <f t="shared" si="8"/>
        <v>#N/A</v>
      </c>
      <c r="M139" s="5" t="e">
        <f t="shared" si="42"/>
        <v>#N/A</v>
      </c>
      <c r="Q139" s="5">
        <f t="shared" si="43"/>
        <v>1</v>
      </c>
      <c r="R139" s="5">
        <f>IF(Q139="",NA(),COUNTIF(Q139:$Q$293,Q139))</f>
        <v>2</v>
      </c>
      <c r="S139" s="5">
        <f t="shared" si="44"/>
        <v>4.5999999999999999E-2</v>
      </c>
      <c r="T139" s="5" t="e">
        <f t="shared" si="32"/>
        <v>#N/A</v>
      </c>
      <c r="U139" s="5">
        <f t="shared" si="45"/>
        <v>1.6308</v>
      </c>
      <c r="V139" s="5" t="e">
        <f t="shared" si="46"/>
        <v>#N/A</v>
      </c>
      <c r="W139" s="5">
        <f t="shared" si="47"/>
        <v>1.6308</v>
      </c>
      <c r="X139" s="5">
        <v>46</v>
      </c>
      <c r="Y139" s="5">
        <f t="shared" si="48"/>
        <v>1</v>
      </c>
      <c r="Z139" s="5" t="str">
        <f t="shared" si="49"/>
        <v/>
      </c>
      <c r="AA139" s="5">
        <f t="shared" si="33"/>
        <v>2</v>
      </c>
      <c r="AB139" s="5" t="str">
        <f t="shared" si="50"/>
        <v/>
      </c>
      <c r="AC139" s="5" t="e">
        <f>IF(AB139="",NA(),COUNTIF(AB139:$AB$293,AB139))</f>
        <v>#N/A</v>
      </c>
      <c r="AD139" s="5" t="e">
        <f t="shared" si="51"/>
        <v>#N/A</v>
      </c>
      <c r="AE139" s="5" t="e">
        <f t="shared" si="34"/>
        <v>#N/A</v>
      </c>
      <c r="AF139" s="5" t="e">
        <f t="shared" si="52"/>
        <v>#N/A</v>
      </c>
      <c r="AG139" s="5" t="e">
        <f t="shared" si="53"/>
        <v>#N/A</v>
      </c>
      <c r="AH139" s="5" t="str">
        <f t="shared" si="54"/>
        <v/>
      </c>
      <c r="AI139" s="5" t="str">
        <f t="shared" si="55"/>
        <v/>
      </c>
      <c r="AJ139" s="5" t="str">
        <f t="shared" si="56"/>
        <v/>
      </c>
      <c r="AK139" s="5" t="str">
        <f t="shared" si="57"/>
        <v/>
      </c>
      <c r="AX139" s="5">
        <f t="shared" si="35"/>
        <v>1</v>
      </c>
      <c r="AY139" s="5">
        <f t="shared" si="58"/>
        <v>1</v>
      </c>
      <c r="AZ139" s="5">
        <f t="shared" si="59"/>
        <v>1.6308</v>
      </c>
      <c r="BA139" s="5">
        <f t="shared" si="60"/>
        <v>1</v>
      </c>
      <c r="BB139" s="5">
        <f>IF(BA139="",NA(),COUNTIF(BA139:$BA$193,BA139))</f>
        <v>2</v>
      </c>
      <c r="BC139" s="5">
        <f t="shared" si="61"/>
        <v>4.5999999999999999E-2</v>
      </c>
      <c r="BD139" s="5" t="str">
        <f t="shared" si="36"/>
        <v/>
      </c>
      <c r="BE139" s="5" t="e">
        <f t="shared" si="62"/>
        <v>#N/A</v>
      </c>
      <c r="BF139" s="5" t="str">
        <f t="shared" si="63"/>
        <v/>
      </c>
      <c r="BG139" s="5" t="str">
        <f t="shared" si="64"/>
        <v/>
      </c>
      <c r="BH139" s="5" t="e">
        <f>IF(BG139="",NA(),COUNTIF(BG139:$BG$193,BG139))</f>
        <v>#N/A</v>
      </c>
      <c r="BI139" s="5" t="e">
        <f t="shared" si="65"/>
        <v>#N/A</v>
      </c>
      <c r="BJ139" s="640">
        <v>131</v>
      </c>
      <c r="BK139" s="641"/>
      <c r="BL139" s="642"/>
      <c r="BM139" s="635">
        <v>131</v>
      </c>
      <c r="BN139" s="643"/>
      <c r="BO139" s="87"/>
      <c r="BP139" s="13"/>
      <c r="BR139" s="640">
        <v>131</v>
      </c>
      <c r="BS139" s="641"/>
      <c r="BT139" s="642"/>
      <c r="BU139" s="635">
        <v>131</v>
      </c>
      <c r="BV139" s="643"/>
      <c r="BW139" s="87"/>
      <c r="BX139" s="13"/>
      <c r="BZ139" s="640">
        <v>131</v>
      </c>
      <c r="CA139" s="641"/>
      <c r="CB139" s="642"/>
      <c r="CC139" s="635">
        <v>131</v>
      </c>
      <c r="CD139" s="643"/>
      <c r="CE139" s="87"/>
      <c r="CF139" s="13"/>
    </row>
    <row r="140" spans="1:84" ht="12.75" customHeight="1">
      <c r="A140" s="640">
        <v>132</v>
      </c>
      <c r="B140" s="641"/>
      <c r="C140" s="642"/>
      <c r="D140" s="635">
        <v>132</v>
      </c>
      <c r="E140" s="643"/>
      <c r="F140" s="87"/>
      <c r="G140" s="13"/>
      <c r="J140" s="5" t="e">
        <f t="shared" si="7"/>
        <v>#N/A</v>
      </c>
      <c r="K140" s="5" t="e">
        <f t="shared" si="41"/>
        <v>#N/A</v>
      </c>
      <c r="L140" s="5" t="e">
        <f t="shared" si="8"/>
        <v>#N/A</v>
      </c>
      <c r="M140" s="5" t="e">
        <f t="shared" si="42"/>
        <v>#N/A</v>
      </c>
      <c r="Q140" s="5">
        <f t="shared" si="43"/>
        <v>1</v>
      </c>
      <c r="R140" s="5">
        <f>IF(Q140="",NA(),COUNTIF(Q140:$Q$293,Q140))</f>
        <v>1</v>
      </c>
      <c r="S140" s="5">
        <f t="shared" si="44"/>
        <v>0</v>
      </c>
      <c r="T140" s="5" t="e">
        <f t="shared" si="32"/>
        <v>#N/A</v>
      </c>
      <c r="U140" s="5">
        <f t="shared" si="45"/>
        <v>1.6308</v>
      </c>
      <c r="V140" s="5" t="e">
        <f t="shared" si="46"/>
        <v>#N/A</v>
      </c>
      <c r="W140" s="5">
        <f t="shared" si="47"/>
        <v>1.6308</v>
      </c>
      <c r="X140" s="5">
        <v>47</v>
      </c>
      <c r="Y140" s="5">
        <f t="shared" si="48"/>
        <v>1</v>
      </c>
      <c r="Z140" s="5" t="str">
        <f t="shared" si="49"/>
        <v/>
      </c>
      <c r="AA140" s="5">
        <f t="shared" si="33"/>
        <v>2</v>
      </c>
      <c r="AB140" s="5" t="str">
        <f t="shared" si="50"/>
        <v/>
      </c>
      <c r="AC140" s="5" t="e">
        <f>IF(AB140="",NA(),COUNTIF(AB140:$AB$293,AB140))</f>
        <v>#N/A</v>
      </c>
      <c r="AD140" s="5" t="e">
        <f t="shared" si="51"/>
        <v>#N/A</v>
      </c>
      <c r="AE140" s="5" t="e">
        <f t="shared" si="34"/>
        <v>#N/A</v>
      </c>
      <c r="AF140" s="5" t="e">
        <f t="shared" si="52"/>
        <v>#N/A</v>
      </c>
      <c r="AG140" s="5" t="e">
        <f t="shared" si="53"/>
        <v>#N/A</v>
      </c>
      <c r="AH140" s="5" t="str">
        <f t="shared" si="54"/>
        <v/>
      </c>
      <c r="AI140" s="5" t="str">
        <f t="shared" si="55"/>
        <v/>
      </c>
      <c r="AJ140" s="5" t="str">
        <f t="shared" si="56"/>
        <v/>
      </c>
      <c r="AK140" s="5" t="str">
        <f t="shared" si="57"/>
        <v/>
      </c>
      <c r="AX140" s="5">
        <f t="shared" si="35"/>
        <v>1</v>
      </c>
      <c r="AY140" s="5">
        <f t="shared" si="58"/>
        <v>1</v>
      </c>
      <c r="AZ140" s="5">
        <f t="shared" si="59"/>
        <v>1.6308</v>
      </c>
      <c r="BA140" s="5">
        <f t="shared" si="60"/>
        <v>1</v>
      </c>
      <c r="BB140" s="5">
        <f>IF(BA140="",NA(),COUNTIF(BA140:$BA$193,BA140))</f>
        <v>1</v>
      </c>
      <c r="BC140" s="5">
        <f t="shared" si="61"/>
        <v>0</v>
      </c>
      <c r="BD140" s="5" t="str">
        <f t="shared" si="36"/>
        <v/>
      </c>
      <c r="BE140" s="5" t="e">
        <f t="shared" si="62"/>
        <v>#N/A</v>
      </c>
      <c r="BF140" s="5" t="str">
        <f t="shared" si="63"/>
        <v/>
      </c>
      <c r="BG140" s="5" t="str">
        <f t="shared" si="64"/>
        <v/>
      </c>
      <c r="BH140" s="5" t="e">
        <f>IF(BG140="",NA(),COUNTIF(BG140:$BG$193,BG140))</f>
        <v>#N/A</v>
      </c>
      <c r="BI140" s="5" t="e">
        <f t="shared" si="65"/>
        <v>#N/A</v>
      </c>
      <c r="BJ140" s="640">
        <v>132</v>
      </c>
      <c r="BK140" s="641"/>
      <c r="BL140" s="642"/>
      <c r="BM140" s="635">
        <v>132</v>
      </c>
      <c r="BN140" s="643"/>
      <c r="BO140" s="87"/>
      <c r="BP140" s="13"/>
      <c r="BR140" s="640">
        <v>132</v>
      </c>
      <c r="BS140" s="641"/>
      <c r="BT140" s="642"/>
      <c r="BU140" s="635">
        <v>132</v>
      </c>
      <c r="BV140" s="643"/>
      <c r="BW140" s="87"/>
      <c r="BX140" s="13"/>
      <c r="BZ140" s="640">
        <v>132</v>
      </c>
      <c r="CA140" s="641"/>
      <c r="CB140" s="642"/>
      <c r="CC140" s="635">
        <v>132</v>
      </c>
      <c r="CD140" s="643"/>
      <c r="CE140" s="87"/>
      <c r="CF140" s="13"/>
    </row>
    <row r="141" spans="1:84" ht="12.75" customHeight="1">
      <c r="A141" s="640">
        <v>133</v>
      </c>
      <c r="B141" s="641"/>
      <c r="C141" s="642"/>
      <c r="D141" s="635">
        <v>133</v>
      </c>
      <c r="E141" s="643"/>
      <c r="F141" s="87"/>
      <c r="G141" s="13"/>
      <c r="I141" s="19"/>
      <c r="J141" s="5" t="e">
        <f t="shared" si="7"/>
        <v>#N/A</v>
      </c>
      <c r="K141" s="5" t="e">
        <f t="shared" si="41"/>
        <v>#N/A</v>
      </c>
      <c r="L141" s="5" t="e">
        <f t="shared" si="8"/>
        <v>#N/A</v>
      </c>
      <c r="M141" s="5" t="e">
        <f t="shared" si="42"/>
        <v>#N/A</v>
      </c>
      <c r="Q141" s="5">
        <f t="shared" si="43"/>
        <v>0</v>
      </c>
      <c r="R141" s="5">
        <f>IF(Q141="",NA(),COUNTIF(Q141:$Q$293,Q141))</f>
        <v>4</v>
      </c>
      <c r="S141" s="5">
        <f t="shared" si="44"/>
        <v>0.13800000000000001</v>
      </c>
      <c r="T141" s="5" t="e">
        <f t="shared" si="32"/>
        <v>#N/A</v>
      </c>
      <c r="U141" s="5">
        <f t="shared" si="45"/>
        <v>0</v>
      </c>
      <c r="V141" s="5" t="e">
        <f t="shared" si="46"/>
        <v>#N/A</v>
      </c>
      <c r="W141" s="5">
        <f t="shared" si="47"/>
        <v>0</v>
      </c>
      <c r="X141" s="5">
        <v>48</v>
      </c>
      <c r="Y141" s="5">
        <f t="shared" si="48"/>
        <v>0</v>
      </c>
      <c r="Z141" s="5" t="str">
        <f t="shared" si="49"/>
        <v/>
      </c>
      <c r="AA141" s="5">
        <f t="shared" si="33"/>
        <v>2</v>
      </c>
      <c r="AB141" s="5" t="str">
        <f t="shared" si="50"/>
        <v/>
      </c>
      <c r="AC141" s="5" t="e">
        <f>IF(AB141="",NA(),COUNTIF(AB141:$AB$293,AB141))</f>
        <v>#N/A</v>
      </c>
      <c r="AD141" s="5" t="e">
        <f t="shared" si="51"/>
        <v>#N/A</v>
      </c>
      <c r="AE141" s="5" t="e">
        <f t="shared" si="34"/>
        <v>#N/A</v>
      </c>
      <c r="AF141" s="5" t="e">
        <f t="shared" si="52"/>
        <v>#N/A</v>
      </c>
      <c r="AG141" s="5" t="e">
        <f t="shared" si="53"/>
        <v>#N/A</v>
      </c>
      <c r="AH141" s="5" t="str">
        <f t="shared" si="54"/>
        <v/>
      </c>
      <c r="AI141" s="5" t="str">
        <f t="shared" si="55"/>
        <v/>
      </c>
      <c r="AJ141" s="5" t="str">
        <f t="shared" si="56"/>
        <v/>
      </c>
      <c r="AK141" s="5" t="str">
        <f t="shared" si="57"/>
        <v/>
      </c>
      <c r="AX141" s="5">
        <f t="shared" si="35"/>
        <v>0</v>
      </c>
      <c r="AY141" s="5">
        <f t="shared" si="58"/>
        <v>0</v>
      </c>
      <c r="AZ141" s="5">
        <f t="shared" si="59"/>
        <v>0</v>
      </c>
      <c r="BA141" s="5">
        <f t="shared" si="60"/>
        <v>0</v>
      </c>
      <c r="BB141" s="5">
        <f>IF(BA141="",NA(),COUNTIF(BA141:$BA$193,BA141))</f>
        <v>4</v>
      </c>
      <c r="BC141" s="5">
        <f t="shared" si="61"/>
        <v>0.13800000000000001</v>
      </c>
      <c r="BD141" s="5" t="str">
        <f t="shared" si="36"/>
        <v/>
      </c>
      <c r="BE141" s="5" t="e">
        <f t="shared" si="62"/>
        <v>#N/A</v>
      </c>
      <c r="BF141" s="5" t="str">
        <f t="shared" si="63"/>
        <v/>
      </c>
      <c r="BG141" s="5" t="str">
        <f t="shared" si="64"/>
        <v/>
      </c>
      <c r="BH141" s="5" t="e">
        <f>IF(BG141="",NA(),COUNTIF(BG141:$BG$193,BG141))</f>
        <v>#N/A</v>
      </c>
      <c r="BI141" s="5" t="e">
        <f t="shared" si="65"/>
        <v>#N/A</v>
      </c>
      <c r="BJ141" s="640">
        <v>133</v>
      </c>
      <c r="BK141" s="641"/>
      <c r="BL141" s="642"/>
      <c r="BM141" s="635">
        <v>133</v>
      </c>
      <c r="BN141" s="643"/>
      <c r="BO141" s="87"/>
      <c r="BP141" s="13"/>
      <c r="BR141" s="640">
        <v>133</v>
      </c>
      <c r="BS141" s="641"/>
      <c r="BT141" s="642"/>
      <c r="BU141" s="635">
        <v>133</v>
      </c>
      <c r="BV141" s="643"/>
      <c r="BW141" s="87"/>
      <c r="BX141" s="13"/>
      <c r="BZ141" s="640">
        <v>133</v>
      </c>
      <c r="CA141" s="641"/>
      <c r="CB141" s="642"/>
      <c r="CC141" s="635">
        <v>133</v>
      </c>
      <c r="CD141" s="643"/>
      <c r="CE141" s="87"/>
      <c r="CF141" s="13"/>
    </row>
    <row r="142" spans="1:84" ht="12.75" customHeight="1">
      <c r="A142" s="640">
        <v>134</v>
      </c>
      <c r="B142" s="641"/>
      <c r="C142" s="642"/>
      <c r="D142" s="635">
        <v>134</v>
      </c>
      <c r="E142" s="643"/>
      <c r="F142" s="87"/>
      <c r="G142" s="13"/>
      <c r="J142" s="5" t="e">
        <f t="shared" si="7"/>
        <v>#N/A</v>
      </c>
      <c r="K142" s="5" t="e">
        <f t="shared" si="41"/>
        <v>#N/A</v>
      </c>
      <c r="L142" s="5" t="e">
        <f t="shared" si="8"/>
        <v>#N/A</v>
      </c>
      <c r="M142" s="5" t="e">
        <f t="shared" si="42"/>
        <v>#N/A</v>
      </c>
      <c r="Q142" s="5">
        <f t="shared" si="43"/>
        <v>0</v>
      </c>
      <c r="R142" s="5">
        <f>IF(Q142="",NA(),COUNTIF(Q142:$Q$293,Q142))</f>
        <v>3</v>
      </c>
      <c r="S142" s="5">
        <f t="shared" si="44"/>
        <v>9.1999999999999998E-2</v>
      </c>
      <c r="T142" s="5" t="e">
        <f t="shared" si="32"/>
        <v>#N/A</v>
      </c>
      <c r="U142" s="5">
        <f t="shared" si="45"/>
        <v>0</v>
      </c>
      <c r="V142" s="5" t="e">
        <f t="shared" si="46"/>
        <v>#N/A</v>
      </c>
      <c r="W142" s="5">
        <f t="shared" si="47"/>
        <v>0</v>
      </c>
      <c r="X142" s="5">
        <v>49</v>
      </c>
      <c r="Y142" s="5">
        <f t="shared" si="48"/>
        <v>0</v>
      </c>
      <c r="Z142" s="5" t="str">
        <f t="shared" si="49"/>
        <v/>
      </c>
      <c r="AA142" s="5">
        <f t="shared" si="33"/>
        <v>2</v>
      </c>
      <c r="AB142" s="5" t="str">
        <f t="shared" si="50"/>
        <v/>
      </c>
      <c r="AC142" s="5" t="e">
        <f>IF(AB142="",NA(),COUNTIF(AB142:$AB$293,AB142))</f>
        <v>#N/A</v>
      </c>
      <c r="AD142" s="5" t="e">
        <f t="shared" si="51"/>
        <v>#N/A</v>
      </c>
      <c r="AE142" s="5" t="e">
        <f t="shared" si="34"/>
        <v>#N/A</v>
      </c>
      <c r="AF142" s="5" t="e">
        <f t="shared" si="52"/>
        <v>#N/A</v>
      </c>
      <c r="AG142" s="5" t="e">
        <f t="shared" si="53"/>
        <v>#N/A</v>
      </c>
      <c r="AH142" s="5" t="str">
        <f t="shared" si="54"/>
        <v/>
      </c>
      <c r="AI142" s="5" t="str">
        <f t="shared" si="55"/>
        <v/>
      </c>
      <c r="AJ142" s="5" t="str">
        <f t="shared" si="56"/>
        <v/>
      </c>
      <c r="AK142" s="5" t="str">
        <f t="shared" si="57"/>
        <v/>
      </c>
      <c r="AX142" s="5">
        <f t="shared" si="35"/>
        <v>0</v>
      </c>
      <c r="AY142" s="5">
        <f t="shared" si="58"/>
        <v>0</v>
      </c>
      <c r="AZ142" s="5">
        <f t="shared" si="59"/>
        <v>0</v>
      </c>
      <c r="BA142" s="5">
        <f t="shared" si="60"/>
        <v>0</v>
      </c>
      <c r="BB142" s="5">
        <f>IF(BA142="",NA(),COUNTIF(BA142:$BA$193,BA142))</f>
        <v>3</v>
      </c>
      <c r="BC142" s="5">
        <f t="shared" si="61"/>
        <v>9.1999999999999998E-2</v>
      </c>
      <c r="BD142" s="5" t="str">
        <f t="shared" si="36"/>
        <v/>
      </c>
      <c r="BE142" s="5" t="e">
        <f t="shared" si="62"/>
        <v>#N/A</v>
      </c>
      <c r="BF142" s="5" t="str">
        <f t="shared" si="63"/>
        <v/>
      </c>
      <c r="BG142" s="5" t="str">
        <f t="shared" si="64"/>
        <v/>
      </c>
      <c r="BH142" s="5" t="e">
        <f>IF(BG142="",NA(),COUNTIF(BG142:$BG$193,BG142))</f>
        <v>#N/A</v>
      </c>
      <c r="BI142" s="5" t="e">
        <f t="shared" si="65"/>
        <v>#N/A</v>
      </c>
      <c r="BJ142" s="640">
        <v>134</v>
      </c>
      <c r="BK142" s="641"/>
      <c r="BL142" s="642"/>
      <c r="BM142" s="635">
        <v>134</v>
      </c>
      <c r="BN142" s="643"/>
      <c r="BO142" s="87"/>
      <c r="BP142" s="13"/>
      <c r="BR142" s="640">
        <v>134</v>
      </c>
      <c r="BS142" s="641"/>
      <c r="BT142" s="642"/>
      <c r="BU142" s="635">
        <v>134</v>
      </c>
      <c r="BV142" s="643"/>
      <c r="BW142" s="87"/>
      <c r="BX142" s="13"/>
      <c r="BZ142" s="640">
        <v>134</v>
      </c>
      <c r="CA142" s="641"/>
      <c r="CB142" s="642"/>
      <c r="CC142" s="635">
        <v>134</v>
      </c>
      <c r="CD142" s="643"/>
      <c r="CE142" s="87"/>
      <c r="CF142" s="13"/>
    </row>
    <row r="143" spans="1:84" ht="12.75" customHeight="1">
      <c r="A143" s="640">
        <v>135</v>
      </c>
      <c r="B143" s="641"/>
      <c r="C143" s="642"/>
      <c r="D143" s="635">
        <v>135</v>
      </c>
      <c r="E143" s="643"/>
      <c r="F143" s="87"/>
      <c r="G143" s="13"/>
      <c r="I143" s="19"/>
      <c r="J143" s="5" t="e">
        <f t="shared" si="7"/>
        <v>#N/A</v>
      </c>
      <c r="K143" s="5" t="e">
        <f t="shared" si="41"/>
        <v>#N/A</v>
      </c>
      <c r="L143" s="5" t="e">
        <f t="shared" si="8"/>
        <v>#N/A</v>
      </c>
      <c r="M143" s="5" t="e">
        <f t="shared" si="42"/>
        <v>#N/A</v>
      </c>
      <c r="Q143" s="5">
        <f t="shared" si="43"/>
        <v>0</v>
      </c>
      <c r="R143" s="5">
        <f>IF(Q143="",NA(),COUNTIF(Q143:$Q$293,Q143))</f>
        <v>2</v>
      </c>
      <c r="S143" s="5">
        <f t="shared" si="44"/>
        <v>4.5999999999999999E-2</v>
      </c>
      <c r="T143" s="5" t="e">
        <f t="shared" si="32"/>
        <v>#N/A</v>
      </c>
      <c r="U143" s="5">
        <f t="shared" si="45"/>
        <v>0</v>
      </c>
      <c r="V143" s="5" t="e">
        <f t="shared" si="46"/>
        <v>#N/A</v>
      </c>
      <c r="W143" s="5">
        <f t="shared" si="47"/>
        <v>0</v>
      </c>
      <c r="X143" s="5">
        <v>50</v>
      </c>
      <c r="Y143" s="5">
        <f t="shared" si="48"/>
        <v>0</v>
      </c>
      <c r="Z143" s="5" t="str">
        <f t="shared" si="49"/>
        <v/>
      </c>
      <c r="AA143" s="5">
        <f t="shared" si="33"/>
        <v>2</v>
      </c>
      <c r="AB143" s="5" t="str">
        <f t="shared" si="50"/>
        <v/>
      </c>
      <c r="AC143" s="5" t="e">
        <f>IF(AB143="",NA(),COUNTIF(AB143:$AB$293,AB143))</f>
        <v>#N/A</v>
      </c>
      <c r="AD143" s="5" t="e">
        <f t="shared" si="51"/>
        <v>#N/A</v>
      </c>
      <c r="AE143" s="5" t="e">
        <f t="shared" si="34"/>
        <v>#N/A</v>
      </c>
      <c r="AF143" s="5" t="e">
        <f t="shared" si="52"/>
        <v>#N/A</v>
      </c>
      <c r="AG143" s="5" t="e">
        <f t="shared" si="53"/>
        <v>#N/A</v>
      </c>
      <c r="AH143" s="5" t="str">
        <f t="shared" si="54"/>
        <v/>
      </c>
      <c r="AI143" s="5" t="str">
        <f t="shared" si="55"/>
        <v/>
      </c>
      <c r="AJ143" s="5" t="str">
        <f t="shared" si="56"/>
        <v/>
      </c>
      <c r="AK143" s="5" t="str">
        <f t="shared" si="57"/>
        <v/>
      </c>
      <c r="AX143" s="5">
        <f t="shared" si="35"/>
        <v>0</v>
      </c>
      <c r="AY143" s="5">
        <f t="shared" si="58"/>
        <v>0</v>
      </c>
      <c r="AZ143" s="5">
        <f t="shared" si="59"/>
        <v>0</v>
      </c>
      <c r="BA143" s="5">
        <f t="shared" si="60"/>
        <v>0</v>
      </c>
      <c r="BB143" s="5">
        <f>IF(BA143="",NA(),COUNTIF(BA143:$BA$193,BA143))</f>
        <v>2</v>
      </c>
      <c r="BC143" s="5">
        <f t="shared" si="61"/>
        <v>4.5999999999999999E-2</v>
      </c>
      <c r="BD143" s="5" t="str">
        <f t="shared" si="36"/>
        <v/>
      </c>
      <c r="BE143" s="5" t="e">
        <f t="shared" si="62"/>
        <v>#N/A</v>
      </c>
      <c r="BF143" s="5" t="str">
        <f t="shared" si="63"/>
        <v/>
      </c>
      <c r="BG143" s="5" t="str">
        <f t="shared" si="64"/>
        <v/>
      </c>
      <c r="BH143" s="5" t="e">
        <f>IF(BG143="",NA(),COUNTIF(BG143:$BG$193,BG143))</f>
        <v>#N/A</v>
      </c>
      <c r="BI143" s="5" t="e">
        <f t="shared" si="65"/>
        <v>#N/A</v>
      </c>
      <c r="BJ143" s="640">
        <v>135</v>
      </c>
      <c r="BK143" s="641"/>
      <c r="BL143" s="642"/>
      <c r="BM143" s="635">
        <v>135</v>
      </c>
      <c r="BN143" s="643"/>
      <c r="BO143" s="87"/>
      <c r="BP143" s="13"/>
      <c r="BR143" s="640">
        <v>135</v>
      </c>
      <c r="BS143" s="641"/>
      <c r="BT143" s="642"/>
      <c r="BU143" s="635">
        <v>135</v>
      </c>
      <c r="BV143" s="643"/>
      <c r="BW143" s="87"/>
      <c r="BX143" s="13"/>
      <c r="BZ143" s="640">
        <v>135</v>
      </c>
      <c r="CA143" s="641"/>
      <c r="CB143" s="642"/>
      <c r="CC143" s="635">
        <v>135</v>
      </c>
      <c r="CD143" s="643"/>
      <c r="CE143" s="87"/>
      <c r="CF143" s="13"/>
    </row>
    <row r="144" spans="1:84" ht="12.75" customHeight="1">
      <c r="A144" s="640">
        <v>136</v>
      </c>
      <c r="B144" s="641"/>
      <c r="C144" s="642"/>
      <c r="D144" s="635">
        <v>136</v>
      </c>
      <c r="E144" s="643"/>
      <c r="F144" s="87"/>
      <c r="G144" s="13"/>
      <c r="J144" s="5" t="e">
        <f t="shared" si="7"/>
        <v>#N/A</v>
      </c>
      <c r="K144" s="5" t="e">
        <f t="shared" si="41"/>
        <v>#N/A</v>
      </c>
      <c r="L144" s="5" t="e">
        <f t="shared" si="8"/>
        <v>#N/A</v>
      </c>
      <c r="M144" s="5" t="e">
        <f t="shared" si="42"/>
        <v>#N/A</v>
      </c>
      <c r="Q144" s="5">
        <f t="shared" si="43"/>
        <v>0</v>
      </c>
      <c r="R144" s="5">
        <f>IF(Q144="",NA(),COUNTIF(Q144:$Q$293,Q144))</f>
        <v>1</v>
      </c>
      <c r="S144" s="5">
        <f t="shared" si="44"/>
        <v>0</v>
      </c>
      <c r="T144" s="5" t="e">
        <f t="shared" si="32"/>
        <v>#N/A</v>
      </c>
      <c r="U144" s="5">
        <f t="shared" si="45"/>
        <v>0</v>
      </c>
      <c r="V144" s="5" t="e">
        <f t="shared" si="46"/>
        <v>#N/A</v>
      </c>
      <c r="W144" s="5">
        <f t="shared" si="47"/>
        <v>0</v>
      </c>
      <c r="X144" s="5">
        <v>51</v>
      </c>
      <c r="Y144" s="5">
        <f t="shared" si="48"/>
        <v>0</v>
      </c>
      <c r="Z144" s="5" t="str">
        <f t="shared" si="49"/>
        <v/>
      </c>
      <c r="AA144" s="5">
        <f t="shared" si="33"/>
        <v>2</v>
      </c>
      <c r="AB144" s="5" t="str">
        <f t="shared" si="50"/>
        <v/>
      </c>
      <c r="AC144" s="5" t="e">
        <f>IF(AB144="",NA(),COUNTIF(AB144:$AB$293,AB144))</f>
        <v>#N/A</v>
      </c>
      <c r="AD144" s="5" t="e">
        <f t="shared" si="51"/>
        <v>#N/A</v>
      </c>
      <c r="AE144" s="5" t="e">
        <f t="shared" si="34"/>
        <v>#N/A</v>
      </c>
      <c r="AF144" s="5" t="e">
        <f t="shared" si="52"/>
        <v>#N/A</v>
      </c>
      <c r="AG144" s="5" t="e">
        <f t="shared" si="53"/>
        <v>#N/A</v>
      </c>
      <c r="AH144" s="5" t="str">
        <f t="shared" si="54"/>
        <v/>
      </c>
      <c r="AI144" s="5" t="str">
        <f t="shared" si="55"/>
        <v/>
      </c>
      <c r="AJ144" s="5" t="str">
        <f t="shared" si="56"/>
        <v/>
      </c>
      <c r="AK144" s="5" t="str">
        <f t="shared" si="57"/>
        <v/>
      </c>
      <c r="AX144" s="5">
        <f t="shared" si="35"/>
        <v>0</v>
      </c>
      <c r="AY144" s="5">
        <f t="shared" si="58"/>
        <v>0</v>
      </c>
      <c r="AZ144" s="5">
        <f t="shared" si="59"/>
        <v>0</v>
      </c>
      <c r="BA144" s="5">
        <f t="shared" si="60"/>
        <v>0</v>
      </c>
      <c r="BB144" s="5">
        <f>IF(BA144="",NA(),COUNTIF(BA144:$BA$193,BA144))</f>
        <v>1</v>
      </c>
      <c r="BC144" s="5">
        <f t="shared" si="61"/>
        <v>0</v>
      </c>
      <c r="BD144" s="5" t="str">
        <f t="shared" si="36"/>
        <v/>
      </c>
      <c r="BE144" s="5" t="e">
        <f t="shared" si="62"/>
        <v>#N/A</v>
      </c>
      <c r="BF144" s="5" t="str">
        <f t="shared" si="63"/>
        <v/>
      </c>
      <c r="BG144" s="5" t="str">
        <f t="shared" si="64"/>
        <v/>
      </c>
      <c r="BH144" s="5" t="e">
        <f>IF(BG144="",NA(),COUNTIF(BG144:$BG$193,BG144))</f>
        <v>#N/A</v>
      </c>
      <c r="BI144" s="5" t="e">
        <f t="shared" si="65"/>
        <v>#N/A</v>
      </c>
      <c r="BJ144" s="640">
        <v>136</v>
      </c>
      <c r="BK144" s="641"/>
      <c r="BL144" s="642"/>
      <c r="BM144" s="635">
        <v>136</v>
      </c>
      <c r="BN144" s="643"/>
      <c r="BO144" s="87"/>
      <c r="BP144" s="13"/>
      <c r="BR144" s="640">
        <v>136</v>
      </c>
      <c r="BS144" s="641"/>
      <c r="BT144" s="642"/>
      <c r="BU144" s="635">
        <v>136</v>
      </c>
      <c r="BV144" s="643"/>
      <c r="BW144" s="87"/>
      <c r="BX144" s="13"/>
      <c r="BZ144" s="640">
        <v>136</v>
      </c>
      <c r="CA144" s="641"/>
      <c r="CB144" s="642"/>
      <c r="CC144" s="635">
        <v>136</v>
      </c>
      <c r="CD144" s="643"/>
      <c r="CE144" s="87"/>
      <c r="CF144" s="13"/>
    </row>
    <row r="145" spans="1:84" ht="12.75" customHeight="1">
      <c r="A145" s="640">
        <v>137</v>
      </c>
      <c r="B145" s="641"/>
      <c r="C145" s="642"/>
      <c r="D145" s="635">
        <v>137</v>
      </c>
      <c r="E145" s="643"/>
      <c r="F145" s="87"/>
      <c r="G145" s="13"/>
      <c r="I145" s="19"/>
      <c r="J145" s="5" t="e">
        <f t="shared" si="7"/>
        <v>#N/A</v>
      </c>
      <c r="K145" s="5" t="e">
        <f t="shared" si="41"/>
        <v>#N/A</v>
      </c>
      <c r="L145" s="5" t="e">
        <f t="shared" si="8"/>
        <v>#N/A</v>
      </c>
      <c r="M145" s="5" t="e">
        <f t="shared" si="42"/>
        <v>#N/A</v>
      </c>
      <c r="Q145" s="5" t="str">
        <f t="shared" si="43"/>
        <v/>
      </c>
      <c r="R145" s="5" t="e">
        <f>IF(Q145="",NA(),COUNTIF(Q145:$Q$293,Q145))</f>
        <v>#N/A</v>
      </c>
      <c r="S145" s="5" t="e">
        <f t="shared" si="44"/>
        <v>#N/A</v>
      </c>
      <c r="T145" s="5" t="e">
        <f t="shared" si="32"/>
        <v>#N/A</v>
      </c>
      <c r="U145" s="5" t="e">
        <f t="shared" si="45"/>
        <v>#N/A</v>
      </c>
      <c r="V145" s="5" t="e">
        <f t="shared" si="46"/>
        <v>#N/A</v>
      </c>
      <c r="W145" s="5" t="str">
        <f t="shared" si="47"/>
        <v/>
      </c>
      <c r="X145" s="5">
        <v>52</v>
      </c>
      <c r="Y145" s="5" t="str">
        <f t="shared" si="48"/>
        <v/>
      </c>
      <c r="Z145" s="5" t="str">
        <f t="shared" si="49"/>
        <v/>
      </c>
      <c r="AA145" s="5" t="str">
        <f t="shared" si="33"/>
        <v/>
      </c>
      <c r="AB145" s="5" t="str">
        <f t="shared" si="50"/>
        <v/>
      </c>
      <c r="AC145" s="5" t="e">
        <f>IF(AB145="",NA(),COUNTIF(AB145:$AB$293,AB145))</f>
        <v>#N/A</v>
      </c>
      <c r="AD145" s="5" t="e">
        <f t="shared" si="51"/>
        <v>#N/A</v>
      </c>
      <c r="AE145" s="5" t="e">
        <f t="shared" si="34"/>
        <v>#N/A</v>
      </c>
      <c r="AF145" s="5" t="e">
        <f t="shared" si="52"/>
        <v>#N/A</v>
      </c>
      <c r="AG145" s="5" t="e">
        <f t="shared" si="53"/>
        <v>#N/A</v>
      </c>
      <c r="AH145" s="5" t="str">
        <f t="shared" si="54"/>
        <v/>
      </c>
      <c r="AI145" s="5" t="str">
        <f t="shared" si="55"/>
        <v/>
      </c>
      <c r="AJ145" s="5" t="str">
        <f t="shared" si="56"/>
        <v/>
      </c>
      <c r="AK145" s="5" t="str">
        <f t="shared" si="57"/>
        <v/>
      </c>
      <c r="AX145" s="5" t="str">
        <f t="shared" si="35"/>
        <v/>
      </c>
      <c r="AY145" s="5" t="e">
        <f t="shared" si="58"/>
        <v>#N/A</v>
      </c>
      <c r="AZ145" s="5" t="str">
        <f t="shared" si="59"/>
        <v/>
      </c>
      <c r="BA145" s="5" t="str">
        <f t="shared" si="60"/>
        <v/>
      </c>
      <c r="BB145" s="5" t="e">
        <f>IF(BA145="",NA(),COUNTIF(BA145:$BA$193,BA145))</f>
        <v>#N/A</v>
      </c>
      <c r="BC145" s="5" t="e">
        <f t="shared" si="61"/>
        <v>#N/A</v>
      </c>
      <c r="BD145" s="5" t="str">
        <f t="shared" si="36"/>
        <v/>
      </c>
      <c r="BE145" s="5" t="e">
        <f t="shared" si="62"/>
        <v>#N/A</v>
      </c>
      <c r="BF145" s="5" t="str">
        <f t="shared" si="63"/>
        <v/>
      </c>
      <c r="BG145" s="5" t="str">
        <f t="shared" si="64"/>
        <v/>
      </c>
      <c r="BH145" s="5" t="e">
        <f>IF(BG145="",NA(),COUNTIF(BG145:$BG$193,BG145))</f>
        <v>#N/A</v>
      </c>
      <c r="BI145" s="5" t="e">
        <f t="shared" si="65"/>
        <v>#N/A</v>
      </c>
      <c r="BJ145" s="640">
        <v>137</v>
      </c>
      <c r="BK145" s="641"/>
      <c r="BL145" s="642"/>
      <c r="BM145" s="635">
        <v>137</v>
      </c>
      <c r="BN145" s="643"/>
      <c r="BO145" s="87"/>
      <c r="BP145" s="13"/>
      <c r="BR145" s="640">
        <v>137</v>
      </c>
      <c r="BS145" s="641"/>
      <c r="BT145" s="642"/>
      <c r="BU145" s="635">
        <v>137</v>
      </c>
      <c r="BV145" s="643"/>
      <c r="BW145" s="87"/>
      <c r="BX145" s="13"/>
      <c r="BZ145" s="640">
        <v>137</v>
      </c>
      <c r="CA145" s="641"/>
      <c r="CB145" s="642"/>
      <c r="CC145" s="635">
        <v>137</v>
      </c>
      <c r="CD145" s="643"/>
      <c r="CE145" s="87"/>
      <c r="CF145" s="13"/>
    </row>
    <row r="146" spans="1:84" ht="12.75" customHeight="1">
      <c r="A146" s="640">
        <v>138</v>
      </c>
      <c r="B146" s="641"/>
      <c r="C146" s="642"/>
      <c r="D146" s="635">
        <v>138</v>
      </c>
      <c r="E146" s="643"/>
      <c r="F146" s="87"/>
      <c r="G146" s="13"/>
      <c r="J146" s="5" t="e">
        <f t="shared" si="7"/>
        <v>#N/A</v>
      </c>
      <c r="K146" s="5" t="e">
        <f t="shared" si="41"/>
        <v>#N/A</v>
      </c>
      <c r="L146" s="5" t="e">
        <f t="shared" si="8"/>
        <v>#N/A</v>
      </c>
      <c r="M146" s="5" t="e">
        <f t="shared" si="42"/>
        <v>#N/A</v>
      </c>
      <c r="Q146" s="5" t="str">
        <f t="shared" si="43"/>
        <v/>
      </c>
      <c r="R146" s="5" t="e">
        <f>IF(Q146="",NA(),COUNTIF(Q146:$Q$293,Q146))</f>
        <v>#N/A</v>
      </c>
      <c r="S146" s="5" t="e">
        <f t="shared" si="44"/>
        <v>#N/A</v>
      </c>
      <c r="T146" s="5" t="e">
        <f t="shared" si="32"/>
        <v>#N/A</v>
      </c>
      <c r="U146" s="5" t="e">
        <f t="shared" si="45"/>
        <v>#N/A</v>
      </c>
      <c r="V146" s="5" t="e">
        <f t="shared" si="46"/>
        <v>#N/A</v>
      </c>
      <c r="W146" s="5" t="str">
        <f t="shared" si="47"/>
        <v/>
      </c>
      <c r="X146" s="5">
        <v>53</v>
      </c>
      <c r="Y146" s="5" t="str">
        <f t="shared" si="48"/>
        <v/>
      </c>
      <c r="Z146" s="5" t="str">
        <f t="shared" si="49"/>
        <v/>
      </c>
      <c r="AA146" s="5" t="str">
        <f t="shared" si="33"/>
        <v/>
      </c>
      <c r="AB146" s="5" t="str">
        <f t="shared" si="50"/>
        <v/>
      </c>
      <c r="AC146" s="5" t="e">
        <f>IF(AB146="",NA(),COUNTIF(AB146:$AB$293,AB146))</f>
        <v>#N/A</v>
      </c>
      <c r="AD146" s="5" t="e">
        <f t="shared" si="51"/>
        <v>#N/A</v>
      </c>
      <c r="AE146" s="5" t="e">
        <f t="shared" si="34"/>
        <v>#N/A</v>
      </c>
      <c r="AF146" s="5" t="e">
        <f t="shared" si="52"/>
        <v>#N/A</v>
      </c>
      <c r="AG146" s="5" t="e">
        <f t="shared" si="53"/>
        <v>#N/A</v>
      </c>
      <c r="AH146" s="5" t="str">
        <f t="shared" si="54"/>
        <v/>
      </c>
      <c r="AI146" s="5" t="str">
        <f t="shared" si="55"/>
        <v/>
      </c>
      <c r="AJ146" s="5" t="str">
        <f t="shared" si="56"/>
        <v/>
      </c>
      <c r="AK146" s="5" t="str">
        <f t="shared" si="57"/>
        <v/>
      </c>
      <c r="AX146" s="5" t="str">
        <f t="shared" si="35"/>
        <v/>
      </c>
      <c r="AY146" s="5" t="e">
        <f t="shared" si="58"/>
        <v>#N/A</v>
      </c>
      <c r="AZ146" s="5" t="str">
        <f t="shared" si="59"/>
        <v/>
      </c>
      <c r="BA146" s="5" t="str">
        <f t="shared" si="60"/>
        <v/>
      </c>
      <c r="BB146" s="5" t="e">
        <f>IF(BA146="",NA(),COUNTIF(BA146:$BA$193,BA146))</f>
        <v>#N/A</v>
      </c>
      <c r="BC146" s="5" t="e">
        <f t="shared" si="61"/>
        <v>#N/A</v>
      </c>
      <c r="BD146" s="5" t="str">
        <f t="shared" si="36"/>
        <v/>
      </c>
      <c r="BE146" s="5" t="e">
        <f t="shared" si="62"/>
        <v>#N/A</v>
      </c>
      <c r="BF146" s="5" t="str">
        <f t="shared" si="63"/>
        <v/>
      </c>
      <c r="BG146" s="5" t="str">
        <f t="shared" si="64"/>
        <v/>
      </c>
      <c r="BH146" s="5" t="e">
        <f>IF(BG146="",NA(),COUNTIF(BG146:$BG$193,BG146))</f>
        <v>#N/A</v>
      </c>
      <c r="BI146" s="5" t="e">
        <f t="shared" si="65"/>
        <v>#N/A</v>
      </c>
      <c r="BJ146" s="640">
        <v>138</v>
      </c>
      <c r="BK146" s="641"/>
      <c r="BL146" s="642"/>
      <c r="BM146" s="635">
        <v>138</v>
      </c>
      <c r="BN146" s="643"/>
      <c r="BO146" s="87"/>
      <c r="BP146" s="13"/>
      <c r="BR146" s="640">
        <v>138</v>
      </c>
      <c r="BS146" s="641"/>
      <c r="BT146" s="642"/>
      <c r="BU146" s="635">
        <v>138</v>
      </c>
      <c r="BV146" s="643"/>
      <c r="BW146" s="87"/>
      <c r="BX146" s="13"/>
      <c r="BZ146" s="640">
        <v>138</v>
      </c>
      <c r="CA146" s="641"/>
      <c r="CB146" s="642"/>
      <c r="CC146" s="635">
        <v>138</v>
      </c>
      <c r="CD146" s="643"/>
      <c r="CE146" s="87"/>
      <c r="CF146" s="13"/>
    </row>
    <row r="147" spans="1:84" ht="12.75" customHeight="1">
      <c r="A147" s="640">
        <v>139</v>
      </c>
      <c r="B147" s="641"/>
      <c r="C147" s="642"/>
      <c r="D147" s="635">
        <v>139</v>
      </c>
      <c r="E147" s="643"/>
      <c r="F147" s="87"/>
      <c r="G147" s="13"/>
      <c r="I147" s="19"/>
      <c r="J147" s="5" t="e">
        <f t="shared" si="7"/>
        <v>#N/A</v>
      </c>
      <c r="K147" s="5" t="e">
        <f t="shared" si="41"/>
        <v>#N/A</v>
      </c>
      <c r="L147" s="5" t="e">
        <f t="shared" si="8"/>
        <v>#N/A</v>
      </c>
      <c r="M147" s="5" t="e">
        <f t="shared" si="42"/>
        <v>#N/A</v>
      </c>
      <c r="Q147" s="5" t="str">
        <f t="shared" si="43"/>
        <v/>
      </c>
      <c r="R147" s="5" t="e">
        <f>IF(Q147="",NA(),COUNTIF(Q147:$Q$293,Q147))</f>
        <v>#N/A</v>
      </c>
      <c r="S147" s="5" t="e">
        <f t="shared" si="44"/>
        <v>#N/A</v>
      </c>
      <c r="T147" s="5" t="e">
        <f t="shared" si="32"/>
        <v>#N/A</v>
      </c>
      <c r="U147" s="5" t="e">
        <f t="shared" si="45"/>
        <v>#N/A</v>
      </c>
      <c r="V147" s="5" t="e">
        <f t="shared" si="46"/>
        <v>#N/A</v>
      </c>
      <c r="W147" s="5" t="str">
        <f t="shared" si="47"/>
        <v/>
      </c>
      <c r="X147" s="5">
        <v>54</v>
      </c>
      <c r="Y147" s="5" t="str">
        <f t="shared" si="48"/>
        <v/>
      </c>
      <c r="Z147" s="5" t="str">
        <f t="shared" si="49"/>
        <v/>
      </c>
      <c r="AA147" s="5" t="str">
        <f t="shared" si="33"/>
        <v/>
      </c>
      <c r="AB147" s="5" t="str">
        <f t="shared" si="50"/>
        <v/>
      </c>
      <c r="AC147" s="5" t="e">
        <f>IF(AB147="",NA(),COUNTIF(AB147:$AB$293,AB147))</f>
        <v>#N/A</v>
      </c>
      <c r="AD147" s="5" t="e">
        <f t="shared" si="51"/>
        <v>#N/A</v>
      </c>
      <c r="AE147" s="5" t="e">
        <f t="shared" si="34"/>
        <v>#N/A</v>
      </c>
      <c r="AF147" s="5" t="e">
        <f t="shared" si="52"/>
        <v>#N/A</v>
      </c>
      <c r="AG147" s="5" t="e">
        <f t="shared" si="53"/>
        <v>#N/A</v>
      </c>
      <c r="AH147" s="5" t="str">
        <f t="shared" si="54"/>
        <v/>
      </c>
      <c r="AI147" s="5" t="str">
        <f t="shared" si="55"/>
        <v/>
      </c>
      <c r="AJ147" s="5" t="str">
        <f t="shared" si="56"/>
        <v/>
      </c>
      <c r="AK147" s="5" t="str">
        <f t="shared" si="57"/>
        <v/>
      </c>
      <c r="AX147" s="5" t="str">
        <f t="shared" si="35"/>
        <v/>
      </c>
      <c r="AY147" s="5" t="e">
        <f t="shared" si="58"/>
        <v>#N/A</v>
      </c>
      <c r="AZ147" s="5" t="str">
        <f t="shared" si="59"/>
        <v/>
      </c>
      <c r="BA147" s="5" t="str">
        <f t="shared" si="60"/>
        <v/>
      </c>
      <c r="BB147" s="5" t="e">
        <f>IF(BA147="",NA(),COUNTIF(BA147:$BA$193,BA147))</f>
        <v>#N/A</v>
      </c>
      <c r="BC147" s="5" t="e">
        <f t="shared" si="61"/>
        <v>#N/A</v>
      </c>
      <c r="BD147" s="5" t="str">
        <f t="shared" si="36"/>
        <v/>
      </c>
      <c r="BE147" s="5" t="e">
        <f t="shared" si="62"/>
        <v>#N/A</v>
      </c>
      <c r="BF147" s="5" t="str">
        <f t="shared" si="63"/>
        <v/>
      </c>
      <c r="BG147" s="5" t="str">
        <f t="shared" si="64"/>
        <v/>
      </c>
      <c r="BH147" s="5" t="e">
        <f>IF(BG147="",NA(),COUNTIF(BG147:$BG$193,BG147))</f>
        <v>#N/A</v>
      </c>
      <c r="BI147" s="5" t="e">
        <f t="shared" si="65"/>
        <v>#N/A</v>
      </c>
      <c r="BJ147" s="640">
        <v>139</v>
      </c>
      <c r="BK147" s="641"/>
      <c r="BL147" s="642"/>
      <c r="BM147" s="635">
        <v>139</v>
      </c>
      <c r="BN147" s="643"/>
      <c r="BO147" s="87"/>
      <c r="BP147" s="13"/>
      <c r="BR147" s="640">
        <v>139</v>
      </c>
      <c r="BS147" s="641"/>
      <c r="BT147" s="642"/>
      <c r="BU147" s="635">
        <v>139</v>
      </c>
      <c r="BV147" s="643"/>
      <c r="BW147" s="87"/>
      <c r="BX147" s="13"/>
      <c r="BZ147" s="640">
        <v>139</v>
      </c>
      <c r="CA147" s="641"/>
      <c r="CB147" s="642"/>
      <c r="CC147" s="635">
        <v>139</v>
      </c>
      <c r="CD147" s="643"/>
      <c r="CE147" s="87"/>
      <c r="CF147" s="13"/>
    </row>
    <row r="148" spans="1:84" ht="12.75" customHeight="1">
      <c r="A148" s="640">
        <v>140</v>
      </c>
      <c r="B148" s="641"/>
      <c r="C148" s="642"/>
      <c r="D148" s="635">
        <v>140</v>
      </c>
      <c r="E148" s="643"/>
      <c r="F148" s="87"/>
      <c r="G148" s="13"/>
      <c r="J148" s="5" t="e">
        <f t="shared" si="7"/>
        <v>#N/A</v>
      </c>
      <c r="K148" s="5" t="e">
        <f t="shared" ref="K148:K183" si="66">IF($AC$91,NA(),IF(AZ158="",NA(),IF($AP$92,AZ158,AY158)))</f>
        <v>#N/A</v>
      </c>
      <c r="L148" s="5" t="e">
        <f t="shared" si="8"/>
        <v>#N/A</v>
      </c>
      <c r="M148" s="5" t="e">
        <f t="shared" ref="M148:M183" si="67">IF($AC$91,NA(),IF(BF158="",NA(),IF($AP$92,BF158,BE158)))</f>
        <v>#N/A</v>
      </c>
      <c r="Q148" s="5" t="str">
        <f t="shared" si="43"/>
        <v/>
      </c>
      <c r="R148" s="5" t="e">
        <f>IF(Q148="",NA(),COUNTIF(Q148:$Q$293,Q148))</f>
        <v>#N/A</v>
      </c>
      <c r="S148" s="5" t="e">
        <f t="shared" si="44"/>
        <v>#N/A</v>
      </c>
      <c r="T148" s="5" t="e">
        <f t="shared" si="32"/>
        <v>#N/A</v>
      </c>
      <c r="U148" s="5" t="e">
        <f t="shared" si="45"/>
        <v>#N/A</v>
      </c>
      <c r="V148" s="5" t="e">
        <f t="shared" si="46"/>
        <v>#N/A</v>
      </c>
      <c r="W148" s="5" t="str">
        <f t="shared" si="47"/>
        <v/>
      </c>
      <c r="X148" s="5">
        <v>55</v>
      </c>
      <c r="Y148" s="5" t="str">
        <f t="shared" si="48"/>
        <v/>
      </c>
      <c r="Z148" s="5" t="str">
        <f t="shared" si="49"/>
        <v/>
      </c>
      <c r="AA148" s="5" t="str">
        <f t="shared" si="33"/>
        <v/>
      </c>
      <c r="AB148" s="5" t="str">
        <f t="shared" si="50"/>
        <v/>
      </c>
      <c r="AC148" s="5" t="e">
        <f>IF(AB148="",NA(),COUNTIF(AB148:$AB$293,AB148))</f>
        <v>#N/A</v>
      </c>
      <c r="AD148" s="5" t="e">
        <f t="shared" si="51"/>
        <v>#N/A</v>
      </c>
      <c r="AE148" s="5" t="e">
        <f t="shared" si="34"/>
        <v>#N/A</v>
      </c>
      <c r="AF148" s="5" t="e">
        <f t="shared" si="52"/>
        <v>#N/A</v>
      </c>
      <c r="AG148" s="5" t="e">
        <f t="shared" si="53"/>
        <v>#N/A</v>
      </c>
      <c r="AH148" s="5" t="str">
        <f t="shared" si="54"/>
        <v/>
      </c>
      <c r="AI148" s="5" t="str">
        <f t="shared" si="55"/>
        <v/>
      </c>
      <c r="AJ148" s="5" t="str">
        <f t="shared" si="56"/>
        <v/>
      </c>
      <c r="AK148" s="5" t="str">
        <f t="shared" si="57"/>
        <v/>
      </c>
      <c r="AX148" s="5" t="str">
        <f t="shared" si="35"/>
        <v/>
      </c>
      <c r="AY148" s="5" t="e">
        <f t="shared" si="58"/>
        <v>#N/A</v>
      </c>
      <c r="AZ148" s="5" t="str">
        <f t="shared" si="59"/>
        <v/>
      </c>
      <c r="BA148" s="5" t="str">
        <f t="shared" si="60"/>
        <v/>
      </c>
      <c r="BB148" s="5" t="e">
        <f>IF(BA148="",NA(),COUNTIF(BA148:$BA$193,BA148))</f>
        <v>#N/A</v>
      </c>
      <c r="BC148" s="5" t="e">
        <f t="shared" si="61"/>
        <v>#N/A</v>
      </c>
      <c r="BD148" s="5" t="str">
        <f t="shared" si="36"/>
        <v/>
      </c>
      <c r="BE148" s="5" t="e">
        <f t="shared" si="62"/>
        <v>#N/A</v>
      </c>
      <c r="BF148" s="5" t="str">
        <f t="shared" si="63"/>
        <v/>
      </c>
      <c r="BG148" s="5" t="str">
        <f t="shared" si="64"/>
        <v/>
      </c>
      <c r="BH148" s="5" t="e">
        <f>IF(BG148="",NA(),COUNTIF(BG148:$BG$193,BG148))</f>
        <v>#N/A</v>
      </c>
      <c r="BI148" s="5" t="e">
        <f t="shared" si="65"/>
        <v>#N/A</v>
      </c>
      <c r="BJ148" s="640">
        <v>140</v>
      </c>
      <c r="BK148" s="641"/>
      <c r="BL148" s="642"/>
      <c r="BM148" s="635">
        <v>140</v>
      </c>
      <c r="BN148" s="643"/>
      <c r="BO148" s="87"/>
      <c r="BP148" s="13"/>
      <c r="BR148" s="640">
        <v>140</v>
      </c>
      <c r="BS148" s="641"/>
      <c r="BT148" s="642"/>
      <c r="BU148" s="635">
        <v>140</v>
      </c>
      <c r="BV148" s="643"/>
      <c r="BW148" s="87"/>
      <c r="BX148" s="13"/>
      <c r="BZ148" s="640">
        <v>140</v>
      </c>
      <c r="CA148" s="641"/>
      <c r="CB148" s="642"/>
      <c r="CC148" s="635">
        <v>140</v>
      </c>
      <c r="CD148" s="643"/>
      <c r="CE148" s="87"/>
      <c r="CF148" s="13"/>
    </row>
    <row r="149" spans="1:84" ht="12.75" customHeight="1">
      <c r="A149" s="640">
        <v>141</v>
      </c>
      <c r="B149" s="641"/>
      <c r="C149" s="642"/>
      <c r="D149" s="635">
        <v>141</v>
      </c>
      <c r="E149" s="643"/>
      <c r="F149" s="87"/>
      <c r="G149" s="13"/>
      <c r="I149" s="19"/>
      <c r="J149" s="5" t="e">
        <f t="shared" ref="J149:J212" si="68">0.85-IF($AP$92,BC159-$S$83,0)</f>
        <v>#N/A</v>
      </c>
      <c r="K149" s="5" t="e">
        <f t="shared" si="66"/>
        <v>#N/A</v>
      </c>
      <c r="L149" s="5" t="e">
        <f t="shared" ref="L149:L212" si="69">2.15+IF($AP$92,BI159-$S$83,0)</f>
        <v>#N/A</v>
      </c>
      <c r="M149" s="5" t="e">
        <f t="shared" si="67"/>
        <v>#N/A</v>
      </c>
      <c r="Q149" s="5" t="str">
        <f t="shared" si="43"/>
        <v/>
      </c>
      <c r="R149" s="5" t="e">
        <f>IF(Q149="",NA(),COUNTIF(Q149:$Q$293,Q149))</f>
        <v>#N/A</v>
      </c>
      <c r="S149" s="5" t="e">
        <f t="shared" si="44"/>
        <v>#N/A</v>
      </c>
      <c r="T149" s="5" t="e">
        <f t="shared" si="32"/>
        <v>#N/A</v>
      </c>
      <c r="U149" s="5" t="e">
        <f t="shared" si="45"/>
        <v>#N/A</v>
      </c>
      <c r="V149" s="5" t="e">
        <f t="shared" si="46"/>
        <v>#N/A</v>
      </c>
      <c r="W149" s="5" t="str">
        <f t="shared" si="47"/>
        <v/>
      </c>
      <c r="X149" s="5">
        <v>56</v>
      </c>
      <c r="Y149" s="5" t="str">
        <f t="shared" si="48"/>
        <v/>
      </c>
      <c r="Z149" s="5" t="str">
        <f t="shared" si="49"/>
        <v/>
      </c>
      <c r="AA149" s="5" t="str">
        <f t="shared" si="33"/>
        <v/>
      </c>
      <c r="AB149" s="5" t="str">
        <f t="shared" si="50"/>
        <v/>
      </c>
      <c r="AC149" s="5" t="e">
        <f>IF(AB149="",NA(),COUNTIF(AB149:$AB$293,AB149))</f>
        <v>#N/A</v>
      </c>
      <c r="AD149" s="5" t="e">
        <f t="shared" si="51"/>
        <v>#N/A</v>
      </c>
      <c r="AE149" s="5" t="e">
        <f t="shared" si="34"/>
        <v>#N/A</v>
      </c>
      <c r="AF149" s="5" t="e">
        <f t="shared" si="52"/>
        <v>#N/A</v>
      </c>
      <c r="AG149" s="5" t="e">
        <f t="shared" si="53"/>
        <v>#N/A</v>
      </c>
      <c r="AH149" s="5" t="str">
        <f t="shared" si="54"/>
        <v/>
      </c>
      <c r="AI149" s="5" t="str">
        <f t="shared" si="55"/>
        <v/>
      </c>
      <c r="AJ149" s="5" t="str">
        <f t="shared" si="56"/>
        <v/>
      </c>
      <c r="AK149" s="5" t="str">
        <f t="shared" si="57"/>
        <v/>
      </c>
      <c r="AX149" s="5" t="str">
        <f t="shared" si="35"/>
        <v/>
      </c>
      <c r="AY149" s="5" t="e">
        <f t="shared" si="58"/>
        <v>#N/A</v>
      </c>
      <c r="AZ149" s="5" t="str">
        <f t="shared" si="59"/>
        <v/>
      </c>
      <c r="BA149" s="5" t="str">
        <f t="shared" si="60"/>
        <v/>
      </c>
      <c r="BB149" s="5" t="e">
        <f>IF(BA149="",NA(),COUNTIF(BA149:$BA$193,BA149))</f>
        <v>#N/A</v>
      </c>
      <c r="BC149" s="5" t="e">
        <f t="shared" si="61"/>
        <v>#N/A</v>
      </c>
      <c r="BD149" s="5" t="str">
        <f t="shared" si="36"/>
        <v/>
      </c>
      <c r="BE149" s="5" t="e">
        <f t="shared" si="62"/>
        <v>#N/A</v>
      </c>
      <c r="BF149" s="5" t="str">
        <f t="shared" si="63"/>
        <v/>
      </c>
      <c r="BG149" s="5" t="str">
        <f t="shared" si="64"/>
        <v/>
      </c>
      <c r="BH149" s="5" t="e">
        <f>IF(BG149="",NA(),COUNTIF(BG149:$BG$193,BG149))</f>
        <v>#N/A</v>
      </c>
      <c r="BI149" s="5" t="e">
        <f t="shared" si="65"/>
        <v>#N/A</v>
      </c>
      <c r="BJ149" s="640">
        <v>141</v>
      </c>
      <c r="BK149" s="641"/>
      <c r="BL149" s="642"/>
      <c r="BM149" s="635">
        <v>141</v>
      </c>
      <c r="BN149" s="643"/>
      <c r="BO149" s="87"/>
      <c r="BP149" s="13"/>
      <c r="BR149" s="640">
        <v>141</v>
      </c>
      <c r="BS149" s="641"/>
      <c r="BT149" s="642"/>
      <c r="BU149" s="635">
        <v>141</v>
      </c>
      <c r="BV149" s="643"/>
      <c r="BW149" s="87"/>
      <c r="BX149" s="13"/>
      <c r="BZ149" s="640">
        <v>141</v>
      </c>
      <c r="CA149" s="641"/>
      <c r="CB149" s="642"/>
      <c r="CC149" s="635">
        <v>141</v>
      </c>
      <c r="CD149" s="643"/>
      <c r="CE149" s="87"/>
      <c r="CF149" s="13"/>
    </row>
    <row r="150" spans="1:84" ht="12.75" customHeight="1">
      <c r="A150" s="640">
        <v>142</v>
      </c>
      <c r="B150" s="641"/>
      <c r="C150" s="642"/>
      <c r="D150" s="635">
        <v>142</v>
      </c>
      <c r="E150" s="643"/>
      <c r="F150" s="87"/>
      <c r="G150" s="13"/>
      <c r="J150" s="5" t="e">
        <f t="shared" si="68"/>
        <v>#N/A</v>
      </c>
      <c r="K150" s="5" t="e">
        <f t="shared" si="66"/>
        <v>#N/A</v>
      </c>
      <c r="L150" s="5" t="e">
        <f t="shared" si="69"/>
        <v>#N/A</v>
      </c>
      <c r="M150" s="5" t="e">
        <f t="shared" si="67"/>
        <v>#N/A</v>
      </c>
      <c r="Q150" s="5" t="str">
        <f t="shared" si="43"/>
        <v/>
      </c>
      <c r="R150" s="5" t="e">
        <f>IF(Q150="",NA(),COUNTIF(Q150:$Q$293,Q150))</f>
        <v>#N/A</v>
      </c>
      <c r="S150" s="5" t="e">
        <f t="shared" si="44"/>
        <v>#N/A</v>
      </c>
      <c r="T150" s="5" t="e">
        <f t="shared" si="32"/>
        <v>#N/A</v>
      </c>
      <c r="U150" s="5" t="e">
        <f t="shared" si="45"/>
        <v>#N/A</v>
      </c>
      <c r="V150" s="5" t="e">
        <f t="shared" si="46"/>
        <v>#N/A</v>
      </c>
      <c r="W150" s="5" t="str">
        <f t="shared" si="47"/>
        <v/>
      </c>
      <c r="X150" s="5">
        <v>57</v>
      </c>
      <c r="Y150" s="5" t="str">
        <f t="shared" si="48"/>
        <v/>
      </c>
      <c r="Z150" s="5" t="str">
        <f t="shared" si="49"/>
        <v/>
      </c>
      <c r="AA150" s="5" t="str">
        <f t="shared" si="33"/>
        <v/>
      </c>
      <c r="AB150" s="5" t="str">
        <f t="shared" si="50"/>
        <v/>
      </c>
      <c r="AC150" s="5" t="e">
        <f>IF(AB150="",NA(),COUNTIF(AB150:$AB$293,AB150))</f>
        <v>#N/A</v>
      </c>
      <c r="AD150" s="5" t="e">
        <f t="shared" si="51"/>
        <v>#N/A</v>
      </c>
      <c r="AE150" s="5" t="e">
        <f t="shared" si="34"/>
        <v>#N/A</v>
      </c>
      <c r="AF150" s="5" t="e">
        <f t="shared" si="52"/>
        <v>#N/A</v>
      </c>
      <c r="AG150" s="5" t="e">
        <f t="shared" si="53"/>
        <v>#N/A</v>
      </c>
      <c r="AH150" s="5" t="str">
        <f t="shared" si="54"/>
        <v/>
      </c>
      <c r="AI150" s="5" t="str">
        <f t="shared" si="55"/>
        <v/>
      </c>
      <c r="AJ150" s="5" t="str">
        <f t="shared" si="56"/>
        <v/>
      </c>
      <c r="AK150" s="5" t="str">
        <f t="shared" si="57"/>
        <v/>
      </c>
      <c r="AX150" s="5" t="str">
        <f t="shared" si="35"/>
        <v/>
      </c>
      <c r="AY150" s="5" t="e">
        <f t="shared" si="58"/>
        <v>#N/A</v>
      </c>
      <c r="AZ150" s="5" t="str">
        <f t="shared" si="59"/>
        <v/>
      </c>
      <c r="BA150" s="5" t="str">
        <f t="shared" si="60"/>
        <v/>
      </c>
      <c r="BB150" s="5" t="e">
        <f>IF(BA150="",NA(),COUNTIF(BA150:$BA$193,BA150))</f>
        <v>#N/A</v>
      </c>
      <c r="BC150" s="5" t="e">
        <f t="shared" si="61"/>
        <v>#N/A</v>
      </c>
      <c r="BD150" s="5" t="str">
        <f t="shared" si="36"/>
        <v/>
      </c>
      <c r="BE150" s="5" t="e">
        <f t="shared" si="62"/>
        <v>#N/A</v>
      </c>
      <c r="BF150" s="5" t="str">
        <f t="shared" si="63"/>
        <v/>
      </c>
      <c r="BG150" s="5" t="str">
        <f t="shared" si="64"/>
        <v/>
      </c>
      <c r="BH150" s="5" t="e">
        <f>IF(BG150="",NA(),COUNTIF(BG150:$BG$193,BG150))</f>
        <v>#N/A</v>
      </c>
      <c r="BI150" s="5" t="e">
        <f t="shared" si="65"/>
        <v>#N/A</v>
      </c>
      <c r="BJ150" s="640">
        <v>142</v>
      </c>
      <c r="BK150" s="641"/>
      <c r="BL150" s="642"/>
      <c r="BM150" s="635">
        <v>142</v>
      </c>
      <c r="BN150" s="643"/>
      <c r="BO150" s="87"/>
      <c r="BP150" s="13"/>
      <c r="BR150" s="640">
        <v>142</v>
      </c>
      <c r="BS150" s="641"/>
      <c r="BT150" s="642"/>
      <c r="BU150" s="635">
        <v>142</v>
      </c>
      <c r="BV150" s="643"/>
      <c r="BW150" s="87"/>
      <c r="BX150" s="13"/>
      <c r="BZ150" s="640">
        <v>142</v>
      </c>
      <c r="CA150" s="641"/>
      <c r="CB150" s="642"/>
      <c r="CC150" s="635">
        <v>142</v>
      </c>
      <c r="CD150" s="643"/>
      <c r="CE150" s="87"/>
      <c r="CF150" s="13"/>
    </row>
    <row r="151" spans="1:84" ht="12.75" customHeight="1">
      <c r="A151" s="640">
        <v>143</v>
      </c>
      <c r="B151" s="641"/>
      <c r="C151" s="642"/>
      <c r="D151" s="635">
        <v>143</v>
      </c>
      <c r="E151" s="643"/>
      <c r="F151" s="87"/>
      <c r="G151" s="13"/>
      <c r="I151" s="19"/>
      <c r="J151" s="5" t="e">
        <f t="shared" si="68"/>
        <v>#N/A</v>
      </c>
      <c r="K151" s="5" t="e">
        <f t="shared" si="66"/>
        <v>#N/A</v>
      </c>
      <c r="L151" s="5" t="e">
        <f t="shared" si="69"/>
        <v>#N/A</v>
      </c>
      <c r="M151" s="5" t="e">
        <f t="shared" si="67"/>
        <v>#N/A</v>
      </c>
      <c r="Q151" s="5" t="str">
        <f t="shared" si="43"/>
        <v/>
      </c>
      <c r="R151" s="5" t="e">
        <f>IF(Q151="",NA(),COUNTIF(Q151:$Q$293,Q151))</f>
        <v>#N/A</v>
      </c>
      <c r="S151" s="5" t="e">
        <f t="shared" si="44"/>
        <v>#N/A</v>
      </c>
      <c r="T151" s="5" t="e">
        <f t="shared" si="32"/>
        <v>#N/A</v>
      </c>
      <c r="U151" s="5" t="e">
        <f t="shared" si="45"/>
        <v>#N/A</v>
      </c>
      <c r="V151" s="5" t="e">
        <f t="shared" si="46"/>
        <v>#N/A</v>
      </c>
      <c r="W151" s="5" t="str">
        <f t="shared" si="47"/>
        <v/>
      </c>
      <c r="X151" s="5">
        <v>58</v>
      </c>
      <c r="Y151" s="5" t="str">
        <f t="shared" si="48"/>
        <v/>
      </c>
      <c r="Z151" s="5" t="str">
        <f t="shared" si="49"/>
        <v/>
      </c>
      <c r="AA151" s="5" t="str">
        <f t="shared" si="33"/>
        <v/>
      </c>
      <c r="AB151" s="5" t="str">
        <f t="shared" si="50"/>
        <v/>
      </c>
      <c r="AC151" s="5" t="e">
        <f>IF(AB151="",NA(),COUNTIF(AB151:$AB$293,AB151))</f>
        <v>#N/A</v>
      </c>
      <c r="AD151" s="5" t="e">
        <f t="shared" si="51"/>
        <v>#N/A</v>
      </c>
      <c r="AE151" s="5" t="e">
        <f t="shared" si="34"/>
        <v>#N/A</v>
      </c>
      <c r="AF151" s="5" t="e">
        <f t="shared" si="52"/>
        <v>#N/A</v>
      </c>
      <c r="AG151" s="5" t="e">
        <f t="shared" si="53"/>
        <v>#N/A</v>
      </c>
      <c r="AH151" s="5" t="str">
        <f t="shared" si="54"/>
        <v/>
      </c>
      <c r="AI151" s="5" t="str">
        <f t="shared" si="55"/>
        <v/>
      </c>
      <c r="AJ151" s="5" t="str">
        <f t="shared" si="56"/>
        <v/>
      </c>
      <c r="AK151" s="5" t="str">
        <f t="shared" si="57"/>
        <v/>
      </c>
      <c r="AX151" s="5" t="str">
        <f t="shared" si="35"/>
        <v/>
      </c>
      <c r="AY151" s="5" t="e">
        <f t="shared" si="58"/>
        <v>#N/A</v>
      </c>
      <c r="AZ151" s="5" t="str">
        <f t="shared" si="59"/>
        <v/>
      </c>
      <c r="BA151" s="5" t="str">
        <f t="shared" si="60"/>
        <v/>
      </c>
      <c r="BB151" s="5" t="e">
        <f>IF(BA151="",NA(),COUNTIF(BA151:$BA$193,BA151))</f>
        <v>#N/A</v>
      </c>
      <c r="BC151" s="5" t="e">
        <f t="shared" si="61"/>
        <v>#N/A</v>
      </c>
      <c r="BD151" s="5" t="str">
        <f t="shared" si="36"/>
        <v/>
      </c>
      <c r="BE151" s="5" t="e">
        <f t="shared" si="62"/>
        <v>#N/A</v>
      </c>
      <c r="BF151" s="5" t="str">
        <f t="shared" si="63"/>
        <v/>
      </c>
      <c r="BG151" s="5" t="str">
        <f t="shared" si="64"/>
        <v/>
      </c>
      <c r="BH151" s="5" t="e">
        <f>IF(BG151="",NA(),COUNTIF(BG151:$BG$193,BG151))</f>
        <v>#N/A</v>
      </c>
      <c r="BI151" s="5" t="e">
        <f t="shared" si="65"/>
        <v>#N/A</v>
      </c>
      <c r="BJ151" s="640">
        <v>143</v>
      </c>
      <c r="BK151" s="641"/>
      <c r="BL151" s="642"/>
      <c r="BM151" s="635">
        <v>143</v>
      </c>
      <c r="BN151" s="643"/>
      <c r="BO151" s="87"/>
      <c r="BP151" s="13"/>
      <c r="BR151" s="640">
        <v>143</v>
      </c>
      <c r="BS151" s="641"/>
      <c r="BT151" s="642"/>
      <c r="BU151" s="635">
        <v>143</v>
      </c>
      <c r="BV151" s="643"/>
      <c r="BW151" s="87"/>
      <c r="BX151" s="13"/>
      <c r="BZ151" s="640">
        <v>143</v>
      </c>
      <c r="CA151" s="641"/>
      <c r="CB151" s="642"/>
      <c r="CC151" s="635">
        <v>143</v>
      </c>
      <c r="CD151" s="643"/>
      <c r="CE151" s="87"/>
      <c r="CF151" s="13"/>
    </row>
    <row r="152" spans="1:84" ht="12.75" customHeight="1">
      <c r="A152" s="640">
        <v>144</v>
      </c>
      <c r="B152" s="641"/>
      <c r="C152" s="642"/>
      <c r="D152" s="635">
        <v>144</v>
      </c>
      <c r="E152" s="643"/>
      <c r="F152" s="87"/>
      <c r="G152" s="13"/>
      <c r="J152" s="5" t="e">
        <f t="shared" si="68"/>
        <v>#N/A</v>
      </c>
      <c r="K152" s="5" t="e">
        <f t="shared" si="66"/>
        <v>#N/A</v>
      </c>
      <c r="L152" s="5" t="e">
        <f t="shared" si="69"/>
        <v>#N/A</v>
      </c>
      <c r="M152" s="5" t="e">
        <f t="shared" si="67"/>
        <v>#N/A</v>
      </c>
      <c r="Q152" s="5" t="str">
        <f t="shared" si="43"/>
        <v/>
      </c>
      <c r="R152" s="5" t="e">
        <f>IF(Q152="",NA(),COUNTIF(Q152:$Q$293,Q152))</f>
        <v>#N/A</v>
      </c>
      <c r="S152" s="5" t="e">
        <f t="shared" si="44"/>
        <v>#N/A</v>
      </c>
      <c r="T152" s="5" t="e">
        <f t="shared" si="32"/>
        <v>#N/A</v>
      </c>
      <c r="U152" s="5" t="e">
        <f t="shared" si="45"/>
        <v>#N/A</v>
      </c>
      <c r="V152" s="5" t="e">
        <f t="shared" si="46"/>
        <v>#N/A</v>
      </c>
      <c r="W152" s="5" t="str">
        <f t="shared" si="47"/>
        <v/>
      </c>
      <c r="X152" s="5">
        <v>59</v>
      </c>
      <c r="Y152" s="5" t="str">
        <f t="shared" si="48"/>
        <v/>
      </c>
      <c r="Z152" s="5" t="str">
        <f t="shared" si="49"/>
        <v/>
      </c>
      <c r="AA152" s="5" t="str">
        <f t="shared" si="33"/>
        <v/>
      </c>
      <c r="AB152" s="5" t="str">
        <f t="shared" si="50"/>
        <v/>
      </c>
      <c r="AC152" s="5" t="e">
        <f>IF(AB152="",NA(),COUNTIF(AB152:$AB$293,AB152))</f>
        <v>#N/A</v>
      </c>
      <c r="AD152" s="5" t="e">
        <f t="shared" si="51"/>
        <v>#N/A</v>
      </c>
      <c r="AE152" s="5" t="e">
        <f t="shared" si="34"/>
        <v>#N/A</v>
      </c>
      <c r="AF152" s="5" t="e">
        <f t="shared" si="52"/>
        <v>#N/A</v>
      </c>
      <c r="AG152" s="5" t="e">
        <f t="shared" si="53"/>
        <v>#N/A</v>
      </c>
      <c r="AH152" s="5" t="str">
        <f t="shared" si="54"/>
        <v/>
      </c>
      <c r="AI152" s="5" t="str">
        <f t="shared" si="55"/>
        <v/>
      </c>
      <c r="AJ152" s="5" t="str">
        <f t="shared" si="56"/>
        <v/>
      </c>
      <c r="AK152" s="5" t="str">
        <f t="shared" si="57"/>
        <v/>
      </c>
      <c r="AX152" s="5" t="str">
        <f t="shared" si="35"/>
        <v/>
      </c>
      <c r="AY152" s="5" t="e">
        <f t="shared" si="58"/>
        <v>#N/A</v>
      </c>
      <c r="AZ152" s="5" t="str">
        <f t="shared" si="59"/>
        <v/>
      </c>
      <c r="BA152" s="5" t="str">
        <f t="shared" si="60"/>
        <v/>
      </c>
      <c r="BB152" s="5" t="e">
        <f>IF(BA152="",NA(),COUNTIF(BA152:$BA$193,BA152))</f>
        <v>#N/A</v>
      </c>
      <c r="BC152" s="5" t="e">
        <f t="shared" si="61"/>
        <v>#N/A</v>
      </c>
      <c r="BD152" s="5" t="str">
        <f t="shared" si="36"/>
        <v/>
      </c>
      <c r="BE152" s="5" t="e">
        <f t="shared" si="62"/>
        <v>#N/A</v>
      </c>
      <c r="BF152" s="5" t="str">
        <f t="shared" si="63"/>
        <v/>
      </c>
      <c r="BG152" s="5" t="str">
        <f t="shared" si="64"/>
        <v/>
      </c>
      <c r="BH152" s="5" t="e">
        <f>IF(BG152="",NA(),COUNTIF(BG152:$BG$193,BG152))</f>
        <v>#N/A</v>
      </c>
      <c r="BI152" s="5" t="e">
        <f t="shared" si="65"/>
        <v>#N/A</v>
      </c>
      <c r="BJ152" s="640">
        <v>144</v>
      </c>
      <c r="BK152" s="641"/>
      <c r="BL152" s="642"/>
      <c r="BM152" s="635">
        <v>144</v>
      </c>
      <c r="BN152" s="643"/>
      <c r="BO152" s="87"/>
      <c r="BP152" s="13"/>
      <c r="BR152" s="640">
        <v>144</v>
      </c>
      <c r="BS152" s="641"/>
      <c r="BT152" s="642"/>
      <c r="BU152" s="635">
        <v>144</v>
      </c>
      <c r="BV152" s="643"/>
      <c r="BW152" s="87"/>
      <c r="BX152" s="13"/>
      <c r="BZ152" s="640">
        <v>144</v>
      </c>
      <c r="CA152" s="641"/>
      <c r="CB152" s="642"/>
      <c r="CC152" s="635">
        <v>144</v>
      </c>
      <c r="CD152" s="643"/>
      <c r="CE152" s="87"/>
      <c r="CF152" s="13"/>
    </row>
    <row r="153" spans="1:84" ht="12.75" customHeight="1">
      <c r="A153" s="640">
        <v>145</v>
      </c>
      <c r="B153" s="641"/>
      <c r="C153" s="642"/>
      <c r="D153" s="635">
        <v>145</v>
      </c>
      <c r="E153" s="643"/>
      <c r="F153" s="87"/>
      <c r="G153" s="13"/>
      <c r="I153" s="19"/>
      <c r="J153" s="5" t="e">
        <f t="shared" si="68"/>
        <v>#N/A</v>
      </c>
      <c r="K153" s="5" t="e">
        <f t="shared" si="66"/>
        <v>#N/A</v>
      </c>
      <c r="L153" s="5" t="e">
        <f t="shared" si="69"/>
        <v>#N/A</v>
      </c>
      <c r="M153" s="5" t="e">
        <f t="shared" si="67"/>
        <v>#N/A</v>
      </c>
      <c r="Q153" s="5" t="str">
        <f t="shared" si="43"/>
        <v/>
      </c>
      <c r="R153" s="5" t="e">
        <f>IF(Q153="",NA(),COUNTIF(Q153:$Q$293,Q153))</f>
        <v>#N/A</v>
      </c>
      <c r="S153" s="5" t="e">
        <f t="shared" si="44"/>
        <v>#N/A</v>
      </c>
      <c r="T153" s="5" t="e">
        <f t="shared" si="32"/>
        <v>#N/A</v>
      </c>
      <c r="U153" s="5" t="e">
        <f t="shared" si="45"/>
        <v>#N/A</v>
      </c>
      <c r="V153" s="5" t="e">
        <f t="shared" si="46"/>
        <v>#N/A</v>
      </c>
      <c r="W153" s="5" t="str">
        <f t="shared" si="47"/>
        <v/>
      </c>
      <c r="X153" s="5">
        <v>60</v>
      </c>
      <c r="Y153" s="5" t="str">
        <f t="shared" si="48"/>
        <v/>
      </c>
      <c r="Z153" s="5" t="str">
        <f t="shared" si="49"/>
        <v/>
      </c>
      <c r="AA153" s="5" t="str">
        <f t="shared" si="33"/>
        <v/>
      </c>
      <c r="AB153" s="5" t="str">
        <f t="shared" si="50"/>
        <v/>
      </c>
      <c r="AC153" s="5" t="e">
        <f>IF(AB153="",NA(),COUNTIF(AB153:$AB$293,AB153))</f>
        <v>#N/A</v>
      </c>
      <c r="AD153" s="5" t="e">
        <f t="shared" si="51"/>
        <v>#N/A</v>
      </c>
      <c r="AE153" s="5" t="e">
        <f t="shared" si="34"/>
        <v>#N/A</v>
      </c>
      <c r="AF153" s="5" t="e">
        <f t="shared" si="52"/>
        <v>#N/A</v>
      </c>
      <c r="AG153" s="5" t="e">
        <f t="shared" si="53"/>
        <v>#N/A</v>
      </c>
      <c r="AH153" s="5" t="str">
        <f t="shared" si="54"/>
        <v/>
      </c>
      <c r="AI153" s="5" t="str">
        <f t="shared" si="55"/>
        <v/>
      </c>
      <c r="AJ153" s="5" t="str">
        <f t="shared" si="56"/>
        <v/>
      </c>
      <c r="AK153" s="5" t="str">
        <f t="shared" si="57"/>
        <v/>
      </c>
      <c r="AX153" s="5" t="str">
        <f t="shared" si="35"/>
        <v/>
      </c>
      <c r="AY153" s="5" t="e">
        <f t="shared" si="58"/>
        <v>#N/A</v>
      </c>
      <c r="AZ153" s="5" t="str">
        <f t="shared" si="59"/>
        <v/>
      </c>
      <c r="BA153" s="5" t="str">
        <f t="shared" si="60"/>
        <v/>
      </c>
      <c r="BB153" s="5" t="e">
        <f>IF(BA153="",NA(),COUNTIF(BA153:$BA$193,BA153))</f>
        <v>#N/A</v>
      </c>
      <c r="BC153" s="5" t="e">
        <f t="shared" si="61"/>
        <v>#N/A</v>
      </c>
      <c r="BD153" s="5" t="str">
        <f t="shared" si="36"/>
        <v/>
      </c>
      <c r="BE153" s="5" t="e">
        <f t="shared" si="62"/>
        <v>#N/A</v>
      </c>
      <c r="BF153" s="5" t="str">
        <f t="shared" si="63"/>
        <v/>
      </c>
      <c r="BG153" s="5" t="str">
        <f t="shared" si="64"/>
        <v/>
      </c>
      <c r="BH153" s="5" t="e">
        <f>IF(BG153="",NA(),COUNTIF(BG153:$BG$193,BG153))</f>
        <v>#N/A</v>
      </c>
      <c r="BI153" s="5" t="e">
        <f t="shared" si="65"/>
        <v>#N/A</v>
      </c>
      <c r="BJ153" s="640">
        <v>145</v>
      </c>
      <c r="BK153" s="641"/>
      <c r="BL153" s="642"/>
      <c r="BM153" s="635">
        <v>145</v>
      </c>
      <c r="BN153" s="643"/>
      <c r="BO153" s="87"/>
      <c r="BP153" s="13"/>
      <c r="BR153" s="640">
        <v>145</v>
      </c>
      <c r="BS153" s="641"/>
      <c r="BT153" s="642"/>
      <c r="BU153" s="635">
        <v>145</v>
      </c>
      <c r="BV153" s="643"/>
      <c r="BW153" s="87"/>
      <c r="BX153" s="13"/>
      <c r="BZ153" s="640">
        <v>145</v>
      </c>
      <c r="CA153" s="641"/>
      <c r="CB153" s="642"/>
      <c r="CC153" s="635">
        <v>145</v>
      </c>
      <c r="CD153" s="643"/>
      <c r="CE153" s="87"/>
      <c r="CF153" s="13"/>
    </row>
    <row r="154" spans="1:84" ht="12.75" customHeight="1">
      <c r="A154" s="640">
        <v>146</v>
      </c>
      <c r="B154" s="641"/>
      <c r="C154" s="642"/>
      <c r="D154" s="635">
        <v>146</v>
      </c>
      <c r="E154" s="643"/>
      <c r="F154" s="87"/>
      <c r="G154" s="13"/>
      <c r="J154" s="5" t="e">
        <f t="shared" si="68"/>
        <v>#N/A</v>
      </c>
      <c r="K154" s="5" t="e">
        <f t="shared" si="66"/>
        <v>#N/A</v>
      </c>
      <c r="L154" s="5" t="e">
        <f t="shared" si="69"/>
        <v>#N/A</v>
      </c>
      <c r="M154" s="5" t="e">
        <f t="shared" si="67"/>
        <v>#N/A</v>
      </c>
      <c r="Q154" s="5" t="str">
        <f t="shared" si="43"/>
        <v/>
      </c>
      <c r="R154" s="5" t="e">
        <f>IF(Q154="",NA(),COUNTIF(Q154:$Q$293,Q154))</f>
        <v>#N/A</v>
      </c>
      <c r="S154" s="5" t="e">
        <f t="shared" si="44"/>
        <v>#N/A</v>
      </c>
      <c r="T154" s="5" t="e">
        <f t="shared" si="32"/>
        <v>#N/A</v>
      </c>
      <c r="U154" s="5" t="e">
        <f t="shared" si="45"/>
        <v>#N/A</v>
      </c>
      <c r="V154" s="5" t="e">
        <f t="shared" si="46"/>
        <v>#N/A</v>
      </c>
      <c r="W154" s="5" t="str">
        <f t="shared" si="47"/>
        <v/>
      </c>
      <c r="X154" s="5">
        <v>61</v>
      </c>
      <c r="Y154" s="5" t="str">
        <f t="shared" si="48"/>
        <v/>
      </c>
      <c r="Z154" s="5" t="str">
        <f t="shared" si="49"/>
        <v/>
      </c>
      <c r="AA154" s="5" t="str">
        <f t="shared" si="33"/>
        <v/>
      </c>
      <c r="AB154" s="5" t="str">
        <f t="shared" si="50"/>
        <v/>
      </c>
      <c r="AC154" s="5" t="e">
        <f>IF(AB154="",NA(),COUNTIF(AB154:$AB$293,AB154))</f>
        <v>#N/A</v>
      </c>
      <c r="AD154" s="5" t="e">
        <f t="shared" si="51"/>
        <v>#N/A</v>
      </c>
      <c r="AE154" s="5" t="e">
        <f t="shared" si="34"/>
        <v>#N/A</v>
      </c>
      <c r="AF154" s="5" t="e">
        <f t="shared" si="52"/>
        <v>#N/A</v>
      </c>
      <c r="AG154" s="5" t="e">
        <f t="shared" si="53"/>
        <v>#N/A</v>
      </c>
      <c r="AH154" s="5" t="str">
        <f t="shared" si="54"/>
        <v/>
      </c>
      <c r="AI154" s="5" t="str">
        <f t="shared" si="55"/>
        <v/>
      </c>
      <c r="AJ154" s="5" t="str">
        <f t="shared" si="56"/>
        <v/>
      </c>
      <c r="AK154" s="5" t="str">
        <f t="shared" si="57"/>
        <v/>
      </c>
      <c r="AX154" s="5" t="str">
        <f t="shared" si="35"/>
        <v/>
      </c>
      <c r="AY154" s="5" t="e">
        <f t="shared" si="58"/>
        <v>#N/A</v>
      </c>
      <c r="AZ154" s="5" t="str">
        <f t="shared" si="59"/>
        <v/>
      </c>
      <c r="BA154" s="5" t="str">
        <f t="shared" si="60"/>
        <v/>
      </c>
      <c r="BB154" s="5" t="e">
        <f>IF(BA154="",NA(),COUNTIF(BA154:$BA$193,BA154))</f>
        <v>#N/A</v>
      </c>
      <c r="BC154" s="5" t="e">
        <f t="shared" si="61"/>
        <v>#N/A</v>
      </c>
      <c r="BD154" s="5" t="str">
        <f t="shared" si="36"/>
        <v/>
      </c>
      <c r="BE154" s="5" t="e">
        <f t="shared" si="62"/>
        <v>#N/A</v>
      </c>
      <c r="BF154" s="5" t="str">
        <f t="shared" si="63"/>
        <v/>
      </c>
      <c r="BG154" s="5" t="str">
        <f t="shared" si="64"/>
        <v/>
      </c>
      <c r="BH154" s="5" t="e">
        <f>IF(BG154="",NA(),COUNTIF(BG154:$BG$193,BG154))</f>
        <v>#N/A</v>
      </c>
      <c r="BI154" s="5" t="e">
        <f t="shared" si="65"/>
        <v>#N/A</v>
      </c>
      <c r="BJ154" s="640">
        <v>146</v>
      </c>
      <c r="BK154" s="641"/>
      <c r="BL154" s="642"/>
      <c r="BM154" s="635">
        <v>146</v>
      </c>
      <c r="BN154" s="643"/>
      <c r="BO154" s="87"/>
      <c r="BP154" s="13"/>
      <c r="BR154" s="640">
        <v>146</v>
      </c>
      <c r="BS154" s="641"/>
      <c r="BT154" s="642"/>
      <c r="BU154" s="635">
        <v>146</v>
      </c>
      <c r="BV154" s="643"/>
      <c r="BW154" s="87"/>
      <c r="BX154" s="13"/>
      <c r="BZ154" s="640">
        <v>146</v>
      </c>
      <c r="CA154" s="641"/>
      <c r="CB154" s="642"/>
      <c r="CC154" s="635">
        <v>146</v>
      </c>
      <c r="CD154" s="643"/>
      <c r="CE154" s="87"/>
      <c r="CF154" s="13"/>
    </row>
    <row r="155" spans="1:84" ht="12.75" customHeight="1">
      <c r="A155" s="640">
        <v>147</v>
      </c>
      <c r="B155" s="641"/>
      <c r="C155" s="642"/>
      <c r="D155" s="635">
        <v>147</v>
      </c>
      <c r="E155" s="643"/>
      <c r="F155" s="87"/>
      <c r="G155" s="13"/>
      <c r="J155" s="5" t="e">
        <f t="shared" si="68"/>
        <v>#N/A</v>
      </c>
      <c r="K155" s="5" t="e">
        <f t="shared" si="66"/>
        <v>#N/A</v>
      </c>
      <c r="L155" s="5" t="e">
        <f t="shared" si="69"/>
        <v>#N/A</v>
      </c>
      <c r="M155" s="5" t="e">
        <f t="shared" si="67"/>
        <v>#N/A</v>
      </c>
      <c r="Q155" s="5" t="str">
        <f t="shared" si="43"/>
        <v/>
      </c>
      <c r="R155" s="5" t="e">
        <f>IF(Q155="",NA(),COUNTIF(Q155:$Q$293,Q155))</f>
        <v>#N/A</v>
      </c>
      <c r="S155" s="5" t="e">
        <f t="shared" si="44"/>
        <v>#N/A</v>
      </c>
      <c r="T155" s="5" t="e">
        <f t="shared" si="32"/>
        <v>#N/A</v>
      </c>
      <c r="U155" s="5" t="e">
        <f t="shared" si="45"/>
        <v>#N/A</v>
      </c>
      <c r="V155" s="5" t="e">
        <f t="shared" si="46"/>
        <v>#N/A</v>
      </c>
      <c r="W155" s="5" t="str">
        <f t="shared" si="47"/>
        <v/>
      </c>
      <c r="X155" s="5">
        <v>62</v>
      </c>
      <c r="Y155" s="5" t="str">
        <f t="shared" si="48"/>
        <v/>
      </c>
      <c r="Z155" s="5" t="str">
        <f t="shared" si="49"/>
        <v/>
      </c>
      <c r="AA155" s="5" t="str">
        <f t="shared" si="33"/>
        <v/>
      </c>
      <c r="AB155" s="5" t="str">
        <f t="shared" si="50"/>
        <v/>
      </c>
      <c r="AC155" s="5" t="e">
        <f>IF(AB155="",NA(),COUNTIF(AB155:$AB$293,AB155))</f>
        <v>#N/A</v>
      </c>
      <c r="AD155" s="5" t="e">
        <f t="shared" si="51"/>
        <v>#N/A</v>
      </c>
      <c r="AE155" s="5" t="e">
        <f t="shared" si="34"/>
        <v>#N/A</v>
      </c>
      <c r="AF155" s="5" t="e">
        <f t="shared" si="52"/>
        <v>#N/A</v>
      </c>
      <c r="AG155" s="5" t="e">
        <f t="shared" si="53"/>
        <v>#N/A</v>
      </c>
      <c r="AH155" s="5" t="str">
        <f t="shared" si="54"/>
        <v/>
      </c>
      <c r="AI155" s="5" t="str">
        <f t="shared" si="55"/>
        <v/>
      </c>
      <c r="AJ155" s="5" t="str">
        <f t="shared" si="56"/>
        <v/>
      </c>
      <c r="AK155" s="5" t="str">
        <f t="shared" si="57"/>
        <v/>
      </c>
      <c r="AX155" s="5" t="str">
        <f t="shared" si="35"/>
        <v/>
      </c>
      <c r="AY155" s="5" t="e">
        <f t="shared" si="58"/>
        <v>#N/A</v>
      </c>
      <c r="AZ155" s="5" t="str">
        <f t="shared" si="59"/>
        <v/>
      </c>
      <c r="BA155" s="5" t="str">
        <f t="shared" si="60"/>
        <v/>
      </c>
      <c r="BB155" s="5" t="e">
        <f>IF(BA155="",NA(),COUNTIF(BA155:$BA$193,BA155))</f>
        <v>#N/A</v>
      </c>
      <c r="BC155" s="5" t="e">
        <f t="shared" si="61"/>
        <v>#N/A</v>
      </c>
      <c r="BD155" s="5" t="str">
        <f t="shared" si="36"/>
        <v/>
      </c>
      <c r="BE155" s="5" t="e">
        <f t="shared" si="62"/>
        <v>#N/A</v>
      </c>
      <c r="BF155" s="5" t="str">
        <f t="shared" si="63"/>
        <v/>
      </c>
      <c r="BG155" s="5" t="str">
        <f t="shared" si="64"/>
        <v/>
      </c>
      <c r="BH155" s="5" t="e">
        <f>IF(BG155="",NA(),COUNTIF(BG155:$BG$193,BG155))</f>
        <v>#N/A</v>
      </c>
      <c r="BI155" s="5" t="e">
        <f t="shared" si="65"/>
        <v>#N/A</v>
      </c>
      <c r="BJ155" s="640">
        <v>147</v>
      </c>
      <c r="BK155" s="641"/>
      <c r="BL155" s="642"/>
      <c r="BM155" s="635">
        <v>147</v>
      </c>
      <c r="BN155" s="643"/>
      <c r="BO155" s="87"/>
      <c r="BP155" s="13"/>
      <c r="BR155" s="640">
        <v>147</v>
      </c>
      <c r="BS155" s="641"/>
      <c r="BT155" s="642"/>
      <c r="BU155" s="635">
        <v>147</v>
      </c>
      <c r="BV155" s="643"/>
      <c r="BW155" s="87"/>
      <c r="BX155" s="13"/>
      <c r="BZ155" s="640">
        <v>147</v>
      </c>
      <c r="CA155" s="641"/>
      <c r="CB155" s="642"/>
      <c r="CC155" s="635">
        <v>147</v>
      </c>
      <c r="CD155" s="643"/>
      <c r="CE155" s="87"/>
      <c r="CF155" s="13"/>
    </row>
    <row r="156" spans="1:84" ht="12.75" customHeight="1">
      <c r="A156" s="640">
        <v>148</v>
      </c>
      <c r="B156" s="641"/>
      <c r="C156" s="642"/>
      <c r="D156" s="635">
        <v>148</v>
      </c>
      <c r="E156" s="643"/>
      <c r="F156" s="87"/>
      <c r="G156" s="13"/>
      <c r="J156" s="5" t="e">
        <f t="shared" si="68"/>
        <v>#N/A</v>
      </c>
      <c r="K156" s="5" t="e">
        <f t="shared" si="66"/>
        <v>#N/A</v>
      </c>
      <c r="L156" s="5" t="e">
        <f t="shared" si="69"/>
        <v>#N/A</v>
      </c>
      <c r="M156" s="5" t="e">
        <f t="shared" si="67"/>
        <v>#N/A</v>
      </c>
      <c r="Q156" s="5" t="str">
        <f t="shared" si="43"/>
        <v/>
      </c>
      <c r="R156" s="5" t="e">
        <f>IF(Q156="",NA(),COUNTIF(Q156:$Q$293,Q156))</f>
        <v>#N/A</v>
      </c>
      <c r="S156" s="5" t="e">
        <f t="shared" si="44"/>
        <v>#N/A</v>
      </c>
      <c r="T156" s="5" t="e">
        <f t="shared" si="32"/>
        <v>#N/A</v>
      </c>
      <c r="U156" s="5" t="e">
        <f t="shared" si="45"/>
        <v>#N/A</v>
      </c>
      <c r="V156" s="5" t="e">
        <f t="shared" si="46"/>
        <v>#N/A</v>
      </c>
      <c r="W156" s="5" t="str">
        <f t="shared" si="47"/>
        <v/>
      </c>
      <c r="X156" s="5">
        <v>63</v>
      </c>
      <c r="Y156" s="5" t="str">
        <f t="shared" si="48"/>
        <v/>
      </c>
      <c r="Z156" s="5" t="str">
        <f t="shared" si="49"/>
        <v/>
      </c>
      <c r="AA156" s="5" t="str">
        <f t="shared" si="33"/>
        <v/>
      </c>
      <c r="AB156" s="5" t="str">
        <f t="shared" si="50"/>
        <v/>
      </c>
      <c r="AC156" s="5" t="e">
        <f>IF(AB156="",NA(),COUNTIF(AB156:$AB$293,AB156))</f>
        <v>#N/A</v>
      </c>
      <c r="AD156" s="5" t="e">
        <f t="shared" si="51"/>
        <v>#N/A</v>
      </c>
      <c r="AE156" s="5" t="e">
        <f t="shared" si="34"/>
        <v>#N/A</v>
      </c>
      <c r="AF156" s="5" t="e">
        <f t="shared" si="52"/>
        <v>#N/A</v>
      </c>
      <c r="AG156" s="5" t="e">
        <f t="shared" si="53"/>
        <v>#N/A</v>
      </c>
      <c r="AH156" s="5" t="str">
        <f t="shared" si="54"/>
        <v/>
      </c>
      <c r="AI156" s="5" t="str">
        <f t="shared" si="55"/>
        <v/>
      </c>
      <c r="AJ156" s="5" t="str">
        <f t="shared" si="56"/>
        <v/>
      </c>
      <c r="AK156" s="5" t="str">
        <f t="shared" si="57"/>
        <v/>
      </c>
      <c r="AX156" s="5" t="str">
        <f t="shared" si="35"/>
        <v/>
      </c>
      <c r="AY156" s="5" t="e">
        <f t="shared" si="58"/>
        <v>#N/A</v>
      </c>
      <c r="AZ156" s="5" t="str">
        <f t="shared" si="59"/>
        <v/>
      </c>
      <c r="BA156" s="5" t="str">
        <f t="shared" si="60"/>
        <v/>
      </c>
      <c r="BB156" s="5" t="e">
        <f>IF(BA156="",NA(),COUNTIF(BA156:$BA$193,BA156))</f>
        <v>#N/A</v>
      </c>
      <c r="BC156" s="5" t="e">
        <f t="shared" si="61"/>
        <v>#N/A</v>
      </c>
      <c r="BD156" s="5" t="str">
        <f t="shared" si="36"/>
        <v/>
      </c>
      <c r="BE156" s="5" t="e">
        <f t="shared" si="62"/>
        <v>#N/A</v>
      </c>
      <c r="BF156" s="5" t="str">
        <f t="shared" si="63"/>
        <v/>
      </c>
      <c r="BG156" s="5" t="str">
        <f t="shared" si="64"/>
        <v/>
      </c>
      <c r="BH156" s="5" t="e">
        <f>IF(BG156="",NA(),COUNTIF(BG156:$BG$193,BG156))</f>
        <v>#N/A</v>
      </c>
      <c r="BI156" s="5" t="e">
        <f t="shared" si="65"/>
        <v>#N/A</v>
      </c>
      <c r="BJ156" s="640">
        <v>148</v>
      </c>
      <c r="BK156" s="641"/>
      <c r="BL156" s="642"/>
      <c r="BM156" s="635">
        <v>148</v>
      </c>
      <c r="BN156" s="643"/>
      <c r="BO156" s="87"/>
      <c r="BP156" s="13"/>
      <c r="BR156" s="640">
        <v>148</v>
      </c>
      <c r="BS156" s="641"/>
      <c r="BT156" s="642"/>
      <c r="BU156" s="635">
        <v>148</v>
      </c>
      <c r="BV156" s="643"/>
      <c r="BW156" s="87"/>
      <c r="BX156" s="13"/>
      <c r="BZ156" s="640">
        <v>148</v>
      </c>
      <c r="CA156" s="641"/>
      <c r="CB156" s="642"/>
      <c r="CC156" s="635">
        <v>148</v>
      </c>
      <c r="CD156" s="643"/>
      <c r="CE156" s="87"/>
      <c r="CF156" s="13"/>
    </row>
    <row r="157" spans="1:84" ht="12.75" customHeight="1">
      <c r="A157" s="640">
        <v>149</v>
      </c>
      <c r="B157" s="641"/>
      <c r="C157" s="642"/>
      <c r="D157" s="635">
        <v>149</v>
      </c>
      <c r="E157" s="643"/>
      <c r="F157" s="87"/>
      <c r="G157" s="13"/>
      <c r="J157" s="5" t="e">
        <f t="shared" si="68"/>
        <v>#N/A</v>
      </c>
      <c r="K157" s="5" t="e">
        <f t="shared" si="66"/>
        <v>#N/A</v>
      </c>
      <c r="L157" s="5" t="e">
        <f t="shared" si="69"/>
        <v>#N/A</v>
      </c>
      <c r="M157" s="5" t="e">
        <f t="shared" si="67"/>
        <v>#N/A</v>
      </c>
      <c r="Q157" s="5" t="str">
        <f t="shared" si="43"/>
        <v/>
      </c>
      <c r="R157" s="5" t="e">
        <f>IF(Q157="",NA(),COUNTIF(Q157:$Q$293,Q157))</f>
        <v>#N/A</v>
      </c>
      <c r="S157" s="5" t="e">
        <f t="shared" si="44"/>
        <v>#N/A</v>
      </c>
      <c r="T157" s="5" t="e">
        <f t="shared" si="32"/>
        <v>#N/A</v>
      </c>
      <c r="U157" s="5" t="e">
        <f t="shared" si="45"/>
        <v>#N/A</v>
      </c>
      <c r="V157" s="5" t="e">
        <f t="shared" si="46"/>
        <v>#N/A</v>
      </c>
      <c r="W157" s="5" t="str">
        <f t="shared" si="47"/>
        <v/>
      </c>
      <c r="X157" s="5">
        <v>64</v>
      </c>
      <c r="Y157" s="5" t="str">
        <f t="shared" si="48"/>
        <v/>
      </c>
      <c r="Z157" s="5" t="str">
        <f t="shared" si="49"/>
        <v/>
      </c>
      <c r="AA157" s="5" t="str">
        <f t="shared" si="33"/>
        <v/>
      </c>
      <c r="AB157" s="5" t="str">
        <f t="shared" si="50"/>
        <v/>
      </c>
      <c r="AC157" s="5" t="e">
        <f>IF(AB157="",NA(),COUNTIF(AB157:$AB$293,AB157))</f>
        <v>#N/A</v>
      </c>
      <c r="AD157" s="5" t="e">
        <f t="shared" si="51"/>
        <v>#N/A</v>
      </c>
      <c r="AE157" s="5" t="e">
        <f t="shared" si="34"/>
        <v>#N/A</v>
      </c>
      <c r="AF157" s="5" t="e">
        <f t="shared" si="52"/>
        <v>#N/A</v>
      </c>
      <c r="AG157" s="5" t="e">
        <f t="shared" si="53"/>
        <v>#N/A</v>
      </c>
      <c r="AH157" s="5" t="str">
        <f t="shared" si="54"/>
        <v/>
      </c>
      <c r="AI157" s="5" t="str">
        <f t="shared" si="55"/>
        <v/>
      </c>
      <c r="AJ157" s="5" t="str">
        <f t="shared" si="56"/>
        <v/>
      </c>
      <c r="AK157" s="5" t="str">
        <f t="shared" si="57"/>
        <v/>
      </c>
      <c r="AX157" s="5" t="str">
        <f t="shared" si="35"/>
        <v/>
      </c>
      <c r="AY157" s="5" t="e">
        <f t="shared" si="58"/>
        <v>#N/A</v>
      </c>
      <c r="AZ157" s="5" t="str">
        <f t="shared" si="59"/>
        <v/>
      </c>
      <c r="BA157" s="5" t="str">
        <f t="shared" si="60"/>
        <v/>
      </c>
      <c r="BB157" s="5" t="e">
        <f>IF(BA157="",NA(),COUNTIF(BA157:$BA$193,BA157))</f>
        <v>#N/A</v>
      </c>
      <c r="BC157" s="5" t="e">
        <f t="shared" si="61"/>
        <v>#N/A</v>
      </c>
      <c r="BD157" s="5" t="str">
        <f t="shared" si="36"/>
        <v/>
      </c>
      <c r="BE157" s="5" t="e">
        <f t="shared" si="62"/>
        <v>#N/A</v>
      </c>
      <c r="BF157" s="5" t="str">
        <f t="shared" si="63"/>
        <v/>
      </c>
      <c r="BG157" s="5" t="str">
        <f t="shared" si="64"/>
        <v/>
      </c>
      <c r="BH157" s="5" t="e">
        <f>IF(BG157="",NA(),COUNTIF(BG157:$BG$193,BG157))</f>
        <v>#N/A</v>
      </c>
      <c r="BI157" s="5" t="e">
        <f t="shared" si="65"/>
        <v>#N/A</v>
      </c>
      <c r="BJ157" s="640">
        <v>149</v>
      </c>
      <c r="BK157" s="641"/>
      <c r="BL157" s="642"/>
      <c r="BM157" s="635">
        <v>149</v>
      </c>
      <c r="BN157" s="643"/>
      <c r="BO157" s="87"/>
      <c r="BP157" s="13"/>
      <c r="BR157" s="640">
        <v>149</v>
      </c>
      <c r="BS157" s="641"/>
      <c r="BT157" s="642"/>
      <c r="BU157" s="635">
        <v>149</v>
      </c>
      <c r="BV157" s="643"/>
      <c r="BW157" s="87"/>
      <c r="BX157" s="13"/>
      <c r="BZ157" s="640">
        <v>149</v>
      </c>
      <c r="CA157" s="641"/>
      <c r="CB157" s="642"/>
      <c r="CC157" s="635">
        <v>149</v>
      </c>
      <c r="CD157" s="643"/>
      <c r="CE157" s="87"/>
      <c r="CF157" s="13"/>
    </row>
    <row r="158" spans="1:84" ht="12.75" customHeight="1">
      <c r="A158" s="640">
        <v>150</v>
      </c>
      <c r="B158" s="641"/>
      <c r="C158" s="642"/>
      <c r="D158" s="635">
        <v>150</v>
      </c>
      <c r="E158" s="643"/>
      <c r="F158" s="87"/>
      <c r="G158" s="13"/>
      <c r="J158" s="5" t="e">
        <f t="shared" si="68"/>
        <v>#N/A</v>
      </c>
      <c r="K158" s="5" t="e">
        <f t="shared" si="66"/>
        <v>#N/A</v>
      </c>
      <c r="L158" s="5" t="e">
        <f t="shared" si="69"/>
        <v>#N/A</v>
      </c>
      <c r="M158" s="5" t="e">
        <f t="shared" si="67"/>
        <v>#N/A</v>
      </c>
      <c r="Q158" s="5" t="str">
        <f t="shared" ref="Q158:Q189" si="70">IF(Y158="","",IF($AF$87=0,Y158,ROUND(Y158/$AF$87,0)))</f>
        <v/>
      </c>
      <c r="R158" s="5" t="e">
        <f>IF(Q158="",NA(),COUNTIF(Q158:$Q$293,Q158))</f>
        <v>#N/A</v>
      </c>
      <c r="S158" s="5" t="e">
        <f t="shared" ref="S158:S189" si="71">(R158-1)*$AF$90</f>
        <v>#N/A</v>
      </c>
      <c r="T158" s="5" t="e">
        <f t="shared" si="32"/>
        <v>#N/A</v>
      </c>
      <c r="U158" s="5" t="e">
        <f t="shared" ref="U158:U189" si="72">IF(X158&gt;$X$89,NA(),IF(OR(X158&lt;=$X$90,X158&gt;$X$89-$X$90),IF($AP$92,W158,Y158),NA()))</f>
        <v>#N/A</v>
      </c>
      <c r="V158" s="5" t="e">
        <f t="shared" ref="V158:V189" si="73">IF(X158&gt;$X$89,NA(),IF(AND(X158&gt;$X$90,X158&lt;=$X$89-$X$90),IF($AP$92,W158,Y158),NA()))</f>
        <v>#N/A</v>
      </c>
      <c r="W158" s="5" t="str">
        <f t="shared" ref="W158:W189" si="74">IF(X158&gt;$X$89,"",LARGE($AZ$94:$AZ$293,X158))</f>
        <v/>
      </c>
      <c r="X158" s="5">
        <v>65</v>
      </c>
      <c r="Y158" s="5" t="str">
        <f t="shared" ref="Y158:Y189" si="75">IF(X158&gt;$X$89,"",LARGE($AX$94:$AX$293,X158))</f>
        <v/>
      </c>
      <c r="Z158" s="5" t="str">
        <f t="shared" ref="Z158:Z189" si="76">IF(X158&gt;$X$89,"",IF(AND(X158&gt;$X$90,X158&lt;=$X$89-$X$90),Y158,""))</f>
        <v/>
      </c>
      <c r="AA158" s="5" t="str">
        <f t="shared" si="33"/>
        <v/>
      </c>
      <c r="AB158" s="5" t="str">
        <f t="shared" ref="AB158:AB189" si="77">IF(AI158="","",IF($AF$87=0,AI158,ROUND(AI158/$AF$87,0)))</f>
        <v/>
      </c>
      <c r="AC158" s="5" t="e">
        <f>IF(AB158="",NA(),COUNTIF(AB158:$AB$293,AB158))</f>
        <v>#N/A</v>
      </c>
      <c r="AD158" s="5" t="e">
        <f t="shared" ref="AD158:AD189" si="78">(AC158-1)*$AF$90</f>
        <v>#N/A</v>
      </c>
      <c r="AE158" s="5" t="e">
        <f t="shared" si="34"/>
        <v>#N/A</v>
      </c>
      <c r="AF158" s="5" t="e">
        <f t="shared" ref="AF158:AF189" si="79">IF(X158&gt;$AC$89,NA(),IF(OR(X158&lt;=$AC$90,X158&gt;$AC$89-$AC$90),IF($AP$92,AH158,AI158),NA()))</f>
        <v>#N/A</v>
      </c>
      <c r="AG158" s="5" t="e">
        <f t="shared" ref="AG158:AG189" si="80">IF(X158&gt;$AC$89,NA(),IF(AND(X158&gt;$AC$90,X158&lt;=$AC$89-$AC$90),IF($AP$92,AH158,AI158),NA()))</f>
        <v>#N/A</v>
      </c>
      <c r="AH158" s="5" t="str">
        <f t="shared" ref="AH158:AH189" si="81">IF(X158&gt;$AC$89,"",LARGE($BF$94:$BF$293,X158))</f>
        <v/>
      </c>
      <c r="AI158" s="5" t="str">
        <f t="shared" ref="AI158:AI189" si="82">IF(X158&gt;$AC$89,"",LARGE($BD$94:$BD$293,X158))</f>
        <v/>
      </c>
      <c r="AJ158" s="5" t="str">
        <f t="shared" ref="AJ158:AJ189" si="83">IF(X158&gt;$AC$89,"",IF(AND(X158&gt;$AC$90,X158&lt;=$AC$89-$AC$90),AI158,""))</f>
        <v/>
      </c>
      <c r="AK158" s="5" t="str">
        <f t="shared" ref="AK158:AK189" si="84">IF(X158&gt;$AC$89,"",IF(AND(X158&gt;$AC$90,X158&lt;=$AC$89-$AC$90),AI158,IF(X158&lt;=$AC$90,$AJ$90,$AJ$91)))</f>
        <v/>
      </c>
      <c r="AX158" s="5" t="str">
        <f t="shared" si="35"/>
        <v/>
      </c>
      <c r="AY158" s="5" t="e">
        <f t="shared" ref="AY158:AY189" si="85">IF(AND($AO$97,NOT(B73=""),$AO$95),B73,NA())</f>
        <v>#N/A</v>
      </c>
      <c r="AZ158" s="5" t="str">
        <f t="shared" ref="AZ158:AZ189" si="86">IF(BA158="","",IF($AF$87=0,AY158,BA158*$AF$87))</f>
        <v/>
      </c>
      <c r="BA158" s="5" t="str">
        <f t="shared" ref="BA158:BA189" si="87">IF(ISNA(AY158),"",IF($AF$87=0,AY158,ROUND(AY158/$AF$87,0)))</f>
        <v/>
      </c>
      <c r="BB158" s="5" t="e">
        <f>IF(BA158="",NA(),COUNTIF(BA158:$BA$193,BA158))</f>
        <v>#N/A</v>
      </c>
      <c r="BC158" s="5" t="e">
        <f t="shared" ref="BC158:BC189" si="88">(BB158-1)*$AF$90</f>
        <v>#N/A</v>
      </c>
      <c r="BD158" s="5" t="str">
        <f t="shared" si="36"/>
        <v/>
      </c>
      <c r="BE158" s="5" t="e">
        <f t="shared" ref="BE158:BE189" si="89">IF(AND($AO$97,NOT(E73=""),$AO$96),E73,NA())</f>
        <v>#N/A</v>
      </c>
      <c r="BF158" s="5" t="str">
        <f t="shared" ref="BF158:BF189" si="90">IF(BG158="","",IF($AF$87=0,BE158,BG158*$AF$87))</f>
        <v/>
      </c>
      <c r="BG158" s="5" t="str">
        <f t="shared" ref="BG158:BG189" si="91">IF(ISNA(BE158),"",IF($AF$87=0,BE158,ROUND(BE158/$AF$87,0)))</f>
        <v/>
      </c>
      <c r="BH158" s="5" t="e">
        <f>IF(BG158="",NA(),COUNTIF(BG158:$BG$193,BG158))</f>
        <v>#N/A</v>
      </c>
      <c r="BI158" s="5" t="e">
        <f t="shared" ref="BI158:BI189" si="92">(BH158-1)*$AF$90</f>
        <v>#N/A</v>
      </c>
      <c r="BJ158" s="640">
        <v>150</v>
      </c>
      <c r="BK158" s="641"/>
      <c r="BL158" s="642"/>
      <c r="BM158" s="635">
        <v>150</v>
      </c>
      <c r="BN158" s="643"/>
      <c r="BO158" s="87"/>
      <c r="BP158" s="13"/>
      <c r="BR158" s="640">
        <v>150</v>
      </c>
      <c r="BS158" s="641"/>
      <c r="BT158" s="642"/>
      <c r="BU158" s="635">
        <v>150</v>
      </c>
      <c r="BV158" s="643"/>
      <c r="BW158" s="87"/>
      <c r="BX158" s="13"/>
      <c r="BZ158" s="640">
        <v>150</v>
      </c>
      <c r="CA158" s="641"/>
      <c r="CB158" s="642"/>
      <c r="CC158" s="635">
        <v>150</v>
      </c>
      <c r="CD158" s="643"/>
      <c r="CE158" s="87"/>
      <c r="CF158" s="13"/>
    </row>
    <row r="159" spans="1:84" ht="12.75" customHeight="1">
      <c r="A159" s="640">
        <v>151</v>
      </c>
      <c r="B159" s="641"/>
      <c r="C159" s="642"/>
      <c r="D159" s="635">
        <v>151</v>
      </c>
      <c r="E159" s="643"/>
      <c r="F159" s="87"/>
      <c r="G159" s="13"/>
      <c r="J159" s="5" t="e">
        <f t="shared" si="68"/>
        <v>#N/A</v>
      </c>
      <c r="K159" s="5" t="e">
        <f t="shared" si="66"/>
        <v>#N/A</v>
      </c>
      <c r="L159" s="5" t="e">
        <f t="shared" si="69"/>
        <v>#N/A</v>
      </c>
      <c r="M159" s="5" t="e">
        <f t="shared" si="67"/>
        <v>#N/A</v>
      </c>
      <c r="Q159" s="5" t="str">
        <f t="shared" si="70"/>
        <v/>
      </c>
      <c r="R159" s="5" t="e">
        <f>IF(Q159="",NA(),COUNTIF(Q159:$Q$293,Q159))</f>
        <v>#N/A</v>
      </c>
      <c r="S159" s="5" t="e">
        <f t="shared" si="71"/>
        <v>#N/A</v>
      </c>
      <c r="T159" s="5" t="e">
        <f t="shared" ref="T159:T222" si="93">IF($AC$91,0.85-IF($AP$92,S159-$S$83,0),NA())</f>
        <v>#N/A</v>
      </c>
      <c r="U159" s="5" t="e">
        <f t="shared" si="72"/>
        <v>#N/A</v>
      </c>
      <c r="V159" s="5" t="e">
        <f t="shared" si="73"/>
        <v>#N/A</v>
      </c>
      <c r="W159" s="5" t="str">
        <f t="shared" si="74"/>
        <v/>
      </c>
      <c r="X159" s="5">
        <v>66</v>
      </c>
      <c r="Y159" s="5" t="str">
        <f t="shared" si="75"/>
        <v/>
      </c>
      <c r="Z159" s="5" t="str">
        <f t="shared" si="76"/>
        <v/>
      </c>
      <c r="AA159" s="5" t="str">
        <f t="shared" ref="AA159:AA222" si="94">IF(X159&gt;$X$89,"",IF(AND(X159&gt;$X$90,X159&lt;=$X$89-$X$90),Y159,IF(X159&lt;=$X$90,$Z$90,$Z$91)))</f>
        <v/>
      </c>
      <c r="AB159" s="5" t="str">
        <f t="shared" si="77"/>
        <v/>
      </c>
      <c r="AC159" s="5" t="e">
        <f>IF(AB159="",NA(),COUNTIF(AB159:$AB$293,AB159))</f>
        <v>#N/A</v>
      </c>
      <c r="AD159" s="5" t="e">
        <f t="shared" si="78"/>
        <v>#N/A</v>
      </c>
      <c r="AE159" s="5" t="e">
        <f t="shared" ref="AE159:AE222" si="95">IF($AC$91,2.15+IF($AP$92,AD159-$S$83,0),NA())</f>
        <v>#N/A</v>
      </c>
      <c r="AF159" s="5" t="e">
        <f t="shared" si="79"/>
        <v>#N/A</v>
      </c>
      <c r="AG159" s="5" t="e">
        <f t="shared" si="80"/>
        <v>#N/A</v>
      </c>
      <c r="AH159" s="5" t="str">
        <f t="shared" si="81"/>
        <v/>
      </c>
      <c r="AI159" s="5" t="str">
        <f t="shared" si="82"/>
        <v/>
      </c>
      <c r="AJ159" s="5" t="str">
        <f t="shared" si="83"/>
        <v/>
      </c>
      <c r="AK159" s="5" t="str">
        <f t="shared" si="84"/>
        <v/>
      </c>
      <c r="AX159" s="5" t="str">
        <f t="shared" ref="AX159:AX222" si="96">IF(ISNA(AY159),"",AY159)</f>
        <v/>
      </c>
      <c r="AY159" s="5" t="e">
        <f t="shared" si="85"/>
        <v>#N/A</v>
      </c>
      <c r="AZ159" s="5" t="str">
        <f t="shared" si="86"/>
        <v/>
      </c>
      <c r="BA159" s="5" t="str">
        <f t="shared" si="87"/>
        <v/>
      </c>
      <c r="BB159" s="5" t="e">
        <f>IF(BA159="",NA(),COUNTIF(BA159:$BA$193,BA159))</f>
        <v>#N/A</v>
      </c>
      <c r="BC159" s="5" t="e">
        <f t="shared" si="88"/>
        <v>#N/A</v>
      </c>
      <c r="BD159" s="5" t="str">
        <f t="shared" ref="BD159:BD222" si="97">IF(ISNA(BE159),"",BE159)</f>
        <v/>
      </c>
      <c r="BE159" s="5" t="e">
        <f t="shared" si="89"/>
        <v>#N/A</v>
      </c>
      <c r="BF159" s="5" t="str">
        <f t="shared" si="90"/>
        <v/>
      </c>
      <c r="BG159" s="5" t="str">
        <f t="shared" si="91"/>
        <v/>
      </c>
      <c r="BH159" s="5" t="e">
        <f>IF(BG159="",NA(),COUNTIF(BG159:$BG$193,BG159))</f>
        <v>#N/A</v>
      </c>
      <c r="BI159" s="5" t="e">
        <f t="shared" si="92"/>
        <v>#N/A</v>
      </c>
      <c r="BJ159" s="640">
        <v>151</v>
      </c>
      <c r="BK159" s="641"/>
      <c r="BL159" s="642"/>
      <c r="BM159" s="635">
        <v>151</v>
      </c>
      <c r="BN159" s="643"/>
      <c r="BO159" s="87"/>
      <c r="BP159" s="13"/>
      <c r="BR159" s="640">
        <v>151</v>
      </c>
      <c r="BS159" s="641"/>
      <c r="BT159" s="642"/>
      <c r="BU159" s="635">
        <v>151</v>
      </c>
      <c r="BV159" s="643"/>
      <c r="BW159" s="87"/>
      <c r="BX159" s="13"/>
      <c r="BZ159" s="640">
        <v>151</v>
      </c>
      <c r="CA159" s="641"/>
      <c r="CB159" s="642"/>
      <c r="CC159" s="635">
        <v>151</v>
      </c>
      <c r="CD159" s="643"/>
      <c r="CE159" s="87"/>
      <c r="CF159" s="13"/>
    </row>
    <row r="160" spans="1:84" ht="12.75" customHeight="1">
      <c r="A160" s="640">
        <v>152</v>
      </c>
      <c r="B160" s="641"/>
      <c r="C160" s="642"/>
      <c r="D160" s="635">
        <v>152</v>
      </c>
      <c r="E160" s="643"/>
      <c r="F160" s="87"/>
      <c r="G160" s="13"/>
      <c r="J160" s="5" t="e">
        <f t="shared" si="68"/>
        <v>#N/A</v>
      </c>
      <c r="K160" s="5" t="e">
        <f t="shared" si="66"/>
        <v>#N/A</v>
      </c>
      <c r="L160" s="5" t="e">
        <f t="shared" si="69"/>
        <v>#N/A</v>
      </c>
      <c r="M160" s="5" t="e">
        <f t="shared" si="67"/>
        <v>#N/A</v>
      </c>
      <c r="Q160" s="5" t="str">
        <f t="shared" si="70"/>
        <v/>
      </c>
      <c r="R160" s="5" t="e">
        <f>IF(Q160="",NA(),COUNTIF(Q160:$Q$293,Q160))</f>
        <v>#N/A</v>
      </c>
      <c r="S160" s="5" t="e">
        <f t="shared" si="71"/>
        <v>#N/A</v>
      </c>
      <c r="T160" s="5" t="e">
        <f t="shared" si="93"/>
        <v>#N/A</v>
      </c>
      <c r="U160" s="5" t="e">
        <f t="shared" si="72"/>
        <v>#N/A</v>
      </c>
      <c r="V160" s="5" t="e">
        <f t="shared" si="73"/>
        <v>#N/A</v>
      </c>
      <c r="W160" s="5" t="str">
        <f t="shared" si="74"/>
        <v/>
      </c>
      <c r="X160" s="5">
        <v>67</v>
      </c>
      <c r="Y160" s="5" t="str">
        <f t="shared" si="75"/>
        <v/>
      </c>
      <c r="Z160" s="5" t="str">
        <f t="shared" si="76"/>
        <v/>
      </c>
      <c r="AA160" s="5" t="str">
        <f t="shared" si="94"/>
        <v/>
      </c>
      <c r="AB160" s="5" t="str">
        <f t="shared" si="77"/>
        <v/>
      </c>
      <c r="AC160" s="5" t="e">
        <f>IF(AB160="",NA(),COUNTIF(AB160:$AB$293,AB160))</f>
        <v>#N/A</v>
      </c>
      <c r="AD160" s="5" t="e">
        <f t="shared" si="78"/>
        <v>#N/A</v>
      </c>
      <c r="AE160" s="5" t="e">
        <f t="shared" si="95"/>
        <v>#N/A</v>
      </c>
      <c r="AF160" s="5" t="e">
        <f t="shared" si="79"/>
        <v>#N/A</v>
      </c>
      <c r="AG160" s="5" t="e">
        <f t="shared" si="80"/>
        <v>#N/A</v>
      </c>
      <c r="AH160" s="5" t="str">
        <f t="shared" si="81"/>
        <v/>
      </c>
      <c r="AI160" s="5" t="str">
        <f t="shared" si="82"/>
        <v/>
      </c>
      <c r="AJ160" s="5" t="str">
        <f t="shared" si="83"/>
        <v/>
      </c>
      <c r="AK160" s="5" t="str">
        <f t="shared" si="84"/>
        <v/>
      </c>
      <c r="AX160" s="5" t="str">
        <f t="shared" si="96"/>
        <v/>
      </c>
      <c r="AY160" s="5" t="e">
        <f t="shared" si="85"/>
        <v>#N/A</v>
      </c>
      <c r="AZ160" s="5" t="str">
        <f t="shared" si="86"/>
        <v/>
      </c>
      <c r="BA160" s="5" t="str">
        <f t="shared" si="87"/>
        <v/>
      </c>
      <c r="BB160" s="5" t="e">
        <f>IF(BA160="",NA(),COUNTIF(BA160:$BA$193,BA160))</f>
        <v>#N/A</v>
      </c>
      <c r="BC160" s="5" t="e">
        <f t="shared" si="88"/>
        <v>#N/A</v>
      </c>
      <c r="BD160" s="5" t="str">
        <f t="shared" si="97"/>
        <v/>
      </c>
      <c r="BE160" s="5" t="e">
        <f t="shared" si="89"/>
        <v>#N/A</v>
      </c>
      <c r="BF160" s="5" t="str">
        <f t="shared" si="90"/>
        <v/>
      </c>
      <c r="BG160" s="5" t="str">
        <f t="shared" si="91"/>
        <v/>
      </c>
      <c r="BH160" s="5" t="e">
        <f>IF(BG160="",NA(),COUNTIF(BG160:$BG$193,BG160))</f>
        <v>#N/A</v>
      </c>
      <c r="BI160" s="5" t="e">
        <f t="shared" si="92"/>
        <v>#N/A</v>
      </c>
      <c r="BJ160" s="640">
        <v>152</v>
      </c>
      <c r="BK160" s="641"/>
      <c r="BL160" s="642"/>
      <c r="BM160" s="635">
        <v>152</v>
      </c>
      <c r="BN160" s="643"/>
      <c r="BO160" s="87"/>
      <c r="BP160" s="13"/>
      <c r="BR160" s="640">
        <v>152</v>
      </c>
      <c r="BS160" s="641"/>
      <c r="BT160" s="642"/>
      <c r="BU160" s="635">
        <v>152</v>
      </c>
      <c r="BV160" s="643"/>
      <c r="BW160" s="87"/>
      <c r="BX160" s="13"/>
      <c r="BZ160" s="640">
        <v>152</v>
      </c>
      <c r="CA160" s="641"/>
      <c r="CB160" s="642"/>
      <c r="CC160" s="635">
        <v>152</v>
      </c>
      <c r="CD160" s="643"/>
      <c r="CE160" s="87"/>
      <c r="CF160" s="13"/>
    </row>
    <row r="161" spans="1:84" ht="12.75" customHeight="1">
      <c r="A161" s="640">
        <v>153</v>
      </c>
      <c r="B161" s="641"/>
      <c r="C161" s="642"/>
      <c r="D161" s="635">
        <v>153</v>
      </c>
      <c r="E161" s="643"/>
      <c r="F161" s="87"/>
      <c r="G161" s="13"/>
      <c r="J161" s="5" t="e">
        <f t="shared" si="68"/>
        <v>#N/A</v>
      </c>
      <c r="K161" s="5" t="e">
        <f t="shared" si="66"/>
        <v>#N/A</v>
      </c>
      <c r="L161" s="5" t="e">
        <f t="shared" si="69"/>
        <v>#N/A</v>
      </c>
      <c r="M161" s="5" t="e">
        <f t="shared" si="67"/>
        <v>#N/A</v>
      </c>
      <c r="Q161" s="5" t="str">
        <f t="shared" si="70"/>
        <v/>
      </c>
      <c r="R161" s="5" t="e">
        <f>IF(Q161="",NA(),COUNTIF(Q161:$Q$293,Q161))</f>
        <v>#N/A</v>
      </c>
      <c r="S161" s="5" t="e">
        <f t="shared" si="71"/>
        <v>#N/A</v>
      </c>
      <c r="T161" s="5" t="e">
        <f t="shared" si="93"/>
        <v>#N/A</v>
      </c>
      <c r="U161" s="5" t="e">
        <f t="shared" si="72"/>
        <v>#N/A</v>
      </c>
      <c r="V161" s="5" t="e">
        <f t="shared" si="73"/>
        <v>#N/A</v>
      </c>
      <c r="W161" s="5" t="str">
        <f t="shared" si="74"/>
        <v/>
      </c>
      <c r="X161" s="5">
        <v>68</v>
      </c>
      <c r="Y161" s="5" t="str">
        <f t="shared" si="75"/>
        <v/>
      </c>
      <c r="Z161" s="5" t="str">
        <f t="shared" si="76"/>
        <v/>
      </c>
      <c r="AA161" s="5" t="str">
        <f t="shared" si="94"/>
        <v/>
      </c>
      <c r="AB161" s="5" t="str">
        <f t="shared" si="77"/>
        <v/>
      </c>
      <c r="AC161" s="5" t="e">
        <f>IF(AB161="",NA(),COUNTIF(AB161:$AB$293,AB161))</f>
        <v>#N/A</v>
      </c>
      <c r="AD161" s="5" t="e">
        <f t="shared" si="78"/>
        <v>#N/A</v>
      </c>
      <c r="AE161" s="5" t="e">
        <f t="shared" si="95"/>
        <v>#N/A</v>
      </c>
      <c r="AF161" s="5" t="e">
        <f t="shared" si="79"/>
        <v>#N/A</v>
      </c>
      <c r="AG161" s="5" t="e">
        <f t="shared" si="80"/>
        <v>#N/A</v>
      </c>
      <c r="AH161" s="5" t="str">
        <f t="shared" si="81"/>
        <v/>
      </c>
      <c r="AI161" s="5" t="str">
        <f t="shared" si="82"/>
        <v/>
      </c>
      <c r="AJ161" s="5" t="str">
        <f t="shared" si="83"/>
        <v/>
      </c>
      <c r="AK161" s="5" t="str">
        <f t="shared" si="84"/>
        <v/>
      </c>
      <c r="AX161" s="5" t="str">
        <f t="shared" si="96"/>
        <v/>
      </c>
      <c r="AY161" s="5" t="e">
        <f t="shared" si="85"/>
        <v>#N/A</v>
      </c>
      <c r="AZ161" s="5" t="str">
        <f t="shared" si="86"/>
        <v/>
      </c>
      <c r="BA161" s="5" t="str">
        <f t="shared" si="87"/>
        <v/>
      </c>
      <c r="BB161" s="5" t="e">
        <f>IF(BA161="",NA(),COUNTIF(BA161:$BA$193,BA161))</f>
        <v>#N/A</v>
      </c>
      <c r="BC161" s="5" t="e">
        <f t="shared" si="88"/>
        <v>#N/A</v>
      </c>
      <c r="BD161" s="5" t="str">
        <f t="shared" si="97"/>
        <v/>
      </c>
      <c r="BE161" s="5" t="e">
        <f t="shared" si="89"/>
        <v>#N/A</v>
      </c>
      <c r="BF161" s="5" t="str">
        <f t="shared" si="90"/>
        <v/>
      </c>
      <c r="BG161" s="5" t="str">
        <f t="shared" si="91"/>
        <v/>
      </c>
      <c r="BH161" s="5" t="e">
        <f>IF(BG161="",NA(),COUNTIF(BG161:$BG$193,BG161))</f>
        <v>#N/A</v>
      </c>
      <c r="BI161" s="5" t="e">
        <f t="shared" si="92"/>
        <v>#N/A</v>
      </c>
      <c r="BJ161" s="640">
        <v>153</v>
      </c>
      <c r="BK161" s="641"/>
      <c r="BL161" s="642"/>
      <c r="BM161" s="635">
        <v>153</v>
      </c>
      <c r="BN161" s="643"/>
      <c r="BO161" s="87"/>
      <c r="BP161" s="13"/>
      <c r="BR161" s="640">
        <v>153</v>
      </c>
      <c r="BS161" s="641"/>
      <c r="BT161" s="642"/>
      <c r="BU161" s="635">
        <v>153</v>
      </c>
      <c r="BV161" s="643"/>
      <c r="BW161" s="87"/>
      <c r="BX161" s="13"/>
      <c r="BZ161" s="640">
        <v>153</v>
      </c>
      <c r="CA161" s="641"/>
      <c r="CB161" s="642"/>
      <c r="CC161" s="635">
        <v>153</v>
      </c>
      <c r="CD161" s="643"/>
      <c r="CE161" s="87"/>
      <c r="CF161" s="13"/>
    </row>
    <row r="162" spans="1:84" ht="12.75" customHeight="1">
      <c r="A162" s="640">
        <v>154</v>
      </c>
      <c r="B162" s="641"/>
      <c r="C162" s="642"/>
      <c r="D162" s="635">
        <v>154</v>
      </c>
      <c r="E162" s="643"/>
      <c r="F162" s="87"/>
      <c r="G162" s="13"/>
      <c r="J162" s="5" t="e">
        <f t="shared" si="68"/>
        <v>#N/A</v>
      </c>
      <c r="K162" s="5" t="e">
        <f t="shared" si="66"/>
        <v>#N/A</v>
      </c>
      <c r="L162" s="5" t="e">
        <f t="shared" si="69"/>
        <v>#N/A</v>
      </c>
      <c r="M162" s="5" t="e">
        <f t="shared" si="67"/>
        <v>#N/A</v>
      </c>
      <c r="Q162" s="5" t="str">
        <f t="shared" si="70"/>
        <v/>
      </c>
      <c r="R162" s="5" t="e">
        <f>IF(Q162="",NA(),COUNTIF(Q162:$Q$293,Q162))</f>
        <v>#N/A</v>
      </c>
      <c r="S162" s="5" t="e">
        <f t="shared" si="71"/>
        <v>#N/A</v>
      </c>
      <c r="T162" s="5" t="e">
        <f t="shared" si="93"/>
        <v>#N/A</v>
      </c>
      <c r="U162" s="5" t="e">
        <f t="shared" si="72"/>
        <v>#N/A</v>
      </c>
      <c r="V162" s="5" t="e">
        <f t="shared" si="73"/>
        <v>#N/A</v>
      </c>
      <c r="W162" s="5" t="str">
        <f t="shared" si="74"/>
        <v/>
      </c>
      <c r="X162" s="5">
        <v>69</v>
      </c>
      <c r="Y162" s="5" t="str">
        <f t="shared" si="75"/>
        <v/>
      </c>
      <c r="Z162" s="5" t="str">
        <f t="shared" si="76"/>
        <v/>
      </c>
      <c r="AA162" s="5" t="str">
        <f t="shared" si="94"/>
        <v/>
      </c>
      <c r="AB162" s="5" t="str">
        <f t="shared" si="77"/>
        <v/>
      </c>
      <c r="AC162" s="5" t="e">
        <f>IF(AB162="",NA(),COUNTIF(AB162:$AB$293,AB162))</f>
        <v>#N/A</v>
      </c>
      <c r="AD162" s="5" t="e">
        <f t="shared" si="78"/>
        <v>#N/A</v>
      </c>
      <c r="AE162" s="5" t="e">
        <f t="shared" si="95"/>
        <v>#N/A</v>
      </c>
      <c r="AF162" s="5" t="e">
        <f t="shared" si="79"/>
        <v>#N/A</v>
      </c>
      <c r="AG162" s="5" t="e">
        <f t="shared" si="80"/>
        <v>#N/A</v>
      </c>
      <c r="AH162" s="5" t="str">
        <f t="shared" si="81"/>
        <v/>
      </c>
      <c r="AI162" s="5" t="str">
        <f t="shared" si="82"/>
        <v/>
      </c>
      <c r="AJ162" s="5" t="str">
        <f t="shared" si="83"/>
        <v/>
      </c>
      <c r="AK162" s="5" t="str">
        <f t="shared" si="84"/>
        <v/>
      </c>
      <c r="AX162" s="5" t="str">
        <f t="shared" si="96"/>
        <v/>
      </c>
      <c r="AY162" s="5" t="e">
        <f t="shared" si="85"/>
        <v>#N/A</v>
      </c>
      <c r="AZ162" s="5" t="str">
        <f t="shared" si="86"/>
        <v/>
      </c>
      <c r="BA162" s="5" t="str">
        <f t="shared" si="87"/>
        <v/>
      </c>
      <c r="BB162" s="5" t="e">
        <f>IF(BA162="",NA(),COUNTIF(BA162:$BA$193,BA162))</f>
        <v>#N/A</v>
      </c>
      <c r="BC162" s="5" t="e">
        <f t="shared" si="88"/>
        <v>#N/A</v>
      </c>
      <c r="BD162" s="5" t="str">
        <f t="shared" si="97"/>
        <v/>
      </c>
      <c r="BE162" s="5" t="e">
        <f t="shared" si="89"/>
        <v>#N/A</v>
      </c>
      <c r="BF162" s="5" t="str">
        <f t="shared" si="90"/>
        <v/>
      </c>
      <c r="BG162" s="5" t="str">
        <f t="shared" si="91"/>
        <v/>
      </c>
      <c r="BH162" s="5" t="e">
        <f>IF(BG162="",NA(),COUNTIF(BG162:$BG$193,BG162))</f>
        <v>#N/A</v>
      </c>
      <c r="BI162" s="5" t="e">
        <f t="shared" si="92"/>
        <v>#N/A</v>
      </c>
      <c r="BJ162" s="640">
        <v>154</v>
      </c>
      <c r="BK162" s="641"/>
      <c r="BL162" s="642"/>
      <c r="BM162" s="635">
        <v>154</v>
      </c>
      <c r="BN162" s="643"/>
      <c r="BO162" s="87"/>
      <c r="BP162" s="13"/>
      <c r="BR162" s="640">
        <v>154</v>
      </c>
      <c r="BS162" s="641"/>
      <c r="BT162" s="642"/>
      <c r="BU162" s="635">
        <v>154</v>
      </c>
      <c r="BV162" s="643"/>
      <c r="BW162" s="87"/>
      <c r="BX162" s="13"/>
      <c r="BZ162" s="640">
        <v>154</v>
      </c>
      <c r="CA162" s="641"/>
      <c r="CB162" s="642"/>
      <c r="CC162" s="635">
        <v>154</v>
      </c>
      <c r="CD162" s="643"/>
      <c r="CE162" s="87"/>
      <c r="CF162" s="13"/>
    </row>
    <row r="163" spans="1:84" ht="12.75" customHeight="1">
      <c r="A163" s="640">
        <v>155</v>
      </c>
      <c r="B163" s="641"/>
      <c r="C163" s="642"/>
      <c r="D163" s="635">
        <v>155</v>
      </c>
      <c r="E163" s="643"/>
      <c r="F163" s="87"/>
      <c r="G163" s="13"/>
      <c r="J163" s="5" t="e">
        <f t="shared" si="68"/>
        <v>#N/A</v>
      </c>
      <c r="K163" s="5" t="e">
        <f t="shared" si="66"/>
        <v>#N/A</v>
      </c>
      <c r="L163" s="5" t="e">
        <f t="shared" si="69"/>
        <v>#N/A</v>
      </c>
      <c r="M163" s="5" t="e">
        <f t="shared" si="67"/>
        <v>#N/A</v>
      </c>
      <c r="Q163" s="5" t="str">
        <f t="shared" si="70"/>
        <v/>
      </c>
      <c r="R163" s="5" t="e">
        <f>IF(Q163="",NA(),COUNTIF(Q163:$Q$293,Q163))</f>
        <v>#N/A</v>
      </c>
      <c r="S163" s="5" t="e">
        <f t="shared" si="71"/>
        <v>#N/A</v>
      </c>
      <c r="T163" s="5" t="e">
        <f t="shared" si="93"/>
        <v>#N/A</v>
      </c>
      <c r="U163" s="5" t="e">
        <f t="shared" si="72"/>
        <v>#N/A</v>
      </c>
      <c r="V163" s="5" t="e">
        <f t="shared" si="73"/>
        <v>#N/A</v>
      </c>
      <c r="W163" s="5" t="str">
        <f t="shared" si="74"/>
        <v/>
      </c>
      <c r="X163" s="5">
        <v>70</v>
      </c>
      <c r="Y163" s="5" t="str">
        <f t="shared" si="75"/>
        <v/>
      </c>
      <c r="Z163" s="5" t="str">
        <f t="shared" si="76"/>
        <v/>
      </c>
      <c r="AA163" s="5" t="str">
        <f t="shared" si="94"/>
        <v/>
      </c>
      <c r="AB163" s="5" t="str">
        <f t="shared" si="77"/>
        <v/>
      </c>
      <c r="AC163" s="5" t="e">
        <f>IF(AB163="",NA(),COUNTIF(AB163:$AB$293,AB163))</f>
        <v>#N/A</v>
      </c>
      <c r="AD163" s="5" t="e">
        <f t="shared" si="78"/>
        <v>#N/A</v>
      </c>
      <c r="AE163" s="5" t="e">
        <f t="shared" si="95"/>
        <v>#N/A</v>
      </c>
      <c r="AF163" s="5" t="e">
        <f t="shared" si="79"/>
        <v>#N/A</v>
      </c>
      <c r="AG163" s="5" t="e">
        <f t="shared" si="80"/>
        <v>#N/A</v>
      </c>
      <c r="AH163" s="5" t="str">
        <f t="shared" si="81"/>
        <v/>
      </c>
      <c r="AI163" s="5" t="str">
        <f t="shared" si="82"/>
        <v/>
      </c>
      <c r="AJ163" s="5" t="str">
        <f t="shared" si="83"/>
        <v/>
      </c>
      <c r="AK163" s="5" t="str">
        <f t="shared" si="84"/>
        <v/>
      </c>
      <c r="AX163" s="5" t="str">
        <f t="shared" si="96"/>
        <v/>
      </c>
      <c r="AY163" s="5" t="e">
        <f t="shared" si="85"/>
        <v>#N/A</v>
      </c>
      <c r="AZ163" s="5" t="str">
        <f t="shared" si="86"/>
        <v/>
      </c>
      <c r="BA163" s="5" t="str">
        <f t="shared" si="87"/>
        <v/>
      </c>
      <c r="BB163" s="5" t="e">
        <f>IF(BA163="",NA(),COUNTIF(BA163:$BA$193,BA163))</f>
        <v>#N/A</v>
      </c>
      <c r="BC163" s="5" t="e">
        <f t="shared" si="88"/>
        <v>#N/A</v>
      </c>
      <c r="BD163" s="5" t="str">
        <f t="shared" si="97"/>
        <v/>
      </c>
      <c r="BE163" s="5" t="e">
        <f t="shared" si="89"/>
        <v>#N/A</v>
      </c>
      <c r="BF163" s="5" t="str">
        <f t="shared" si="90"/>
        <v/>
      </c>
      <c r="BG163" s="5" t="str">
        <f t="shared" si="91"/>
        <v/>
      </c>
      <c r="BH163" s="5" t="e">
        <f>IF(BG163="",NA(),COUNTIF(BG163:$BG$193,BG163))</f>
        <v>#N/A</v>
      </c>
      <c r="BI163" s="5" t="e">
        <f t="shared" si="92"/>
        <v>#N/A</v>
      </c>
      <c r="BJ163" s="640">
        <v>155</v>
      </c>
      <c r="BK163" s="641"/>
      <c r="BL163" s="642"/>
      <c r="BM163" s="635">
        <v>155</v>
      </c>
      <c r="BN163" s="643"/>
      <c r="BO163" s="87"/>
      <c r="BP163" s="13"/>
      <c r="BR163" s="640">
        <v>155</v>
      </c>
      <c r="BS163" s="641"/>
      <c r="BT163" s="642"/>
      <c r="BU163" s="635">
        <v>155</v>
      </c>
      <c r="BV163" s="643"/>
      <c r="BW163" s="87"/>
      <c r="BX163" s="13"/>
      <c r="BZ163" s="640">
        <v>155</v>
      </c>
      <c r="CA163" s="641"/>
      <c r="CB163" s="642"/>
      <c r="CC163" s="635">
        <v>155</v>
      </c>
      <c r="CD163" s="643"/>
      <c r="CE163" s="87"/>
      <c r="CF163" s="13"/>
    </row>
    <row r="164" spans="1:84" ht="12.75" customHeight="1">
      <c r="A164" s="640">
        <v>156</v>
      </c>
      <c r="B164" s="641"/>
      <c r="C164" s="642"/>
      <c r="D164" s="635">
        <v>156</v>
      </c>
      <c r="E164" s="643"/>
      <c r="F164" s="87"/>
      <c r="G164" s="13"/>
      <c r="J164" s="5" t="e">
        <f t="shared" si="68"/>
        <v>#N/A</v>
      </c>
      <c r="K164" s="5" t="e">
        <f t="shared" si="66"/>
        <v>#N/A</v>
      </c>
      <c r="L164" s="5" t="e">
        <f t="shared" si="69"/>
        <v>#N/A</v>
      </c>
      <c r="M164" s="5" t="e">
        <f t="shared" si="67"/>
        <v>#N/A</v>
      </c>
      <c r="Q164" s="5" t="str">
        <f t="shared" si="70"/>
        <v/>
      </c>
      <c r="R164" s="5" t="e">
        <f>IF(Q164="",NA(),COUNTIF(Q164:$Q$293,Q164))</f>
        <v>#N/A</v>
      </c>
      <c r="S164" s="5" t="e">
        <f t="shared" si="71"/>
        <v>#N/A</v>
      </c>
      <c r="T164" s="5" t="e">
        <f t="shared" si="93"/>
        <v>#N/A</v>
      </c>
      <c r="U164" s="5" t="e">
        <f t="shared" si="72"/>
        <v>#N/A</v>
      </c>
      <c r="V164" s="5" t="e">
        <f t="shared" si="73"/>
        <v>#N/A</v>
      </c>
      <c r="W164" s="5" t="str">
        <f t="shared" si="74"/>
        <v/>
      </c>
      <c r="X164" s="5">
        <v>71</v>
      </c>
      <c r="Y164" s="5" t="str">
        <f t="shared" si="75"/>
        <v/>
      </c>
      <c r="Z164" s="5" t="str">
        <f t="shared" si="76"/>
        <v/>
      </c>
      <c r="AA164" s="5" t="str">
        <f t="shared" si="94"/>
        <v/>
      </c>
      <c r="AB164" s="5" t="str">
        <f t="shared" si="77"/>
        <v/>
      </c>
      <c r="AC164" s="5" t="e">
        <f>IF(AB164="",NA(),COUNTIF(AB164:$AB$293,AB164))</f>
        <v>#N/A</v>
      </c>
      <c r="AD164" s="5" t="e">
        <f t="shared" si="78"/>
        <v>#N/A</v>
      </c>
      <c r="AE164" s="5" t="e">
        <f t="shared" si="95"/>
        <v>#N/A</v>
      </c>
      <c r="AF164" s="5" t="e">
        <f t="shared" si="79"/>
        <v>#N/A</v>
      </c>
      <c r="AG164" s="5" t="e">
        <f t="shared" si="80"/>
        <v>#N/A</v>
      </c>
      <c r="AH164" s="5" t="str">
        <f t="shared" si="81"/>
        <v/>
      </c>
      <c r="AI164" s="5" t="str">
        <f t="shared" si="82"/>
        <v/>
      </c>
      <c r="AJ164" s="5" t="str">
        <f t="shared" si="83"/>
        <v/>
      </c>
      <c r="AK164" s="5" t="str">
        <f t="shared" si="84"/>
        <v/>
      </c>
      <c r="AX164" s="5" t="str">
        <f t="shared" si="96"/>
        <v/>
      </c>
      <c r="AY164" s="5" t="e">
        <f t="shared" si="85"/>
        <v>#N/A</v>
      </c>
      <c r="AZ164" s="5" t="str">
        <f t="shared" si="86"/>
        <v/>
      </c>
      <c r="BA164" s="5" t="str">
        <f t="shared" si="87"/>
        <v/>
      </c>
      <c r="BB164" s="5" t="e">
        <f>IF(BA164="",NA(),COUNTIF(BA164:$BA$193,BA164))</f>
        <v>#N/A</v>
      </c>
      <c r="BC164" s="5" t="e">
        <f t="shared" si="88"/>
        <v>#N/A</v>
      </c>
      <c r="BD164" s="5" t="str">
        <f t="shared" si="97"/>
        <v/>
      </c>
      <c r="BE164" s="5" t="e">
        <f t="shared" si="89"/>
        <v>#N/A</v>
      </c>
      <c r="BF164" s="5" t="str">
        <f t="shared" si="90"/>
        <v/>
      </c>
      <c r="BG164" s="5" t="str">
        <f t="shared" si="91"/>
        <v/>
      </c>
      <c r="BH164" s="5" t="e">
        <f>IF(BG164="",NA(),COUNTIF(BG164:$BG$193,BG164))</f>
        <v>#N/A</v>
      </c>
      <c r="BI164" s="5" t="e">
        <f t="shared" si="92"/>
        <v>#N/A</v>
      </c>
      <c r="BJ164" s="640">
        <v>156</v>
      </c>
      <c r="BK164" s="641"/>
      <c r="BL164" s="642"/>
      <c r="BM164" s="635">
        <v>156</v>
      </c>
      <c r="BN164" s="643"/>
      <c r="BO164" s="87"/>
      <c r="BP164" s="13"/>
      <c r="BR164" s="640">
        <v>156</v>
      </c>
      <c r="BS164" s="641"/>
      <c r="BT164" s="642"/>
      <c r="BU164" s="635">
        <v>156</v>
      </c>
      <c r="BV164" s="643"/>
      <c r="BW164" s="87"/>
      <c r="BX164" s="13"/>
      <c r="BZ164" s="640">
        <v>156</v>
      </c>
      <c r="CA164" s="641"/>
      <c r="CB164" s="642"/>
      <c r="CC164" s="635">
        <v>156</v>
      </c>
      <c r="CD164" s="643"/>
      <c r="CE164" s="87"/>
      <c r="CF164" s="13"/>
    </row>
    <row r="165" spans="1:84" ht="12.75" customHeight="1">
      <c r="A165" s="640">
        <v>157</v>
      </c>
      <c r="B165" s="641"/>
      <c r="C165" s="642"/>
      <c r="D165" s="635">
        <v>157</v>
      </c>
      <c r="E165" s="643"/>
      <c r="F165" s="87"/>
      <c r="G165" s="13"/>
      <c r="J165" s="5" t="e">
        <f t="shared" si="68"/>
        <v>#N/A</v>
      </c>
      <c r="K165" s="5" t="e">
        <f t="shared" si="66"/>
        <v>#N/A</v>
      </c>
      <c r="L165" s="5" t="e">
        <f t="shared" si="69"/>
        <v>#N/A</v>
      </c>
      <c r="M165" s="5" t="e">
        <f t="shared" si="67"/>
        <v>#N/A</v>
      </c>
      <c r="Q165" s="5" t="str">
        <f t="shared" si="70"/>
        <v/>
      </c>
      <c r="R165" s="5" t="e">
        <f>IF(Q165="",NA(),COUNTIF(Q165:$Q$293,Q165))</f>
        <v>#N/A</v>
      </c>
      <c r="S165" s="5" t="e">
        <f t="shared" si="71"/>
        <v>#N/A</v>
      </c>
      <c r="T165" s="5" t="e">
        <f t="shared" si="93"/>
        <v>#N/A</v>
      </c>
      <c r="U165" s="5" t="e">
        <f t="shared" si="72"/>
        <v>#N/A</v>
      </c>
      <c r="V165" s="5" t="e">
        <f t="shared" si="73"/>
        <v>#N/A</v>
      </c>
      <c r="W165" s="5" t="str">
        <f t="shared" si="74"/>
        <v/>
      </c>
      <c r="X165" s="5">
        <v>72</v>
      </c>
      <c r="Y165" s="5" t="str">
        <f t="shared" si="75"/>
        <v/>
      </c>
      <c r="Z165" s="5" t="str">
        <f t="shared" si="76"/>
        <v/>
      </c>
      <c r="AA165" s="5" t="str">
        <f t="shared" si="94"/>
        <v/>
      </c>
      <c r="AB165" s="5" t="str">
        <f t="shared" si="77"/>
        <v/>
      </c>
      <c r="AC165" s="5" t="e">
        <f>IF(AB165="",NA(),COUNTIF(AB165:$AB$293,AB165))</f>
        <v>#N/A</v>
      </c>
      <c r="AD165" s="5" t="e">
        <f t="shared" si="78"/>
        <v>#N/A</v>
      </c>
      <c r="AE165" s="5" t="e">
        <f t="shared" si="95"/>
        <v>#N/A</v>
      </c>
      <c r="AF165" s="5" t="e">
        <f t="shared" si="79"/>
        <v>#N/A</v>
      </c>
      <c r="AG165" s="5" t="e">
        <f t="shared" si="80"/>
        <v>#N/A</v>
      </c>
      <c r="AH165" s="5" t="str">
        <f t="shared" si="81"/>
        <v/>
      </c>
      <c r="AI165" s="5" t="str">
        <f t="shared" si="82"/>
        <v/>
      </c>
      <c r="AJ165" s="5" t="str">
        <f t="shared" si="83"/>
        <v/>
      </c>
      <c r="AK165" s="5" t="str">
        <f t="shared" si="84"/>
        <v/>
      </c>
      <c r="AX165" s="5" t="str">
        <f t="shared" si="96"/>
        <v/>
      </c>
      <c r="AY165" s="5" t="e">
        <f t="shared" si="85"/>
        <v>#N/A</v>
      </c>
      <c r="AZ165" s="5" t="str">
        <f t="shared" si="86"/>
        <v/>
      </c>
      <c r="BA165" s="5" t="str">
        <f t="shared" si="87"/>
        <v/>
      </c>
      <c r="BB165" s="5" t="e">
        <f>IF(BA165="",NA(),COUNTIF(BA165:$BA$193,BA165))</f>
        <v>#N/A</v>
      </c>
      <c r="BC165" s="5" t="e">
        <f t="shared" si="88"/>
        <v>#N/A</v>
      </c>
      <c r="BD165" s="5" t="str">
        <f t="shared" si="97"/>
        <v/>
      </c>
      <c r="BE165" s="5" t="e">
        <f t="shared" si="89"/>
        <v>#N/A</v>
      </c>
      <c r="BF165" s="5" t="str">
        <f t="shared" si="90"/>
        <v/>
      </c>
      <c r="BG165" s="5" t="str">
        <f t="shared" si="91"/>
        <v/>
      </c>
      <c r="BH165" s="5" t="e">
        <f>IF(BG165="",NA(),COUNTIF(BG165:$BG$193,BG165))</f>
        <v>#N/A</v>
      </c>
      <c r="BI165" s="5" t="e">
        <f t="shared" si="92"/>
        <v>#N/A</v>
      </c>
      <c r="BJ165" s="640">
        <v>157</v>
      </c>
      <c r="BK165" s="641"/>
      <c r="BL165" s="642"/>
      <c r="BM165" s="635">
        <v>157</v>
      </c>
      <c r="BN165" s="643"/>
      <c r="BO165" s="87"/>
      <c r="BP165" s="13"/>
      <c r="BR165" s="640">
        <v>157</v>
      </c>
      <c r="BS165" s="641"/>
      <c r="BT165" s="642"/>
      <c r="BU165" s="635">
        <v>157</v>
      </c>
      <c r="BV165" s="643"/>
      <c r="BW165" s="87"/>
      <c r="BX165" s="13"/>
      <c r="BZ165" s="640">
        <v>157</v>
      </c>
      <c r="CA165" s="641"/>
      <c r="CB165" s="642"/>
      <c r="CC165" s="635">
        <v>157</v>
      </c>
      <c r="CD165" s="643"/>
      <c r="CE165" s="87"/>
      <c r="CF165" s="13"/>
    </row>
    <row r="166" spans="1:84" ht="12.75" customHeight="1">
      <c r="A166" s="640">
        <v>158</v>
      </c>
      <c r="B166" s="641"/>
      <c r="C166" s="642"/>
      <c r="D166" s="635">
        <v>158</v>
      </c>
      <c r="E166" s="643"/>
      <c r="F166" s="87"/>
      <c r="G166" s="13"/>
      <c r="J166" s="5" t="e">
        <f t="shared" si="68"/>
        <v>#N/A</v>
      </c>
      <c r="K166" s="5" t="e">
        <f t="shared" si="66"/>
        <v>#N/A</v>
      </c>
      <c r="L166" s="5" t="e">
        <f t="shared" si="69"/>
        <v>#N/A</v>
      </c>
      <c r="M166" s="5" t="e">
        <f t="shared" si="67"/>
        <v>#N/A</v>
      </c>
      <c r="Q166" s="5" t="str">
        <f t="shared" si="70"/>
        <v/>
      </c>
      <c r="R166" s="5" t="e">
        <f>IF(Q166="",NA(),COUNTIF(Q166:$Q$293,Q166))</f>
        <v>#N/A</v>
      </c>
      <c r="S166" s="5" t="e">
        <f t="shared" si="71"/>
        <v>#N/A</v>
      </c>
      <c r="T166" s="5" t="e">
        <f t="shared" si="93"/>
        <v>#N/A</v>
      </c>
      <c r="U166" s="5" t="e">
        <f t="shared" si="72"/>
        <v>#N/A</v>
      </c>
      <c r="V166" s="5" t="e">
        <f t="shared" si="73"/>
        <v>#N/A</v>
      </c>
      <c r="W166" s="5" t="str">
        <f t="shared" si="74"/>
        <v/>
      </c>
      <c r="X166" s="5">
        <v>73</v>
      </c>
      <c r="Y166" s="5" t="str">
        <f t="shared" si="75"/>
        <v/>
      </c>
      <c r="Z166" s="5" t="str">
        <f t="shared" si="76"/>
        <v/>
      </c>
      <c r="AA166" s="5" t="str">
        <f t="shared" si="94"/>
        <v/>
      </c>
      <c r="AB166" s="5" t="str">
        <f t="shared" si="77"/>
        <v/>
      </c>
      <c r="AC166" s="5" t="e">
        <f>IF(AB166="",NA(),COUNTIF(AB166:$AB$293,AB166))</f>
        <v>#N/A</v>
      </c>
      <c r="AD166" s="5" t="e">
        <f t="shared" si="78"/>
        <v>#N/A</v>
      </c>
      <c r="AE166" s="5" t="e">
        <f t="shared" si="95"/>
        <v>#N/A</v>
      </c>
      <c r="AF166" s="5" t="e">
        <f t="shared" si="79"/>
        <v>#N/A</v>
      </c>
      <c r="AG166" s="5" t="e">
        <f t="shared" si="80"/>
        <v>#N/A</v>
      </c>
      <c r="AH166" s="5" t="str">
        <f t="shared" si="81"/>
        <v/>
      </c>
      <c r="AI166" s="5" t="str">
        <f t="shared" si="82"/>
        <v/>
      </c>
      <c r="AJ166" s="5" t="str">
        <f t="shared" si="83"/>
        <v/>
      </c>
      <c r="AK166" s="5" t="str">
        <f t="shared" si="84"/>
        <v/>
      </c>
      <c r="AX166" s="5" t="str">
        <f t="shared" si="96"/>
        <v/>
      </c>
      <c r="AY166" s="5" t="e">
        <f t="shared" si="85"/>
        <v>#N/A</v>
      </c>
      <c r="AZ166" s="5" t="str">
        <f t="shared" si="86"/>
        <v/>
      </c>
      <c r="BA166" s="5" t="str">
        <f t="shared" si="87"/>
        <v/>
      </c>
      <c r="BB166" s="5" t="e">
        <f>IF(BA166="",NA(),COUNTIF(BA166:$BA$193,BA166))</f>
        <v>#N/A</v>
      </c>
      <c r="BC166" s="5" t="e">
        <f t="shared" si="88"/>
        <v>#N/A</v>
      </c>
      <c r="BD166" s="5" t="str">
        <f t="shared" si="97"/>
        <v/>
      </c>
      <c r="BE166" s="5" t="e">
        <f t="shared" si="89"/>
        <v>#N/A</v>
      </c>
      <c r="BF166" s="5" t="str">
        <f t="shared" si="90"/>
        <v/>
      </c>
      <c r="BG166" s="5" t="str">
        <f t="shared" si="91"/>
        <v/>
      </c>
      <c r="BH166" s="5" t="e">
        <f>IF(BG166="",NA(),COUNTIF(BG166:$BG$193,BG166))</f>
        <v>#N/A</v>
      </c>
      <c r="BI166" s="5" t="e">
        <f t="shared" si="92"/>
        <v>#N/A</v>
      </c>
      <c r="BJ166" s="640">
        <v>158</v>
      </c>
      <c r="BK166" s="641"/>
      <c r="BL166" s="642"/>
      <c r="BM166" s="635">
        <v>158</v>
      </c>
      <c r="BN166" s="643"/>
      <c r="BO166" s="87"/>
      <c r="BP166" s="13"/>
      <c r="BR166" s="640">
        <v>158</v>
      </c>
      <c r="BS166" s="641"/>
      <c r="BT166" s="642"/>
      <c r="BU166" s="635">
        <v>158</v>
      </c>
      <c r="BV166" s="643"/>
      <c r="BW166" s="87"/>
      <c r="BX166" s="13"/>
      <c r="BZ166" s="640">
        <v>158</v>
      </c>
      <c r="CA166" s="641"/>
      <c r="CB166" s="642"/>
      <c r="CC166" s="635">
        <v>158</v>
      </c>
      <c r="CD166" s="643"/>
      <c r="CE166" s="87"/>
      <c r="CF166" s="13"/>
    </row>
    <row r="167" spans="1:84" ht="12.75" customHeight="1">
      <c r="A167" s="640">
        <v>159</v>
      </c>
      <c r="B167" s="641"/>
      <c r="C167" s="642"/>
      <c r="D167" s="635">
        <v>159</v>
      </c>
      <c r="E167" s="643"/>
      <c r="F167" s="87"/>
      <c r="G167" s="13"/>
      <c r="J167" s="5" t="e">
        <f t="shared" si="68"/>
        <v>#N/A</v>
      </c>
      <c r="K167" s="5" t="e">
        <f t="shared" si="66"/>
        <v>#N/A</v>
      </c>
      <c r="L167" s="5" t="e">
        <f t="shared" si="69"/>
        <v>#N/A</v>
      </c>
      <c r="M167" s="5" t="e">
        <f t="shared" si="67"/>
        <v>#N/A</v>
      </c>
      <c r="Q167" s="5" t="str">
        <f t="shared" si="70"/>
        <v/>
      </c>
      <c r="R167" s="5" t="e">
        <f>IF(Q167="",NA(),COUNTIF(Q167:$Q$293,Q167))</f>
        <v>#N/A</v>
      </c>
      <c r="S167" s="5" t="e">
        <f t="shared" si="71"/>
        <v>#N/A</v>
      </c>
      <c r="T167" s="5" t="e">
        <f t="shared" si="93"/>
        <v>#N/A</v>
      </c>
      <c r="U167" s="5" t="e">
        <f t="shared" si="72"/>
        <v>#N/A</v>
      </c>
      <c r="V167" s="5" t="e">
        <f t="shared" si="73"/>
        <v>#N/A</v>
      </c>
      <c r="W167" s="5" t="str">
        <f t="shared" si="74"/>
        <v/>
      </c>
      <c r="X167" s="5">
        <v>74</v>
      </c>
      <c r="Y167" s="5" t="str">
        <f t="shared" si="75"/>
        <v/>
      </c>
      <c r="Z167" s="5" t="str">
        <f t="shared" si="76"/>
        <v/>
      </c>
      <c r="AA167" s="5" t="str">
        <f t="shared" si="94"/>
        <v/>
      </c>
      <c r="AB167" s="5" t="str">
        <f t="shared" si="77"/>
        <v/>
      </c>
      <c r="AC167" s="5" t="e">
        <f>IF(AB167="",NA(),COUNTIF(AB167:$AB$293,AB167))</f>
        <v>#N/A</v>
      </c>
      <c r="AD167" s="5" t="e">
        <f t="shared" si="78"/>
        <v>#N/A</v>
      </c>
      <c r="AE167" s="5" t="e">
        <f t="shared" si="95"/>
        <v>#N/A</v>
      </c>
      <c r="AF167" s="5" t="e">
        <f t="shared" si="79"/>
        <v>#N/A</v>
      </c>
      <c r="AG167" s="5" t="e">
        <f t="shared" si="80"/>
        <v>#N/A</v>
      </c>
      <c r="AH167" s="5" t="str">
        <f t="shared" si="81"/>
        <v/>
      </c>
      <c r="AI167" s="5" t="str">
        <f t="shared" si="82"/>
        <v/>
      </c>
      <c r="AJ167" s="5" t="str">
        <f t="shared" si="83"/>
        <v/>
      </c>
      <c r="AK167" s="5" t="str">
        <f t="shared" si="84"/>
        <v/>
      </c>
      <c r="AX167" s="5" t="str">
        <f t="shared" si="96"/>
        <v/>
      </c>
      <c r="AY167" s="5" t="e">
        <f t="shared" si="85"/>
        <v>#N/A</v>
      </c>
      <c r="AZ167" s="5" t="str">
        <f t="shared" si="86"/>
        <v/>
      </c>
      <c r="BA167" s="5" t="str">
        <f t="shared" si="87"/>
        <v/>
      </c>
      <c r="BB167" s="5" t="e">
        <f>IF(BA167="",NA(),COUNTIF(BA167:$BA$193,BA167))</f>
        <v>#N/A</v>
      </c>
      <c r="BC167" s="5" t="e">
        <f t="shared" si="88"/>
        <v>#N/A</v>
      </c>
      <c r="BD167" s="5" t="str">
        <f t="shared" si="97"/>
        <v/>
      </c>
      <c r="BE167" s="5" t="e">
        <f t="shared" si="89"/>
        <v>#N/A</v>
      </c>
      <c r="BF167" s="5" t="str">
        <f t="shared" si="90"/>
        <v/>
      </c>
      <c r="BG167" s="5" t="str">
        <f t="shared" si="91"/>
        <v/>
      </c>
      <c r="BH167" s="5" t="e">
        <f>IF(BG167="",NA(),COUNTIF(BG167:$BG$193,BG167))</f>
        <v>#N/A</v>
      </c>
      <c r="BI167" s="5" t="e">
        <f t="shared" si="92"/>
        <v>#N/A</v>
      </c>
      <c r="BJ167" s="640">
        <v>159</v>
      </c>
      <c r="BK167" s="641"/>
      <c r="BL167" s="642"/>
      <c r="BM167" s="635">
        <v>159</v>
      </c>
      <c r="BN167" s="643"/>
      <c r="BO167" s="87"/>
      <c r="BP167" s="13"/>
      <c r="BR167" s="640">
        <v>159</v>
      </c>
      <c r="BS167" s="641"/>
      <c r="BT167" s="642"/>
      <c r="BU167" s="635">
        <v>159</v>
      </c>
      <c r="BV167" s="643"/>
      <c r="BW167" s="87"/>
      <c r="BX167" s="13"/>
      <c r="BZ167" s="640">
        <v>159</v>
      </c>
      <c r="CA167" s="641"/>
      <c r="CB167" s="642"/>
      <c r="CC167" s="635">
        <v>159</v>
      </c>
      <c r="CD167" s="643"/>
      <c r="CE167" s="87"/>
      <c r="CF167" s="13"/>
    </row>
    <row r="168" spans="1:84" ht="12.75" customHeight="1">
      <c r="A168" s="640">
        <v>160</v>
      </c>
      <c r="B168" s="683"/>
      <c r="C168" s="684"/>
      <c r="D168" s="685">
        <v>160</v>
      </c>
      <c r="E168" s="686"/>
      <c r="F168" s="87"/>
      <c r="G168" s="13"/>
      <c r="J168" s="5" t="e">
        <f t="shared" si="68"/>
        <v>#N/A</v>
      </c>
      <c r="K168" s="5" t="e">
        <f t="shared" si="66"/>
        <v>#N/A</v>
      </c>
      <c r="L168" s="5" t="e">
        <f t="shared" si="69"/>
        <v>#N/A</v>
      </c>
      <c r="M168" s="5" t="e">
        <f t="shared" si="67"/>
        <v>#N/A</v>
      </c>
      <c r="Q168" s="5" t="str">
        <f t="shared" si="70"/>
        <v/>
      </c>
      <c r="R168" s="5" t="e">
        <f>IF(Q168="",NA(),COUNTIF(Q168:$Q$293,Q168))</f>
        <v>#N/A</v>
      </c>
      <c r="S168" s="5" t="e">
        <f t="shared" si="71"/>
        <v>#N/A</v>
      </c>
      <c r="T168" s="5" t="e">
        <f t="shared" si="93"/>
        <v>#N/A</v>
      </c>
      <c r="U168" s="5" t="e">
        <f t="shared" si="72"/>
        <v>#N/A</v>
      </c>
      <c r="V168" s="5" t="e">
        <f t="shared" si="73"/>
        <v>#N/A</v>
      </c>
      <c r="W168" s="5" t="str">
        <f t="shared" si="74"/>
        <v/>
      </c>
      <c r="X168" s="5">
        <v>75</v>
      </c>
      <c r="Y168" s="5" t="str">
        <f t="shared" si="75"/>
        <v/>
      </c>
      <c r="Z168" s="5" t="str">
        <f t="shared" si="76"/>
        <v/>
      </c>
      <c r="AA168" s="5" t="str">
        <f t="shared" si="94"/>
        <v/>
      </c>
      <c r="AB168" s="5" t="str">
        <f t="shared" si="77"/>
        <v/>
      </c>
      <c r="AC168" s="5" t="e">
        <f>IF(AB168="",NA(),COUNTIF(AB168:$AB$293,AB168))</f>
        <v>#N/A</v>
      </c>
      <c r="AD168" s="5" t="e">
        <f t="shared" si="78"/>
        <v>#N/A</v>
      </c>
      <c r="AE168" s="5" t="e">
        <f t="shared" si="95"/>
        <v>#N/A</v>
      </c>
      <c r="AF168" s="5" t="e">
        <f t="shared" si="79"/>
        <v>#N/A</v>
      </c>
      <c r="AG168" s="5" t="e">
        <f t="shared" si="80"/>
        <v>#N/A</v>
      </c>
      <c r="AH168" s="5" t="str">
        <f t="shared" si="81"/>
        <v/>
      </c>
      <c r="AI168" s="5" t="str">
        <f t="shared" si="82"/>
        <v/>
      </c>
      <c r="AJ168" s="5" t="str">
        <f t="shared" si="83"/>
        <v/>
      </c>
      <c r="AK168" s="5" t="str">
        <f t="shared" si="84"/>
        <v/>
      </c>
      <c r="AX168" s="5" t="str">
        <f t="shared" si="96"/>
        <v/>
      </c>
      <c r="AY168" s="5" t="e">
        <f t="shared" si="85"/>
        <v>#N/A</v>
      </c>
      <c r="AZ168" s="5" t="str">
        <f t="shared" si="86"/>
        <v/>
      </c>
      <c r="BA168" s="5" t="str">
        <f t="shared" si="87"/>
        <v/>
      </c>
      <c r="BB168" s="5" t="e">
        <f>IF(BA168="",NA(),COUNTIF(BA168:$BA$193,BA168))</f>
        <v>#N/A</v>
      </c>
      <c r="BC168" s="5" t="e">
        <f t="shared" si="88"/>
        <v>#N/A</v>
      </c>
      <c r="BD168" s="5" t="str">
        <f t="shared" si="97"/>
        <v/>
      </c>
      <c r="BE168" s="5" t="e">
        <f t="shared" si="89"/>
        <v>#N/A</v>
      </c>
      <c r="BF168" s="5" t="str">
        <f t="shared" si="90"/>
        <v/>
      </c>
      <c r="BG168" s="5" t="str">
        <f t="shared" si="91"/>
        <v/>
      </c>
      <c r="BH168" s="5" t="e">
        <f>IF(BG168="",NA(),COUNTIF(BG168:$BG$193,BG168))</f>
        <v>#N/A</v>
      </c>
      <c r="BI168" s="5" t="e">
        <f t="shared" si="92"/>
        <v>#N/A</v>
      </c>
      <c r="BJ168" s="640">
        <v>160</v>
      </c>
      <c r="BK168" s="683"/>
      <c r="BL168" s="684"/>
      <c r="BM168" s="685">
        <v>160</v>
      </c>
      <c r="BN168" s="686"/>
      <c r="BO168" s="87"/>
      <c r="BP168" s="13"/>
      <c r="BR168" s="640">
        <v>160</v>
      </c>
      <c r="BS168" s="683"/>
      <c r="BT168" s="684"/>
      <c r="BU168" s="685">
        <v>160</v>
      </c>
      <c r="BV168" s="686"/>
      <c r="BW168" s="87"/>
      <c r="BX168" s="13"/>
      <c r="BZ168" s="640">
        <v>160</v>
      </c>
      <c r="CA168" s="683"/>
      <c r="CB168" s="684"/>
      <c r="CC168" s="685">
        <v>160</v>
      </c>
      <c r="CD168" s="686"/>
      <c r="CE168" s="87"/>
      <c r="CF168" s="13"/>
    </row>
    <row r="169" spans="1:84" ht="12.75" customHeight="1">
      <c r="A169" s="640">
        <v>161</v>
      </c>
      <c r="B169" s="683"/>
      <c r="C169" s="684"/>
      <c r="D169" s="685">
        <v>161</v>
      </c>
      <c r="E169" s="686"/>
      <c r="F169" s="87"/>
      <c r="G169" s="13"/>
      <c r="J169" s="5" t="e">
        <f t="shared" si="68"/>
        <v>#N/A</v>
      </c>
      <c r="K169" s="5" t="e">
        <f t="shared" si="66"/>
        <v>#N/A</v>
      </c>
      <c r="L169" s="5" t="e">
        <f t="shared" si="69"/>
        <v>#N/A</v>
      </c>
      <c r="M169" s="5" t="e">
        <f t="shared" si="67"/>
        <v>#N/A</v>
      </c>
      <c r="Q169" s="5" t="str">
        <f t="shared" si="70"/>
        <v/>
      </c>
      <c r="R169" s="5" t="e">
        <f>IF(Q169="",NA(),COUNTIF(Q169:$Q$293,Q169))</f>
        <v>#N/A</v>
      </c>
      <c r="S169" s="5" t="e">
        <f t="shared" si="71"/>
        <v>#N/A</v>
      </c>
      <c r="T169" s="5" t="e">
        <f t="shared" si="93"/>
        <v>#N/A</v>
      </c>
      <c r="U169" s="5" t="e">
        <f t="shared" si="72"/>
        <v>#N/A</v>
      </c>
      <c r="V169" s="5" t="e">
        <f t="shared" si="73"/>
        <v>#N/A</v>
      </c>
      <c r="W169" s="5" t="str">
        <f t="shared" si="74"/>
        <v/>
      </c>
      <c r="X169" s="5">
        <v>76</v>
      </c>
      <c r="Y169" s="5" t="str">
        <f t="shared" si="75"/>
        <v/>
      </c>
      <c r="Z169" s="5" t="str">
        <f t="shared" si="76"/>
        <v/>
      </c>
      <c r="AA169" s="5" t="str">
        <f t="shared" si="94"/>
        <v/>
      </c>
      <c r="AB169" s="5" t="str">
        <f t="shared" si="77"/>
        <v/>
      </c>
      <c r="AC169" s="5" t="e">
        <f>IF(AB169="",NA(),COUNTIF(AB169:$AB$293,AB169))</f>
        <v>#N/A</v>
      </c>
      <c r="AD169" s="5" t="e">
        <f t="shared" si="78"/>
        <v>#N/A</v>
      </c>
      <c r="AE169" s="5" t="e">
        <f t="shared" si="95"/>
        <v>#N/A</v>
      </c>
      <c r="AF169" s="5" t="e">
        <f t="shared" si="79"/>
        <v>#N/A</v>
      </c>
      <c r="AG169" s="5" t="e">
        <f t="shared" si="80"/>
        <v>#N/A</v>
      </c>
      <c r="AH169" s="5" t="str">
        <f t="shared" si="81"/>
        <v/>
      </c>
      <c r="AI169" s="5" t="str">
        <f t="shared" si="82"/>
        <v/>
      </c>
      <c r="AJ169" s="5" t="str">
        <f t="shared" si="83"/>
        <v/>
      </c>
      <c r="AK169" s="5" t="str">
        <f t="shared" si="84"/>
        <v/>
      </c>
      <c r="AX169" s="5" t="str">
        <f t="shared" si="96"/>
        <v/>
      </c>
      <c r="AY169" s="5" t="e">
        <f t="shared" si="85"/>
        <v>#N/A</v>
      </c>
      <c r="AZ169" s="5" t="str">
        <f t="shared" si="86"/>
        <v/>
      </c>
      <c r="BA169" s="5" t="str">
        <f t="shared" si="87"/>
        <v/>
      </c>
      <c r="BB169" s="5" t="e">
        <f>IF(BA169="",NA(),COUNTIF(BA169:$BA$193,BA169))</f>
        <v>#N/A</v>
      </c>
      <c r="BC169" s="5" t="e">
        <f t="shared" si="88"/>
        <v>#N/A</v>
      </c>
      <c r="BD169" s="5" t="str">
        <f t="shared" si="97"/>
        <v/>
      </c>
      <c r="BE169" s="5" t="e">
        <f t="shared" si="89"/>
        <v>#N/A</v>
      </c>
      <c r="BF169" s="5" t="str">
        <f t="shared" si="90"/>
        <v/>
      </c>
      <c r="BG169" s="5" t="str">
        <f t="shared" si="91"/>
        <v/>
      </c>
      <c r="BH169" s="5" t="e">
        <f>IF(BG169="",NA(),COUNTIF(BG169:$BG$193,BG169))</f>
        <v>#N/A</v>
      </c>
      <c r="BI169" s="5" t="e">
        <f t="shared" si="92"/>
        <v>#N/A</v>
      </c>
      <c r="BJ169" s="640">
        <v>161</v>
      </c>
      <c r="BK169" s="683"/>
      <c r="BL169" s="684"/>
      <c r="BM169" s="685">
        <v>161</v>
      </c>
      <c r="BN169" s="686"/>
      <c r="BO169" s="87"/>
      <c r="BP169" s="13"/>
      <c r="BR169" s="640">
        <v>161</v>
      </c>
      <c r="BS169" s="683"/>
      <c r="BT169" s="684"/>
      <c r="BU169" s="685">
        <v>161</v>
      </c>
      <c r="BV169" s="686"/>
      <c r="BW169" s="87"/>
      <c r="BX169" s="13"/>
      <c r="BZ169" s="640">
        <v>161</v>
      </c>
      <c r="CA169" s="683"/>
      <c r="CB169" s="684"/>
      <c r="CC169" s="685">
        <v>161</v>
      </c>
      <c r="CD169" s="686"/>
      <c r="CE169" s="87"/>
      <c r="CF169" s="13"/>
    </row>
    <row r="170" spans="1:84" ht="12.75" customHeight="1">
      <c r="A170" s="640">
        <v>162</v>
      </c>
      <c r="B170" s="683"/>
      <c r="C170" s="684"/>
      <c r="D170" s="685">
        <v>162</v>
      </c>
      <c r="E170" s="686"/>
      <c r="F170" s="87"/>
      <c r="G170" s="13"/>
      <c r="J170" s="5" t="e">
        <f t="shared" si="68"/>
        <v>#N/A</v>
      </c>
      <c r="K170" s="5" t="e">
        <f t="shared" si="66"/>
        <v>#N/A</v>
      </c>
      <c r="L170" s="5" t="e">
        <f t="shared" si="69"/>
        <v>#N/A</v>
      </c>
      <c r="M170" s="5" t="e">
        <f t="shared" si="67"/>
        <v>#N/A</v>
      </c>
      <c r="Q170" s="5" t="str">
        <f t="shared" si="70"/>
        <v/>
      </c>
      <c r="R170" s="5" t="e">
        <f>IF(Q170="",NA(),COUNTIF(Q170:$Q$293,Q170))</f>
        <v>#N/A</v>
      </c>
      <c r="S170" s="5" t="e">
        <f t="shared" si="71"/>
        <v>#N/A</v>
      </c>
      <c r="T170" s="5" t="e">
        <f t="shared" si="93"/>
        <v>#N/A</v>
      </c>
      <c r="U170" s="5" t="e">
        <f t="shared" si="72"/>
        <v>#N/A</v>
      </c>
      <c r="V170" s="5" t="e">
        <f t="shared" si="73"/>
        <v>#N/A</v>
      </c>
      <c r="W170" s="5" t="str">
        <f t="shared" si="74"/>
        <v/>
      </c>
      <c r="X170" s="5">
        <v>77</v>
      </c>
      <c r="Y170" s="5" t="str">
        <f t="shared" si="75"/>
        <v/>
      </c>
      <c r="Z170" s="5" t="str">
        <f t="shared" si="76"/>
        <v/>
      </c>
      <c r="AA170" s="5" t="str">
        <f t="shared" si="94"/>
        <v/>
      </c>
      <c r="AB170" s="5" t="str">
        <f t="shared" si="77"/>
        <v/>
      </c>
      <c r="AC170" s="5" t="e">
        <f>IF(AB170="",NA(),COUNTIF(AB170:$AB$293,AB170))</f>
        <v>#N/A</v>
      </c>
      <c r="AD170" s="5" t="e">
        <f t="shared" si="78"/>
        <v>#N/A</v>
      </c>
      <c r="AE170" s="5" t="e">
        <f t="shared" si="95"/>
        <v>#N/A</v>
      </c>
      <c r="AF170" s="5" t="e">
        <f t="shared" si="79"/>
        <v>#N/A</v>
      </c>
      <c r="AG170" s="5" t="e">
        <f t="shared" si="80"/>
        <v>#N/A</v>
      </c>
      <c r="AH170" s="5" t="str">
        <f t="shared" si="81"/>
        <v/>
      </c>
      <c r="AI170" s="5" t="str">
        <f t="shared" si="82"/>
        <v/>
      </c>
      <c r="AJ170" s="5" t="str">
        <f t="shared" si="83"/>
        <v/>
      </c>
      <c r="AK170" s="5" t="str">
        <f t="shared" si="84"/>
        <v/>
      </c>
      <c r="AX170" s="5" t="str">
        <f t="shared" si="96"/>
        <v/>
      </c>
      <c r="AY170" s="5" t="e">
        <f t="shared" si="85"/>
        <v>#N/A</v>
      </c>
      <c r="AZ170" s="5" t="str">
        <f t="shared" si="86"/>
        <v/>
      </c>
      <c r="BA170" s="5" t="str">
        <f t="shared" si="87"/>
        <v/>
      </c>
      <c r="BB170" s="5" t="e">
        <f>IF(BA170="",NA(),COUNTIF(BA170:$BA$193,BA170))</f>
        <v>#N/A</v>
      </c>
      <c r="BC170" s="5" t="e">
        <f t="shared" si="88"/>
        <v>#N/A</v>
      </c>
      <c r="BD170" s="5" t="str">
        <f t="shared" si="97"/>
        <v/>
      </c>
      <c r="BE170" s="5" t="e">
        <f t="shared" si="89"/>
        <v>#N/A</v>
      </c>
      <c r="BF170" s="5" t="str">
        <f t="shared" si="90"/>
        <v/>
      </c>
      <c r="BG170" s="5" t="str">
        <f t="shared" si="91"/>
        <v/>
      </c>
      <c r="BH170" s="5" t="e">
        <f>IF(BG170="",NA(),COUNTIF(BG170:$BG$193,BG170))</f>
        <v>#N/A</v>
      </c>
      <c r="BI170" s="5" t="e">
        <f t="shared" si="92"/>
        <v>#N/A</v>
      </c>
      <c r="BJ170" s="640">
        <v>162</v>
      </c>
      <c r="BK170" s="683"/>
      <c r="BL170" s="684"/>
      <c r="BM170" s="685">
        <v>162</v>
      </c>
      <c r="BN170" s="686"/>
      <c r="BO170" s="87"/>
      <c r="BP170" s="13"/>
      <c r="BR170" s="640">
        <v>162</v>
      </c>
      <c r="BS170" s="683"/>
      <c r="BT170" s="684"/>
      <c r="BU170" s="685">
        <v>162</v>
      </c>
      <c r="BV170" s="686"/>
      <c r="BW170" s="87"/>
      <c r="BX170" s="13"/>
      <c r="BZ170" s="640">
        <v>162</v>
      </c>
      <c r="CA170" s="683"/>
      <c r="CB170" s="684"/>
      <c r="CC170" s="685">
        <v>162</v>
      </c>
      <c r="CD170" s="686"/>
      <c r="CE170" s="87"/>
      <c r="CF170" s="13"/>
    </row>
    <row r="171" spans="1:84" ht="12.75" customHeight="1">
      <c r="A171" s="640">
        <v>163</v>
      </c>
      <c r="B171" s="683"/>
      <c r="C171" s="684"/>
      <c r="D171" s="685">
        <v>163</v>
      </c>
      <c r="E171" s="686"/>
      <c r="F171" s="87"/>
      <c r="G171" s="13"/>
      <c r="J171" s="5" t="e">
        <f t="shared" si="68"/>
        <v>#N/A</v>
      </c>
      <c r="K171" s="5" t="e">
        <f t="shared" si="66"/>
        <v>#N/A</v>
      </c>
      <c r="L171" s="5" t="e">
        <f t="shared" si="69"/>
        <v>#N/A</v>
      </c>
      <c r="M171" s="5" t="e">
        <f t="shared" si="67"/>
        <v>#N/A</v>
      </c>
      <c r="Q171" s="5" t="str">
        <f t="shared" si="70"/>
        <v/>
      </c>
      <c r="R171" s="5" t="e">
        <f>IF(Q171="",NA(),COUNTIF(Q171:$Q$293,Q171))</f>
        <v>#N/A</v>
      </c>
      <c r="S171" s="5" t="e">
        <f t="shared" si="71"/>
        <v>#N/A</v>
      </c>
      <c r="T171" s="5" t="e">
        <f t="shared" si="93"/>
        <v>#N/A</v>
      </c>
      <c r="U171" s="5" t="e">
        <f t="shared" si="72"/>
        <v>#N/A</v>
      </c>
      <c r="V171" s="5" t="e">
        <f t="shared" si="73"/>
        <v>#N/A</v>
      </c>
      <c r="W171" s="5" t="str">
        <f t="shared" si="74"/>
        <v/>
      </c>
      <c r="X171" s="5">
        <v>78</v>
      </c>
      <c r="Y171" s="5" t="str">
        <f t="shared" si="75"/>
        <v/>
      </c>
      <c r="Z171" s="5" t="str">
        <f t="shared" si="76"/>
        <v/>
      </c>
      <c r="AA171" s="5" t="str">
        <f t="shared" si="94"/>
        <v/>
      </c>
      <c r="AB171" s="5" t="str">
        <f t="shared" si="77"/>
        <v/>
      </c>
      <c r="AC171" s="5" t="e">
        <f>IF(AB171="",NA(),COUNTIF(AB171:$AB$293,AB171))</f>
        <v>#N/A</v>
      </c>
      <c r="AD171" s="5" t="e">
        <f t="shared" si="78"/>
        <v>#N/A</v>
      </c>
      <c r="AE171" s="5" t="e">
        <f t="shared" si="95"/>
        <v>#N/A</v>
      </c>
      <c r="AF171" s="5" t="e">
        <f t="shared" si="79"/>
        <v>#N/A</v>
      </c>
      <c r="AG171" s="5" t="e">
        <f t="shared" si="80"/>
        <v>#N/A</v>
      </c>
      <c r="AH171" s="5" t="str">
        <f t="shared" si="81"/>
        <v/>
      </c>
      <c r="AI171" s="5" t="str">
        <f t="shared" si="82"/>
        <v/>
      </c>
      <c r="AJ171" s="5" t="str">
        <f t="shared" si="83"/>
        <v/>
      </c>
      <c r="AK171" s="5" t="str">
        <f t="shared" si="84"/>
        <v/>
      </c>
      <c r="AX171" s="5" t="str">
        <f t="shared" si="96"/>
        <v/>
      </c>
      <c r="AY171" s="5" t="e">
        <f t="shared" si="85"/>
        <v>#N/A</v>
      </c>
      <c r="AZ171" s="5" t="str">
        <f t="shared" si="86"/>
        <v/>
      </c>
      <c r="BA171" s="5" t="str">
        <f t="shared" si="87"/>
        <v/>
      </c>
      <c r="BB171" s="5" t="e">
        <f>IF(BA171="",NA(),COUNTIF(BA171:$BA$193,BA171))</f>
        <v>#N/A</v>
      </c>
      <c r="BC171" s="5" t="e">
        <f t="shared" si="88"/>
        <v>#N/A</v>
      </c>
      <c r="BD171" s="5" t="str">
        <f t="shared" si="97"/>
        <v/>
      </c>
      <c r="BE171" s="5" t="e">
        <f t="shared" si="89"/>
        <v>#N/A</v>
      </c>
      <c r="BF171" s="5" t="str">
        <f t="shared" si="90"/>
        <v/>
      </c>
      <c r="BG171" s="5" t="str">
        <f t="shared" si="91"/>
        <v/>
      </c>
      <c r="BH171" s="5" t="e">
        <f>IF(BG171="",NA(),COUNTIF(BG171:$BG$193,BG171))</f>
        <v>#N/A</v>
      </c>
      <c r="BI171" s="5" t="e">
        <f t="shared" si="92"/>
        <v>#N/A</v>
      </c>
      <c r="BJ171" s="640">
        <v>163</v>
      </c>
      <c r="BK171" s="683"/>
      <c r="BL171" s="684"/>
      <c r="BM171" s="685">
        <v>163</v>
      </c>
      <c r="BN171" s="686"/>
      <c r="BO171" s="87"/>
      <c r="BP171" s="13"/>
      <c r="BR171" s="640">
        <v>163</v>
      </c>
      <c r="BS171" s="683"/>
      <c r="BT171" s="684"/>
      <c r="BU171" s="685">
        <v>163</v>
      </c>
      <c r="BV171" s="686"/>
      <c r="BW171" s="87"/>
      <c r="BX171" s="13"/>
      <c r="BZ171" s="640">
        <v>163</v>
      </c>
      <c r="CA171" s="683"/>
      <c r="CB171" s="684"/>
      <c r="CC171" s="685">
        <v>163</v>
      </c>
      <c r="CD171" s="686"/>
      <c r="CE171" s="87"/>
      <c r="CF171" s="13"/>
    </row>
    <row r="172" spans="1:84" ht="12.75" customHeight="1">
      <c r="A172" s="640">
        <v>164</v>
      </c>
      <c r="B172" s="683"/>
      <c r="C172" s="684"/>
      <c r="D172" s="685">
        <v>164</v>
      </c>
      <c r="E172" s="686"/>
      <c r="F172" s="87"/>
      <c r="G172" s="13"/>
      <c r="J172" s="5" t="e">
        <f t="shared" si="68"/>
        <v>#N/A</v>
      </c>
      <c r="K172" s="5" t="e">
        <f t="shared" si="66"/>
        <v>#N/A</v>
      </c>
      <c r="L172" s="5" t="e">
        <f t="shared" si="69"/>
        <v>#N/A</v>
      </c>
      <c r="M172" s="5" t="e">
        <f t="shared" si="67"/>
        <v>#N/A</v>
      </c>
      <c r="Q172" s="5" t="str">
        <f t="shared" si="70"/>
        <v/>
      </c>
      <c r="R172" s="5" t="e">
        <f>IF(Q172="",NA(),COUNTIF(Q172:$Q$293,Q172))</f>
        <v>#N/A</v>
      </c>
      <c r="S172" s="5" t="e">
        <f t="shared" si="71"/>
        <v>#N/A</v>
      </c>
      <c r="T172" s="5" t="e">
        <f t="shared" si="93"/>
        <v>#N/A</v>
      </c>
      <c r="U172" s="5" t="e">
        <f t="shared" si="72"/>
        <v>#N/A</v>
      </c>
      <c r="V172" s="5" t="e">
        <f t="shared" si="73"/>
        <v>#N/A</v>
      </c>
      <c r="W172" s="5" t="str">
        <f t="shared" si="74"/>
        <v/>
      </c>
      <c r="X172" s="5">
        <v>79</v>
      </c>
      <c r="Y172" s="5" t="str">
        <f t="shared" si="75"/>
        <v/>
      </c>
      <c r="Z172" s="5" t="str">
        <f t="shared" si="76"/>
        <v/>
      </c>
      <c r="AA172" s="5" t="str">
        <f t="shared" si="94"/>
        <v/>
      </c>
      <c r="AB172" s="5" t="str">
        <f t="shared" si="77"/>
        <v/>
      </c>
      <c r="AC172" s="5" t="e">
        <f>IF(AB172="",NA(),COUNTIF(AB172:$AB$293,AB172))</f>
        <v>#N/A</v>
      </c>
      <c r="AD172" s="5" t="e">
        <f t="shared" si="78"/>
        <v>#N/A</v>
      </c>
      <c r="AE172" s="5" t="e">
        <f t="shared" si="95"/>
        <v>#N/A</v>
      </c>
      <c r="AF172" s="5" t="e">
        <f t="shared" si="79"/>
        <v>#N/A</v>
      </c>
      <c r="AG172" s="5" t="e">
        <f t="shared" si="80"/>
        <v>#N/A</v>
      </c>
      <c r="AH172" s="5" t="str">
        <f t="shared" si="81"/>
        <v/>
      </c>
      <c r="AI172" s="5" t="str">
        <f t="shared" si="82"/>
        <v/>
      </c>
      <c r="AJ172" s="5" t="str">
        <f t="shared" si="83"/>
        <v/>
      </c>
      <c r="AK172" s="5" t="str">
        <f t="shared" si="84"/>
        <v/>
      </c>
      <c r="AX172" s="5" t="str">
        <f t="shared" si="96"/>
        <v/>
      </c>
      <c r="AY172" s="5" t="e">
        <f t="shared" si="85"/>
        <v>#N/A</v>
      </c>
      <c r="AZ172" s="5" t="str">
        <f t="shared" si="86"/>
        <v/>
      </c>
      <c r="BA172" s="5" t="str">
        <f t="shared" si="87"/>
        <v/>
      </c>
      <c r="BB172" s="5" t="e">
        <f>IF(BA172="",NA(),COUNTIF(BA172:$BA$193,BA172))</f>
        <v>#N/A</v>
      </c>
      <c r="BC172" s="5" t="e">
        <f t="shared" si="88"/>
        <v>#N/A</v>
      </c>
      <c r="BD172" s="5" t="str">
        <f t="shared" si="97"/>
        <v/>
      </c>
      <c r="BE172" s="5" t="e">
        <f t="shared" si="89"/>
        <v>#N/A</v>
      </c>
      <c r="BF172" s="5" t="str">
        <f t="shared" si="90"/>
        <v/>
      </c>
      <c r="BG172" s="5" t="str">
        <f t="shared" si="91"/>
        <v/>
      </c>
      <c r="BH172" s="5" t="e">
        <f>IF(BG172="",NA(),COUNTIF(BG172:$BG$193,BG172))</f>
        <v>#N/A</v>
      </c>
      <c r="BI172" s="5" t="e">
        <f t="shared" si="92"/>
        <v>#N/A</v>
      </c>
      <c r="BJ172" s="640">
        <v>164</v>
      </c>
      <c r="BK172" s="683"/>
      <c r="BL172" s="684"/>
      <c r="BM172" s="685">
        <v>164</v>
      </c>
      <c r="BN172" s="686"/>
      <c r="BO172" s="87"/>
      <c r="BP172" s="13"/>
      <c r="BR172" s="640">
        <v>164</v>
      </c>
      <c r="BS172" s="683"/>
      <c r="BT172" s="684"/>
      <c r="BU172" s="685">
        <v>164</v>
      </c>
      <c r="BV172" s="686"/>
      <c r="BW172" s="87"/>
      <c r="BX172" s="13"/>
      <c r="BZ172" s="640">
        <v>164</v>
      </c>
      <c r="CA172" s="683"/>
      <c r="CB172" s="684"/>
      <c r="CC172" s="685">
        <v>164</v>
      </c>
      <c r="CD172" s="686"/>
      <c r="CE172" s="87"/>
      <c r="CF172" s="13"/>
    </row>
    <row r="173" spans="1:84" ht="12.75" customHeight="1">
      <c r="A173" s="640">
        <v>165</v>
      </c>
      <c r="B173" s="683"/>
      <c r="C173" s="684"/>
      <c r="D173" s="685">
        <v>165</v>
      </c>
      <c r="E173" s="686"/>
      <c r="F173" s="87"/>
      <c r="G173" s="13"/>
      <c r="J173" s="5" t="e">
        <f t="shared" si="68"/>
        <v>#N/A</v>
      </c>
      <c r="K173" s="5" t="e">
        <f t="shared" si="66"/>
        <v>#N/A</v>
      </c>
      <c r="L173" s="5" t="e">
        <f t="shared" si="69"/>
        <v>#N/A</v>
      </c>
      <c r="M173" s="5" t="e">
        <f t="shared" si="67"/>
        <v>#N/A</v>
      </c>
      <c r="Q173" s="5" t="str">
        <f t="shared" si="70"/>
        <v/>
      </c>
      <c r="R173" s="5" t="e">
        <f>IF(Q173="",NA(),COUNTIF(Q173:$Q$293,Q173))</f>
        <v>#N/A</v>
      </c>
      <c r="S173" s="5" t="e">
        <f t="shared" si="71"/>
        <v>#N/A</v>
      </c>
      <c r="T173" s="5" t="e">
        <f t="shared" si="93"/>
        <v>#N/A</v>
      </c>
      <c r="U173" s="5" t="e">
        <f t="shared" si="72"/>
        <v>#N/A</v>
      </c>
      <c r="V173" s="5" t="e">
        <f t="shared" si="73"/>
        <v>#N/A</v>
      </c>
      <c r="W173" s="5" t="str">
        <f t="shared" si="74"/>
        <v/>
      </c>
      <c r="X173" s="5">
        <v>80</v>
      </c>
      <c r="Y173" s="5" t="str">
        <f t="shared" si="75"/>
        <v/>
      </c>
      <c r="Z173" s="5" t="str">
        <f t="shared" si="76"/>
        <v/>
      </c>
      <c r="AA173" s="5" t="str">
        <f t="shared" si="94"/>
        <v/>
      </c>
      <c r="AB173" s="5" t="str">
        <f t="shared" si="77"/>
        <v/>
      </c>
      <c r="AC173" s="5" t="e">
        <f>IF(AB173="",NA(),COUNTIF(AB173:$AB$293,AB173))</f>
        <v>#N/A</v>
      </c>
      <c r="AD173" s="5" t="e">
        <f t="shared" si="78"/>
        <v>#N/A</v>
      </c>
      <c r="AE173" s="5" t="e">
        <f t="shared" si="95"/>
        <v>#N/A</v>
      </c>
      <c r="AF173" s="5" t="e">
        <f t="shared" si="79"/>
        <v>#N/A</v>
      </c>
      <c r="AG173" s="5" t="e">
        <f t="shared" si="80"/>
        <v>#N/A</v>
      </c>
      <c r="AH173" s="5" t="str">
        <f t="shared" si="81"/>
        <v/>
      </c>
      <c r="AI173" s="5" t="str">
        <f t="shared" si="82"/>
        <v/>
      </c>
      <c r="AJ173" s="5" t="str">
        <f t="shared" si="83"/>
        <v/>
      </c>
      <c r="AK173" s="5" t="str">
        <f t="shared" si="84"/>
        <v/>
      </c>
      <c r="AX173" s="5" t="str">
        <f t="shared" si="96"/>
        <v/>
      </c>
      <c r="AY173" s="5" t="e">
        <f t="shared" si="85"/>
        <v>#N/A</v>
      </c>
      <c r="AZ173" s="5" t="str">
        <f t="shared" si="86"/>
        <v/>
      </c>
      <c r="BA173" s="5" t="str">
        <f t="shared" si="87"/>
        <v/>
      </c>
      <c r="BB173" s="5" t="e">
        <f>IF(BA173="",NA(),COUNTIF(BA173:$BA$193,BA173))</f>
        <v>#N/A</v>
      </c>
      <c r="BC173" s="5" t="e">
        <f t="shared" si="88"/>
        <v>#N/A</v>
      </c>
      <c r="BD173" s="5" t="str">
        <f t="shared" si="97"/>
        <v/>
      </c>
      <c r="BE173" s="5" t="e">
        <f t="shared" si="89"/>
        <v>#N/A</v>
      </c>
      <c r="BF173" s="5" t="str">
        <f t="shared" si="90"/>
        <v/>
      </c>
      <c r="BG173" s="5" t="str">
        <f t="shared" si="91"/>
        <v/>
      </c>
      <c r="BH173" s="5" t="e">
        <f>IF(BG173="",NA(),COUNTIF(BG173:$BG$193,BG173))</f>
        <v>#N/A</v>
      </c>
      <c r="BI173" s="5" t="e">
        <f t="shared" si="92"/>
        <v>#N/A</v>
      </c>
      <c r="BJ173" s="640">
        <v>165</v>
      </c>
      <c r="BK173" s="683"/>
      <c r="BL173" s="684"/>
      <c r="BM173" s="685">
        <v>165</v>
      </c>
      <c r="BN173" s="686"/>
      <c r="BO173" s="87"/>
      <c r="BP173" s="13"/>
      <c r="BR173" s="640">
        <v>165</v>
      </c>
      <c r="BS173" s="683"/>
      <c r="BT173" s="684"/>
      <c r="BU173" s="685">
        <v>165</v>
      </c>
      <c r="BV173" s="686"/>
      <c r="BW173" s="87"/>
      <c r="BX173" s="13"/>
      <c r="BZ173" s="640">
        <v>165</v>
      </c>
      <c r="CA173" s="683"/>
      <c r="CB173" s="684"/>
      <c r="CC173" s="685">
        <v>165</v>
      </c>
      <c r="CD173" s="686"/>
      <c r="CE173" s="87"/>
      <c r="CF173" s="13"/>
    </row>
    <row r="174" spans="1:84" ht="12.75" customHeight="1">
      <c r="A174" s="640">
        <v>166</v>
      </c>
      <c r="B174" s="683"/>
      <c r="C174" s="684"/>
      <c r="D174" s="685">
        <v>166</v>
      </c>
      <c r="E174" s="686"/>
      <c r="F174" s="87"/>
      <c r="G174" s="13"/>
      <c r="J174" s="5" t="e">
        <f t="shared" si="68"/>
        <v>#N/A</v>
      </c>
      <c r="K174" s="5" t="e">
        <f t="shared" si="66"/>
        <v>#N/A</v>
      </c>
      <c r="L174" s="5" t="e">
        <f t="shared" si="69"/>
        <v>#N/A</v>
      </c>
      <c r="M174" s="5" t="e">
        <f t="shared" si="67"/>
        <v>#N/A</v>
      </c>
      <c r="Q174" s="5" t="str">
        <f t="shared" si="70"/>
        <v/>
      </c>
      <c r="R174" s="5" t="e">
        <f>IF(Q174="",NA(),COUNTIF(Q174:$Q$293,Q174))</f>
        <v>#N/A</v>
      </c>
      <c r="S174" s="5" t="e">
        <f t="shared" si="71"/>
        <v>#N/A</v>
      </c>
      <c r="T174" s="5" t="e">
        <f t="shared" si="93"/>
        <v>#N/A</v>
      </c>
      <c r="U174" s="5" t="e">
        <f t="shared" si="72"/>
        <v>#N/A</v>
      </c>
      <c r="V174" s="5" t="e">
        <f t="shared" si="73"/>
        <v>#N/A</v>
      </c>
      <c r="W174" s="5" t="str">
        <f t="shared" si="74"/>
        <v/>
      </c>
      <c r="X174" s="5">
        <v>81</v>
      </c>
      <c r="Y174" s="5" t="str">
        <f t="shared" si="75"/>
        <v/>
      </c>
      <c r="Z174" s="5" t="str">
        <f t="shared" si="76"/>
        <v/>
      </c>
      <c r="AA174" s="5" t="str">
        <f t="shared" si="94"/>
        <v/>
      </c>
      <c r="AB174" s="5" t="str">
        <f t="shared" si="77"/>
        <v/>
      </c>
      <c r="AC174" s="5" t="e">
        <f>IF(AB174="",NA(),COUNTIF(AB174:$AB$293,AB174))</f>
        <v>#N/A</v>
      </c>
      <c r="AD174" s="5" t="e">
        <f t="shared" si="78"/>
        <v>#N/A</v>
      </c>
      <c r="AE174" s="5" t="e">
        <f t="shared" si="95"/>
        <v>#N/A</v>
      </c>
      <c r="AF174" s="5" t="e">
        <f t="shared" si="79"/>
        <v>#N/A</v>
      </c>
      <c r="AG174" s="5" t="e">
        <f t="shared" si="80"/>
        <v>#N/A</v>
      </c>
      <c r="AH174" s="5" t="str">
        <f t="shared" si="81"/>
        <v/>
      </c>
      <c r="AI174" s="5" t="str">
        <f t="shared" si="82"/>
        <v/>
      </c>
      <c r="AJ174" s="5" t="str">
        <f t="shared" si="83"/>
        <v/>
      </c>
      <c r="AK174" s="5" t="str">
        <f t="shared" si="84"/>
        <v/>
      </c>
      <c r="AX174" s="5" t="str">
        <f t="shared" si="96"/>
        <v/>
      </c>
      <c r="AY174" s="5" t="e">
        <f t="shared" si="85"/>
        <v>#N/A</v>
      </c>
      <c r="AZ174" s="5" t="str">
        <f t="shared" si="86"/>
        <v/>
      </c>
      <c r="BA174" s="5" t="str">
        <f t="shared" si="87"/>
        <v/>
      </c>
      <c r="BB174" s="5" t="e">
        <f>IF(BA174="",NA(),COUNTIF(BA174:$BA$193,BA174))</f>
        <v>#N/A</v>
      </c>
      <c r="BC174" s="5" t="e">
        <f t="shared" si="88"/>
        <v>#N/A</v>
      </c>
      <c r="BD174" s="5" t="str">
        <f t="shared" si="97"/>
        <v/>
      </c>
      <c r="BE174" s="5" t="e">
        <f t="shared" si="89"/>
        <v>#N/A</v>
      </c>
      <c r="BF174" s="5" t="str">
        <f t="shared" si="90"/>
        <v/>
      </c>
      <c r="BG174" s="5" t="str">
        <f t="shared" si="91"/>
        <v/>
      </c>
      <c r="BH174" s="5" t="e">
        <f>IF(BG174="",NA(),COUNTIF(BG174:$BG$193,BG174))</f>
        <v>#N/A</v>
      </c>
      <c r="BI174" s="5" t="e">
        <f t="shared" si="92"/>
        <v>#N/A</v>
      </c>
      <c r="BJ174" s="640">
        <v>166</v>
      </c>
      <c r="BK174" s="683"/>
      <c r="BL174" s="684"/>
      <c r="BM174" s="685">
        <v>166</v>
      </c>
      <c r="BN174" s="686"/>
      <c r="BO174" s="87"/>
      <c r="BP174" s="13"/>
      <c r="BR174" s="640">
        <v>166</v>
      </c>
      <c r="BS174" s="683"/>
      <c r="BT174" s="684"/>
      <c r="BU174" s="685">
        <v>166</v>
      </c>
      <c r="BV174" s="686"/>
      <c r="BW174" s="87"/>
      <c r="BX174" s="13"/>
      <c r="BZ174" s="640">
        <v>166</v>
      </c>
      <c r="CA174" s="683"/>
      <c r="CB174" s="684"/>
      <c r="CC174" s="685">
        <v>166</v>
      </c>
      <c r="CD174" s="686"/>
      <c r="CE174" s="87"/>
      <c r="CF174" s="13"/>
    </row>
    <row r="175" spans="1:84" ht="12.75" customHeight="1">
      <c r="A175" s="640">
        <v>167</v>
      </c>
      <c r="B175" s="683"/>
      <c r="C175" s="684"/>
      <c r="D175" s="685">
        <v>167</v>
      </c>
      <c r="E175" s="686"/>
      <c r="F175" s="87"/>
      <c r="G175" s="13"/>
      <c r="J175" s="5" t="e">
        <f t="shared" si="68"/>
        <v>#N/A</v>
      </c>
      <c r="K175" s="5" t="e">
        <f t="shared" si="66"/>
        <v>#N/A</v>
      </c>
      <c r="L175" s="5" t="e">
        <f t="shared" si="69"/>
        <v>#N/A</v>
      </c>
      <c r="M175" s="5" t="e">
        <f t="shared" si="67"/>
        <v>#N/A</v>
      </c>
      <c r="Q175" s="5" t="str">
        <f t="shared" si="70"/>
        <v/>
      </c>
      <c r="R175" s="5" t="e">
        <f>IF(Q175="",NA(),COUNTIF(Q175:$Q$293,Q175))</f>
        <v>#N/A</v>
      </c>
      <c r="S175" s="5" t="e">
        <f t="shared" si="71"/>
        <v>#N/A</v>
      </c>
      <c r="T175" s="5" t="e">
        <f t="shared" si="93"/>
        <v>#N/A</v>
      </c>
      <c r="U175" s="5" t="e">
        <f t="shared" si="72"/>
        <v>#N/A</v>
      </c>
      <c r="V175" s="5" t="e">
        <f t="shared" si="73"/>
        <v>#N/A</v>
      </c>
      <c r="W175" s="5" t="str">
        <f t="shared" si="74"/>
        <v/>
      </c>
      <c r="X175" s="5">
        <v>82</v>
      </c>
      <c r="Y175" s="5" t="str">
        <f t="shared" si="75"/>
        <v/>
      </c>
      <c r="Z175" s="5" t="str">
        <f t="shared" si="76"/>
        <v/>
      </c>
      <c r="AA175" s="5" t="str">
        <f t="shared" si="94"/>
        <v/>
      </c>
      <c r="AB175" s="5" t="str">
        <f t="shared" si="77"/>
        <v/>
      </c>
      <c r="AC175" s="5" t="e">
        <f>IF(AB175="",NA(),COUNTIF(AB175:$AB$293,AB175))</f>
        <v>#N/A</v>
      </c>
      <c r="AD175" s="5" t="e">
        <f t="shared" si="78"/>
        <v>#N/A</v>
      </c>
      <c r="AE175" s="5" t="e">
        <f t="shared" si="95"/>
        <v>#N/A</v>
      </c>
      <c r="AF175" s="5" t="e">
        <f t="shared" si="79"/>
        <v>#N/A</v>
      </c>
      <c r="AG175" s="5" t="e">
        <f t="shared" si="80"/>
        <v>#N/A</v>
      </c>
      <c r="AH175" s="5" t="str">
        <f t="shared" si="81"/>
        <v/>
      </c>
      <c r="AI175" s="5" t="str">
        <f t="shared" si="82"/>
        <v/>
      </c>
      <c r="AJ175" s="5" t="str">
        <f t="shared" si="83"/>
        <v/>
      </c>
      <c r="AK175" s="5" t="str">
        <f t="shared" si="84"/>
        <v/>
      </c>
      <c r="AX175" s="5" t="str">
        <f t="shared" si="96"/>
        <v/>
      </c>
      <c r="AY175" s="5" t="e">
        <f t="shared" si="85"/>
        <v>#N/A</v>
      </c>
      <c r="AZ175" s="5" t="str">
        <f t="shared" si="86"/>
        <v/>
      </c>
      <c r="BA175" s="5" t="str">
        <f t="shared" si="87"/>
        <v/>
      </c>
      <c r="BB175" s="5" t="e">
        <f>IF(BA175="",NA(),COUNTIF(BA175:$BA$193,BA175))</f>
        <v>#N/A</v>
      </c>
      <c r="BC175" s="5" t="e">
        <f t="shared" si="88"/>
        <v>#N/A</v>
      </c>
      <c r="BD175" s="5" t="str">
        <f t="shared" si="97"/>
        <v/>
      </c>
      <c r="BE175" s="5" t="e">
        <f t="shared" si="89"/>
        <v>#N/A</v>
      </c>
      <c r="BF175" s="5" t="str">
        <f t="shared" si="90"/>
        <v/>
      </c>
      <c r="BG175" s="5" t="str">
        <f t="shared" si="91"/>
        <v/>
      </c>
      <c r="BH175" s="5" t="e">
        <f>IF(BG175="",NA(),COUNTIF(BG175:$BG$193,BG175))</f>
        <v>#N/A</v>
      </c>
      <c r="BI175" s="5" t="e">
        <f t="shared" si="92"/>
        <v>#N/A</v>
      </c>
      <c r="BJ175" s="640">
        <v>167</v>
      </c>
      <c r="BK175" s="683"/>
      <c r="BL175" s="684"/>
      <c r="BM175" s="685">
        <v>167</v>
      </c>
      <c r="BN175" s="686"/>
      <c r="BO175" s="87"/>
      <c r="BP175" s="13"/>
      <c r="BR175" s="640">
        <v>167</v>
      </c>
      <c r="BS175" s="683"/>
      <c r="BT175" s="684"/>
      <c r="BU175" s="685">
        <v>167</v>
      </c>
      <c r="BV175" s="686"/>
      <c r="BW175" s="87"/>
      <c r="BX175" s="13"/>
      <c r="BZ175" s="640">
        <v>167</v>
      </c>
      <c r="CA175" s="683"/>
      <c r="CB175" s="684"/>
      <c r="CC175" s="685">
        <v>167</v>
      </c>
      <c r="CD175" s="686"/>
      <c r="CE175" s="87"/>
      <c r="CF175" s="13"/>
    </row>
    <row r="176" spans="1:84" ht="12.75" customHeight="1">
      <c r="A176" s="640">
        <v>168</v>
      </c>
      <c r="B176" s="683"/>
      <c r="C176" s="684"/>
      <c r="D176" s="685">
        <v>168</v>
      </c>
      <c r="E176" s="686"/>
      <c r="F176" s="87"/>
      <c r="G176" s="13"/>
      <c r="J176" s="5" t="e">
        <f t="shared" si="68"/>
        <v>#N/A</v>
      </c>
      <c r="K176" s="5" t="e">
        <f t="shared" si="66"/>
        <v>#N/A</v>
      </c>
      <c r="L176" s="5" t="e">
        <f t="shared" si="69"/>
        <v>#N/A</v>
      </c>
      <c r="M176" s="5" t="e">
        <f t="shared" si="67"/>
        <v>#N/A</v>
      </c>
      <c r="Q176" s="5" t="str">
        <f t="shared" si="70"/>
        <v/>
      </c>
      <c r="R176" s="5" t="e">
        <f>IF(Q176="",NA(),COUNTIF(Q176:$Q$293,Q176))</f>
        <v>#N/A</v>
      </c>
      <c r="S176" s="5" t="e">
        <f t="shared" si="71"/>
        <v>#N/A</v>
      </c>
      <c r="T176" s="5" t="e">
        <f t="shared" si="93"/>
        <v>#N/A</v>
      </c>
      <c r="U176" s="5" t="e">
        <f t="shared" si="72"/>
        <v>#N/A</v>
      </c>
      <c r="V176" s="5" t="e">
        <f t="shared" si="73"/>
        <v>#N/A</v>
      </c>
      <c r="W176" s="5" t="str">
        <f t="shared" si="74"/>
        <v/>
      </c>
      <c r="X176" s="5">
        <v>83</v>
      </c>
      <c r="Y176" s="5" t="str">
        <f t="shared" si="75"/>
        <v/>
      </c>
      <c r="Z176" s="5" t="str">
        <f t="shared" si="76"/>
        <v/>
      </c>
      <c r="AA176" s="5" t="str">
        <f t="shared" si="94"/>
        <v/>
      </c>
      <c r="AB176" s="5" t="str">
        <f t="shared" si="77"/>
        <v/>
      </c>
      <c r="AC176" s="5" t="e">
        <f>IF(AB176="",NA(),COUNTIF(AB176:$AB$293,AB176))</f>
        <v>#N/A</v>
      </c>
      <c r="AD176" s="5" t="e">
        <f t="shared" si="78"/>
        <v>#N/A</v>
      </c>
      <c r="AE176" s="5" t="e">
        <f t="shared" si="95"/>
        <v>#N/A</v>
      </c>
      <c r="AF176" s="5" t="e">
        <f t="shared" si="79"/>
        <v>#N/A</v>
      </c>
      <c r="AG176" s="5" t="e">
        <f t="shared" si="80"/>
        <v>#N/A</v>
      </c>
      <c r="AH176" s="5" t="str">
        <f t="shared" si="81"/>
        <v/>
      </c>
      <c r="AI176" s="5" t="str">
        <f t="shared" si="82"/>
        <v/>
      </c>
      <c r="AJ176" s="5" t="str">
        <f t="shared" si="83"/>
        <v/>
      </c>
      <c r="AK176" s="5" t="str">
        <f t="shared" si="84"/>
        <v/>
      </c>
      <c r="AX176" s="5" t="str">
        <f t="shared" si="96"/>
        <v/>
      </c>
      <c r="AY176" s="5" t="e">
        <f t="shared" si="85"/>
        <v>#N/A</v>
      </c>
      <c r="AZ176" s="5" t="str">
        <f t="shared" si="86"/>
        <v/>
      </c>
      <c r="BA176" s="5" t="str">
        <f t="shared" si="87"/>
        <v/>
      </c>
      <c r="BB176" s="5" t="e">
        <f>IF(BA176="",NA(),COUNTIF(BA176:$BA$193,BA176))</f>
        <v>#N/A</v>
      </c>
      <c r="BC176" s="5" t="e">
        <f t="shared" si="88"/>
        <v>#N/A</v>
      </c>
      <c r="BD176" s="5" t="str">
        <f t="shared" si="97"/>
        <v/>
      </c>
      <c r="BE176" s="5" t="e">
        <f t="shared" si="89"/>
        <v>#N/A</v>
      </c>
      <c r="BF176" s="5" t="str">
        <f t="shared" si="90"/>
        <v/>
      </c>
      <c r="BG176" s="5" t="str">
        <f t="shared" si="91"/>
        <v/>
      </c>
      <c r="BH176" s="5" t="e">
        <f>IF(BG176="",NA(),COUNTIF(BG176:$BG$193,BG176))</f>
        <v>#N/A</v>
      </c>
      <c r="BI176" s="5" t="e">
        <f t="shared" si="92"/>
        <v>#N/A</v>
      </c>
      <c r="BJ176" s="640">
        <v>168</v>
      </c>
      <c r="BK176" s="683"/>
      <c r="BL176" s="684"/>
      <c r="BM176" s="685">
        <v>168</v>
      </c>
      <c r="BN176" s="686"/>
      <c r="BO176" s="87"/>
      <c r="BP176" s="13"/>
      <c r="BR176" s="640">
        <v>168</v>
      </c>
      <c r="BS176" s="683"/>
      <c r="BT176" s="684"/>
      <c r="BU176" s="685">
        <v>168</v>
      </c>
      <c r="BV176" s="686"/>
      <c r="BW176" s="87"/>
      <c r="BX176" s="13"/>
      <c r="BZ176" s="640">
        <v>168</v>
      </c>
      <c r="CA176" s="683"/>
      <c r="CB176" s="684"/>
      <c r="CC176" s="685">
        <v>168</v>
      </c>
      <c r="CD176" s="686"/>
      <c r="CE176" s="87"/>
      <c r="CF176" s="13"/>
    </row>
    <row r="177" spans="1:84" ht="12.75" customHeight="1">
      <c r="A177" s="640">
        <v>169</v>
      </c>
      <c r="B177" s="683"/>
      <c r="C177" s="684"/>
      <c r="D177" s="685">
        <v>169</v>
      </c>
      <c r="E177" s="686"/>
      <c r="F177" s="87"/>
      <c r="G177" s="13"/>
      <c r="J177" s="5" t="e">
        <f t="shared" si="68"/>
        <v>#N/A</v>
      </c>
      <c r="K177" s="5" t="e">
        <f t="shared" si="66"/>
        <v>#N/A</v>
      </c>
      <c r="L177" s="5" t="e">
        <f t="shared" si="69"/>
        <v>#N/A</v>
      </c>
      <c r="M177" s="5" t="e">
        <f t="shared" si="67"/>
        <v>#N/A</v>
      </c>
      <c r="Q177" s="5" t="str">
        <f t="shared" si="70"/>
        <v/>
      </c>
      <c r="R177" s="5" t="e">
        <f>IF(Q177="",NA(),COUNTIF(Q177:$Q$293,Q177))</f>
        <v>#N/A</v>
      </c>
      <c r="S177" s="5" t="e">
        <f t="shared" si="71"/>
        <v>#N/A</v>
      </c>
      <c r="T177" s="5" t="e">
        <f t="shared" si="93"/>
        <v>#N/A</v>
      </c>
      <c r="U177" s="5" t="e">
        <f t="shared" si="72"/>
        <v>#N/A</v>
      </c>
      <c r="V177" s="5" t="e">
        <f t="shared" si="73"/>
        <v>#N/A</v>
      </c>
      <c r="W177" s="5" t="str">
        <f t="shared" si="74"/>
        <v/>
      </c>
      <c r="X177" s="5">
        <v>84</v>
      </c>
      <c r="Y177" s="5" t="str">
        <f t="shared" si="75"/>
        <v/>
      </c>
      <c r="Z177" s="5" t="str">
        <f t="shared" si="76"/>
        <v/>
      </c>
      <c r="AA177" s="5" t="str">
        <f t="shared" si="94"/>
        <v/>
      </c>
      <c r="AB177" s="5" t="str">
        <f t="shared" si="77"/>
        <v/>
      </c>
      <c r="AC177" s="5" t="e">
        <f>IF(AB177="",NA(),COUNTIF(AB177:$AB$293,AB177))</f>
        <v>#N/A</v>
      </c>
      <c r="AD177" s="5" t="e">
        <f t="shared" si="78"/>
        <v>#N/A</v>
      </c>
      <c r="AE177" s="5" t="e">
        <f t="shared" si="95"/>
        <v>#N/A</v>
      </c>
      <c r="AF177" s="5" t="e">
        <f t="shared" si="79"/>
        <v>#N/A</v>
      </c>
      <c r="AG177" s="5" t="e">
        <f t="shared" si="80"/>
        <v>#N/A</v>
      </c>
      <c r="AH177" s="5" t="str">
        <f t="shared" si="81"/>
        <v/>
      </c>
      <c r="AI177" s="5" t="str">
        <f t="shared" si="82"/>
        <v/>
      </c>
      <c r="AJ177" s="5" t="str">
        <f t="shared" si="83"/>
        <v/>
      </c>
      <c r="AK177" s="5" t="str">
        <f t="shared" si="84"/>
        <v/>
      </c>
      <c r="AX177" s="5" t="str">
        <f t="shared" si="96"/>
        <v/>
      </c>
      <c r="AY177" s="5" t="e">
        <f t="shared" si="85"/>
        <v>#N/A</v>
      </c>
      <c r="AZ177" s="5" t="str">
        <f t="shared" si="86"/>
        <v/>
      </c>
      <c r="BA177" s="5" t="str">
        <f t="shared" si="87"/>
        <v/>
      </c>
      <c r="BB177" s="5" t="e">
        <f>IF(BA177="",NA(),COUNTIF(BA177:$BA$193,BA177))</f>
        <v>#N/A</v>
      </c>
      <c r="BC177" s="5" t="e">
        <f t="shared" si="88"/>
        <v>#N/A</v>
      </c>
      <c r="BD177" s="5" t="str">
        <f t="shared" si="97"/>
        <v/>
      </c>
      <c r="BE177" s="5" t="e">
        <f t="shared" si="89"/>
        <v>#N/A</v>
      </c>
      <c r="BF177" s="5" t="str">
        <f t="shared" si="90"/>
        <v/>
      </c>
      <c r="BG177" s="5" t="str">
        <f t="shared" si="91"/>
        <v/>
      </c>
      <c r="BH177" s="5" t="e">
        <f>IF(BG177="",NA(),COUNTIF(BG177:$BG$193,BG177))</f>
        <v>#N/A</v>
      </c>
      <c r="BI177" s="5" t="e">
        <f t="shared" si="92"/>
        <v>#N/A</v>
      </c>
      <c r="BJ177" s="640">
        <v>169</v>
      </c>
      <c r="BK177" s="683"/>
      <c r="BL177" s="684"/>
      <c r="BM177" s="685">
        <v>169</v>
      </c>
      <c r="BN177" s="686"/>
      <c r="BO177" s="87"/>
      <c r="BP177" s="13"/>
      <c r="BR177" s="640">
        <v>169</v>
      </c>
      <c r="BS177" s="683"/>
      <c r="BT177" s="684"/>
      <c r="BU177" s="685">
        <v>169</v>
      </c>
      <c r="BV177" s="686"/>
      <c r="BW177" s="87"/>
      <c r="BX177" s="13"/>
      <c r="BZ177" s="640">
        <v>169</v>
      </c>
      <c r="CA177" s="683"/>
      <c r="CB177" s="684"/>
      <c r="CC177" s="685">
        <v>169</v>
      </c>
      <c r="CD177" s="686"/>
      <c r="CE177" s="87"/>
      <c r="CF177" s="13"/>
    </row>
    <row r="178" spans="1:84" ht="12.75" customHeight="1">
      <c r="A178" s="640">
        <v>170</v>
      </c>
      <c r="B178" s="683"/>
      <c r="C178" s="684"/>
      <c r="D178" s="685">
        <v>170</v>
      </c>
      <c r="E178" s="686"/>
      <c r="F178" s="87"/>
      <c r="G178" s="13"/>
      <c r="J178" s="5" t="e">
        <f t="shared" si="68"/>
        <v>#N/A</v>
      </c>
      <c r="K178" s="5" t="e">
        <f t="shared" si="66"/>
        <v>#N/A</v>
      </c>
      <c r="L178" s="5" t="e">
        <f t="shared" si="69"/>
        <v>#N/A</v>
      </c>
      <c r="M178" s="5" t="e">
        <f t="shared" si="67"/>
        <v>#N/A</v>
      </c>
      <c r="Q178" s="5" t="str">
        <f t="shared" si="70"/>
        <v/>
      </c>
      <c r="R178" s="5" t="e">
        <f>IF(Q178="",NA(),COUNTIF(Q178:$Q$293,Q178))</f>
        <v>#N/A</v>
      </c>
      <c r="S178" s="5" t="e">
        <f t="shared" si="71"/>
        <v>#N/A</v>
      </c>
      <c r="T178" s="5" t="e">
        <f t="shared" si="93"/>
        <v>#N/A</v>
      </c>
      <c r="U178" s="5" t="e">
        <f t="shared" si="72"/>
        <v>#N/A</v>
      </c>
      <c r="V178" s="5" t="e">
        <f t="shared" si="73"/>
        <v>#N/A</v>
      </c>
      <c r="W178" s="5" t="str">
        <f t="shared" si="74"/>
        <v/>
      </c>
      <c r="X178" s="5">
        <v>85</v>
      </c>
      <c r="Y178" s="5" t="str">
        <f t="shared" si="75"/>
        <v/>
      </c>
      <c r="Z178" s="5" t="str">
        <f t="shared" si="76"/>
        <v/>
      </c>
      <c r="AA178" s="5" t="str">
        <f t="shared" si="94"/>
        <v/>
      </c>
      <c r="AB178" s="5" t="str">
        <f t="shared" si="77"/>
        <v/>
      </c>
      <c r="AC178" s="5" t="e">
        <f>IF(AB178="",NA(),COUNTIF(AB178:$AB$293,AB178))</f>
        <v>#N/A</v>
      </c>
      <c r="AD178" s="5" t="e">
        <f t="shared" si="78"/>
        <v>#N/A</v>
      </c>
      <c r="AE178" s="5" t="e">
        <f t="shared" si="95"/>
        <v>#N/A</v>
      </c>
      <c r="AF178" s="5" t="e">
        <f t="shared" si="79"/>
        <v>#N/A</v>
      </c>
      <c r="AG178" s="5" t="e">
        <f t="shared" si="80"/>
        <v>#N/A</v>
      </c>
      <c r="AH178" s="5" t="str">
        <f t="shared" si="81"/>
        <v/>
      </c>
      <c r="AI178" s="5" t="str">
        <f t="shared" si="82"/>
        <v/>
      </c>
      <c r="AJ178" s="5" t="str">
        <f t="shared" si="83"/>
        <v/>
      </c>
      <c r="AK178" s="5" t="str">
        <f t="shared" si="84"/>
        <v/>
      </c>
      <c r="AX178" s="5" t="str">
        <f t="shared" si="96"/>
        <v/>
      </c>
      <c r="AY178" s="5" t="e">
        <f t="shared" si="85"/>
        <v>#N/A</v>
      </c>
      <c r="AZ178" s="5" t="str">
        <f t="shared" si="86"/>
        <v/>
      </c>
      <c r="BA178" s="5" t="str">
        <f t="shared" si="87"/>
        <v/>
      </c>
      <c r="BB178" s="5" t="e">
        <f>IF(BA178="",NA(),COUNTIF(BA178:$BA$193,BA178))</f>
        <v>#N/A</v>
      </c>
      <c r="BC178" s="5" t="e">
        <f t="shared" si="88"/>
        <v>#N/A</v>
      </c>
      <c r="BD178" s="5" t="str">
        <f t="shared" si="97"/>
        <v/>
      </c>
      <c r="BE178" s="5" t="e">
        <f t="shared" si="89"/>
        <v>#N/A</v>
      </c>
      <c r="BF178" s="5" t="str">
        <f t="shared" si="90"/>
        <v/>
      </c>
      <c r="BG178" s="5" t="str">
        <f t="shared" si="91"/>
        <v/>
      </c>
      <c r="BH178" s="5" t="e">
        <f>IF(BG178="",NA(),COUNTIF(BG178:$BG$193,BG178))</f>
        <v>#N/A</v>
      </c>
      <c r="BI178" s="5" t="e">
        <f t="shared" si="92"/>
        <v>#N/A</v>
      </c>
      <c r="BJ178" s="640">
        <v>170</v>
      </c>
      <c r="BK178" s="683"/>
      <c r="BL178" s="684"/>
      <c r="BM178" s="685">
        <v>170</v>
      </c>
      <c r="BN178" s="686"/>
      <c r="BO178" s="87"/>
      <c r="BP178" s="13"/>
      <c r="BR178" s="640">
        <v>170</v>
      </c>
      <c r="BS178" s="683"/>
      <c r="BT178" s="684"/>
      <c r="BU178" s="685">
        <v>170</v>
      </c>
      <c r="BV178" s="686"/>
      <c r="BW178" s="87"/>
      <c r="BX178" s="13"/>
      <c r="BZ178" s="640">
        <v>170</v>
      </c>
      <c r="CA178" s="683"/>
      <c r="CB178" s="684"/>
      <c r="CC178" s="685">
        <v>170</v>
      </c>
      <c r="CD178" s="686"/>
      <c r="CE178" s="87"/>
      <c r="CF178" s="13"/>
    </row>
    <row r="179" spans="1:84" ht="12.75" customHeight="1">
      <c r="A179" s="640">
        <v>171</v>
      </c>
      <c r="B179" s="683"/>
      <c r="C179" s="684"/>
      <c r="D179" s="685">
        <v>171</v>
      </c>
      <c r="E179" s="686"/>
      <c r="F179" s="87"/>
      <c r="G179" s="13"/>
      <c r="J179" s="5" t="e">
        <f t="shared" si="68"/>
        <v>#N/A</v>
      </c>
      <c r="K179" s="5" t="e">
        <f t="shared" si="66"/>
        <v>#N/A</v>
      </c>
      <c r="L179" s="5" t="e">
        <f t="shared" si="69"/>
        <v>#N/A</v>
      </c>
      <c r="M179" s="5" t="e">
        <f t="shared" si="67"/>
        <v>#N/A</v>
      </c>
      <c r="Q179" s="5" t="str">
        <f t="shared" si="70"/>
        <v/>
      </c>
      <c r="R179" s="5" t="e">
        <f>IF(Q179="",NA(),COUNTIF(Q179:$Q$293,Q179))</f>
        <v>#N/A</v>
      </c>
      <c r="S179" s="5" t="e">
        <f t="shared" si="71"/>
        <v>#N/A</v>
      </c>
      <c r="T179" s="5" t="e">
        <f t="shared" si="93"/>
        <v>#N/A</v>
      </c>
      <c r="U179" s="5" t="e">
        <f t="shared" si="72"/>
        <v>#N/A</v>
      </c>
      <c r="V179" s="5" t="e">
        <f t="shared" si="73"/>
        <v>#N/A</v>
      </c>
      <c r="W179" s="5" t="str">
        <f t="shared" si="74"/>
        <v/>
      </c>
      <c r="X179" s="5">
        <v>86</v>
      </c>
      <c r="Y179" s="5" t="str">
        <f t="shared" si="75"/>
        <v/>
      </c>
      <c r="Z179" s="5" t="str">
        <f t="shared" si="76"/>
        <v/>
      </c>
      <c r="AA179" s="5" t="str">
        <f t="shared" si="94"/>
        <v/>
      </c>
      <c r="AB179" s="5" t="str">
        <f t="shared" si="77"/>
        <v/>
      </c>
      <c r="AC179" s="5" t="e">
        <f>IF(AB179="",NA(),COUNTIF(AB179:$AB$293,AB179))</f>
        <v>#N/A</v>
      </c>
      <c r="AD179" s="5" t="e">
        <f t="shared" si="78"/>
        <v>#N/A</v>
      </c>
      <c r="AE179" s="5" t="e">
        <f t="shared" si="95"/>
        <v>#N/A</v>
      </c>
      <c r="AF179" s="5" t="e">
        <f t="shared" si="79"/>
        <v>#N/A</v>
      </c>
      <c r="AG179" s="5" t="e">
        <f t="shared" si="80"/>
        <v>#N/A</v>
      </c>
      <c r="AH179" s="5" t="str">
        <f t="shared" si="81"/>
        <v/>
      </c>
      <c r="AI179" s="5" t="str">
        <f t="shared" si="82"/>
        <v/>
      </c>
      <c r="AJ179" s="5" t="str">
        <f t="shared" si="83"/>
        <v/>
      </c>
      <c r="AK179" s="5" t="str">
        <f t="shared" si="84"/>
        <v/>
      </c>
      <c r="AX179" s="5" t="str">
        <f t="shared" si="96"/>
        <v/>
      </c>
      <c r="AY179" s="5" t="e">
        <f t="shared" si="85"/>
        <v>#N/A</v>
      </c>
      <c r="AZ179" s="5" t="str">
        <f t="shared" si="86"/>
        <v/>
      </c>
      <c r="BA179" s="5" t="str">
        <f t="shared" si="87"/>
        <v/>
      </c>
      <c r="BB179" s="5" t="e">
        <f>IF(BA179="",NA(),COUNTIF(BA179:$BA$193,BA179))</f>
        <v>#N/A</v>
      </c>
      <c r="BC179" s="5" t="e">
        <f t="shared" si="88"/>
        <v>#N/A</v>
      </c>
      <c r="BD179" s="5" t="str">
        <f t="shared" si="97"/>
        <v/>
      </c>
      <c r="BE179" s="5" t="e">
        <f t="shared" si="89"/>
        <v>#N/A</v>
      </c>
      <c r="BF179" s="5" t="str">
        <f t="shared" si="90"/>
        <v/>
      </c>
      <c r="BG179" s="5" t="str">
        <f t="shared" si="91"/>
        <v/>
      </c>
      <c r="BH179" s="5" t="e">
        <f>IF(BG179="",NA(),COUNTIF(BG179:$BG$193,BG179))</f>
        <v>#N/A</v>
      </c>
      <c r="BI179" s="5" t="e">
        <f t="shared" si="92"/>
        <v>#N/A</v>
      </c>
      <c r="BJ179" s="640">
        <v>171</v>
      </c>
      <c r="BK179" s="683"/>
      <c r="BL179" s="684"/>
      <c r="BM179" s="685">
        <v>171</v>
      </c>
      <c r="BN179" s="686"/>
      <c r="BO179" s="87"/>
      <c r="BP179" s="13"/>
      <c r="BR179" s="640">
        <v>171</v>
      </c>
      <c r="BS179" s="683"/>
      <c r="BT179" s="684"/>
      <c r="BU179" s="685">
        <v>171</v>
      </c>
      <c r="BV179" s="686"/>
      <c r="BW179" s="87"/>
      <c r="BX179" s="13"/>
      <c r="BZ179" s="640">
        <v>171</v>
      </c>
      <c r="CA179" s="683"/>
      <c r="CB179" s="684"/>
      <c r="CC179" s="685">
        <v>171</v>
      </c>
      <c r="CD179" s="686"/>
      <c r="CE179" s="87"/>
      <c r="CF179" s="13"/>
    </row>
    <row r="180" spans="1:84" ht="12.75" customHeight="1">
      <c r="A180" s="640">
        <v>172</v>
      </c>
      <c r="B180" s="683"/>
      <c r="C180" s="684"/>
      <c r="D180" s="685">
        <v>172</v>
      </c>
      <c r="E180" s="686"/>
      <c r="F180" s="87"/>
      <c r="G180" s="13"/>
      <c r="J180" s="5" t="e">
        <f t="shared" si="68"/>
        <v>#N/A</v>
      </c>
      <c r="K180" s="5" t="e">
        <f t="shared" si="66"/>
        <v>#N/A</v>
      </c>
      <c r="L180" s="5" t="e">
        <f t="shared" si="69"/>
        <v>#N/A</v>
      </c>
      <c r="M180" s="5" t="e">
        <f t="shared" si="67"/>
        <v>#N/A</v>
      </c>
      <c r="Q180" s="5" t="str">
        <f t="shared" si="70"/>
        <v/>
      </c>
      <c r="R180" s="5" t="e">
        <f>IF(Q180="",NA(),COUNTIF(Q180:$Q$293,Q180))</f>
        <v>#N/A</v>
      </c>
      <c r="S180" s="5" t="e">
        <f t="shared" si="71"/>
        <v>#N/A</v>
      </c>
      <c r="T180" s="5" t="e">
        <f t="shared" si="93"/>
        <v>#N/A</v>
      </c>
      <c r="U180" s="5" t="e">
        <f t="shared" si="72"/>
        <v>#N/A</v>
      </c>
      <c r="V180" s="5" t="e">
        <f t="shared" si="73"/>
        <v>#N/A</v>
      </c>
      <c r="W180" s="5" t="str">
        <f t="shared" si="74"/>
        <v/>
      </c>
      <c r="X180" s="5">
        <v>87</v>
      </c>
      <c r="Y180" s="5" t="str">
        <f t="shared" si="75"/>
        <v/>
      </c>
      <c r="Z180" s="5" t="str">
        <f t="shared" si="76"/>
        <v/>
      </c>
      <c r="AA180" s="5" t="str">
        <f t="shared" si="94"/>
        <v/>
      </c>
      <c r="AB180" s="5" t="str">
        <f t="shared" si="77"/>
        <v/>
      </c>
      <c r="AC180" s="5" t="e">
        <f>IF(AB180="",NA(),COUNTIF(AB180:$AB$293,AB180))</f>
        <v>#N/A</v>
      </c>
      <c r="AD180" s="5" t="e">
        <f t="shared" si="78"/>
        <v>#N/A</v>
      </c>
      <c r="AE180" s="5" t="e">
        <f t="shared" si="95"/>
        <v>#N/A</v>
      </c>
      <c r="AF180" s="5" t="e">
        <f t="shared" si="79"/>
        <v>#N/A</v>
      </c>
      <c r="AG180" s="5" t="e">
        <f t="shared" si="80"/>
        <v>#N/A</v>
      </c>
      <c r="AH180" s="5" t="str">
        <f t="shared" si="81"/>
        <v/>
      </c>
      <c r="AI180" s="5" t="str">
        <f t="shared" si="82"/>
        <v/>
      </c>
      <c r="AJ180" s="5" t="str">
        <f t="shared" si="83"/>
        <v/>
      </c>
      <c r="AK180" s="5" t="str">
        <f t="shared" si="84"/>
        <v/>
      </c>
      <c r="AX180" s="5" t="str">
        <f t="shared" si="96"/>
        <v/>
      </c>
      <c r="AY180" s="5" t="e">
        <f t="shared" si="85"/>
        <v>#N/A</v>
      </c>
      <c r="AZ180" s="5" t="str">
        <f t="shared" si="86"/>
        <v/>
      </c>
      <c r="BA180" s="5" t="str">
        <f t="shared" si="87"/>
        <v/>
      </c>
      <c r="BB180" s="5" t="e">
        <f>IF(BA180="",NA(),COUNTIF(BA180:$BA$193,BA180))</f>
        <v>#N/A</v>
      </c>
      <c r="BC180" s="5" t="e">
        <f t="shared" si="88"/>
        <v>#N/A</v>
      </c>
      <c r="BD180" s="5" t="str">
        <f t="shared" si="97"/>
        <v/>
      </c>
      <c r="BE180" s="5" t="e">
        <f t="shared" si="89"/>
        <v>#N/A</v>
      </c>
      <c r="BF180" s="5" t="str">
        <f t="shared" si="90"/>
        <v/>
      </c>
      <c r="BG180" s="5" t="str">
        <f t="shared" si="91"/>
        <v/>
      </c>
      <c r="BH180" s="5" t="e">
        <f>IF(BG180="",NA(),COUNTIF(BG180:$BG$193,BG180))</f>
        <v>#N/A</v>
      </c>
      <c r="BI180" s="5" t="e">
        <f t="shared" si="92"/>
        <v>#N/A</v>
      </c>
      <c r="BJ180" s="640">
        <v>172</v>
      </c>
      <c r="BK180" s="683"/>
      <c r="BL180" s="684"/>
      <c r="BM180" s="685">
        <v>172</v>
      </c>
      <c r="BN180" s="686"/>
      <c r="BO180" s="87"/>
      <c r="BP180" s="13"/>
      <c r="BR180" s="640">
        <v>172</v>
      </c>
      <c r="BS180" s="683"/>
      <c r="BT180" s="684"/>
      <c r="BU180" s="685">
        <v>172</v>
      </c>
      <c r="BV180" s="686"/>
      <c r="BW180" s="87"/>
      <c r="BX180" s="13"/>
      <c r="BZ180" s="640">
        <v>172</v>
      </c>
      <c r="CA180" s="683"/>
      <c r="CB180" s="684"/>
      <c r="CC180" s="685">
        <v>172</v>
      </c>
      <c r="CD180" s="686"/>
      <c r="CE180" s="87"/>
      <c r="CF180" s="13"/>
    </row>
    <row r="181" spans="1:84" ht="12.75" customHeight="1">
      <c r="A181" s="640">
        <v>173</v>
      </c>
      <c r="B181" s="683"/>
      <c r="C181" s="684"/>
      <c r="D181" s="685">
        <v>173</v>
      </c>
      <c r="E181" s="686"/>
      <c r="F181" s="87"/>
      <c r="G181" s="13"/>
      <c r="J181" s="5" t="e">
        <f t="shared" si="68"/>
        <v>#N/A</v>
      </c>
      <c r="K181" s="5" t="e">
        <f t="shared" si="66"/>
        <v>#N/A</v>
      </c>
      <c r="L181" s="5" t="e">
        <f t="shared" si="69"/>
        <v>#N/A</v>
      </c>
      <c r="M181" s="5" t="e">
        <f t="shared" si="67"/>
        <v>#N/A</v>
      </c>
      <c r="Q181" s="5" t="str">
        <f t="shared" si="70"/>
        <v/>
      </c>
      <c r="R181" s="5" t="e">
        <f>IF(Q181="",NA(),COUNTIF(Q181:$Q$293,Q181))</f>
        <v>#N/A</v>
      </c>
      <c r="S181" s="5" t="e">
        <f t="shared" si="71"/>
        <v>#N/A</v>
      </c>
      <c r="T181" s="5" t="e">
        <f t="shared" si="93"/>
        <v>#N/A</v>
      </c>
      <c r="U181" s="5" t="e">
        <f t="shared" si="72"/>
        <v>#N/A</v>
      </c>
      <c r="V181" s="5" t="e">
        <f t="shared" si="73"/>
        <v>#N/A</v>
      </c>
      <c r="W181" s="5" t="str">
        <f t="shared" si="74"/>
        <v/>
      </c>
      <c r="X181" s="5">
        <v>88</v>
      </c>
      <c r="Y181" s="5" t="str">
        <f t="shared" si="75"/>
        <v/>
      </c>
      <c r="Z181" s="5" t="str">
        <f t="shared" si="76"/>
        <v/>
      </c>
      <c r="AA181" s="5" t="str">
        <f t="shared" si="94"/>
        <v/>
      </c>
      <c r="AB181" s="5" t="str">
        <f t="shared" si="77"/>
        <v/>
      </c>
      <c r="AC181" s="5" t="e">
        <f>IF(AB181="",NA(),COUNTIF(AB181:$AB$293,AB181))</f>
        <v>#N/A</v>
      </c>
      <c r="AD181" s="5" t="e">
        <f t="shared" si="78"/>
        <v>#N/A</v>
      </c>
      <c r="AE181" s="5" t="e">
        <f t="shared" si="95"/>
        <v>#N/A</v>
      </c>
      <c r="AF181" s="5" t="e">
        <f t="shared" si="79"/>
        <v>#N/A</v>
      </c>
      <c r="AG181" s="5" t="e">
        <f t="shared" si="80"/>
        <v>#N/A</v>
      </c>
      <c r="AH181" s="5" t="str">
        <f t="shared" si="81"/>
        <v/>
      </c>
      <c r="AI181" s="5" t="str">
        <f t="shared" si="82"/>
        <v/>
      </c>
      <c r="AJ181" s="5" t="str">
        <f t="shared" si="83"/>
        <v/>
      </c>
      <c r="AK181" s="5" t="str">
        <f t="shared" si="84"/>
        <v/>
      </c>
      <c r="AX181" s="5" t="str">
        <f t="shared" si="96"/>
        <v/>
      </c>
      <c r="AY181" s="5" t="e">
        <f t="shared" si="85"/>
        <v>#N/A</v>
      </c>
      <c r="AZ181" s="5" t="str">
        <f t="shared" si="86"/>
        <v/>
      </c>
      <c r="BA181" s="5" t="str">
        <f t="shared" si="87"/>
        <v/>
      </c>
      <c r="BB181" s="5" t="e">
        <f>IF(BA181="",NA(),COUNTIF(BA181:$BA$193,BA181))</f>
        <v>#N/A</v>
      </c>
      <c r="BC181" s="5" t="e">
        <f t="shared" si="88"/>
        <v>#N/A</v>
      </c>
      <c r="BD181" s="5" t="str">
        <f t="shared" si="97"/>
        <v/>
      </c>
      <c r="BE181" s="5" t="e">
        <f t="shared" si="89"/>
        <v>#N/A</v>
      </c>
      <c r="BF181" s="5" t="str">
        <f t="shared" si="90"/>
        <v/>
      </c>
      <c r="BG181" s="5" t="str">
        <f t="shared" si="91"/>
        <v/>
      </c>
      <c r="BH181" s="5" t="e">
        <f>IF(BG181="",NA(),COUNTIF(BG181:$BG$193,BG181))</f>
        <v>#N/A</v>
      </c>
      <c r="BI181" s="5" t="e">
        <f t="shared" si="92"/>
        <v>#N/A</v>
      </c>
      <c r="BJ181" s="640">
        <v>173</v>
      </c>
      <c r="BK181" s="683"/>
      <c r="BL181" s="684"/>
      <c r="BM181" s="685">
        <v>173</v>
      </c>
      <c r="BN181" s="686"/>
      <c r="BO181" s="87"/>
      <c r="BP181" s="13"/>
      <c r="BR181" s="640">
        <v>173</v>
      </c>
      <c r="BS181" s="683"/>
      <c r="BT181" s="684"/>
      <c r="BU181" s="685">
        <v>173</v>
      </c>
      <c r="BV181" s="686"/>
      <c r="BW181" s="87"/>
      <c r="BX181" s="13"/>
      <c r="BZ181" s="640">
        <v>173</v>
      </c>
      <c r="CA181" s="683"/>
      <c r="CB181" s="684"/>
      <c r="CC181" s="685">
        <v>173</v>
      </c>
      <c r="CD181" s="686"/>
      <c r="CE181" s="87"/>
      <c r="CF181" s="13"/>
    </row>
    <row r="182" spans="1:84" ht="12.75" customHeight="1">
      <c r="A182" s="640">
        <v>174</v>
      </c>
      <c r="B182" s="683"/>
      <c r="C182" s="684"/>
      <c r="D182" s="685">
        <v>174</v>
      </c>
      <c r="E182" s="686"/>
      <c r="F182" s="87"/>
      <c r="G182" s="13"/>
      <c r="J182" s="5" t="e">
        <f t="shared" si="68"/>
        <v>#N/A</v>
      </c>
      <c r="K182" s="5" t="e">
        <f t="shared" si="66"/>
        <v>#N/A</v>
      </c>
      <c r="L182" s="5" t="e">
        <f t="shared" si="69"/>
        <v>#N/A</v>
      </c>
      <c r="M182" s="5" t="e">
        <f t="shared" si="67"/>
        <v>#N/A</v>
      </c>
      <c r="Q182" s="5" t="str">
        <f t="shared" si="70"/>
        <v/>
      </c>
      <c r="R182" s="5" t="e">
        <f>IF(Q182="",NA(),COUNTIF(Q182:$Q$293,Q182))</f>
        <v>#N/A</v>
      </c>
      <c r="S182" s="5" t="e">
        <f t="shared" si="71"/>
        <v>#N/A</v>
      </c>
      <c r="T182" s="5" t="e">
        <f t="shared" si="93"/>
        <v>#N/A</v>
      </c>
      <c r="U182" s="5" t="e">
        <f t="shared" si="72"/>
        <v>#N/A</v>
      </c>
      <c r="V182" s="5" t="e">
        <f t="shared" si="73"/>
        <v>#N/A</v>
      </c>
      <c r="W182" s="5" t="str">
        <f t="shared" si="74"/>
        <v/>
      </c>
      <c r="X182" s="5">
        <v>89</v>
      </c>
      <c r="Y182" s="5" t="str">
        <f t="shared" si="75"/>
        <v/>
      </c>
      <c r="Z182" s="5" t="str">
        <f t="shared" si="76"/>
        <v/>
      </c>
      <c r="AA182" s="5" t="str">
        <f t="shared" si="94"/>
        <v/>
      </c>
      <c r="AB182" s="5" t="str">
        <f t="shared" si="77"/>
        <v/>
      </c>
      <c r="AC182" s="5" t="e">
        <f>IF(AB182="",NA(),COUNTIF(AB182:$AB$293,AB182))</f>
        <v>#N/A</v>
      </c>
      <c r="AD182" s="5" t="e">
        <f t="shared" si="78"/>
        <v>#N/A</v>
      </c>
      <c r="AE182" s="5" t="e">
        <f t="shared" si="95"/>
        <v>#N/A</v>
      </c>
      <c r="AF182" s="5" t="e">
        <f t="shared" si="79"/>
        <v>#N/A</v>
      </c>
      <c r="AG182" s="5" t="e">
        <f t="shared" si="80"/>
        <v>#N/A</v>
      </c>
      <c r="AH182" s="5" t="str">
        <f t="shared" si="81"/>
        <v/>
      </c>
      <c r="AI182" s="5" t="str">
        <f t="shared" si="82"/>
        <v/>
      </c>
      <c r="AJ182" s="5" t="str">
        <f t="shared" si="83"/>
        <v/>
      </c>
      <c r="AK182" s="5" t="str">
        <f t="shared" si="84"/>
        <v/>
      </c>
      <c r="AX182" s="5" t="str">
        <f t="shared" si="96"/>
        <v/>
      </c>
      <c r="AY182" s="5" t="e">
        <f t="shared" si="85"/>
        <v>#N/A</v>
      </c>
      <c r="AZ182" s="5" t="str">
        <f t="shared" si="86"/>
        <v/>
      </c>
      <c r="BA182" s="5" t="str">
        <f t="shared" si="87"/>
        <v/>
      </c>
      <c r="BB182" s="5" t="e">
        <f>IF(BA182="",NA(),COUNTIF(BA182:$BA$193,BA182))</f>
        <v>#N/A</v>
      </c>
      <c r="BC182" s="5" t="e">
        <f t="shared" si="88"/>
        <v>#N/A</v>
      </c>
      <c r="BD182" s="5" t="str">
        <f t="shared" si="97"/>
        <v/>
      </c>
      <c r="BE182" s="5" t="e">
        <f t="shared" si="89"/>
        <v>#N/A</v>
      </c>
      <c r="BF182" s="5" t="str">
        <f t="shared" si="90"/>
        <v/>
      </c>
      <c r="BG182" s="5" t="str">
        <f t="shared" si="91"/>
        <v/>
      </c>
      <c r="BH182" s="5" t="e">
        <f>IF(BG182="",NA(),COUNTIF(BG182:$BG$193,BG182))</f>
        <v>#N/A</v>
      </c>
      <c r="BI182" s="5" t="e">
        <f t="shared" si="92"/>
        <v>#N/A</v>
      </c>
      <c r="BJ182" s="640">
        <v>174</v>
      </c>
      <c r="BK182" s="683"/>
      <c r="BL182" s="684"/>
      <c r="BM182" s="685">
        <v>174</v>
      </c>
      <c r="BN182" s="686"/>
      <c r="BO182" s="87"/>
      <c r="BP182" s="13"/>
      <c r="BR182" s="640">
        <v>174</v>
      </c>
      <c r="BS182" s="683"/>
      <c r="BT182" s="684"/>
      <c r="BU182" s="685">
        <v>174</v>
      </c>
      <c r="BV182" s="686"/>
      <c r="BW182" s="87"/>
      <c r="BX182" s="13"/>
      <c r="BZ182" s="640">
        <v>174</v>
      </c>
      <c r="CA182" s="683"/>
      <c r="CB182" s="684"/>
      <c r="CC182" s="685">
        <v>174</v>
      </c>
      <c r="CD182" s="686"/>
      <c r="CE182" s="87"/>
      <c r="CF182" s="13"/>
    </row>
    <row r="183" spans="1:84" ht="12.75" customHeight="1">
      <c r="A183" s="640">
        <v>175</v>
      </c>
      <c r="B183" s="683"/>
      <c r="C183" s="684"/>
      <c r="D183" s="685">
        <v>175</v>
      </c>
      <c r="E183" s="686"/>
      <c r="F183" s="87"/>
      <c r="G183" s="13"/>
      <c r="J183" s="5" t="e">
        <f t="shared" si="68"/>
        <v>#N/A</v>
      </c>
      <c r="K183" s="5" t="e">
        <f t="shared" si="66"/>
        <v>#N/A</v>
      </c>
      <c r="L183" s="5" t="e">
        <f t="shared" si="69"/>
        <v>#N/A</v>
      </c>
      <c r="M183" s="5" t="e">
        <f t="shared" si="67"/>
        <v>#N/A</v>
      </c>
      <c r="Q183" s="5" t="str">
        <f t="shared" si="70"/>
        <v/>
      </c>
      <c r="R183" s="5" t="e">
        <f>IF(Q183="",NA(),COUNTIF(Q183:$Q$293,Q183))</f>
        <v>#N/A</v>
      </c>
      <c r="S183" s="5" t="e">
        <f t="shared" si="71"/>
        <v>#N/A</v>
      </c>
      <c r="T183" s="5" t="e">
        <f t="shared" si="93"/>
        <v>#N/A</v>
      </c>
      <c r="U183" s="5" t="e">
        <f t="shared" si="72"/>
        <v>#N/A</v>
      </c>
      <c r="V183" s="5" t="e">
        <f t="shared" si="73"/>
        <v>#N/A</v>
      </c>
      <c r="W183" s="5" t="str">
        <f t="shared" si="74"/>
        <v/>
      </c>
      <c r="X183" s="5">
        <v>90</v>
      </c>
      <c r="Y183" s="5" t="str">
        <f t="shared" si="75"/>
        <v/>
      </c>
      <c r="Z183" s="5" t="str">
        <f t="shared" si="76"/>
        <v/>
      </c>
      <c r="AA183" s="5" t="str">
        <f t="shared" si="94"/>
        <v/>
      </c>
      <c r="AB183" s="5" t="str">
        <f t="shared" si="77"/>
        <v/>
      </c>
      <c r="AC183" s="5" t="e">
        <f>IF(AB183="",NA(),COUNTIF(AB183:$AB$293,AB183))</f>
        <v>#N/A</v>
      </c>
      <c r="AD183" s="5" t="e">
        <f t="shared" si="78"/>
        <v>#N/A</v>
      </c>
      <c r="AE183" s="5" t="e">
        <f t="shared" si="95"/>
        <v>#N/A</v>
      </c>
      <c r="AF183" s="5" t="e">
        <f t="shared" si="79"/>
        <v>#N/A</v>
      </c>
      <c r="AG183" s="5" t="e">
        <f t="shared" si="80"/>
        <v>#N/A</v>
      </c>
      <c r="AH183" s="5" t="str">
        <f t="shared" si="81"/>
        <v/>
      </c>
      <c r="AI183" s="5" t="str">
        <f t="shared" si="82"/>
        <v/>
      </c>
      <c r="AJ183" s="5" t="str">
        <f t="shared" si="83"/>
        <v/>
      </c>
      <c r="AK183" s="5" t="str">
        <f t="shared" si="84"/>
        <v/>
      </c>
      <c r="AX183" s="5" t="str">
        <f t="shared" si="96"/>
        <v/>
      </c>
      <c r="AY183" s="5" t="e">
        <f t="shared" si="85"/>
        <v>#N/A</v>
      </c>
      <c r="AZ183" s="5" t="str">
        <f t="shared" si="86"/>
        <v/>
      </c>
      <c r="BA183" s="5" t="str">
        <f t="shared" si="87"/>
        <v/>
      </c>
      <c r="BB183" s="5" t="e">
        <f>IF(BA183="",NA(),COUNTIF(BA183:$BA$193,BA183))</f>
        <v>#N/A</v>
      </c>
      <c r="BC183" s="5" t="e">
        <f t="shared" si="88"/>
        <v>#N/A</v>
      </c>
      <c r="BD183" s="5" t="str">
        <f t="shared" si="97"/>
        <v/>
      </c>
      <c r="BE183" s="5" t="e">
        <f t="shared" si="89"/>
        <v>#N/A</v>
      </c>
      <c r="BF183" s="5" t="str">
        <f t="shared" si="90"/>
        <v/>
      </c>
      <c r="BG183" s="5" t="str">
        <f t="shared" si="91"/>
        <v/>
      </c>
      <c r="BH183" s="5" t="e">
        <f>IF(BG183="",NA(),COUNTIF(BG183:$BG$193,BG183))</f>
        <v>#N/A</v>
      </c>
      <c r="BI183" s="5" t="e">
        <f t="shared" si="92"/>
        <v>#N/A</v>
      </c>
      <c r="BJ183" s="640">
        <v>175</v>
      </c>
      <c r="BK183" s="683"/>
      <c r="BL183" s="684"/>
      <c r="BM183" s="685">
        <v>175</v>
      </c>
      <c r="BN183" s="686"/>
      <c r="BO183" s="87"/>
      <c r="BP183" s="13"/>
      <c r="BR183" s="640">
        <v>175</v>
      </c>
      <c r="BS183" s="683"/>
      <c r="BT183" s="684"/>
      <c r="BU183" s="685">
        <v>175</v>
      </c>
      <c r="BV183" s="686"/>
      <c r="BW183" s="87"/>
      <c r="BX183" s="13"/>
      <c r="BZ183" s="640">
        <v>175</v>
      </c>
      <c r="CA183" s="683"/>
      <c r="CB183" s="684"/>
      <c r="CC183" s="685">
        <v>175</v>
      </c>
      <c r="CD183" s="686"/>
      <c r="CE183" s="87"/>
      <c r="CF183" s="13"/>
    </row>
    <row r="184" spans="1:84" ht="12.75" customHeight="1">
      <c r="A184" s="640">
        <v>176</v>
      </c>
      <c r="B184" s="683"/>
      <c r="C184" s="684"/>
      <c r="D184" s="685">
        <v>176</v>
      </c>
      <c r="E184" s="686"/>
      <c r="F184" s="87"/>
      <c r="G184" s="13"/>
      <c r="J184" s="5" t="e">
        <f t="shared" si="68"/>
        <v>#N/A</v>
      </c>
      <c r="K184" s="5" t="e">
        <f t="shared" ref="K184:K247" si="98">IF($AC$91,NA(),IF(AZ194="",NA(),IF($AP$92,AZ194,AY194)))</f>
        <v>#N/A</v>
      </c>
      <c r="L184" s="5" t="e">
        <f t="shared" si="69"/>
        <v>#N/A</v>
      </c>
      <c r="M184" s="5" t="e">
        <f t="shared" ref="M184:M247" si="99">IF($AC$91,NA(),IF(BF194="",NA(),IF($AP$92,BF194,BE194)))</f>
        <v>#N/A</v>
      </c>
      <c r="Q184" s="5" t="str">
        <f t="shared" si="70"/>
        <v/>
      </c>
      <c r="R184" s="5" t="e">
        <f>IF(Q184="",NA(),COUNTIF(Q184:$Q$293,Q184))</f>
        <v>#N/A</v>
      </c>
      <c r="S184" s="5" t="e">
        <f t="shared" si="71"/>
        <v>#N/A</v>
      </c>
      <c r="T184" s="5" t="e">
        <f t="shared" si="93"/>
        <v>#N/A</v>
      </c>
      <c r="U184" s="5" t="e">
        <f t="shared" si="72"/>
        <v>#N/A</v>
      </c>
      <c r="V184" s="5" t="e">
        <f t="shared" si="73"/>
        <v>#N/A</v>
      </c>
      <c r="W184" s="5" t="str">
        <f t="shared" si="74"/>
        <v/>
      </c>
      <c r="X184" s="5">
        <v>91</v>
      </c>
      <c r="Y184" s="5" t="str">
        <f t="shared" si="75"/>
        <v/>
      </c>
      <c r="Z184" s="5" t="str">
        <f t="shared" si="76"/>
        <v/>
      </c>
      <c r="AA184" s="5" t="str">
        <f t="shared" si="94"/>
        <v/>
      </c>
      <c r="AB184" s="5" t="str">
        <f t="shared" si="77"/>
        <v/>
      </c>
      <c r="AC184" s="5" t="e">
        <f>IF(AB184="",NA(),COUNTIF(AB184:$AB$293,AB184))</f>
        <v>#N/A</v>
      </c>
      <c r="AD184" s="5" t="e">
        <f t="shared" si="78"/>
        <v>#N/A</v>
      </c>
      <c r="AE184" s="5" t="e">
        <f t="shared" si="95"/>
        <v>#N/A</v>
      </c>
      <c r="AF184" s="5" t="e">
        <f t="shared" si="79"/>
        <v>#N/A</v>
      </c>
      <c r="AG184" s="5" t="e">
        <f t="shared" si="80"/>
        <v>#N/A</v>
      </c>
      <c r="AH184" s="5" t="str">
        <f t="shared" si="81"/>
        <v/>
      </c>
      <c r="AI184" s="5" t="str">
        <f t="shared" si="82"/>
        <v/>
      </c>
      <c r="AJ184" s="5" t="str">
        <f t="shared" si="83"/>
        <v/>
      </c>
      <c r="AK184" s="5" t="str">
        <f t="shared" si="84"/>
        <v/>
      </c>
      <c r="AX184" s="5" t="str">
        <f t="shared" si="96"/>
        <v/>
      </c>
      <c r="AY184" s="5" t="e">
        <f t="shared" si="85"/>
        <v>#N/A</v>
      </c>
      <c r="AZ184" s="5" t="str">
        <f t="shared" si="86"/>
        <v/>
      </c>
      <c r="BA184" s="5" t="str">
        <f t="shared" si="87"/>
        <v/>
      </c>
      <c r="BB184" s="5" t="e">
        <f>IF(BA184="",NA(),COUNTIF(BA184:$BA$193,BA184))</f>
        <v>#N/A</v>
      </c>
      <c r="BC184" s="5" t="e">
        <f t="shared" si="88"/>
        <v>#N/A</v>
      </c>
      <c r="BD184" s="5" t="str">
        <f t="shared" si="97"/>
        <v/>
      </c>
      <c r="BE184" s="5" t="e">
        <f t="shared" si="89"/>
        <v>#N/A</v>
      </c>
      <c r="BF184" s="5" t="str">
        <f t="shared" si="90"/>
        <v/>
      </c>
      <c r="BG184" s="5" t="str">
        <f t="shared" si="91"/>
        <v/>
      </c>
      <c r="BH184" s="5" t="e">
        <f>IF(BG184="",NA(),COUNTIF(BG184:$BG$193,BG184))</f>
        <v>#N/A</v>
      </c>
      <c r="BI184" s="5" t="e">
        <f t="shared" si="92"/>
        <v>#N/A</v>
      </c>
      <c r="BJ184" s="640">
        <v>176</v>
      </c>
      <c r="BK184" s="683"/>
      <c r="BL184" s="684"/>
      <c r="BM184" s="685">
        <v>176</v>
      </c>
      <c r="BN184" s="686"/>
      <c r="BO184" s="87"/>
      <c r="BP184" s="13"/>
      <c r="BR184" s="640">
        <v>176</v>
      </c>
      <c r="BS184" s="683"/>
      <c r="BT184" s="684"/>
      <c r="BU184" s="685">
        <v>176</v>
      </c>
      <c r="BV184" s="686"/>
      <c r="BW184" s="87"/>
      <c r="BX184" s="13"/>
      <c r="BZ184" s="640">
        <v>176</v>
      </c>
      <c r="CA184" s="683"/>
      <c r="CB184" s="684"/>
      <c r="CC184" s="685">
        <v>176</v>
      </c>
      <c r="CD184" s="686"/>
      <c r="CE184" s="87"/>
      <c r="CF184" s="13"/>
    </row>
    <row r="185" spans="1:84" ht="12.75" customHeight="1">
      <c r="A185" s="640">
        <v>177</v>
      </c>
      <c r="B185" s="683"/>
      <c r="C185" s="684"/>
      <c r="D185" s="685">
        <v>177</v>
      </c>
      <c r="E185" s="686"/>
      <c r="F185" s="87"/>
      <c r="G185" s="13"/>
      <c r="J185" s="5" t="e">
        <f t="shared" si="68"/>
        <v>#N/A</v>
      </c>
      <c r="K185" s="5" t="e">
        <f t="shared" si="98"/>
        <v>#N/A</v>
      </c>
      <c r="L185" s="5" t="e">
        <f t="shared" si="69"/>
        <v>#N/A</v>
      </c>
      <c r="M185" s="5" t="e">
        <f t="shared" si="99"/>
        <v>#N/A</v>
      </c>
      <c r="Q185" s="5" t="str">
        <f t="shared" si="70"/>
        <v/>
      </c>
      <c r="R185" s="5" t="e">
        <f>IF(Q185="",NA(),COUNTIF(Q185:$Q$293,Q185))</f>
        <v>#N/A</v>
      </c>
      <c r="S185" s="5" t="e">
        <f t="shared" si="71"/>
        <v>#N/A</v>
      </c>
      <c r="T185" s="5" t="e">
        <f t="shared" si="93"/>
        <v>#N/A</v>
      </c>
      <c r="U185" s="5" t="e">
        <f t="shared" si="72"/>
        <v>#N/A</v>
      </c>
      <c r="V185" s="5" t="e">
        <f t="shared" si="73"/>
        <v>#N/A</v>
      </c>
      <c r="W185" s="5" t="str">
        <f t="shared" si="74"/>
        <v/>
      </c>
      <c r="X185" s="5">
        <v>92</v>
      </c>
      <c r="Y185" s="5" t="str">
        <f t="shared" si="75"/>
        <v/>
      </c>
      <c r="Z185" s="5" t="str">
        <f t="shared" si="76"/>
        <v/>
      </c>
      <c r="AA185" s="5" t="str">
        <f t="shared" si="94"/>
        <v/>
      </c>
      <c r="AB185" s="5" t="str">
        <f t="shared" si="77"/>
        <v/>
      </c>
      <c r="AC185" s="5" t="e">
        <f>IF(AB185="",NA(),COUNTIF(AB185:$AB$293,AB185))</f>
        <v>#N/A</v>
      </c>
      <c r="AD185" s="5" t="e">
        <f t="shared" si="78"/>
        <v>#N/A</v>
      </c>
      <c r="AE185" s="5" t="e">
        <f t="shared" si="95"/>
        <v>#N/A</v>
      </c>
      <c r="AF185" s="5" t="e">
        <f t="shared" si="79"/>
        <v>#N/A</v>
      </c>
      <c r="AG185" s="5" t="e">
        <f t="shared" si="80"/>
        <v>#N/A</v>
      </c>
      <c r="AH185" s="5" t="str">
        <f t="shared" si="81"/>
        <v/>
      </c>
      <c r="AI185" s="5" t="str">
        <f t="shared" si="82"/>
        <v/>
      </c>
      <c r="AJ185" s="5" t="str">
        <f t="shared" si="83"/>
        <v/>
      </c>
      <c r="AK185" s="5" t="str">
        <f t="shared" si="84"/>
        <v/>
      </c>
      <c r="AX185" s="5" t="str">
        <f t="shared" si="96"/>
        <v/>
      </c>
      <c r="AY185" s="5" t="e">
        <f t="shared" si="85"/>
        <v>#N/A</v>
      </c>
      <c r="AZ185" s="5" t="str">
        <f t="shared" si="86"/>
        <v/>
      </c>
      <c r="BA185" s="5" t="str">
        <f t="shared" si="87"/>
        <v/>
      </c>
      <c r="BB185" s="5" t="e">
        <f>IF(BA185="",NA(),COUNTIF(BA185:$BA$193,BA185))</f>
        <v>#N/A</v>
      </c>
      <c r="BC185" s="5" t="e">
        <f t="shared" si="88"/>
        <v>#N/A</v>
      </c>
      <c r="BD185" s="5" t="str">
        <f t="shared" si="97"/>
        <v/>
      </c>
      <c r="BE185" s="5" t="e">
        <f t="shared" si="89"/>
        <v>#N/A</v>
      </c>
      <c r="BF185" s="5" t="str">
        <f t="shared" si="90"/>
        <v/>
      </c>
      <c r="BG185" s="5" t="str">
        <f t="shared" si="91"/>
        <v/>
      </c>
      <c r="BH185" s="5" t="e">
        <f>IF(BG185="",NA(),COUNTIF(BG185:$BG$193,BG185))</f>
        <v>#N/A</v>
      </c>
      <c r="BI185" s="5" t="e">
        <f t="shared" si="92"/>
        <v>#N/A</v>
      </c>
      <c r="BJ185" s="640">
        <v>177</v>
      </c>
      <c r="BK185" s="683"/>
      <c r="BL185" s="684"/>
      <c r="BM185" s="685">
        <v>177</v>
      </c>
      <c r="BN185" s="686"/>
      <c r="BO185" s="87"/>
      <c r="BP185" s="13"/>
      <c r="BR185" s="640">
        <v>177</v>
      </c>
      <c r="BS185" s="683"/>
      <c r="BT185" s="684"/>
      <c r="BU185" s="685">
        <v>177</v>
      </c>
      <c r="BV185" s="686"/>
      <c r="BW185" s="87"/>
      <c r="BX185" s="13"/>
      <c r="BZ185" s="640">
        <v>177</v>
      </c>
      <c r="CA185" s="683"/>
      <c r="CB185" s="684"/>
      <c r="CC185" s="685">
        <v>177</v>
      </c>
      <c r="CD185" s="686"/>
      <c r="CE185" s="87"/>
      <c r="CF185" s="13"/>
    </row>
    <row r="186" spans="1:84" ht="12.75" customHeight="1">
      <c r="A186" s="640">
        <v>178</v>
      </c>
      <c r="B186" s="683"/>
      <c r="C186" s="684"/>
      <c r="D186" s="685">
        <v>178</v>
      </c>
      <c r="E186" s="686"/>
      <c r="F186" s="87"/>
      <c r="G186" s="13"/>
      <c r="J186" s="5" t="e">
        <f t="shared" si="68"/>
        <v>#N/A</v>
      </c>
      <c r="K186" s="5" t="e">
        <f t="shared" si="98"/>
        <v>#N/A</v>
      </c>
      <c r="L186" s="5" t="e">
        <f t="shared" si="69"/>
        <v>#N/A</v>
      </c>
      <c r="M186" s="5" t="e">
        <f t="shared" si="99"/>
        <v>#N/A</v>
      </c>
      <c r="Q186" s="5" t="str">
        <f t="shared" si="70"/>
        <v/>
      </c>
      <c r="R186" s="5" t="e">
        <f>IF(Q186="",NA(),COUNTIF(Q186:$Q$293,Q186))</f>
        <v>#N/A</v>
      </c>
      <c r="S186" s="5" t="e">
        <f t="shared" si="71"/>
        <v>#N/A</v>
      </c>
      <c r="T186" s="5" t="e">
        <f t="shared" si="93"/>
        <v>#N/A</v>
      </c>
      <c r="U186" s="5" t="e">
        <f t="shared" si="72"/>
        <v>#N/A</v>
      </c>
      <c r="V186" s="5" t="e">
        <f t="shared" si="73"/>
        <v>#N/A</v>
      </c>
      <c r="W186" s="5" t="str">
        <f t="shared" si="74"/>
        <v/>
      </c>
      <c r="X186" s="5">
        <v>93</v>
      </c>
      <c r="Y186" s="5" t="str">
        <f t="shared" si="75"/>
        <v/>
      </c>
      <c r="Z186" s="5" t="str">
        <f t="shared" si="76"/>
        <v/>
      </c>
      <c r="AA186" s="5" t="str">
        <f t="shared" si="94"/>
        <v/>
      </c>
      <c r="AB186" s="5" t="str">
        <f t="shared" si="77"/>
        <v/>
      </c>
      <c r="AC186" s="5" t="e">
        <f>IF(AB186="",NA(),COUNTIF(AB186:$AB$293,AB186))</f>
        <v>#N/A</v>
      </c>
      <c r="AD186" s="5" t="e">
        <f t="shared" si="78"/>
        <v>#N/A</v>
      </c>
      <c r="AE186" s="5" t="e">
        <f t="shared" si="95"/>
        <v>#N/A</v>
      </c>
      <c r="AF186" s="5" t="e">
        <f t="shared" si="79"/>
        <v>#N/A</v>
      </c>
      <c r="AG186" s="5" t="e">
        <f t="shared" si="80"/>
        <v>#N/A</v>
      </c>
      <c r="AH186" s="5" t="str">
        <f t="shared" si="81"/>
        <v/>
      </c>
      <c r="AI186" s="5" t="str">
        <f t="shared" si="82"/>
        <v/>
      </c>
      <c r="AJ186" s="5" t="str">
        <f t="shared" si="83"/>
        <v/>
      </c>
      <c r="AK186" s="5" t="str">
        <f t="shared" si="84"/>
        <v/>
      </c>
      <c r="AX186" s="5" t="str">
        <f t="shared" si="96"/>
        <v/>
      </c>
      <c r="AY186" s="5" t="e">
        <f t="shared" si="85"/>
        <v>#N/A</v>
      </c>
      <c r="AZ186" s="5" t="str">
        <f t="shared" si="86"/>
        <v/>
      </c>
      <c r="BA186" s="5" t="str">
        <f t="shared" si="87"/>
        <v/>
      </c>
      <c r="BB186" s="5" t="e">
        <f>IF(BA186="",NA(),COUNTIF(BA186:$BA$193,BA186))</f>
        <v>#N/A</v>
      </c>
      <c r="BC186" s="5" t="e">
        <f t="shared" si="88"/>
        <v>#N/A</v>
      </c>
      <c r="BD186" s="5" t="str">
        <f t="shared" si="97"/>
        <v/>
      </c>
      <c r="BE186" s="5" t="e">
        <f t="shared" si="89"/>
        <v>#N/A</v>
      </c>
      <c r="BF186" s="5" t="str">
        <f t="shared" si="90"/>
        <v/>
      </c>
      <c r="BG186" s="5" t="str">
        <f t="shared" si="91"/>
        <v/>
      </c>
      <c r="BH186" s="5" t="e">
        <f>IF(BG186="",NA(),COUNTIF(BG186:$BG$193,BG186))</f>
        <v>#N/A</v>
      </c>
      <c r="BI186" s="5" t="e">
        <f t="shared" si="92"/>
        <v>#N/A</v>
      </c>
      <c r="BJ186" s="640">
        <v>178</v>
      </c>
      <c r="BK186" s="683"/>
      <c r="BL186" s="684"/>
      <c r="BM186" s="685">
        <v>178</v>
      </c>
      <c r="BN186" s="686"/>
      <c r="BO186" s="87"/>
      <c r="BP186" s="13"/>
      <c r="BR186" s="640">
        <v>178</v>
      </c>
      <c r="BS186" s="683"/>
      <c r="BT186" s="684"/>
      <c r="BU186" s="685">
        <v>178</v>
      </c>
      <c r="BV186" s="686"/>
      <c r="BW186" s="87"/>
      <c r="BX186" s="13"/>
      <c r="BZ186" s="640">
        <v>178</v>
      </c>
      <c r="CA186" s="683"/>
      <c r="CB186" s="684"/>
      <c r="CC186" s="685">
        <v>178</v>
      </c>
      <c r="CD186" s="686"/>
      <c r="CE186" s="87"/>
      <c r="CF186" s="13"/>
    </row>
    <row r="187" spans="1:84" ht="12.75" customHeight="1">
      <c r="A187" s="640">
        <v>179</v>
      </c>
      <c r="B187" s="683"/>
      <c r="C187" s="684"/>
      <c r="D187" s="685">
        <v>179</v>
      </c>
      <c r="E187" s="686"/>
      <c r="F187" s="87"/>
      <c r="G187" s="13"/>
      <c r="J187" s="5" t="e">
        <f t="shared" si="68"/>
        <v>#N/A</v>
      </c>
      <c r="K187" s="5" t="e">
        <f t="shared" si="98"/>
        <v>#N/A</v>
      </c>
      <c r="L187" s="5" t="e">
        <f t="shared" si="69"/>
        <v>#N/A</v>
      </c>
      <c r="M187" s="5" t="e">
        <f t="shared" si="99"/>
        <v>#N/A</v>
      </c>
      <c r="Q187" s="5" t="str">
        <f t="shared" si="70"/>
        <v/>
      </c>
      <c r="R187" s="5" t="e">
        <f>IF(Q187="",NA(),COUNTIF(Q187:$Q$293,Q187))</f>
        <v>#N/A</v>
      </c>
      <c r="S187" s="5" t="e">
        <f t="shared" si="71"/>
        <v>#N/A</v>
      </c>
      <c r="T187" s="5" t="e">
        <f t="shared" si="93"/>
        <v>#N/A</v>
      </c>
      <c r="U187" s="5" t="e">
        <f t="shared" si="72"/>
        <v>#N/A</v>
      </c>
      <c r="V187" s="5" t="e">
        <f t="shared" si="73"/>
        <v>#N/A</v>
      </c>
      <c r="W187" s="5" t="str">
        <f t="shared" si="74"/>
        <v/>
      </c>
      <c r="X187" s="5">
        <v>94</v>
      </c>
      <c r="Y187" s="5" t="str">
        <f t="shared" si="75"/>
        <v/>
      </c>
      <c r="Z187" s="5" t="str">
        <f t="shared" si="76"/>
        <v/>
      </c>
      <c r="AA187" s="5" t="str">
        <f t="shared" si="94"/>
        <v/>
      </c>
      <c r="AB187" s="5" t="str">
        <f t="shared" si="77"/>
        <v/>
      </c>
      <c r="AC187" s="5" t="e">
        <f>IF(AB187="",NA(),COUNTIF(AB187:$AB$293,AB187))</f>
        <v>#N/A</v>
      </c>
      <c r="AD187" s="5" t="e">
        <f t="shared" si="78"/>
        <v>#N/A</v>
      </c>
      <c r="AE187" s="5" t="e">
        <f t="shared" si="95"/>
        <v>#N/A</v>
      </c>
      <c r="AF187" s="5" t="e">
        <f t="shared" si="79"/>
        <v>#N/A</v>
      </c>
      <c r="AG187" s="5" t="e">
        <f t="shared" si="80"/>
        <v>#N/A</v>
      </c>
      <c r="AH187" s="5" t="str">
        <f t="shared" si="81"/>
        <v/>
      </c>
      <c r="AI187" s="5" t="str">
        <f t="shared" si="82"/>
        <v/>
      </c>
      <c r="AJ187" s="5" t="str">
        <f t="shared" si="83"/>
        <v/>
      </c>
      <c r="AK187" s="5" t="str">
        <f t="shared" si="84"/>
        <v/>
      </c>
      <c r="AX187" s="5" t="str">
        <f t="shared" si="96"/>
        <v/>
      </c>
      <c r="AY187" s="5" t="e">
        <f t="shared" si="85"/>
        <v>#N/A</v>
      </c>
      <c r="AZ187" s="5" t="str">
        <f t="shared" si="86"/>
        <v/>
      </c>
      <c r="BA187" s="5" t="str">
        <f t="shared" si="87"/>
        <v/>
      </c>
      <c r="BB187" s="5" t="e">
        <f>IF(BA187="",NA(),COUNTIF(BA187:$BA$193,BA187))</f>
        <v>#N/A</v>
      </c>
      <c r="BC187" s="5" t="e">
        <f t="shared" si="88"/>
        <v>#N/A</v>
      </c>
      <c r="BD187" s="5" t="str">
        <f t="shared" si="97"/>
        <v/>
      </c>
      <c r="BE187" s="5" t="e">
        <f t="shared" si="89"/>
        <v>#N/A</v>
      </c>
      <c r="BF187" s="5" t="str">
        <f t="shared" si="90"/>
        <v/>
      </c>
      <c r="BG187" s="5" t="str">
        <f t="shared" si="91"/>
        <v/>
      </c>
      <c r="BH187" s="5" t="e">
        <f>IF(BG187="",NA(),COUNTIF(BG187:$BG$193,BG187))</f>
        <v>#N/A</v>
      </c>
      <c r="BI187" s="5" t="e">
        <f t="shared" si="92"/>
        <v>#N/A</v>
      </c>
      <c r="BJ187" s="640">
        <v>179</v>
      </c>
      <c r="BK187" s="683"/>
      <c r="BL187" s="684"/>
      <c r="BM187" s="685">
        <v>179</v>
      </c>
      <c r="BN187" s="686"/>
      <c r="BO187" s="87"/>
      <c r="BP187" s="13"/>
      <c r="BR187" s="640">
        <v>179</v>
      </c>
      <c r="BS187" s="683"/>
      <c r="BT187" s="684"/>
      <c r="BU187" s="685">
        <v>179</v>
      </c>
      <c r="BV187" s="686"/>
      <c r="BW187" s="87"/>
      <c r="BX187" s="13"/>
      <c r="BZ187" s="640">
        <v>179</v>
      </c>
      <c r="CA187" s="683"/>
      <c r="CB187" s="684"/>
      <c r="CC187" s="685">
        <v>179</v>
      </c>
      <c r="CD187" s="686"/>
      <c r="CE187" s="87"/>
      <c r="CF187" s="13"/>
    </row>
    <row r="188" spans="1:84" ht="12.75" customHeight="1">
      <c r="A188" s="640">
        <v>180</v>
      </c>
      <c r="B188" s="683"/>
      <c r="C188" s="684"/>
      <c r="D188" s="685">
        <v>180</v>
      </c>
      <c r="E188" s="686"/>
      <c r="F188" s="87"/>
      <c r="G188" s="13"/>
      <c r="J188" s="5" t="e">
        <f t="shared" si="68"/>
        <v>#N/A</v>
      </c>
      <c r="K188" s="5" t="e">
        <f t="shared" si="98"/>
        <v>#N/A</v>
      </c>
      <c r="L188" s="5" t="e">
        <f t="shared" si="69"/>
        <v>#N/A</v>
      </c>
      <c r="M188" s="5" t="e">
        <f t="shared" si="99"/>
        <v>#N/A</v>
      </c>
      <c r="Q188" s="5" t="str">
        <f t="shared" si="70"/>
        <v/>
      </c>
      <c r="R188" s="5" t="e">
        <f>IF(Q188="",NA(),COUNTIF(Q188:$Q$293,Q188))</f>
        <v>#N/A</v>
      </c>
      <c r="S188" s="5" t="e">
        <f t="shared" si="71"/>
        <v>#N/A</v>
      </c>
      <c r="T188" s="5" t="e">
        <f t="shared" si="93"/>
        <v>#N/A</v>
      </c>
      <c r="U188" s="5" t="e">
        <f t="shared" si="72"/>
        <v>#N/A</v>
      </c>
      <c r="V188" s="5" t="e">
        <f t="shared" si="73"/>
        <v>#N/A</v>
      </c>
      <c r="W188" s="5" t="str">
        <f t="shared" si="74"/>
        <v/>
      </c>
      <c r="X188" s="5">
        <v>95</v>
      </c>
      <c r="Y188" s="5" t="str">
        <f t="shared" si="75"/>
        <v/>
      </c>
      <c r="Z188" s="5" t="str">
        <f t="shared" si="76"/>
        <v/>
      </c>
      <c r="AA188" s="5" t="str">
        <f t="shared" si="94"/>
        <v/>
      </c>
      <c r="AB188" s="5" t="str">
        <f t="shared" si="77"/>
        <v/>
      </c>
      <c r="AC188" s="5" t="e">
        <f>IF(AB188="",NA(),COUNTIF(AB188:$AB$293,AB188))</f>
        <v>#N/A</v>
      </c>
      <c r="AD188" s="5" t="e">
        <f t="shared" si="78"/>
        <v>#N/A</v>
      </c>
      <c r="AE188" s="5" t="e">
        <f t="shared" si="95"/>
        <v>#N/A</v>
      </c>
      <c r="AF188" s="5" t="e">
        <f t="shared" si="79"/>
        <v>#N/A</v>
      </c>
      <c r="AG188" s="5" t="e">
        <f t="shared" si="80"/>
        <v>#N/A</v>
      </c>
      <c r="AH188" s="5" t="str">
        <f t="shared" si="81"/>
        <v/>
      </c>
      <c r="AI188" s="5" t="str">
        <f t="shared" si="82"/>
        <v/>
      </c>
      <c r="AJ188" s="5" t="str">
        <f t="shared" si="83"/>
        <v/>
      </c>
      <c r="AK188" s="5" t="str">
        <f t="shared" si="84"/>
        <v/>
      </c>
      <c r="AX188" s="5" t="str">
        <f t="shared" si="96"/>
        <v/>
      </c>
      <c r="AY188" s="5" t="e">
        <f t="shared" si="85"/>
        <v>#N/A</v>
      </c>
      <c r="AZ188" s="5" t="str">
        <f t="shared" si="86"/>
        <v/>
      </c>
      <c r="BA188" s="5" t="str">
        <f t="shared" si="87"/>
        <v/>
      </c>
      <c r="BB188" s="5" t="e">
        <f>IF(BA188="",NA(),COUNTIF(BA188:$BA$193,BA188))</f>
        <v>#N/A</v>
      </c>
      <c r="BC188" s="5" t="e">
        <f t="shared" si="88"/>
        <v>#N/A</v>
      </c>
      <c r="BD188" s="5" t="str">
        <f t="shared" si="97"/>
        <v/>
      </c>
      <c r="BE188" s="5" t="e">
        <f t="shared" si="89"/>
        <v>#N/A</v>
      </c>
      <c r="BF188" s="5" t="str">
        <f t="shared" si="90"/>
        <v/>
      </c>
      <c r="BG188" s="5" t="str">
        <f t="shared" si="91"/>
        <v/>
      </c>
      <c r="BH188" s="5" t="e">
        <f>IF(BG188="",NA(),COUNTIF(BG188:$BG$193,BG188))</f>
        <v>#N/A</v>
      </c>
      <c r="BI188" s="5" t="e">
        <f t="shared" si="92"/>
        <v>#N/A</v>
      </c>
      <c r="BJ188" s="640">
        <v>180</v>
      </c>
      <c r="BK188" s="683"/>
      <c r="BL188" s="684"/>
      <c r="BM188" s="685">
        <v>180</v>
      </c>
      <c r="BN188" s="686"/>
      <c r="BO188" s="87"/>
      <c r="BP188" s="13"/>
      <c r="BR188" s="640">
        <v>180</v>
      </c>
      <c r="BS188" s="683"/>
      <c r="BT188" s="684"/>
      <c r="BU188" s="685">
        <v>180</v>
      </c>
      <c r="BV188" s="686"/>
      <c r="BW188" s="87"/>
      <c r="BX188" s="13"/>
      <c r="BZ188" s="640">
        <v>180</v>
      </c>
      <c r="CA188" s="683"/>
      <c r="CB188" s="684"/>
      <c r="CC188" s="685">
        <v>180</v>
      </c>
      <c r="CD188" s="686"/>
      <c r="CE188" s="87"/>
      <c r="CF188" s="13"/>
    </row>
    <row r="189" spans="1:84" ht="12.75" customHeight="1">
      <c r="A189" s="640">
        <v>181</v>
      </c>
      <c r="B189" s="683"/>
      <c r="C189" s="684"/>
      <c r="D189" s="685">
        <v>181</v>
      </c>
      <c r="E189" s="686"/>
      <c r="F189" s="87"/>
      <c r="G189" s="13"/>
      <c r="J189" s="5" t="e">
        <f t="shared" si="68"/>
        <v>#N/A</v>
      </c>
      <c r="K189" s="5" t="e">
        <f t="shared" si="98"/>
        <v>#N/A</v>
      </c>
      <c r="L189" s="5" t="e">
        <f t="shared" si="69"/>
        <v>#N/A</v>
      </c>
      <c r="M189" s="5" t="e">
        <f t="shared" si="99"/>
        <v>#N/A</v>
      </c>
      <c r="Q189" s="5" t="str">
        <f t="shared" si="70"/>
        <v/>
      </c>
      <c r="R189" s="5" t="e">
        <f>IF(Q189="",NA(),COUNTIF(Q189:$Q$293,Q189))</f>
        <v>#N/A</v>
      </c>
      <c r="S189" s="5" t="e">
        <f t="shared" si="71"/>
        <v>#N/A</v>
      </c>
      <c r="T189" s="5" t="e">
        <f t="shared" si="93"/>
        <v>#N/A</v>
      </c>
      <c r="U189" s="5" t="e">
        <f t="shared" si="72"/>
        <v>#N/A</v>
      </c>
      <c r="V189" s="5" t="e">
        <f t="shared" si="73"/>
        <v>#N/A</v>
      </c>
      <c r="W189" s="5" t="str">
        <f t="shared" si="74"/>
        <v/>
      </c>
      <c r="X189" s="5">
        <v>96</v>
      </c>
      <c r="Y189" s="5" t="str">
        <f t="shared" si="75"/>
        <v/>
      </c>
      <c r="Z189" s="5" t="str">
        <f t="shared" si="76"/>
        <v/>
      </c>
      <c r="AA189" s="5" t="str">
        <f t="shared" si="94"/>
        <v/>
      </c>
      <c r="AB189" s="5" t="str">
        <f t="shared" si="77"/>
        <v/>
      </c>
      <c r="AC189" s="5" t="e">
        <f>IF(AB189="",NA(),COUNTIF(AB189:$AB$293,AB189))</f>
        <v>#N/A</v>
      </c>
      <c r="AD189" s="5" t="e">
        <f t="shared" si="78"/>
        <v>#N/A</v>
      </c>
      <c r="AE189" s="5" t="e">
        <f t="shared" si="95"/>
        <v>#N/A</v>
      </c>
      <c r="AF189" s="5" t="e">
        <f t="shared" si="79"/>
        <v>#N/A</v>
      </c>
      <c r="AG189" s="5" t="e">
        <f t="shared" si="80"/>
        <v>#N/A</v>
      </c>
      <c r="AH189" s="5" t="str">
        <f t="shared" si="81"/>
        <v/>
      </c>
      <c r="AI189" s="5" t="str">
        <f t="shared" si="82"/>
        <v/>
      </c>
      <c r="AJ189" s="5" t="str">
        <f t="shared" si="83"/>
        <v/>
      </c>
      <c r="AK189" s="5" t="str">
        <f t="shared" si="84"/>
        <v/>
      </c>
      <c r="AX189" s="5" t="str">
        <f t="shared" si="96"/>
        <v/>
      </c>
      <c r="AY189" s="5" t="e">
        <f t="shared" si="85"/>
        <v>#N/A</v>
      </c>
      <c r="AZ189" s="5" t="str">
        <f t="shared" si="86"/>
        <v/>
      </c>
      <c r="BA189" s="5" t="str">
        <f t="shared" si="87"/>
        <v/>
      </c>
      <c r="BB189" s="5" t="e">
        <f>IF(BA189="",NA(),COUNTIF(BA189:$BA$193,BA189))</f>
        <v>#N/A</v>
      </c>
      <c r="BC189" s="5" t="e">
        <f t="shared" si="88"/>
        <v>#N/A</v>
      </c>
      <c r="BD189" s="5" t="str">
        <f t="shared" si="97"/>
        <v/>
      </c>
      <c r="BE189" s="5" t="e">
        <f t="shared" si="89"/>
        <v>#N/A</v>
      </c>
      <c r="BF189" s="5" t="str">
        <f t="shared" si="90"/>
        <v/>
      </c>
      <c r="BG189" s="5" t="str">
        <f t="shared" si="91"/>
        <v/>
      </c>
      <c r="BH189" s="5" t="e">
        <f>IF(BG189="",NA(),COUNTIF(BG189:$BG$193,BG189))</f>
        <v>#N/A</v>
      </c>
      <c r="BI189" s="5" t="e">
        <f t="shared" si="92"/>
        <v>#N/A</v>
      </c>
      <c r="BJ189" s="640">
        <v>181</v>
      </c>
      <c r="BK189" s="683"/>
      <c r="BL189" s="684"/>
      <c r="BM189" s="685">
        <v>181</v>
      </c>
      <c r="BN189" s="686"/>
      <c r="BO189" s="87"/>
      <c r="BP189" s="13"/>
      <c r="BR189" s="640">
        <v>181</v>
      </c>
      <c r="BS189" s="683"/>
      <c r="BT189" s="684"/>
      <c r="BU189" s="685">
        <v>181</v>
      </c>
      <c r="BV189" s="686"/>
      <c r="BW189" s="87"/>
      <c r="BX189" s="13"/>
      <c r="BZ189" s="640">
        <v>181</v>
      </c>
      <c r="CA189" s="683"/>
      <c r="CB189" s="684"/>
      <c r="CC189" s="685">
        <v>181</v>
      </c>
      <c r="CD189" s="686"/>
      <c r="CE189" s="87"/>
      <c r="CF189" s="13"/>
    </row>
    <row r="190" spans="1:84" ht="12.75" customHeight="1">
      <c r="A190" s="640">
        <v>182</v>
      </c>
      <c r="B190" s="683"/>
      <c r="C190" s="684"/>
      <c r="D190" s="685">
        <v>182</v>
      </c>
      <c r="E190" s="686"/>
      <c r="F190" s="87"/>
      <c r="G190" s="13"/>
      <c r="J190" s="5" t="e">
        <f t="shared" si="68"/>
        <v>#N/A</v>
      </c>
      <c r="K190" s="5" t="e">
        <f t="shared" si="98"/>
        <v>#N/A</v>
      </c>
      <c r="L190" s="5" t="e">
        <f t="shared" si="69"/>
        <v>#N/A</v>
      </c>
      <c r="M190" s="5" t="e">
        <f t="shared" si="99"/>
        <v>#N/A</v>
      </c>
      <c r="Q190" s="5" t="str">
        <f t="shared" ref="Q190:Q221" si="100">IF(Y190="","",IF($AF$87=0,Y190,ROUND(Y190/$AF$87,0)))</f>
        <v/>
      </c>
      <c r="R190" s="5" t="e">
        <f>IF(Q190="",NA(),COUNTIF(Q190:$Q$293,Q190))</f>
        <v>#N/A</v>
      </c>
      <c r="S190" s="5" t="e">
        <f t="shared" ref="S190:S221" si="101">(R190-1)*$AF$90</f>
        <v>#N/A</v>
      </c>
      <c r="T190" s="5" t="e">
        <f t="shared" si="93"/>
        <v>#N/A</v>
      </c>
      <c r="U190" s="5" t="e">
        <f t="shared" ref="U190:U221" si="102">IF(X190&gt;$X$89,NA(),IF(OR(X190&lt;=$X$90,X190&gt;$X$89-$X$90),IF($AP$92,W190,Y190),NA()))</f>
        <v>#N/A</v>
      </c>
      <c r="V190" s="5" t="e">
        <f t="shared" ref="V190:V221" si="103">IF(X190&gt;$X$89,NA(),IF(AND(X190&gt;$X$90,X190&lt;=$X$89-$X$90),IF($AP$92,W190,Y190),NA()))</f>
        <v>#N/A</v>
      </c>
      <c r="W190" s="5" t="str">
        <f t="shared" ref="W190:W221" si="104">IF(X190&gt;$X$89,"",LARGE($AZ$94:$AZ$293,X190))</f>
        <v/>
      </c>
      <c r="X190" s="5">
        <v>97</v>
      </c>
      <c r="Y190" s="5" t="str">
        <f t="shared" ref="Y190:Y221" si="105">IF(X190&gt;$X$89,"",LARGE($AX$94:$AX$293,X190))</f>
        <v/>
      </c>
      <c r="Z190" s="5" t="str">
        <f t="shared" ref="Z190:Z221" si="106">IF(X190&gt;$X$89,"",IF(AND(X190&gt;$X$90,X190&lt;=$X$89-$X$90),Y190,""))</f>
        <v/>
      </c>
      <c r="AA190" s="5" t="str">
        <f t="shared" si="94"/>
        <v/>
      </c>
      <c r="AB190" s="5" t="str">
        <f t="shared" ref="AB190:AB221" si="107">IF(AI190="","",IF($AF$87=0,AI190,ROUND(AI190/$AF$87,0)))</f>
        <v/>
      </c>
      <c r="AC190" s="5" t="e">
        <f>IF(AB190="",NA(),COUNTIF(AB190:$AB$293,AB190))</f>
        <v>#N/A</v>
      </c>
      <c r="AD190" s="5" t="e">
        <f t="shared" ref="AD190:AD221" si="108">(AC190-1)*$AF$90</f>
        <v>#N/A</v>
      </c>
      <c r="AE190" s="5" t="e">
        <f t="shared" si="95"/>
        <v>#N/A</v>
      </c>
      <c r="AF190" s="5" t="e">
        <f t="shared" ref="AF190:AF221" si="109">IF(X190&gt;$AC$89,NA(),IF(OR(X190&lt;=$AC$90,X190&gt;$AC$89-$AC$90),IF($AP$92,AH190,AI190),NA()))</f>
        <v>#N/A</v>
      </c>
      <c r="AG190" s="5" t="e">
        <f t="shared" ref="AG190:AG221" si="110">IF(X190&gt;$AC$89,NA(),IF(AND(X190&gt;$AC$90,X190&lt;=$AC$89-$AC$90),IF($AP$92,AH190,AI190),NA()))</f>
        <v>#N/A</v>
      </c>
      <c r="AH190" s="5" t="str">
        <f t="shared" ref="AH190:AH221" si="111">IF(X190&gt;$AC$89,"",LARGE($BF$94:$BF$293,X190))</f>
        <v/>
      </c>
      <c r="AI190" s="5" t="str">
        <f t="shared" ref="AI190:AI221" si="112">IF(X190&gt;$AC$89,"",LARGE($BD$94:$BD$293,X190))</f>
        <v/>
      </c>
      <c r="AJ190" s="5" t="str">
        <f t="shared" ref="AJ190:AJ221" si="113">IF(X190&gt;$AC$89,"",IF(AND(X190&gt;$AC$90,X190&lt;=$AC$89-$AC$90),AI190,""))</f>
        <v/>
      </c>
      <c r="AK190" s="5" t="str">
        <f t="shared" ref="AK190:AK221" si="114">IF(X190&gt;$AC$89,"",IF(AND(X190&gt;$AC$90,X190&lt;=$AC$89-$AC$90),AI190,IF(X190&lt;=$AC$90,$AJ$90,$AJ$91)))</f>
        <v/>
      </c>
      <c r="AX190" s="5" t="str">
        <f t="shared" si="96"/>
        <v/>
      </c>
      <c r="AY190" s="5" t="e">
        <f t="shared" ref="AY190:AY221" si="115">IF(AND($AO$97,NOT(B105=""),$AO$95),B105,NA())</f>
        <v>#N/A</v>
      </c>
      <c r="AZ190" s="5" t="str">
        <f t="shared" ref="AZ190:AZ221" si="116">IF(BA190="","",IF($AF$87=0,AY190,BA190*$AF$87))</f>
        <v/>
      </c>
      <c r="BA190" s="5" t="str">
        <f t="shared" ref="BA190:BA221" si="117">IF(ISNA(AY190),"",IF($AF$87=0,AY190,ROUND(AY190/$AF$87,0)))</f>
        <v/>
      </c>
      <c r="BB190" s="5" t="e">
        <f>IF(BA190="",NA(),COUNTIF(BA190:$BA$193,BA190))</f>
        <v>#N/A</v>
      </c>
      <c r="BC190" s="5" t="e">
        <f t="shared" ref="BC190:BC221" si="118">(BB190-1)*$AF$90</f>
        <v>#N/A</v>
      </c>
      <c r="BD190" s="5" t="str">
        <f t="shared" si="97"/>
        <v/>
      </c>
      <c r="BE190" s="5" t="e">
        <f t="shared" ref="BE190:BE221" si="119">IF(AND($AO$97,NOT(E105=""),$AO$96),E105,NA())</f>
        <v>#N/A</v>
      </c>
      <c r="BF190" s="5" t="str">
        <f t="shared" ref="BF190:BF221" si="120">IF(BG190="","",IF($AF$87=0,BE190,BG190*$AF$87))</f>
        <v/>
      </c>
      <c r="BG190" s="5" t="str">
        <f t="shared" ref="BG190:BG221" si="121">IF(ISNA(BE190),"",IF($AF$87=0,BE190,ROUND(BE190/$AF$87,0)))</f>
        <v/>
      </c>
      <c r="BH190" s="5" t="e">
        <f>IF(BG190="",NA(),COUNTIF(BG190:$BG$193,BG190))</f>
        <v>#N/A</v>
      </c>
      <c r="BI190" s="5" t="e">
        <f t="shared" ref="BI190:BI221" si="122">(BH190-1)*$AF$90</f>
        <v>#N/A</v>
      </c>
      <c r="BJ190" s="640">
        <v>182</v>
      </c>
      <c r="BK190" s="683"/>
      <c r="BL190" s="684"/>
      <c r="BM190" s="685">
        <v>182</v>
      </c>
      <c r="BN190" s="686"/>
      <c r="BO190" s="87"/>
      <c r="BP190" s="13"/>
      <c r="BR190" s="640">
        <v>182</v>
      </c>
      <c r="BS190" s="683"/>
      <c r="BT190" s="684"/>
      <c r="BU190" s="685">
        <v>182</v>
      </c>
      <c r="BV190" s="686"/>
      <c r="BW190" s="87"/>
      <c r="BX190" s="13"/>
      <c r="BZ190" s="640">
        <v>182</v>
      </c>
      <c r="CA190" s="683"/>
      <c r="CB190" s="684"/>
      <c r="CC190" s="685">
        <v>182</v>
      </c>
      <c r="CD190" s="686"/>
      <c r="CE190" s="87"/>
      <c r="CF190" s="13"/>
    </row>
    <row r="191" spans="1:84" ht="12.75" customHeight="1">
      <c r="A191" s="640">
        <v>183</v>
      </c>
      <c r="B191" s="683"/>
      <c r="C191" s="684"/>
      <c r="D191" s="685">
        <v>183</v>
      </c>
      <c r="E191" s="686"/>
      <c r="F191" s="87"/>
      <c r="G191" s="13"/>
      <c r="J191" s="5" t="e">
        <f t="shared" si="68"/>
        <v>#N/A</v>
      </c>
      <c r="K191" s="5" t="e">
        <f t="shared" si="98"/>
        <v>#N/A</v>
      </c>
      <c r="L191" s="5" t="e">
        <f t="shared" si="69"/>
        <v>#N/A</v>
      </c>
      <c r="M191" s="5" t="e">
        <f t="shared" si="99"/>
        <v>#N/A</v>
      </c>
      <c r="Q191" s="5" t="str">
        <f t="shared" si="100"/>
        <v/>
      </c>
      <c r="R191" s="5" t="e">
        <f>IF(Q191="",NA(),COUNTIF(Q191:$Q$293,Q191))</f>
        <v>#N/A</v>
      </c>
      <c r="S191" s="5" t="e">
        <f t="shared" si="101"/>
        <v>#N/A</v>
      </c>
      <c r="T191" s="5" t="e">
        <f t="shared" si="93"/>
        <v>#N/A</v>
      </c>
      <c r="U191" s="5" t="e">
        <f t="shared" si="102"/>
        <v>#N/A</v>
      </c>
      <c r="V191" s="5" t="e">
        <f t="shared" si="103"/>
        <v>#N/A</v>
      </c>
      <c r="W191" s="5" t="str">
        <f t="shared" si="104"/>
        <v/>
      </c>
      <c r="X191" s="5">
        <v>98</v>
      </c>
      <c r="Y191" s="5" t="str">
        <f t="shared" si="105"/>
        <v/>
      </c>
      <c r="Z191" s="5" t="str">
        <f t="shared" si="106"/>
        <v/>
      </c>
      <c r="AA191" s="5" t="str">
        <f t="shared" si="94"/>
        <v/>
      </c>
      <c r="AB191" s="5" t="str">
        <f t="shared" si="107"/>
        <v/>
      </c>
      <c r="AC191" s="5" t="e">
        <f>IF(AB191="",NA(),COUNTIF(AB191:$AB$293,AB191))</f>
        <v>#N/A</v>
      </c>
      <c r="AD191" s="5" t="e">
        <f t="shared" si="108"/>
        <v>#N/A</v>
      </c>
      <c r="AE191" s="5" t="e">
        <f t="shared" si="95"/>
        <v>#N/A</v>
      </c>
      <c r="AF191" s="5" t="e">
        <f t="shared" si="109"/>
        <v>#N/A</v>
      </c>
      <c r="AG191" s="5" t="e">
        <f t="shared" si="110"/>
        <v>#N/A</v>
      </c>
      <c r="AH191" s="5" t="str">
        <f t="shared" si="111"/>
        <v/>
      </c>
      <c r="AI191" s="5" t="str">
        <f t="shared" si="112"/>
        <v/>
      </c>
      <c r="AJ191" s="5" t="str">
        <f t="shared" si="113"/>
        <v/>
      </c>
      <c r="AK191" s="5" t="str">
        <f t="shared" si="114"/>
        <v/>
      </c>
      <c r="AX191" s="5" t="str">
        <f t="shared" si="96"/>
        <v/>
      </c>
      <c r="AY191" s="5" t="e">
        <f t="shared" si="115"/>
        <v>#N/A</v>
      </c>
      <c r="AZ191" s="5" t="str">
        <f t="shared" si="116"/>
        <v/>
      </c>
      <c r="BA191" s="5" t="str">
        <f t="shared" si="117"/>
        <v/>
      </c>
      <c r="BB191" s="5" t="e">
        <f>IF(BA191="",NA(),COUNTIF(BA191:$BA$193,BA191))</f>
        <v>#N/A</v>
      </c>
      <c r="BC191" s="5" t="e">
        <f t="shared" si="118"/>
        <v>#N/A</v>
      </c>
      <c r="BD191" s="5" t="str">
        <f t="shared" si="97"/>
        <v/>
      </c>
      <c r="BE191" s="5" t="e">
        <f t="shared" si="119"/>
        <v>#N/A</v>
      </c>
      <c r="BF191" s="5" t="str">
        <f t="shared" si="120"/>
        <v/>
      </c>
      <c r="BG191" s="5" t="str">
        <f t="shared" si="121"/>
        <v/>
      </c>
      <c r="BH191" s="5" t="e">
        <f>IF(BG191="",NA(),COUNTIF(BG191:$BG$193,BG191))</f>
        <v>#N/A</v>
      </c>
      <c r="BI191" s="5" t="e">
        <f t="shared" si="122"/>
        <v>#N/A</v>
      </c>
      <c r="BJ191" s="640">
        <v>183</v>
      </c>
      <c r="BK191" s="683"/>
      <c r="BL191" s="684"/>
      <c r="BM191" s="685">
        <v>183</v>
      </c>
      <c r="BN191" s="686"/>
      <c r="BO191" s="87"/>
      <c r="BP191" s="13"/>
      <c r="BR191" s="640">
        <v>183</v>
      </c>
      <c r="BS191" s="683"/>
      <c r="BT191" s="684"/>
      <c r="BU191" s="685">
        <v>183</v>
      </c>
      <c r="BV191" s="686"/>
      <c r="BW191" s="87"/>
      <c r="BX191" s="13"/>
      <c r="BZ191" s="640">
        <v>183</v>
      </c>
      <c r="CA191" s="683"/>
      <c r="CB191" s="684"/>
      <c r="CC191" s="685">
        <v>183</v>
      </c>
      <c r="CD191" s="686"/>
      <c r="CE191" s="87"/>
      <c r="CF191" s="13"/>
    </row>
    <row r="192" spans="1:84" ht="12.75" customHeight="1">
      <c r="A192" s="640">
        <v>184</v>
      </c>
      <c r="B192" s="683"/>
      <c r="C192" s="684"/>
      <c r="D192" s="685">
        <v>184</v>
      </c>
      <c r="E192" s="686"/>
      <c r="F192" s="87"/>
      <c r="G192" s="13"/>
      <c r="J192" s="5" t="e">
        <f t="shared" si="68"/>
        <v>#N/A</v>
      </c>
      <c r="K192" s="5" t="e">
        <f t="shared" si="98"/>
        <v>#N/A</v>
      </c>
      <c r="L192" s="5" t="e">
        <f t="shared" si="69"/>
        <v>#N/A</v>
      </c>
      <c r="M192" s="5" t="e">
        <f t="shared" si="99"/>
        <v>#N/A</v>
      </c>
      <c r="Q192" s="5" t="str">
        <f t="shared" si="100"/>
        <v/>
      </c>
      <c r="R192" s="5" t="e">
        <f>IF(Q192="",NA(),COUNTIF(Q192:$Q$293,Q192))</f>
        <v>#N/A</v>
      </c>
      <c r="S192" s="5" t="e">
        <f t="shared" si="101"/>
        <v>#N/A</v>
      </c>
      <c r="T192" s="5" t="e">
        <f t="shared" si="93"/>
        <v>#N/A</v>
      </c>
      <c r="U192" s="5" t="e">
        <f t="shared" si="102"/>
        <v>#N/A</v>
      </c>
      <c r="V192" s="5" t="e">
        <f t="shared" si="103"/>
        <v>#N/A</v>
      </c>
      <c r="W192" s="5" t="str">
        <f t="shared" si="104"/>
        <v/>
      </c>
      <c r="X192" s="5">
        <v>99</v>
      </c>
      <c r="Y192" s="5" t="str">
        <f t="shared" si="105"/>
        <v/>
      </c>
      <c r="Z192" s="5" t="str">
        <f t="shared" si="106"/>
        <v/>
      </c>
      <c r="AA192" s="5" t="str">
        <f t="shared" si="94"/>
        <v/>
      </c>
      <c r="AB192" s="5" t="str">
        <f t="shared" si="107"/>
        <v/>
      </c>
      <c r="AC192" s="5" t="e">
        <f>IF(AB192="",NA(),COUNTIF(AB192:$AB$293,AB192))</f>
        <v>#N/A</v>
      </c>
      <c r="AD192" s="5" t="e">
        <f t="shared" si="108"/>
        <v>#N/A</v>
      </c>
      <c r="AE192" s="5" t="e">
        <f t="shared" si="95"/>
        <v>#N/A</v>
      </c>
      <c r="AF192" s="5" t="e">
        <f t="shared" si="109"/>
        <v>#N/A</v>
      </c>
      <c r="AG192" s="5" t="e">
        <f t="shared" si="110"/>
        <v>#N/A</v>
      </c>
      <c r="AH192" s="5" t="str">
        <f t="shared" si="111"/>
        <v/>
      </c>
      <c r="AI192" s="5" t="str">
        <f t="shared" si="112"/>
        <v/>
      </c>
      <c r="AJ192" s="5" t="str">
        <f t="shared" si="113"/>
        <v/>
      </c>
      <c r="AK192" s="5" t="str">
        <f t="shared" si="114"/>
        <v/>
      </c>
      <c r="AX192" s="5" t="str">
        <f t="shared" si="96"/>
        <v/>
      </c>
      <c r="AY192" s="5" t="e">
        <f t="shared" si="115"/>
        <v>#N/A</v>
      </c>
      <c r="AZ192" s="5" t="str">
        <f t="shared" si="116"/>
        <v/>
      </c>
      <c r="BA192" s="5" t="str">
        <f t="shared" si="117"/>
        <v/>
      </c>
      <c r="BB192" s="5" t="e">
        <f>IF(BA192="",NA(),COUNTIF(BA192:$BA$193,BA192))</f>
        <v>#N/A</v>
      </c>
      <c r="BC192" s="5" t="e">
        <f t="shared" si="118"/>
        <v>#N/A</v>
      </c>
      <c r="BD192" s="5" t="str">
        <f t="shared" si="97"/>
        <v/>
      </c>
      <c r="BE192" s="5" t="e">
        <f t="shared" si="119"/>
        <v>#N/A</v>
      </c>
      <c r="BF192" s="5" t="str">
        <f t="shared" si="120"/>
        <v/>
      </c>
      <c r="BG192" s="5" t="str">
        <f t="shared" si="121"/>
        <v/>
      </c>
      <c r="BH192" s="5" t="e">
        <f>IF(BG192="",NA(),COUNTIF(BG192:$BG$193,BG192))</f>
        <v>#N/A</v>
      </c>
      <c r="BI192" s="5" t="e">
        <f t="shared" si="122"/>
        <v>#N/A</v>
      </c>
      <c r="BJ192" s="640">
        <v>184</v>
      </c>
      <c r="BK192" s="683"/>
      <c r="BL192" s="684"/>
      <c r="BM192" s="685">
        <v>184</v>
      </c>
      <c r="BN192" s="686"/>
      <c r="BO192" s="87"/>
      <c r="BP192" s="13"/>
      <c r="BR192" s="640">
        <v>184</v>
      </c>
      <c r="BS192" s="683"/>
      <c r="BT192" s="684"/>
      <c r="BU192" s="685">
        <v>184</v>
      </c>
      <c r="BV192" s="686"/>
      <c r="BW192" s="87"/>
      <c r="BX192" s="13"/>
      <c r="BZ192" s="640">
        <v>184</v>
      </c>
      <c r="CA192" s="683"/>
      <c r="CB192" s="684"/>
      <c r="CC192" s="685">
        <v>184</v>
      </c>
      <c r="CD192" s="686"/>
      <c r="CE192" s="87"/>
      <c r="CF192" s="13"/>
    </row>
    <row r="193" spans="1:84" ht="12.75" customHeight="1">
      <c r="A193" s="640">
        <v>185</v>
      </c>
      <c r="B193" s="683"/>
      <c r="C193" s="684"/>
      <c r="D193" s="685">
        <v>185</v>
      </c>
      <c r="E193" s="686"/>
      <c r="F193" s="87"/>
      <c r="G193" s="13"/>
      <c r="J193" s="5" t="e">
        <f t="shared" si="68"/>
        <v>#N/A</v>
      </c>
      <c r="K193" s="5" t="e">
        <f t="shared" si="98"/>
        <v>#N/A</v>
      </c>
      <c r="L193" s="5" t="e">
        <f t="shared" si="69"/>
        <v>#N/A</v>
      </c>
      <c r="M193" s="5" t="e">
        <f t="shared" si="99"/>
        <v>#N/A</v>
      </c>
      <c r="Q193" s="5" t="str">
        <f t="shared" si="100"/>
        <v/>
      </c>
      <c r="R193" s="5" t="e">
        <f>IF(Q193="",NA(),COUNTIF(Q193:$Q$293,Q193))</f>
        <v>#N/A</v>
      </c>
      <c r="S193" s="5" t="e">
        <f t="shared" si="101"/>
        <v>#N/A</v>
      </c>
      <c r="T193" s="5" t="e">
        <f t="shared" si="93"/>
        <v>#N/A</v>
      </c>
      <c r="U193" s="5" t="e">
        <f t="shared" si="102"/>
        <v>#N/A</v>
      </c>
      <c r="V193" s="5" t="e">
        <f t="shared" si="103"/>
        <v>#N/A</v>
      </c>
      <c r="W193" s="5" t="str">
        <f t="shared" si="104"/>
        <v/>
      </c>
      <c r="X193" s="5">
        <v>100</v>
      </c>
      <c r="Y193" s="5" t="str">
        <f t="shared" si="105"/>
        <v/>
      </c>
      <c r="Z193" s="5" t="str">
        <f t="shared" si="106"/>
        <v/>
      </c>
      <c r="AA193" s="5" t="str">
        <f t="shared" si="94"/>
        <v/>
      </c>
      <c r="AB193" s="5" t="str">
        <f t="shared" si="107"/>
        <v/>
      </c>
      <c r="AC193" s="5" t="e">
        <f>IF(AB193="",NA(),COUNTIF(AB193:$AB$293,AB193))</f>
        <v>#N/A</v>
      </c>
      <c r="AD193" s="5" t="e">
        <f t="shared" si="108"/>
        <v>#N/A</v>
      </c>
      <c r="AE193" s="5" t="e">
        <f t="shared" si="95"/>
        <v>#N/A</v>
      </c>
      <c r="AF193" s="5" t="e">
        <f t="shared" si="109"/>
        <v>#N/A</v>
      </c>
      <c r="AG193" s="5" t="e">
        <f t="shared" si="110"/>
        <v>#N/A</v>
      </c>
      <c r="AH193" s="5" t="str">
        <f t="shared" si="111"/>
        <v/>
      </c>
      <c r="AI193" s="5" t="str">
        <f t="shared" si="112"/>
        <v/>
      </c>
      <c r="AJ193" s="5" t="str">
        <f t="shared" si="113"/>
        <v/>
      </c>
      <c r="AK193" s="5" t="str">
        <f t="shared" si="114"/>
        <v/>
      </c>
      <c r="AX193" s="5" t="str">
        <f t="shared" si="96"/>
        <v/>
      </c>
      <c r="AY193" s="5" t="e">
        <f t="shared" si="115"/>
        <v>#N/A</v>
      </c>
      <c r="AZ193" s="5" t="str">
        <f t="shared" si="116"/>
        <v/>
      </c>
      <c r="BA193" s="5" t="str">
        <f t="shared" si="117"/>
        <v/>
      </c>
      <c r="BB193" s="5" t="e">
        <f>IF(BA193="",NA(),COUNTIF(BA193:$BA$193,BA193))</f>
        <v>#N/A</v>
      </c>
      <c r="BC193" s="5" t="e">
        <f t="shared" si="118"/>
        <v>#N/A</v>
      </c>
      <c r="BD193" s="5" t="str">
        <f t="shared" si="97"/>
        <v/>
      </c>
      <c r="BE193" s="5" t="e">
        <f t="shared" si="119"/>
        <v>#N/A</v>
      </c>
      <c r="BF193" s="5" t="str">
        <f t="shared" si="120"/>
        <v/>
      </c>
      <c r="BG193" s="5" t="str">
        <f t="shared" si="121"/>
        <v/>
      </c>
      <c r="BH193" s="5" t="e">
        <f>IF(BG193="",NA(),COUNTIF(BG193:$BG$193,BG193))</f>
        <v>#N/A</v>
      </c>
      <c r="BI193" s="5" t="e">
        <f t="shared" si="122"/>
        <v>#N/A</v>
      </c>
      <c r="BJ193" s="640">
        <v>185</v>
      </c>
      <c r="BK193" s="683"/>
      <c r="BL193" s="684"/>
      <c r="BM193" s="685">
        <v>185</v>
      </c>
      <c r="BN193" s="686"/>
      <c r="BO193" s="87"/>
      <c r="BP193" s="13"/>
      <c r="BR193" s="640">
        <v>185</v>
      </c>
      <c r="BS193" s="683"/>
      <c r="BT193" s="684"/>
      <c r="BU193" s="685">
        <v>185</v>
      </c>
      <c r="BV193" s="686"/>
      <c r="BW193" s="87"/>
      <c r="BX193" s="13"/>
      <c r="BZ193" s="640">
        <v>185</v>
      </c>
      <c r="CA193" s="683"/>
      <c r="CB193" s="684"/>
      <c r="CC193" s="685">
        <v>185</v>
      </c>
      <c r="CD193" s="686"/>
      <c r="CE193" s="87"/>
      <c r="CF193" s="13"/>
    </row>
    <row r="194" spans="1:84" ht="12.75" customHeight="1">
      <c r="A194" s="640">
        <v>186</v>
      </c>
      <c r="B194" s="683"/>
      <c r="C194" s="684"/>
      <c r="D194" s="685">
        <v>186</v>
      </c>
      <c r="E194" s="686"/>
      <c r="F194" s="87"/>
      <c r="G194" s="13"/>
      <c r="J194" s="5" t="e">
        <f t="shared" si="68"/>
        <v>#N/A</v>
      </c>
      <c r="K194" s="5" t="e">
        <f t="shared" si="98"/>
        <v>#N/A</v>
      </c>
      <c r="L194" s="5" t="e">
        <f t="shared" si="69"/>
        <v>#N/A</v>
      </c>
      <c r="M194" s="5" t="e">
        <f t="shared" si="99"/>
        <v>#N/A</v>
      </c>
      <c r="Q194" s="5" t="str">
        <f t="shared" si="100"/>
        <v/>
      </c>
      <c r="R194" s="5" t="e">
        <f>IF(Q194="",NA(),COUNTIF(Q194:$Q$293,Q194))</f>
        <v>#N/A</v>
      </c>
      <c r="S194" s="5" t="e">
        <f t="shared" si="101"/>
        <v>#N/A</v>
      </c>
      <c r="T194" s="5" t="e">
        <f t="shared" si="93"/>
        <v>#N/A</v>
      </c>
      <c r="U194" s="5" t="e">
        <f t="shared" si="102"/>
        <v>#N/A</v>
      </c>
      <c r="V194" s="5" t="e">
        <f t="shared" si="103"/>
        <v>#N/A</v>
      </c>
      <c r="W194" s="5" t="str">
        <f t="shared" si="104"/>
        <v/>
      </c>
      <c r="X194" s="5">
        <v>101</v>
      </c>
      <c r="Y194" s="5" t="str">
        <f t="shared" si="105"/>
        <v/>
      </c>
      <c r="Z194" s="5" t="str">
        <f t="shared" si="106"/>
        <v/>
      </c>
      <c r="AA194" s="5" t="str">
        <f t="shared" si="94"/>
        <v/>
      </c>
      <c r="AB194" s="5" t="str">
        <f t="shared" si="107"/>
        <v/>
      </c>
      <c r="AC194" s="5" t="e">
        <f>IF(AB194="",NA(),COUNTIF(AB194:$AB$293,AB194))</f>
        <v>#N/A</v>
      </c>
      <c r="AD194" s="5" t="e">
        <f t="shared" si="108"/>
        <v>#N/A</v>
      </c>
      <c r="AE194" s="5" t="e">
        <f t="shared" si="95"/>
        <v>#N/A</v>
      </c>
      <c r="AF194" s="5" t="e">
        <f t="shared" si="109"/>
        <v>#N/A</v>
      </c>
      <c r="AG194" s="5" t="e">
        <f t="shared" si="110"/>
        <v>#N/A</v>
      </c>
      <c r="AH194" s="5" t="str">
        <f t="shared" si="111"/>
        <v/>
      </c>
      <c r="AI194" s="5" t="str">
        <f t="shared" si="112"/>
        <v/>
      </c>
      <c r="AJ194" s="5" t="str">
        <f t="shared" si="113"/>
        <v/>
      </c>
      <c r="AK194" s="5" t="str">
        <f t="shared" si="114"/>
        <v/>
      </c>
      <c r="AX194" s="5" t="str">
        <f t="shared" si="96"/>
        <v/>
      </c>
      <c r="AY194" s="5" t="e">
        <f t="shared" si="115"/>
        <v>#N/A</v>
      </c>
      <c r="AZ194" s="5" t="str">
        <f t="shared" si="116"/>
        <v/>
      </c>
      <c r="BA194" s="5" t="str">
        <f t="shared" si="117"/>
        <v/>
      </c>
      <c r="BB194" s="5" t="e">
        <f>IF(BA194="",NA(),COUNTIF(BA$193:$BA194,BA194))</f>
        <v>#N/A</v>
      </c>
      <c r="BC194" s="5" t="e">
        <f t="shared" si="118"/>
        <v>#N/A</v>
      </c>
      <c r="BD194" s="5" t="str">
        <f t="shared" si="97"/>
        <v/>
      </c>
      <c r="BE194" s="5" t="e">
        <f t="shared" si="119"/>
        <v>#N/A</v>
      </c>
      <c r="BF194" s="5" t="str">
        <f t="shared" si="120"/>
        <v/>
      </c>
      <c r="BG194" s="5" t="str">
        <f t="shared" si="121"/>
        <v/>
      </c>
      <c r="BH194" s="5" t="e">
        <f>IF(BG194="",NA(),COUNTIF(BG$193:$BG194,BG194))</f>
        <v>#N/A</v>
      </c>
      <c r="BI194" s="5" t="e">
        <f t="shared" si="122"/>
        <v>#N/A</v>
      </c>
      <c r="BJ194" s="640">
        <v>186</v>
      </c>
      <c r="BK194" s="683"/>
      <c r="BL194" s="684"/>
      <c r="BM194" s="685">
        <v>186</v>
      </c>
      <c r="BN194" s="686"/>
      <c r="BO194" s="87"/>
      <c r="BP194" s="13"/>
      <c r="BR194" s="640">
        <v>186</v>
      </c>
      <c r="BS194" s="683"/>
      <c r="BT194" s="684"/>
      <c r="BU194" s="685">
        <v>186</v>
      </c>
      <c r="BV194" s="686"/>
      <c r="BW194" s="87"/>
      <c r="BX194" s="13"/>
      <c r="BZ194" s="640">
        <v>186</v>
      </c>
      <c r="CA194" s="683"/>
      <c r="CB194" s="684"/>
      <c r="CC194" s="685">
        <v>186</v>
      </c>
      <c r="CD194" s="686"/>
      <c r="CE194" s="87"/>
      <c r="CF194" s="13"/>
    </row>
    <row r="195" spans="1:84" ht="12.75" customHeight="1">
      <c r="A195" s="640">
        <v>187</v>
      </c>
      <c r="B195" s="683"/>
      <c r="C195" s="684"/>
      <c r="D195" s="685">
        <v>187</v>
      </c>
      <c r="E195" s="686"/>
      <c r="F195" s="87"/>
      <c r="G195" s="13"/>
      <c r="J195" s="5" t="e">
        <f t="shared" si="68"/>
        <v>#N/A</v>
      </c>
      <c r="K195" s="5" t="e">
        <f t="shared" si="98"/>
        <v>#N/A</v>
      </c>
      <c r="L195" s="5" t="e">
        <f t="shared" si="69"/>
        <v>#N/A</v>
      </c>
      <c r="M195" s="5" t="e">
        <f t="shared" si="99"/>
        <v>#N/A</v>
      </c>
      <c r="Q195" s="5" t="str">
        <f t="shared" si="100"/>
        <v/>
      </c>
      <c r="R195" s="5" t="e">
        <f>IF(Q195="",NA(),COUNTIF(Q195:$Q$293,Q195))</f>
        <v>#N/A</v>
      </c>
      <c r="S195" s="5" t="e">
        <f t="shared" si="101"/>
        <v>#N/A</v>
      </c>
      <c r="T195" s="5" t="e">
        <f t="shared" si="93"/>
        <v>#N/A</v>
      </c>
      <c r="U195" s="5" t="e">
        <f t="shared" si="102"/>
        <v>#N/A</v>
      </c>
      <c r="V195" s="5" t="e">
        <f t="shared" si="103"/>
        <v>#N/A</v>
      </c>
      <c r="W195" s="5" t="str">
        <f t="shared" si="104"/>
        <v/>
      </c>
      <c r="X195" s="5">
        <v>102</v>
      </c>
      <c r="Y195" s="5" t="str">
        <f t="shared" si="105"/>
        <v/>
      </c>
      <c r="Z195" s="5" t="str">
        <f t="shared" si="106"/>
        <v/>
      </c>
      <c r="AA195" s="5" t="str">
        <f t="shared" si="94"/>
        <v/>
      </c>
      <c r="AB195" s="5" t="str">
        <f t="shared" si="107"/>
        <v/>
      </c>
      <c r="AC195" s="5" t="e">
        <f>IF(AB195="",NA(),COUNTIF(AB195:$AB$293,AB195))</f>
        <v>#N/A</v>
      </c>
      <c r="AD195" s="5" t="e">
        <f t="shared" si="108"/>
        <v>#N/A</v>
      </c>
      <c r="AE195" s="5" t="e">
        <f t="shared" si="95"/>
        <v>#N/A</v>
      </c>
      <c r="AF195" s="5" t="e">
        <f t="shared" si="109"/>
        <v>#N/A</v>
      </c>
      <c r="AG195" s="5" t="e">
        <f t="shared" si="110"/>
        <v>#N/A</v>
      </c>
      <c r="AH195" s="5" t="str">
        <f t="shared" si="111"/>
        <v/>
      </c>
      <c r="AI195" s="5" t="str">
        <f t="shared" si="112"/>
        <v/>
      </c>
      <c r="AJ195" s="5" t="str">
        <f t="shared" si="113"/>
        <v/>
      </c>
      <c r="AK195" s="5" t="str">
        <f t="shared" si="114"/>
        <v/>
      </c>
      <c r="AX195" s="5" t="str">
        <f t="shared" si="96"/>
        <v/>
      </c>
      <c r="AY195" s="5" t="e">
        <f t="shared" si="115"/>
        <v>#N/A</v>
      </c>
      <c r="AZ195" s="5" t="str">
        <f t="shared" si="116"/>
        <v/>
      </c>
      <c r="BA195" s="5" t="str">
        <f t="shared" si="117"/>
        <v/>
      </c>
      <c r="BB195" s="5" t="e">
        <f>IF(BA195="",NA(),COUNTIF(BA$193:$BA195,BA195))</f>
        <v>#N/A</v>
      </c>
      <c r="BC195" s="5" t="e">
        <f t="shared" si="118"/>
        <v>#N/A</v>
      </c>
      <c r="BD195" s="5" t="str">
        <f t="shared" si="97"/>
        <v/>
      </c>
      <c r="BE195" s="5" t="e">
        <f t="shared" si="119"/>
        <v>#N/A</v>
      </c>
      <c r="BF195" s="5" t="str">
        <f t="shared" si="120"/>
        <v/>
      </c>
      <c r="BG195" s="5" t="str">
        <f t="shared" si="121"/>
        <v/>
      </c>
      <c r="BH195" s="5" t="e">
        <f>IF(BG195="",NA(),COUNTIF(BG$193:$BG195,BG195))</f>
        <v>#N/A</v>
      </c>
      <c r="BI195" s="5" t="e">
        <f t="shared" si="122"/>
        <v>#N/A</v>
      </c>
      <c r="BJ195" s="640">
        <v>187</v>
      </c>
      <c r="BK195" s="683"/>
      <c r="BL195" s="684"/>
      <c r="BM195" s="685">
        <v>187</v>
      </c>
      <c r="BN195" s="686"/>
      <c r="BO195" s="87"/>
      <c r="BP195" s="13"/>
      <c r="BR195" s="640">
        <v>187</v>
      </c>
      <c r="BS195" s="683"/>
      <c r="BT195" s="684"/>
      <c r="BU195" s="685">
        <v>187</v>
      </c>
      <c r="BV195" s="686"/>
      <c r="BW195" s="87"/>
      <c r="BX195" s="13"/>
      <c r="BZ195" s="640">
        <v>187</v>
      </c>
      <c r="CA195" s="683"/>
      <c r="CB195" s="684"/>
      <c r="CC195" s="685">
        <v>187</v>
      </c>
      <c r="CD195" s="686"/>
      <c r="CE195" s="87"/>
      <c r="CF195" s="13"/>
    </row>
    <row r="196" spans="1:84" ht="12.75" customHeight="1">
      <c r="A196" s="640">
        <v>188</v>
      </c>
      <c r="B196" s="683"/>
      <c r="C196" s="684"/>
      <c r="D196" s="685">
        <v>188</v>
      </c>
      <c r="E196" s="686"/>
      <c r="F196" s="87"/>
      <c r="G196" s="13"/>
      <c r="J196" s="5" t="e">
        <f t="shared" si="68"/>
        <v>#N/A</v>
      </c>
      <c r="K196" s="5" t="e">
        <f t="shared" si="98"/>
        <v>#N/A</v>
      </c>
      <c r="L196" s="5" t="e">
        <f t="shared" si="69"/>
        <v>#N/A</v>
      </c>
      <c r="M196" s="5" t="e">
        <f t="shared" si="99"/>
        <v>#N/A</v>
      </c>
      <c r="Q196" s="5" t="str">
        <f t="shared" si="100"/>
        <v/>
      </c>
      <c r="R196" s="5" t="e">
        <f>IF(Q196="",NA(),COUNTIF(Q196:$Q$293,Q196))</f>
        <v>#N/A</v>
      </c>
      <c r="S196" s="5" t="e">
        <f t="shared" si="101"/>
        <v>#N/A</v>
      </c>
      <c r="T196" s="5" t="e">
        <f t="shared" si="93"/>
        <v>#N/A</v>
      </c>
      <c r="U196" s="5" t="e">
        <f t="shared" si="102"/>
        <v>#N/A</v>
      </c>
      <c r="V196" s="5" t="e">
        <f t="shared" si="103"/>
        <v>#N/A</v>
      </c>
      <c r="W196" s="5" t="str">
        <f t="shared" si="104"/>
        <v/>
      </c>
      <c r="X196" s="5">
        <v>103</v>
      </c>
      <c r="Y196" s="5" t="str">
        <f t="shared" si="105"/>
        <v/>
      </c>
      <c r="Z196" s="5" t="str">
        <f t="shared" si="106"/>
        <v/>
      </c>
      <c r="AA196" s="5" t="str">
        <f t="shared" si="94"/>
        <v/>
      </c>
      <c r="AB196" s="5" t="str">
        <f t="shared" si="107"/>
        <v/>
      </c>
      <c r="AC196" s="5" t="e">
        <f>IF(AB196="",NA(),COUNTIF(AB196:$AB$293,AB196))</f>
        <v>#N/A</v>
      </c>
      <c r="AD196" s="5" t="e">
        <f t="shared" si="108"/>
        <v>#N/A</v>
      </c>
      <c r="AE196" s="5" t="e">
        <f t="shared" si="95"/>
        <v>#N/A</v>
      </c>
      <c r="AF196" s="5" t="e">
        <f t="shared" si="109"/>
        <v>#N/A</v>
      </c>
      <c r="AG196" s="5" t="e">
        <f t="shared" si="110"/>
        <v>#N/A</v>
      </c>
      <c r="AH196" s="5" t="str">
        <f t="shared" si="111"/>
        <v/>
      </c>
      <c r="AI196" s="5" t="str">
        <f t="shared" si="112"/>
        <v/>
      </c>
      <c r="AJ196" s="5" t="str">
        <f t="shared" si="113"/>
        <v/>
      </c>
      <c r="AK196" s="5" t="str">
        <f t="shared" si="114"/>
        <v/>
      </c>
      <c r="AX196" s="5" t="str">
        <f t="shared" si="96"/>
        <v/>
      </c>
      <c r="AY196" s="5" t="e">
        <f t="shared" si="115"/>
        <v>#N/A</v>
      </c>
      <c r="AZ196" s="5" t="str">
        <f t="shared" si="116"/>
        <v/>
      </c>
      <c r="BA196" s="5" t="str">
        <f t="shared" si="117"/>
        <v/>
      </c>
      <c r="BB196" s="5" t="e">
        <f>IF(BA196="",NA(),COUNTIF(BA$193:$BA196,BA196))</f>
        <v>#N/A</v>
      </c>
      <c r="BC196" s="5" t="e">
        <f t="shared" si="118"/>
        <v>#N/A</v>
      </c>
      <c r="BD196" s="5" t="str">
        <f t="shared" si="97"/>
        <v/>
      </c>
      <c r="BE196" s="5" t="e">
        <f t="shared" si="119"/>
        <v>#N/A</v>
      </c>
      <c r="BF196" s="5" t="str">
        <f t="shared" si="120"/>
        <v/>
      </c>
      <c r="BG196" s="5" t="str">
        <f t="shared" si="121"/>
        <v/>
      </c>
      <c r="BH196" s="5" t="e">
        <f>IF(BG196="",NA(),COUNTIF(BG$193:$BG196,BG196))</f>
        <v>#N/A</v>
      </c>
      <c r="BI196" s="5" t="e">
        <f t="shared" si="122"/>
        <v>#N/A</v>
      </c>
      <c r="BJ196" s="640">
        <v>188</v>
      </c>
      <c r="BK196" s="683"/>
      <c r="BL196" s="684"/>
      <c r="BM196" s="685">
        <v>188</v>
      </c>
      <c r="BN196" s="686"/>
      <c r="BO196" s="87"/>
      <c r="BP196" s="13"/>
      <c r="BR196" s="640">
        <v>188</v>
      </c>
      <c r="BS196" s="683"/>
      <c r="BT196" s="684"/>
      <c r="BU196" s="685">
        <v>188</v>
      </c>
      <c r="BV196" s="686"/>
      <c r="BW196" s="87"/>
      <c r="BX196" s="13"/>
      <c r="BZ196" s="640">
        <v>188</v>
      </c>
      <c r="CA196" s="683"/>
      <c r="CB196" s="684"/>
      <c r="CC196" s="685">
        <v>188</v>
      </c>
      <c r="CD196" s="686"/>
      <c r="CE196" s="87"/>
      <c r="CF196" s="13"/>
    </row>
    <row r="197" spans="1:84" ht="12.75" customHeight="1">
      <c r="A197" s="640">
        <v>189</v>
      </c>
      <c r="B197" s="683"/>
      <c r="C197" s="684"/>
      <c r="D197" s="685">
        <v>189</v>
      </c>
      <c r="E197" s="686"/>
      <c r="F197" s="87"/>
      <c r="G197" s="13"/>
      <c r="J197" s="5" t="e">
        <f t="shared" si="68"/>
        <v>#N/A</v>
      </c>
      <c r="K197" s="5" t="e">
        <f t="shared" si="98"/>
        <v>#N/A</v>
      </c>
      <c r="L197" s="5" t="e">
        <f t="shared" si="69"/>
        <v>#N/A</v>
      </c>
      <c r="M197" s="5" t="e">
        <f t="shared" si="99"/>
        <v>#N/A</v>
      </c>
      <c r="Q197" s="5" t="str">
        <f t="shared" si="100"/>
        <v/>
      </c>
      <c r="R197" s="5" t="e">
        <f>IF(Q197="",NA(),COUNTIF(Q197:$Q$293,Q197))</f>
        <v>#N/A</v>
      </c>
      <c r="S197" s="5" t="e">
        <f t="shared" si="101"/>
        <v>#N/A</v>
      </c>
      <c r="T197" s="5" t="e">
        <f t="shared" si="93"/>
        <v>#N/A</v>
      </c>
      <c r="U197" s="5" t="e">
        <f t="shared" si="102"/>
        <v>#N/A</v>
      </c>
      <c r="V197" s="5" t="e">
        <f t="shared" si="103"/>
        <v>#N/A</v>
      </c>
      <c r="W197" s="5" t="str">
        <f t="shared" si="104"/>
        <v/>
      </c>
      <c r="X197" s="5">
        <v>104</v>
      </c>
      <c r="Y197" s="5" t="str">
        <f t="shared" si="105"/>
        <v/>
      </c>
      <c r="Z197" s="5" t="str">
        <f t="shared" si="106"/>
        <v/>
      </c>
      <c r="AA197" s="5" t="str">
        <f t="shared" si="94"/>
        <v/>
      </c>
      <c r="AB197" s="5" t="str">
        <f t="shared" si="107"/>
        <v/>
      </c>
      <c r="AC197" s="5" t="e">
        <f>IF(AB197="",NA(),COUNTIF(AB197:$AB$293,AB197))</f>
        <v>#N/A</v>
      </c>
      <c r="AD197" s="5" t="e">
        <f t="shared" si="108"/>
        <v>#N/A</v>
      </c>
      <c r="AE197" s="5" t="e">
        <f t="shared" si="95"/>
        <v>#N/A</v>
      </c>
      <c r="AF197" s="5" t="e">
        <f t="shared" si="109"/>
        <v>#N/A</v>
      </c>
      <c r="AG197" s="5" t="e">
        <f t="shared" si="110"/>
        <v>#N/A</v>
      </c>
      <c r="AH197" s="5" t="str">
        <f t="shared" si="111"/>
        <v/>
      </c>
      <c r="AI197" s="5" t="str">
        <f t="shared" si="112"/>
        <v/>
      </c>
      <c r="AJ197" s="5" t="str">
        <f t="shared" si="113"/>
        <v/>
      </c>
      <c r="AK197" s="5" t="str">
        <f t="shared" si="114"/>
        <v/>
      </c>
      <c r="AX197" s="5" t="str">
        <f t="shared" si="96"/>
        <v/>
      </c>
      <c r="AY197" s="5" t="e">
        <f t="shared" si="115"/>
        <v>#N/A</v>
      </c>
      <c r="AZ197" s="5" t="str">
        <f t="shared" si="116"/>
        <v/>
      </c>
      <c r="BA197" s="5" t="str">
        <f t="shared" si="117"/>
        <v/>
      </c>
      <c r="BB197" s="5" t="e">
        <f>IF(BA197="",NA(),COUNTIF(BA$193:$BA197,BA197))</f>
        <v>#N/A</v>
      </c>
      <c r="BC197" s="5" t="e">
        <f t="shared" si="118"/>
        <v>#N/A</v>
      </c>
      <c r="BD197" s="5" t="str">
        <f t="shared" si="97"/>
        <v/>
      </c>
      <c r="BE197" s="5" t="e">
        <f t="shared" si="119"/>
        <v>#N/A</v>
      </c>
      <c r="BF197" s="5" t="str">
        <f t="shared" si="120"/>
        <v/>
      </c>
      <c r="BG197" s="5" t="str">
        <f t="shared" si="121"/>
        <v/>
      </c>
      <c r="BH197" s="5" t="e">
        <f>IF(BG197="",NA(),COUNTIF(BG$193:$BG197,BG197))</f>
        <v>#N/A</v>
      </c>
      <c r="BI197" s="5" t="e">
        <f t="shared" si="122"/>
        <v>#N/A</v>
      </c>
      <c r="BJ197" s="640">
        <v>189</v>
      </c>
      <c r="BK197" s="683"/>
      <c r="BL197" s="684"/>
      <c r="BM197" s="685">
        <v>189</v>
      </c>
      <c r="BN197" s="686"/>
      <c r="BO197" s="87"/>
      <c r="BP197" s="13"/>
      <c r="BR197" s="640">
        <v>189</v>
      </c>
      <c r="BS197" s="683"/>
      <c r="BT197" s="684"/>
      <c r="BU197" s="685">
        <v>189</v>
      </c>
      <c r="BV197" s="686"/>
      <c r="BW197" s="87"/>
      <c r="BX197" s="13"/>
      <c r="BZ197" s="640">
        <v>189</v>
      </c>
      <c r="CA197" s="683"/>
      <c r="CB197" s="684"/>
      <c r="CC197" s="685">
        <v>189</v>
      </c>
      <c r="CD197" s="686"/>
      <c r="CE197" s="87"/>
      <c r="CF197" s="13"/>
    </row>
    <row r="198" spans="1:84" ht="12.75" customHeight="1">
      <c r="A198" s="640">
        <v>190</v>
      </c>
      <c r="B198" s="683"/>
      <c r="C198" s="684"/>
      <c r="D198" s="685">
        <v>190</v>
      </c>
      <c r="E198" s="686"/>
      <c r="F198" s="87"/>
      <c r="G198" s="13"/>
      <c r="J198" s="5" t="e">
        <f t="shared" si="68"/>
        <v>#N/A</v>
      </c>
      <c r="K198" s="5" t="e">
        <f t="shared" si="98"/>
        <v>#N/A</v>
      </c>
      <c r="L198" s="5" t="e">
        <f t="shared" si="69"/>
        <v>#N/A</v>
      </c>
      <c r="M198" s="5" t="e">
        <f t="shared" si="99"/>
        <v>#N/A</v>
      </c>
      <c r="Q198" s="5" t="str">
        <f t="shared" si="100"/>
        <v/>
      </c>
      <c r="R198" s="5" t="e">
        <f>IF(Q198="",NA(),COUNTIF(Q198:$Q$293,Q198))</f>
        <v>#N/A</v>
      </c>
      <c r="S198" s="5" t="e">
        <f t="shared" si="101"/>
        <v>#N/A</v>
      </c>
      <c r="T198" s="5" t="e">
        <f t="shared" si="93"/>
        <v>#N/A</v>
      </c>
      <c r="U198" s="5" t="e">
        <f t="shared" si="102"/>
        <v>#N/A</v>
      </c>
      <c r="V198" s="5" t="e">
        <f t="shared" si="103"/>
        <v>#N/A</v>
      </c>
      <c r="W198" s="5" t="str">
        <f t="shared" si="104"/>
        <v/>
      </c>
      <c r="X198" s="5">
        <v>105</v>
      </c>
      <c r="Y198" s="5" t="str">
        <f t="shared" si="105"/>
        <v/>
      </c>
      <c r="Z198" s="5" t="str">
        <f t="shared" si="106"/>
        <v/>
      </c>
      <c r="AA198" s="5" t="str">
        <f t="shared" si="94"/>
        <v/>
      </c>
      <c r="AB198" s="5" t="str">
        <f t="shared" si="107"/>
        <v/>
      </c>
      <c r="AC198" s="5" t="e">
        <f>IF(AB198="",NA(),COUNTIF(AB198:$AB$293,AB198))</f>
        <v>#N/A</v>
      </c>
      <c r="AD198" s="5" t="e">
        <f t="shared" si="108"/>
        <v>#N/A</v>
      </c>
      <c r="AE198" s="5" t="e">
        <f t="shared" si="95"/>
        <v>#N/A</v>
      </c>
      <c r="AF198" s="5" t="e">
        <f t="shared" si="109"/>
        <v>#N/A</v>
      </c>
      <c r="AG198" s="5" t="e">
        <f t="shared" si="110"/>
        <v>#N/A</v>
      </c>
      <c r="AH198" s="5" t="str">
        <f t="shared" si="111"/>
        <v/>
      </c>
      <c r="AI198" s="5" t="str">
        <f t="shared" si="112"/>
        <v/>
      </c>
      <c r="AJ198" s="5" t="str">
        <f t="shared" si="113"/>
        <v/>
      </c>
      <c r="AK198" s="5" t="str">
        <f t="shared" si="114"/>
        <v/>
      </c>
      <c r="AX198" s="5" t="str">
        <f t="shared" si="96"/>
        <v/>
      </c>
      <c r="AY198" s="5" t="e">
        <f t="shared" si="115"/>
        <v>#N/A</v>
      </c>
      <c r="AZ198" s="5" t="str">
        <f t="shared" si="116"/>
        <v/>
      </c>
      <c r="BA198" s="5" t="str">
        <f t="shared" si="117"/>
        <v/>
      </c>
      <c r="BB198" s="5" t="e">
        <f>IF(BA198="",NA(),COUNTIF(BA$193:$BA198,BA198))</f>
        <v>#N/A</v>
      </c>
      <c r="BC198" s="5" t="e">
        <f t="shared" si="118"/>
        <v>#N/A</v>
      </c>
      <c r="BD198" s="5" t="str">
        <f t="shared" si="97"/>
        <v/>
      </c>
      <c r="BE198" s="5" t="e">
        <f t="shared" si="119"/>
        <v>#N/A</v>
      </c>
      <c r="BF198" s="5" t="str">
        <f t="shared" si="120"/>
        <v/>
      </c>
      <c r="BG198" s="5" t="str">
        <f t="shared" si="121"/>
        <v/>
      </c>
      <c r="BH198" s="5" t="e">
        <f>IF(BG198="",NA(),COUNTIF(BG$193:$BG198,BG198))</f>
        <v>#N/A</v>
      </c>
      <c r="BI198" s="5" t="e">
        <f t="shared" si="122"/>
        <v>#N/A</v>
      </c>
      <c r="BJ198" s="640">
        <v>190</v>
      </c>
      <c r="BK198" s="683"/>
      <c r="BL198" s="684"/>
      <c r="BM198" s="685">
        <v>190</v>
      </c>
      <c r="BN198" s="686"/>
      <c r="BO198" s="87"/>
      <c r="BP198" s="13"/>
      <c r="BR198" s="640">
        <v>190</v>
      </c>
      <c r="BS198" s="683"/>
      <c r="BT198" s="684"/>
      <c r="BU198" s="685">
        <v>190</v>
      </c>
      <c r="BV198" s="686"/>
      <c r="BW198" s="87"/>
      <c r="BX198" s="13"/>
      <c r="BZ198" s="640">
        <v>190</v>
      </c>
      <c r="CA198" s="683"/>
      <c r="CB198" s="684"/>
      <c r="CC198" s="685">
        <v>190</v>
      </c>
      <c r="CD198" s="686"/>
      <c r="CE198" s="87"/>
      <c r="CF198" s="13"/>
    </row>
    <row r="199" spans="1:84" ht="12.75" customHeight="1">
      <c r="A199" s="640">
        <v>191</v>
      </c>
      <c r="B199" s="683"/>
      <c r="C199" s="684"/>
      <c r="D199" s="685">
        <v>191</v>
      </c>
      <c r="E199" s="686"/>
      <c r="F199" s="87"/>
      <c r="G199" s="13"/>
      <c r="J199" s="5" t="e">
        <f t="shared" si="68"/>
        <v>#N/A</v>
      </c>
      <c r="K199" s="5" t="e">
        <f t="shared" si="98"/>
        <v>#N/A</v>
      </c>
      <c r="L199" s="5" t="e">
        <f t="shared" si="69"/>
        <v>#N/A</v>
      </c>
      <c r="M199" s="5" t="e">
        <f t="shared" si="99"/>
        <v>#N/A</v>
      </c>
      <c r="Q199" s="5" t="str">
        <f t="shared" si="100"/>
        <v/>
      </c>
      <c r="R199" s="5" t="e">
        <f>IF(Q199="",NA(),COUNTIF(Q199:$Q$293,Q199))</f>
        <v>#N/A</v>
      </c>
      <c r="S199" s="5" t="e">
        <f t="shared" si="101"/>
        <v>#N/A</v>
      </c>
      <c r="T199" s="5" t="e">
        <f t="shared" si="93"/>
        <v>#N/A</v>
      </c>
      <c r="U199" s="5" t="e">
        <f t="shared" si="102"/>
        <v>#N/A</v>
      </c>
      <c r="V199" s="5" t="e">
        <f t="shared" si="103"/>
        <v>#N/A</v>
      </c>
      <c r="W199" s="5" t="str">
        <f t="shared" si="104"/>
        <v/>
      </c>
      <c r="X199" s="5">
        <v>106</v>
      </c>
      <c r="Y199" s="5" t="str">
        <f t="shared" si="105"/>
        <v/>
      </c>
      <c r="Z199" s="5" t="str">
        <f t="shared" si="106"/>
        <v/>
      </c>
      <c r="AA199" s="5" t="str">
        <f t="shared" si="94"/>
        <v/>
      </c>
      <c r="AB199" s="5" t="str">
        <f t="shared" si="107"/>
        <v/>
      </c>
      <c r="AC199" s="5" t="e">
        <f>IF(AB199="",NA(),COUNTIF(AB199:$AB$293,AB199))</f>
        <v>#N/A</v>
      </c>
      <c r="AD199" s="5" t="e">
        <f t="shared" si="108"/>
        <v>#N/A</v>
      </c>
      <c r="AE199" s="5" t="e">
        <f t="shared" si="95"/>
        <v>#N/A</v>
      </c>
      <c r="AF199" s="5" t="e">
        <f t="shared" si="109"/>
        <v>#N/A</v>
      </c>
      <c r="AG199" s="5" t="e">
        <f t="shared" si="110"/>
        <v>#N/A</v>
      </c>
      <c r="AH199" s="5" t="str">
        <f t="shared" si="111"/>
        <v/>
      </c>
      <c r="AI199" s="5" t="str">
        <f t="shared" si="112"/>
        <v/>
      </c>
      <c r="AJ199" s="5" t="str">
        <f t="shared" si="113"/>
        <v/>
      </c>
      <c r="AK199" s="5" t="str">
        <f t="shared" si="114"/>
        <v/>
      </c>
      <c r="AX199" s="5" t="str">
        <f t="shared" si="96"/>
        <v/>
      </c>
      <c r="AY199" s="5" t="e">
        <f t="shared" si="115"/>
        <v>#N/A</v>
      </c>
      <c r="AZ199" s="5" t="str">
        <f t="shared" si="116"/>
        <v/>
      </c>
      <c r="BA199" s="5" t="str">
        <f t="shared" si="117"/>
        <v/>
      </c>
      <c r="BB199" s="5" t="e">
        <f>IF(BA199="",NA(),COUNTIF(BA$193:$BA199,BA199))</f>
        <v>#N/A</v>
      </c>
      <c r="BC199" s="5" t="e">
        <f t="shared" si="118"/>
        <v>#N/A</v>
      </c>
      <c r="BD199" s="5" t="str">
        <f t="shared" si="97"/>
        <v/>
      </c>
      <c r="BE199" s="5" t="e">
        <f t="shared" si="119"/>
        <v>#N/A</v>
      </c>
      <c r="BF199" s="5" t="str">
        <f t="shared" si="120"/>
        <v/>
      </c>
      <c r="BG199" s="5" t="str">
        <f t="shared" si="121"/>
        <v/>
      </c>
      <c r="BH199" s="5" t="e">
        <f>IF(BG199="",NA(),COUNTIF(BG$193:$BG199,BG199))</f>
        <v>#N/A</v>
      </c>
      <c r="BI199" s="5" t="e">
        <f t="shared" si="122"/>
        <v>#N/A</v>
      </c>
      <c r="BJ199" s="640">
        <v>191</v>
      </c>
      <c r="BK199" s="683"/>
      <c r="BL199" s="684"/>
      <c r="BM199" s="685">
        <v>191</v>
      </c>
      <c r="BN199" s="686"/>
      <c r="BO199" s="87"/>
      <c r="BP199" s="13"/>
      <c r="BR199" s="640">
        <v>191</v>
      </c>
      <c r="BS199" s="683"/>
      <c r="BT199" s="684"/>
      <c r="BU199" s="685">
        <v>191</v>
      </c>
      <c r="BV199" s="686"/>
      <c r="BW199" s="87"/>
      <c r="BX199" s="13"/>
      <c r="BZ199" s="640">
        <v>191</v>
      </c>
      <c r="CA199" s="683"/>
      <c r="CB199" s="684"/>
      <c r="CC199" s="685">
        <v>191</v>
      </c>
      <c r="CD199" s="686"/>
      <c r="CE199" s="87"/>
      <c r="CF199" s="13"/>
    </row>
    <row r="200" spans="1:84" ht="12.75" customHeight="1">
      <c r="A200" s="640">
        <v>192</v>
      </c>
      <c r="B200" s="683"/>
      <c r="C200" s="684"/>
      <c r="D200" s="685">
        <v>192</v>
      </c>
      <c r="E200" s="686"/>
      <c r="F200" s="87"/>
      <c r="G200" s="13"/>
      <c r="J200" s="5" t="e">
        <f t="shared" si="68"/>
        <v>#N/A</v>
      </c>
      <c r="K200" s="5" t="e">
        <f t="shared" si="98"/>
        <v>#N/A</v>
      </c>
      <c r="L200" s="5" t="e">
        <f t="shared" si="69"/>
        <v>#N/A</v>
      </c>
      <c r="M200" s="5" t="e">
        <f t="shared" si="99"/>
        <v>#N/A</v>
      </c>
      <c r="Q200" s="5" t="str">
        <f t="shared" si="100"/>
        <v/>
      </c>
      <c r="R200" s="5" t="e">
        <f>IF(Q200="",NA(),COUNTIF(Q200:$Q$293,Q200))</f>
        <v>#N/A</v>
      </c>
      <c r="S200" s="5" t="e">
        <f t="shared" si="101"/>
        <v>#N/A</v>
      </c>
      <c r="T200" s="5" t="e">
        <f t="shared" si="93"/>
        <v>#N/A</v>
      </c>
      <c r="U200" s="5" t="e">
        <f t="shared" si="102"/>
        <v>#N/A</v>
      </c>
      <c r="V200" s="5" t="e">
        <f t="shared" si="103"/>
        <v>#N/A</v>
      </c>
      <c r="W200" s="5" t="str">
        <f t="shared" si="104"/>
        <v/>
      </c>
      <c r="X200" s="5">
        <v>107</v>
      </c>
      <c r="Y200" s="5" t="str">
        <f t="shared" si="105"/>
        <v/>
      </c>
      <c r="Z200" s="5" t="str">
        <f t="shared" si="106"/>
        <v/>
      </c>
      <c r="AA200" s="5" t="str">
        <f t="shared" si="94"/>
        <v/>
      </c>
      <c r="AB200" s="5" t="str">
        <f t="shared" si="107"/>
        <v/>
      </c>
      <c r="AC200" s="5" t="e">
        <f>IF(AB200="",NA(),COUNTIF(AB200:$AB$293,AB200))</f>
        <v>#N/A</v>
      </c>
      <c r="AD200" s="5" t="e">
        <f t="shared" si="108"/>
        <v>#N/A</v>
      </c>
      <c r="AE200" s="5" t="e">
        <f t="shared" si="95"/>
        <v>#N/A</v>
      </c>
      <c r="AF200" s="5" t="e">
        <f t="shared" si="109"/>
        <v>#N/A</v>
      </c>
      <c r="AG200" s="5" t="e">
        <f t="shared" si="110"/>
        <v>#N/A</v>
      </c>
      <c r="AH200" s="5" t="str">
        <f t="shared" si="111"/>
        <v/>
      </c>
      <c r="AI200" s="5" t="str">
        <f t="shared" si="112"/>
        <v/>
      </c>
      <c r="AJ200" s="5" t="str">
        <f t="shared" si="113"/>
        <v/>
      </c>
      <c r="AK200" s="5" t="str">
        <f t="shared" si="114"/>
        <v/>
      </c>
      <c r="AX200" s="5" t="str">
        <f t="shared" si="96"/>
        <v/>
      </c>
      <c r="AY200" s="5" t="e">
        <f t="shared" si="115"/>
        <v>#N/A</v>
      </c>
      <c r="AZ200" s="5" t="str">
        <f t="shared" si="116"/>
        <v/>
      </c>
      <c r="BA200" s="5" t="str">
        <f t="shared" si="117"/>
        <v/>
      </c>
      <c r="BB200" s="5" t="e">
        <f>IF(BA200="",NA(),COUNTIF(BA$193:$BA200,BA200))</f>
        <v>#N/A</v>
      </c>
      <c r="BC200" s="5" t="e">
        <f t="shared" si="118"/>
        <v>#N/A</v>
      </c>
      <c r="BD200" s="5" t="str">
        <f t="shared" si="97"/>
        <v/>
      </c>
      <c r="BE200" s="5" t="e">
        <f t="shared" si="119"/>
        <v>#N/A</v>
      </c>
      <c r="BF200" s="5" t="str">
        <f t="shared" si="120"/>
        <v/>
      </c>
      <c r="BG200" s="5" t="str">
        <f t="shared" si="121"/>
        <v/>
      </c>
      <c r="BH200" s="5" t="e">
        <f>IF(BG200="",NA(),COUNTIF(BG$193:$BG200,BG200))</f>
        <v>#N/A</v>
      </c>
      <c r="BI200" s="5" t="e">
        <f t="shared" si="122"/>
        <v>#N/A</v>
      </c>
      <c r="BJ200" s="640">
        <v>192</v>
      </c>
      <c r="BK200" s="683"/>
      <c r="BL200" s="684"/>
      <c r="BM200" s="685">
        <v>192</v>
      </c>
      <c r="BN200" s="686"/>
      <c r="BO200" s="87"/>
      <c r="BP200" s="13"/>
      <c r="BR200" s="640">
        <v>192</v>
      </c>
      <c r="BS200" s="683"/>
      <c r="BT200" s="684"/>
      <c r="BU200" s="685">
        <v>192</v>
      </c>
      <c r="BV200" s="686"/>
      <c r="BW200" s="87"/>
      <c r="BX200" s="13"/>
      <c r="BZ200" s="640">
        <v>192</v>
      </c>
      <c r="CA200" s="683"/>
      <c r="CB200" s="684"/>
      <c r="CC200" s="685">
        <v>192</v>
      </c>
      <c r="CD200" s="686"/>
      <c r="CE200" s="87"/>
      <c r="CF200" s="13"/>
    </row>
    <row r="201" spans="1:84" ht="12.75" customHeight="1">
      <c r="A201" s="640">
        <v>193</v>
      </c>
      <c r="B201" s="683"/>
      <c r="C201" s="684"/>
      <c r="D201" s="685">
        <v>193</v>
      </c>
      <c r="E201" s="686"/>
      <c r="F201" s="87"/>
      <c r="G201" s="13"/>
      <c r="J201" s="5" t="e">
        <f t="shared" si="68"/>
        <v>#N/A</v>
      </c>
      <c r="K201" s="5" t="e">
        <f t="shared" si="98"/>
        <v>#N/A</v>
      </c>
      <c r="L201" s="5" t="e">
        <f t="shared" si="69"/>
        <v>#N/A</v>
      </c>
      <c r="M201" s="5" t="e">
        <f t="shared" si="99"/>
        <v>#N/A</v>
      </c>
      <c r="Q201" s="5" t="str">
        <f t="shared" si="100"/>
        <v/>
      </c>
      <c r="R201" s="5" t="e">
        <f>IF(Q201="",NA(),COUNTIF(Q201:$Q$293,Q201))</f>
        <v>#N/A</v>
      </c>
      <c r="S201" s="5" t="e">
        <f t="shared" si="101"/>
        <v>#N/A</v>
      </c>
      <c r="T201" s="5" t="e">
        <f t="shared" si="93"/>
        <v>#N/A</v>
      </c>
      <c r="U201" s="5" t="e">
        <f t="shared" si="102"/>
        <v>#N/A</v>
      </c>
      <c r="V201" s="5" t="e">
        <f t="shared" si="103"/>
        <v>#N/A</v>
      </c>
      <c r="W201" s="5" t="str">
        <f t="shared" si="104"/>
        <v/>
      </c>
      <c r="X201" s="5">
        <v>108</v>
      </c>
      <c r="Y201" s="5" t="str">
        <f t="shared" si="105"/>
        <v/>
      </c>
      <c r="Z201" s="5" t="str">
        <f t="shared" si="106"/>
        <v/>
      </c>
      <c r="AA201" s="5" t="str">
        <f t="shared" si="94"/>
        <v/>
      </c>
      <c r="AB201" s="5" t="str">
        <f t="shared" si="107"/>
        <v/>
      </c>
      <c r="AC201" s="5" t="e">
        <f>IF(AB201="",NA(),COUNTIF(AB201:$AB$293,AB201))</f>
        <v>#N/A</v>
      </c>
      <c r="AD201" s="5" t="e">
        <f t="shared" si="108"/>
        <v>#N/A</v>
      </c>
      <c r="AE201" s="5" t="e">
        <f t="shared" si="95"/>
        <v>#N/A</v>
      </c>
      <c r="AF201" s="5" t="e">
        <f t="shared" si="109"/>
        <v>#N/A</v>
      </c>
      <c r="AG201" s="5" t="e">
        <f t="shared" si="110"/>
        <v>#N/A</v>
      </c>
      <c r="AH201" s="5" t="str">
        <f t="shared" si="111"/>
        <v/>
      </c>
      <c r="AI201" s="5" t="str">
        <f t="shared" si="112"/>
        <v/>
      </c>
      <c r="AJ201" s="5" t="str">
        <f t="shared" si="113"/>
        <v/>
      </c>
      <c r="AK201" s="5" t="str">
        <f t="shared" si="114"/>
        <v/>
      </c>
      <c r="AX201" s="5" t="str">
        <f t="shared" si="96"/>
        <v/>
      </c>
      <c r="AY201" s="5" t="e">
        <f t="shared" si="115"/>
        <v>#N/A</v>
      </c>
      <c r="AZ201" s="5" t="str">
        <f t="shared" si="116"/>
        <v/>
      </c>
      <c r="BA201" s="5" t="str">
        <f t="shared" si="117"/>
        <v/>
      </c>
      <c r="BB201" s="5" t="e">
        <f>IF(BA201="",NA(),COUNTIF(BA$193:$BA201,BA201))</f>
        <v>#N/A</v>
      </c>
      <c r="BC201" s="5" t="e">
        <f t="shared" si="118"/>
        <v>#N/A</v>
      </c>
      <c r="BD201" s="5" t="str">
        <f t="shared" si="97"/>
        <v/>
      </c>
      <c r="BE201" s="5" t="e">
        <f t="shared" si="119"/>
        <v>#N/A</v>
      </c>
      <c r="BF201" s="5" t="str">
        <f t="shared" si="120"/>
        <v/>
      </c>
      <c r="BG201" s="5" t="str">
        <f t="shared" si="121"/>
        <v/>
      </c>
      <c r="BH201" s="5" t="e">
        <f>IF(BG201="",NA(),COUNTIF(BG$193:$BG201,BG201))</f>
        <v>#N/A</v>
      </c>
      <c r="BI201" s="5" t="e">
        <f t="shared" si="122"/>
        <v>#N/A</v>
      </c>
      <c r="BJ201" s="640">
        <v>193</v>
      </c>
      <c r="BK201" s="683"/>
      <c r="BL201" s="684"/>
      <c r="BM201" s="685">
        <v>193</v>
      </c>
      <c r="BN201" s="686"/>
      <c r="BO201" s="87"/>
      <c r="BP201" s="13"/>
      <c r="BR201" s="640">
        <v>193</v>
      </c>
      <c r="BS201" s="683"/>
      <c r="BT201" s="684"/>
      <c r="BU201" s="685">
        <v>193</v>
      </c>
      <c r="BV201" s="686"/>
      <c r="BW201" s="87"/>
      <c r="BX201" s="13"/>
      <c r="BZ201" s="640">
        <v>193</v>
      </c>
      <c r="CA201" s="683"/>
      <c r="CB201" s="684"/>
      <c r="CC201" s="685">
        <v>193</v>
      </c>
      <c r="CD201" s="686"/>
      <c r="CE201" s="87"/>
      <c r="CF201" s="13"/>
    </row>
    <row r="202" spans="1:84" ht="12.75" customHeight="1">
      <c r="A202" s="640">
        <v>194</v>
      </c>
      <c r="B202" s="683"/>
      <c r="C202" s="684"/>
      <c r="D202" s="685">
        <v>194</v>
      </c>
      <c r="E202" s="686"/>
      <c r="F202" s="87"/>
      <c r="G202" s="13"/>
      <c r="J202" s="5" t="e">
        <f t="shared" si="68"/>
        <v>#N/A</v>
      </c>
      <c r="K202" s="5" t="e">
        <f t="shared" si="98"/>
        <v>#N/A</v>
      </c>
      <c r="L202" s="5" t="e">
        <f t="shared" si="69"/>
        <v>#N/A</v>
      </c>
      <c r="M202" s="5" t="e">
        <f t="shared" si="99"/>
        <v>#N/A</v>
      </c>
      <c r="Q202" s="5" t="str">
        <f t="shared" si="100"/>
        <v/>
      </c>
      <c r="R202" s="5" t="e">
        <f>IF(Q202="",NA(),COUNTIF(Q202:$Q$293,Q202))</f>
        <v>#N/A</v>
      </c>
      <c r="S202" s="5" t="e">
        <f t="shared" si="101"/>
        <v>#N/A</v>
      </c>
      <c r="T202" s="5" t="e">
        <f t="shared" si="93"/>
        <v>#N/A</v>
      </c>
      <c r="U202" s="5" t="e">
        <f t="shared" si="102"/>
        <v>#N/A</v>
      </c>
      <c r="V202" s="5" t="e">
        <f t="shared" si="103"/>
        <v>#N/A</v>
      </c>
      <c r="W202" s="5" t="str">
        <f t="shared" si="104"/>
        <v/>
      </c>
      <c r="X202" s="5">
        <v>109</v>
      </c>
      <c r="Y202" s="5" t="str">
        <f t="shared" si="105"/>
        <v/>
      </c>
      <c r="Z202" s="5" t="str">
        <f t="shared" si="106"/>
        <v/>
      </c>
      <c r="AA202" s="5" t="str">
        <f t="shared" si="94"/>
        <v/>
      </c>
      <c r="AB202" s="5" t="str">
        <f t="shared" si="107"/>
        <v/>
      </c>
      <c r="AC202" s="5" t="e">
        <f>IF(AB202="",NA(),COUNTIF(AB202:$AB$293,AB202))</f>
        <v>#N/A</v>
      </c>
      <c r="AD202" s="5" t="e">
        <f t="shared" si="108"/>
        <v>#N/A</v>
      </c>
      <c r="AE202" s="5" t="e">
        <f t="shared" si="95"/>
        <v>#N/A</v>
      </c>
      <c r="AF202" s="5" t="e">
        <f t="shared" si="109"/>
        <v>#N/A</v>
      </c>
      <c r="AG202" s="5" t="e">
        <f t="shared" si="110"/>
        <v>#N/A</v>
      </c>
      <c r="AH202" s="5" t="str">
        <f t="shared" si="111"/>
        <v/>
      </c>
      <c r="AI202" s="5" t="str">
        <f t="shared" si="112"/>
        <v/>
      </c>
      <c r="AJ202" s="5" t="str">
        <f t="shared" si="113"/>
        <v/>
      </c>
      <c r="AK202" s="5" t="str">
        <f t="shared" si="114"/>
        <v/>
      </c>
      <c r="AX202" s="5" t="str">
        <f t="shared" si="96"/>
        <v/>
      </c>
      <c r="AY202" s="5" t="e">
        <f t="shared" si="115"/>
        <v>#N/A</v>
      </c>
      <c r="AZ202" s="5" t="str">
        <f t="shared" si="116"/>
        <v/>
      </c>
      <c r="BA202" s="5" t="str">
        <f t="shared" si="117"/>
        <v/>
      </c>
      <c r="BB202" s="5" t="e">
        <f>IF(BA202="",NA(),COUNTIF(BA$193:$BA202,BA202))</f>
        <v>#N/A</v>
      </c>
      <c r="BC202" s="5" t="e">
        <f t="shared" si="118"/>
        <v>#N/A</v>
      </c>
      <c r="BD202" s="5" t="str">
        <f t="shared" si="97"/>
        <v/>
      </c>
      <c r="BE202" s="5" t="e">
        <f t="shared" si="119"/>
        <v>#N/A</v>
      </c>
      <c r="BF202" s="5" t="str">
        <f t="shared" si="120"/>
        <v/>
      </c>
      <c r="BG202" s="5" t="str">
        <f t="shared" si="121"/>
        <v/>
      </c>
      <c r="BH202" s="5" t="e">
        <f>IF(BG202="",NA(),COUNTIF(BG$193:$BG202,BG202))</f>
        <v>#N/A</v>
      </c>
      <c r="BI202" s="5" t="e">
        <f t="shared" si="122"/>
        <v>#N/A</v>
      </c>
      <c r="BJ202" s="640">
        <v>194</v>
      </c>
      <c r="BK202" s="683"/>
      <c r="BL202" s="684"/>
      <c r="BM202" s="685">
        <v>194</v>
      </c>
      <c r="BN202" s="686"/>
      <c r="BO202" s="87"/>
      <c r="BP202" s="13"/>
      <c r="BR202" s="640">
        <v>194</v>
      </c>
      <c r="BS202" s="683"/>
      <c r="BT202" s="684"/>
      <c r="BU202" s="685">
        <v>194</v>
      </c>
      <c r="BV202" s="686"/>
      <c r="BW202" s="87"/>
      <c r="BX202" s="13"/>
      <c r="BZ202" s="640">
        <v>194</v>
      </c>
      <c r="CA202" s="683"/>
      <c r="CB202" s="684"/>
      <c r="CC202" s="685">
        <v>194</v>
      </c>
      <c r="CD202" s="686"/>
      <c r="CE202" s="87"/>
      <c r="CF202" s="13"/>
    </row>
    <row r="203" spans="1:84" ht="12.75" customHeight="1">
      <c r="A203" s="640">
        <v>195</v>
      </c>
      <c r="B203" s="683"/>
      <c r="C203" s="684"/>
      <c r="D203" s="685">
        <v>195</v>
      </c>
      <c r="E203" s="686"/>
      <c r="F203" s="87"/>
      <c r="G203" s="13"/>
      <c r="J203" s="5" t="e">
        <f t="shared" si="68"/>
        <v>#N/A</v>
      </c>
      <c r="K203" s="5" t="e">
        <f t="shared" si="98"/>
        <v>#N/A</v>
      </c>
      <c r="L203" s="5" t="e">
        <f t="shared" si="69"/>
        <v>#N/A</v>
      </c>
      <c r="M203" s="5" t="e">
        <f t="shared" si="99"/>
        <v>#N/A</v>
      </c>
      <c r="Q203" s="5" t="str">
        <f t="shared" si="100"/>
        <v/>
      </c>
      <c r="R203" s="5" t="e">
        <f>IF(Q203="",NA(),COUNTIF(Q203:$Q$293,Q203))</f>
        <v>#N/A</v>
      </c>
      <c r="S203" s="5" t="e">
        <f t="shared" si="101"/>
        <v>#N/A</v>
      </c>
      <c r="T203" s="5" t="e">
        <f t="shared" si="93"/>
        <v>#N/A</v>
      </c>
      <c r="U203" s="5" t="e">
        <f t="shared" si="102"/>
        <v>#N/A</v>
      </c>
      <c r="V203" s="5" t="e">
        <f t="shared" si="103"/>
        <v>#N/A</v>
      </c>
      <c r="W203" s="5" t="str">
        <f t="shared" si="104"/>
        <v/>
      </c>
      <c r="X203" s="5">
        <v>110</v>
      </c>
      <c r="Y203" s="5" t="str">
        <f t="shared" si="105"/>
        <v/>
      </c>
      <c r="Z203" s="5" t="str">
        <f t="shared" si="106"/>
        <v/>
      </c>
      <c r="AA203" s="5" t="str">
        <f t="shared" si="94"/>
        <v/>
      </c>
      <c r="AB203" s="5" t="str">
        <f t="shared" si="107"/>
        <v/>
      </c>
      <c r="AC203" s="5" t="e">
        <f>IF(AB203="",NA(),COUNTIF(AB203:$AB$293,AB203))</f>
        <v>#N/A</v>
      </c>
      <c r="AD203" s="5" t="e">
        <f t="shared" si="108"/>
        <v>#N/A</v>
      </c>
      <c r="AE203" s="5" t="e">
        <f t="shared" si="95"/>
        <v>#N/A</v>
      </c>
      <c r="AF203" s="5" t="e">
        <f t="shared" si="109"/>
        <v>#N/A</v>
      </c>
      <c r="AG203" s="5" t="e">
        <f t="shared" si="110"/>
        <v>#N/A</v>
      </c>
      <c r="AH203" s="5" t="str">
        <f t="shared" si="111"/>
        <v/>
      </c>
      <c r="AI203" s="5" t="str">
        <f t="shared" si="112"/>
        <v/>
      </c>
      <c r="AJ203" s="5" t="str">
        <f t="shared" si="113"/>
        <v/>
      </c>
      <c r="AK203" s="5" t="str">
        <f t="shared" si="114"/>
        <v/>
      </c>
      <c r="AX203" s="5" t="str">
        <f t="shared" si="96"/>
        <v/>
      </c>
      <c r="AY203" s="5" t="e">
        <f t="shared" si="115"/>
        <v>#N/A</v>
      </c>
      <c r="AZ203" s="5" t="str">
        <f t="shared" si="116"/>
        <v/>
      </c>
      <c r="BA203" s="5" t="str">
        <f t="shared" si="117"/>
        <v/>
      </c>
      <c r="BB203" s="5" t="e">
        <f>IF(BA203="",NA(),COUNTIF(BA$193:$BA203,BA203))</f>
        <v>#N/A</v>
      </c>
      <c r="BC203" s="5" t="e">
        <f t="shared" si="118"/>
        <v>#N/A</v>
      </c>
      <c r="BD203" s="5" t="str">
        <f t="shared" si="97"/>
        <v/>
      </c>
      <c r="BE203" s="5" t="e">
        <f t="shared" si="119"/>
        <v>#N/A</v>
      </c>
      <c r="BF203" s="5" t="str">
        <f t="shared" si="120"/>
        <v/>
      </c>
      <c r="BG203" s="5" t="str">
        <f t="shared" si="121"/>
        <v/>
      </c>
      <c r="BH203" s="5" t="e">
        <f>IF(BG203="",NA(),COUNTIF(BG$193:$BG203,BG203))</f>
        <v>#N/A</v>
      </c>
      <c r="BI203" s="5" t="e">
        <f t="shared" si="122"/>
        <v>#N/A</v>
      </c>
      <c r="BJ203" s="640">
        <v>195</v>
      </c>
      <c r="BK203" s="683"/>
      <c r="BL203" s="684"/>
      <c r="BM203" s="685">
        <v>195</v>
      </c>
      <c r="BN203" s="686"/>
      <c r="BO203" s="87"/>
      <c r="BP203" s="13"/>
      <c r="BR203" s="640">
        <v>195</v>
      </c>
      <c r="BS203" s="683"/>
      <c r="BT203" s="684"/>
      <c r="BU203" s="685">
        <v>195</v>
      </c>
      <c r="BV203" s="686"/>
      <c r="BW203" s="87"/>
      <c r="BX203" s="13"/>
      <c r="BZ203" s="640">
        <v>195</v>
      </c>
      <c r="CA203" s="683"/>
      <c r="CB203" s="684"/>
      <c r="CC203" s="685">
        <v>195</v>
      </c>
      <c r="CD203" s="686"/>
      <c r="CE203" s="87"/>
      <c r="CF203" s="13"/>
    </row>
    <row r="204" spans="1:84" ht="12.75" customHeight="1">
      <c r="A204" s="640">
        <v>196</v>
      </c>
      <c r="B204" s="683"/>
      <c r="C204" s="684"/>
      <c r="D204" s="685">
        <v>196</v>
      </c>
      <c r="E204" s="686"/>
      <c r="F204" s="87"/>
      <c r="G204" s="13"/>
      <c r="J204" s="5" t="e">
        <f t="shared" si="68"/>
        <v>#N/A</v>
      </c>
      <c r="K204" s="5" t="e">
        <f t="shared" si="98"/>
        <v>#N/A</v>
      </c>
      <c r="L204" s="5" t="e">
        <f t="shared" si="69"/>
        <v>#N/A</v>
      </c>
      <c r="M204" s="5" t="e">
        <f t="shared" si="99"/>
        <v>#N/A</v>
      </c>
      <c r="Q204" s="5" t="str">
        <f t="shared" si="100"/>
        <v/>
      </c>
      <c r="R204" s="5" t="e">
        <f>IF(Q204="",NA(),COUNTIF(Q204:$Q$293,Q204))</f>
        <v>#N/A</v>
      </c>
      <c r="S204" s="5" t="e">
        <f t="shared" si="101"/>
        <v>#N/A</v>
      </c>
      <c r="T204" s="5" t="e">
        <f t="shared" si="93"/>
        <v>#N/A</v>
      </c>
      <c r="U204" s="5" t="e">
        <f t="shared" si="102"/>
        <v>#N/A</v>
      </c>
      <c r="V204" s="5" t="e">
        <f t="shared" si="103"/>
        <v>#N/A</v>
      </c>
      <c r="W204" s="5" t="str">
        <f t="shared" si="104"/>
        <v/>
      </c>
      <c r="X204" s="5">
        <v>111</v>
      </c>
      <c r="Y204" s="5" t="str">
        <f t="shared" si="105"/>
        <v/>
      </c>
      <c r="Z204" s="5" t="str">
        <f t="shared" si="106"/>
        <v/>
      </c>
      <c r="AA204" s="5" t="str">
        <f t="shared" si="94"/>
        <v/>
      </c>
      <c r="AB204" s="5" t="str">
        <f t="shared" si="107"/>
        <v/>
      </c>
      <c r="AC204" s="5" t="e">
        <f>IF(AB204="",NA(),COUNTIF(AB204:$AB$293,AB204))</f>
        <v>#N/A</v>
      </c>
      <c r="AD204" s="5" t="e">
        <f t="shared" si="108"/>
        <v>#N/A</v>
      </c>
      <c r="AE204" s="5" t="e">
        <f t="shared" si="95"/>
        <v>#N/A</v>
      </c>
      <c r="AF204" s="5" t="e">
        <f t="shared" si="109"/>
        <v>#N/A</v>
      </c>
      <c r="AG204" s="5" t="e">
        <f t="shared" si="110"/>
        <v>#N/A</v>
      </c>
      <c r="AH204" s="5" t="str">
        <f t="shared" si="111"/>
        <v/>
      </c>
      <c r="AI204" s="5" t="str">
        <f t="shared" si="112"/>
        <v/>
      </c>
      <c r="AJ204" s="5" t="str">
        <f t="shared" si="113"/>
        <v/>
      </c>
      <c r="AK204" s="5" t="str">
        <f t="shared" si="114"/>
        <v/>
      </c>
      <c r="AX204" s="5" t="str">
        <f t="shared" si="96"/>
        <v/>
      </c>
      <c r="AY204" s="5" t="e">
        <f t="shared" si="115"/>
        <v>#N/A</v>
      </c>
      <c r="AZ204" s="5" t="str">
        <f t="shared" si="116"/>
        <v/>
      </c>
      <c r="BA204" s="5" t="str">
        <f t="shared" si="117"/>
        <v/>
      </c>
      <c r="BB204" s="5" t="e">
        <f>IF(BA204="",NA(),COUNTIF(BA$193:$BA204,BA204))</f>
        <v>#N/A</v>
      </c>
      <c r="BC204" s="5" t="e">
        <f t="shared" si="118"/>
        <v>#N/A</v>
      </c>
      <c r="BD204" s="5" t="str">
        <f t="shared" si="97"/>
        <v/>
      </c>
      <c r="BE204" s="5" t="e">
        <f t="shared" si="119"/>
        <v>#N/A</v>
      </c>
      <c r="BF204" s="5" t="str">
        <f t="shared" si="120"/>
        <v/>
      </c>
      <c r="BG204" s="5" t="str">
        <f t="shared" si="121"/>
        <v/>
      </c>
      <c r="BH204" s="5" t="e">
        <f>IF(BG204="",NA(),COUNTIF(BG$193:$BG204,BG204))</f>
        <v>#N/A</v>
      </c>
      <c r="BI204" s="5" t="e">
        <f t="shared" si="122"/>
        <v>#N/A</v>
      </c>
      <c r="BJ204" s="640">
        <v>196</v>
      </c>
      <c r="BK204" s="683"/>
      <c r="BL204" s="684"/>
      <c r="BM204" s="685">
        <v>196</v>
      </c>
      <c r="BN204" s="686"/>
      <c r="BO204" s="87"/>
      <c r="BP204" s="13"/>
      <c r="BR204" s="640">
        <v>196</v>
      </c>
      <c r="BS204" s="683"/>
      <c r="BT204" s="684"/>
      <c r="BU204" s="685">
        <v>196</v>
      </c>
      <c r="BV204" s="686"/>
      <c r="BW204" s="87"/>
      <c r="BX204" s="13"/>
      <c r="BZ204" s="640">
        <v>196</v>
      </c>
      <c r="CA204" s="683"/>
      <c r="CB204" s="684"/>
      <c r="CC204" s="685">
        <v>196</v>
      </c>
      <c r="CD204" s="686"/>
      <c r="CE204" s="87"/>
      <c r="CF204" s="13"/>
    </row>
    <row r="205" spans="1:84" ht="12.75" customHeight="1">
      <c r="A205" s="640">
        <v>197</v>
      </c>
      <c r="B205" s="683"/>
      <c r="C205" s="684"/>
      <c r="D205" s="685">
        <v>197</v>
      </c>
      <c r="E205" s="686"/>
      <c r="F205" s="87"/>
      <c r="G205" s="13"/>
      <c r="J205" s="5" t="e">
        <f t="shared" si="68"/>
        <v>#N/A</v>
      </c>
      <c r="K205" s="5" t="e">
        <f t="shared" si="98"/>
        <v>#N/A</v>
      </c>
      <c r="L205" s="5" t="e">
        <f t="shared" si="69"/>
        <v>#N/A</v>
      </c>
      <c r="M205" s="5" t="e">
        <f t="shared" si="99"/>
        <v>#N/A</v>
      </c>
      <c r="Q205" s="5" t="str">
        <f t="shared" si="100"/>
        <v/>
      </c>
      <c r="R205" s="5" t="e">
        <f>IF(Q205="",NA(),COUNTIF(Q205:$Q$293,Q205))</f>
        <v>#N/A</v>
      </c>
      <c r="S205" s="5" t="e">
        <f t="shared" si="101"/>
        <v>#N/A</v>
      </c>
      <c r="T205" s="5" t="e">
        <f t="shared" si="93"/>
        <v>#N/A</v>
      </c>
      <c r="U205" s="5" t="e">
        <f t="shared" si="102"/>
        <v>#N/A</v>
      </c>
      <c r="V205" s="5" t="e">
        <f t="shared" si="103"/>
        <v>#N/A</v>
      </c>
      <c r="W205" s="5" t="str">
        <f t="shared" si="104"/>
        <v/>
      </c>
      <c r="X205" s="5">
        <v>112</v>
      </c>
      <c r="Y205" s="5" t="str">
        <f t="shared" si="105"/>
        <v/>
      </c>
      <c r="Z205" s="5" t="str">
        <f t="shared" si="106"/>
        <v/>
      </c>
      <c r="AA205" s="5" t="str">
        <f t="shared" si="94"/>
        <v/>
      </c>
      <c r="AB205" s="5" t="str">
        <f t="shared" si="107"/>
        <v/>
      </c>
      <c r="AC205" s="5" t="e">
        <f>IF(AB205="",NA(),COUNTIF(AB205:$AB$293,AB205))</f>
        <v>#N/A</v>
      </c>
      <c r="AD205" s="5" t="e">
        <f t="shared" si="108"/>
        <v>#N/A</v>
      </c>
      <c r="AE205" s="5" t="e">
        <f t="shared" si="95"/>
        <v>#N/A</v>
      </c>
      <c r="AF205" s="5" t="e">
        <f t="shared" si="109"/>
        <v>#N/A</v>
      </c>
      <c r="AG205" s="5" t="e">
        <f t="shared" si="110"/>
        <v>#N/A</v>
      </c>
      <c r="AH205" s="5" t="str">
        <f t="shared" si="111"/>
        <v/>
      </c>
      <c r="AI205" s="5" t="str">
        <f t="shared" si="112"/>
        <v/>
      </c>
      <c r="AJ205" s="5" t="str">
        <f t="shared" si="113"/>
        <v/>
      </c>
      <c r="AK205" s="5" t="str">
        <f t="shared" si="114"/>
        <v/>
      </c>
      <c r="AX205" s="5" t="str">
        <f t="shared" si="96"/>
        <v/>
      </c>
      <c r="AY205" s="5" t="e">
        <f t="shared" si="115"/>
        <v>#N/A</v>
      </c>
      <c r="AZ205" s="5" t="str">
        <f t="shared" si="116"/>
        <v/>
      </c>
      <c r="BA205" s="5" t="str">
        <f t="shared" si="117"/>
        <v/>
      </c>
      <c r="BB205" s="5" t="e">
        <f>IF(BA205="",NA(),COUNTIF(BA$193:$BA205,BA205))</f>
        <v>#N/A</v>
      </c>
      <c r="BC205" s="5" t="e">
        <f t="shared" si="118"/>
        <v>#N/A</v>
      </c>
      <c r="BD205" s="5" t="str">
        <f t="shared" si="97"/>
        <v/>
      </c>
      <c r="BE205" s="5" t="e">
        <f t="shared" si="119"/>
        <v>#N/A</v>
      </c>
      <c r="BF205" s="5" t="str">
        <f t="shared" si="120"/>
        <v/>
      </c>
      <c r="BG205" s="5" t="str">
        <f t="shared" si="121"/>
        <v/>
      </c>
      <c r="BH205" s="5" t="e">
        <f>IF(BG205="",NA(),COUNTIF(BG$193:$BG205,BG205))</f>
        <v>#N/A</v>
      </c>
      <c r="BI205" s="5" t="e">
        <f t="shared" si="122"/>
        <v>#N/A</v>
      </c>
      <c r="BJ205" s="640">
        <v>197</v>
      </c>
      <c r="BK205" s="683"/>
      <c r="BL205" s="684"/>
      <c r="BM205" s="685">
        <v>197</v>
      </c>
      <c r="BN205" s="686"/>
      <c r="BO205" s="87"/>
      <c r="BP205" s="13"/>
      <c r="BR205" s="640">
        <v>197</v>
      </c>
      <c r="BS205" s="683"/>
      <c r="BT205" s="684"/>
      <c r="BU205" s="685">
        <v>197</v>
      </c>
      <c r="BV205" s="686"/>
      <c r="BW205" s="87"/>
      <c r="BX205" s="13"/>
      <c r="BZ205" s="640">
        <v>197</v>
      </c>
      <c r="CA205" s="683"/>
      <c r="CB205" s="684"/>
      <c r="CC205" s="685">
        <v>197</v>
      </c>
      <c r="CD205" s="686"/>
      <c r="CE205" s="87"/>
      <c r="CF205" s="13"/>
    </row>
    <row r="206" spans="1:84" ht="12.75" customHeight="1">
      <c r="A206" s="640">
        <v>198</v>
      </c>
      <c r="B206" s="683"/>
      <c r="C206" s="684"/>
      <c r="D206" s="685">
        <v>198</v>
      </c>
      <c r="E206" s="686"/>
      <c r="F206" s="87"/>
      <c r="G206" s="13"/>
      <c r="J206" s="5" t="e">
        <f t="shared" si="68"/>
        <v>#N/A</v>
      </c>
      <c r="K206" s="5" t="e">
        <f t="shared" si="98"/>
        <v>#N/A</v>
      </c>
      <c r="L206" s="5" t="e">
        <f t="shared" si="69"/>
        <v>#N/A</v>
      </c>
      <c r="M206" s="5" t="e">
        <f t="shared" si="99"/>
        <v>#N/A</v>
      </c>
      <c r="Q206" s="5" t="str">
        <f t="shared" si="100"/>
        <v/>
      </c>
      <c r="R206" s="5" t="e">
        <f>IF(Q206="",NA(),COUNTIF(Q206:$Q$293,Q206))</f>
        <v>#N/A</v>
      </c>
      <c r="S206" s="5" t="e">
        <f t="shared" si="101"/>
        <v>#N/A</v>
      </c>
      <c r="T206" s="5" t="e">
        <f t="shared" si="93"/>
        <v>#N/A</v>
      </c>
      <c r="U206" s="5" t="e">
        <f t="shared" si="102"/>
        <v>#N/A</v>
      </c>
      <c r="V206" s="5" t="e">
        <f t="shared" si="103"/>
        <v>#N/A</v>
      </c>
      <c r="W206" s="5" t="str">
        <f t="shared" si="104"/>
        <v/>
      </c>
      <c r="X206" s="5">
        <v>113</v>
      </c>
      <c r="Y206" s="5" t="str">
        <f t="shared" si="105"/>
        <v/>
      </c>
      <c r="Z206" s="5" t="str">
        <f t="shared" si="106"/>
        <v/>
      </c>
      <c r="AA206" s="5" t="str">
        <f t="shared" si="94"/>
        <v/>
      </c>
      <c r="AB206" s="5" t="str">
        <f t="shared" si="107"/>
        <v/>
      </c>
      <c r="AC206" s="5" t="e">
        <f>IF(AB206="",NA(),COUNTIF(AB206:$AB$293,AB206))</f>
        <v>#N/A</v>
      </c>
      <c r="AD206" s="5" t="e">
        <f t="shared" si="108"/>
        <v>#N/A</v>
      </c>
      <c r="AE206" s="5" t="e">
        <f t="shared" si="95"/>
        <v>#N/A</v>
      </c>
      <c r="AF206" s="5" t="e">
        <f t="shared" si="109"/>
        <v>#N/A</v>
      </c>
      <c r="AG206" s="5" t="e">
        <f t="shared" si="110"/>
        <v>#N/A</v>
      </c>
      <c r="AH206" s="5" t="str">
        <f t="shared" si="111"/>
        <v/>
      </c>
      <c r="AI206" s="5" t="str">
        <f t="shared" si="112"/>
        <v/>
      </c>
      <c r="AJ206" s="5" t="str">
        <f t="shared" si="113"/>
        <v/>
      </c>
      <c r="AK206" s="5" t="str">
        <f t="shared" si="114"/>
        <v/>
      </c>
      <c r="AX206" s="5" t="str">
        <f t="shared" si="96"/>
        <v/>
      </c>
      <c r="AY206" s="5" t="e">
        <f t="shared" si="115"/>
        <v>#N/A</v>
      </c>
      <c r="AZ206" s="5" t="str">
        <f t="shared" si="116"/>
        <v/>
      </c>
      <c r="BA206" s="5" t="str">
        <f t="shared" si="117"/>
        <v/>
      </c>
      <c r="BB206" s="5" t="e">
        <f>IF(BA206="",NA(),COUNTIF(BA$193:$BA206,BA206))</f>
        <v>#N/A</v>
      </c>
      <c r="BC206" s="5" t="e">
        <f t="shared" si="118"/>
        <v>#N/A</v>
      </c>
      <c r="BD206" s="5" t="str">
        <f t="shared" si="97"/>
        <v/>
      </c>
      <c r="BE206" s="5" t="e">
        <f t="shared" si="119"/>
        <v>#N/A</v>
      </c>
      <c r="BF206" s="5" t="str">
        <f t="shared" si="120"/>
        <v/>
      </c>
      <c r="BG206" s="5" t="str">
        <f t="shared" si="121"/>
        <v/>
      </c>
      <c r="BH206" s="5" t="e">
        <f>IF(BG206="",NA(),COUNTIF(BG$193:$BG206,BG206))</f>
        <v>#N/A</v>
      </c>
      <c r="BI206" s="5" t="e">
        <f t="shared" si="122"/>
        <v>#N/A</v>
      </c>
      <c r="BJ206" s="640">
        <v>198</v>
      </c>
      <c r="BK206" s="683"/>
      <c r="BL206" s="684"/>
      <c r="BM206" s="685">
        <v>198</v>
      </c>
      <c r="BN206" s="686"/>
      <c r="BO206" s="87"/>
      <c r="BP206" s="13"/>
      <c r="BR206" s="640">
        <v>198</v>
      </c>
      <c r="BS206" s="683"/>
      <c r="BT206" s="684"/>
      <c r="BU206" s="685">
        <v>198</v>
      </c>
      <c r="BV206" s="686"/>
      <c r="BW206" s="87"/>
      <c r="BX206" s="13"/>
      <c r="BZ206" s="640">
        <v>198</v>
      </c>
      <c r="CA206" s="683"/>
      <c r="CB206" s="684"/>
      <c r="CC206" s="685">
        <v>198</v>
      </c>
      <c r="CD206" s="686"/>
      <c r="CE206" s="87"/>
      <c r="CF206" s="13"/>
    </row>
    <row r="207" spans="1:84" ht="12.75" customHeight="1">
      <c r="A207" s="640">
        <v>199</v>
      </c>
      <c r="B207" s="683"/>
      <c r="C207" s="684"/>
      <c r="D207" s="685">
        <v>199</v>
      </c>
      <c r="E207" s="686"/>
      <c r="F207" s="87"/>
      <c r="G207" s="13"/>
      <c r="J207" s="5" t="e">
        <f t="shared" si="68"/>
        <v>#N/A</v>
      </c>
      <c r="K207" s="5" t="e">
        <f t="shared" si="98"/>
        <v>#N/A</v>
      </c>
      <c r="L207" s="5" t="e">
        <f t="shared" si="69"/>
        <v>#N/A</v>
      </c>
      <c r="M207" s="5" t="e">
        <f t="shared" si="99"/>
        <v>#N/A</v>
      </c>
      <c r="Q207" s="5" t="str">
        <f t="shared" si="100"/>
        <v/>
      </c>
      <c r="R207" s="5" t="e">
        <f>IF(Q207="",NA(),COUNTIF(Q207:$Q$293,Q207))</f>
        <v>#N/A</v>
      </c>
      <c r="S207" s="5" t="e">
        <f t="shared" si="101"/>
        <v>#N/A</v>
      </c>
      <c r="T207" s="5" t="e">
        <f t="shared" si="93"/>
        <v>#N/A</v>
      </c>
      <c r="U207" s="5" t="e">
        <f t="shared" si="102"/>
        <v>#N/A</v>
      </c>
      <c r="V207" s="5" t="e">
        <f t="shared" si="103"/>
        <v>#N/A</v>
      </c>
      <c r="W207" s="5" t="str">
        <f t="shared" si="104"/>
        <v/>
      </c>
      <c r="X207" s="5">
        <v>114</v>
      </c>
      <c r="Y207" s="5" t="str">
        <f t="shared" si="105"/>
        <v/>
      </c>
      <c r="Z207" s="5" t="str">
        <f t="shared" si="106"/>
        <v/>
      </c>
      <c r="AA207" s="5" t="str">
        <f t="shared" si="94"/>
        <v/>
      </c>
      <c r="AB207" s="5" t="str">
        <f t="shared" si="107"/>
        <v/>
      </c>
      <c r="AC207" s="5" t="e">
        <f>IF(AB207="",NA(),COUNTIF(AB207:$AB$293,AB207))</f>
        <v>#N/A</v>
      </c>
      <c r="AD207" s="5" t="e">
        <f t="shared" si="108"/>
        <v>#N/A</v>
      </c>
      <c r="AE207" s="5" t="e">
        <f t="shared" si="95"/>
        <v>#N/A</v>
      </c>
      <c r="AF207" s="5" t="e">
        <f t="shared" si="109"/>
        <v>#N/A</v>
      </c>
      <c r="AG207" s="5" t="e">
        <f t="shared" si="110"/>
        <v>#N/A</v>
      </c>
      <c r="AH207" s="5" t="str">
        <f t="shared" si="111"/>
        <v/>
      </c>
      <c r="AI207" s="5" t="str">
        <f t="shared" si="112"/>
        <v/>
      </c>
      <c r="AJ207" s="5" t="str">
        <f t="shared" si="113"/>
        <v/>
      </c>
      <c r="AK207" s="5" t="str">
        <f t="shared" si="114"/>
        <v/>
      </c>
      <c r="AX207" s="5" t="str">
        <f t="shared" si="96"/>
        <v/>
      </c>
      <c r="AY207" s="5" t="e">
        <f t="shared" si="115"/>
        <v>#N/A</v>
      </c>
      <c r="AZ207" s="5" t="str">
        <f t="shared" si="116"/>
        <v/>
      </c>
      <c r="BA207" s="5" t="str">
        <f t="shared" si="117"/>
        <v/>
      </c>
      <c r="BB207" s="5" t="e">
        <f>IF(BA207="",NA(),COUNTIF(BA$193:$BA207,BA207))</f>
        <v>#N/A</v>
      </c>
      <c r="BC207" s="5" t="e">
        <f t="shared" si="118"/>
        <v>#N/A</v>
      </c>
      <c r="BD207" s="5" t="str">
        <f t="shared" si="97"/>
        <v/>
      </c>
      <c r="BE207" s="5" t="e">
        <f t="shared" si="119"/>
        <v>#N/A</v>
      </c>
      <c r="BF207" s="5" t="str">
        <f t="shared" si="120"/>
        <v/>
      </c>
      <c r="BG207" s="5" t="str">
        <f t="shared" si="121"/>
        <v/>
      </c>
      <c r="BH207" s="5" t="e">
        <f>IF(BG207="",NA(),COUNTIF(BG$193:$BG207,BG207))</f>
        <v>#N/A</v>
      </c>
      <c r="BI207" s="5" t="e">
        <f t="shared" si="122"/>
        <v>#N/A</v>
      </c>
      <c r="BJ207" s="640">
        <v>199</v>
      </c>
      <c r="BK207" s="683"/>
      <c r="BL207" s="684"/>
      <c r="BM207" s="685">
        <v>199</v>
      </c>
      <c r="BN207" s="686"/>
      <c r="BO207" s="87"/>
      <c r="BP207" s="13"/>
      <c r="BR207" s="640">
        <v>199</v>
      </c>
      <c r="BS207" s="683"/>
      <c r="BT207" s="684"/>
      <c r="BU207" s="685">
        <v>199</v>
      </c>
      <c r="BV207" s="686"/>
      <c r="BW207" s="87"/>
      <c r="BX207" s="13"/>
      <c r="BZ207" s="640">
        <v>199</v>
      </c>
      <c r="CA207" s="683"/>
      <c r="CB207" s="684"/>
      <c r="CC207" s="685">
        <v>199</v>
      </c>
      <c r="CD207" s="686"/>
      <c r="CE207" s="87"/>
      <c r="CF207" s="13"/>
    </row>
    <row r="208" spans="1:84" ht="12.75" customHeight="1">
      <c r="A208" s="640">
        <v>200</v>
      </c>
      <c r="B208" s="683"/>
      <c r="C208" s="684"/>
      <c r="D208" s="685">
        <v>200</v>
      </c>
      <c r="E208" s="686"/>
      <c r="F208" s="87"/>
      <c r="G208" s="13"/>
      <c r="J208" s="5" t="e">
        <f t="shared" si="68"/>
        <v>#N/A</v>
      </c>
      <c r="K208" s="5" t="e">
        <f t="shared" si="98"/>
        <v>#N/A</v>
      </c>
      <c r="L208" s="5" t="e">
        <f t="shared" si="69"/>
        <v>#N/A</v>
      </c>
      <c r="M208" s="5" t="e">
        <f t="shared" si="99"/>
        <v>#N/A</v>
      </c>
      <c r="Q208" s="5" t="str">
        <f t="shared" si="100"/>
        <v/>
      </c>
      <c r="R208" s="5" t="e">
        <f>IF(Q208="",NA(),COUNTIF(Q208:$Q$293,Q208))</f>
        <v>#N/A</v>
      </c>
      <c r="S208" s="5" t="e">
        <f t="shared" si="101"/>
        <v>#N/A</v>
      </c>
      <c r="T208" s="5" t="e">
        <f t="shared" si="93"/>
        <v>#N/A</v>
      </c>
      <c r="U208" s="5" t="e">
        <f t="shared" si="102"/>
        <v>#N/A</v>
      </c>
      <c r="V208" s="5" t="e">
        <f t="shared" si="103"/>
        <v>#N/A</v>
      </c>
      <c r="W208" s="5" t="str">
        <f t="shared" si="104"/>
        <v/>
      </c>
      <c r="X208" s="5">
        <v>115</v>
      </c>
      <c r="Y208" s="5" t="str">
        <f t="shared" si="105"/>
        <v/>
      </c>
      <c r="Z208" s="5" t="str">
        <f t="shared" si="106"/>
        <v/>
      </c>
      <c r="AA208" s="5" t="str">
        <f t="shared" si="94"/>
        <v/>
      </c>
      <c r="AB208" s="5" t="str">
        <f t="shared" si="107"/>
        <v/>
      </c>
      <c r="AC208" s="5" t="e">
        <f>IF(AB208="",NA(),COUNTIF(AB208:$AB$293,AB208))</f>
        <v>#N/A</v>
      </c>
      <c r="AD208" s="5" t="e">
        <f t="shared" si="108"/>
        <v>#N/A</v>
      </c>
      <c r="AE208" s="5" t="e">
        <f t="shared" si="95"/>
        <v>#N/A</v>
      </c>
      <c r="AF208" s="5" t="e">
        <f t="shared" si="109"/>
        <v>#N/A</v>
      </c>
      <c r="AG208" s="5" t="e">
        <f t="shared" si="110"/>
        <v>#N/A</v>
      </c>
      <c r="AH208" s="5" t="str">
        <f t="shared" si="111"/>
        <v/>
      </c>
      <c r="AI208" s="5" t="str">
        <f t="shared" si="112"/>
        <v/>
      </c>
      <c r="AJ208" s="5" t="str">
        <f t="shared" si="113"/>
        <v/>
      </c>
      <c r="AK208" s="5" t="str">
        <f t="shared" si="114"/>
        <v/>
      </c>
      <c r="AX208" s="5" t="str">
        <f t="shared" si="96"/>
        <v/>
      </c>
      <c r="AY208" s="5" t="e">
        <f t="shared" si="115"/>
        <v>#N/A</v>
      </c>
      <c r="AZ208" s="5" t="str">
        <f t="shared" si="116"/>
        <v/>
      </c>
      <c r="BA208" s="5" t="str">
        <f t="shared" si="117"/>
        <v/>
      </c>
      <c r="BB208" s="5" t="e">
        <f>IF(BA208="",NA(),COUNTIF(BA$193:$BA208,BA208))</f>
        <v>#N/A</v>
      </c>
      <c r="BC208" s="5" t="e">
        <f t="shared" si="118"/>
        <v>#N/A</v>
      </c>
      <c r="BD208" s="5" t="str">
        <f t="shared" si="97"/>
        <v/>
      </c>
      <c r="BE208" s="5" t="e">
        <f t="shared" si="119"/>
        <v>#N/A</v>
      </c>
      <c r="BF208" s="5" t="str">
        <f t="shared" si="120"/>
        <v/>
      </c>
      <c r="BG208" s="5" t="str">
        <f t="shared" si="121"/>
        <v/>
      </c>
      <c r="BH208" s="5" t="e">
        <f>IF(BG208="",NA(),COUNTIF(BG$193:$BG208,BG208))</f>
        <v>#N/A</v>
      </c>
      <c r="BI208" s="5" t="e">
        <f t="shared" si="122"/>
        <v>#N/A</v>
      </c>
      <c r="BJ208" s="640">
        <v>200</v>
      </c>
      <c r="BK208" s="683"/>
      <c r="BL208" s="684"/>
      <c r="BM208" s="685">
        <v>200</v>
      </c>
      <c r="BN208" s="686"/>
      <c r="BO208" s="87"/>
      <c r="BP208" s="13"/>
      <c r="BR208" s="640">
        <v>200</v>
      </c>
      <c r="BS208" s="683"/>
      <c r="BT208" s="684"/>
      <c r="BU208" s="685">
        <v>200</v>
      </c>
      <c r="BV208" s="686"/>
      <c r="BW208" s="87"/>
      <c r="BX208" s="13"/>
      <c r="BZ208" s="640">
        <v>200</v>
      </c>
      <c r="CA208" s="683"/>
      <c r="CB208" s="684"/>
      <c r="CC208" s="685">
        <v>200</v>
      </c>
      <c r="CD208" s="686"/>
      <c r="CE208" s="87"/>
      <c r="CF208" s="13"/>
    </row>
    <row r="209" spans="1:84" ht="12.75" customHeight="1">
      <c r="A209" s="85"/>
      <c r="B209" s="16"/>
      <c r="C209" s="89"/>
      <c r="D209" s="16"/>
      <c r="E209" s="16"/>
      <c r="F209" s="16"/>
      <c r="G209" s="17"/>
      <c r="J209" s="5" t="e">
        <f t="shared" si="68"/>
        <v>#N/A</v>
      </c>
      <c r="K209" s="5" t="e">
        <f t="shared" si="98"/>
        <v>#N/A</v>
      </c>
      <c r="L209" s="5" t="e">
        <f t="shared" si="69"/>
        <v>#N/A</v>
      </c>
      <c r="M209" s="5" t="e">
        <f t="shared" si="99"/>
        <v>#N/A</v>
      </c>
      <c r="Q209" s="5" t="str">
        <f t="shared" si="100"/>
        <v/>
      </c>
      <c r="R209" s="5" t="e">
        <f>IF(Q209="",NA(),COUNTIF(Q209:$Q$293,Q209))</f>
        <v>#N/A</v>
      </c>
      <c r="S209" s="5" t="e">
        <f t="shared" si="101"/>
        <v>#N/A</v>
      </c>
      <c r="T209" s="5" t="e">
        <f t="shared" si="93"/>
        <v>#N/A</v>
      </c>
      <c r="U209" s="5" t="e">
        <f t="shared" si="102"/>
        <v>#N/A</v>
      </c>
      <c r="V209" s="5" t="e">
        <f t="shared" si="103"/>
        <v>#N/A</v>
      </c>
      <c r="W209" s="5" t="str">
        <f t="shared" si="104"/>
        <v/>
      </c>
      <c r="X209" s="5">
        <v>116</v>
      </c>
      <c r="Y209" s="5" t="str">
        <f t="shared" si="105"/>
        <v/>
      </c>
      <c r="Z209" s="5" t="str">
        <f t="shared" si="106"/>
        <v/>
      </c>
      <c r="AA209" s="5" t="str">
        <f t="shared" si="94"/>
        <v/>
      </c>
      <c r="AB209" s="5" t="str">
        <f t="shared" si="107"/>
        <v/>
      </c>
      <c r="AC209" s="5" t="e">
        <f>IF(AB209="",NA(),COUNTIF(AB209:$AB$293,AB209))</f>
        <v>#N/A</v>
      </c>
      <c r="AD209" s="5" t="e">
        <f t="shared" si="108"/>
        <v>#N/A</v>
      </c>
      <c r="AE209" s="5" t="e">
        <f t="shared" si="95"/>
        <v>#N/A</v>
      </c>
      <c r="AF209" s="5" t="e">
        <f t="shared" si="109"/>
        <v>#N/A</v>
      </c>
      <c r="AG209" s="5" t="e">
        <f t="shared" si="110"/>
        <v>#N/A</v>
      </c>
      <c r="AH209" s="5" t="str">
        <f t="shared" si="111"/>
        <v/>
      </c>
      <c r="AI209" s="5" t="str">
        <f t="shared" si="112"/>
        <v/>
      </c>
      <c r="AJ209" s="5" t="str">
        <f t="shared" si="113"/>
        <v/>
      </c>
      <c r="AK209" s="5" t="str">
        <f t="shared" si="114"/>
        <v/>
      </c>
      <c r="AX209" s="5" t="str">
        <f t="shared" si="96"/>
        <v/>
      </c>
      <c r="AY209" s="5" t="e">
        <f t="shared" si="115"/>
        <v>#N/A</v>
      </c>
      <c r="AZ209" s="5" t="str">
        <f t="shared" si="116"/>
        <v/>
      </c>
      <c r="BA209" s="5" t="str">
        <f t="shared" si="117"/>
        <v/>
      </c>
      <c r="BB209" s="5" t="e">
        <f>IF(BA209="",NA(),COUNTIF(BA$193:$BA209,BA209))</f>
        <v>#N/A</v>
      </c>
      <c r="BC209" s="5" t="e">
        <f t="shared" si="118"/>
        <v>#N/A</v>
      </c>
      <c r="BD209" s="5" t="str">
        <f t="shared" si="97"/>
        <v/>
      </c>
      <c r="BE209" s="5" t="e">
        <f t="shared" si="119"/>
        <v>#N/A</v>
      </c>
      <c r="BF209" s="5" t="str">
        <f t="shared" si="120"/>
        <v/>
      </c>
      <c r="BG209" s="5" t="str">
        <f t="shared" si="121"/>
        <v/>
      </c>
      <c r="BH209" s="5" t="e">
        <f>IF(BG209="",NA(),COUNTIF(BG$193:$BG209,BG209))</f>
        <v>#N/A</v>
      </c>
      <c r="BI209" s="5" t="e">
        <f t="shared" si="122"/>
        <v>#N/A</v>
      </c>
      <c r="BJ209" s="85"/>
      <c r="BK209" s="16"/>
      <c r="BL209" s="89"/>
      <c r="BM209" s="16"/>
      <c r="BN209" s="16"/>
      <c r="BO209" s="16"/>
      <c r="BP209" s="17"/>
      <c r="BR209" s="85"/>
      <c r="BS209" s="16"/>
      <c r="BT209" s="89"/>
      <c r="BU209" s="16"/>
      <c r="BV209" s="16"/>
      <c r="BW209" s="16"/>
      <c r="BX209" s="17"/>
      <c r="BZ209" s="85"/>
      <c r="CA209" s="16"/>
      <c r="CB209" s="89"/>
      <c r="CC209" s="16"/>
      <c r="CD209" s="16"/>
      <c r="CE209" s="16"/>
      <c r="CF209" s="17"/>
    </row>
    <row r="210" spans="1:84" ht="12.75" customHeight="1">
      <c r="A210"/>
      <c r="B210"/>
      <c r="C210"/>
      <c r="D210"/>
      <c r="E210"/>
      <c r="F210"/>
      <c r="G210"/>
      <c r="J210" s="5" t="e">
        <f t="shared" si="68"/>
        <v>#N/A</v>
      </c>
      <c r="K210" s="5" t="e">
        <f t="shared" si="98"/>
        <v>#N/A</v>
      </c>
      <c r="L210" s="5" t="e">
        <f t="shared" si="69"/>
        <v>#N/A</v>
      </c>
      <c r="M210" s="5" t="e">
        <f t="shared" si="99"/>
        <v>#N/A</v>
      </c>
      <c r="Q210" s="5" t="str">
        <f t="shared" si="100"/>
        <v/>
      </c>
      <c r="R210" s="5" t="e">
        <f>IF(Q210="",NA(),COUNTIF(Q210:$Q$293,Q210))</f>
        <v>#N/A</v>
      </c>
      <c r="S210" s="5" t="e">
        <f t="shared" si="101"/>
        <v>#N/A</v>
      </c>
      <c r="T210" s="5" t="e">
        <f t="shared" si="93"/>
        <v>#N/A</v>
      </c>
      <c r="U210" s="5" t="e">
        <f t="shared" si="102"/>
        <v>#N/A</v>
      </c>
      <c r="V210" s="5" t="e">
        <f t="shared" si="103"/>
        <v>#N/A</v>
      </c>
      <c r="W210" s="5" t="str">
        <f t="shared" si="104"/>
        <v/>
      </c>
      <c r="X210" s="5">
        <v>117</v>
      </c>
      <c r="Y210" s="5" t="str">
        <f t="shared" si="105"/>
        <v/>
      </c>
      <c r="Z210" s="5" t="str">
        <f t="shared" si="106"/>
        <v/>
      </c>
      <c r="AA210" s="5" t="str">
        <f t="shared" si="94"/>
        <v/>
      </c>
      <c r="AB210" s="5" t="str">
        <f t="shared" si="107"/>
        <v/>
      </c>
      <c r="AC210" s="5" t="e">
        <f>IF(AB210="",NA(),COUNTIF(AB210:$AB$293,AB210))</f>
        <v>#N/A</v>
      </c>
      <c r="AD210" s="5" t="e">
        <f t="shared" si="108"/>
        <v>#N/A</v>
      </c>
      <c r="AE210" s="5" t="e">
        <f t="shared" si="95"/>
        <v>#N/A</v>
      </c>
      <c r="AF210" s="5" t="e">
        <f t="shared" si="109"/>
        <v>#N/A</v>
      </c>
      <c r="AG210" s="5" t="e">
        <f t="shared" si="110"/>
        <v>#N/A</v>
      </c>
      <c r="AH210" s="5" t="str">
        <f t="shared" si="111"/>
        <v/>
      </c>
      <c r="AI210" s="5" t="str">
        <f t="shared" si="112"/>
        <v/>
      </c>
      <c r="AJ210" s="5" t="str">
        <f t="shared" si="113"/>
        <v/>
      </c>
      <c r="AK210" s="5" t="str">
        <f t="shared" si="114"/>
        <v/>
      </c>
      <c r="AX210" s="5" t="str">
        <f t="shared" si="96"/>
        <v/>
      </c>
      <c r="AY210" s="5" t="e">
        <f t="shared" si="115"/>
        <v>#N/A</v>
      </c>
      <c r="AZ210" s="5" t="str">
        <f t="shared" si="116"/>
        <v/>
      </c>
      <c r="BA210" s="5" t="str">
        <f t="shared" si="117"/>
        <v/>
      </c>
      <c r="BB210" s="5" t="e">
        <f>IF(BA210="",NA(),COUNTIF(BA$193:$BA210,BA210))</f>
        <v>#N/A</v>
      </c>
      <c r="BC210" s="5" t="e">
        <f t="shared" si="118"/>
        <v>#N/A</v>
      </c>
      <c r="BD210" s="5" t="str">
        <f t="shared" si="97"/>
        <v/>
      </c>
      <c r="BE210" s="5" t="e">
        <f t="shared" si="119"/>
        <v>#N/A</v>
      </c>
      <c r="BF210" s="5" t="str">
        <f t="shared" si="120"/>
        <v/>
      </c>
      <c r="BG210" s="5" t="str">
        <f t="shared" si="121"/>
        <v/>
      </c>
      <c r="BH210" s="5" t="e">
        <f>IF(BG210="",NA(),COUNTIF(BG$193:$BG210,BG210))</f>
        <v>#N/A</v>
      </c>
      <c r="BI210" s="5" t="e">
        <f t="shared" si="122"/>
        <v>#N/A</v>
      </c>
      <c r="BJ210"/>
      <c r="BK210"/>
      <c r="BL210"/>
      <c r="BM210"/>
      <c r="BN210"/>
      <c r="BO210"/>
      <c r="BP210"/>
      <c r="BQ210"/>
      <c r="BR210"/>
      <c r="BS210"/>
      <c r="BT210"/>
      <c r="BU210"/>
      <c r="BV210"/>
      <c r="BW210"/>
      <c r="BX210"/>
      <c r="BY210"/>
      <c r="BZ210"/>
      <c r="CA210"/>
      <c r="CB210"/>
      <c r="CC210"/>
      <c r="CD210"/>
      <c r="CE210"/>
      <c r="CF210"/>
    </row>
    <row r="211" spans="1:84" ht="12.75" customHeight="1">
      <c r="A211"/>
      <c r="B211"/>
      <c r="C211"/>
      <c r="D211"/>
      <c r="E211"/>
      <c r="F211"/>
      <c r="G211"/>
      <c r="J211" s="5" t="e">
        <f t="shared" si="68"/>
        <v>#N/A</v>
      </c>
      <c r="K211" s="5" t="e">
        <f t="shared" si="98"/>
        <v>#N/A</v>
      </c>
      <c r="L211" s="5" t="e">
        <f t="shared" si="69"/>
        <v>#N/A</v>
      </c>
      <c r="M211" s="5" t="e">
        <f t="shared" si="99"/>
        <v>#N/A</v>
      </c>
      <c r="Q211" s="5" t="str">
        <f t="shared" si="100"/>
        <v/>
      </c>
      <c r="R211" s="5" t="e">
        <f>IF(Q211="",NA(),COUNTIF(Q211:$Q$293,Q211))</f>
        <v>#N/A</v>
      </c>
      <c r="S211" s="5" t="e">
        <f t="shared" si="101"/>
        <v>#N/A</v>
      </c>
      <c r="T211" s="5" t="e">
        <f t="shared" si="93"/>
        <v>#N/A</v>
      </c>
      <c r="U211" s="5" t="e">
        <f t="shared" si="102"/>
        <v>#N/A</v>
      </c>
      <c r="V211" s="5" t="e">
        <f t="shared" si="103"/>
        <v>#N/A</v>
      </c>
      <c r="W211" s="5" t="str">
        <f t="shared" si="104"/>
        <v/>
      </c>
      <c r="X211" s="5">
        <v>118</v>
      </c>
      <c r="Y211" s="5" t="str">
        <f t="shared" si="105"/>
        <v/>
      </c>
      <c r="Z211" s="5" t="str">
        <f t="shared" si="106"/>
        <v/>
      </c>
      <c r="AA211" s="5" t="str">
        <f t="shared" si="94"/>
        <v/>
      </c>
      <c r="AB211" s="5" t="str">
        <f t="shared" si="107"/>
        <v/>
      </c>
      <c r="AC211" s="5" t="e">
        <f>IF(AB211="",NA(),COUNTIF(AB211:$AB$293,AB211))</f>
        <v>#N/A</v>
      </c>
      <c r="AD211" s="5" t="e">
        <f t="shared" si="108"/>
        <v>#N/A</v>
      </c>
      <c r="AE211" s="5" t="e">
        <f t="shared" si="95"/>
        <v>#N/A</v>
      </c>
      <c r="AF211" s="5" t="e">
        <f t="shared" si="109"/>
        <v>#N/A</v>
      </c>
      <c r="AG211" s="5" t="e">
        <f t="shared" si="110"/>
        <v>#N/A</v>
      </c>
      <c r="AH211" s="5" t="str">
        <f t="shared" si="111"/>
        <v/>
      </c>
      <c r="AI211" s="5" t="str">
        <f t="shared" si="112"/>
        <v/>
      </c>
      <c r="AJ211" s="5" t="str">
        <f t="shared" si="113"/>
        <v/>
      </c>
      <c r="AK211" s="5" t="str">
        <f t="shared" si="114"/>
        <v/>
      </c>
      <c r="AX211" s="5" t="str">
        <f t="shared" si="96"/>
        <v/>
      </c>
      <c r="AY211" s="5" t="e">
        <f t="shared" si="115"/>
        <v>#N/A</v>
      </c>
      <c r="AZ211" s="5" t="str">
        <f t="shared" si="116"/>
        <v/>
      </c>
      <c r="BA211" s="5" t="str">
        <f t="shared" si="117"/>
        <v/>
      </c>
      <c r="BB211" s="5" t="e">
        <f>IF(BA211="",NA(),COUNTIF(BA$193:$BA211,BA211))</f>
        <v>#N/A</v>
      </c>
      <c r="BC211" s="5" t="e">
        <f t="shared" si="118"/>
        <v>#N/A</v>
      </c>
      <c r="BD211" s="5" t="str">
        <f t="shared" si="97"/>
        <v/>
      </c>
      <c r="BE211" s="5" t="e">
        <f t="shared" si="119"/>
        <v>#N/A</v>
      </c>
      <c r="BF211" s="5" t="str">
        <f t="shared" si="120"/>
        <v/>
      </c>
      <c r="BG211" s="5" t="str">
        <f t="shared" si="121"/>
        <v/>
      </c>
      <c r="BH211" s="5" t="e">
        <f>IF(BG211="",NA(),COUNTIF(BG$193:$BG211,BG211))</f>
        <v>#N/A</v>
      </c>
      <c r="BI211" s="5" t="e">
        <f t="shared" si="122"/>
        <v>#N/A</v>
      </c>
      <c r="BJ211"/>
      <c r="BK211"/>
      <c r="BL211"/>
      <c r="BM211"/>
      <c r="BN211"/>
      <c r="BO211"/>
      <c r="BP211"/>
      <c r="BQ211"/>
      <c r="BR211"/>
      <c r="BS211"/>
      <c r="BT211"/>
      <c r="BU211"/>
      <c r="BV211"/>
      <c r="BW211"/>
      <c r="BX211"/>
      <c r="BY211"/>
      <c r="BZ211"/>
      <c r="CA211"/>
      <c r="CB211"/>
      <c r="CC211"/>
      <c r="CD211"/>
      <c r="CE211"/>
      <c r="CF211"/>
    </row>
    <row r="212" spans="1:84" ht="12.75" customHeight="1">
      <c r="A212"/>
      <c r="B212"/>
      <c r="C212"/>
      <c r="D212"/>
      <c r="E212"/>
      <c r="F212"/>
      <c r="G212"/>
      <c r="J212" s="5" t="e">
        <f t="shared" si="68"/>
        <v>#N/A</v>
      </c>
      <c r="K212" s="5" t="e">
        <f t="shared" si="98"/>
        <v>#N/A</v>
      </c>
      <c r="L212" s="5" t="e">
        <f t="shared" si="69"/>
        <v>#N/A</v>
      </c>
      <c r="M212" s="5" t="e">
        <f t="shared" si="99"/>
        <v>#N/A</v>
      </c>
      <c r="Q212" s="5" t="str">
        <f t="shared" si="100"/>
        <v/>
      </c>
      <c r="R212" s="5" t="e">
        <f>IF(Q212="",NA(),COUNTIF(Q212:$Q$293,Q212))</f>
        <v>#N/A</v>
      </c>
      <c r="S212" s="5" t="e">
        <f t="shared" si="101"/>
        <v>#N/A</v>
      </c>
      <c r="T212" s="5" t="e">
        <f t="shared" si="93"/>
        <v>#N/A</v>
      </c>
      <c r="U212" s="5" t="e">
        <f t="shared" si="102"/>
        <v>#N/A</v>
      </c>
      <c r="V212" s="5" t="e">
        <f t="shared" si="103"/>
        <v>#N/A</v>
      </c>
      <c r="W212" s="5" t="str">
        <f t="shared" si="104"/>
        <v/>
      </c>
      <c r="X212" s="5">
        <v>119</v>
      </c>
      <c r="Y212" s="5" t="str">
        <f t="shared" si="105"/>
        <v/>
      </c>
      <c r="Z212" s="5" t="str">
        <f t="shared" si="106"/>
        <v/>
      </c>
      <c r="AA212" s="5" t="str">
        <f t="shared" si="94"/>
        <v/>
      </c>
      <c r="AB212" s="5" t="str">
        <f t="shared" si="107"/>
        <v/>
      </c>
      <c r="AC212" s="5" t="e">
        <f>IF(AB212="",NA(),COUNTIF(AB212:$AB$293,AB212))</f>
        <v>#N/A</v>
      </c>
      <c r="AD212" s="5" t="e">
        <f t="shared" si="108"/>
        <v>#N/A</v>
      </c>
      <c r="AE212" s="5" t="e">
        <f t="shared" si="95"/>
        <v>#N/A</v>
      </c>
      <c r="AF212" s="5" t="e">
        <f t="shared" si="109"/>
        <v>#N/A</v>
      </c>
      <c r="AG212" s="5" t="e">
        <f t="shared" si="110"/>
        <v>#N/A</v>
      </c>
      <c r="AH212" s="5" t="str">
        <f t="shared" si="111"/>
        <v/>
      </c>
      <c r="AI212" s="5" t="str">
        <f t="shared" si="112"/>
        <v/>
      </c>
      <c r="AJ212" s="5" t="str">
        <f t="shared" si="113"/>
        <v/>
      </c>
      <c r="AK212" s="5" t="str">
        <f t="shared" si="114"/>
        <v/>
      </c>
      <c r="AX212" s="5" t="str">
        <f t="shared" si="96"/>
        <v/>
      </c>
      <c r="AY212" s="5" t="e">
        <f t="shared" si="115"/>
        <v>#N/A</v>
      </c>
      <c r="AZ212" s="5" t="str">
        <f t="shared" si="116"/>
        <v/>
      </c>
      <c r="BA212" s="5" t="str">
        <f t="shared" si="117"/>
        <v/>
      </c>
      <c r="BB212" s="5" t="e">
        <f>IF(BA212="",NA(),COUNTIF(BA$193:$BA212,BA212))</f>
        <v>#N/A</v>
      </c>
      <c r="BC212" s="5" t="e">
        <f t="shared" si="118"/>
        <v>#N/A</v>
      </c>
      <c r="BD212" s="5" t="str">
        <f t="shared" si="97"/>
        <v/>
      </c>
      <c r="BE212" s="5" t="e">
        <f t="shared" si="119"/>
        <v>#N/A</v>
      </c>
      <c r="BF212" s="5" t="str">
        <f t="shared" si="120"/>
        <v/>
      </c>
      <c r="BG212" s="5" t="str">
        <f t="shared" si="121"/>
        <v/>
      </c>
      <c r="BH212" s="5" t="e">
        <f>IF(BG212="",NA(),COUNTIF(BG$193:$BG212,BG212))</f>
        <v>#N/A</v>
      </c>
      <c r="BI212" s="5" t="e">
        <f t="shared" si="122"/>
        <v>#N/A</v>
      </c>
      <c r="BJ212"/>
      <c r="BK212"/>
      <c r="BL212"/>
      <c r="BM212"/>
      <c r="BN212"/>
      <c r="BO212"/>
      <c r="BP212"/>
      <c r="BQ212"/>
      <c r="BR212"/>
      <c r="BS212"/>
      <c r="BT212"/>
      <c r="BU212"/>
      <c r="BV212"/>
      <c r="BW212"/>
      <c r="BX212"/>
      <c r="BY212"/>
      <c r="BZ212"/>
      <c r="CA212"/>
      <c r="CB212"/>
      <c r="CC212"/>
      <c r="CD212"/>
      <c r="CE212"/>
      <c r="CF212"/>
    </row>
    <row r="213" spans="1:84" ht="12.75" customHeight="1">
      <c r="A213"/>
      <c r="B213"/>
      <c r="C213"/>
      <c r="D213"/>
      <c r="E213"/>
      <c r="F213"/>
      <c r="G213"/>
      <c r="J213" s="5" t="e">
        <f t="shared" ref="J213:J276" si="123">0.85-IF($AP$92,BC223-$S$83,0)</f>
        <v>#N/A</v>
      </c>
      <c r="K213" s="5" t="e">
        <f t="shared" si="98"/>
        <v>#N/A</v>
      </c>
      <c r="L213" s="5" t="e">
        <f t="shared" ref="L213:L276" si="124">2.15+IF($AP$92,BI223-$S$83,0)</f>
        <v>#N/A</v>
      </c>
      <c r="M213" s="5" t="e">
        <f t="shared" si="99"/>
        <v>#N/A</v>
      </c>
      <c r="Q213" s="5" t="str">
        <f t="shared" si="100"/>
        <v/>
      </c>
      <c r="R213" s="5" t="e">
        <f>IF(Q213="",NA(),COUNTIF(Q213:$Q$293,Q213))</f>
        <v>#N/A</v>
      </c>
      <c r="S213" s="5" t="e">
        <f t="shared" si="101"/>
        <v>#N/A</v>
      </c>
      <c r="T213" s="5" t="e">
        <f t="shared" si="93"/>
        <v>#N/A</v>
      </c>
      <c r="U213" s="5" t="e">
        <f t="shared" si="102"/>
        <v>#N/A</v>
      </c>
      <c r="V213" s="5" t="e">
        <f t="shared" si="103"/>
        <v>#N/A</v>
      </c>
      <c r="W213" s="5" t="str">
        <f t="shared" si="104"/>
        <v/>
      </c>
      <c r="X213" s="5">
        <v>120</v>
      </c>
      <c r="Y213" s="5" t="str">
        <f t="shared" si="105"/>
        <v/>
      </c>
      <c r="Z213" s="5" t="str">
        <f t="shared" si="106"/>
        <v/>
      </c>
      <c r="AA213" s="5" t="str">
        <f t="shared" si="94"/>
        <v/>
      </c>
      <c r="AB213" s="5" t="str">
        <f t="shared" si="107"/>
        <v/>
      </c>
      <c r="AC213" s="5" t="e">
        <f>IF(AB213="",NA(),COUNTIF(AB213:$AB$293,AB213))</f>
        <v>#N/A</v>
      </c>
      <c r="AD213" s="5" t="e">
        <f t="shared" si="108"/>
        <v>#N/A</v>
      </c>
      <c r="AE213" s="5" t="e">
        <f t="shared" si="95"/>
        <v>#N/A</v>
      </c>
      <c r="AF213" s="5" t="e">
        <f t="shared" si="109"/>
        <v>#N/A</v>
      </c>
      <c r="AG213" s="5" t="e">
        <f t="shared" si="110"/>
        <v>#N/A</v>
      </c>
      <c r="AH213" s="5" t="str">
        <f t="shared" si="111"/>
        <v/>
      </c>
      <c r="AI213" s="5" t="str">
        <f t="shared" si="112"/>
        <v/>
      </c>
      <c r="AJ213" s="5" t="str">
        <f t="shared" si="113"/>
        <v/>
      </c>
      <c r="AK213" s="5" t="str">
        <f t="shared" si="114"/>
        <v/>
      </c>
      <c r="AX213" s="5" t="str">
        <f t="shared" si="96"/>
        <v/>
      </c>
      <c r="AY213" s="5" t="e">
        <f t="shared" si="115"/>
        <v>#N/A</v>
      </c>
      <c r="AZ213" s="5" t="str">
        <f t="shared" si="116"/>
        <v/>
      </c>
      <c r="BA213" s="5" t="str">
        <f t="shared" si="117"/>
        <v/>
      </c>
      <c r="BB213" s="5" t="e">
        <f>IF(BA213="",NA(),COUNTIF(BA$193:$BA213,BA213))</f>
        <v>#N/A</v>
      </c>
      <c r="BC213" s="5" t="e">
        <f t="shared" si="118"/>
        <v>#N/A</v>
      </c>
      <c r="BD213" s="5" t="str">
        <f t="shared" si="97"/>
        <v/>
      </c>
      <c r="BE213" s="5" t="e">
        <f t="shared" si="119"/>
        <v>#N/A</v>
      </c>
      <c r="BF213" s="5" t="str">
        <f t="shared" si="120"/>
        <v/>
      </c>
      <c r="BG213" s="5" t="str">
        <f t="shared" si="121"/>
        <v/>
      </c>
      <c r="BH213" s="5" t="e">
        <f>IF(BG213="",NA(),COUNTIF(BG$193:$BG213,BG213))</f>
        <v>#N/A</v>
      </c>
      <c r="BI213" s="5" t="e">
        <f t="shared" si="122"/>
        <v>#N/A</v>
      </c>
      <c r="BJ213"/>
      <c r="BK213"/>
      <c r="BL213"/>
      <c r="BM213"/>
      <c r="BN213"/>
      <c r="BO213"/>
      <c r="BP213"/>
      <c r="BQ213"/>
      <c r="BR213"/>
      <c r="BS213"/>
      <c r="BT213"/>
      <c r="BU213"/>
      <c r="BV213"/>
      <c r="BW213"/>
      <c r="BX213"/>
      <c r="BY213"/>
      <c r="BZ213"/>
      <c r="CA213"/>
      <c r="CB213"/>
      <c r="CC213"/>
      <c r="CD213"/>
      <c r="CE213"/>
      <c r="CF213"/>
    </row>
    <row r="214" spans="1:84" ht="12.75" customHeight="1">
      <c r="A214"/>
      <c r="B214"/>
      <c r="C214"/>
      <c r="D214"/>
      <c r="E214"/>
      <c r="F214"/>
      <c r="G214"/>
      <c r="J214" s="5" t="e">
        <f t="shared" si="123"/>
        <v>#N/A</v>
      </c>
      <c r="K214" s="5" t="e">
        <f t="shared" si="98"/>
        <v>#N/A</v>
      </c>
      <c r="L214" s="5" t="e">
        <f t="shared" si="124"/>
        <v>#N/A</v>
      </c>
      <c r="M214" s="5" t="e">
        <f t="shared" si="99"/>
        <v>#N/A</v>
      </c>
      <c r="Q214" s="5" t="str">
        <f t="shared" si="100"/>
        <v/>
      </c>
      <c r="R214" s="5" t="e">
        <f>IF(Q214="",NA(),COUNTIF(Q214:$Q$293,Q214))</f>
        <v>#N/A</v>
      </c>
      <c r="S214" s="5" t="e">
        <f t="shared" si="101"/>
        <v>#N/A</v>
      </c>
      <c r="T214" s="5" t="e">
        <f t="shared" si="93"/>
        <v>#N/A</v>
      </c>
      <c r="U214" s="5" t="e">
        <f t="shared" si="102"/>
        <v>#N/A</v>
      </c>
      <c r="V214" s="5" t="e">
        <f t="shared" si="103"/>
        <v>#N/A</v>
      </c>
      <c r="W214" s="5" t="str">
        <f t="shared" si="104"/>
        <v/>
      </c>
      <c r="X214" s="5">
        <v>121</v>
      </c>
      <c r="Y214" s="5" t="str">
        <f t="shared" si="105"/>
        <v/>
      </c>
      <c r="Z214" s="5" t="str">
        <f t="shared" si="106"/>
        <v/>
      </c>
      <c r="AA214" s="5" t="str">
        <f t="shared" si="94"/>
        <v/>
      </c>
      <c r="AB214" s="5" t="str">
        <f t="shared" si="107"/>
        <v/>
      </c>
      <c r="AC214" s="5" t="e">
        <f>IF(AB214="",NA(),COUNTIF(AB214:$AB$293,AB214))</f>
        <v>#N/A</v>
      </c>
      <c r="AD214" s="5" t="e">
        <f t="shared" si="108"/>
        <v>#N/A</v>
      </c>
      <c r="AE214" s="5" t="e">
        <f t="shared" si="95"/>
        <v>#N/A</v>
      </c>
      <c r="AF214" s="5" t="e">
        <f t="shared" si="109"/>
        <v>#N/A</v>
      </c>
      <c r="AG214" s="5" t="e">
        <f t="shared" si="110"/>
        <v>#N/A</v>
      </c>
      <c r="AH214" s="5" t="str">
        <f t="shared" si="111"/>
        <v/>
      </c>
      <c r="AI214" s="5" t="str">
        <f t="shared" si="112"/>
        <v/>
      </c>
      <c r="AJ214" s="5" t="str">
        <f t="shared" si="113"/>
        <v/>
      </c>
      <c r="AK214" s="5" t="str">
        <f t="shared" si="114"/>
        <v/>
      </c>
      <c r="AX214" s="5" t="str">
        <f t="shared" si="96"/>
        <v/>
      </c>
      <c r="AY214" s="5" t="e">
        <f t="shared" si="115"/>
        <v>#N/A</v>
      </c>
      <c r="AZ214" s="5" t="str">
        <f t="shared" si="116"/>
        <v/>
      </c>
      <c r="BA214" s="5" t="str">
        <f t="shared" si="117"/>
        <v/>
      </c>
      <c r="BB214" s="5" t="e">
        <f>IF(BA214="",NA(),COUNTIF(BA$193:$BA214,BA214))</f>
        <v>#N/A</v>
      </c>
      <c r="BC214" s="5" t="e">
        <f t="shared" si="118"/>
        <v>#N/A</v>
      </c>
      <c r="BD214" s="5" t="str">
        <f t="shared" si="97"/>
        <v/>
      </c>
      <c r="BE214" s="5" t="e">
        <f t="shared" si="119"/>
        <v>#N/A</v>
      </c>
      <c r="BF214" s="5" t="str">
        <f t="shared" si="120"/>
        <v/>
      </c>
      <c r="BG214" s="5" t="str">
        <f t="shared" si="121"/>
        <v/>
      </c>
      <c r="BH214" s="5" t="e">
        <f>IF(BG214="",NA(),COUNTIF(BG$193:$BG214,BG214))</f>
        <v>#N/A</v>
      </c>
      <c r="BI214" s="5" t="e">
        <f t="shared" si="122"/>
        <v>#N/A</v>
      </c>
      <c r="BJ214"/>
      <c r="BK214"/>
      <c r="BL214"/>
      <c r="BM214"/>
      <c r="BN214"/>
      <c r="BO214"/>
      <c r="BP214"/>
      <c r="BQ214"/>
      <c r="BR214"/>
      <c r="BS214"/>
      <c r="BT214"/>
      <c r="BU214"/>
      <c r="BV214"/>
      <c r="BW214"/>
      <c r="BX214"/>
      <c r="BY214"/>
      <c r="BZ214"/>
      <c r="CA214"/>
      <c r="CB214"/>
      <c r="CC214"/>
      <c r="CD214"/>
      <c r="CE214"/>
      <c r="CF214"/>
    </row>
    <row r="215" spans="1:84" ht="12.75" customHeight="1">
      <c r="A215"/>
      <c r="B215"/>
      <c r="C215"/>
      <c r="D215"/>
      <c r="E215"/>
      <c r="F215"/>
      <c r="G215"/>
      <c r="J215" s="5" t="e">
        <f t="shared" si="123"/>
        <v>#N/A</v>
      </c>
      <c r="K215" s="5" t="e">
        <f t="shared" si="98"/>
        <v>#N/A</v>
      </c>
      <c r="L215" s="5" t="e">
        <f t="shared" si="124"/>
        <v>#N/A</v>
      </c>
      <c r="M215" s="5" t="e">
        <f t="shared" si="99"/>
        <v>#N/A</v>
      </c>
      <c r="Q215" s="5" t="str">
        <f t="shared" si="100"/>
        <v/>
      </c>
      <c r="R215" s="5" t="e">
        <f>IF(Q215="",NA(),COUNTIF(Q215:$Q$293,Q215))</f>
        <v>#N/A</v>
      </c>
      <c r="S215" s="5" t="e">
        <f t="shared" si="101"/>
        <v>#N/A</v>
      </c>
      <c r="T215" s="5" t="e">
        <f t="shared" si="93"/>
        <v>#N/A</v>
      </c>
      <c r="U215" s="5" t="e">
        <f t="shared" si="102"/>
        <v>#N/A</v>
      </c>
      <c r="V215" s="5" t="e">
        <f t="shared" si="103"/>
        <v>#N/A</v>
      </c>
      <c r="W215" s="5" t="str">
        <f t="shared" si="104"/>
        <v/>
      </c>
      <c r="X215" s="5">
        <v>122</v>
      </c>
      <c r="Y215" s="5" t="str">
        <f t="shared" si="105"/>
        <v/>
      </c>
      <c r="Z215" s="5" t="str">
        <f t="shared" si="106"/>
        <v/>
      </c>
      <c r="AA215" s="5" t="str">
        <f t="shared" si="94"/>
        <v/>
      </c>
      <c r="AB215" s="5" t="str">
        <f t="shared" si="107"/>
        <v/>
      </c>
      <c r="AC215" s="5" t="e">
        <f>IF(AB215="",NA(),COUNTIF(AB215:$AB$293,AB215))</f>
        <v>#N/A</v>
      </c>
      <c r="AD215" s="5" t="e">
        <f t="shared" si="108"/>
        <v>#N/A</v>
      </c>
      <c r="AE215" s="5" t="e">
        <f t="shared" si="95"/>
        <v>#N/A</v>
      </c>
      <c r="AF215" s="5" t="e">
        <f t="shared" si="109"/>
        <v>#N/A</v>
      </c>
      <c r="AG215" s="5" t="e">
        <f t="shared" si="110"/>
        <v>#N/A</v>
      </c>
      <c r="AH215" s="5" t="str">
        <f t="shared" si="111"/>
        <v/>
      </c>
      <c r="AI215" s="5" t="str">
        <f t="shared" si="112"/>
        <v/>
      </c>
      <c r="AJ215" s="5" t="str">
        <f t="shared" si="113"/>
        <v/>
      </c>
      <c r="AK215" s="5" t="str">
        <f t="shared" si="114"/>
        <v/>
      </c>
      <c r="AX215" s="5" t="str">
        <f t="shared" si="96"/>
        <v/>
      </c>
      <c r="AY215" s="5" t="e">
        <f t="shared" si="115"/>
        <v>#N/A</v>
      </c>
      <c r="AZ215" s="5" t="str">
        <f t="shared" si="116"/>
        <v/>
      </c>
      <c r="BA215" s="5" t="str">
        <f t="shared" si="117"/>
        <v/>
      </c>
      <c r="BB215" s="5" t="e">
        <f>IF(BA215="",NA(),COUNTIF(BA$193:$BA215,BA215))</f>
        <v>#N/A</v>
      </c>
      <c r="BC215" s="5" t="e">
        <f t="shared" si="118"/>
        <v>#N/A</v>
      </c>
      <c r="BD215" s="5" t="str">
        <f t="shared" si="97"/>
        <v/>
      </c>
      <c r="BE215" s="5" t="e">
        <f t="shared" si="119"/>
        <v>#N/A</v>
      </c>
      <c r="BF215" s="5" t="str">
        <f t="shared" si="120"/>
        <v/>
      </c>
      <c r="BG215" s="5" t="str">
        <f t="shared" si="121"/>
        <v/>
      </c>
      <c r="BH215" s="5" t="e">
        <f>IF(BG215="",NA(),COUNTIF(BG$193:$BG215,BG215))</f>
        <v>#N/A</v>
      </c>
      <c r="BI215" s="5" t="e">
        <f t="shared" si="122"/>
        <v>#N/A</v>
      </c>
      <c r="BJ215"/>
      <c r="BK215"/>
      <c r="BL215"/>
      <c r="BM215"/>
      <c r="BN215"/>
      <c r="BO215"/>
      <c r="BP215"/>
      <c r="BQ215"/>
      <c r="BR215"/>
      <c r="BS215"/>
      <c r="BT215"/>
      <c r="BU215"/>
      <c r="BV215"/>
      <c r="BW215"/>
      <c r="BX215"/>
      <c r="BY215"/>
      <c r="BZ215"/>
      <c r="CA215"/>
      <c r="CB215"/>
      <c r="CC215"/>
      <c r="CD215"/>
      <c r="CE215"/>
      <c r="CF215"/>
    </row>
    <row r="216" spans="1:84" ht="12.75" customHeight="1">
      <c r="A216"/>
      <c r="B216"/>
      <c r="C216"/>
      <c r="D216"/>
      <c r="E216"/>
      <c r="F216"/>
      <c r="G216"/>
      <c r="J216" s="5" t="e">
        <f t="shared" si="123"/>
        <v>#N/A</v>
      </c>
      <c r="K216" s="5" t="e">
        <f t="shared" si="98"/>
        <v>#N/A</v>
      </c>
      <c r="L216" s="5" t="e">
        <f t="shared" si="124"/>
        <v>#N/A</v>
      </c>
      <c r="M216" s="5" t="e">
        <f t="shared" si="99"/>
        <v>#N/A</v>
      </c>
      <c r="Q216" s="5" t="str">
        <f t="shared" si="100"/>
        <v/>
      </c>
      <c r="R216" s="5" t="e">
        <f>IF(Q216="",NA(),COUNTIF(Q216:$Q$293,Q216))</f>
        <v>#N/A</v>
      </c>
      <c r="S216" s="5" t="e">
        <f t="shared" si="101"/>
        <v>#N/A</v>
      </c>
      <c r="T216" s="5" t="e">
        <f t="shared" si="93"/>
        <v>#N/A</v>
      </c>
      <c r="U216" s="5" t="e">
        <f t="shared" si="102"/>
        <v>#N/A</v>
      </c>
      <c r="V216" s="5" t="e">
        <f t="shared" si="103"/>
        <v>#N/A</v>
      </c>
      <c r="W216" s="5" t="str">
        <f t="shared" si="104"/>
        <v/>
      </c>
      <c r="X216" s="5">
        <v>123</v>
      </c>
      <c r="Y216" s="5" t="str">
        <f t="shared" si="105"/>
        <v/>
      </c>
      <c r="Z216" s="5" t="str">
        <f t="shared" si="106"/>
        <v/>
      </c>
      <c r="AA216" s="5" t="str">
        <f t="shared" si="94"/>
        <v/>
      </c>
      <c r="AB216" s="5" t="str">
        <f t="shared" si="107"/>
        <v/>
      </c>
      <c r="AC216" s="5" t="e">
        <f>IF(AB216="",NA(),COUNTIF(AB216:$AB$293,AB216))</f>
        <v>#N/A</v>
      </c>
      <c r="AD216" s="5" t="e">
        <f t="shared" si="108"/>
        <v>#N/A</v>
      </c>
      <c r="AE216" s="5" t="e">
        <f t="shared" si="95"/>
        <v>#N/A</v>
      </c>
      <c r="AF216" s="5" t="e">
        <f t="shared" si="109"/>
        <v>#N/A</v>
      </c>
      <c r="AG216" s="5" t="e">
        <f t="shared" si="110"/>
        <v>#N/A</v>
      </c>
      <c r="AH216" s="5" t="str">
        <f t="shared" si="111"/>
        <v/>
      </c>
      <c r="AI216" s="5" t="str">
        <f t="shared" si="112"/>
        <v/>
      </c>
      <c r="AJ216" s="5" t="str">
        <f t="shared" si="113"/>
        <v/>
      </c>
      <c r="AK216" s="5" t="str">
        <f t="shared" si="114"/>
        <v/>
      </c>
      <c r="AX216" s="5" t="str">
        <f t="shared" si="96"/>
        <v/>
      </c>
      <c r="AY216" s="5" t="e">
        <f t="shared" si="115"/>
        <v>#N/A</v>
      </c>
      <c r="AZ216" s="5" t="str">
        <f t="shared" si="116"/>
        <v/>
      </c>
      <c r="BA216" s="5" t="str">
        <f t="shared" si="117"/>
        <v/>
      </c>
      <c r="BB216" s="5" t="e">
        <f>IF(BA216="",NA(),COUNTIF(BA$193:$BA216,BA216))</f>
        <v>#N/A</v>
      </c>
      <c r="BC216" s="5" t="e">
        <f t="shared" si="118"/>
        <v>#N/A</v>
      </c>
      <c r="BD216" s="5" t="str">
        <f t="shared" si="97"/>
        <v/>
      </c>
      <c r="BE216" s="5" t="e">
        <f t="shared" si="119"/>
        <v>#N/A</v>
      </c>
      <c r="BF216" s="5" t="str">
        <f t="shared" si="120"/>
        <v/>
      </c>
      <c r="BG216" s="5" t="str">
        <f t="shared" si="121"/>
        <v/>
      </c>
      <c r="BH216" s="5" t="e">
        <f>IF(BG216="",NA(),COUNTIF(BG$193:$BG216,BG216))</f>
        <v>#N/A</v>
      </c>
      <c r="BI216" s="5" t="e">
        <f t="shared" si="122"/>
        <v>#N/A</v>
      </c>
      <c r="BJ216"/>
      <c r="BK216"/>
      <c r="BL216"/>
      <c r="BM216"/>
      <c r="BN216"/>
      <c r="BO216"/>
      <c r="BP216"/>
      <c r="BQ216"/>
      <c r="BR216"/>
      <c r="BS216"/>
      <c r="BT216"/>
      <c r="BU216"/>
      <c r="BV216"/>
      <c r="BW216"/>
      <c r="BX216"/>
      <c r="BY216"/>
      <c r="BZ216"/>
      <c r="CA216"/>
      <c r="CB216"/>
      <c r="CC216"/>
      <c r="CD216"/>
      <c r="CE216"/>
      <c r="CF216"/>
    </row>
    <row r="217" spans="1:84" ht="12.75" customHeight="1">
      <c r="A217"/>
      <c r="B217"/>
      <c r="C217"/>
      <c r="D217"/>
      <c r="E217"/>
      <c r="F217"/>
      <c r="G217"/>
      <c r="J217" s="5" t="e">
        <f t="shared" si="123"/>
        <v>#N/A</v>
      </c>
      <c r="K217" s="5" t="e">
        <f t="shared" si="98"/>
        <v>#N/A</v>
      </c>
      <c r="L217" s="5" t="e">
        <f t="shared" si="124"/>
        <v>#N/A</v>
      </c>
      <c r="M217" s="5" t="e">
        <f t="shared" si="99"/>
        <v>#N/A</v>
      </c>
      <c r="Q217" s="5" t="str">
        <f t="shared" si="100"/>
        <v/>
      </c>
      <c r="R217" s="5" t="e">
        <f>IF(Q217="",NA(),COUNTIF(Q217:$Q$293,Q217))</f>
        <v>#N/A</v>
      </c>
      <c r="S217" s="5" t="e">
        <f t="shared" si="101"/>
        <v>#N/A</v>
      </c>
      <c r="T217" s="5" t="e">
        <f t="shared" si="93"/>
        <v>#N/A</v>
      </c>
      <c r="U217" s="5" t="e">
        <f t="shared" si="102"/>
        <v>#N/A</v>
      </c>
      <c r="V217" s="5" t="e">
        <f t="shared" si="103"/>
        <v>#N/A</v>
      </c>
      <c r="W217" s="5" t="str">
        <f t="shared" si="104"/>
        <v/>
      </c>
      <c r="X217" s="5">
        <v>124</v>
      </c>
      <c r="Y217" s="5" t="str">
        <f t="shared" si="105"/>
        <v/>
      </c>
      <c r="Z217" s="5" t="str">
        <f t="shared" si="106"/>
        <v/>
      </c>
      <c r="AA217" s="5" t="str">
        <f t="shared" si="94"/>
        <v/>
      </c>
      <c r="AB217" s="5" t="str">
        <f t="shared" si="107"/>
        <v/>
      </c>
      <c r="AC217" s="5" t="e">
        <f>IF(AB217="",NA(),COUNTIF(AB217:$AB$293,AB217))</f>
        <v>#N/A</v>
      </c>
      <c r="AD217" s="5" t="e">
        <f t="shared" si="108"/>
        <v>#N/A</v>
      </c>
      <c r="AE217" s="5" t="e">
        <f t="shared" si="95"/>
        <v>#N/A</v>
      </c>
      <c r="AF217" s="5" t="e">
        <f t="shared" si="109"/>
        <v>#N/A</v>
      </c>
      <c r="AG217" s="5" t="e">
        <f t="shared" si="110"/>
        <v>#N/A</v>
      </c>
      <c r="AH217" s="5" t="str">
        <f t="shared" si="111"/>
        <v/>
      </c>
      <c r="AI217" s="5" t="str">
        <f t="shared" si="112"/>
        <v/>
      </c>
      <c r="AJ217" s="5" t="str">
        <f t="shared" si="113"/>
        <v/>
      </c>
      <c r="AK217" s="5" t="str">
        <f t="shared" si="114"/>
        <v/>
      </c>
      <c r="AX217" s="5" t="str">
        <f t="shared" si="96"/>
        <v/>
      </c>
      <c r="AY217" s="5" t="e">
        <f t="shared" si="115"/>
        <v>#N/A</v>
      </c>
      <c r="AZ217" s="5" t="str">
        <f t="shared" si="116"/>
        <v/>
      </c>
      <c r="BA217" s="5" t="str">
        <f t="shared" si="117"/>
        <v/>
      </c>
      <c r="BB217" s="5" t="e">
        <f>IF(BA217="",NA(),COUNTIF(BA$193:$BA217,BA217))</f>
        <v>#N/A</v>
      </c>
      <c r="BC217" s="5" t="e">
        <f t="shared" si="118"/>
        <v>#N/A</v>
      </c>
      <c r="BD217" s="5" t="str">
        <f t="shared" si="97"/>
        <v/>
      </c>
      <c r="BE217" s="5" t="e">
        <f t="shared" si="119"/>
        <v>#N/A</v>
      </c>
      <c r="BF217" s="5" t="str">
        <f t="shared" si="120"/>
        <v/>
      </c>
      <c r="BG217" s="5" t="str">
        <f t="shared" si="121"/>
        <v/>
      </c>
      <c r="BH217" s="5" t="e">
        <f>IF(BG217="",NA(),COUNTIF(BG$193:$BG217,BG217))</f>
        <v>#N/A</v>
      </c>
      <c r="BI217" s="5" t="e">
        <f t="shared" si="122"/>
        <v>#N/A</v>
      </c>
      <c r="BJ217"/>
      <c r="BK217"/>
      <c r="BL217"/>
      <c r="BM217"/>
      <c r="BN217"/>
      <c r="BO217"/>
      <c r="BP217"/>
      <c r="BQ217"/>
      <c r="BR217"/>
      <c r="BS217"/>
      <c r="BT217"/>
      <c r="BU217"/>
      <c r="BV217"/>
      <c r="BW217"/>
      <c r="BX217"/>
      <c r="BY217"/>
      <c r="BZ217"/>
      <c r="CA217"/>
      <c r="CB217"/>
      <c r="CC217"/>
      <c r="CD217"/>
      <c r="CE217"/>
      <c r="CF217"/>
    </row>
    <row r="218" spans="1:84" ht="12.75" customHeight="1">
      <c r="A218"/>
      <c r="B218"/>
      <c r="C218"/>
      <c r="D218"/>
      <c r="E218"/>
      <c r="F218"/>
      <c r="G218"/>
      <c r="J218" s="5" t="e">
        <f t="shared" si="123"/>
        <v>#N/A</v>
      </c>
      <c r="K218" s="5" t="e">
        <f t="shared" si="98"/>
        <v>#N/A</v>
      </c>
      <c r="L218" s="5" t="e">
        <f t="shared" si="124"/>
        <v>#N/A</v>
      </c>
      <c r="M218" s="5" t="e">
        <f t="shared" si="99"/>
        <v>#N/A</v>
      </c>
      <c r="Q218" s="5" t="str">
        <f t="shared" si="100"/>
        <v/>
      </c>
      <c r="R218" s="5" t="e">
        <f>IF(Q218="",NA(),COUNTIF(Q218:$Q$293,Q218))</f>
        <v>#N/A</v>
      </c>
      <c r="S218" s="5" t="e">
        <f t="shared" si="101"/>
        <v>#N/A</v>
      </c>
      <c r="T218" s="5" t="e">
        <f t="shared" si="93"/>
        <v>#N/A</v>
      </c>
      <c r="U218" s="5" t="e">
        <f t="shared" si="102"/>
        <v>#N/A</v>
      </c>
      <c r="V218" s="5" t="e">
        <f t="shared" si="103"/>
        <v>#N/A</v>
      </c>
      <c r="W218" s="5" t="str">
        <f t="shared" si="104"/>
        <v/>
      </c>
      <c r="X218" s="5">
        <v>125</v>
      </c>
      <c r="Y218" s="5" t="str">
        <f t="shared" si="105"/>
        <v/>
      </c>
      <c r="Z218" s="5" t="str">
        <f t="shared" si="106"/>
        <v/>
      </c>
      <c r="AA218" s="5" t="str">
        <f t="shared" si="94"/>
        <v/>
      </c>
      <c r="AB218" s="5" t="str">
        <f t="shared" si="107"/>
        <v/>
      </c>
      <c r="AC218" s="5" t="e">
        <f>IF(AB218="",NA(),COUNTIF(AB218:$AB$293,AB218))</f>
        <v>#N/A</v>
      </c>
      <c r="AD218" s="5" t="e">
        <f t="shared" si="108"/>
        <v>#N/A</v>
      </c>
      <c r="AE218" s="5" t="e">
        <f t="shared" si="95"/>
        <v>#N/A</v>
      </c>
      <c r="AF218" s="5" t="e">
        <f t="shared" si="109"/>
        <v>#N/A</v>
      </c>
      <c r="AG218" s="5" t="e">
        <f t="shared" si="110"/>
        <v>#N/A</v>
      </c>
      <c r="AH218" s="5" t="str">
        <f t="shared" si="111"/>
        <v/>
      </c>
      <c r="AI218" s="5" t="str">
        <f t="shared" si="112"/>
        <v/>
      </c>
      <c r="AJ218" s="5" t="str">
        <f t="shared" si="113"/>
        <v/>
      </c>
      <c r="AK218" s="5" t="str">
        <f t="shared" si="114"/>
        <v/>
      </c>
      <c r="AX218" s="5" t="str">
        <f t="shared" si="96"/>
        <v/>
      </c>
      <c r="AY218" s="5" t="e">
        <f t="shared" si="115"/>
        <v>#N/A</v>
      </c>
      <c r="AZ218" s="5" t="str">
        <f t="shared" si="116"/>
        <v/>
      </c>
      <c r="BA218" s="5" t="str">
        <f t="shared" si="117"/>
        <v/>
      </c>
      <c r="BB218" s="5" t="e">
        <f>IF(BA218="",NA(),COUNTIF(BA$193:$BA218,BA218))</f>
        <v>#N/A</v>
      </c>
      <c r="BC218" s="5" t="e">
        <f t="shared" si="118"/>
        <v>#N/A</v>
      </c>
      <c r="BD218" s="5" t="str">
        <f t="shared" si="97"/>
        <v/>
      </c>
      <c r="BE218" s="5" t="e">
        <f t="shared" si="119"/>
        <v>#N/A</v>
      </c>
      <c r="BF218" s="5" t="str">
        <f t="shared" si="120"/>
        <v/>
      </c>
      <c r="BG218" s="5" t="str">
        <f t="shared" si="121"/>
        <v/>
      </c>
      <c r="BH218" s="5" t="e">
        <f>IF(BG218="",NA(),COUNTIF(BG$193:$BG218,BG218))</f>
        <v>#N/A</v>
      </c>
      <c r="BI218" s="5" t="e">
        <f t="shared" si="122"/>
        <v>#N/A</v>
      </c>
      <c r="BJ218"/>
      <c r="BK218"/>
      <c r="BL218"/>
      <c r="BM218"/>
      <c r="BN218"/>
      <c r="BO218"/>
      <c r="BP218"/>
      <c r="BQ218"/>
      <c r="BR218"/>
      <c r="BS218"/>
      <c r="BT218"/>
      <c r="BU218"/>
      <c r="BV218"/>
      <c r="BW218"/>
      <c r="BX218"/>
      <c r="BY218"/>
      <c r="BZ218"/>
      <c r="CA218"/>
      <c r="CB218"/>
      <c r="CC218"/>
      <c r="CD218"/>
      <c r="CE218"/>
      <c r="CF218"/>
    </row>
    <row r="219" spans="1:84" ht="12.75" customHeight="1">
      <c r="A219"/>
      <c r="B219"/>
      <c r="C219"/>
      <c r="D219"/>
      <c r="E219"/>
      <c r="F219"/>
      <c r="G219"/>
      <c r="J219" s="5" t="e">
        <f t="shared" si="123"/>
        <v>#N/A</v>
      </c>
      <c r="K219" s="5" t="e">
        <f t="shared" si="98"/>
        <v>#N/A</v>
      </c>
      <c r="L219" s="5" t="e">
        <f t="shared" si="124"/>
        <v>#N/A</v>
      </c>
      <c r="M219" s="5" t="e">
        <f t="shared" si="99"/>
        <v>#N/A</v>
      </c>
      <c r="Q219" s="5" t="str">
        <f t="shared" si="100"/>
        <v/>
      </c>
      <c r="R219" s="5" t="e">
        <f>IF(Q219="",NA(),COUNTIF(Q219:$Q$293,Q219))</f>
        <v>#N/A</v>
      </c>
      <c r="S219" s="5" t="e">
        <f t="shared" si="101"/>
        <v>#N/A</v>
      </c>
      <c r="T219" s="5" t="e">
        <f t="shared" si="93"/>
        <v>#N/A</v>
      </c>
      <c r="U219" s="5" t="e">
        <f t="shared" si="102"/>
        <v>#N/A</v>
      </c>
      <c r="V219" s="5" t="e">
        <f t="shared" si="103"/>
        <v>#N/A</v>
      </c>
      <c r="W219" s="5" t="str">
        <f t="shared" si="104"/>
        <v/>
      </c>
      <c r="X219" s="5">
        <v>126</v>
      </c>
      <c r="Y219" s="5" t="str">
        <f t="shared" si="105"/>
        <v/>
      </c>
      <c r="Z219" s="5" t="str">
        <f t="shared" si="106"/>
        <v/>
      </c>
      <c r="AA219" s="5" t="str">
        <f t="shared" si="94"/>
        <v/>
      </c>
      <c r="AB219" s="5" t="str">
        <f t="shared" si="107"/>
        <v/>
      </c>
      <c r="AC219" s="5" t="e">
        <f>IF(AB219="",NA(),COUNTIF(AB219:$AB$293,AB219))</f>
        <v>#N/A</v>
      </c>
      <c r="AD219" s="5" t="e">
        <f t="shared" si="108"/>
        <v>#N/A</v>
      </c>
      <c r="AE219" s="5" t="e">
        <f t="shared" si="95"/>
        <v>#N/A</v>
      </c>
      <c r="AF219" s="5" t="e">
        <f t="shared" si="109"/>
        <v>#N/A</v>
      </c>
      <c r="AG219" s="5" t="e">
        <f t="shared" si="110"/>
        <v>#N/A</v>
      </c>
      <c r="AH219" s="5" t="str">
        <f t="shared" si="111"/>
        <v/>
      </c>
      <c r="AI219" s="5" t="str">
        <f t="shared" si="112"/>
        <v/>
      </c>
      <c r="AJ219" s="5" t="str">
        <f t="shared" si="113"/>
        <v/>
      </c>
      <c r="AK219" s="5" t="str">
        <f t="shared" si="114"/>
        <v/>
      </c>
      <c r="AX219" s="5" t="str">
        <f t="shared" si="96"/>
        <v/>
      </c>
      <c r="AY219" s="5" t="e">
        <f t="shared" si="115"/>
        <v>#N/A</v>
      </c>
      <c r="AZ219" s="5" t="str">
        <f t="shared" si="116"/>
        <v/>
      </c>
      <c r="BA219" s="5" t="str">
        <f t="shared" si="117"/>
        <v/>
      </c>
      <c r="BB219" s="5" t="e">
        <f>IF(BA219="",NA(),COUNTIF(BA$193:$BA219,BA219))</f>
        <v>#N/A</v>
      </c>
      <c r="BC219" s="5" t="e">
        <f t="shared" si="118"/>
        <v>#N/A</v>
      </c>
      <c r="BD219" s="5" t="str">
        <f t="shared" si="97"/>
        <v/>
      </c>
      <c r="BE219" s="5" t="e">
        <f t="shared" si="119"/>
        <v>#N/A</v>
      </c>
      <c r="BF219" s="5" t="str">
        <f t="shared" si="120"/>
        <v/>
      </c>
      <c r="BG219" s="5" t="str">
        <f t="shared" si="121"/>
        <v/>
      </c>
      <c r="BH219" s="5" t="e">
        <f>IF(BG219="",NA(),COUNTIF(BG$193:$BG219,BG219))</f>
        <v>#N/A</v>
      </c>
      <c r="BI219" s="5" t="e">
        <f t="shared" si="122"/>
        <v>#N/A</v>
      </c>
      <c r="BJ219"/>
      <c r="BK219"/>
      <c r="BL219"/>
      <c r="BM219"/>
      <c r="BN219"/>
      <c r="BO219"/>
      <c r="BP219"/>
      <c r="BQ219"/>
      <c r="BR219"/>
      <c r="BS219"/>
      <c r="BT219"/>
      <c r="BU219"/>
      <c r="BV219"/>
      <c r="BW219"/>
      <c r="BX219"/>
      <c r="BY219"/>
      <c r="BZ219"/>
      <c r="CA219"/>
      <c r="CB219"/>
      <c r="CC219"/>
      <c r="CD219"/>
      <c r="CE219"/>
      <c r="CF219"/>
    </row>
    <row r="220" spans="1:84" ht="12.75" customHeight="1">
      <c r="A220"/>
      <c r="B220"/>
      <c r="C220"/>
      <c r="D220"/>
      <c r="E220"/>
      <c r="F220"/>
      <c r="G220"/>
      <c r="J220" s="5" t="e">
        <f t="shared" si="123"/>
        <v>#N/A</v>
      </c>
      <c r="K220" s="5" t="e">
        <f t="shared" si="98"/>
        <v>#N/A</v>
      </c>
      <c r="L220" s="5" t="e">
        <f t="shared" si="124"/>
        <v>#N/A</v>
      </c>
      <c r="M220" s="5" t="e">
        <f t="shared" si="99"/>
        <v>#N/A</v>
      </c>
      <c r="Q220" s="5" t="str">
        <f t="shared" si="100"/>
        <v/>
      </c>
      <c r="R220" s="5" t="e">
        <f>IF(Q220="",NA(),COUNTIF(Q220:$Q$293,Q220))</f>
        <v>#N/A</v>
      </c>
      <c r="S220" s="5" t="e">
        <f t="shared" si="101"/>
        <v>#N/A</v>
      </c>
      <c r="T220" s="5" t="e">
        <f t="shared" si="93"/>
        <v>#N/A</v>
      </c>
      <c r="U220" s="5" t="e">
        <f t="shared" si="102"/>
        <v>#N/A</v>
      </c>
      <c r="V220" s="5" t="e">
        <f t="shared" si="103"/>
        <v>#N/A</v>
      </c>
      <c r="W220" s="5" t="str">
        <f t="shared" si="104"/>
        <v/>
      </c>
      <c r="X220" s="5">
        <v>127</v>
      </c>
      <c r="Y220" s="5" t="str">
        <f t="shared" si="105"/>
        <v/>
      </c>
      <c r="Z220" s="5" t="str">
        <f t="shared" si="106"/>
        <v/>
      </c>
      <c r="AA220" s="5" t="str">
        <f t="shared" si="94"/>
        <v/>
      </c>
      <c r="AB220" s="5" t="str">
        <f t="shared" si="107"/>
        <v/>
      </c>
      <c r="AC220" s="5" t="e">
        <f>IF(AB220="",NA(),COUNTIF(AB220:$AB$293,AB220))</f>
        <v>#N/A</v>
      </c>
      <c r="AD220" s="5" t="e">
        <f t="shared" si="108"/>
        <v>#N/A</v>
      </c>
      <c r="AE220" s="5" t="e">
        <f t="shared" si="95"/>
        <v>#N/A</v>
      </c>
      <c r="AF220" s="5" t="e">
        <f t="shared" si="109"/>
        <v>#N/A</v>
      </c>
      <c r="AG220" s="5" t="e">
        <f t="shared" si="110"/>
        <v>#N/A</v>
      </c>
      <c r="AH220" s="5" t="str">
        <f t="shared" si="111"/>
        <v/>
      </c>
      <c r="AI220" s="5" t="str">
        <f t="shared" si="112"/>
        <v/>
      </c>
      <c r="AJ220" s="5" t="str">
        <f t="shared" si="113"/>
        <v/>
      </c>
      <c r="AK220" s="5" t="str">
        <f t="shared" si="114"/>
        <v/>
      </c>
      <c r="AX220" s="5" t="str">
        <f t="shared" si="96"/>
        <v/>
      </c>
      <c r="AY220" s="5" t="e">
        <f t="shared" si="115"/>
        <v>#N/A</v>
      </c>
      <c r="AZ220" s="5" t="str">
        <f t="shared" si="116"/>
        <v/>
      </c>
      <c r="BA220" s="5" t="str">
        <f t="shared" si="117"/>
        <v/>
      </c>
      <c r="BB220" s="5" t="e">
        <f>IF(BA220="",NA(),COUNTIF(BA$193:$BA220,BA220))</f>
        <v>#N/A</v>
      </c>
      <c r="BC220" s="5" t="e">
        <f t="shared" si="118"/>
        <v>#N/A</v>
      </c>
      <c r="BD220" s="5" t="str">
        <f t="shared" si="97"/>
        <v/>
      </c>
      <c r="BE220" s="5" t="e">
        <f t="shared" si="119"/>
        <v>#N/A</v>
      </c>
      <c r="BF220" s="5" t="str">
        <f t="shared" si="120"/>
        <v/>
      </c>
      <c r="BG220" s="5" t="str">
        <f t="shared" si="121"/>
        <v/>
      </c>
      <c r="BH220" s="5" t="e">
        <f>IF(BG220="",NA(),COUNTIF(BG$193:$BG220,BG220))</f>
        <v>#N/A</v>
      </c>
      <c r="BI220" s="5" t="e">
        <f t="shared" si="122"/>
        <v>#N/A</v>
      </c>
      <c r="BJ220"/>
      <c r="BK220"/>
      <c r="BL220"/>
      <c r="BM220"/>
      <c r="BN220"/>
      <c r="BO220"/>
      <c r="BP220"/>
      <c r="BQ220"/>
      <c r="BR220"/>
      <c r="BS220"/>
      <c r="BT220"/>
      <c r="BU220"/>
      <c r="BV220"/>
      <c r="BW220"/>
      <c r="BX220"/>
      <c r="BY220"/>
      <c r="BZ220"/>
      <c r="CA220"/>
      <c r="CB220"/>
      <c r="CC220"/>
      <c r="CD220"/>
      <c r="CE220"/>
      <c r="CF220"/>
    </row>
    <row r="221" spans="1:84" ht="12.75" customHeight="1">
      <c r="A221"/>
      <c r="B221"/>
      <c r="C221"/>
      <c r="D221"/>
      <c r="E221"/>
      <c r="F221"/>
      <c r="G221"/>
      <c r="J221" s="5" t="e">
        <f t="shared" si="123"/>
        <v>#N/A</v>
      </c>
      <c r="K221" s="5" t="e">
        <f t="shared" si="98"/>
        <v>#N/A</v>
      </c>
      <c r="L221" s="5" t="e">
        <f t="shared" si="124"/>
        <v>#N/A</v>
      </c>
      <c r="M221" s="5" t="e">
        <f t="shared" si="99"/>
        <v>#N/A</v>
      </c>
      <c r="Q221" s="5" t="str">
        <f t="shared" si="100"/>
        <v/>
      </c>
      <c r="R221" s="5" t="e">
        <f>IF(Q221="",NA(),COUNTIF(Q221:$Q$293,Q221))</f>
        <v>#N/A</v>
      </c>
      <c r="S221" s="5" t="e">
        <f t="shared" si="101"/>
        <v>#N/A</v>
      </c>
      <c r="T221" s="5" t="e">
        <f t="shared" si="93"/>
        <v>#N/A</v>
      </c>
      <c r="U221" s="5" t="e">
        <f t="shared" si="102"/>
        <v>#N/A</v>
      </c>
      <c r="V221" s="5" t="e">
        <f t="shared" si="103"/>
        <v>#N/A</v>
      </c>
      <c r="W221" s="5" t="str">
        <f t="shared" si="104"/>
        <v/>
      </c>
      <c r="X221" s="5">
        <v>128</v>
      </c>
      <c r="Y221" s="5" t="str">
        <f t="shared" si="105"/>
        <v/>
      </c>
      <c r="Z221" s="5" t="str">
        <f t="shared" si="106"/>
        <v/>
      </c>
      <c r="AA221" s="5" t="str">
        <f t="shared" si="94"/>
        <v/>
      </c>
      <c r="AB221" s="5" t="str">
        <f t="shared" si="107"/>
        <v/>
      </c>
      <c r="AC221" s="5" t="e">
        <f>IF(AB221="",NA(),COUNTIF(AB221:$AB$293,AB221))</f>
        <v>#N/A</v>
      </c>
      <c r="AD221" s="5" t="e">
        <f t="shared" si="108"/>
        <v>#N/A</v>
      </c>
      <c r="AE221" s="5" t="e">
        <f t="shared" si="95"/>
        <v>#N/A</v>
      </c>
      <c r="AF221" s="5" t="e">
        <f t="shared" si="109"/>
        <v>#N/A</v>
      </c>
      <c r="AG221" s="5" t="e">
        <f t="shared" si="110"/>
        <v>#N/A</v>
      </c>
      <c r="AH221" s="5" t="str">
        <f t="shared" si="111"/>
        <v/>
      </c>
      <c r="AI221" s="5" t="str">
        <f t="shared" si="112"/>
        <v/>
      </c>
      <c r="AJ221" s="5" t="str">
        <f t="shared" si="113"/>
        <v/>
      </c>
      <c r="AK221" s="5" t="str">
        <f t="shared" si="114"/>
        <v/>
      </c>
      <c r="AX221" s="5" t="str">
        <f t="shared" si="96"/>
        <v/>
      </c>
      <c r="AY221" s="5" t="e">
        <f t="shared" si="115"/>
        <v>#N/A</v>
      </c>
      <c r="AZ221" s="5" t="str">
        <f t="shared" si="116"/>
        <v/>
      </c>
      <c r="BA221" s="5" t="str">
        <f t="shared" si="117"/>
        <v/>
      </c>
      <c r="BB221" s="5" t="e">
        <f>IF(BA221="",NA(),COUNTIF(BA$193:$BA221,BA221))</f>
        <v>#N/A</v>
      </c>
      <c r="BC221" s="5" t="e">
        <f t="shared" si="118"/>
        <v>#N/A</v>
      </c>
      <c r="BD221" s="5" t="str">
        <f t="shared" si="97"/>
        <v/>
      </c>
      <c r="BE221" s="5" t="e">
        <f t="shared" si="119"/>
        <v>#N/A</v>
      </c>
      <c r="BF221" s="5" t="str">
        <f t="shared" si="120"/>
        <v/>
      </c>
      <c r="BG221" s="5" t="str">
        <f t="shared" si="121"/>
        <v/>
      </c>
      <c r="BH221" s="5" t="e">
        <f>IF(BG221="",NA(),COUNTIF(BG$193:$BG221,BG221))</f>
        <v>#N/A</v>
      </c>
      <c r="BI221" s="5" t="e">
        <f t="shared" si="122"/>
        <v>#N/A</v>
      </c>
      <c r="BJ221"/>
      <c r="BK221"/>
      <c r="BL221"/>
      <c r="BM221"/>
      <c r="BN221"/>
      <c r="BO221"/>
      <c r="BP221"/>
      <c r="BQ221"/>
      <c r="BR221"/>
      <c r="BS221"/>
      <c r="BT221"/>
      <c r="BU221"/>
      <c r="BV221"/>
      <c r="BW221"/>
      <c r="BX221"/>
      <c r="BY221"/>
      <c r="BZ221"/>
      <c r="CA221"/>
      <c r="CB221"/>
      <c r="CC221"/>
      <c r="CD221"/>
      <c r="CE221"/>
      <c r="CF221"/>
    </row>
    <row r="222" spans="1:84" ht="12.75" customHeight="1">
      <c r="A222"/>
      <c r="B222"/>
      <c r="C222"/>
      <c r="D222"/>
      <c r="E222"/>
      <c r="F222"/>
      <c r="G222"/>
      <c r="J222" s="5" t="e">
        <f t="shared" si="123"/>
        <v>#N/A</v>
      </c>
      <c r="K222" s="5" t="e">
        <f t="shared" si="98"/>
        <v>#N/A</v>
      </c>
      <c r="L222" s="5" t="e">
        <f t="shared" si="124"/>
        <v>#N/A</v>
      </c>
      <c r="M222" s="5" t="e">
        <f t="shared" si="99"/>
        <v>#N/A</v>
      </c>
      <c r="Q222" s="5" t="str">
        <f t="shared" ref="Q222:Q253" si="125">IF(Y222="","",IF($AF$87=0,Y222,ROUND(Y222/$AF$87,0)))</f>
        <v/>
      </c>
      <c r="R222" s="5" t="e">
        <f>IF(Q222="",NA(),COUNTIF(Q222:$Q$293,Q222))</f>
        <v>#N/A</v>
      </c>
      <c r="S222" s="5" t="e">
        <f t="shared" ref="S222:S253" si="126">(R222-1)*$AF$90</f>
        <v>#N/A</v>
      </c>
      <c r="T222" s="5" t="e">
        <f t="shared" si="93"/>
        <v>#N/A</v>
      </c>
      <c r="U222" s="5" t="e">
        <f t="shared" ref="U222:U253" si="127">IF(X222&gt;$X$89,NA(),IF(OR(X222&lt;=$X$90,X222&gt;$X$89-$X$90),IF($AP$92,W222,Y222),NA()))</f>
        <v>#N/A</v>
      </c>
      <c r="V222" s="5" t="e">
        <f t="shared" ref="V222:V253" si="128">IF(X222&gt;$X$89,NA(),IF(AND(X222&gt;$X$90,X222&lt;=$X$89-$X$90),IF($AP$92,W222,Y222),NA()))</f>
        <v>#N/A</v>
      </c>
      <c r="W222" s="5" t="str">
        <f t="shared" ref="W222:W253" si="129">IF(X222&gt;$X$89,"",LARGE($AZ$94:$AZ$293,X222))</f>
        <v/>
      </c>
      <c r="X222" s="5">
        <v>129</v>
      </c>
      <c r="Y222" s="5" t="str">
        <f t="shared" ref="Y222:Y253" si="130">IF(X222&gt;$X$89,"",LARGE($AX$94:$AX$293,X222))</f>
        <v/>
      </c>
      <c r="Z222" s="5" t="str">
        <f t="shared" ref="Z222:Z253" si="131">IF(X222&gt;$X$89,"",IF(AND(X222&gt;$X$90,X222&lt;=$X$89-$X$90),Y222,""))</f>
        <v/>
      </c>
      <c r="AA222" s="5" t="str">
        <f t="shared" si="94"/>
        <v/>
      </c>
      <c r="AB222" s="5" t="str">
        <f t="shared" ref="AB222:AB253" si="132">IF(AI222="","",IF($AF$87=0,AI222,ROUND(AI222/$AF$87,0)))</f>
        <v/>
      </c>
      <c r="AC222" s="5" t="e">
        <f>IF(AB222="",NA(),COUNTIF(AB222:$AB$293,AB222))</f>
        <v>#N/A</v>
      </c>
      <c r="AD222" s="5" t="e">
        <f t="shared" ref="AD222:AD253" si="133">(AC222-1)*$AF$90</f>
        <v>#N/A</v>
      </c>
      <c r="AE222" s="5" t="e">
        <f t="shared" si="95"/>
        <v>#N/A</v>
      </c>
      <c r="AF222" s="5" t="e">
        <f t="shared" ref="AF222:AF253" si="134">IF(X222&gt;$AC$89,NA(),IF(OR(X222&lt;=$AC$90,X222&gt;$AC$89-$AC$90),IF($AP$92,AH222,AI222),NA()))</f>
        <v>#N/A</v>
      </c>
      <c r="AG222" s="5" t="e">
        <f t="shared" ref="AG222:AG253" si="135">IF(X222&gt;$AC$89,NA(),IF(AND(X222&gt;$AC$90,X222&lt;=$AC$89-$AC$90),IF($AP$92,AH222,AI222),NA()))</f>
        <v>#N/A</v>
      </c>
      <c r="AH222" s="5" t="str">
        <f t="shared" ref="AH222:AH253" si="136">IF(X222&gt;$AC$89,"",LARGE($BF$94:$BF$293,X222))</f>
        <v/>
      </c>
      <c r="AI222" s="5" t="str">
        <f t="shared" ref="AI222:AI253" si="137">IF(X222&gt;$AC$89,"",LARGE($BD$94:$BD$293,X222))</f>
        <v/>
      </c>
      <c r="AJ222" s="5" t="str">
        <f t="shared" ref="AJ222:AJ253" si="138">IF(X222&gt;$AC$89,"",IF(AND(X222&gt;$AC$90,X222&lt;=$AC$89-$AC$90),AI222,""))</f>
        <v/>
      </c>
      <c r="AK222" s="5" t="str">
        <f t="shared" ref="AK222:AK253" si="139">IF(X222&gt;$AC$89,"",IF(AND(X222&gt;$AC$90,X222&lt;=$AC$89-$AC$90),AI222,IF(X222&lt;=$AC$90,$AJ$90,$AJ$91)))</f>
        <v/>
      </c>
      <c r="AX222" s="5" t="str">
        <f t="shared" si="96"/>
        <v/>
      </c>
      <c r="AY222" s="5" t="e">
        <f t="shared" ref="AY222:AY253" si="140">IF(AND($AO$97,NOT(B137=""),$AO$95),B137,NA())</f>
        <v>#N/A</v>
      </c>
      <c r="AZ222" s="5" t="str">
        <f t="shared" ref="AZ222:AZ253" si="141">IF(BA222="","",IF($AF$87=0,AY222,BA222*$AF$87))</f>
        <v/>
      </c>
      <c r="BA222" s="5" t="str">
        <f t="shared" ref="BA222:BA253" si="142">IF(ISNA(AY222),"",IF($AF$87=0,AY222,ROUND(AY222/$AF$87,0)))</f>
        <v/>
      </c>
      <c r="BB222" s="5" t="e">
        <f>IF(BA222="",NA(),COUNTIF(BA$193:$BA222,BA222))</f>
        <v>#N/A</v>
      </c>
      <c r="BC222" s="5" t="e">
        <f t="shared" ref="BC222:BC253" si="143">(BB222-1)*$AF$90</f>
        <v>#N/A</v>
      </c>
      <c r="BD222" s="5" t="str">
        <f t="shared" si="97"/>
        <v/>
      </c>
      <c r="BE222" s="5" t="e">
        <f t="shared" ref="BE222:BE253" si="144">IF(AND($AO$97,NOT(E137=""),$AO$96),E137,NA())</f>
        <v>#N/A</v>
      </c>
      <c r="BF222" s="5" t="str">
        <f t="shared" ref="BF222:BF253" si="145">IF(BG222="","",IF($AF$87=0,BE222,BG222*$AF$87))</f>
        <v/>
      </c>
      <c r="BG222" s="5" t="str">
        <f t="shared" ref="BG222:BG253" si="146">IF(ISNA(BE222),"",IF($AF$87=0,BE222,ROUND(BE222/$AF$87,0)))</f>
        <v/>
      </c>
      <c r="BH222" s="5" t="e">
        <f>IF(BG222="",NA(),COUNTIF(BG$193:$BG222,BG222))</f>
        <v>#N/A</v>
      </c>
      <c r="BI222" s="5" t="e">
        <f t="shared" ref="BI222:BI253" si="147">(BH222-1)*$AF$90</f>
        <v>#N/A</v>
      </c>
      <c r="BJ222"/>
      <c r="BK222"/>
      <c r="BL222"/>
      <c r="BM222"/>
      <c r="BN222"/>
      <c r="BO222"/>
      <c r="BP222"/>
      <c r="BQ222"/>
      <c r="BR222"/>
      <c r="BS222"/>
      <c r="BT222"/>
      <c r="BU222"/>
      <c r="BV222"/>
      <c r="BW222"/>
      <c r="BX222"/>
      <c r="BY222"/>
      <c r="BZ222"/>
      <c r="CA222"/>
      <c r="CB222"/>
      <c r="CC222"/>
      <c r="CD222"/>
      <c r="CE222"/>
      <c r="CF222"/>
    </row>
    <row r="223" spans="1:84" ht="12.75" customHeight="1">
      <c r="A223"/>
      <c r="B223"/>
      <c r="C223"/>
      <c r="D223"/>
      <c r="E223"/>
      <c r="F223"/>
      <c r="G223"/>
      <c r="J223" s="5" t="e">
        <f t="shared" si="123"/>
        <v>#N/A</v>
      </c>
      <c r="K223" s="5" t="e">
        <f t="shared" si="98"/>
        <v>#N/A</v>
      </c>
      <c r="L223" s="5" t="e">
        <f t="shared" si="124"/>
        <v>#N/A</v>
      </c>
      <c r="M223" s="5" t="e">
        <f t="shared" si="99"/>
        <v>#N/A</v>
      </c>
      <c r="Q223" s="5" t="str">
        <f t="shared" si="125"/>
        <v/>
      </c>
      <c r="R223" s="5" t="e">
        <f>IF(Q223="",NA(),COUNTIF(Q223:$Q$293,Q223))</f>
        <v>#N/A</v>
      </c>
      <c r="S223" s="5" t="e">
        <f t="shared" si="126"/>
        <v>#N/A</v>
      </c>
      <c r="T223" s="5" t="e">
        <f t="shared" ref="T223:T286" si="148">IF($AC$91,0.85-IF($AP$92,S223-$S$83,0),NA())</f>
        <v>#N/A</v>
      </c>
      <c r="U223" s="5" t="e">
        <f t="shared" si="127"/>
        <v>#N/A</v>
      </c>
      <c r="V223" s="5" t="e">
        <f t="shared" si="128"/>
        <v>#N/A</v>
      </c>
      <c r="W223" s="5" t="str">
        <f t="shared" si="129"/>
        <v/>
      </c>
      <c r="X223" s="5">
        <v>130</v>
      </c>
      <c r="Y223" s="5" t="str">
        <f t="shared" si="130"/>
        <v/>
      </c>
      <c r="Z223" s="5" t="str">
        <f t="shared" si="131"/>
        <v/>
      </c>
      <c r="AA223" s="5" t="str">
        <f t="shared" ref="AA223:AA286" si="149">IF(X223&gt;$X$89,"",IF(AND(X223&gt;$X$90,X223&lt;=$X$89-$X$90),Y223,IF(X223&lt;=$X$90,$Z$90,$Z$91)))</f>
        <v/>
      </c>
      <c r="AB223" s="5" t="str">
        <f t="shared" si="132"/>
        <v/>
      </c>
      <c r="AC223" s="5" t="e">
        <f>IF(AB223="",NA(),COUNTIF(AB223:$AB$293,AB223))</f>
        <v>#N/A</v>
      </c>
      <c r="AD223" s="5" t="e">
        <f t="shared" si="133"/>
        <v>#N/A</v>
      </c>
      <c r="AE223" s="5" t="e">
        <f t="shared" ref="AE223:AE286" si="150">IF($AC$91,2.15+IF($AP$92,AD223-$S$83,0),NA())</f>
        <v>#N/A</v>
      </c>
      <c r="AF223" s="5" t="e">
        <f t="shared" si="134"/>
        <v>#N/A</v>
      </c>
      <c r="AG223" s="5" t="e">
        <f t="shared" si="135"/>
        <v>#N/A</v>
      </c>
      <c r="AH223" s="5" t="str">
        <f t="shared" si="136"/>
        <v/>
      </c>
      <c r="AI223" s="5" t="str">
        <f t="shared" si="137"/>
        <v/>
      </c>
      <c r="AJ223" s="5" t="str">
        <f t="shared" si="138"/>
        <v/>
      </c>
      <c r="AK223" s="5" t="str">
        <f t="shared" si="139"/>
        <v/>
      </c>
      <c r="AX223" s="5" t="str">
        <f t="shared" ref="AX223:AX286" si="151">IF(ISNA(AY223),"",AY223)</f>
        <v/>
      </c>
      <c r="AY223" s="5" t="e">
        <f t="shared" si="140"/>
        <v>#N/A</v>
      </c>
      <c r="AZ223" s="5" t="str">
        <f t="shared" si="141"/>
        <v/>
      </c>
      <c r="BA223" s="5" t="str">
        <f t="shared" si="142"/>
        <v/>
      </c>
      <c r="BB223" s="5" t="e">
        <f>IF(BA223="",NA(),COUNTIF(BA$193:$BA223,BA223))</f>
        <v>#N/A</v>
      </c>
      <c r="BC223" s="5" t="e">
        <f t="shared" si="143"/>
        <v>#N/A</v>
      </c>
      <c r="BD223" s="5" t="str">
        <f t="shared" ref="BD223:BD286" si="152">IF(ISNA(BE223),"",BE223)</f>
        <v/>
      </c>
      <c r="BE223" s="5" t="e">
        <f t="shared" si="144"/>
        <v>#N/A</v>
      </c>
      <c r="BF223" s="5" t="str">
        <f t="shared" si="145"/>
        <v/>
      </c>
      <c r="BG223" s="5" t="str">
        <f t="shared" si="146"/>
        <v/>
      </c>
      <c r="BH223" s="5" t="e">
        <f>IF(BG223="",NA(),COUNTIF(BG$193:$BG223,BG223))</f>
        <v>#N/A</v>
      </c>
      <c r="BI223" s="5" t="e">
        <f t="shared" si="147"/>
        <v>#N/A</v>
      </c>
      <c r="BJ223"/>
      <c r="BK223"/>
      <c r="BL223"/>
      <c r="BM223"/>
      <c r="BN223"/>
      <c r="BO223"/>
      <c r="BP223"/>
      <c r="BQ223"/>
      <c r="BR223"/>
      <c r="BS223"/>
      <c r="BT223"/>
      <c r="BU223"/>
      <c r="BV223"/>
      <c r="BW223"/>
      <c r="BX223"/>
      <c r="BY223"/>
      <c r="BZ223"/>
      <c r="CA223"/>
      <c r="CB223"/>
      <c r="CC223"/>
      <c r="CD223"/>
      <c r="CE223"/>
      <c r="CF223"/>
    </row>
    <row r="224" spans="1:84" ht="12.75" customHeight="1">
      <c r="A224"/>
      <c r="B224"/>
      <c r="C224"/>
      <c r="D224"/>
      <c r="E224"/>
      <c r="F224"/>
      <c r="G224"/>
      <c r="J224" s="5" t="e">
        <f t="shared" si="123"/>
        <v>#N/A</v>
      </c>
      <c r="K224" s="5" t="e">
        <f t="shared" si="98"/>
        <v>#N/A</v>
      </c>
      <c r="L224" s="5" t="e">
        <f t="shared" si="124"/>
        <v>#N/A</v>
      </c>
      <c r="M224" s="5" t="e">
        <f t="shared" si="99"/>
        <v>#N/A</v>
      </c>
      <c r="Q224" s="5" t="str">
        <f t="shared" si="125"/>
        <v/>
      </c>
      <c r="R224" s="5" t="e">
        <f>IF(Q224="",NA(),COUNTIF(Q224:$Q$293,Q224))</f>
        <v>#N/A</v>
      </c>
      <c r="S224" s="5" t="e">
        <f t="shared" si="126"/>
        <v>#N/A</v>
      </c>
      <c r="T224" s="5" t="e">
        <f t="shared" si="148"/>
        <v>#N/A</v>
      </c>
      <c r="U224" s="5" t="e">
        <f t="shared" si="127"/>
        <v>#N/A</v>
      </c>
      <c r="V224" s="5" t="e">
        <f t="shared" si="128"/>
        <v>#N/A</v>
      </c>
      <c r="W224" s="5" t="str">
        <f t="shared" si="129"/>
        <v/>
      </c>
      <c r="X224" s="5">
        <v>131</v>
      </c>
      <c r="Y224" s="5" t="str">
        <f t="shared" si="130"/>
        <v/>
      </c>
      <c r="Z224" s="5" t="str">
        <f t="shared" si="131"/>
        <v/>
      </c>
      <c r="AA224" s="5" t="str">
        <f t="shared" si="149"/>
        <v/>
      </c>
      <c r="AB224" s="5" t="str">
        <f t="shared" si="132"/>
        <v/>
      </c>
      <c r="AC224" s="5" t="e">
        <f>IF(AB224="",NA(),COUNTIF(AB224:$AB$293,AB224))</f>
        <v>#N/A</v>
      </c>
      <c r="AD224" s="5" t="e">
        <f t="shared" si="133"/>
        <v>#N/A</v>
      </c>
      <c r="AE224" s="5" t="e">
        <f t="shared" si="150"/>
        <v>#N/A</v>
      </c>
      <c r="AF224" s="5" t="e">
        <f t="shared" si="134"/>
        <v>#N/A</v>
      </c>
      <c r="AG224" s="5" t="e">
        <f t="shared" si="135"/>
        <v>#N/A</v>
      </c>
      <c r="AH224" s="5" t="str">
        <f t="shared" si="136"/>
        <v/>
      </c>
      <c r="AI224" s="5" t="str">
        <f t="shared" si="137"/>
        <v/>
      </c>
      <c r="AJ224" s="5" t="str">
        <f t="shared" si="138"/>
        <v/>
      </c>
      <c r="AK224" s="5" t="str">
        <f t="shared" si="139"/>
        <v/>
      </c>
      <c r="AX224" s="5" t="str">
        <f t="shared" si="151"/>
        <v/>
      </c>
      <c r="AY224" s="5" t="e">
        <f t="shared" si="140"/>
        <v>#N/A</v>
      </c>
      <c r="AZ224" s="5" t="str">
        <f t="shared" si="141"/>
        <v/>
      </c>
      <c r="BA224" s="5" t="str">
        <f t="shared" si="142"/>
        <v/>
      </c>
      <c r="BB224" s="5" t="e">
        <f>IF(BA224="",NA(),COUNTIF(BA$193:$BA224,BA224))</f>
        <v>#N/A</v>
      </c>
      <c r="BC224" s="5" t="e">
        <f t="shared" si="143"/>
        <v>#N/A</v>
      </c>
      <c r="BD224" s="5" t="str">
        <f t="shared" si="152"/>
        <v/>
      </c>
      <c r="BE224" s="5" t="e">
        <f t="shared" si="144"/>
        <v>#N/A</v>
      </c>
      <c r="BF224" s="5" t="str">
        <f t="shared" si="145"/>
        <v/>
      </c>
      <c r="BG224" s="5" t="str">
        <f t="shared" si="146"/>
        <v/>
      </c>
      <c r="BH224" s="5" t="e">
        <f>IF(BG224="",NA(),COUNTIF(BG$193:$BG224,BG224))</f>
        <v>#N/A</v>
      </c>
      <c r="BI224" s="5" t="e">
        <f t="shared" si="147"/>
        <v>#N/A</v>
      </c>
      <c r="BJ224"/>
      <c r="BK224"/>
      <c r="BL224"/>
      <c r="BM224"/>
      <c r="BN224"/>
      <c r="BO224"/>
      <c r="BP224"/>
      <c r="BQ224"/>
      <c r="BR224"/>
      <c r="BS224"/>
      <c r="BT224"/>
      <c r="BU224"/>
      <c r="BV224"/>
      <c r="BW224"/>
      <c r="BX224"/>
      <c r="BY224"/>
      <c r="BZ224"/>
      <c r="CA224"/>
      <c r="CB224"/>
      <c r="CC224"/>
      <c r="CD224"/>
      <c r="CE224"/>
      <c r="CF224"/>
    </row>
    <row r="225" spans="1:84" ht="12.75" customHeight="1">
      <c r="A225"/>
      <c r="B225"/>
      <c r="C225"/>
      <c r="D225"/>
      <c r="E225"/>
      <c r="F225"/>
      <c r="G225"/>
      <c r="J225" s="5" t="e">
        <f t="shared" si="123"/>
        <v>#N/A</v>
      </c>
      <c r="K225" s="5" t="e">
        <f t="shared" si="98"/>
        <v>#N/A</v>
      </c>
      <c r="L225" s="5" t="e">
        <f t="shared" si="124"/>
        <v>#N/A</v>
      </c>
      <c r="M225" s="5" t="e">
        <f t="shared" si="99"/>
        <v>#N/A</v>
      </c>
      <c r="Q225" s="5" t="str">
        <f t="shared" si="125"/>
        <v/>
      </c>
      <c r="R225" s="5" t="e">
        <f>IF(Q225="",NA(),COUNTIF(Q225:$Q$293,Q225))</f>
        <v>#N/A</v>
      </c>
      <c r="S225" s="5" t="e">
        <f t="shared" si="126"/>
        <v>#N/A</v>
      </c>
      <c r="T225" s="5" t="e">
        <f t="shared" si="148"/>
        <v>#N/A</v>
      </c>
      <c r="U225" s="5" t="e">
        <f t="shared" si="127"/>
        <v>#N/A</v>
      </c>
      <c r="V225" s="5" t="e">
        <f t="shared" si="128"/>
        <v>#N/A</v>
      </c>
      <c r="W225" s="5" t="str">
        <f t="shared" si="129"/>
        <v/>
      </c>
      <c r="X225" s="5">
        <v>132</v>
      </c>
      <c r="Y225" s="5" t="str">
        <f t="shared" si="130"/>
        <v/>
      </c>
      <c r="Z225" s="5" t="str">
        <f t="shared" si="131"/>
        <v/>
      </c>
      <c r="AA225" s="5" t="str">
        <f t="shared" si="149"/>
        <v/>
      </c>
      <c r="AB225" s="5" t="str">
        <f t="shared" si="132"/>
        <v/>
      </c>
      <c r="AC225" s="5" t="e">
        <f>IF(AB225="",NA(),COUNTIF(AB225:$AB$293,AB225))</f>
        <v>#N/A</v>
      </c>
      <c r="AD225" s="5" t="e">
        <f t="shared" si="133"/>
        <v>#N/A</v>
      </c>
      <c r="AE225" s="5" t="e">
        <f t="shared" si="150"/>
        <v>#N/A</v>
      </c>
      <c r="AF225" s="5" t="e">
        <f t="shared" si="134"/>
        <v>#N/A</v>
      </c>
      <c r="AG225" s="5" t="e">
        <f t="shared" si="135"/>
        <v>#N/A</v>
      </c>
      <c r="AH225" s="5" t="str">
        <f t="shared" si="136"/>
        <v/>
      </c>
      <c r="AI225" s="5" t="str">
        <f t="shared" si="137"/>
        <v/>
      </c>
      <c r="AJ225" s="5" t="str">
        <f t="shared" si="138"/>
        <v/>
      </c>
      <c r="AK225" s="5" t="str">
        <f t="shared" si="139"/>
        <v/>
      </c>
      <c r="AX225" s="5" t="str">
        <f t="shared" si="151"/>
        <v/>
      </c>
      <c r="AY225" s="5" t="e">
        <f t="shared" si="140"/>
        <v>#N/A</v>
      </c>
      <c r="AZ225" s="5" t="str">
        <f t="shared" si="141"/>
        <v/>
      </c>
      <c r="BA225" s="5" t="str">
        <f t="shared" si="142"/>
        <v/>
      </c>
      <c r="BB225" s="5" t="e">
        <f>IF(BA225="",NA(),COUNTIF(BA$193:$BA225,BA225))</f>
        <v>#N/A</v>
      </c>
      <c r="BC225" s="5" t="e">
        <f t="shared" si="143"/>
        <v>#N/A</v>
      </c>
      <c r="BD225" s="5" t="str">
        <f t="shared" si="152"/>
        <v/>
      </c>
      <c r="BE225" s="5" t="e">
        <f t="shared" si="144"/>
        <v>#N/A</v>
      </c>
      <c r="BF225" s="5" t="str">
        <f t="shared" si="145"/>
        <v/>
      </c>
      <c r="BG225" s="5" t="str">
        <f t="shared" si="146"/>
        <v/>
      </c>
      <c r="BH225" s="5" t="e">
        <f>IF(BG225="",NA(),COUNTIF(BG$193:$BG225,BG225))</f>
        <v>#N/A</v>
      </c>
      <c r="BI225" s="5" t="e">
        <f t="shared" si="147"/>
        <v>#N/A</v>
      </c>
      <c r="BJ225"/>
      <c r="BK225"/>
      <c r="BL225"/>
      <c r="BM225"/>
      <c r="BN225"/>
      <c r="BO225"/>
      <c r="BP225"/>
      <c r="BQ225"/>
      <c r="BR225"/>
      <c r="BS225"/>
      <c r="BT225"/>
      <c r="BU225"/>
      <c r="BV225"/>
      <c r="BW225"/>
      <c r="BX225"/>
      <c r="BY225"/>
      <c r="BZ225"/>
      <c r="CA225"/>
      <c r="CB225"/>
      <c r="CC225"/>
      <c r="CD225"/>
      <c r="CE225"/>
      <c r="CF225"/>
    </row>
    <row r="226" spans="1:84" ht="12.75" customHeight="1">
      <c r="A226"/>
      <c r="B226"/>
      <c r="C226"/>
      <c r="D226"/>
      <c r="E226"/>
      <c r="F226"/>
      <c r="G226"/>
      <c r="J226" s="5" t="e">
        <f t="shared" si="123"/>
        <v>#N/A</v>
      </c>
      <c r="K226" s="5" t="e">
        <f t="shared" si="98"/>
        <v>#N/A</v>
      </c>
      <c r="L226" s="5" t="e">
        <f t="shared" si="124"/>
        <v>#N/A</v>
      </c>
      <c r="M226" s="5" t="e">
        <f t="shared" si="99"/>
        <v>#N/A</v>
      </c>
      <c r="Q226" s="5" t="str">
        <f t="shared" si="125"/>
        <v/>
      </c>
      <c r="R226" s="5" t="e">
        <f>IF(Q226="",NA(),COUNTIF(Q226:$Q$293,Q226))</f>
        <v>#N/A</v>
      </c>
      <c r="S226" s="5" t="e">
        <f t="shared" si="126"/>
        <v>#N/A</v>
      </c>
      <c r="T226" s="5" t="e">
        <f t="shared" si="148"/>
        <v>#N/A</v>
      </c>
      <c r="U226" s="5" t="e">
        <f t="shared" si="127"/>
        <v>#N/A</v>
      </c>
      <c r="V226" s="5" t="e">
        <f t="shared" si="128"/>
        <v>#N/A</v>
      </c>
      <c r="W226" s="5" t="str">
        <f t="shared" si="129"/>
        <v/>
      </c>
      <c r="X226" s="5">
        <v>133</v>
      </c>
      <c r="Y226" s="5" t="str">
        <f t="shared" si="130"/>
        <v/>
      </c>
      <c r="Z226" s="5" t="str">
        <f t="shared" si="131"/>
        <v/>
      </c>
      <c r="AA226" s="5" t="str">
        <f t="shared" si="149"/>
        <v/>
      </c>
      <c r="AB226" s="5" t="str">
        <f t="shared" si="132"/>
        <v/>
      </c>
      <c r="AC226" s="5" t="e">
        <f>IF(AB226="",NA(),COUNTIF(AB226:$AB$293,AB226))</f>
        <v>#N/A</v>
      </c>
      <c r="AD226" s="5" t="e">
        <f t="shared" si="133"/>
        <v>#N/A</v>
      </c>
      <c r="AE226" s="5" t="e">
        <f t="shared" si="150"/>
        <v>#N/A</v>
      </c>
      <c r="AF226" s="5" t="e">
        <f t="shared" si="134"/>
        <v>#N/A</v>
      </c>
      <c r="AG226" s="5" t="e">
        <f t="shared" si="135"/>
        <v>#N/A</v>
      </c>
      <c r="AH226" s="5" t="str">
        <f t="shared" si="136"/>
        <v/>
      </c>
      <c r="AI226" s="5" t="str">
        <f t="shared" si="137"/>
        <v/>
      </c>
      <c r="AJ226" s="5" t="str">
        <f t="shared" si="138"/>
        <v/>
      </c>
      <c r="AK226" s="5" t="str">
        <f t="shared" si="139"/>
        <v/>
      </c>
      <c r="AX226" s="5" t="str">
        <f t="shared" si="151"/>
        <v/>
      </c>
      <c r="AY226" s="5" t="e">
        <f t="shared" si="140"/>
        <v>#N/A</v>
      </c>
      <c r="AZ226" s="5" t="str">
        <f t="shared" si="141"/>
        <v/>
      </c>
      <c r="BA226" s="5" t="str">
        <f t="shared" si="142"/>
        <v/>
      </c>
      <c r="BB226" s="5" t="e">
        <f>IF(BA226="",NA(),COUNTIF(BA$193:$BA226,BA226))</f>
        <v>#N/A</v>
      </c>
      <c r="BC226" s="5" t="e">
        <f t="shared" si="143"/>
        <v>#N/A</v>
      </c>
      <c r="BD226" s="5" t="str">
        <f t="shared" si="152"/>
        <v/>
      </c>
      <c r="BE226" s="5" t="e">
        <f t="shared" si="144"/>
        <v>#N/A</v>
      </c>
      <c r="BF226" s="5" t="str">
        <f t="shared" si="145"/>
        <v/>
      </c>
      <c r="BG226" s="5" t="str">
        <f t="shared" si="146"/>
        <v/>
      </c>
      <c r="BH226" s="5" t="e">
        <f>IF(BG226="",NA(),COUNTIF(BG$193:$BG226,BG226))</f>
        <v>#N/A</v>
      </c>
      <c r="BI226" s="5" t="e">
        <f t="shared" si="147"/>
        <v>#N/A</v>
      </c>
      <c r="BJ226"/>
      <c r="BK226"/>
      <c r="BL226"/>
      <c r="BM226"/>
      <c r="BN226"/>
      <c r="BO226"/>
      <c r="BP226"/>
      <c r="BQ226"/>
      <c r="BR226"/>
      <c r="BS226"/>
      <c r="BT226"/>
      <c r="BU226"/>
      <c r="BV226"/>
      <c r="BW226"/>
      <c r="BX226"/>
      <c r="BY226"/>
      <c r="BZ226"/>
      <c r="CA226"/>
      <c r="CB226"/>
      <c r="CC226"/>
      <c r="CD226"/>
      <c r="CE226"/>
      <c r="CF226"/>
    </row>
    <row r="227" spans="1:84" ht="12.75" customHeight="1">
      <c r="A227"/>
      <c r="B227"/>
      <c r="C227"/>
      <c r="D227"/>
      <c r="E227"/>
      <c r="F227"/>
      <c r="G227"/>
      <c r="J227" s="5" t="e">
        <f t="shared" si="123"/>
        <v>#N/A</v>
      </c>
      <c r="K227" s="5" t="e">
        <f t="shared" si="98"/>
        <v>#N/A</v>
      </c>
      <c r="L227" s="5" t="e">
        <f t="shared" si="124"/>
        <v>#N/A</v>
      </c>
      <c r="M227" s="5" t="e">
        <f t="shared" si="99"/>
        <v>#N/A</v>
      </c>
      <c r="Q227" s="5" t="str">
        <f t="shared" si="125"/>
        <v/>
      </c>
      <c r="R227" s="5" t="e">
        <f>IF(Q227="",NA(),COUNTIF(Q227:$Q$293,Q227))</f>
        <v>#N/A</v>
      </c>
      <c r="S227" s="5" t="e">
        <f t="shared" si="126"/>
        <v>#N/A</v>
      </c>
      <c r="T227" s="5" t="e">
        <f t="shared" si="148"/>
        <v>#N/A</v>
      </c>
      <c r="U227" s="5" t="e">
        <f t="shared" si="127"/>
        <v>#N/A</v>
      </c>
      <c r="V227" s="5" t="e">
        <f t="shared" si="128"/>
        <v>#N/A</v>
      </c>
      <c r="W227" s="5" t="str">
        <f t="shared" si="129"/>
        <v/>
      </c>
      <c r="X227" s="5">
        <v>134</v>
      </c>
      <c r="Y227" s="5" t="str">
        <f t="shared" si="130"/>
        <v/>
      </c>
      <c r="Z227" s="5" t="str">
        <f t="shared" si="131"/>
        <v/>
      </c>
      <c r="AA227" s="5" t="str">
        <f t="shared" si="149"/>
        <v/>
      </c>
      <c r="AB227" s="5" t="str">
        <f t="shared" si="132"/>
        <v/>
      </c>
      <c r="AC227" s="5" t="e">
        <f>IF(AB227="",NA(),COUNTIF(AB227:$AB$293,AB227))</f>
        <v>#N/A</v>
      </c>
      <c r="AD227" s="5" t="e">
        <f t="shared" si="133"/>
        <v>#N/A</v>
      </c>
      <c r="AE227" s="5" t="e">
        <f t="shared" si="150"/>
        <v>#N/A</v>
      </c>
      <c r="AF227" s="5" t="e">
        <f t="shared" si="134"/>
        <v>#N/A</v>
      </c>
      <c r="AG227" s="5" t="e">
        <f t="shared" si="135"/>
        <v>#N/A</v>
      </c>
      <c r="AH227" s="5" t="str">
        <f t="shared" si="136"/>
        <v/>
      </c>
      <c r="AI227" s="5" t="str">
        <f t="shared" si="137"/>
        <v/>
      </c>
      <c r="AJ227" s="5" t="str">
        <f t="shared" si="138"/>
        <v/>
      </c>
      <c r="AK227" s="5" t="str">
        <f t="shared" si="139"/>
        <v/>
      </c>
      <c r="AX227" s="5" t="str">
        <f t="shared" si="151"/>
        <v/>
      </c>
      <c r="AY227" s="5" t="e">
        <f t="shared" si="140"/>
        <v>#N/A</v>
      </c>
      <c r="AZ227" s="5" t="str">
        <f t="shared" si="141"/>
        <v/>
      </c>
      <c r="BA227" s="5" t="str">
        <f t="shared" si="142"/>
        <v/>
      </c>
      <c r="BB227" s="5" t="e">
        <f>IF(BA227="",NA(),COUNTIF(BA$193:$BA227,BA227))</f>
        <v>#N/A</v>
      </c>
      <c r="BC227" s="5" t="e">
        <f t="shared" si="143"/>
        <v>#N/A</v>
      </c>
      <c r="BD227" s="5" t="str">
        <f t="shared" si="152"/>
        <v/>
      </c>
      <c r="BE227" s="5" t="e">
        <f t="shared" si="144"/>
        <v>#N/A</v>
      </c>
      <c r="BF227" s="5" t="str">
        <f t="shared" si="145"/>
        <v/>
      </c>
      <c r="BG227" s="5" t="str">
        <f t="shared" si="146"/>
        <v/>
      </c>
      <c r="BH227" s="5" t="e">
        <f>IF(BG227="",NA(),COUNTIF(BG$193:$BG227,BG227))</f>
        <v>#N/A</v>
      </c>
      <c r="BI227" s="5" t="e">
        <f t="shared" si="147"/>
        <v>#N/A</v>
      </c>
      <c r="BJ227"/>
      <c r="BK227"/>
      <c r="BL227"/>
      <c r="BM227"/>
      <c r="BN227"/>
      <c r="BO227"/>
      <c r="BP227"/>
      <c r="BQ227"/>
      <c r="BR227"/>
      <c r="BS227"/>
      <c r="BT227"/>
      <c r="BU227"/>
      <c r="BV227"/>
      <c r="BW227"/>
      <c r="BX227"/>
      <c r="BY227"/>
      <c r="BZ227"/>
      <c r="CA227"/>
      <c r="CB227"/>
      <c r="CC227"/>
      <c r="CD227"/>
      <c r="CE227"/>
      <c r="CF227"/>
    </row>
    <row r="228" spans="1:84" ht="12.75" customHeight="1">
      <c r="A228"/>
      <c r="B228"/>
      <c r="C228"/>
      <c r="D228"/>
      <c r="E228"/>
      <c r="F228"/>
      <c r="G228"/>
      <c r="J228" s="5" t="e">
        <f t="shared" si="123"/>
        <v>#N/A</v>
      </c>
      <c r="K228" s="5" t="e">
        <f t="shared" si="98"/>
        <v>#N/A</v>
      </c>
      <c r="L228" s="5" t="e">
        <f t="shared" si="124"/>
        <v>#N/A</v>
      </c>
      <c r="M228" s="5" t="e">
        <f t="shared" si="99"/>
        <v>#N/A</v>
      </c>
      <c r="Q228" s="5" t="str">
        <f t="shared" si="125"/>
        <v/>
      </c>
      <c r="R228" s="5" t="e">
        <f>IF(Q228="",NA(),COUNTIF(Q228:$Q$293,Q228))</f>
        <v>#N/A</v>
      </c>
      <c r="S228" s="5" t="e">
        <f t="shared" si="126"/>
        <v>#N/A</v>
      </c>
      <c r="T228" s="5" t="e">
        <f t="shared" si="148"/>
        <v>#N/A</v>
      </c>
      <c r="U228" s="5" t="e">
        <f t="shared" si="127"/>
        <v>#N/A</v>
      </c>
      <c r="V228" s="5" t="e">
        <f t="shared" si="128"/>
        <v>#N/A</v>
      </c>
      <c r="W228" s="5" t="str">
        <f t="shared" si="129"/>
        <v/>
      </c>
      <c r="X228" s="5">
        <v>135</v>
      </c>
      <c r="Y228" s="5" t="str">
        <f t="shared" si="130"/>
        <v/>
      </c>
      <c r="Z228" s="5" t="str">
        <f t="shared" si="131"/>
        <v/>
      </c>
      <c r="AA228" s="5" t="str">
        <f t="shared" si="149"/>
        <v/>
      </c>
      <c r="AB228" s="5" t="str">
        <f t="shared" si="132"/>
        <v/>
      </c>
      <c r="AC228" s="5" t="e">
        <f>IF(AB228="",NA(),COUNTIF(AB228:$AB$293,AB228))</f>
        <v>#N/A</v>
      </c>
      <c r="AD228" s="5" t="e">
        <f t="shared" si="133"/>
        <v>#N/A</v>
      </c>
      <c r="AE228" s="5" t="e">
        <f t="shared" si="150"/>
        <v>#N/A</v>
      </c>
      <c r="AF228" s="5" t="e">
        <f t="shared" si="134"/>
        <v>#N/A</v>
      </c>
      <c r="AG228" s="5" t="e">
        <f t="shared" si="135"/>
        <v>#N/A</v>
      </c>
      <c r="AH228" s="5" t="str">
        <f t="shared" si="136"/>
        <v/>
      </c>
      <c r="AI228" s="5" t="str">
        <f t="shared" si="137"/>
        <v/>
      </c>
      <c r="AJ228" s="5" t="str">
        <f t="shared" si="138"/>
        <v/>
      </c>
      <c r="AK228" s="5" t="str">
        <f t="shared" si="139"/>
        <v/>
      </c>
      <c r="AX228" s="5" t="str">
        <f t="shared" si="151"/>
        <v/>
      </c>
      <c r="AY228" s="5" t="e">
        <f t="shared" si="140"/>
        <v>#N/A</v>
      </c>
      <c r="AZ228" s="5" t="str">
        <f t="shared" si="141"/>
        <v/>
      </c>
      <c r="BA228" s="5" t="str">
        <f t="shared" si="142"/>
        <v/>
      </c>
      <c r="BB228" s="5" t="e">
        <f>IF(BA228="",NA(),COUNTIF(BA$193:$BA228,BA228))</f>
        <v>#N/A</v>
      </c>
      <c r="BC228" s="5" t="e">
        <f t="shared" si="143"/>
        <v>#N/A</v>
      </c>
      <c r="BD228" s="5" t="str">
        <f t="shared" si="152"/>
        <v/>
      </c>
      <c r="BE228" s="5" t="e">
        <f t="shared" si="144"/>
        <v>#N/A</v>
      </c>
      <c r="BF228" s="5" t="str">
        <f t="shared" si="145"/>
        <v/>
      </c>
      <c r="BG228" s="5" t="str">
        <f t="shared" si="146"/>
        <v/>
      </c>
      <c r="BH228" s="5" t="e">
        <f>IF(BG228="",NA(),COUNTIF(BG$193:$BG228,BG228))</f>
        <v>#N/A</v>
      </c>
      <c r="BI228" s="5" t="e">
        <f t="shared" si="147"/>
        <v>#N/A</v>
      </c>
      <c r="BJ228"/>
      <c r="BK228"/>
      <c r="BL228"/>
      <c r="BM228"/>
      <c r="BN228"/>
      <c r="BO228"/>
      <c r="BP228"/>
      <c r="BQ228"/>
      <c r="BR228"/>
      <c r="BS228"/>
      <c r="BT228"/>
      <c r="BU228"/>
      <c r="BV228"/>
      <c r="BW228"/>
      <c r="BX228"/>
      <c r="BY228"/>
      <c r="BZ228"/>
      <c r="CA228"/>
      <c r="CB228"/>
      <c r="CC228"/>
      <c r="CD228"/>
      <c r="CE228"/>
      <c r="CF228"/>
    </row>
    <row r="229" spans="1:84" ht="12.75" customHeight="1">
      <c r="A229"/>
      <c r="B229"/>
      <c r="C229"/>
      <c r="D229"/>
      <c r="E229"/>
      <c r="F229"/>
      <c r="G229"/>
      <c r="J229" s="5" t="e">
        <f t="shared" si="123"/>
        <v>#N/A</v>
      </c>
      <c r="K229" s="5" t="e">
        <f t="shared" si="98"/>
        <v>#N/A</v>
      </c>
      <c r="L229" s="5" t="e">
        <f t="shared" si="124"/>
        <v>#N/A</v>
      </c>
      <c r="M229" s="5" t="e">
        <f t="shared" si="99"/>
        <v>#N/A</v>
      </c>
      <c r="Q229" s="5" t="str">
        <f t="shared" si="125"/>
        <v/>
      </c>
      <c r="R229" s="5" t="e">
        <f>IF(Q229="",NA(),COUNTIF(Q229:$Q$293,Q229))</f>
        <v>#N/A</v>
      </c>
      <c r="S229" s="5" t="e">
        <f t="shared" si="126"/>
        <v>#N/A</v>
      </c>
      <c r="T229" s="5" t="e">
        <f t="shared" si="148"/>
        <v>#N/A</v>
      </c>
      <c r="U229" s="5" t="e">
        <f t="shared" si="127"/>
        <v>#N/A</v>
      </c>
      <c r="V229" s="5" t="e">
        <f t="shared" si="128"/>
        <v>#N/A</v>
      </c>
      <c r="W229" s="5" t="str">
        <f t="shared" si="129"/>
        <v/>
      </c>
      <c r="X229" s="5">
        <v>136</v>
      </c>
      <c r="Y229" s="5" t="str">
        <f t="shared" si="130"/>
        <v/>
      </c>
      <c r="Z229" s="5" t="str">
        <f t="shared" si="131"/>
        <v/>
      </c>
      <c r="AA229" s="5" t="str">
        <f t="shared" si="149"/>
        <v/>
      </c>
      <c r="AB229" s="5" t="str">
        <f t="shared" si="132"/>
        <v/>
      </c>
      <c r="AC229" s="5" t="e">
        <f>IF(AB229="",NA(),COUNTIF(AB229:$AB$293,AB229))</f>
        <v>#N/A</v>
      </c>
      <c r="AD229" s="5" t="e">
        <f t="shared" si="133"/>
        <v>#N/A</v>
      </c>
      <c r="AE229" s="5" t="e">
        <f t="shared" si="150"/>
        <v>#N/A</v>
      </c>
      <c r="AF229" s="5" t="e">
        <f t="shared" si="134"/>
        <v>#N/A</v>
      </c>
      <c r="AG229" s="5" t="e">
        <f t="shared" si="135"/>
        <v>#N/A</v>
      </c>
      <c r="AH229" s="5" t="str">
        <f t="shared" si="136"/>
        <v/>
      </c>
      <c r="AI229" s="5" t="str">
        <f t="shared" si="137"/>
        <v/>
      </c>
      <c r="AJ229" s="5" t="str">
        <f t="shared" si="138"/>
        <v/>
      </c>
      <c r="AK229" s="5" t="str">
        <f t="shared" si="139"/>
        <v/>
      </c>
      <c r="AX229" s="5" t="str">
        <f t="shared" si="151"/>
        <v/>
      </c>
      <c r="AY229" s="5" t="e">
        <f t="shared" si="140"/>
        <v>#N/A</v>
      </c>
      <c r="AZ229" s="5" t="str">
        <f t="shared" si="141"/>
        <v/>
      </c>
      <c r="BA229" s="5" t="str">
        <f t="shared" si="142"/>
        <v/>
      </c>
      <c r="BB229" s="5" t="e">
        <f>IF(BA229="",NA(),COUNTIF(BA$193:$BA229,BA229))</f>
        <v>#N/A</v>
      </c>
      <c r="BC229" s="5" t="e">
        <f t="shared" si="143"/>
        <v>#N/A</v>
      </c>
      <c r="BD229" s="5" t="str">
        <f t="shared" si="152"/>
        <v/>
      </c>
      <c r="BE229" s="5" t="e">
        <f t="shared" si="144"/>
        <v>#N/A</v>
      </c>
      <c r="BF229" s="5" t="str">
        <f t="shared" si="145"/>
        <v/>
      </c>
      <c r="BG229" s="5" t="str">
        <f t="shared" si="146"/>
        <v/>
      </c>
      <c r="BH229" s="5" t="e">
        <f>IF(BG229="",NA(),COUNTIF(BG$193:$BG229,BG229))</f>
        <v>#N/A</v>
      </c>
      <c r="BI229" s="5" t="e">
        <f t="shared" si="147"/>
        <v>#N/A</v>
      </c>
      <c r="BJ229"/>
      <c r="BK229"/>
      <c r="BL229"/>
      <c r="BM229"/>
      <c r="BN229"/>
      <c r="BO229"/>
      <c r="BP229"/>
      <c r="BQ229"/>
      <c r="BR229"/>
      <c r="BS229"/>
      <c r="BT229"/>
      <c r="BU229"/>
      <c r="BV229"/>
      <c r="BW229"/>
      <c r="BX229"/>
      <c r="BY229"/>
      <c r="BZ229"/>
      <c r="CA229"/>
      <c r="CB229"/>
      <c r="CC229"/>
      <c r="CD229"/>
      <c r="CE229"/>
      <c r="CF229"/>
    </row>
    <row r="230" spans="1:84" ht="12.75" customHeight="1">
      <c r="A230"/>
      <c r="B230"/>
      <c r="C230"/>
      <c r="D230"/>
      <c r="E230"/>
      <c r="F230"/>
      <c r="G230"/>
      <c r="J230" s="5" t="e">
        <f t="shared" si="123"/>
        <v>#N/A</v>
      </c>
      <c r="K230" s="5" t="e">
        <f t="shared" si="98"/>
        <v>#N/A</v>
      </c>
      <c r="L230" s="5" t="e">
        <f t="shared" si="124"/>
        <v>#N/A</v>
      </c>
      <c r="M230" s="5" t="e">
        <f t="shared" si="99"/>
        <v>#N/A</v>
      </c>
      <c r="Q230" s="5" t="str">
        <f t="shared" si="125"/>
        <v/>
      </c>
      <c r="R230" s="5" t="e">
        <f>IF(Q230="",NA(),COUNTIF(Q230:$Q$293,Q230))</f>
        <v>#N/A</v>
      </c>
      <c r="S230" s="5" t="e">
        <f t="shared" si="126"/>
        <v>#N/A</v>
      </c>
      <c r="T230" s="5" t="e">
        <f t="shared" si="148"/>
        <v>#N/A</v>
      </c>
      <c r="U230" s="5" t="e">
        <f t="shared" si="127"/>
        <v>#N/A</v>
      </c>
      <c r="V230" s="5" t="e">
        <f t="shared" si="128"/>
        <v>#N/A</v>
      </c>
      <c r="W230" s="5" t="str">
        <f t="shared" si="129"/>
        <v/>
      </c>
      <c r="X230" s="5">
        <v>137</v>
      </c>
      <c r="Y230" s="5" t="str">
        <f t="shared" si="130"/>
        <v/>
      </c>
      <c r="Z230" s="5" t="str">
        <f t="shared" si="131"/>
        <v/>
      </c>
      <c r="AA230" s="5" t="str">
        <f t="shared" si="149"/>
        <v/>
      </c>
      <c r="AB230" s="5" t="str">
        <f t="shared" si="132"/>
        <v/>
      </c>
      <c r="AC230" s="5" t="e">
        <f>IF(AB230="",NA(),COUNTIF(AB230:$AB$293,AB230))</f>
        <v>#N/A</v>
      </c>
      <c r="AD230" s="5" t="e">
        <f t="shared" si="133"/>
        <v>#N/A</v>
      </c>
      <c r="AE230" s="5" t="e">
        <f t="shared" si="150"/>
        <v>#N/A</v>
      </c>
      <c r="AF230" s="5" t="e">
        <f t="shared" si="134"/>
        <v>#N/A</v>
      </c>
      <c r="AG230" s="5" t="e">
        <f t="shared" si="135"/>
        <v>#N/A</v>
      </c>
      <c r="AH230" s="5" t="str">
        <f t="shared" si="136"/>
        <v/>
      </c>
      <c r="AI230" s="5" t="str">
        <f t="shared" si="137"/>
        <v/>
      </c>
      <c r="AJ230" s="5" t="str">
        <f t="shared" si="138"/>
        <v/>
      </c>
      <c r="AK230" s="5" t="str">
        <f t="shared" si="139"/>
        <v/>
      </c>
      <c r="AX230" s="5" t="str">
        <f t="shared" si="151"/>
        <v/>
      </c>
      <c r="AY230" s="5" t="e">
        <f t="shared" si="140"/>
        <v>#N/A</v>
      </c>
      <c r="AZ230" s="5" t="str">
        <f t="shared" si="141"/>
        <v/>
      </c>
      <c r="BA230" s="5" t="str">
        <f t="shared" si="142"/>
        <v/>
      </c>
      <c r="BB230" s="5" t="e">
        <f>IF(BA230="",NA(),COUNTIF(BA$193:$BA230,BA230))</f>
        <v>#N/A</v>
      </c>
      <c r="BC230" s="5" t="e">
        <f t="shared" si="143"/>
        <v>#N/A</v>
      </c>
      <c r="BD230" s="5" t="str">
        <f t="shared" si="152"/>
        <v/>
      </c>
      <c r="BE230" s="5" t="e">
        <f t="shared" si="144"/>
        <v>#N/A</v>
      </c>
      <c r="BF230" s="5" t="str">
        <f t="shared" si="145"/>
        <v/>
      </c>
      <c r="BG230" s="5" t="str">
        <f t="shared" si="146"/>
        <v/>
      </c>
      <c r="BH230" s="5" t="e">
        <f>IF(BG230="",NA(),COUNTIF(BG$193:$BG230,BG230))</f>
        <v>#N/A</v>
      </c>
      <c r="BI230" s="5" t="e">
        <f t="shared" si="147"/>
        <v>#N/A</v>
      </c>
      <c r="BJ230"/>
      <c r="BK230"/>
      <c r="BL230"/>
      <c r="BM230"/>
      <c r="BN230"/>
      <c r="BO230"/>
      <c r="BP230"/>
      <c r="BQ230"/>
      <c r="BR230"/>
      <c r="BS230"/>
      <c r="BT230"/>
      <c r="BU230"/>
      <c r="BV230"/>
      <c r="BW230"/>
      <c r="BX230"/>
      <c r="BY230"/>
      <c r="BZ230"/>
      <c r="CA230"/>
      <c r="CB230"/>
      <c r="CC230"/>
      <c r="CD230"/>
      <c r="CE230"/>
      <c r="CF230"/>
    </row>
    <row r="231" spans="1:84" ht="12.75" customHeight="1">
      <c r="A231"/>
      <c r="B231"/>
      <c r="C231"/>
      <c r="D231"/>
      <c r="E231"/>
      <c r="F231"/>
      <c r="G231"/>
      <c r="J231" s="5" t="e">
        <f t="shared" si="123"/>
        <v>#N/A</v>
      </c>
      <c r="K231" s="5" t="e">
        <f t="shared" si="98"/>
        <v>#N/A</v>
      </c>
      <c r="L231" s="5" t="e">
        <f t="shared" si="124"/>
        <v>#N/A</v>
      </c>
      <c r="M231" s="5" t="e">
        <f t="shared" si="99"/>
        <v>#N/A</v>
      </c>
      <c r="Q231" s="5" t="str">
        <f t="shared" si="125"/>
        <v/>
      </c>
      <c r="R231" s="5" t="e">
        <f>IF(Q231="",NA(),COUNTIF(Q231:$Q$293,Q231))</f>
        <v>#N/A</v>
      </c>
      <c r="S231" s="5" t="e">
        <f t="shared" si="126"/>
        <v>#N/A</v>
      </c>
      <c r="T231" s="5" t="e">
        <f t="shared" si="148"/>
        <v>#N/A</v>
      </c>
      <c r="U231" s="5" t="e">
        <f t="shared" si="127"/>
        <v>#N/A</v>
      </c>
      <c r="V231" s="5" t="e">
        <f t="shared" si="128"/>
        <v>#N/A</v>
      </c>
      <c r="W231" s="5" t="str">
        <f t="shared" si="129"/>
        <v/>
      </c>
      <c r="X231" s="5">
        <v>138</v>
      </c>
      <c r="Y231" s="5" t="str">
        <f t="shared" si="130"/>
        <v/>
      </c>
      <c r="Z231" s="5" t="str">
        <f t="shared" si="131"/>
        <v/>
      </c>
      <c r="AA231" s="5" t="str">
        <f t="shared" si="149"/>
        <v/>
      </c>
      <c r="AB231" s="5" t="str">
        <f t="shared" si="132"/>
        <v/>
      </c>
      <c r="AC231" s="5" t="e">
        <f>IF(AB231="",NA(),COUNTIF(AB231:$AB$293,AB231))</f>
        <v>#N/A</v>
      </c>
      <c r="AD231" s="5" t="e">
        <f t="shared" si="133"/>
        <v>#N/A</v>
      </c>
      <c r="AE231" s="5" t="e">
        <f t="shared" si="150"/>
        <v>#N/A</v>
      </c>
      <c r="AF231" s="5" t="e">
        <f t="shared" si="134"/>
        <v>#N/A</v>
      </c>
      <c r="AG231" s="5" t="e">
        <f t="shared" si="135"/>
        <v>#N/A</v>
      </c>
      <c r="AH231" s="5" t="str">
        <f t="shared" si="136"/>
        <v/>
      </c>
      <c r="AI231" s="5" t="str">
        <f t="shared" si="137"/>
        <v/>
      </c>
      <c r="AJ231" s="5" t="str">
        <f t="shared" si="138"/>
        <v/>
      </c>
      <c r="AK231" s="5" t="str">
        <f t="shared" si="139"/>
        <v/>
      </c>
      <c r="AX231" s="5" t="str">
        <f t="shared" si="151"/>
        <v/>
      </c>
      <c r="AY231" s="5" t="e">
        <f t="shared" si="140"/>
        <v>#N/A</v>
      </c>
      <c r="AZ231" s="5" t="str">
        <f t="shared" si="141"/>
        <v/>
      </c>
      <c r="BA231" s="5" t="str">
        <f t="shared" si="142"/>
        <v/>
      </c>
      <c r="BB231" s="5" t="e">
        <f>IF(BA231="",NA(),COUNTIF(BA$193:$BA231,BA231))</f>
        <v>#N/A</v>
      </c>
      <c r="BC231" s="5" t="e">
        <f t="shared" si="143"/>
        <v>#N/A</v>
      </c>
      <c r="BD231" s="5" t="str">
        <f t="shared" si="152"/>
        <v/>
      </c>
      <c r="BE231" s="5" t="e">
        <f t="shared" si="144"/>
        <v>#N/A</v>
      </c>
      <c r="BF231" s="5" t="str">
        <f t="shared" si="145"/>
        <v/>
      </c>
      <c r="BG231" s="5" t="str">
        <f t="shared" si="146"/>
        <v/>
      </c>
      <c r="BH231" s="5" t="e">
        <f>IF(BG231="",NA(),COUNTIF(BG$193:$BG231,BG231))</f>
        <v>#N/A</v>
      </c>
      <c r="BI231" s="5" t="e">
        <f t="shared" si="147"/>
        <v>#N/A</v>
      </c>
      <c r="BJ231"/>
      <c r="BK231"/>
      <c r="BL231"/>
      <c r="BM231"/>
      <c r="BN231"/>
      <c r="BO231"/>
      <c r="BP231"/>
      <c r="BQ231"/>
      <c r="BR231"/>
      <c r="BS231"/>
      <c r="BT231"/>
      <c r="BU231"/>
      <c r="BV231"/>
      <c r="BW231"/>
      <c r="BX231"/>
      <c r="BY231"/>
      <c r="BZ231"/>
      <c r="CA231"/>
      <c r="CB231"/>
      <c r="CC231"/>
      <c r="CD231"/>
      <c r="CE231"/>
      <c r="CF231"/>
    </row>
    <row r="232" spans="1:84" ht="12.75" customHeight="1">
      <c r="A232"/>
      <c r="B232"/>
      <c r="C232"/>
      <c r="D232"/>
      <c r="E232"/>
      <c r="F232"/>
      <c r="G232"/>
      <c r="J232" s="5" t="e">
        <f t="shared" si="123"/>
        <v>#N/A</v>
      </c>
      <c r="K232" s="5" t="e">
        <f t="shared" si="98"/>
        <v>#N/A</v>
      </c>
      <c r="L232" s="5" t="e">
        <f t="shared" si="124"/>
        <v>#N/A</v>
      </c>
      <c r="M232" s="5" t="e">
        <f t="shared" si="99"/>
        <v>#N/A</v>
      </c>
      <c r="Q232" s="5" t="str">
        <f t="shared" si="125"/>
        <v/>
      </c>
      <c r="R232" s="5" t="e">
        <f>IF(Q232="",NA(),COUNTIF(Q232:$Q$293,Q232))</f>
        <v>#N/A</v>
      </c>
      <c r="S232" s="5" t="e">
        <f t="shared" si="126"/>
        <v>#N/A</v>
      </c>
      <c r="T232" s="5" t="e">
        <f t="shared" si="148"/>
        <v>#N/A</v>
      </c>
      <c r="U232" s="5" t="e">
        <f t="shared" si="127"/>
        <v>#N/A</v>
      </c>
      <c r="V232" s="5" t="e">
        <f t="shared" si="128"/>
        <v>#N/A</v>
      </c>
      <c r="W232" s="5" t="str">
        <f t="shared" si="129"/>
        <v/>
      </c>
      <c r="X232" s="5">
        <v>139</v>
      </c>
      <c r="Y232" s="5" t="str">
        <f t="shared" si="130"/>
        <v/>
      </c>
      <c r="Z232" s="5" t="str">
        <f t="shared" si="131"/>
        <v/>
      </c>
      <c r="AA232" s="5" t="str">
        <f t="shared" si="149"/>
        <v/>
      </c>
      <c r="AB232" s="5" t="str">
        <f t="shared" si="132"/>
        <v/>
      </c>
      <c r="AC232" s="5" t="e">
        <f>IF(AB232="",NA(),COUNTIF(AB232:$AB$293,AB232))</f>
        <v>#N/A</v>
      </c>
      <c r="AD232" s="5" t="e">
        <f t="shared" si="133"/>
        <v>#N/A</v>
      </c>
      <c r="AE232" s="5" t="e">
        <f t="shared" si="150"/>
        <v>#N/A</v>
      </c>
      <c r="AF232" s="5" t="e">
        <f t="shared" si="134"/>
        <v>#N/A</v>
      </c>
      <c r="AG232" s="5" t="e">
        <f t="shared" si="135"/>
        <v>#N/A</v>
      </c>
      <c r="AH232" s="5" t="str">
        <f t="shared" si="136"/>
        <v/>
      </c>
      <c r="AI232" s="5" t="str">
        <f t="shared" si="137"/>
        <v/>
      </c>
      <c r="AJ232" s="5" t="str">
        <f t="shared" si="138"/>
        <v/>
      </c>
      <c r="AK232" s="5" t="str">
        <f t="shared" si="139"/>
        <v/>
      </c>
      <c r="AX232" s="5" t="str">
        <f t="shared" si="151"/>
        <v/>
      </c>
      <c r="AY232" s="5" t="e">
        <f t="shared" si="140"/>
        <v>#N/A</v>
      </c>
      <c r="AZ232" s="5" t="str">
        <f t="shared" si="141"/>
        <v/>
      </c>
      <c r="BA232" s="5" t="str">
        <f t="shared" si="142"/>
        <v/>
      </c>
      <c r="BB232" s="5" t="e">
        <f>IF(BA232="",NA(),COUNTIF(BA$193:$BA232,BA232))</f>
        <v>#N/A</v>
      </c>
      <c r="BC232" s="5" t="e">
        <f t="shared" si="143"/>
        <v>#N/A</v>
      </c>
      <c r="BD232" s="5" t="str">
        <f t="shared" si="152"/>
        <v/>
      </c>
      <c r="BE232" s="5" t="e">
        <f t="shared" si="144"/>
        <v>#N/A</v>
      </c>
      <c r="BF232" s="5" t="str">
        <f t="shared" si="145"/>
        <v/>
      </c>
      <c r="BG232" s="5" t="str">
        <f t="shared" si="146"/>
        <v/>
      </c>
      <c r="BH232" s="5" t="e">
        <f>IF(BG232="",NA(),COUNTIF(BG$193:$BG232,BG232))</f>
        <v>#N/A</v>
      </c>
      <c r="BI232" s="5" t="e">
        <f t="shared" si="147"/>
        <v>#N/A</v>
      </c>
      <c r="BJ232"/>
      <c r="BK232"/>
      <c r="BL232"/>
      <c r="BM232"/>
      <c r="BN232"/>
      <c r="BO232"/>
      <c r="BP232"/>
      <c r="BQ232"/>
      <c r="BR232"/>
      <c r="BS232"/>
      <c r="BT232"/>
      <c r="BU232"/>
      <c r="BV232"/>
      <c r="BW232"/>
      <c r="BX232"/>
      <c r="BY232"/>
      <c r="BZ232"/>
      <c r="CA232"/>
      <c r="CB232"/>
      <c r="CC232"/>
      <c r="CD232"/>
      <c r="CE232"/>
      <c r="CF232"/>
    </row>
    <row r="233" spans="1:84" ht="12.75" customHeight="1">
      <c r="A233"/>
      <c r="B233"/>
      <c r="C233"/>
      <c r="D233"/>
      <c r="E233"/>
      <c r="F233"/>
      <c r="G233"/>
      <c r="J233" s="5" t="e">
        <f t="shared" si="123"/>
        <v>#N/A</v>
      </c>
      <c r="K233" s="5" t="e">
        <f t="shared" si="98"/>
        <v>#N/A</v>
      </c>
      <c r="L233" s="5" t="e">
        <f t="shared" si="124"/>
        <v>#N/A</v>
      </c>
      <c r="M233" s="5" t="e">
        <f t="shared" si="99"/>
        <v>#N/A</v>
      </c>
      <c r="Q233" s="5" t="str">
        <f t="shared" si="125"/>
        <v/>
      </c>
      <c r="R233" s="5" t="e">
        <f>IF(Q233="",NA(),COUNTIF(Q233:$Q$293,Q233))</f>
        <v>#N/A</v>
      </c>
      <c r="S233" s="5" t="e">
        <f t="shared" si="126"/>
        <v>#N/A</v>
      </c>
      <c r="T233" s="5" t="e">
        <f t="shared" si="148"/>
        <v>#N/A</v>
      </c>
      <c r="U233" s="5" t="e">
        <f t="shared" si="127"/>
        <v>#N/A</v>
      </c>
      <c r="V233" s="5" t="e">
        <f t="shared" si="128"/>
        <v>#N/A</v>
      </c>
      <c r="W233" s="5" t="str">
        <f t="shared" si="129"/>
        <v/>
      </c>
      <c r="X233" s="5">
        <v>140</v>
      </c>
      <c r="Y233" s="5" t="str">
        <f t="shared" si="130"/>
        <v/>
      </c>
      <c r="Z233" s="5" t="str">
        <f t="shared" si="131"/>
        <v/>
      </c>
      <c r="AA233" s="5" t="str">
        <f t="shared" si="149"/>
        <v/>
      </c>
      <c r="AB233" s="5" t="str">
        <f t="shared" si="132"/>
        <v/>
      </c>
      <c r="AC233" s="5" t="e">
        <f>IF(AB233="",NA(),COUNTIF(AB233:$AB$293,AB233))</f>
        <v>#N/A</v>
      </c>
      <c r="AD233" s="5" t="e">
        <f t="shared" si="133"/>
        <v>#N/A</v>
      </c>
      <c r="AE233" s="5" t="e">
        <f t="shared" si="150"/>
        <v>#N/A</v>
      </c>
      <c r="AF233" s="5" t="e">
        <f t="shared" si="134"/>
        <v>#N/A</v>
      </c>
      <c r="AG233" s="5" t="e">
        <f t="shared" si="135"/>
        <v>#N/A</v>
      </c>
      <c r="AH233" s="5" t="str">
        <f t="shared" si="136"/>
        <v/>
      </c>
      <c r="AI233" s="5" t="str">
        <f t="shared" si="137"/>
        <v/>
      </c>
      <c r="AJ233" s="5" t="str">
        <f t="shared" si="138"/>
        <v/>
      </c>
      <c r="AK233" s="5" t="str">
        <f t="shared" si="139"/>
        <v/>
      </c>
      <c r="AX233" s="5" t="str">
        <f t="shared" si="151"/>
        <v/>
      </c>
      <c r="AY233" s="5" t="e">
        <f t="shared" si="140"/>
        <v>#N/A</v>
      </c>
      <c r="AZ233" s="5" t="str">
        <f t="shared" si="141"/>
        <v/>
      </c>
      <c r="BA233" s="5" t="str">
        <f t="shared" si="142"/>
        <v/>
      </c>
      <c r="BB233" s="5" t="e">
        <f>IF(BA233="",NA(),COUNTIF(BA$193:$BA233,BA233))</f>
        <v>#N/A</v>
      </c>
      <c r="BC233" s="5" t="e">
        <f t="shared" si="143"/>
        <v>#N/A</v>
      </c>
      <c r="BD233" s="5" t="str">
        <f t="shared" si="152"/>
        <v/>
      </c>
      <c r="BE233" s="5" t="e">
        <f t="shared" si="144"/>
        <v>#N/A</v>
      </c>
      <c r="BF233" s="5" t="str">
        <f t="shared" si="145"/>
        <v/>
      </c>
      <c r="BG233" s="5" t="str">
        <f t="shared" si="146"/>
        <v/>
      </c>
      <c r="BH233" s="5" t="e">
        <f>IF(BG233="",NA(),COUNTIF(BG$193:$BG233,BG233))</f>
        <v>#N/A</v>
      </c>
      <c r="BI233" s="5" t="e">
        <f t="shared" si="147"/>
        <v>#N/A</v>
      </c>
      <c r="BJ233"/>
      <c r="BK233"/>
      <c r="BL233"/>
      <c r="BM233"/>
      <c r="BN233"/>
      <c r="BO233"/>
      <c r="BP233"/>
      <c r="BQ233"/>
      <c r="BR233"/>
      <c r="BS233"/>
      <c r="BT233"/>
      <c r="BU233"/>
      <c r="BV233"/>
      <c r="BW233"/>
      <c r="BX233"/>
      <c r="BY233"/>
      <c r="BZ233"/>
      <c r="CA233"/>
      <c r="CB233"/>
      <c r="CC233"/>
      <c r="CD233"/>
      <c r="CE233"/>
      <c r="CF233"/>
    </row>
    <row r="234" spans="1:84" ht="12.75" customHeight="1">
      <c r="A234"/>
      <c r="B234"/>
      <c r="C234"/>
      <c r="D234"/>
      <c r="E234"/>
      <c r="F234"/>
      <c r="G234"/>
      <c r="J234" s="5" t="e">
        <f t="shared" si="123"/>
        <v>#N/A</v>
      </c>
      <c r="K234" s="5" t="e">
        <f t="shared" si="98"/>
        <v>#N/A</v>
      </c>
      <c r="L234" s="5" t="e">
        <f t="shared" si="124"/>
        <v>#N/A</v>
      </c>
      <c r="M234" s="5" t="e">
        <f t="shared" si="99"/>
        <v>#N/A</v>
      </c>
      <c r="Q234" s="5" t="str">
        <f t="shared" si="125"/>
        <v/>
      </c>
      <c r="R234" s="5" t="e">
        <f>IF(Q234="",NA(),COUNTIF(Q234:$Q$293,Q234))</f>
        <v>#N/A</v>
      </c>
      <c r="S234" s="5" t="e">
        <f t="shared" si="126"/>
        <v>#N/A</v>
      </c>
      <c r="T234" s="5" t="e">
        <f t="shared" si="148"/>
        <v>#N/A</v>
      </c>
      <c r="U234" s="5" t="e">
        <f t="shared" si="127"/>
        <v>#N/A</v>
      </c>
      <c r="V234" s="5" t="e">
        <f t="shared" si="128"/>
        <v>#N/A</v>
      </c>
      <c r="W234" s="5" t="str">
        <f t="shared" si="129"/>
        <v/>
      </c>
      <c r="X234" s="5">
        <v>141</v>
      </c>
      <c r="Y234" s="5" t="str">
        <f t="shared" si="130"/>
        <v/>
      </c>
      <c r="Z234" s="5" t="str">
        <f t="shared" si="131"/>
        <v/>
      </c>
      <c r="AA234" s="5" t="str">
        <f t="shared" si="149"/>
        <v/>
      </c>
      <c r="AB234" s="5" t="str">
        <f t="shared" si="132"/>
        <v/>
      </c>
      <c r="AC234" s="5" t="e">
        <f>IF(AB234="",NA(),COUNTIF(AB234:$AB$293,AB234))</f>
        <v>#N/A</v>
      </c>
      <c r="AD234" s="5" t="e">
        <f t="shared" si="133"/>
        <v>#N/A</v>
      </c>
      <c r="AE234" s="5" t="e">
        <f t="shared" si="150"/>
        <v>#N/A</v>
      </c>
      <c r="AF234" s="5" t="e">
        <f t="shared" si="134"/>
        <v>#N/A</v>
      </c>
      <c r="AG234" s="5" t="e">
        <f t="shared" si="135"/>
        <v>#N/A</v>
      </c>
      <c r="AH234" s="5" t="str">
        <f t="shared" si="136"/>
        <v/>
      </c>
      <c r="AI234" s="5" t="str">
        <f t="shared" si="137"/>
        <v/>
      </c>
      <c r="AJ234" s="5" t="str">
        <f t="shared" si="138"/>
        <v/>
      </c>
      <c r="AK234" s="5" t="str">
        <f t="shared" si="139"/>
        <v/>
      </c>
      <c r="AX234" s="5" t="str">
        <f t="shared" si="151"/>
        <v/>
      </c>
      <c r="AY234" s="5" t="e">
        <f t="shared" si="140"/>
        <v>#N/A</v>
      </c>
      <c r="AZ234" s="5" t="str">
        <f t="shared" si="141"/>
        <v/>
      </c>
      <c r="BA234" s="5" t="str">
        <f t="shared" si="142"/>
        <v/>
      </c>
      <c r="BB234" s="5" t="e">
        <f>IF(BA234="",NA(),COUNTIF(BA$193:$BA234,BA234))</f>
        <v>#N/A</v>
      </c>
      <c r="BC234" s="5" t="e">
        <f t="shared" si="143"/>
        <v>#N/A</v>
      </c>
      <c r="BD234" s="5" t="str">
        <f t="shared" si="152"/>
        <v/>
      </c>
      <c r="BE234" s="5" t="e">
        <f t="shared" si="144"/>
        <v>#N/A</v>
      </c>
      <c r="BF234" s="5" t="str">
        <f t="shared" si="145"/>
        <v/>
      </c>
      <c r="BG234" s="5" t="str">
        <f t="shared" si="146"/>
        <v/>
      </c>
      <c r="BH234" s="5" t="e">
        <f>IF(BG234="",NA(),COUNTIF(BG$193:$BG234,BG234))</f>
        <v>#N/A</v>
      </c>
      <c r="BI234" s="5" t="e">
        <f t="shared" si="147"/>
        <v>#N/A</v>
      </c>
      <c r="BJ234"/>
      <c r="BK234"/>
      <c r="BL234"/>
      <c r="BM234"/>
      <c r="BN234"/>
      <c r="BO234"/>
      <c r="BP234"/>
      <c r="BQ234"/>
      <c r="BR234"/>
      <c r="BS234"/>
      <c r="BT234"/>
      <c r="BU234"/>
      <c r="BV234"/>
      <c r="BW234"/>
      <c r="BX234"/>
      <c r="BY234"/>
      <c r="BZ234"/>
      <c r="CA234"/>
      <c r="CB234"/>
      <c r="CC234"/>
      <c r="CD234"/>
      <c r="CE234"/>
      <c r="CF234"/>
    </row>
    <row r="235" spans="1:84" ht="12.75" customHeight="1">
      <c r="A235"/>
      <c r="B235"/>
      <c r="C235"/>
      <c r="D235"/>
      <c r="E235"/>
      <c r="F235"/>
      <c r="G235"/>
      <c r="J235" s="5" t="e">
        <f t="shared" si="123"/>
        <v>#N/A</v>
      </c>
      <c r="K235" s="5" t="e">
        <f t="shared" si="98"/>
        <v>#N/A</v>
      </c>
      <c r="L235" s="5" t="e">
        <f t="shared" si="124"/>
        <v>#N/A</v>
      </c>
      <c r="M235" s="5" t="e">
        <f t="shared" si="99"/>
        <v>#N/A</v>
      </c>
      <c r="Q235" s="5" t="str">
        <f t="shared" si="125"/>
        <v/>
      </c>
      <c r="R235" s="5" t="e">
        <f>IF(Q235="",NA(),COUNTIF(Q235:$Q$293,Q235))</f>
        <v>#N/A</v>
      </c>
      <c r="S235" s="5" t="e">
        <f t="shared" si="126"/>
        <v>#N/A</v>
      </c>
      <c r="T235" s="5" t="e">
        <f t="shared" si="148"/>
        <v>#N/A</v>
      </c>
      <c r="U235" s="5" t="e">
        <f t="shared" si="127"/>
        <v>#N/A</v>
      </c>
      <c r="V235" s="5" t="e">
        <f t="shared" si="128"/>
        <v>#N/A</v>
      </c>
      <c r="W235" s="5" t="str">
        <f t="shared" si="129"/>
        <v/>
      </c>
      <c r="X235" s="5">
        <v>142</v>
      </c>
      <c r="Y235" s="5" t="str">
        <f t="shared" si="130"/>
        <v/>
      </c>
      <c r="Z235" s="5" t="str">
        <f t="shared" si="131"/>
        <v/>
      </c>
      <c r="AA235" s="5" t="str">
        <f t="shared" si="149"/>
        <v/>
      </c>
      <c r="AB235" s="5" t="str">
        <f t="shared" si="132"/>
        <v/>
      </c>
      <c r="AC235" s="5" t="e">
        <f>IF(AB235="",NA(),COUNTIF(AB235:$AB$293,AB235))</f>
        <v>#N/A</v>
      </c>
      <c r="AD235" s="5" t="e">
        <f t="shared" si="133"/>
        <v>#N/A</v>
      </c>
      <c r="AE235" s="5" t="e">
        <f t="shared" si="150"/>
        <v>#N/A</v>
      </c>
      <c r="AF235" s="5" t="e">
        <f t="shared" si="134"/>
        <v>#N/A</v>
      </c>
      <c r="AG235" s="5" t="e">
        <f t="shared" si="135"/>
        <v>#N/A</v>
      </c>
      <c r="AH235" s="5" t="str">
        <f t="shared" si="136"/>
        <v/>
      </c>
      <c r="AI235" s="5" t="str">
        <f t="shared" si="137"/>
        <v/>
      </c>
      <c r="AJ235" s="5" t="str">
        <f t="shared" si="138"/>
        <v/>
      </c>
      <c r="AK235" s="5" t="str">
        <f t="shared" si="139"/>
        <v/>
      </c>
      <c r="AX235" s="5" t="str">
        <f t="shared" si="151"/>
        <v/>
      </c>
      <c r="AY235" s="5" t="e">
        <f t="shared" si="140"/>
        <v>#N/A</v>
      </c>
      <c r="AZ235" s="5" t="str">
        <f t="shared" si="141"/>
        <v/>
      </c>
      <c r="BA235" s="5" t="str">
        <f t="shared" si="142"/>
        <v/>
      </c>
      <c r="BB235" s="5" t="e">
        <f>IF(BA235="",NA(),COUNTIF(BA$193:$BA235,BA235))</f>
        <v>#N/A</v>
      </c>
      <c r="BC235" s="5" t="e">
        <f t="shared" si="143"/>
        <v>#N/A</v>
      </c>
      <c r="BD235" s="5" t="str">
        <f t="shared" si="152"/>
        <v/>
      </c>
      <c r="BE235" s="5" t="e">
        <f t="shared" si="144"/>
        <v>#N/A</v>
      </c>
      <c r="BF235" s="5" t="str">
        <f t="shared" si="145"/>
        <v/>
      </c>
      <c r="BG235" s="5" t="str">
        <f t="shared" si="146"/>
        <v/>
      </c>
      <c r="BH235" s="5" t="e">
        <f>IF(BG235="",NA(),COUNTIF(BG$193:$BG235,BG235))</f>
        <v>#N/A</v>
      </c>
      <c r="BI235" s="5" t="e">
        <f t="shared" si="147"/>
        <v>#N/A</v>
      </c>
      <c r="BJ235"/>
      <c r="BK235"/>
      <c r="BL235"/>
      <c r="BM235"/>
      <c r="BN235"/>
      <c r="BO235"/>
      <c r="BP235"/>
      <c r="BQ235"/>
      <c r="BR235"/>
      <c r="BS235"/>
      <c r="BT235"/>
      <c r="BU235"/>
      <c r="BV235"/>
      <c r="BW235"/>
      <c r="BX235"/>
      <c r="BY235"/>
      <c r="BZ235"/>
      <c r="CA235"/>
      <c r="CB235"/>
      <c r="CC235"/>
      <c r="CD235"/>
      <c r="CE235"/>
      <c r="CF235"/>
    </row>
    <row r="236" spans="1:84" ht="12.75" customHeight="1">
      <c r="A236"/>
      <c r="B236"/>
      <c r="C236"/>
      <c r="D236"/>
      <c r="E236"/>
      <c r="F236"/>
      <c r="G236"/>
      <c r="J236" s="5" t="e">
        <f t="shared" si="123"/>
        <v>#N/A</v>
      </c>
      <c r="K236" s="5" t="e">
        <f t="shared" si="98"/>
        <v>#N/A</v>
      </c>
      <c r="L236" s="5" t="e">
        <f t="shared" si="124"/>
        <v>#N/A</v>
      </c>
      <c r="M236" s="5" t="e">
        <f t="shared" si="99"/>
        <v>#N/A</v>
      </c>
      <c r="Q236" s="5" t="str">
        <f t="shared" si="125"/>
        <v/>
      </c>
      <c r="R236" s="5" t="e">
        <f>IF(Q236="",NA(),COUNTIF(Q236:$Q$293,Q236))</f>
        <v>#N/A</v>
      </c>
      <c r="S236" s="5" t="e">
        <f t="shared" si="126"/>
        <v>#N/A</v>
      </c>
      <c r="T236" s="5" t="e">
        <f t="shared" si="148"/>
        <v>#N/A</v>
      </c>
      <c r="U236" s="5" t="e">
        <f t="shared" si="127"/>
        <v>#N/A</v>
      </c>
      <c r="V236" s="5" t="e">
        <f t="shared" si="128"/>
        <v>#N/A</v>
      </c>
      <c r="W236" s="5" t="str">
        <f t="shared" si="129"/>
        <v/>
      </c>
      <c r="X236" s="5">
        <v>143</v>
      </c>
      <c r="Y236" s="5" t="str">
        <f t="shared" si="130"/>
        <v/>
      </c>
      <c r="Z236" s="5" t="str">
        <f t="shared" si="131"/>
        <v/>
      </c>
      <c r="AA236" s="5" t="str">
        <f t="shared" si="149"/>
        <v/>
      </c>
      <c r="AB236" s="5" t="str">
        <f t="shared" si="132"/>
        <v/>
      </c>
      <c r="AC236" s="5" t="e">
        <f>IF(AB236="",NA(),COUNTIF(AB236:$AB$293,AB236))</f>
        <v>#N/A</v>
      </c>
      <c r="AD236" s="5" t="e">
        <f t="shared" si="133"/>
        <v>#N/A</v>
      </c>
      <c r="AE236" s="5" t="e">
        <f t="shared" si="150"/>
        <v>#N/A</v>
      </c>
      <c r="AF236" s="5" t="e">
        <f t="shared" si="134"/>
        <v>#N/A</v>
      </c>
      <c r="AG236" s="5" t="e">
        <f t="shared" si="135"/>
        <v>#N/A</v>
      </c>
      <c r="AH236" s="5" t="str">
        <f t="shared" si="136"/>
        <v/>
      </c>
      <c r="AI236" s="5" t="str">
        <f t="shared" si="137"/>
        <v/>
      </c>
      <c r="AJ236" s="5" t="str">
        <f t="shared" si="138"/>
        <v/>
      </c>
      <c r="AK236" s="5" t="str">
        <f t="shared" si="139"/>
        <v/>
      </c>
      <c r="AX236" s="5" t="str">
        <f t="shared" si="151"/>
        <v/>
      </c>
      <c r="AY236" s="5" t="e">
        <f t="shared" si="140"/>
        <v>#N/A</v>
      </c>
      <c r="AZ236" s="5" t="str">
        <f t="shared" si="141"/>
        <v/>
      </c>
      <c r="BA236" s="5" t="str">
        <f t="shared" si="142"/>
        <v/>
      </c>
      <c r="BB236" s="5" t="e">
        <f>IF(BA236="",NA(),COUNTIF(BA$193:$BA236,BA236))</f>
        <v>#N/A</v>
      </c>
      <c r="BC236" s="5" t="e">
        <f t="shared" si="143"/>
        <v>#N/A</v>
      </c>
      <c r="BD236" s="5" t="str">
        <f t="shared" si="152"/>
        <v/>
      </c>
      <c r="BE236" s="5" t="e">
        <f t="shared" si="144"/>
        <v>#N/A</v>
      </c>
      <c r="BF236" s="5" t="str">
        <f t="shared" si="145"/>
        <v/>
      </c>
      <c r="BG236" s="5" t="str">
        <f t="shared" si="146"/>
        <v/>
      </c>
      <c r="BH236" s="5" t="e">
        <f>IF(BG236="",NA(),COUNTIF(BG$193:$BG236,BG236))</f>
        <v>#N/A</v>
      </c>
      <c r="BI236" s="5" t="e">
        <f t="shared" si="147"/>
        <v>#N/A</v>
      </c>
      <c r="BJ236"/>
      <c r="BK236"/>
      <c r="BL236"/>
      <c r="BM236"/>
      <c r="BN236"/>
      <c r="BO236"/>
      <c r="BP236"/>
      <c r="BQ236"/>
      <c r="BR236"/>
      <c r="BS236"/>
      <c r="BT236"/>
      <c r="BU236"/>
      <c r="BV236"/>
      <c r="BW236"/>
      <c r="BX236"/>
      <c r="BY236"/>
      <c r="BZ236"/>
      <c r="CA236"/>
      <c r="CB236"/>
      <c r="CC236"/>
      <c r="CD236"/>
      <c r="CE236"/>
      <c r="CF236"/>
    </row>
    <row r="237" spans="1:84" ht="12.75" customHeight="1">
      <c r="A237"/>
      <c r="B237"/>
      <c r="C237"/>
      <c r="D237"/>
      <c r="E237"/>
      <c r="F237"/>
      <c r="G237"/>
      <c r="J237" s="5" t="e">
        <f t="shared" si="123"/>
        <v>#N/A</v>
      </c>
      <c r="K237" s="5" t="e">
        <f t="shared" si="98"/>
        <v>#N/A</v>
      </c>
      <c r="L237" s="5" t="e">
        <f t="shared" si="124"/>
        <v>#N/A</v>
      </c>
      <c r="M237" s="5" t="e">
        <f t="shared" si="99"/>
        <v>#N/A</v>
      </c>
      <c r="Q237" s="5" t="str">
        <f t="shared" si="125"/>
        <v/>
      </c>
      <c r="R237" s="5" t="e">
        <f>IF(Q237="",NA(),COUNTIF(Q237:$Q$293,Q237))</f>
        <v>#N/A</v>
      </c>
      <c r="S237" s="5" t="e">
        <f t="shared" si="126"/>
        <v>#N/A</v>
      </c>
      <c r="T237" s="5" t="e">
        <f t="shared" si="148"/>
        <v>#N/A</v>
      </c>
      <c r="U237" s="5" t="e">
        <f t="shared" si="127"/>
        <v>#N/A</v>
      </c>
      <c r="V237" s="5" t="e">
        <f t="shared" si="128"/>
        <v>#N/A</v>
      </c>
      <c r="W237" s="5" t="str">
        <f t="shared" si="129"/>
        <v/>
      </c>
      <c r="X237" s="5">
        <v>144</v>
      </c>
      <c r="Y237" s="5" t="str">
        <f t="shared" si="130"/>
        <v/>
      </c>
      <c r="Z237" s="5" t="str">
        <f t="shared" si="131"/>
        <v/>
      </c>
      <c r="AA237" s="5" t="str">
        <f t="shared" si="149"/>
        <v/>
      </c>
      <c r="AB237" s="5" t="str">
        <f t="shared" si="132"/>
        <v/>
      </c>
      <c r="AC237" s="5" t="e">
        <f>IF(AB237="",NA(),COUNTIF(AB237:$AB$293,AB237))</f>
        <v>#N/A</v>
      </c>
      <c r="AD237" s="5" t="e">
        <f t="shared" si="133"/>
        <v>#N/A</v>
      </c>
      <c r="AE237" s="5" t="e">
        <f t="shared" si="150"/>
        <v>#N/A</v>
      </c>
      <c r="AF237" s="5" t="e">
        <f t="shared" si="134"/>
        <v>#N/A</v>
      </c>
      <c r="AG237" s="5" t="e">
        <f t="shared" si="135"/>
        <v>#N/A</v>
      </c>
      <c r="AH237" s="5" t="str">
        <f t="shared" si="136"/>
        <v/>
      </c>
      <c r="AI237" s="5" t="str">
        <f t="shared" si="137"/>
        <v/>
      </c>
      <c r="AJ237" s="5" t="str">
        <f t="shared" si="138"/>
        <v/>
      </c>
      <c r="AK237" s="5" t="str">
        <f t="shared" si="139"/>
        <v/>
      </c>
      <c r="AX237" s="5" t="str">
        <f t="shared" si="151"/>
        <v/>
      </c>
      <c r="AY237" s="5" t="e">
        <f t="shared" si="140"/>
        <v>#N/A</v>
      </c>
      <c r="AZ237" s="5" t="str">
        <f t="shared" si="141"/>
        <v/>
      </c>
      <c r="BA237" s="5" t="str">
        <f t="shared" si="142"/>
        <v/>
      </c>
      <c r="BB237" s="5" t="e">
        <f>IF(BA237="",NA(),COUNTIF(BA$193:$BA237,BA237))</f>
        <v>#N/A</v>
      </c>
      <c r="BC237" s="5" t="e">
        <f t="shared" si="143"/>
        <v>#N/A</v>
      </c>
      <c r="BD237" s="5" t="str">
        <f t="shared" si="152"/>
        <v/>
      </c>
      <c r="BE237" s="5" t="e">
        <f t="shared" si="144"/>
        <v>#N/A</v>
      </c>
      <c r="BF237" s="5" t="str">
        <f t="shared" si="145"/>
        <v/>
      </c>
      <c r="BG237" s="5" t="str">
        <f t="shared" si="146"/>
        <v/>
      </c>
      <c r="BH237" s="5" t="e">
        <f>IF(BG237="",NA(),COUNTIF(BG$193:$BG237,BG237))</f>
        <v>#N/A</v>
      </c>
      <c r="BI237" s="5" t="e">
        <f t="shared" si="147"/>
        <v>#N/A</v>
      </c>
      <c r="BJ237"/>
      <c r="BK237"/>
      <c r="BL237"/>
      <c r="BM237"/>
      <c r="BN237"/>
      <c r="BO237"/>
      <c r="BP237"/>
      <c r="BQ237"/>
      <c r="BR237"/>
      <c r="BS237"/>
      <c r="BT237"/>
      <c r="BU237"/>
      <c r="BV237"/>
      <c r="BW237"/>
      <c r="BX237"/>
      <c r="BY237"/>
      <c r="BZ237"/>
      <c r="CA237"/>
      <c r="CB237"/>
      <c r="CC237"/>
      <c r="CD237"/>
      <c r="CE237"/>
      <c r="CF237"/>
    </row>
    <row r="238" spans="1:84" ht="12.75" customHeight="1">
      <c r="A238"/>
      <c r="B238"/>
      <c r="C238"/>
      <c r="D238"/>
      <c r="E238"/>
      <c r="F238"/>
      <c r="G238"/>
      <c r="J238" s="5" t="e">
        <f t="shared" si="123"/>
        <v>#N/A</v>
      </c>
      <c r="K238" s="5" t="e">
        <f t="shared" si="98"/>
        <v>#N/A</v>
      </c>
      <c r="L238" s="5" t="e">
        <f t="shared" si="124"/>
        <v>#N/A</v>
      </c>
      <c r="M238" s="5" t="e">
        <f t="shared" si="99"/>
        <v>#N/A</v>
      </c>
      <c r="Q238" s="5" t="str">
        <f t="shared" si="125"/>
        <v/>
      </c>
      <c r="R238" s="5" t="e">
        <f>IF(Q238="",NA(),COUNTIF(Q238:$Q$293,Q238))</f>
        <v>#N/A</v>
      </c>
      <c r="S238" s="5" t="e">
        <f t="shared" si="126"/>
        <v>#N/A</v>
      </c>
      <c r="T238" s="5" t="e">
        <f t="shared" si="148"/>
        <v>#N/A</v>
      </c>
      <c r="U238" s="5" t="e">
        <f t="shared" si="127"/>
        <v>#N/A</v>
      </c>
      <c r="V238" s="5" t="e">
        <f t="shared" si="128"/>
        <v>#N/A</v>
      </c>
      <c r="W238" s="5" t="str">
        <f t="shared" si="129"/>
        <v/>
      </c>
      <c r="X238" s="5">
        <v>145</v>
      </c>
      <c r="Y238" s="5" t="str">
        <f t="shared" si="130"/>
        <v/>
      </c>
      <c r="Z238" s="5" t="str">
        <f t="shared" si="131"/>
        <v/>
      </c>
      <c r="AA238" s="5" t="str">
        <f t="shared" si="149"/>
        <v/>
      </c>
      <c r="AB238" s="5" t="str">
        <f t="shared" si="132"/>
        <v/>
      </c>
      <c r="AC238" s="5" t="e">
        <f>IF(AB238="",NA(),COUNTIF(AB238:$AB$293,AB238))</f>
        <v>#N/A</v>
      </c>
      <c r="AD238" s="5" t="e">
        <f t="shared" si="133"/>
        <v>#N/A</v>
      </c>
      <c r="AE238" s="5" t="e">
        <f t="shared" si="150"/>
        <v>#N/A</v>
      </c>
      <c r="AF238" s="5" t="e">
        <f t="shared" si="134"/>
        <v>#N/A</v>
      </c>
      <c r="AG238" s="5" t="e">
        <f t="shared" si="135"/>
        <v>#N/A</v>
      </c>
      <c r="AH238" s="5" t="str">
        <f t="shared" si="136"/>
        <v/>
      </c>
      <c r="AI238" s="5" t="str">
        <f t="shared" si="137"/>
        <v/>
      </c>
      <c r="AJ238" s="5" t="str">
        <f t="shared" si="138"/>
        <v/>
      </c>
      <c r="AK238" s="5" t="str">
        <f t="shared" si="139"/>
        <v/>
      </c>
      <c r="AX238" s="5" t="str">
        <f t="shared" si="151"/>
        <v/>
      </c>
      <c r="AY238" s="5" t="e">
        <f t="shared" si="140"/>
        <v>#N/A</v>
      </c>
      <c r="AZ238" s="5" t="str">
        <f t="shared" si="141"/>
        <v/>
      </c>
      <c r="BA238" s="5" t="str">
        <f t="shared" si="142"/>
        <v/>
      </c>
      <c r="BB238" s="5" t="e">
        <f>IF(BA238="",NA(),COUNTIF(BA$193:$BA238,BA238))</f>
        <v>#N/A</v>
      </c>
      <c r="BC238" s="5" t="e">
        <f t="shared" si="143"/>
        <v>#N/A</v>
      </c>
      <c r="BD238" s="5" t="str">
        <f t="shared" si="152"/>
        <v/>
      </c>
      <c r="BE238" s="5" t="e">
        <f t="shared" si="144"/>
        <v>#N/A</v>
      </c>
      <c r="BF238" s="5" t="str">
        <f t="shared" si="145"/>
        <v/>
      </c>
      <c r="BG238" s="5" t="str">
        <f t="shared" si="146"/>
        <v/>
      </c>
      <c r="BH238" s="5" t="e">
        <f>IF(BG238="",NA(),COUNTIF(BG$193:$BG238,BG238))</f>
        <v>#N/A</v>
      </c>
      <c r="BI238" s="5" t="e">
        <f t="shared" si="147"/>
        <v>#N/A</v>
      </c>
      <c r="BJ238"/>
      <c r="BK238"/>
      <c r="BL238"/>
      <c r="BM238"/>
      <c r="BN238"/>
      <c r="BO238"/>
      <c r="BP238"/>
      <c r="BQ238"/>
      <c r="BR238"/>
      <c r="BS238"/>
      <c r="BT238"/>
      <c r="BU238"/>
      <c r="BV238"/>
      <c r="BW238"/>
      <c r="BX238"/>
      <c r="BY238"/>
      <c r="BZ238"/>
      <c r="CA238"/>
      <c r="CB238"/>
      <c r="CC238"/>
      <c r="CD238"/>
      <c r="CE238"/>
      <c r="CF238"/>
    </row>
    <row r="239" spans="1:84" ht="12.75" customHeight="1">
      <c r="A239"/>
      <c r="B239"/>
      <c r="C239"/>
      <c r="D239"/>
      <c r="E239"/>
      <c r="F239"/>
      <c r="G239"/>
      <c r="J239" s="5" t="e">
        <f t="shared" si="123"/>
        <v>#N/A</v>
      </c>
      <c r="K239" s="5" t="e">
        <f t="shared" si="98"/>
        <v>#N/A</v>
      </c>
      <c r="L239" s="5" t="e">
        <f t="shared" si="124"/>
        <v>#N/A</v>
      </c>
      <c r="M239" s="5" t="e">
        <f t="shared" si="99"/>
        <v>#N/A</v>
      </c>
      <c r="Q239" s="5" t="str">
        <f t="shared" si="125"/>
        <v/>
      </c>
      <c r="R239" s="5" t="e">
        <f>IF(Q239="",NA(),COUNTIF(Q239:$Q$293,Q239))</f>
        <v>#N/A</v>
      </c>
      <c r="S239" s="5" t="e">
        <f t="shared" si="126"/>
        <v>#N/A</v>
      </c>
      <c r="T239" s="5" t="e">
        <f t="shared" si="148"/>
        <v>#N/A</v>
      </c>
      <c r="U239" s="5" t="e">
        <f t="shared" si="127"/>
        <v>#N/A</v>
      </c>
      <c r="V239" s="5" t="e">
        <f t="shared" si="128"/>
        <v>#N/A</v>
      </c>
      <c r="W239" s="5" t="str">
        <f t="shared" si="129"/>
        <v/>
      </c>
      <c r="X239" s="5">
        <v>146</v>
      </c>
      <c r="Y239" s="5" t="str">
        <f t="shared" si="130"/>
        <v/>
      </c>
      <c r="Z239" s="5" t="str">
        <f t="shared" si="131"/>
        <v/>
      </c>
      <c r="AA239" s="5" t="str">
        <f t="shared" si="149"/>
        <v/>
      </c>
      <c r="AB239" s="5" t="str">
        <f t="shared" si="132"/>
        <v/>
      </c>
      <c r="AC239" s="5" t="e">
        <f>IF(AB239="",NA(),COUNTIF(AB239:$AB$293,AB239))</f>
        <v>#N/A</v>
      </c>
      <c r="AD239" s="5" t="e">
        <f t="shared" si="133"/>
        <v>#N/A</v>
      </c>
      <c r="AE239" s="5" t="e">
        <f t="shared" si="150"/>
        <v>#N/A</v>
      </c>
      <c r="AF239" s="5" t="e">
        <f t="shared" si="134"/>
        <v>#N/A</v>
      </c>
      <c r="AG239" s="5" t="e">
        <f t="shared" si="135"/>
        <v>#N/A</v>
      </c>
      <c r="AH239" s="5" t="str">
        <f t="shared" si="136"/>
        <v/>
      </c>
      <c r="AI239" s="5" t="str">
        <f t="shared" si="137"/>
        <v/>
      </c>
      <c r="AJ239" s="5" t="str">
        <f t="shared" si="138"/>
        <v/>
      </c>
      <c r="AK239" s="5" t="str">
        <f t="shared" si="139"/>
        <v/>
      </c>
      <c r="AX239" s="5" t="str">
        <f t="shared" si="151"/>
        <v/>
      </c>
      <c r="AY239" s="5" t="e">
        <f t="shared" si="140"/>
        <v>#N/A</v>
      </c>
      <c r="AZ239" s="5" t="str">
        <f t="shared" si="141"/>
        <v/>
      </c>
      <c r="BA239" s="5" t="str">
        <f t="shared" si="142"/>
        <v/>
      </c>
      <c r="BB239" s="5" t="e">
        <f>IF(BA239="",NA(),COUNTIF(BA$193:$BA239,BA239))</f>
        <v>#N/A</v>
      </c>
      <c r="BC239" s="5" t="e">
        <f t="shared" si="143"/>
        <v>#N/A</v>
      </c>
      <c r="BD239" s="5" t="str">
        <f t="shared" si="152"/>
        <v/>
      </c>
      <c r="BE239" s="5" t="e">
        <f t="shared" si="144"/>
        <v>#N/A</v>
      </c>
      <c r="BF239" s="5" t="str">
        <f t="shared" si="145"/>
        <v/>
      </c>
      <c r="BG239" s="5" t="str">
        <f t="shared" si="146"/>
        <v/>
      </c>
      <c r="BH239" s="5" t="e">
        <f>IF(BG239="",NA(),COUNTIF(BG$193:$BG239,BG239))</f>
        <v>#N/A</v>
      </c>
      <c r="BI239" s="5" t="e">
        <f t="shared" si="147"/>
        <v>#N/A</v>
      </c>
      <c r="BJ239"/>
      <c r="BK239"/>
      <c r="BL239"/>
      <c r="BM239"/>
      <c r="BN239"/>
      <c r="BO239"/>
      <c r="BP239"/>
      <c r="BQ239"/>
      <c r="BR239"/>
      <c r="BS239"/>
      <c r="BT239"/>
      <c r="BU239"/>
      <c r="BV239"/>
      <c r="BW239"/>
      <c r="BX239"/>
      <c r="BY239"/>
      <c r="BZ239"/>
      <c r="CA239"/>
      <c r="CB239"/>
      <c r="CC239"/>
      <c r="CD239"/>
      <c r="CE239"/>
      <c r="CF239"/>
    </row>
    <row r="240" spans="1:84" ht="12.75" customHeight="1">
      <c r="A240"/>
      <c r="B240"/>
      <c r="C240"/>
      <c r="D240"/>
      <c r="E240"/>
      <c r="F240"/>
      <c r="G240"/>
      <c r="J240" s="5" t="e">
        <f t="shared" si="123"/>
        <v>#N/A</v>
      </c>
      <c r="K240" s="5" t="e">
        <f t="shared" si="98"/>
        <v>#N/A</v>
      </c>
      <c r="L240" s="5" t="e">
        <f t="shared" si="124"/>
        <v>#N/A</v>
      </c>
      <c r="M240" s="5" t="e">
        <f t="shared" si="99"/>
        <v>#N/A</v>
      </c>
      <c r="Q240" s="5" t="str">
        <f t="shared" si="125"/>
        <v/>
      </c>
      <c r="R240" s="5" t="e">
        <f>IF(Q240="",NA(),COUNTIF(Q240:$Q$293,Q240))</f>
        <v>#N/A</v>
      </c>
      <c r="S240" s="5" t="e">
        <f t="shared" si="126"/>
        <v>#N/A</v>
      </c>
      <c r="T240" s="5" t="e">
        <f t="shared" si="148"/>
        <v>#N/A</v>
      </c>
      <c r="U240" s="5" t="e">
        <f t="shared" si="127"/>
        <v>#N/A</v>
      </c>
      <c r="V240" s="5" t="e">
        <f t="shared" si="128"/>
        <v>#N/A</v>
      </c>
      <c r="W240" s="5" t="str">
        <f t="shared" si="129"/>
        <v/>
      </c>
      <c r="X240" s="5">
        <v>147</v>
      </c>
      <c r="Y240" s="5" t="str">
        <f t="shared" si="130"/>
        <v/>
      </c>
      <c r="Z240" s="5" t="str">
        <f t="shared" si="131"/>
        <v/>
      </c>
      <c r="AA240" s="5" t="str">
        <f t="shared" si="149"/>
        <v/>
      </c>
      <c r="AB240" s="5" t="str">
        <f t="shared" si="132"/>
        <v/>
      </c>
      <c r="AC240" s="5" t="e">
        <f>IF(AB240="",NA(),COUNTIF(AB240:$AB$293,AB240))</f>
        <v>#N/A</v>
      </c>
      <c r="AD240" s="5" t="e">
        <f t="shared" si="133"/>
        <v>#N/A</v>
      </c>
      <c r="AE240" s="5" t="e">
        <f t="shared" si="150"/>
        <v>#N/A</v>
      </c>
      <c r="AF240" s="5" t="e">
        <f t="shared" si="134"/>
        <v>#N/A</v>
      </c>
      <c r="AG240" s="5" t="e">
        <f t="shared" si="135"/>
        <v>#N/A</v>
      </c>
      <c r="AH240" s="5" t="str">
        <f t="shared" si="136"/>
        <v/>
      </c>
      <c r="AI240" s="5" t="str">
        <f t="shared" si="137"/>
        <v/>
      </c>
      <c r="AJ240" s="5" t="str">
        <f t="shared" si="138"/>
        <v/>
      </c>
      <c r="AK240" s="5" t="str">
        <f t="shared" si="139"/>
        <v/>
      </c>
      <c r="AX240" s="5" t="str">
        <f t="shared" si="151"/>
        <v/>
      </c>
      <c r="AY240" s="5" t="e">
        <f t="shared" si="140"/>
        <v>#N/A</v>
      </c>
      <c r="AZ240" s="5" t="str">
        <f t="shared" si="141"/>
        <v/>
      </c>
      <c r="BA240" s="5" t="str">
        <f t="shared" si="142"/>
        <v/>
      </c>
      <c r="BB240" s="5" t="e">
        <f>IF(BA240="",NA(),COUNTIF(BA$193:$BA240,BA240))</f>
        <v>#N/A</v>
      </c>
      <c r="BC240" s="5" t="e">
        <f t="shared" si="143"/>
        <v>#N/A</v>
      </c>
      <c r="BD240" s="5" t="str">
        <f t="shared" si="152"/>
        <v/>
      </c>
      <c r="BE240" s="5" t="e">
        <f t="shared" si="144"/>
        <v>#N/A</v>
      </c>
      <c r="BF240" s="5" t="str">
        <f t="shared" si="145"/>
        <v/>
      </c>
      <c r="BG240" s="5" t="str">
        <f t="shared" si="146"/>
        <v/>
      </c>
      <c r="BH240" s="5" t="e">
        <f>IF(BG240="",NA(),COUNTIF(BG$193:$BG240,BG240))</f>
        <v>#N/A</v>
      </c>
      <c r="BI240" s="5" t="e">
        <f t="shared" si="147"/>
        <v>#N/A</v>
      </c>
      <c r="BJ240"/>
      <c r="BK240"/>
      <c r="BL240"/>
      <c r="BM240"/>
      <c r="BN240"/>
      <c r="BO240"/>
      <c r="BP240"/>
      <c r="BQ240"/>
      <c r="BR240"/>
      <c r="BS240"/>
      <c r="BT240"/>
      <c r="BU240"/>
      <c r="BV240"/>
      <c r="BW240"/>
      <c r="BX240"/>
      <c r="BY240"/>
      <c r="BZ240"/>
      <c r="CA240"/>
      <c r="CB240"/>
      <c r="CC240"/>
      <c r="CD240"/>
      <c r="CE240"/>
      <c r="CF240"/>
    </row>
    <row r="241" spans="1:84" ht="12.75" customHeight="1">
      <c r="A241"/>
      <c r="B241"/>
      <c r="C241"/>
      <c r="D241"/>
      <c r="E241"/>
      <c r="F241"/>
      <c r="G241"/>
      <c r="J241" s="5" t="e">
        <f t="shared" si="123"/>
        <v>#N/A</v>
      </c>
      <c r="K241" s="5" t="e">
        <f t="shared" si="98"/>
        <v>#N/A</v>
      </c>
      <c r="L241" s="5" t="e">
        <f t="shared" si="124"/>
        <v>#N/A</v>
      </c>
      <c r="M241" s="5" t="e">
        <f t="shared" si="99"/>
        <v>#N/A</v>
      </c>
      <c r="Q241" s="5" t="str">
        <f t="shared" si="125"/>
        <v/>
      </c>
      <c r="R241" s="5" t="e">
        <f>IF(Q241="",NA(),COUNTIF(Q241:$Q$293,Q241))</f>
        <v>#N/A</v>
      </c>
      <c r="S241" s="5" t="e">
        <f t="shared" si="126"/>
        <v>#N/A</v>
      </c>
      <c r="T241" s="5" t="e">
        <f t="shared" si="148"/>
        <v>#N/A</v>
      </c>
      <c r="U241" s="5" t="e">
        <f t="shared" si="127"/>
        <v>#N/A</v>
      </c>
      <c r="V241" s="5" t="e">
        <f t="shared" si="128"/>
        <v>#N/A</v>
      </c>
      <c r="W241" s="5" t="str">
        <f t="shared" si="129"/>
        <v/>
      </c>
      <c r="X241" s="5">
        <v>148</v>
      </c>
      <c r="Y241" s="5" t="str">
        <f t="shared" si="130"/>
        <v/>
      </c>
      <c r="Z241" s="5" t="str">
        <f t="shared" si="131"/>
        <v/>
      </c>
      <c r="AA241" s="5" t="str">
        <f t="shared" si="149"/>
        <v/>
      </c>
      <c r="AB241" s="5" t="str">
        <f t="shared" si="132"/>
        <v/>
      </c>
      <c r="AC241" s="5" t="e">
        <f>IF(AB241="",NA(),COUNTIF(AB241:$AB$293,AB241))</f>
        <v>#N/A</v>
      </c>
      <c r="AD241" s="5" t="e">
        <f t="shared" si="133"/>
        <v>#N/A</v>
      </c>
      <c r="AE241" s="5" t="e">
        <f t="shared" si="150"/>
        <v>#N/A</v>
      </c>
      <c r="AF241" s="5" t="e">
        <f t="shared" si="134"/>
        <v>#N/A</v>
      </c>
      <c r="AG241" s="5" t="e">
        <f t="shared" si="135"/>
        <v>#N/A</v>
      </c>
      <c r="AH241" s="5" t="str">
        <f t="shared" si="136"/>
        <v/>
      </c>
      <c r="AI241" s="5" t="str">
        <f t="shared" si="137"/>
        <v/>
      </c>
      <c r="AJ241" s="5" t="str">
        <f t="shared" si="138"/>
        <v/>
      </c>
      <c r="AK241" s="5" t="str">
        <f t="shared" si="139"/>
        <v/>
      </c>
      <c r="AX241" s="5" t="str">
        <f t="shared" si="151"/>
        <v/>
      </c>
      <c r="AY241" s="5" t="e">
        <f t="shared" si="140"/>
        <v>#N/A</v>
      </c>
      <c r="AZ241" s="5" t="str">
        <f t="shared" si="141"/>
        <v/>
      </c>
      <c r="BA241" s="5" t="str">
        <f t="shared" si="142"/>
        <v/>
      </c>
      <c r="BB241" s="5" t="e">
        <f>IF(BA241="",NA(),COUNTIF(BA$193:$BA241,BA241))</f>
        <v>#N/A</v>
      </c>
      <c r="BC241" s="5" t="e">
        <f t="shared" si="143"/>
        <v>#N/A</v>
      </c>
      <c r="BD241" s="5" t="str">
        <f t="shared" si="152"/>
        <v/>
      </c>
      <c r="BE241" s="5" t="e">
        <f t="shared" si="144"/>
        <v>#N/A</v>
      </c>
      <c r="BF241" s="5" t="str">
        <f t="shared" si="145"/>
        <v/>
      </c>
      <c r="BG241" s="5" t="str">
        <f t="shared" si="146"/>
        <v/>
      </c>
      <c r="BH241" s="5" t="e">
        <f>IF(BG241="",NA(),COUNTIF(BG$193:$BG241,BG241))</f>
        <v>#N/A</v>
      </c>
      <c r="BI241" s="5" t="e">
        <f t="shared" si="147"/>
        <v>#N/A</v>
      </c>
      <c r="BJ241"/>
      <c r="BK241"/>
      <c r="BL241"/>
      <c r="BM241"/>
      <c r="BN241"/>
      <c r="BO241"/>
      <c r="BP241"/>
      <c r="BQ241"/>
      <c r="BR241"/>
      <c r="BS241"/>
      <c r="BT241"/>
      <c r="BU241"/>
      <c r="BV241"/>
      <c r="BW241"/>
      <c r="BX241"/>
      <c r="BY241"/>
      <c r="BZ241"/>
      <c r="CA241"/>
      <c r="CB241"/>
      <c r="CC241"/>
      <c r="CD241"/>
      <c r="CE241"/>
      <c r="CF241"/>
    </row>
    <row r="242" spans="1:84" ht="12.75" customHeight="1">
      <c r="A242"/>
      <c r="B242"/>
      <c r="C242"/>
      <c r="D242"/>
      <c r="E242"/>
      <c r="F242"/>
      <c r="G242"/>
      <c r="J242" s="5" t="e">
        <f t="shared" si="123"/>
        <v>#N/A</v>
      </c>
      <c r="K242" s="5" t="e">
        <f t="shared" si="98"/>
        <v>#N/A</v>
      </c>
      <c r="L242" s="5" t="e">
        <f t="shared" si="124"/>
        <v>#N/A</v>
      </c>
      <c r="M242" s="5" t="e">
        <f t="shared" si="99"/>
        <v>#N/A</v>
      </c>
      <c r="Q242" s="5" t="str">
        <f t="shared" si="125"/>
        <v/>
      </c>
      <c r="R242" s="5" t="e">
        <f>IF(Q242="",NA(),COUNTIF(Q242:$Q$293,Q242))</f>
        <v>#N/A</v>
      </c>
      <c r="S242" s="5" t="e">
        <f t="shared" si="126"/>
        <v>#N/A</v>
      </c>
      <c r="T242" s="5" t="e">
        <f t="shared" si="148"/>
        <v>#N/A</v>
      </c>
      <c r="U242" s="5" t="e">
        <f t="shared" si="127"/>
        <v>#N/A</v>
      </c>
      <c r="V242" s="5" t="e">
        <f t="shared" si="128"/>
        <v>#N/A</v>
      </c>
      <c r="W242" s="5" t="str">
        <f t="shared" si="129"/>
        <v/>
      </c>
      <c r="X242" s="5">
        <v>149</v>
      </c>
      <c r="Y242" s="5" t="str">
        <f t="shared" si="130"/>
        <v/>
      </c>
      <c r="Z242" s="5" t="str">
        <f t="shared" si="131"/>
        <v/>
      </c>
      <c r="AA242" s="5" t="str">
        <f t="shared" si="149"/>
        <v/>
      </c>
      <c r="AB242" s="5" t="str">
        <f t="shared" si="132"/>
        <v/>
      </c>
      <c r="AC242" s="5" t="e">
        <f>IF(AB242="",NA(),COUNTIF(AB242:$AB$293,AB242))</f>
        <v>#N/A</v>
      </c>
      <c r="AD242" s="5" t="e">
        <f t="shared" si="133"/>
        <v>#N/A</v>
      </c>
      <c r="AE242" s="5" t="e">
        <f t="shared" si="150"/>
        <v>#N/A</v>
      </c>
      <c r="AF242" s="5" t="e">
        <f t="shared" si="134"/>
        <v>#N/A</v>
      </c>
      <c r="AG242" s="5" t="e">
        <f t="shared" si="135"/>
        <v>#N/A</v>
      </c>
      <c r="AH242" s="5" t="str">
        <f t="shared" si="136"/>
        <v/>
      </c>
      <c r="AI242" s="5" t="str">
        <f t="shared" si="137"/>
        <v/>
      </c>
      <c r="AJ242" s="5" t="str">
        <f t="shared" si="138"/>
        <v/>
      </c>
      <c r="AK242" s="5" t="str">
        <f t="shared" si="139"/>
        <v/>
      </c>
      <c r="AX242" s="5" t="str">
        <f t="shared" si="151"/>
        <v/>
      </c>
      <c r="AY242" s="5" t="e">
        <f t="shared" si="140"/>
        <v>#N/A</v>
      </c>
      <c r="AZ242" s="5" t="str">
        <f t="shared" si="141"/>
        <v/>
      </c>
      <c r="BA242" s="5" t="str">
        <f t="shared" si="142"/>
        <v/>
      </c>
      <c r="BB242" s="5" t="e">
        <f>IF(BA242="",NA(),COUNTIF(BA$193:$BA242,BA242))</f>
        <v>#N/A</v>
      </c>
      <c r="BC242" s="5" t="e">
        <f t="shared" si="143"/>
        <v>#N/A</v>
      </c>
      <c r="BD242" s="5" t="str">
        <f t="shared" si="152"/>
        <v/>
      </c>
      <c r="BE242" s="5" t="e">
        <f t="shared" si="144"/>
        <v>#N/A</v>
      </c>
      <c r="BF242" s="5" t="str">
        <f t="shared" si="145"/>
        <v/>
      </c>
      <c r="BG242" s="5" t="str">
        <f t="shared" si="146"/>
        <v/>
      </c>
      <c r="BH242" s="5" t="e">
        <f>IF(BG242="",NA(),COUNTIF(BG$193:$BG242,BG242))</f>
        <v>#N/A</v>
      </c>
      <c r="BI242" s="5" t="e">
        <f t="shared" si="147"/>
        <v>#N/A</v>
      </c>
      <c r="BJ242"/>
      <c r="BK242"/>
      <c r="BL242"/>
      <c r="BM242"/>
      <c r="BN242"/>
      <c r="BO242"/>
      <c r="BP242"/>
      <c r="BQ242"/>
      <c r="BR242"/>
      <c r="BS242"/>
      <c r="BT242"/>
      <c r="BU242"/>
      <c r="BV242"/>
      <c r="BW242"/>
      <c r="BX242"/>
      <c r="BY242"/>
      <c r="BZ242"/>
      <c r="CA242"/>
      <c r="CB242"/>
      <c r="CC242"/>
      <c r="CD242"/>
      <c r="CE242"/>
      <c r="CF242"/>
    </row>
    <row r="243" spans="1:84" ht="12.75" customHeight="1">
      <c r="A243"/>
      <c r="B243"/>
      <c r="C243"/>
      <c r="D243"/>
      <c r="E243"/>
      <c r="F243"/>
      <c r="G243"/>
      <c r="J243" s="5" t="e">
        <f t="shared" si="123"/>
        <v>#N/A</v>
      </c>
      <c r="K243" s="5" t="e">
        <f t="shared" si="98"/>
        <v>#N/A</v>
      </c>
      <c r="L243" s="5" t="e">
        <f t="shared" si="124"/>
        <v>#N/A</v>
      </c>
      <c r="M243" s="5" t="e">
        <f t="shared" si="99"/>
        <v>#N/A</v>
      </c>
      <c r="Q243" s="5" t="str">
        <f t="shared" si="125"/>
        <v/>
      </c>
      <c r="R243" s="5" t="e">
        <f>IF(Q243="",NA(),COUNTIF(Q243:$Q$293,Q243))</f>
        <v>#N/A</v>
      </c>
      <c r="S243" s="5" t="e">
        <f t="shared" si="126"/>
        <v>#N/A</v>
      </c>
      <c r="T243" s="5" t="e">
        <f t="shared" si="148"/>
        <v>#N/A</v>
      </c>
      <c r="U243" s="5" t="e">
        <f t="shared" si="127"/>
        <v>#N/A</v>
      </c>
      <c r="V243" s="5" t="e">
        <f t="shared" si="128"/>
        <v>#N/A</v>
      </c>
      <c r="W243" s="5" t="str">
        <f t="shared" si="129"/>
        <v/>
      </c>
      <c r="X243" s="5">
        <v>150</v>
      </c>
      <c r="Y243" s="5" t="str">
        <f t="shared" si="130"/>
        <v/>
      </c>
      <c r="Z243" s="5" t="str">
        <f t="shared" si="131"/>
        <v/>
      </c>
      <c r="AA243" s="5" t="str">
        <f t="shared" si="149"/>
        <v/>
      </c>
      <c r="AB243" s="5" t="str">
        <f t="shared" si="132"/>
        <v/>
      </c>
      <c r="AC243" s="5" t="e">
        <f>IF(AB243="",NA(),COUNTIF(AB243:$AB$293,AB243))</f>
        <v>#N/A</v>
      </c>
      <c r="AD243" s="5" t="e">
        <f t="shared" si="133"/>
        <v>#N/A</v>
      </c>
      <c r="AE243" s="5" t="e">
        <f t="shared" si="150"/>
        <v>#N/A</v>
      </c>
      <c r="AF243" s="5" t="e">
        <f t="shared" si="134"/>
        <v>#N/A</v>
      </c>
      <c r="AG243" s="5" t="e">
        <f t="shared" si="135"/>
        <v>#N/A</v>
      </c>
      <c r="AH243" s="5" t="str">
        <f t="shared" si="136"/>
        <v/>
      </c>
      <c r="AI243" s="5" t="str">
        <f t="shared" si="137"/>
        <v/>
      </c>
      <c r="AJ243" s="5" t="str">
        <f t="shared" si="138"/>
        <v/>
      </c>
      <c r="AK243" s="5" t="str">
        <f t="shared" si="139"/>
        <v/>
      </c>
      <c r="AX243" s="5" t="str">
        <f t="shared" si="151"/>
        <v/>
      </c>
      <c r="AY243" s="5" t="e">
        <f t="shared" si="140"/>
        <v>#N/A</v>
      </c>
      <c r="AZ243" s="5" t="str">
        <f t="shared" si="141"/>
        <v/>
      </c>
      <c r="BA243" s="5" t="str">
        <f t="shared" si="142"/>
        <v/>
      </c>
      <c r="BB243" s="5" t="e">
        <f>IF(BA243="",NA(),COUNTIF(BA$193:$BA243,BA243))</f>
        <v>#N/A</v>
      </c>
      <c r="BC243" s="5" t="e">
        <f t="shared" si="143"/>
        <v>#N/A</v>
      </c>
      <c r="BD243" s="5" t="str">
        <f t="shared" si="152"/>
        <v/>
      </c>
      <c r="BE243" s="5" t="e">
        <f t="shared" si="144"/>
        <v>#N/A</v>
      </c>
      <c r="BF243" s="5" t="str">
        <f t="shared" si="145"/>
        <v/>
      </c>
      <c r="BG243" s="5" t="str">
        <f t="shared" si="146"/>
        <v/>
      </c>
      <c r="BH243" s="5" t="e">
        <f>IF(BG243="",NA(),COUNTIF(BG$193:$BG243,BG243))</f>
        <v>#N/A</v>
      </c>
      <c r="BI243" s="5" t="e">
        <f t="shared" si="147"/>
        <v>#N/A</v>
      </c>
      <c r="BJ243"/>
      <c r="BK243"/>
      <c r="BL243"/>
      <c r="BM243"/>
      <c r="BN243"/>
      <c r="BO243"/>
      <c r="BP243"/>
      <c r="BQ243"/>
      <c r="BR243"/>
      <c r="BS243"/>
      <c r="BT243"/>
      <c r="BU243"/>
      <c r="BV243"/>
      <c r="BW243"/>
      <c r="BX243"/>
      <c r="BY243"/>
      <c r="BZ243"/>
      <c r="CA243"/>
      <c r="CB243"/>
      <c r="CC243"/>
      <c r="CD243"/>
      <c r="CE243"/>
      <c r="CF243"/>
    </row>
    <row r="244" spans="1:84" ht="12.75" customHeight="1">
      <c r="A244"/>
      <c r="B244"/>
      <c r="C244"/>
      <c r="D244"/>
      <c r="E244"/>
      <c r="F244"/>
      <c r="G244"/>
      <c r="J244" s="5" t="e">
        <f t="shared" si="123"/>
        <v>#N/A</v>
      </c>
      <c r="K244" s="5" t="e">
        <f t="shared" si="98"/>
        <v>#N/A</v>
      </c>
      <c r="L244" s="5" t="e">
        <f t="shared" si="124"/>
        <v>#N/A</v>
      </c>
      <c r="M244" s="5" t="e">
        <f t="shared" si="99"/>
        <v>#N/A</v>
      </c>
      <c r="Q244" s="5" t="str">
        <f t="shared" si="125"/>
        <v/>
      </c>
      <c r="R244" s="5" t="e">
        <f>IF(Q244="",NA(),COUNTIF(Q244:$Q$293,Q244))</f>
        <v>#N/A</v>
      </c>
      <c r="S244" s="5" t="e">
        <f t="shared" si="126"/>
        <v>#N/A</v>
      </c>
      <c r="T244" s="5" t="e">
        <f t="shared" si="148"/>
        <v>#N/A</v>
      </c>
      <c r="U244" s="5" t="e">
        <f t="shared" si="127"/>
        <v>#N/A</v>
      </c>
      <c r="V244" s="5" t="e">
        <f t="shared" si="128"/>
        <v>#N/A</v>
      </c>
      <c r="W244" s="5" t="str">
        <f t="shared" si="129"/>
        <v/>
      </c>
      <c r="X244" s="5">
        <v>151</v>
      </c>
      <c r="Y244" s="5" t="str">
        <f t="shared" si="130"/>
        <v/>
      </c>
      <c r="Z244" s="5" t="str">
        <f t="shared" si="131"/>
        <v/>
      </c>
      <c r="AA244" s="5" t="str">
        <f t="shared" si="149"/>
        <v/>
      </c>
      <c r="AB244" s="5" t="str">
        <f t="shared" si="132"/>
        <v/>
      </c>
      <c r="AC244" s="5" t="e">
        <f>IF(AB244="",NA(),COUNTIF(AB244:$AB$293,AB244))</f>
        <v>#N/A</v>
      </c>
      <c r="AD244" s="5" t="e">
        <f t="shared" si="133"/>
        <v>#N/A</v>
      </c>
      <c r="AE244" s="5" t="e">
        <f t="shared" si="150"/>
        <v>#N/A</v>
      </c>
      <c r="AF244" s="5" t="e">
        <f t="shared" si="134"/>
        <v>#N/A</v>
      </c>
      <c r="AG244" s="5" t="e">
        <f t="shared" si="135"/>
        <v>#N/A</v>
      </c>
      <c r="AH244" s="5" t="str">
        <f t="shared" si="136"/>
        <v/>
      </c>
      <c r="AI244" s="5" t="str">
        <f t="shared" si="137"/>
        <v/>
      </c>
      <c r="AJ244" s="5" t="str">
        <f t="shared" si="138"/>
        <v/>
      </c>
      <c r="AK244" s="5" t="str">
        <f t="shared" si="139"/>
        <v/>
      </c>
      <c r="AX244" s="5" t="str">
        <f t="shared" si="151"/>
        <v/>
      </c>
      <c r="AY244" s="5" t="e">
        <f t="shared" si="140"/>
        <v>#N/A</v>
      </c>
      <c r="AZ244" s="5" t="str">
        <f t="shared" si="141"/>
        <v/>
      </c>
      <c r="BA244" s="5" t="str">
        <f t="shared" si="142"/>
        <v/>
      </c>
      <c r="BB244" s="5" t="e">
        <f>IF(BA244="",NA(),COUNTIF(BA$193:$BA244,BA244))</f>
        <v>#N/A</v>
      </c>
      <c r="BC244" s="5" t="e">
        <f t="shared" si="143"/>
        <v>#N/A</v>
      </c>
      <c r="BD244" s="5" t="str">
        <f t="shared" si="152"/>
        <v/>
      </c>
      <c r="BE244" s="5" t="e">
        <f t="shared" si="144"/>
        <v>#N/A</v>
      </c>
      <c r="BF244" s="5" t="str">
        <f t="shared" si="145"/>
        <v/>
      </c>
      <c r="BG244" s="5" t="str">
        <f t="shared" si="146"/>
        <v/>
      </c>
      <c r="BH244" s="5" t="e">
        <f>IF(BG244="",NA(),COUNTIF(BG$193:$BG244,BG244))</f>
        <v>#N/A</v>
      </c>
      <c r="BI244" s="5" t="e">
        <f t="shared" si="147"/>
        <v>#N/A</v>
      </c>
      <c r="BJ244"/>
      <c r="BK244"/>
      <c r="BL244"/>
      <c r="BM244"/>
      <c r="BN244"/>
      <c r="BO244"/>
      <c r="BP244"/>
      <c r="BQ244"/>
      <c r="BR244"/>
      <c r="BS244"/>
      <c r="BT244"/>
      <c r="BU244"/>
      <c r="BV244"/>
      <c r="BW244"/>
      <c r="BX244"/>
      <c r="BY244"/>
      <c r="BZ244"/>
      <c r="CA244"/>
      <c r="CB244"/>
      <c r="CC244"/>
      <c r="CD244"/>
      <c r="CE244"/>
      <c r="CF244"/>
    </row>
    <row r="245" spans="1:84" ht="12.75" customHeight="1">
      <c r="A245"/>
      <c r="B245"/>
      <c r="C245"/>
      <c r="D245"/>
      <c r="E245"/>
      <c r="F245"/>
      <c r="G245"/>
      <c r="J245" s="5" t="e">
        <f t="shared" si="123"/>
        <v>#N/A</v>
      </c>
      <c r="K245" s="5" t="e">
        <f t="shared" si="98"/>
        <v>#N/A</v>
      </c>
      <c r="L245" s="5" t="e">
        <f t="shared" si="124"/>
        <v>#N/A</v>
      </c>
      <c r="M245" s="5" t="e">
        <f t="shared" si="99"/>
        <v>#N/A</v>
      </c>
      <c r="Q245" s="5" t="str">
        <f t="shared" si="125"/>
        <v/>
      </c>
      <c r="R245" s="5" t="e">
        <f>IF(Q245="",NA(),COUNTIF(Q245:$Q$293,Q245))</f>
        <v>#N/A</v>
      </c>
      <c r="S245" s="5" t="e">
        <f t="shared" si="126"/>
        <v>#N/A</v>
      </c>
      <c r="T245" s="5" t="e">
        <f t="shared" si="148"/>
        <v>#N/A</v>
      </c>
      <c r="U245" s="5" t="e">
        <f t="shared" si="127"/>
        <v>#N/A</v>
      </c>
      <c r="V245" s="5" t="e">
        <f t="shared" si="128"/>
        <v>#N/A</v>
      </c>
      <c r="W245" s="5" t="str">
        <f t="shared" si="129"/>
        <v/>
      </c>
      <c r="X245" s="5">
        <v>152</v>
      </c>
      <c r="Y245" s="5" t="str">
        <f t="shared" si="130"/>
        <v/>
      </c>
      <c r="Z245" s="5" t="str">
        <f t="shared" si="131"/>
        <v/>
      </c>
      <c r="AA245" s="5" t="str">
        <f t="shared" si="149"/>
        <v/>
      </c>
      <c r="AB245" s="5" t="str">
        <f t="shared" si="132"/>
        <v/>
      </c>
      <c r="AC245" s="5" t="e">
        <f>IF(AB245="",NA(),COUNTIF(AB245:$AB$293,AB245))</f>
        <v>#N/A</v>
      </c>
      <c r="AD245" s="5" t="e">
        <f t="shared" si="133"/>
        <v>#N/A</v>
      </c>
      <c r="AE245" s="5" t="e">
        <f t="shared" si="150"/>
        <v>#N/A</v>
      </c>
      <c r="AF245" s="5" t="e">
        <f t="shared" si="134"/>
        <v>#N/A</v>
      </c>
      <c r="AG245" s="5" t="e">
        <f t="shared" si="135"/>
        <v>#N/A</v>
      </c>
      <c r="AH245" s="5" t="str">
        <f t="shared" si="136"/>
        <v/>
      </c>
      <c r="AI245" s="5" t="str">
        <f t="shared" si="137"/>
        <v/>
      </c>
      <c r="AJ245" s="5" t="str">
        <f t="shared" si="138"/>
        <v/>
      </c>
      <c r="AK245" s="5" t="str">
        <f t="shared" si="139"/>
        <v/>
      </c>
      <c r="AX245" s="5" t="str">
        <f t="shared" si="151"/>
        <v/>
      </c>
      <c r="AY245" s="5" t="e">
        <f t="shared" si="140"/>
        <v>#N/A</v>
      </c>
      <c r="AZ245" s="5" t="str">
        <f t="shared" si="141"/>
        <v/>
      </c>
      <c r="BA245" s="5" t="str">
        <f t="shared" si="142"/>
        <v/>
      </c>
      <c r="BB245" s="5" t="e">
        <f>IF(BA245="",NA(),COUNTIF(BA$193:$BA245,BA245))</f>
        <v>#N/A</v>
      </c>
      <c r="BC245" s="5" t="e">
        <f t="shared" si="143"/>
        <v>#N/A</v>
      </c>
      <c r="BD245" s="5" t="str">
        <f t="shared" si="152"/>
        <v/>
      </c>
      <c r="BE245" s="5" t="e">
        <f t="shared" si="144"/>
        <v>#N/A</v>
      </c>
      <c r="BF245" s="5" t="str">
        <f t="shared" si="145"/>
        <v/>
      </c>
      <c r="BG245" s="5" t="str">
        <f t="shared" si="146"/>
        <v/>
      </c>
      <c r="BH245" s="5" t="e">
        <f>IF(BG245="",NA(),COUNTIF(BG$193:$BG245,BG245))</f>
        <v>#N/A</v>
      </c>
      <c r="BI245" s="5" t="e">
        <f t="shared" si="147"/>
        <v>#N/A</v>
      </c>
      <c r="BJ245"/>
      <c r="BK245"/>
      <c r="BL245"/>
      <c r="BM245"/>
      <c r="BN245"/>
      <c r="BO245"/>
      <c r="BP245"/>
      <c r="BQ245"/>
      <c r="BR245"/>
      <c r="BS245"/>
      <c r="BT245"/>
      <c r="BU245"/>
      <c r="BV245"/>
      <c r="BW245"/>
      <c r="BX245"/>
      <c r="BY245"/>
      <c r="BZ245"/>
      <c r="CA245"/>
      <c r="CB245"/>
      <c r="CC245"/>
      <c r="CD245"/>
      <c r="CE245"/>
      <c r="CF245"/>
    </row>
    <row r="246" spans="1:84" ht="12.75" customHeight="1">
      <c r="A246"/>
      <c r="B246"/>
      <c r="C246"/>
      <c r="D246"/>
      <c r="E246"/>
      <c r="F246"/>
      <c r="G246"/>
      <c r="J246" s="5" t="e">
        <f t="shared" si="123"/>
        <v>#N/A</v>
      </c>
      <c r="K246" s="5" t="e">
        <f t="shared" si="98"/>
        <v>#N/A</v>
      </c>
      <c r="L246" s="5" t="e">
        <f t="shared" si="124"/>
        <v>#N/A</v>
      </c>
      <c r="M246" s="5" t="e">
        <f t="shared" si="99"/>
        <v>#N/A</v>
      </c>
      <c r="Q246" s="5" t="str">
        <f t="shared" si="125"/>
        <v/>
      </c>
      <c r="R246" s="5" t="e">
        <f>IF(Q246="",NA(),COUNTIF(Q246:$Q$293,Q246))</f>
        <v>#N/A</v>
      </c>
      <c r="S246" s="5" t="e">
        <f t="shared" si="126"/>
        <v>#N/A</v>
      </c>
      <c r="T246" s="5" t="e">
        <f t="shared" si="148"/>
        <v>#N/A</v>
      </c>
      <c r="U246" s="5" t="e">
        <f t="shared" si="127"/>
        <v>#N/A</v>
      </c>
      <c r="V246" s="5" t="e">
        <f t="shared" si="128"/>
        <v>#N/A</v>
      </c>
      <c r="W246" s="5" t="str">
        <f t="shared" si="129"/>
        <v/>
      </c>
      <c r="X246" s="5">
        <v>153</v>
      </c>
      <c r="Y246" s="5" t="str">
        <f t="shared" si="130"/>
        <v/>
      </c>
      <c r="Z246" s="5" t="str">
        <f t="shared" si="131"/>
        <v/>
      </c>
      <c r="AA246" s="5" t="str">
        <f t="shared" si="149"/>
        <v/>
      </c>
      <c r="AB246" s="5" t="str">
        <f t="shared" si="132"/>
        <v/>
      </c>
      <c r="AC246" s="5" t="e">
        <f>IF(AB246="",NA(),COUNTIF(AB246:$AB$293,AB246))</f>
        <v>#N/A</v>
      </c>
      <c r="AD246" s="5" t="e">
        <f t="shared" si="133"/>
        <v>#N/A</v>
      </c>
      <c r="AE246" s="5" t="e">
        <f t="shared" si="150"/>
        <v>#N/A</v>
      </c>
      <c r="AF246" s="5" t="e">
        <f t="shared" si="134"/>
        <v>#N/A</v>
      </c>
      <c r="AG246" s="5" t="e">
        <f t="shared" si="135"/>
        <v>#N/A</v>
      </c>
      <c r="AH246" s="5" t="str">
        <f t="shared" si="136"/>
        <v/>
      </c>
      <c r="AI246" s="5" t="str">
        <f t="shared" si="137"/>
        <v/>
      </c>
      <c r="AJ246" s="5" t="str">
        <f t="shared" si="138"/>
        <v/>
      </c>
      <c r="AK246" s="5" t="str">
        <f t="shared" si="139"/>
        <v/>
      </c>
      <c r="AX246" s="5" t="str">
        <f t="shared" si="151"/>
        <v/>
      </c>
      <c r="AY246" s="5" t="e">
        <f t="shared" si="140"/>
        <v>#N/A</v>
      </c>
      <c r="AZ246" s="5" t="str">
        <f t="shared" si="141"/>
        <v/>
      </c>
      <c r="BA246" s="5" t="str">
        <f t="shared" si="142"/>
        <v/>
      </c>
      <c r="BB246" s="5" t="e">
        <f>IF(BA246="",NA(),COUNTIF(BA$193:$BA246,BA246))</f>
        <v>#N/A</v>
      </c>
      <c r="BC246" s="5" t="e">
        <f t="shared" si="143"/>
        <v>#N/A</v>
      </c>
      <c r="BD246" s="5" t="str">
        <f t="shared" si="152"/>
        <v/>
      </c>
      <c r="BE246" s="5" t="e">
        <f t="shared" si="144"/>
        <v>#N/A</v>
      </c>
      <c r="BF246" s="5" t="str">
        <f t="shared" si="145"/>
        <v/>
      </c>
      <c r="BG246" s="5" t="str">
        <f t="shared" si="146"/>
        <v/>
      </c>
      <c r="BH246" s="5" t="e">
        <f>IF(BG246="",NA(),COUNTIF(BG$193:$BG246,BG246))</f>
        <v>#N/A</v>
      </c>
      <c r="BI246" s="5" t="e">
        <f t="shared" si="147"/>
        <v>#N/A</v>
      </c>
      <c r="BJ246"/>
      <c r="BK246"/>
      <c r="BL246"/>
      <c r="BM246"/>
      <c r="BN246"/>
      <c r="BO246"/>
      <c r="BP246"/>
      <c r="BQ246"/>
      <c r="BR246"/>
      <c r="BS246"/>
      <c r="BT246"/>
      <c r="BU246"/>
      <c r="BV246"/>
      <c r="BW246"/>
      <c r="BX246"/>
      <c r="BY246"/>
      <c r="BZ246"/>
      <c r="CA246"/>
      <c r="CB246"/>
      <c r="CC246"/>
      <c r="CD246"/>
      <c r="CE246"/>
      <c r="CF246"/>
    </row>
    <row r="247" spans="1:84" ht="12.75" customHeight="1">
      <c r="A247"/>
      <c r="B247"/>
      <c r="C247"/>
      <c r="D247"/>
      <c r="E247"/>
      <c r="F247"/>
      <c r="G247"/>
      <c r="J247" s="5" t="e">
        <f t="shared" si="123"/>
        <v>#N/A</v>
      </c>
      <c r="K247" s="5" t="e">
        <f t="shared" si="98"/>
        <v>#N/A</v>
      </c>
      <c r="L247" s="5" t="e">
        <f t="shared" si="124"/>
        <v>#N/A</v>
      </c>
      <c r="M247" s="5" t="e">
        <f t="shared" si="99"/>
        <v>#N/A</v>
      </c>
      <c r="Q247" s="5" t="str">
        <f t="shared" si="125"/>
        <v/>
      </c>
      <c r="R247" s="5" t="e">
        <f>IF(Q247="",NA(),COUNTIF(Q247:$Q$293,Q247))</f>
        <v>#N/A</v>
      </c>
      <c r="S247" s="5" t="e">
        <f t="shared" si="126"/>
        <v>#N/A</v>
      </c>
      <c r="T247" s="5" t="e">
        <f t="shared" si="148"/>
        <v>#N/A</v>
      </c>
      <c r="U247" s="5" t="e">
        <f t="shared" si="127"/>
        <v>#N/A</v>
      </c>
      <c r="V247" s="5" t="e">
        <f t="shared" si="128"/>
        <v>#N/A</v>
      </c>
      <c r="W247" s="5" t="str">
        <f t="shared" si="129"/>
        <v/>
      </c>
      <c r="X247" s="5">
        <v>154</v>
      </c>
      <c r="Y247" s="5" t="str">
        <f t="shared" si="130"/>
        <v/>
      </c>
      <c r="Z247" s="5" t="str">
        <f t="shared" si="131"/>
        <v/>
      </c>
      <c r="AA247" s="5" t="str">
        <f t="shared" si="149"/>
        <v/>
      </c>
      <c r="AB247" s="5" t="str">
        <f t="shared" si="132"/>
        <v/>
      </c>
      <c r="AC247" s="5" t="e">
        <f>IF(AB247="",NA(),COUNTIF(AB247:$AB$293,AB247))</f>
        <v>#N/A</v>
      </c>
      <c r="AD247" s="5" t="e">
        <f t="shared" si="133"/>
        <v>#N/A</v>
      </c>
      <c r="AE247" s="5" t="e">
        <f t="shared" si="150"/>
        <v>#N/A</v>
      </c>
      <c r="AF247" s="5" t="e">
        <f t="shared" si="134"/>
        <v>#N/A</v>
      </c>
      <c r="AG247" s="5" t="e">
        <f t="shared" si="135"/>
        <v>#N/A</v>
      </c>
      <c r="AH247" s="5" t="str">
        <f t="shared" si="136"/>
        <v/>
      </c>
      <c r="AI247" s="5" t="str">
        <f t="shared" si="137"/>
        <v/>
      </c>
      <c r="AJ247" s="5" t="str">
        <f t="shared" si="138"/>
        <v/>
      </c>
      <c r="AK247" s="5" t="str">
        <f t="shared" si="139"/>
        <v/>
      </c>
      <c r="AX247" s="5" t="str">
        <f t="shared" si="151"/>
        <v/>
      </c>
      <c r="AY247" s="5" t="e">
        <f t="shared" si="140"/>
        <v>#N/A</v>
      </c>
      <c r="AZ247" s="5" t="str">
        <f t="shared" si="141"/>
        <v/>
      </c>
      <c r="BA247" s="5" t="str">
        <f t="shared" si="142"/>
        <v/>
      </c>
      <c r="BB247" s="5" t="e">
        <f>IF(BA247="",NA(),COUNTIF(BA$193:$BA247,BA247))</f>
        <v>#N/A</v>
      </c>
      <c r="BC247" s="5" t="e">
        <f t="shared" si="143"/>
        <v>#N/A</v>
      </c>
      <c r="BD247" s="5" t="str">
        <f t="shared" si="152"/>
        <v/>
      </c>
      <c r="BE247" s="5" t="e">
        <f t="shared" si="144"/>
        <v>#N/A</v>
      </c>
      <c r="BF247" s="5" t="str">
        <f t="shared" si="145"/>
        <v/>
      </c>
      <c r="BG247" s="5" t="str">
        <f t="shared" si="146"/>
        <v/>
      </c>
      <c r="BH247" s="5" t="e">
        <f>IF(BG247="",NA(),COUNTIF(BG$193:$BG247,BG247))</f>
        <v>#N/A</v>
      </c>
      <c r="BI247" s="5" t="e">
        <f t="shared" si="147"/>
        <v>#N/A</v>
      </c>
      <c r="BJ247"/>
      <c r="BK247"/>
      <c r="BL247"/>
      <c r="BM247"/>
      <c r="BN247"/>
      <c r="BO247"/>
      <c r="BP247"/>
      <c r="BQ247"/>
      <c r="BR247"/>
      <c r="BS247"/>
      <c r="BT247"/>
      <c r="BU247"/>
      <c r="BV247"/>
      <c r="BW247"/>
      <c r="BX247"/>
      <c r="BY247"/>
      <c r="BZ247"/>
      <c r="CA247"/>
      <c r="CB247"/>
      <c r="CC247"/>
      <c r="CD247"/>
      <c r="CE247"/>
      <c r="CF247"/>
    </row>
    <row r="248" spans="1:84" ht="12.75" customHeight="1">
      <c r="A248"/>
      <c r="B248"/>
      <c r="C248"/>
      <c r="D248"/>
      <c r="E248"/>
      <c r="F248"/>
      <c r="G248"/>
      <c r="J248" s="5" t="e">
        <f t="shared" si="123"/>
        <v>#N/A</v>
      </c>
      <c r="K248" s="5" t="e">
        <f t="shared" ref="K248:K283" si="153">IF($AC$91,NA(),IF(AZ258="",NA(),IF($AP$92,AZ258,AY258)))</f>
        <v>#N/A</v>
      </c>
      <c r="L248" s="5" t="e">
        <f t="shared" si="124"/>
        <v>#N/A</v>
      </c>
      <c r="M248" s="5" t="e">
        <f t="shared" ref="M248:M283" si="154">IF($AC$91,NA(),IF(BF258="",NA(),IF($AP$92,BF258,BE258)))</f>
        <v>#N/A</v>
      </c>
      <c r="Q248" s="5" t="str">
        <f t="shared" si="125"/>
        <v/>
      </c>
      <c r="R248" s="5" t="e">
        <f>IF(Q248="",NA(),COUNTIF(Q248:$Q$293,Q248))</f>
        <v>#N/A</v>
      </c>
      <c r="S248" s="5" t="e">
        <f t="shared" si="126"/>
        <v>#N/A</v>
      </c>
      <c r="T248" s="5" t="e">
        <f t="shared" si="148"/>
        <v>#N/A</v>
      </c>
      <c r="U248" s="5" t="e">
        <f t="shared" si="127"/>
        <v>#N/A</v>
      </c>
      <c r="V248" s="5" t="e">
        <f t="shared" si="128"/>
        <v>#N/A</v>
      </c>
      <c r="W248" s="5" t="str">
        <f t="shared" si="129"/>
        <v/>
      </c>
      <c r="X248" s="5">
        <v>155</v>
      </c>
      <c r="Y248" s="5" t="str">
        <f t="shared" si="130"/>
        <v/>
      </c>
      <c r="Z248" s="5" t="str">
        <f t="shared" si="131"/>
        <v/>
      </c>
      <c r="AA248" s="5" t="str">
        <f t="shared" si="149"/>
        <v/>
      </c>
      <c r="AB248" s="5" t="str">
        <f t="shared" si="132"/>
        <v/>
      </c>
      <c r="AC248" s="5" t="e">
        <f>IF(AB248="",NA(),COUNTIF(AB248:$AB$293,AB248))</f>
        <v>#N/A</v>
      </c>
      <c r="AD248" s="5" t="e">
        <f t="shared" si="133"/>
        <v>#N/A</v>
      </c>
      <c r="AE248" s="5" t="e">
        <f t="shared" si="150"/>
        <v>#N/A</v>
      </c>
      <c r="AF248" s="5" t="e">
        <f t="shared" si="134"/>
        <v>#N/A</v>
      </c>
      <c r="AG248" s="5" t="e">
        <f t="shared" si="135"/>
        <v>#N/A</v>
      </c>
      <c r="AH248" s="5" t="str">
        <f t="shared" si="136"/>
        <v/>
      </c>
      <c r="AI248" s="5" t="str">
        <f t="shared" si="137"/>
        <v/>
      </c>
      <c r="AJ248" s="5" t="str">
        <f t="shared" si="138"/>
        <v/>
      </c>
      <c r="AK248" s="5" t="str">
        <f t="shared" si="139"/>
        <v/>
      </c>
      <c r="AX248" s="5" t="str">
        <f t="shared" si="151"/>
        <v/>
      </c>
      <c r="AY248" s="5" t="e">
        <f t="shared" si="140"/>
        <v>#N/A</v>
      </c>
      <c r="AZ248" s="5" t="str">
        <f t="shared" si="141"/>
        <v/>
      </c>
      <c r="BA248" s="5" t="str">
        <f t="shared" si="142"/>
        <v/>
      </c>
      <c r="BB248" s="5" t="e">
        <f>IF(BA248="",NA(),COUNTIF(BA$193:$BA248,BA248))</f>
        <v>#N/A</v>
      </c>
      <c r="BC248" s="5" t="e">
        <f t="shared" si="143"/>
        <v>#N/A</v>
      </c>
      <c r="BD248" s="5" t="str">
        <f t="shared" si="152"/>
        <v/>
      </c>
      <c r="BE248" s="5" t="e">
        <f t="shared" si="144"/>
        <v>#N/A</v>
      </c>
      <c r="BF248" s="5" t="str">
        <f t="shared" si="145"/>
        <v/>
      </c>
      <c r="BG248" s="5" t="str">
        <f t="shared" si="146"/>
        <v/>
      </c>
      <c r="BH248" s="5" t="e">
        <f>IF(BG248="",NA(),COUNTIF(BG$193:$BG248,BG248))</f>
        <v>#N/A</v>
      </c>
      <c r="BI248" s="5" t="e">
        <f t="shared" si="147"/>
        <v>#N/A</v>
      </c>
      <c r="BJ248"/>
      <c r="BK248"/>
      <c r="BL248"/>
      <c r="BM248"/>
      <c r="BN248"/>
      <c r="BO248"/>
      <c r="BP248"/>
      <c r="BQ248"/>
      <c r="BR248"/>
      <c r="BS248"/>
      <c r="BT248"/>
      <c r="BU248"/>
      <c r="BV248"/>
      <c r="BW248"/>
      <c r="BX248"/>
      <c r="BY248"/>
      <c r="BZ248"/>
      <c r="CA248"/>
      <c r="CB248"/>
      <c r="CC248"/>
      <c r="CD248"/>
      <c r="CE248"/>
      <c r="CF248"/>
    </row>
    <row r="249" spans="1:84" ht="12.75" customHeight="1">
      <c r="A249"/>
      <c r="B249"/>
      <c r="C249"/>
      <c r="D249"/>
      <c r="E249"/>
      <c r="F249"/>
      <c r="G249"/>
      <c r="J249" s="5" t="e">
        <f t="shared" si="123"/>
        <v>#N/A</v>
      </c>
      <c r="K249" s="5" t="e">
        <f t="shared" si="153"/>
        <v>#N/A</v>
      </c>
      <c r="L249" s="5" t="e">
        <f t="shared" si="124"/>
        <v>#N/A</v>
      </c>
      <c r="M249" s="5" t="e">
        <f t="shared" si="154"/>
        <v>#N/A</v>
      </c>
      <c r="Q249" s="5" t="str">
        <f t="shared" si="125"/>
        <v/>
      </c>
      <c r="R249" s="5" t="e">
        <f>IF(Q249="",NA(),COUNTIF(Q249:$Q$293,Q249))</f>
        <v>#N/A</v>
      </c>
      <c r="S249" s="5" t="e">
        <f t="shared" si="126"/>
        <v>#N/A</v>
      </c>
      <c r="T249" s="5" t="e">
        <f t="shared" si="148"/>
        <v>#N/A</v>
      </c>
      <c r="U249" s="5" t="e">
        <f t="shared" si="127"/>
        <v>#N/A</v>
      </c>
      <c r="V249" s="5" t="e">
        <f t="shared" si="128"/>
        <v>#N/A</v>
      </c>
      <c r="W249" s="5" t="str">
        <f t="shared" si="129"/>
        <v/>
      </c>
      <c r="X249" s="5">
        <v>156</v>
      </c>
      <c r="Y249" s="5" t="str">
        <f t="shared" si="130"/>
        <v/>
      </c>
      <c r="Z249" s="5" t="str">
        <f t="shared" si="131"/>
        <v/>
      </c>
      <c r="AA249" s="5" t="str">
        <f t="shared" si="149"/>
        <v/>
      </c>
      <c r="AB249" s="5" t="str">
        <f t="shared" si="132"/>
        <v/>
      </c>
      <c r="AC249" s="5" t="e">
        <f>IF(AB249="",NA(),COUNTIF(AB249:$AB$293,AB249))</f>
        <v>#N/A</v>
      </c>
      <c r="AD249" s="5" t="e">
        <f t="shared" si="133"/>
        <v>#N/A</v>
      </c>
      <c r="AE249" s="5" t="e">
        <f t="shared" si="150"/>
        <v>#N/A</v>
      </c>
      <c r="AF249" s="5" t="e">
        <f t="shared" si="134"/>
        <v>#N/A</v>
      </c>
      <c r="AG249" s="5" t="e">
        <f t="shared" si="135"/>
        <v>#N/A</v>
      </c>
      <c r="AH249" s="5" t="str">
        <f t="shared" si="136"/>
        <v/>
      </c>
      <c r="AI249" s="5" t="str">
        <f t="shared" si="137"/>
        <v/>
      </c>
      <c r="AJ249" s="5" t="str">
        <f t="shared" si="138"/>
        <v/>
      </c>
      <c r="AK249" s="5" t="str">
        <f t="shared" si="139"/>
        <v/>
      </c>
      <c r="AX249" s="5" t="str">
        <f t="shared" si="151"/>
        <v/>
      </c>
      <c r="AY249" s="5" t="e">
        <f t="shared" si="140"/>
        <v>#N/A</v>
      </c>
      <c r="AZ249" s="5" t="str">
        <f t="shared" si="141"/>
        <v/>
      </c>
      <c r="BA249" s="5" t="str">
        <f t="shared" si="142"/>
        <v/>
      </c>
      <c r="BB249" s="5" t="e">
        <f>IF(BA249="",NA(),COUNTIF(BA$193:$BA249,BA249))</f>
        <v>#N/A</v>
      </c>
      <c r="BC249" s="5" t="e">
        <f t="shared" si="143"/>
        <v>#N/A</v>
      </c>
      <c r="BD249" s="5" t="str">
        <f t="shared" si="152"/>
        <v/>
      </c>
      <c r="BE249" s="5" t="e">
        <f t="shared" si="144"/>
        <v>#N/A</v>
      </c>
      <c r="BF249" s="5" t="str">
        <f t="shared" si="145"/>
        <v/>
      </c>
      <c r="BG249" s="5" t="str">
        <f t="shared" si="146"/>
        <v/>
      </c>
      <c r="BH249" s="5" t="e">
        <f>IF(BG249="",NA(),COUNTIF(BG$193:$BG249,BG249))</f>
        <v>#N/A</v>
      </c>
      <c r="BI249" s="5" t="e">
        <f t="shared" si="147"/>
        <v>#N/A</v>
      </c>
      <c r="BJ249"/>
      <c r="BK249"/>
      <c r="BL249"/>
      <c r="BM249"/>
      <c r="BN249"/>
      <c r="BO249"/>
      <c r="BP249"/>
      <c r="BQ249"/>
      <c r="BR249"/>
      <c r="BS249"/>
      <c r="BT249"/>
      <c r="BU249"/>
      <c r="BV249"/>
      <c r="BW249"/>
      <c r="BX249"/>
      <c r="BY249"/>
      <c r="BZ249"/>
      <c r="CA249"/>
      <c r="CB249"/>
      <c r="CC249"/>
      <c r="CD249"/>
      <c r="CE249"/>
      <c r="CF249"/>
    </row>
    <row r="250" spans="1:84" ht="12.75" customHeight="1">
      <c r="A250"/>
      <c r="B250"/>
      <c r="C250"/>
      <c r="D250"/>
      <c r="E250"/>
      <c r="F250"/>
      <c r="G250"/>
      <c r="J250" s="5" t="e">
        <f t="shared" si="123"/>
        <v>#N/A</v>
      </c>
      <c r="K250" s="5" t="e">
        <f t="shared" si="153"/>
        <v>#N/A</v>
      </c>
      <c r="L250" s="5" t="e">
        <f t="shared" si="124"/>
        <v>#N/A</v>
      </c>
      <c r="M250" s="5" t="e">
        <f t="shared" si="154"/>
        <v>#N/A</v>
      </c>
      <c r="Q250" s="5" t="str">
        <f t="shared" si="125"/>
        <v/>
      </c>
      <c r="R250" s="5" t="e">
        <f>IF(Q250="",NA(),COUNTIF(Q250:$Q$293,Q250))</f>
        <v>#N/A</v>
      </c>
      <c r="S250" s="5" t="e">
        <f t="shared" si="126"/>
        <v>#N/A</v>
      </c>
      <c r="T250" s="5" t="e">
        <f t="shared" si="148"/>
        <v>#N/A</v>
      </c>
      <c r="U250" s="5" t="e">
        <f t="shared" si="127"/>
        <v>#N/A</v>
      </c>
      <c r="V250" s="5" t="e">
        <f t="shared" si="128"/>
        <v>#N/A</v>
      </c>
      <c r="W250" s="5" t="str">
        <f t="shared" si="129"/>
        <v/>
      </c>
      <c r="X250" s="5">
        <v>157</v>
      </c>
      <c r="Y250" s="5" t="str">
        <f t="shared" si="130"/>
        <v/>
      </c>
      <c r="Z250" s="5" t="str">
        <f t="shared" si="131"/>
        <v/>
      </c>
      <c r="AA250" s="5" t="str">
        <f t="shared" si="149"/>
        <v/>
      </c>
      <c r="AB250" s="5" t="str">
        <f t="shared" si="132"/>
        <v/>
      </c>
      <c r="AC250" s="5" t="e">
        <f>IF(AB250="",NA(),COUNTIF(AB250:$AB$293,AB250))</f>
        <v>#N/A</v>
      </c>
      <c r="AD250" s="5" t="e">
        <f t="shared" si="133"/>
        <v>#N/A</v>
      </c>
      <c r="AE250" s="5" t="e">
        <f t="shared" si="150"/>
        <v>#N/A</v>
      </c>
      <c r="AF250" s="5" t="e">
        <f t="shared" si="134"/>
        <v>#N/A</v>
      </c>
      <c r="AG250" s="5" t="e">
        <f t="shared" si="135"/>
        <v>#N/A</v>
      </c>
      <c r="AH250" s="5" t="str">
        <f t="shared" si="136"/>
        <v/>
      </c>
      <c r="AI250" s="5" t="str">
        <f t="shared" si="137"/>
        <v/>
      </c>
      <c r="AJ250" s="5" t="str">
        <f t="shared" si="138"/>
        <v/>
      </c>
      <c r="AK250" s="5" t="str">
        <f t="shared" si="139"/>
        <v/>
      </c>
      <c r="AX250" s="5" t="str">
        <f t="shared" si="151"/>
        <v/>
      </c>
      <c r="AY250" s="5" t="e">
        <f t="shared" si="140"/>
        <v>#N/A</v>
      </c>
      <c r="AZ250" s="5" t="str">
        <f t="shared" si="141"/>
        <v/>
      </c>
      <c r="BA250" s="5" t="str">
        <f t="shared" si="142"/>
        <v/>
      </c>
      <c r="BB250" s="5" t="e">
        <f>IF(BA250="",NA(),COUNTIF(BA$193:$BA250,BA250))</f>
        <v>#N/A</v>
      </c>
      <c r="BC250" s="5" t="e">
        <f t="shared" si="143"/>
        <v>#N/A</v>
      </c>
      <c r="BD250" s="5" t="str">
        <f t="shared" si="152"/>
        <v/>
      </c>
      <c r="BE250" s="5" t="e">
        <f t="shared" si="144"/>
        <v>#N/A</v>
      </c>
      <c r="BF250" s="5" t="str">
        <f t="shared" si="145"/>
        <v/>
      </c>
      <c r="BG250" s="5" t="str">
        <f t="shared" si="146"/>
        <v/>
      </c>
      <c r="BH250" s="5" t="e">
        <f>IF(BG250="",NA(),COUNTIF(BG$193:$BG250,BG250))</f>
        <v>#N/A</v>
      </c>
      <c r="BI250" s="5" t="e">
        <f t="shared" si="147"/>
        <v>#N/A</v>
      </c>
      <c r="BJ250"/>
      <c r="BK250"/>
      <c r="BL250"/>
      <c r="BM250"/>
      <c r="BN250"/>
      <c r="BO250"/>
      <c r="BP250"/>
      <c r="BQ250"/>
      <c r="BR250"/>
      <c r="BS250"/>
      <c r="BT250"/>
      <c r="BU250"/>
      <c r="BV250"/>
      <c r="BW250"/>
      <c r="BX250"/>
      <c r="BY250"/>
      <c r="BZ250"/>
      <c r="CA250"/>
      <c r="CB250"/>
      <c r="CC250"/>
      <c r="CD250"/>
      <c r="CE250"/>
      <c r="CF250"/>
    </row>
    <row r="251" spans="1:84" ht="12.75" customHeight="1">
      <c r="A251"/>
      <c r="B251"/>
      <c r="C251"/>
      <c r="D251"/>
      <c r="E251"/>
      <c r="F251"/>
      <c r="G251"/>
      <c r="J251" s="5" t="e">
        <f t="shared" si="123"/>
        <v>#N/A</v>
      </c>
      <c r="K251" s="5" t="e">
        <f t="shared" si="153"/>
        <v>#N/A</v>
      </c>
      <c r="L251" s="5" t="e">
        <f t="shared" si="124"/>
        <v>#N/A</v>
      </c>
      <c r="M251" s="5" t="e">
        <f t="shared" si="154"/>
        <v>#N/A</v>
      </c>
      <c r="Q251" s="5" t="str">
        <f t="shared" si="125"/>
        <v/>
      </c>
      <c r="R251" s="5" t="e">
        <f>IF(Q251="",NA(),COUNTIF(Q251:$Q$293,Q251))</f>
        <v>#N/A</v>
      </c>
      <c r="S251" s="5" t="e">
        <f t="shared" si="126"/>
        <v>#N/A</v>
      </c>
      <c r="T251" s="5" t="e">
        <f t="shared" si="148"/>
        <v>#N/A</v>
      </c>
      <c r="U251" s="5" t="e">
        <f t="shared" si="127"/>
        <v>#N/A</v>
      </c>
      <c r="V251" s="5" t="e">
        <f t="shared" si="128"/>
        <v>#N/A</v>
      </c>
      <c r="W251" s="5" t="str">
        <f t="shared" si="129"/>
        <v/>
      </c>
      <c r="X251" s="5">
        <v>158</v>
      </c>
      <c r="Y251" s="5" t="str">
        <f t="shared" si="130"/>
        <v/>
      </c>
      <c r="Z251" s="5" t="str">
        <f t="shared" si="131"/>
        <v/>
      </c>
      <c r="AA251" s="5" t="str">
        <f t="shared" si="149"/>
        <v/>
      </c>
      <c r="AB251" s="5" t="str">
        <f t="shared" si="132"/>
        <v/>
      </c>
      <c r="AC251" s="5" t="e">
        <f>IF(AB251="",NA(),COUNTIF(AB251:$AB$293,AB251))</f>
        <v>#N/A</v>
      </c>
      <c r="AD251" s="5" t="e">
        <f t="shared" si="133"/>
        <v>#N/A</v>
      </c>
      <c r="AE251" s="5" t="e">
        <f t="shared" si="150"/>
        <v>#N/A</v>
      </c>
      <c r="AF251" s="5" t="e">
        <f t="shared" si="134"/>
        <v>#N/A</v>
      </c>
      <c r="AG251" s="5" t="e">
        <f t="shared" si="135"/>
        <v>#N/A</v>
      </c>
      <c r="AH251" s="5" t="str">
        <f t="shared" si="136"/>
        <v/>
      </c>
      <c r="AI251" s="5" t="str">
        <f t="shared" si="137"/>
        <v/>
      </c>
      <c r="AJ251" s="5" t="str">
        <f t="shared" si="138"/>
        <v/>
      </c>
      <c r="AK251" s="5" t="str">
        <f t="shared" si="139"/>
        <v/>
      </c>
      <c r="AX251" s="5" t="str">
        <f t="shared" si="151"/>
        <v/>
      </c>
      <c r="AY251" s="5" t="e">
        <f t="shared" si="140"/>
        <v>#N/A</v>
      </c>
      <c r="AZ251" s="5" t="str">
        <f t="shared" si="141"/>
        <v/>
      </c>
      <c r="BA251" s="5" t="str">
        <f t="shared" si="142"/>
        <v/>
      </c>
      <c r="BB251" s="5" t="e">
        <f>IF(BA251="",NA(),COUNTIF(BA$193:$BA251,BA251))</f>
        <v>#N/A</v>
      </c>
      <c r="BC251" s="5" t="e">
        <f t="shared" si="143"/>
        <v>#N/A</v>
      </c>
      <c r="BD251" s="5" t="str">
        <f t="shared" si="152"/>
        <v/>
      </c>
      <c r="BE251" s="5" t="e">
        <f t="shared" si="144"/>
        <v>#N/A</v>
      </c>
      <c r="BF251" s="5" t="str">
        <f t="shared" si="145"/>
        <v/>
      </c>
      <c r="BG251" s="5" t="str">
        <f t="shared" si="146"/>
        <v/>
      </c>
      <c r="BH251" s="5" t="e">
        <f>IF(BG251="",NA(),COUNTIF(BG$193:$BG251,BG251))</f>
        <v>#N/A</v>
      </c>
      <c r="BI251" s="5" t="e">
        <f t="shared" si="147"/>
        <v>#N/A</v>
      </c>
      <c r="BJ251"/>
      <c r="BK251"/>
      <c r="BL251"/>
      <c r="BM251"/>
      <c r="BN251"/>
      <c r="BO251"/>
      <c r="BP251"/>
      <c r="BQ251"/>
      <c r="BR251"/>
      <c r="BS251"/>
      <c r="BT251"/>
      <c r="BU251"/>
      <c r="BV251"/>
      <c r="BW251"/>
      <c r="BX251"/>
      <c r="BY251"/>
      <c r="BZ251"/>
      <c r="CA251"/>
      <c r="CB251"/>
      <c r="CC251"/>
      <c r="CD251"/>
      <c r="CE251"/>
      <c r="CF251"/>
    </row>
    <row r="252" spans="1:84" ht="12.75" customHeight="1">
      <c r="A252"/>
      <c r="B252"/>
      <c r="C252"/>
      <c r="D252"/>
      <c r="E252"/>
      <c r="F252"/>
      <c r="G252"/>
      <c r="J252" s="5" t="e">
        <f t="shared" si="123"/>
        <v>#N/A</v>
      </c>
      <c r="K252" s="5" t="e">
        <f t="shared" si="153"/>
        <v>#N/A</v>
      </c>
      <c r="L252" s="5" t="e">
        <f t="shared" si="124"/>
        <v>#N/A</v>
      </c>
      <c r="M252" s="5" t="e">
        <f t="shared" si="154"/>
        <v>#N/A</v>
      </c>
      <c r="Q252" s="5" t="str">
        <f t="shared" si="125"/>
        <v/>
      </c>
      <c r="R252" s="5" t="e">
        <f>IF(Q252="",NA(),COUNTIF(Q252:$Q$293,Q252))</f>
        <v>#N/A</v>
      </c>
      <c r="S252" s="5" t="e">
        <f t="shared" si="126"/>
        <v>#N/A</v>
      </c>
      <c r="T252" s="5" t="e">
        <f t="shared" si="148"/>
        <v>#N/A</v>
      </c>
      <c r="U252" s="5" t="e">
        <f t="shared" si="127"/>
        <v>#N/A</v>
      </c>
      <c r="V252" s="5" t="e">
        <f t="shared" si="128"/>
        <v>#N/A</v>
      </c>
      <c r="W252" s="5" t="str">
        <f t="shared" si="129"/>
        <v/>
      </c>
      <c r="X252" s="5">
        <v>159</v>
      </c>
      <c r="Y252" s="5" t="str">
        <f t="shared" si="130"/>
        <v/>
      </c>
      <c r="Z252" s="5" t="str">
        <f t="shared" si="131"/>
        <v/>
      </c>
      <c r="AA252" s="5" t="str">
        <f t="shared" si="149"/>
        <v/>
      </c>
      <c r="AB252" s="5" t="str">
        <f t="shared" si="132"/>
        <v/>
      </c>
      <c r="AC252" s="5" t="e">
        <f>IF(AB252="",NA(),COUNTIF(AB252:$AB$293,AB252))</f>
        <v>#N/A</v>
      </c>
      <c r="AD252" s="5" t="e">
        <f t="shared" si="133"/>
        <v>#N/A</v>
      </c>
      <c r="AE252" s="5" t="e">
        <f t="shared" si="150"/>
        <v>#N/A</v>
      </c>
      <c r="AF252" s="5" t="e">
        <f t="shared" si="134"/>
        <v>#N/A</v>
      </c>
      <c r="AG252" s="5" t="e">
        <f t="shared" si="135"/>
        <v>#N/A</v>
      </c>
      <c r="AH252" s="5" t="str">
        <f t="shared" si="136"/>
        <v/>
      </c>
      <c r="AI252" s="5" t="str">
        <f t="shared" si="137"/>
        <v/>
      </c>
      <c r="AJ252" s="5" t="str">
        <f t="shared" si="138"/>
        <v/>
      </c>
      <c r="AK252" s="5" t="str">
        <f t="shared" si="139"/>
        <v/>
      </c>
      <c r="AX252" s="5" t="str">
        <f t="shared" si="151"/>
        <v/>
      </c>
      <c r="AY252" s="5" t="e">
        <f t="shared" si="140"/>
        <v>#N/A</v>
      </c>
      <c r="AZ252" s="5" t="str">
        <f t="shared" si="141"/>
        <v/>
      </c>
      <c r="BA252" s="5" t="str">
        <f t="shared" si="142"/>
        <v/>
      </c>
      <c r="BB252" s="5" t="e">
        <f>IF(BA252="",NA(),COUNTIF(BA$193:$BA252,BA252))</f>
        <v>#N/A</v>
      </c>
      <c r="BC252" s="5" t="e">
        <f t="shared" si="143"/>
        <v>#N/A</v>
      </c>
      <c r="BD252" s="5" t="str">
        <f t="shared" si="152"/>
        <v/>
      </c>
      <c r="BE252" s="5" t="e">
        <f t="shared" si="144"/>
        <v>#N/A</v>
      </c>
      <c r="BF252" s="5" t="str">
        <f t="shared" si="145"/>
        <v/>
      </c>
      <c r="BG252" s="5" t="str">
        <f t="shared" si="146"/>
        <v/>
      </c>
      <c r="BH252" s="5" t="e">
        <f>IF(BG252="",NA(),COUNTIF(BG$193:$BG252,BG252))</f>
        <v>#N/A</v>
      </c>
      <c r="BI252" s="5" t="e">
        <f t="shared" si="147"/>
        <v>#N/A</v>
      </c>
      <c r="BJ252"/>
      <c r="BK252"/>
      <c r="BL252"/>
      <c r="BM252"/>
      <c r="BN252"/>
      <c r="BO252"/>
      <c r="BP252"/>
      <c r="BQ252"/>
      <c r="BR252"/>
      <c r="BS252"/>
      <c r="BT252"/>
      <c r="BU252"/>
      <c r="BV252"/>
      <c r="BW252"/>
      <c r="BX252"/>
      <c r="BY252"/>
      <c r="BZ252"/>
      <c r="CA252"/>
      <c r="CB252"/>
      <c r="CC252"/>
      <c r="CD252"/>
      <c r="CE252"/>
      <c r="CF252"/>
    </row>
    <row r="253" spans="1:84" ht="12.75" customHeight="1">
      <c r="A253"/>
      <c r="B253"/>
      <c r="C253"/>
      <c r="D253"/>
      <c r="E253"/>
      <c r="F253"/>
      <c r="G253"/>
      <c r="J253" s="5" t="e">
        <f t="shared" si="123"/>
        <v>#N/A</v>
      </c>
      <c r="K253" s="5" t="e">
        <f t="shared" si="153"/>
        <v>#N/A</v>
      </c>
      <c r="L253" s="5" t="e">
        <f t="shared" si="124"/>
        <v>#N/A</v>
      </c>
      <c r="M253" s="5" t="e">
        <f t="shared" si="154"/>
        <v>#N/A</v>
      </c>
      <c r="Q253" s="5" t="str">
        <f t="shared" si="125"/>
        <v/>
      </c>
      <c r="R253" s="5" t="e">
        <f>IF(Q253="",NA(),COUNTIF(Q253:$Q$293,Q253))</f>
        <v>#N/A</v>
      </c>
      <c r="S253" s="5" t="e">
        <f t="shared" si="126"/>
        <v>#N/A</v>
      </c>
      <c r="T253" s="5" t="e">
        <f t="shared" si="148"/>
        <v>#N/A</v>
      </c>
      <c r="U253" s="5" t="e">
        <f t="shared" si="127"/>
        <v>#N/A</v>
      </c>
      <c r="V253" s="5" t="e">
        <f t="shared" si="128"/>
        <v>#N/A</v>
      </c>
      <c r="W253" s="5" t="str">
        <f t="shared" si="129"/>
        <v/>
      </c>
      <c r="X253" s="5">
        <v>160</v>
      </c>
      <c r="Y253" s="5" t="str">
        <f t="shared" si="130"/>
        <v/>
      </c>
      <c r="Z253" s="5" t="str">
        <f t="shared" si="131"/>
        <v/>
      </c>
      <c r="AA253" s="5" t="str">
        <f t="shared" si="149"/>
        <v/>
      </c>
      <c r="AB253" s="5" t="str">
        <f t="shared" si="132"/>
        <v/>
      </c>
      <c r="AC253" s="5" t="e">
        <f>IF(AB253="",NA(),COUNTIF(AB253:$AB$293,AB253))</f>
        <v>#N/A</v>
      </c>
      <c r="AD253" s="5" t="e">
        <f t="shared" si="133"/>
        <v>#N/A</v>
      </c>
      <c r="AE253" s="5" t="e">
        <f t="shared" si="150"/>
        <v>#N/A</v>
      </c>
      <c r="AF253" s="5" t="e">
        <f t="shared" si="134"/>
        <v>#N/A</v>
      </c>
      <c r="AG253" s="5" t="e">
        <f t="shared" si="135"/>
        <v>#N/A</v>
      </c>
      <c r="AH253" s="5" t="str">
        <f t="shared" si="136"/>
        <v/>
      </c>
      <c r="AI253" s="5" t="str">
        <f t="shared" si="137"/>
        <v/>
      </c>
      <c r="AJ253" s="5" t="str">
        <f t="shared" si="138"/>
        <v/>
      </c>
      <c r="AK253" s="5" t="str">
        <f t="shared" si="139"/>
        <v/>
      </c>
      <c r="AX253" s="5" t="str">
        <f t="shared" si="151"/>
        <v/>
      </c>
      <c r="AY253" s="5" t="e">
        <f t="shared" si="140"/>
        <v>#N/A</v>
      </c>
      <c r="AZ253" s="5" t="str">
        <f t="shared" si="141"/>
        <v/>
      </c>
      <c r="BA253" s="5" t="str">
        <f t="shared" si="142"/>
        <v/>
      </c>
      <c r="BB253" s="5" t="e">
        <f>IF(BA253="",NA(),COUNTIF(BA$193:$BA253,BA253))</f>
        <v>#N/A</v>
      </c>
      <c r="BC253" s="5" t="e">
        <f t="shared" si="143"/>
        <v>#N/A</v>
      </c>
      <c r="BD253" s="5" t="str">
        <f t="shared" si="152"/>
        <v/>
      </c>
      <c r="BE253" s="5" t="e">
        <f t="shared" si="144"/>
        <v>#N/A</v>
      </c>
      <c r="BF253" s="5" t="str">
        <f t="shared" si="145"/>
        <v/>
      </c>
      <c r="BG253" s="5" t="str">
        <f t="shared" si="146"/>
        <v/>
      </c>
      <c r="BH253" s="5" t="e">
        <f>IF(BG253="",NA(),COUNTIF(BG$193:$BG253,BG253))</f>
        <v>#N/A</v>
      </c>
      <c r="BI253" s="5" t="e">
        <f t="shared" si="147"/>
        <v>#N/A</v>
      </c>
      <c r="BJ253"/>
      <c r="BK253"/>
      <c r="BL253"/>
      <c r="BM253"/>
      <c r="BN253"/>
      <c r="BO253"/>
      <c r="BP253"/>
      <c r="BQ253"/>
      <c r="BR253"/>
      <c r="BS253"/>
      <c r="BT253"/>
      <c r="BU253"/>
      <c r="BV253"/>
      <c r="BW253"/>
      <c r="BX253"/>
      <c r="BY253"/>
      <c r="BZ253"/>
      <c r="CA253"/>
      <c r="CB253"/>
      <c r="CC253"/>
      <c r="CD253"/>
      <c r="CE253"/>
      <c r="CF253"/>
    </row>
    <row r="254" spans="1:84" ht="12.75" customHeight="1">
      <c r="A254"/>
      <c r="B254"/>
      <c r="C254"/>
      <c r="D254"/>
      <c r="E254"/>
      <c r="F254"/>
      <c r="G254"/>
      <c r="J254" s="5" t="e">
        <f t="shared" si="123"/>
        <v>#N/A</v>
      </c>
      <c r="K254" s="5" t="e">
        <f t="shared" si="153"/>
        <v>#N/A</v>
      </c>
      <c r="L254" s="5" t="e">
        <f t="shared" si="124"/>
        <v>#N/A</v>
      </c>
      <c r="M254" s="5" t="e">
        <f t="shared" si="154"/>
        <v>#N/A</v>
      </c>
      <c r="Q254" s="5" t="str">
        <f t="shared" ref="Q254:Q285" si="155">IF(Y254="","",IF($AF$87=0,Y254,ROUND(Y254/$AF$87,0)))</f>
        <v/>
      </c>
      <c r="R254" s="5" t="e">
        <f>IF(Q254="",NA(),COUNTIF(Q254:$Q$293,Q254))</f>
        <v>#N/A</v>
      </c>
      <c r="S254" s="5" t="e">
        <f t="shared" ref="S254:S285" si="156">(R254-1)*$AF$90</f>
        <v>#N/A</v>
      </c>
      <c r="T254" s="5" t="e">
        <f t="shared" si="148"/>
        <v>#N/A</v>
      </c>
      <c r="U254" s="5" t="e">
        <f t="shared" ref="U254:U285" si="157">IF(X254&gt;$X$89,NA(),IF(OR(X254&lt;=$X$90,X254&gt;$X$89-$X$90),IF($AP$92,W254,Y254),NA()))</f>
        <v>#N/A</v>
      </c>
      <c r="V254" s="5" t="e">
        <f t="shared" ref="V254:V285" si="158">IF(X254&gt;$X$89,NA(),IF(AND(X254&gt;$X$90,X254&lt;=$X$89-$X$90),IF($AP$92,W254,Y254),NA()))</f>
        <v>#N/A</v>
      </c>
      <c r="W254" s="5" t="str">
        <f t="shared" ref="W254:W285" si="159">IF(X254&gt;$X$89,"",LARGE($AZ$94:$AZ$293,X254))</f>
        <v/>
      </c>
      <c r="X254" s="5">
        <v>161</v>
      </c>
      <c r="Y254" s="5" t="str">
        <f t="shared" ref="Y254:Y285" si="160">IF(X254&gt;$X$89,"",LARGE($AX$94:$AX$293,X254))</f>
        <v/>
      </c>
      <c r="Z254" s="5" t="str">
        <f t="shared" ref="Z254:Z285" si="161">IF(X254&gt;$X$89,"",IF(AND(X254&gt;$X$90,X254&lt;=$X$89-$X$90),Y254,""))</f>
        <v/>
      </c>
      <c r="AA254" s="5" t="str">
        <f t="shared" si="149"/>
        <v/>
      </c>
      <c r="AB254" s="5" t="str">
        <f t="shared" ref="AB254:AB285" si="162">IF(AI254="","",IF($AF$87=0,AI254,ROUND(AI254/$AF$87,0)))</f>
        <v/>
      </c>
      <c r="AC254" s="5" t="e">
        <f>IF(AB254="",NA(),COUNTIF(AB254:$AB$293,AB254))</f>
        <v>#N/A</v>
      </c>
      <c r="AD254" s="5" t="e">
        <f t="shared" ref="AD254:AD285" si="163">(AC254-1)*$AF$90</f>
        <v>#N/A</v>
      </c>
      <c r="AE254" s="5" t="e">
        <f t="shared" si="150"/>
        <v>#N/A</v>
      </c>
      <c r="AF254" s="5" t="e">
        <f t="shared" ref="AF254:AF285" si="164">IF(X254&gt;$AC$89,NA(),IF(OR(X254&lt;=$AC$90,X254&gt;$AC$89-$AC$90),IF($AP$92,AH254,AI254),NA()))</f>
        <v>#N/A</v>
      </c>
      <c r="AG254" s="5" t="e">
        <f t="shared" ref="AG254:AG285" si="165">IF(X254&gt;$AC$89,NA(),IF(AND(X254&gt;$AC$90,X254&lt;=$AC$89-$AC$90),IF($AP$92,AH254,AI254),NA()))</f>
        <v>#N/A</v>
      </c>
      <c r="AH254" s="5" t="str">
        <f t="shared" ref="AH254:AH285" si="166">IF(X254&gt;$AC$89,"",LARGE($BF$94:$BF$293,X254))</f>
        <v/>
      </c>
      <c r="AI254" s="5" t="str">
        <f t="shared" ref="AI254:AI285" si="167">IF(X254&gt;$AC$89,"",LARGE($BD$94:$BD$293,X254))</f>
        <v/>
      </c>
      <c r="AJ254" s="5" t="str">
        <f t="shared" ref="AJ254:AJ285" si="168">IF(X254&gt;$AC$89,"",IF(AND(X254&gt;$AC$90,X254&lt;=$AC$89-$AC$90),AI254,""))</f>
        <v/>
      </c>
      <c r="AK254" s="5" t="str">
        <f t="shared" ref="AK254:AK285" si="169">IF(X254&gt;$AC$89,"",IF(AND(X254&gt;$AC$90,X254&lt;=$AC$89-$AC$90),AI254,IF(X254&lt;=$AC$90,$AJ$90,$AJ$91)))</f>
        <v/>
      </c>
      <c r="AX254" s="5" t="str">
        <f t="shared" si="151"/>
        <v/>
      </c>
      <c r="AY254" s="5" t="e">
        <f t="shared" ref="AY254:AY285" si="170">IF(AND($AO$97,NOT(B169=""),$AO$95),B169,NA())</f>
        <v>#N/A</v>
      </c>
      <c r="AZ254" s="5" t="str">
        <f t="shared" ref="AZ254:AZ285" si="171">IF(BA254="","",IF($AF$87=0,AY254,BA254*$AF$87))</f>
        <v/>
      </c>
      <c r="BA254" s="5" t="str">
        <f t="shared" ref="BA254:BA285" si="172">IF(ISNA(AY254),"",IF($AF$87=0,AY254,ROUND(AY254/$AF$87,0)))</f>
        <v/>
      </c>
      <c r="BB254" s="5" t="e">
        <f>IF(BA254="",NA(),COUNTIF(BA$193:$BA254,BA254))</f>
        <v>#N/A</v>
      </c>
      <c r="BC254" s="5" t="e">
        <f t="shared" ref="BC254:BC285" si="173">(BB254-1)*$AF$90</f>
        <v>#N/A</v>
      </c>
      <c r="BD254" s="5" t="str">
        <f t="shared" si="152"/>
        <v/>
      </c>
      <c r="BE254" s="5" t="e">
        <f t="shared" ref="BE254:BE285" si="174">IF(AND($AO$97,NOT(E169=""),$AO$96),E169,NA())</f>
        <v>#N/A</v>
      </c>
      <c r="BF254" s="5" t="str">
        <f t="shared" ref="BF254:BF285" si="175">IF(BG254="","",IF($AF$87=0,BE254,BG254*$AF$87))</f>
        <v/>
      </c>
      <c r="BG254" s="5" t="str">
        <f t="shared" ref="BG254:BG285" si="176">IF(ISNA(BE254),"",IF($AF$87=0,BE254,ROUND(BE254/$AF$87,0)))</f>
        <v/>
      </c>
      <c r="BH254" s="5" t="e">
        <f>IF(BG254="",NA(),COUNTIF(BG$193:$BG254,BG254))</f>
        <v>#N/A</v>
      </c>
      <c r="BI254" s="5" t="e">
        <f t="shared" ref="BI254:BI285" si="177">(BH254-1)*$AF$90</f>
        <v>#N/A</v>
      </c>
      <c r="BJ254"/>
      <c r="BK254"/>
      <c r="BL254"/>
      <c r="BM254"/>
      <c r="BN254"/>
      <c r="BO254"/>
      <c r="BP254"/>
      <c r="BQ254"/>
      <c r="BR254"/>
      <c r="BS254"/>
      <c r="BT254"/>
      <c r="BU254"/>
      <c r="BV254"/>
      <c r="BW254"/>
      <c r="BX254"/>
      <c r="BY254"/>
      <c r="BZ254"/>
      <c r="CA254"/>
      <c r="CB254"/>
      <c r="CC254"/>
      <c r="CD254"/>
      <c r="CE254"/>
      <c r="CF254"/>
    </row>
    <row r="255" spans="1:84" ht="12.75" customHeight="1">
      <c r="A255"/>
      <c r="B255"/>
      <c r="C255"/>
      <c r="D255"/>
      <c r="E255"/>
      <c r="F255"/>
      <c r="G255"/>
      <c r="J255" s="5" t="e">
        <f t="shared" si="123"/>
        <v>#N/A</v>
      </c>
      <c r="K255" s="5" t="e">
        <f t="shared" si="153"/>
        <v>#N/A</v>
      </c>
      <c r="L255" s="5" t="e">
        <f t="shared" si="124"/>
        <v>#N/A</v>
      </c>
      <c r="M255" s="5" t="e">
        <f t="shared" si="154"/>
        <v>#N/A</v>
      </c>
      <c r="Q255" s="5" t="str">
        <f t="shared" si="155"/>
        <v/>
      </c>
      <c r="R255" s="5" t="e">
        <f>IF(Q255="",NA(),COUNTIF(Q255:$Q$293,Q255))</f>
        <v>#N/A</v>
      </c>
      <c r="S255" s="5" t="e">
        <f t="shared" si="156"/>
        <v>#N/A</v>
      </c>
      <c r="T255" s="5" t="e">
        <f t="shared" si="148"/>
        <v>#N/A</v>
      </c>
      <c r="U255" s="5" t="e">
        <f t="shared" si="157"/>
        <v>#N/A</v>
      </c>
      <c r="V255" s="5" t="e">
        <f t="shared" si="158"/>
        <v>#N/A</v>
      </c>
      <c r="W255" s="5" t="str">
        <f t="shared" si="159"/>
        <v/>
      </c>
      <c r="X255" s="5">
        <v>162</v>
      </c>
      <c r="Y255" s="5" t="str">
        <f t="shared" si="160"/>
        <v/>
      </c>
      <c r="Z255" s="5" t="str">
        <f t="shared" si="161"/>
        <v/>
      </c>
      <c r="AA255" s="5" t="str">
        <f t="shared" si="149"/>
        <v/>
      </c>
      <c r="AB255" s="5" t="str">
        <f t="shared" si="162"/>
        <v/>
      </c>
      <c r="AC255" s="5" t="e">
        <f>IF(AB255="",NA(),COUNTIF(AB255:$AB$293,AB255))</f>
        <v>#N/A</v>
      </c>
      <c r="AD255" s="5" t="e">
        <f t="shared" si="163"/>
        <v>#N/A</v>
      </c>
      <c r="AE255" s="5" t="e">
        <f t="shared" si="150"/>
        <v>#N/A</v>
      </c>
      <c r="AF255" s="5" t="e">
        <f t="shared" si="164"/>
        <v>#N/A</v>
      </c>
      <c r="AG255" s="5" t="e">
        <f t="shared" si="165"/>
        <v>#N/A</v>
      </c>
      <c r="AH255" s="5" t="str">
        <f t="shared" si="166"/>
        <v/>
      </c>
      <c r="AI255" s="5" t="str">
        <f t="shared" si="167"/>
        <v/>
      </c>
      <c r="AJ255" s="5" t="str">
        <f t="shared" si="168"/>
        <v/>
      </c>
      <c r="AK255" s="5" t="str">
        <f t="shared" si="169"/>
        <v/>
      </c>
      <c r="AX255" s="5" t="str">
        <f t="shared" si="151"/>
        <v/>
      </c>
      <c r="AY255" s="5" t="e">
        <f t="shared" si="170"/>
        <v>#N/A</v>
      </c>
      <c r="AZ255" s="5" t="str">
        <f t="shared" si="171"/>
        <v/>
      </c>
      <c r="BA255" s="5" t="str">
        <f t="shared" si="172"/>
        <v/>
      </c>
      <c r="BB255" s="5" t="e">
        <f>IF(BA255="",NA(),COUNTIF(BA$193:$BA255,BA255))</f>
        <v>#N/A</v>
      </c>
      <c r="BC255" s="5" t="e">
        <f t="shared" si="173"/>
        <v>#N/A</v>
      </c>
      <c r="BD255" s="5" t="str">
        <f t="shared" si="152"/>
        <v/>
      </c>
      <c r="BE255" s="5" t="e">
        <f t="shared" si="174"/>
        <v>#N/A</v>
      </c>
      <c r="BF255" s="5" t="str">
        <f t="shared" si="175"/>
        <v/>
      </c>
      <c r="BG255" s="5" t="str">
        <f t="shared" si="176"/>
        <v/>
      </c>
      <c r="BH255" s="5" t="e">
        <f>IF(BG255="",NA(),COUNTIF(BG$193:$BG255,BG255))</f>
        <v>#N/A</v>
      </c>
      <c r="BI255" s="5" t="e">
        <f t="shared" si="177"/>
        <v>#N/A</v>
      </c>
      <c r="BJ255"/>
      <c r="BK255"/>
      <c r="BL255"/>
      <c r="BM255"/>
      <c r="BN255"/>
      <c r="BO255"/>
      <c r="BP255"/>
      <c r="BQ255"/>
      <c r="BR255"/>
      <c r="BS255"/>
      <c r="BT255"/>
      <c r="BU255"/>
      <c r="BV255"/>
      <c r="BW255"/>
      <c r="BX255"/>
      <c r="BY255"/>
      <c r="BZ255"/>
      <c r="CA255"/>
      <c r="CB255"/>
      <c r="CC255"/>
      <c r="CD255"/>
      <c r="CE255"/>
      <c r="CF255"/>
    </row>
    <row r="256" spans="1:84" ht="12.75" customHeight="1">
      <c r="A256"/>
      <c r="B256"/>
      <c r="C256"/>
      <c r="D256"/>
      <c r="E256"/>
      <c r="F256"/>
      <c r="G256"/>
      <c r="J256" s="5" t="e">
        <f t="shared" si="123"/>
        <v>#N/A</v>
      </c>
      <c r="K256" s="5" t="e">
        <f t="shared" si="153"/>
        <v>#N/A</v>
      </c>
      <c r="L256" s="5" t="e">
        <f t="shared" si="124"/>
        <v>#N/A</v>
      </c>
      <c r="M256" s="5" t="e">
        <f t="shared" si="154"/>
        <v>#N/A</v>
      </c>
      <c r="Q256" s="5" t="str">
        <f t="shared" si="155"/>
        <v/>
      </c>
      <c r="R256" s="5" t="e">
        <f>IF(Q256="",NA(),COUNTIF(Q256:$Q$293,Q256))</f>
        <v>#N/A</v>
      </c>
      <c r="S256" s="5" t="e">
        <f t="shared" si="156"/>
        <v>#N/A</v>
      </c>
      <c r="T256" s="5" t="e">
        <f t="shared" si="148"/>
        <v>#N/A</v>
      </c>
      <c r="U256" s="5" t="e">
        <f t="shared" si="157"/>
        <v>#N/A</v>
      </c>
      <c r="V256" s="5" t="e">
        <f t="shared" si="158"/>
        <v>#N/A</v>
      </c>
      <c r="W256" s="5" t="str">
        <f t="shared" si="159"/>
        <v/>
      </c>
      <c r="X256" s="5">
        <v>163</v>
      </c>
      <c r="Y256" s="5" t="str">
        <f t="shared" si="160"/>
        <v/>
      </c>
      <c r="Z256" s="5" t="str">
        <f t="shared" si="161"/>
        <v/>
      </c>
      <c r="AA256" s="5" t="str">
        <f t="shared" si="149"/>
        <v/>
      </c>
      <c r="AB256" s="5" t="str">
        <f t="shared" si="162"/>
        <v/>
      </c>
      <c r="AC256" s="5" t="e">
        <f>IF(AB256="",NA(),COUNTIF(AB256:$AB$293,AB256))</f>
        <v>#N/A</v>
      </c>
      <c r="AD256" s="5" t="e">
        <f t="shared" si="163"/>
        <v>#N/A</v>
      </c>
      <c r="AE256" s="5" t="e">
        <f t="shared" si="150"/>
        <v>#N/A</v>
      </c>
      <c r="AF256" s="5" t="e">
        <f t="shared" si="164"/>
        <v>#N/A</v>
      </c>
      <c r="AG256" s="5" t="e">
        <f t="shared" si="165"/>
        <v>#N/A</v>
      </c>
      <c r="AH256" s="5" t="str">
        <f t="shared" si="166"/>
        <v/>
      </c>
      <c r="AI256" s="5" t="str">
        <f t="shared" si="167"/>
        <v/>
      </c>
      <c r="AJ256" s="5" t="str">
        <f t="shared" si="168"/>
        <v/>
      </c>
      <c r="AK256" s="5" t="str">
        <f t="shared" si="169"/>
        <v/>
      </c>
      <c r="AX256" s="5" t="str">
        <f t="shared" si="151"/>
        <v/>
      </c>
      <c r="AY256" s="5" t="e">
        <f t="shared" si="170"/>
        <v>#N/A</v>
      </c>
      <c r="AZ256" s="5" t="str">
        <f t="shared" si="171"/>
        <v/>
      </c>
      <c r="BA256" s="5" t="str">
        <f t="shared" si="172"/>
        <v/>
      </c>
      <c r="BB256" s="5" t="e">
        <f>IF(BA256="",NA(),COUNTIF(BA$193:$BA256,BA256))</f>
        <v>#N/A</v>
      </c>
      <c r="BC256" s="5" t="e">
        <f t="shared" si="173"/>
        <v>#N/A</v>
      </c>
      <c r="BD256" s="5" t="str">
        <f t="shared" si="152"/>
        <v/>
      </c>
      <c r="BE256" s="5" t="e">
        <f t="shared" si="174"/>
        <v>#N/A</v>
      </c>
      <c r="BF256" s="5" t="str">
        <f t="shared" si="175"/>
        <v/>
      </c>
      <c r="BG256" s="5" t="str">
        <f t="shared" si="176"/>
        <v/>
      </c>
      <c r="BH256" s="5" t="e">
        <f>IF(BG256="",NA(),COUNTIF(BG$193:$BG256,BG256))</f>
        <v>#N/A</v>
      </c>
      <c r="BI256" s="5" t="e">
        <f t="shared" si="177"/>
        <v>#N/A</v>
      </c>
      <c r="BJ256"/>
      <c r="BK256"/>
      <c r="BL256"/>
      <c r="BM256"/>
      <c r="BN256"/>
      <c r="BO256"/>
      <c r="BP256"/>
      <c r="BQ256"/>
      <c r="BR256"/>
      <c r="BS256"/>
      <c r="BT256"/>
      <c r="BU256"/>
      <c r="BV256"/>
      <c r="BW256"/>
      <c r="BX256"/>
      <c r="BY256"/>
      <c r="BZ256"/>
      <c r="CA256"/>
      <c r="CB256"/>
      <c r="CC256"/>
      <c r="CD256"/>
      <c r="CE256"/>
      <c r="CF256"/>
    </row>
    <row r="257" spans="1:84" ht="12.75" customHeight="1">
      <c r="A257"/>
      <c r="B257"/>
      <c r="C257"/>
      <c r="D257"/>
      <c r="E257"/>
      <c r="F257"/>
      <c r="G257"/>
      <c r="J257" s="5" t="e">
        <f t="shared" si="123"/>
        <v>#N/A</v>
      </c>
      <c r="K257" s="5" t="e">
        <f t="shared" si="153"/>
        <v>#N/A</v>
      </c>
      <c r="L257" s="5" t="e">
        <f t="shared" si="124"/>
        <v>#N/A</v>
      </c>
      <c r="M257" s="5" t="e">
        <f t="shared" si="154"/>
        <v>#N/A</v>
      </c>
      <c r="Q257" s="5" t="str">
        <f t="shared" si="155"/>
        <v/>
      </c>
      <c r="R257" s="5" t="e">
        <f>IF(Q257="",NA(),COUNTIF(Q257:$Q$293,Q257))</f>
        <v>#N/A</v>
      </c>
      <c r="S257" s="5" t="e">
        <f t="shared" si="156"/>
        <v>#N/A</v>
      </c>
      <c r="T257" s="5" t="e">
        <f t="shared" si="148"/>
        <v>#N/A</v>
      </c>
      <c r="U257" s="5" t="e">
        <f t="shared" si="157"/>
        <v>#N/A</v>
      </c>
      <c r="V257" s="5" t="e">
        <f t="shared" si="158"/>
        <v>#N/A</v>
      </c>
      <c r="W257" s="5" t="str">
        <f t="shared" si="159"/>
        <v/>
      </c>
      <c r="X257" s="5">
        <v>164</v>
      </c>
      <c r="Y257" s="5" t="str">
        <f t="shared" si="160"/>
        <v/>
      </c>
      <c r="Z257" s="5" t="str">
        <f t="shared" si="161"/>
        <v/>
      </c>
      <c r="AA257" s="5" t="str">
        <f t="shared" si="149"/>
        <v/>
      </c>
      <c r="AB257" s="5" t="str">
        <f t="shared" si="162"/>
        <v/>
      </c>
      <c r="AC257" s="5" t="e">
        <f>IF(AB257="",NA(),COUNTIF(AB257:$AB$293,AB257))</f>
        <v>#N/A</v>
      </c>
      <c r="AD257" s="5" t="e">
        <f t="shared" si="163"/>
        <v>#N/A</v>
      </c>
      <c r="AE257" s="5" t="e">
        <f t="shared" si="150"/>
        <v>#N/A</v>
      </c>
      <c r="AF257" s="5" t="e">
        <f t="shared" si="164"/>
        <v>#N/A</v>
      </c>
      <c r="AG257" s="5" t="e">
        <f t="shared" si="165"/>
        <v>#N/A</v>
      </c>
      <c r="AH257" s="5" t="str">
        <f t="shared" si="166"/>
        <v/>
      </c>
      <c r="AI257" s="5" t="str">
        <f t="shared" si="167"/>
        <v/>
      </c>
      <c r="AJ257" s="5" t="str">
        <f t="shared" si="168"/>
        <v/>
      </c>
      <c r="AK257" s="5" t="str">
        <f t="shared" si="169"/>
        <v/>
      </c>
      <c r="AX257" s="5" t="str">
        <f t="shared" si="151"/>
        <v/>
      </c>
      <c r="AY257" s="5" t="e">
        <f t="shared" si="170"/>
        <v>#N/A</v>
      </c>
      <c r="AZ257" s="5" t="str">
        <f t="shared" si="171"/>
        <v/>
      </c>
      <c r="BA257" s="5" t="str">
        <f t="shared" si="172"/>
        <v/>
      </c>
      <c r="BB257" s="5" t="e">
        <f>IF(BA257="",NA(),COUNTIF(BA$193:$BA257,BA257))</f>
        <v>#N/A</v>
      </c>
      <c r="BC257" s="5" t="e">
        <f t="shared" si="173"/>
        <v>#N/A</v>
      </c>
      <c r="BD257" s="5" t="str">
        <f t="shared" si="152"/>
        <v/>
      </c>
      <c r="BE257" s="5" t="e">
        <f t="shared" si="174"/>
        <v>#N/A</v>
      </c>
      <c r="BF257" s="5" t="str">
        <f t="shared" si="175"/>
        <v/>
      </c>
      <c r="BG257" s="5" t="str">
        <f t="shared" si="176"/>
        <v/>
      </c>
      <c r="BH257" s="5" t="e">
        <f>IF(BG257="",NA(),COUNTIF(BG$193:$BG257,BG257))</f>
        <v>#N/A</v>
      </c>
      <c r="BI257" s="5" t="e">
        <f t="shared" si="177"/>
        <v>#N/A</v>
      </c>
      <c r="BJ257"/>
      <c r="BK257"/>
      <c r="BL257"/>
      <c r="BM257"/>
      <c r="BN257"/>
      <c r="BO257"/>
      <c r="BP257"/>
      <c r="BQ257"/>
      <c r="BR257"/>
      <c r="BS257"/>
      <c r="BT257"/>
      <c r="BU257"/>
      <c r="BV257"/>
      <c r="BW257"/>
      <c r="BX257"/>
      <c r="BY257"/>
      <c r="BZ257"/>
      <c r="CA257"/>
      <c r="CB257"/>
      <c r="CC257"/>
      <c r="CD257"/>
      <c r="CE257"/>
      <c r="CF257"/>
    </row>
    <row r="258" spans="1:84" ht="12.75" customHeight="1">
      <c r="A258"/>
      <c r="B258"/>
      <c r="C258"/>
      <c r="D258"/>
      <c r="E258"/>
      <c r="F258"/>
      <c r="G258"/>
      <c r="J258" s="5" t="e">
        <f t="shared" si="123"/>
        <v>#N/A</v>
      </c>
      <c r="K258" s="5" t="e">
        <f t="shared" si="153"/>
        <v>#N/A</v>
      </c>
      <c r="L258" s="5" t="e">
        <f t="shared" si="124"/>
        <v>#N/A</v>
      </c>
      <c r="M258" s="5" t="e">
        <f t="shared" si="154"/>
        <v>#N/A</v>
      </c>
      <c r="Q258" s="5" t="str">
        <f t="shared" si="155"/>
        <v/>
      </c>
      <c r="R258" s="5" t="e">
        <f>IF(Q258="",NA(),COUNTIF(Q258:$Q$293,Q258))</f>
        <v>#N/A</v>
      </c>
      <c r="S258" s="5" t="e">
        <f t="shared" si="156"/>
        <v>#N/A</v>
      </c>
      <c r="T258" s="5" t="e">
        <f t="shared" si="148"/>
        <v>#N/A</v>
      </c>
      <c r="U258" s="5" t="e">
        <f t="shared" si="157"/>
        <v>#N/A</v>
      </c>
      <c r="V258" s="5" t="e">
        <f t="shared" si="158"/>
        <v>#N/A</v>
      </c>
      <c r="W258" s="5" t="str">
        <f t="shared" si="159"/>
        <v/>
      </c>
      <c r="X258" s="5">
        <v>165</v>
      </c>
      <c r="Y258" s="5" t="str">
        <f t="shared" si="160"/>
        <v/>
      </c>
      <c r="Z258" s="5" t="str">
        <f t="shared" si="161"/>
        <v/>
      </c>
      <c r="AA258" s="5" t="str">
        <f t="shared" si="149"/>
        <v/>
      </c>
      <c r="AB258" s="5" t="str">
        <f t="shared" si="162"/>
        <v/>
      </c>
      <c r="AC258" s="5" t="e">
        <f>IF(AB258="",NA(),COUNTIF(AB258:$AB$293,AB258))</f>
        <v>#N/A</v>
      </c>
      <c r="AD258" s="5" t="e">
        <f t="shared" si="163"/>
        <v>#N/A</v>
      </c>
      <c r="AE258" s="5" t="e">
        <f t="shared" si="150"/>
        <v>#N/A</v>
      </c>
      <c r="AF258" s="5" t="e">
        <f t="shared" si="164"/>
        <v>#N/A</v>
      </c>
      <c r="AG258" s="5" t="e">
        <f t="shared" si="165"/>
        <v>#N/A</v>
      </c>
      <c r="AH258" s="5" t="str">
        <f t="shared" si="166"/>
        <v/>
      </c>
      <c r="AI258" s="5" t="str">
        <f t="shared" si="167"/>
        <v/>
      </c>
      <c r="AJ258" s="5" t="str">
        <f t="shared" si="168"/>
        <v/>
      </c>
      <c r="AK258" s="5" t="str">
        <f t="shared" si="169"/>
        <v/>
      </c>
      <c r="AX258" s="5" t="str">
        <f t="shared" si="151"/>
        <v/>
      </c>
      <c r="AY258" s="5" t="e">
        <f t="shared" si="170"/>
        <v>#N/A</v>
      </c>
      <c r="AZ258" s="5" t="str">
        <f t="shared" si="171"/>
        <v/>
      </c>
      <c r="BA258" s="5" t="str">
        <f t="shared" si="172"/>
        <v/>
      </c>
      <c r="BB258" s="5" t="e">
        <f>IF(BA258="",NA(),COUNTIF(BA$193:$BA258,BA258))</f>
        <v>#N/A</v>
      </c>
      <c r="BC258" s="5" t="e">
        <f t="shared" si="173"/>
        <v>#N/A</v>
      </c>
      <c r="BD258" s="5" t="str">
        <f t="shared" si="152"/>
        <v/>
      </c>
      <c r="BE258" s="5" t="e">
        <f t="shared" si="174"/>
        <v>#N/A</v>
      </c>
      <c r="BF258" s="5" t="str">
        <f t="shared" si="175"/>
        <v/>
      </c>
      <c r="BG258" s="5" t="str">
        <f t="shared" si="176"/>
        <v/>
      </c>
      <c r="BH258" s="5" t="e">
        <f>IF(BG258="",NA(),COUNTIF(BG$193:$BG258,BG258))</f>
        <v>#N/A</v>
      </c>
      <c r="BI258" s="5" t="e">
        <f t="shared" si="177"/>
        <v>#N/A</v>
      </c>
      <c r="BJ258"/>
      <c r="BK258"/>
      <c r="BL258"/>
      <c r="BM258"/>
      <c r="BN258"/>
      <c r="BO258"/>
      <c r="BP258"/>
      <c r="BQ258"/>
      <c r="BR258"/>
      <c r="BS258"/>
      <c r="BT258"/>
      <c r="BU258"/>
      <c r="BV258"/>
      <c r="BW258"/>
      <c r="BX258"/>
      <c r="BY258"/>
      <c r="BZ258"/>
      <c r="CA258"/>
      <c r="CB258"/>
      <c r="CC258"/>
      <c r="CD258"/>
      <c r="CE258"/>
      <c r="CF258"/>
    </row>
    <row r="259" spans="1:84" ht="12.75" customHeight="1">
      <c r="A259"/>
      <c r="B259"/>
      <c r="C259"/>
      <c r="D259"/>
      <c r="E259"/>
      <c r="F259"/>
      <c r="G259"/>
      <c r="J259" s="5" t="e">
        <f t="shared" si="123"/>
        <v>#N/A</v>
      </c>
      <c r="K259" s="5" t="e">
        <f t="shared" si="153"/>
        <v>#N/A</v>
      </c>
      <c r="L259" s="5" t="e">
        <f t="shared" si="124"/>
        <v>#N/A</v>
      </c>
      <c r="M259" s="5" t="e">
        <f t="shared" si="154"/>
        <v>#N/A</v>
      </c>
      <c r="Q259" s="5" t="str">
        <f t="shared" si="155"/>
        <v/>
      </c>
      <c r="R259" s="5" t="e">
        <f>IF(Q259="",NA(),COUNTIF(Q259:$Q$293,Q259))</f>
        <v>#N/A</v>
      </c>
      <c r="S259" s="5" t="e">
        <f t="shared" si="156"/>
        <v>#N/A</v>
      </c>
      <c r="T259" s="5" t="e">
        <f t="shared" si="148"/>
        <v>#N/A</v>
      </c>
      <c r="U259" s="5" t="e">
        <f t="shared" si="157"/>
        <v>#N/A</v>
      </c>
      <c r="V259" s="5" t="e">
        <f t="shared" si="158"/>
        <v>#N/A</v>
      </c>
      <c r="W259" s="5" t="str">
        <f t="shared" si="159"/>
        <v/>
      </c>
      <c r="X259" s="5">
        <v>166</v>
      </c>
      <c r="Y259" s="5" t="str">
        <f t="shared" si="160"/>
        <v/>
      </c>
      <c r="Z259" s="5" t="str">
        <f t="shared" si="161"/>
        <v/>
      </c>
      <c r="AA259" s="5" t="str">
        <f t="shared" si="149"/>
        <v/>
      </c>
      <c r="AB259" s="5" t="str">
        <f t="shared" si="162"/>
        <v/>
      </c>
      <c r="AC259" s="5" t="e">
        <f>IF(AB259="",NA(),COUNTIF(AB259:$AB$293,AB259))</f>
        <v>#N/A</v>
      </c>
      <c r="AD259" s="5" t="e">
        <f t="shared" si="163"/>
        <v>#N/A</v>
      </c>
      <c r="AE259" s="5" t="e">
        <f t="shared" si="150"/>
        <v>#N/A</v>
      </c>
      <c r="AF259" s="5" t="e">
        <f t="shared" si="164"/>
        <v>#N/A</v>
      </c>
      <c r="AG259" s="5" t="e">
        <f t="shared" si="165"/>
        <v>#N/A</v>
      </c>
      <c r="AH259" s="5" t="str">
        <f t="shared" si="166"/>
        <v/>
      </c>
      <c r="AI259" s="5" t="str">
        <f t="shared" si="167"/>
        <v/>
      </c>
      <c r="AJ259" s="5" t="str">
        <f t="shared" si="168"/>
        <v/>
      </c>
      <c r="AK259" s="5" t="str">
        <f t="shared" si="169"/>
        <v/>
      </c>
      <c r="AX259" s="5" t="str">
        <f t="shared" si="151"/>
        <v/>
      </c>
      <c r="AY259" s="5" t="e">
        <f t="shared" si="170"/>
        <v>#N/A</v>
      </c>
      <c r="AZ259" s="5" t="str">
        <f t="shared" si="171"/>
        <v/>
      </c>
      <c r="BA259" s="5" t="str">
        <f t="shared" si="172"/>
        <v/>
      </c>
      <c r="BB259" s="5" t="e">
        <f>IF(BA259="",NA(),COUNTIF(BA$193:$BA259,BA259))</f>
        <v>#N/A</v>
      </c>
      <c r="BC259" s="5" t="e">
        <f t="shared" si="173"/>
        <v>#N/A</v>
      </c>
      <c r="BD259" s="5" t="str">
        <f t="shared" si="152"/>
        <v/>
      </c>
      <c r="BE259" s="5" t="e">
        <f t="shared" si="174"/>
        <v>#N/A</v>
      </c>
      <c r="BF259" s="5" t="str">
        <f t="shared" si="175"/>
        <v/>
      </c>
      <c r="BG259" s="5" t="str">
        <f t="shared" si="176"/>
        <v/>
      </c>
      <c r="BH259" s="5" t="e">
        <f>IF(BG259="",NA(),COUNTIF(BG$193:$BG259,BG259))</f>
        <v>#N/A</v>
      </c>
      <c r="BI259" s="5" t="e">
        <f t="shared" si="177"/>
        <v>#N/A</v>
      </c>
      <c r="BJ259"/>
      <c r="BK259"/>
      <c r="BL259"/>
      <c r="BM259"/>
      <c r="BN259"/>
      <c r="BO259"/>
      <c r="BP259"/>
      <c r="BQ259"/>
      <c r="BR259"/>
      <c r="BS259"/>
      <c r="BT259"/>
      <c r="BU259"/>
      <c r="BV259"/>
      <c r="BW259"/>
      <c r="BX259"/>
      <c r="BY259"/>
      <c r="BZ259"/>
      <c r="CA259"/>
      <c r="CB259"/>
      <c r="CC259"/>
      <c r="CD259"/>
      <c r="CE259"/>
      <c r="CF259"/>
    </row>
    <row r="260" spans="1:84" ht="12.75" customHeight="1">
      <c r="A260"/>
      <c r="B260"/>
      <c r="C260"/>
      <c r="D260"/>
      <c r="E260"/>
      <c r="F260"/>
      <c r="G260"/>
      <c r="J260" s="5" t="e">
        <f t="shared" si="123"/>
        <v>#N/A</v>
      </c>
      <c r="K260" s="5" t="e">
        <f t="shared" si="153"/>
        <v>#N/A</v>
      </c>
      <c r="L260" s="5" t="e">
        <f t="shared" si="124"/>
        <v>#N/A</v>
      </c>
      <c r="M260" s="5" t="e">
        <f t="shared" si="154"/>
        <v>#N/A</v>
      </c>
      <c r="Q260" s="5" t="str">
        <f t="shared" si="155"/>
        <v/>
      </c>
      <c r="R260" s="5" t="e">
        <f>IF(Q260="",NA(),COUNTIF(Q260:$Q$293,Q260))</f>
        <v>#N/A</v>
      </c>
      <c r="S260" s="5" t="e">
        <f t="shared" si="156"/>
        <v>#N/A</v>
      </c>
      <c r="T260" s="5" t="e">
        <f t="shared" si="148"/>
        <v>#N/A</v>
      </c>
      <c r="U260" s="5" t="e">
        <f t="shared" si="157"/>
        <v>#N/A</v>
      </c>
      <c r="V260" s="5" t="e">
        <f t="shared" si="158"/>
        <v>#N/A</v>
      </c>
      <c r="W260" s="5" t="str">
        <f t="shared" si="159"/>
        <v/>
      </c>
      <c r="X260" s="5">
        <v>167</v>
      </c>
      <c r="Y260" s="5" t="str">
        <f t="shared" si="160"/>
        <v/>
      </c>
      <c r="Z260" s="5" t="str">
        <f t="shared" si="161"/>
        <v/>
      </c>
      <c r="AA260" s="5" t="str">
        <f t="shared" si="149"/>
        <v/>
      </c>
      <c r="AB260" s="5" t="str">
        <f t="shared" si="162"/>
        <v/>
      </c>
      <c r="AC260" s="5" t="e">
        <f>IF(AB260="",NA(),COUNTIF(AB260:$AB$293,AB260))</f>
        <v>#N/A</v>
      </c>
      <c r="AD260" s="5" t="e">
        <f t="shared" si="163"/>
        <v>#N/A</v>
      </c>
      <c r="AE260" s="5" t="e">
        <f t="shared" si="150"/>
        <v>#N/A</v>
      </c>
      <c r="AF260" s="5" t="e">
        <f t="shared" si="164"/>
        <v>#N/A</v>
      </c>
      <c r="AG260" s="5" t="e">
        <f t="shared" si="165"/>
        <v>#N/A</v>
      </c>
      <c r="AH260" s="5" t="str">
        <f t="shared" si="166"/>
        <v/>
      </c>
      <c r="AI260" s="5" t="str">
        <f t="shared" si="167"/>
        <v/>
      </c>
      <c r="AJ260" s="5" t="str">
        <f t="shared" si="168"/>
        <v/>
      </c>
      <c r="AK260" s="5" t="str">
        <f t="shared" si="169"/>
        <v/>
      </c>
      <c r="AX260" s="5" t="str">
        <f t="shared" si="151"/>
        <v/>
      </c>
      <c r="AY260" s="5" t="e">
        <f t="shared" si="170"/>
        <v>#N/A</v>
      </c>
      <c r="AZ260" s="5" t="str">
        <f t="shared" si="171"/>
        <v/>
      </c>
      <c r="BA260" s="5" t="str">
        <f t="shared" si="172"/>
        <v/>
      </c>
      <c r="BB260" s="5" t="e">
        <f>IF(BA260="",NA(),COUNTIF(BA$193:$BA260,BA260))</f>
        <v>#N/A</v>
      </c>
      <c r="BC260" s="5" t="e">
        <f t="shared" si="173"/>
        <v>#N/A</v>
      </c>
      <c r="BD260" s="5" t="str">
        <f t="shared" si="152"/>
        <v/>
      </c>
      <c r="BE260" s="5" t="e">
        <f t="shared" si="174"/>
        <v>#N/A</v>
      </c>
      <c r="BF260" s="5" t="str">
        <f t="shared" si="175"/>
        <v/>
      </c>
      <c r="BG260" s="5" t="str">
        <f t="shared" si="176"/>
        <v/>
      </c>
      <c r="BH260" s="5" t="e">
        <f>IF(BG260="",NA(),COUNTIF(BG$193:$BG260,BG260))</f>
        <v>#N/A</v>
      </c>
      <c r="BI260" s="5" t="e">
        <f t="shared" si="177"/>
        <v>#N/A</v>
      </c>
      <c r="BJ260"/>
      <c r="BK260"/>
      <c r="BL260"/>
      <c r="BM260"/>
      <c r="BN260"/>
      <c r="BO260"/>
      <c r="BP260"/>
      <c r="BQ260"/>
      <c r="BR260"/>
      <c r="BS260"/>
      <c r="BT260"/>
      <c r="BU260"/>
      <c r="BV260"/>
      <c r="BW260"/>
      <c r="BX260"/>
      <c r="BY260"/>
      <c r="BZ260"/>
      <c r="CA260"/>
      <c r="CB260"/>
      <c r="CC260"/>
      <c r="CD260"/>
      <c r="CE260"/>
      <c r="CF260"/>
    </row>
    <row r="261" spans="1:84" ht="12.75" customHeight="1">
      <c r="A261"/>
      <c r="B261"/>
      <c r="C261"/>
      <c r="D261"/>
      <c r="E261"/>
      <c r="F261"/>
      <c r="G261"/>
      <c r="J261" s="5" t="e">
        <f t="shared" si="123"/>
        <v>#N/A</v>
      </c>
      <c r="K261" s="5" t="e">
        <f t="shared" si="153"/>
        <v>#N/A</v>
      </c>
      <c r="L261" s="5" t="e">
        <f t="shared" si="124"/>
        <v>#N/A</v>
      </c>
      <c r="M261" s="5" t="e">
        <f t="shared" si="154"/>
        <v>#N/A</v>
      </c>
      <c r="Q261" s="5" t="str">
        <f t="shared" si="155"/>
        <v/>
      </c>
      <c r="R261" s="5" t="e">
        <f>IF(Q261="",NA(),COUNTIF(Q261:$Q$293,Q261))</f>
        <v>#N/A</v>
      </c>
      <c r="S261" s="5" t="e">
        <f t="shared" si="156"/>
        <v>#N/A</v>
      </c>
      <c r="T261" s="5" t="e">
        <f t="shared" si="148"/>
        <v>#N/A</v>
      </c>
      <c r="U261" s="5" t="e">
        <f t="shared" si="157"/>
        <v>#N/A</v>
      </c>
      <c r="V261" s="5" t="e">
        <f t="shared" si="158"/>
        <v>#N/A</v>
      </c>
      <c r="W261" s="5" t="str">
        <f t="shared" si="159"/>
        <v/>
      </c>
      <c r="X261" s="5">
        <v>168</v>
      </c>
      <c r="Y261" s="5" t="str">
        <f t="shared" si="160"/>
        <v/>
      </c>
      <c r="Z261" s="5" t="str">
        <f t="shared" si="161"/>
        <v/>
      </c>
      <c r="AA261" s="5" t="str">
        <f t="shared" si="149"/>
        <v/>
      </c>
      <c r="AB261" s="5" t="str">
        <f t="shared" si="162"/>
        <v/>
      </c>
      <c r="AC261" s="5" t="e">
        <f>IF(AB261="",NA(),COUNTIF(AB261:$AB$293,AB261))</f>
        <v>#N/A</v>
      </c>
      <c r="AD261" s="5" t="e">
        <f t="shared" si="163"/>
        <v>#N/A</v>
      </c>
      <c r="AE261" s="5" t="e">
        <f t="shared" si="150"/>
        <v>#N/A</v>
      </c>
      <c r="AF261" s="5" t="e">
        <f t="shared" si="164"/>
        <v>#N/A</v>
      </c>
      <c r="AG261" s="5" t="e">
        <f t="shared" si="165"/>
        <v>#N/A</v>
      </c>
      <c r="AH261" s="5" t="str">
        <f t="shared" si="166"/>
        <v/>
      </c>
      <c r="AI261" s="5" t="str">
        <f t="shared" si="167"/>
        <v/>
      </c>
      <c r="AJ261" s="5" t="str">
        <f t="shared" si="168"/>
        <v/>
      </c>
      <c r="AK261" s="5" t="str">
        <f t="shared" si="169"/>
        <v/>
      </c>
      <c r="AX261" s="5" t="str">
        <f t="shared" si="151"/>
        <v/>
      </c>
      <c r="AY261" s="5" t="e">
        <f t="shared" si="170"/>
        <v>#N/A</v>
      </c>
      <c r="AZ261" s="5" t="str">
        <f t="shared" si="171"/>
        <v/>
      </c>
      <c r="BA261" s="5" t="str">
        <f t="shared" si="172"/>
        <v/>
      </c>
      <c r="BB261" s="5" t="e">
        <f>IF(BA261="",NA(),COUNTIF(BA$193:$BA261,BA261))</f>
        <v>#N/A</v>
      </c>
      <c r="BC261" s="5" t="e">
        <f t="shared" si="173"/>
        <v>#N/A</v>
      </c>
      <c r="BD261" s="5" t="str">
        <f t="shared" si="152"/>
        <v/>
      </c>
      <c r="BE261" s="5" t="e">
        <f t="shared" si="174"/>
        <v>#N/A</v>
      </c>
      <c r="BF261" s="5" t="str">
        <f t="shared" si="175"/>
        <v/>
      </c>
      <c r="BG261" s="5" t="str">
        <f t="shared" si="176"/>
        <v/>
      </c>
      <c r="BH261" s="5" t="e">
        <f>IF(BG261="",NA(),COUNTIF(BG$193:$BG261,BG261))</f>
        <v>#N/A</v>
      </c>
      <c r="BI261" s="5" t="e">
        <f t="shared" si="177"/>
        <v>#N/A</v>
      </c>
      <c r="BJ261"/>
      <c r="BK261"/>
      <c r="BL261"/>
      <c r="BM261"/>
      <c r="BN261"/>
      <c r="BO261"/>
      <c r="BP261"/>
      <c r="BQ261"/>
      <c r="BR261"/>
      <c r="BS261"/>
      <c r="BT261"/>
      <c r="BU261"/>
      <c r="BV261"/>
      <c r="BW261"/>
      <c r="BX261"/>
      <c r="BY261"/>
      <c r="BZ261"/>
      <c r="CA261"/>
      <c r="CB261"/>
      <c r="CC261"/>
      <c r="CD261"/>
      <c r="CE261"/>
      <c r="CF261"/>
    </row>
    <row r="262" spans="1:84" ht="12.75" customHeight="1">
      <c r="A262"/>
      <c r="B262"/>
      <c r="C262"/>
      <c r="D262"/>
      <c r="E262"/>
      <c r="F262"/>
      <c r="G262"/>
      <c r="J262" s="5" t="e">
        <f t="shared" si="123"/>
        <v>#N/A</v>
      </c>
      <c r="K262" s="5" t="e">
        <f t="shared" si="153"/>
        <v>#N/A</v>
      </c>
      <c r="L262" s="5" t="e">
        <f t="shared" si="124"/>
        <v>#N/A</v>
      </c>
      <c r="M262" s="5" t="e">
        <f t="shared" si="154"/>
        <v>#N/A</v>
      </c>
      <c r="Q262" s="5" t="str">
        <f t="shared" si="155"/>
        <v/>
      </c>
      <c r="R262" s="5" t="e">
        <f>IF(Q262="",NA(),COUNTIF(Q262:$Q$293,Q262))</f>
        <v>#N/A</v>
      </c>
      <c r="S262" s="5" t="e">
        <f t="shared" si="156"/>
        <v>#N/A</v>
      </c>
      <c r="T262" s="5" t="e">
        <f t="shared" si="148"/>
        <v>#N/A</v>
      </c>
      <c r="U262" s="5" t="e">
        <f t="shared" si="157"/>
        <v>#N/A</v>
      </c>
      <c r="V262" s="5" t="e">
        <f t="shared" si="158"/>
        <v>#N/A</v>
      </c>
      <c r="W262" s="5" t="str">
        <f t="shared" si="159"/>
        <v/>
      </c>
      <c r="X262" s="5">
        <v>169</v>
      </c>
      <c r="Y262" s="5" t="str">
        <f t="shared" si="160"/>
        <v/>
      </c>
      <c r="Z262" s="5" t="str">
        <f t="shared" si="161"/>
        <v/>
      </c>
      <c r="AA262" s="5" t="str">
        <f t="shared" si="149"/>
        <v/>
      </c>
      <c r="AB262" s="5" t="str">
        <f t="shared" si="162"/>
        <v/>
      </c>
      <c r="AC262" s="5" t="e">
        <f>IF(AB262="",NA(),COUNTIF(AB262:$AB$293,AB262))</f>
        <v>#N/A</v>
      </c>
      <c r="AD262" s="5" t="e">
        <f t="shared" si="163"/>
        <v>#N/A</v>
      </c>
      <c r="AE262" s="5" t="e">
        <f t="shared" si="150"/>
        <v>#N/A</v>
      </c>
      <c r="AF262" s="5" t="e">
        <f t="shared" si="164"/>
        <v>#N/A</v>
      </c>
      <c r="AG262" s="5" t="e">
        <f t="shared" si="165"/>
        <v>#N/A</v>
      </c>
      <c r="AH262" s="5" t="str">
        <f t="shared" si="166"/>
        <v/>
      </c>
      <c r="AI262" s="5" t="str">
        <f t="shared" si="167"/>
        <v/>
      </c>
      <c r="AJ262" s="5" t="str">
        <f t="shared" si="168"/>
        <v/>
      </c>
      <c r="AK262" s="5" t="str">
        <f t="shared" si="169"/>
        <v/>
      </c>
      <c r="AX262" s="5" t="str">
        <f t="shared" si="151"/>
        <v/>
      </c>
      <c r="AY262" s="5" t="e">
        <f t="shared" si="170"/>
        <v>#N/A</v>
      </c>
      <c r="AZ262" s="5" t="str">
        <f t="shared" si="171"/>
        <v/>
      </c>
      <c r="BA262" s="5" t="str">
        <f t="shared" si="172"/>
        <v/>
      </c>
      <c r="BB262" s="5" t="e">
        <f>IF(BA262="",NA(),COUNTIF(BA$193:$BA262,BA262))</f>
        <v>#N/A</v>
      </c>
      <c r="BC262" s="5" t="e">
        <f t="shared" si="173"/>
        <v>#N/A</v>
      </c>
      <c r="BD262" s="5" t="str">
        <f t="shared" si="152"/>
        <v/>
      </c>
      <c r="BE262" s="5" t="e">
        <f t="shared" si="174"/>
        <v>#N/A</v>
      </c>
      <c r="BF262" s="5" t="str">
        <f t="shared" si="175"/>
        <v/>
      </c>
      <c r="BG262" s="5" t="str">
        <f t="shared" si="176"/>
        <v/>
      </c>
      <c r="BH262" s="5" t="e">
        <f>IF(BG262="",NA(),COUNTIF(BG$193:$BG262,BG262))</f>
        <v>#N/A</v>
      </c>
      <c r="BI262" s="5" t="e">
        <f t="shared" si="177"/>
        <v>#N/A</v>
      </c>
      <c r="BJ262"/>
      <c r="BK262"/>
      <c r="BL262"/>
      <c r="BM262"/>
      <c r="BN262"/>
      <c r="BO262"/>
      <c r="BP262"/>
      <c r="BQ262"/>
      <c r="BR262"/>
      <c r="BS262"/>
      <c r="BT262"/>
      <c r="BU262"/>
      <c r="BV262"/>
      <c r="BW262"/>
      <c r="BX262"/>
      <c r="BY262"/>
      <c r="BZ262"/>
      <c r="CA262"/>
      <c r="CB262"/>
      <c r="CC262"/>
      <c r="CD262"/>
      <c r="CE262"/>
      <c r="CF262"/>
    </row>
    <row r="263" spans="1:84" ht="12.75" customHeight="1">
      <c r="A263"/>
      <c r="B263"/>
      <c r="C263"/>
      <c r="D263"/>
      <c r="E263"/>
      <c r="F263"/>
      <c r="G263"/>
      <c r="J263" s="5" t="e">
        <f t="shared" si="123"/>
        <v>#N/A</v>
      </c>
      <c r="K263" s="5" t="e">
        <f t="shared" si="153"/>
        <v>#N/A</v>
      </c>
      <c r="L263" s="5" t="e">
        <f t="shared" si="124"/>
        <v>#N/A</v>
      </c>
      <c r="M263" s="5" t="e">
        <f t="shared" si="154"/>
        <v>#N/A</v>
      </c>
      <c r="Q263" s="5" t="str">
        <f t="shared" si="155"/>
        <v/>
      </c>
      <c r="R263" s="5" t="e">
        <f>IF(Q263="",NA(),COUNTIF(Q263:$Q$293,Q263))</f>
        <v>#N/A</v>
      </c>
      <c r="S263" s="5" t="e">
        <f t="shared" si="156"/>
        <v>#N/A</v>
      </c>
      <c r="T263" s="5" t="e">
        <f t="shared" si="148"/>
        <v>#N/A</v>
      </c>
      <c r="U263" s="5" t="e">
        <f t="shared" si="157"/>
        <v>#N/A</v>
      </c>
      <c r="V263" s="5" t="e">
        <f t="shared" si="158"/>
        <v>#N/A</v>
      </c>
      <c r="W263" s="5" t="str">
        <f t="shared" si="159"/>
        <v/>
      </c>
      <c r="X263" s="5">
        <v>170</v>
      </c>
      <c r="Y263" s="5" t="str">
        <f t="shared" si="160"/>
        <v/>
      </c>
      <c r="Z263" s="5" t="str">
        <f t="shared" si="161"/>
        <v/>
      </c>
      <c r="AA263" s="5" t="str">
        <f t="shared" si="149"/>
        <v/>
      </c>
      <c r="AB263" s="5" t="str">
        <f t="shared" si="162"/>
        <v/>
      </c>
      <c r="AC263" s="5" t="e">
        <f>IF(AB263="",NA(),COUNTIF(AB263:$AB$293,AB263))</f>
        <v>#N/A</v>
      </c>
      <c r="AD263" s="5" t="e">
        <f t="shared" si="163"/>
        <v>#N/A</v>
      </c>
      <c r="AE263" s="5" t="e">
        <f t="shared" si="150"/>
        <v>#N/A</v>
      </c>
      <c r="AF263" s="5" t="e">
        <f t="shared" si="164"/>
        <v>#N/A</v>
      </c>
      <c r="AG263" s="5" t="e">
        <f t="shared" si="165"/>
        <v>#N/A</v>
      </c>
      <c r="AH263" s="5" t="str">
        <f t="shared" si="166"/>
        <v/>
      </c>
      <c r="AI263" s="5" t="str">
        <f t="shared" si="167"/>
        <v/>
      </c>
      <c r="AJ263" s="5" t="str">
        <f t="shared" si="168"/>
        <v/>
      </c>
      <c r="AK263" s="5" t="str">
        <f t="shared" si="169"/>
        <v/>
      </c>
      <c r="AX263" s="5" t="str">
        <f t="shared" si="151"/>
        <v/>
      </c>
      <c r="AY263" s="5" t="e">
        <f t="shared" si="170"/>
        <v>#N/A</v>
      </c>
      <c r="AZ263" s="5" t="str">
        <f t="shared" si="171"/>
        <v/>
      </c>
      <c r="BA263" s="5" t="str">
        <f t="shared" si="172"/>
        <v/>
      </c>
      <c r="BB263" s="5" t="e">
        <f>IF(BA263="",NA(),COUNTIF(BA$193:$BA263,BA263))</f>
        <v>#N/A</v>
      </c>
      <c r="BC263" s="5" t="e">
        <f t="shared" si="173"/>
        <v>#N/A</v>
      </c>
      <c r="BD263" s="5" t="str">
        <f t="shared" si="152"/>
        <v/>
      </c>
      <c r="BE263" s="5" t="e">
        <f t="shared" si="174"/>
        <v>#N/A</v>
      </c>
      <c r="BF263" s="5" t="str">
        <f t="shared" si="175"/>
        <v/>
      </c>
      <c r="BG263" s="5" t="str">
        <f t="shared" si="176"/>
        <v/>
      </c>
      <c r="BH263" s="5" t="e">
        <f>IF(BG263="",NA(),COUNTIF(BG$193:$BG263,BG263))</f>
        <v>#N/A</v>
      </c>
      <c r="BI263" s="5" t="e">
        <f t="shared" si="177"/>
        <v>#N/A</v>
      </c>
      <c r="BJ263"/>
      <c r="BK263"/>
      <c r="BL263"/>
      <c r="BM263"/>
      <c r="BN263"/>
      <c r="BO263"/>
      <c r="BP263"/>
      <c r="BQ263"/>
      <c r="BR263"/>
      <c r="BS263"/>
      <c r="BT263"/>
      <c r="BU263"/>
      <c r="BV263"/>
      <c r="BW263"/>
      <c r="BX263"/>
      <c r="BY263"/>
      <c r="BZ263"/>
      <c r="CA263"/>
      <c r="CB263"/>
      <c r="CC263"/>
      <c r="CD263"/>
      <c r="CE263"/>
      <c r="CF263"/>
    </row>
    <row r="264" spans="1:84" ht="12.75" customHeight="1">
      <c r="A264"/>
      <c r="B264"/>
      <c r="C264"/>
      <c r="D264"/>
      <c r="E264"/>
      <c r="F264"/>
      <c r="G264"/>
      <c r="J264" s="5" t="e">
        <f t="shared" si="123"/>
        <v>#N/A</v>
      </c>
      <c r="K264" s="5" t="e">
        <f t="shared" si="153"/>
        <v>#N/A</v>
      </c>
      <c r="L264" s="5" t="e">
        <f t="shared" si="124"/>
        <v>#N/A</v>
      </c>
      <c r="M264" s="5" t="e">
        <f t="shared" si="154"/>
        <v>#N/A</v>
      </c>
      <c r="Q264" s="5" t="str">
        <f t="shared" si="155"/>
        <v/>
      </c>
      <c r="R264" s="5" t="e">
        <f>IF(Q264="",NA(),COUNTIF(Q264:$Q$293,Q264))</f>
        <v>#N/A</v>
      </c>
      <c r="S264" s="5" t="e">
        <f t="shared" si="156"/>
        <v>#N/A</v>
      </c>
      <c r="T264" s="5" t="e">
        <f t="shared" si="148"/>
        <v>#N/A</v>
      </c>
      <c r="U264" s="5" t="e">
        <f t="shared" si="157"/>
        <v>#N/A</v>
      </c>
      <c r="V264" s="5" t="e">
        <f t="shared" si="158"/>
        <v>#N/A</v>
      </c>
      <c r="W264" s="5" t="str">
        <f t="shared" si="159"/>
        <v/>
      </c>
      <c r="X264" s="5">
        <v>171</v>
      </c>
      <c r="Y264" s="5" t="str">
        <f t="shared" si="160"/>
        <v/>
      </c>
      <c r="Z264" s="5" t="str">
        <f t="shared" si="161"/>
        <v/>
      </c>
      <c r="AA264" s="5" t="str">
        <f t="shared" si="149"/>
        <v/>
      </c>
      <c r="AB264" s="5" t="str">
        <f t="shared" si="162"/>
        <v/>
      </c>
      <c r="AC264" s="5" t="e">
        <f>IF(AB264="",NA(),COUNTIF(AB264:$AB$293,AB264))</f>
        <v>#N/A</v>
      </c>
      <c r="AD264" s="5" t="e">
        <f t="shared" si="163"/>
        <v>#N/A</v>
      </c>
      <c r="AE264" s="5" t="e">
        <f t="shared" si="150"/>
        <v>#N/A</v>
      </c>
      <c r="AF264" s="5" t="e">
        <f t="shared" si="164"/>
        <v>#N/A</v>
      </c>
      <c r="AG264" s="5" t="e">
        <f t="shared" si="165"/>
        <v>#N/A</v>
      </c>
      <c r="AH264" s="5" t="str">
        <f t="shared" si="166"/>
        <v/>
      </c>
      <c r="AI264" s="5" t="str">
        <f t="shared" si="167"/>
        <v/>
      </c>
      <c r="AJ264" s="5" t="str">
        <f t="shared" si="168"/>
        <v/>
      </c>
      <c r="AK264" s="5" t="str">
        <f t="shared" si="169"/>
        <v/>
      </c>
      <c r="AX264" s="5" t="str">
        <f t="shared" si="151"/>
        <v/>
      </c>
      <c r="AY264" s="5" t="e">
        <f t="shared" si="170"/>
        <v>#N/A</v>
      </c>
      <c r="AZ264" s="5" t="str">
        <f t="shared" si="171"/>
        <v/>
      </c>
      <c r="BA264" s="5" t="str">
        <f t="shared" si="172"/>
        <v/>
      </c>
      <c r="BB264" s="5" t="e">
        <f>IF(BA264="",NA(),COUNTIF(BA$193:$BA264,BA264))</f>
        <v>#N/A</v>
      </c>
      <c r="BC264" s="5" t="e">
        <f t="shared" si="173"/>
        <v>#N/A</v>
      </c>
      <c r="BD264" s="5" t="str">
        <f t="shared" si="152"/>
        <v/>
      </c>
      <c r="BE264" s="5" t="e">
        <f t="shared" si="174"/>
        <v>#N/A</v>
      </c>
      <c r="BF264" s="5" t="str">
        <f t="shared" si="175"/>
        <v/>
      </c>
      <c r="BG264" s="5" t="str">
        <f t="shared" si="176"/>
        <v/>
      </c>
      <c r="BH264" s="5" t="e">
        <f>IF(BG264="",NA(),COUNTIF(BG$193:$BG264,BG264))</f>
        <v>#N/A</v>
      </c>
      <c r="BI264" s="5" t="e">
        <f t="shared" si="177"/>
        <v>#N/A</v>
      </c>
      <c r="BJ264"/>
      <c r="BK264"/>
      <c r="BL264"/>
      <c r="BM264"/>
      <c r="BN264"/>
      <c r="BO264"/>
      <c r="BP264"/>
      <c r="BQ264"/>
      <c r="BR264"/>
      <c r="BS264"/>
      <c r="BT264"/>
      <c r="BU264"/>
      <c r="BV264"/>
      <c r="BW264"/>
      <c r="BX264"/>
      <c r="BY264"/>
      <c r="BZ264"/>
      <c r="CA264"/>
      <c r="CB264"/>
      <c r="CC264"/>
      <c r="CD264"/>
      <c r="CE264"/>
      <c r="CF264"/>
    </row>
    <row r="265" spans="1:84" ht="12.75" customHeight="1">
      <c r="A265"/>
      <c r="B265"/>
      <c r="C265"/>
      <c r="D265"/>
      <c r="E265"/>
      <c r="F265"/>
      <c r="G265"/>
      <c r="J265" s="5" t="e">
        <f t="shared" si="123"/>
        <v>#N/A</v>
      </c>
      <c r="K265" s="5" t="e">
        <f t="shared" si="153"/>
        <v>#N/A</v>
      </c>
      <c r="L265" s="5" t="e">
        <f t="shared" si="124"/>
        <v>#N/A</v>
      </c>
      <c r="M265" s="5" t="e">
        <f t="shared" si="154"/>
        <v>#N/A</v>
      </c>
      <c r="Q265" s="5" t="str">
        <f t="shared" si="155"/>
        <v/>
      </c>
      <c r="R265" s="5" t="e">
        <f>IF(Q265="",NA(),COUNTIF(Q265:$Q$293,Q265))</f>
        <v>#N/A</v>
      </c>
      <c r="S265" s="5" t="e">
        <f t="shared" si="156"/>
        <v>#N/A</v>
      </c>
      <c r="T265" s="5" t="e">
        <f t="shared" si="148"/>
        <v>#N/A</v>
      </c>
      <c r="U265" s="5" t="e">
        <f t="shared" si="157"/>
        <v>#N/A</v>
      </c>
      <c r="V265" s="5" t="e">
        <f t="shared" si="158"/>
        <v>#N/A</v>
      </c>
      <c r="W265" s="5" t="str">
        <f t="shared" si="159"/>
        <v/>
      </c>
      <c r="X265" s="5">
        <v>172</v>
      </c>
      <c r="Y265" s="5" t="str">
        <f t="shared" si="160"/>
        <v/>
      </c>
      <c r="Z265" s="5" t="str">
        <f t="shared" si="161"/>
        <v/>
      </c>
      <c r="AA265" s="5" t="str">
        <f t="shared" si="149"/>
        <v/>
      </c>
      <c r="AB265" s="5" t="str">
        <f t="shared" si="162"/>
        <v/>
      </c>
      <c r="AC265" s="5" t="e">
        <f>IF(AB265="",NA(),COUNTIF(AB265:$AB$293,AB265))</f>
        <v>#N/A</v>
      </c>
      <c r="AD265" s="5" t="e">
        <f t="shared" si="163"/>
        <v>#N/A</v>
      </c>
      <c r="AE265" s="5" t="e">
        <f t="shared" si="150"/>
        <v>#N/A</v>
      </c>
      <c r="AF265" s="5" t="e">
        <f t="shared" si="164"/>
        <v>#N/A</v>
      </c>
      <c r="AG265" s="5" t="e">
        <f t="shared" si="165"/>
        <v>#N/A</v>
      </c>
      <c r="AH265" s="5" t="str">
        <f t="shared" si="166"/>
        <v/>
      </c>
      <c r="AI265" s="5" t="str">
        <f t="shared" si="167"/>
        <v/>
      </c>
      <c r="AJ265" s="5" t="str">
        <f t="shared" si="168"/>
        <v/>
      </c>
      <c r="AK265" s="5" t="str">
        <f t="shared" si="169"/>
        <v/>
      </c>
      <c r="AX265" s="5" t="str">
        <f t="shared" si="151"/>
        <v/>
      </c>
      <c r="AY265" s="5" t="e">
        <f t="shared" si="170"/>
        <v>#N/A</v>
      </c>
      <c r="AZ265" s="5" t="str">
        <f t="shared" si="171"/>
        <v/>
      </c>
      <c r="BA265" s="5" t="str">
        <f t="shared" si="172"/>
        <v/>
      </c>
      <c r="BB265" s="5" t="e">
        <f>IF(BA265="",NA(),COUNTIF(BA$193:$BA265,BA265))</f>
        <v>#N/A</v>
      </c>
      <c r="BC265" s="5" t="e">
        <f t="shared" si="173"/>
        <v>#N/A</v>
      </c>
      <c r="BD265" s="5" t="str">
        <f t="shared" si="152"/>
        <v/>
      </c>
      <c r="BE265" s="5" t="e">
        <f t="shared" si="174"/>
        <v>#N/A</v>
      </c>
      <c r="BF265" s="5" t="str">
        <f t="shared" si="175"/>
        <v/>
      </c>
      <c r="BG265" s="5" t="str">
        <f t="shared" si="176"/>
        <v/>
      </c>
      <c r="BH265" s="5" t="e">
        <f>IF(BG265="",NA(),COUNTIF(BG$193:$BG265,BG265))</f>
        <v>#N/A</v>
      </c>
      <c r="BI265" s="5" t="e">
        <f t="shared" si="177"/>
        <v>#N/A</v>
      </c>
      <c r="BJ265"/>
      <c r="BK265"/>
      <c r="BL265"/>
      <c r="BM265"/>
      <c r="BN265"/>
      <c r="BO265"/>
      <c r="BP265"/>
      <c r="BQ265"/>
      <c r="BR265"/>
      <c r="BS265"/>
      <c r="BT265"/>
      <c r="BU265"/>
      <c r="BV265"/>
      <c r="BW265"/>
      <c r="BX265"/>
      <c r="BY265"/>
      <c r="BZ265"/>
      <c r="CA265"/>
      <c r="CB265"/>
      <c r="CC265"/>
      <c r="CD265"/>
      <c r="CE265"/>
      <c r="CF265"/>
    </row>
    <row r="266" spans="1:84" ht="12.75" customHeight="1">
      <c r="A266"/>
      <c r="B266"/>
      <c r="C266"/>
      <c r="D266"/>
      <c r="E266"/>
      <c r="F266"/>
      <c r="G266"/>
      <c r="J266" s="5" t="e">
        <f t="shared" si="123"/>
        <v>#N/A</v>
      </c>
      <c r="K266" s="5" t="e">
        <f t="shared" si="153"/>
        <v>#N/A</v>
      </c>
      <c r="L266" s="5" t="e">
        <f t="shared" si="124"/>
        <v>#N/A</v>
      </c>
      <c r="M266" s="5" t="e">
        <f t="shared" si="154"/>
        <v>#N/A</v>
      </c>
      <c r="Q266" s="5" t="str">
        <f t="shared" si="155"/>
        <v/>
      </c>
      <c r="R266" s="5" t="e">
        <f>IF(Q266="",NA(),COUNTIF(Q266:$Q$293,Q266))</f>
        <v>#N/A</v>
      </c>
      <c r="S266" s="5" t="e">
        <f t="shared" si="156"/>
        <v>#N/A</v>
      </c>
      <c r="T266" s="5" t="e">
        <f t="shared" si="148"/>
        <v>#N/A</v>
      </c>
      <c r="U266" s="5" t="e">
        <f t="shared" si="157"/>
        <v>#N/A</v>
      </c>
      <c r="V266" s="5" t="e">
        <f t="shared" si="158"/>
        <v>#N/A</v>
      </c>
      <c r="W266" s="5" t="str">
        <f t="shared" si="159"/>
        <v/>
      </c>
      <c r="X266" s="5">
        <v>173</v>
      </c>
      <c r="Y266" s="5" t="str">
        <f t="shared" si="160"/>
        <v/>
      </c>
      <c r="Z266" s="5" t="str">
        <f t="shared" si="161"/>
        <v/>
      </c>
      <c r="AA266" s="5" t="str">
        <f t="shared" si="149"/>
        <v/>
      </c>
      <c r="AB266" s="5" t="str">
        <f t="shared" si="162"/>
        <v/>
      </c>
      <c r="AC266" s="5" t="e">
        <f>IF(AB266="",NA(),COUNTIF(AB266:$AB$293,AB266))</f>
        <v>#N/A</v>
      </c>
      <c r="AD266" s="5" t="e">
        <f t="shared" si="163"/>
        <v>#N/A</v>
      </c>
      <c r="AE266" s="5" t="e">
        <f t="shared" si="150"/>
        <v>#N/A</v>
      </c>
      <c r="AF266" s="5" t="e">
        <f t="shared" si="164"/>
        <v>#N/A</v>
      </c>
      <c r="AG266" s="5" t="e">
        <f t="shared" si="165"/>
        <v>#N/A</v>
      </c>
      <c r="AH266" s="5" t="str">
        <f t="shared" si="166"/>
        <v/>
      </c>
      <c r="AI266" s="5" t="str">
        <f t="shared" si="167"/>
        <v/>
      </c>
      <c r="AJ266" s="5" t="str">
        <f t="shared" si="168"/>
        <v/>
      </c>
      <c r="AK266" s="5" t="str">
        <f t="shared" si="169"/>
        <v/>
      </c>
      <c r="AX266" s="5" t="str">
        <f t="shared" si="151"/>
        <v/>
      </c>
      <c r="AY266" s="5" t="e">
        <f t="shared" si="170"/>
        <v>#N/A</v>
      </c>
      <c r="AZ266" s="5" t="str">
        <f t="shared" si="171"/>
        <v/>
      </c>
      <c r="BA266" s="5" t="str">
        <f t="shared" si="172"/>
        <v/>
      </c>
      <c r="BB266" s="5" t="e">
        <f>IF(BA266="",NA(),COUNTIF(BA$193:$BA266,BA266))</f>
        <v>#N/A</v>
      </c>
      <c r="BC266" s="5" t="e">
        <f t="shared" si="173"/>
        <v>#N/A</v>
      </c>
      <c r="BD266" s="5" t="str">
        <f t="shared" si="152"/>
        <v/>
      </c>
      <c r="BE266" s="5" t="e">
        <f t="shared" si="174"/>
        <v>#N/A</v>
      </c>
      <c r="BF266" s="5" t="str">
        <f t="shared" si="175"/>
        <v/>
      </c>
      <c r="BG266" s="5" t="str">
        <f t="shared" si="176"/>
        <v/>
      </c>
      <c r="BH266" s="5" t="e">
        <f>IF(BG266="",NA(),COUNTIF(BG$193:$BG266,BG266))</f>
        <v>#N/A</v>
      </c>
      <c r="BI266" s="5" t="e">
        <f t="shared" si="177"/>
        <v>#N/A</v>
      </c>
      <c r="BJ266"/>
      <c r="BK266"/>
      <c r="BL266"/>
      <c r="BM266"/>
      <c r="BN266"/>
      <c r="BO266"/>
      <c r="BP266"/>
      <c r="BQ266"/>
      <c r="BR266"/>
      <c r="BS266"/>
      <c r="BT266"/>
      <c r="BU266"/>
      <c r="BV266"/>
      <c r="BW266"/>
      <c r="BX266"/>
      <c r="BY266"/>
      <c r="BZ266"/>
      <c r="CA266"/>
      <c r="CB266"/>
      <c r="CC266"/>
      <c r="CD266"/>
      <c r="CE266"/>
      <c r="CF266"/>
    </row>
    <row r="267" spans="1:84" ht="12.75" customHeight="1">
      <c r="A267"/>
      <c r="B267"/>
      <c r="C267"/>
      <c r="D267"/>
      <c r="E267"/>
      <c r="F267"/>
      <c r="G267"/>
      <c r="J267" s="5" t="e">
        <f t="shared" si="123"/>
        <v>#N/A</v>
      </c>
      <c r="K267" s="5" t="e">
        <f t="shared" si="153"/>
        <v>#N/A</v>
      </c>
      <c r="L267" s="5" t="e">
        <f t="shared" si="124"/>
        <v>#N/A</v>
      </c>
      <c r="M267" s="5" t="e">
        <f t="shared" si="154"/>
        <v>#N/A</v>
      </c>
      <c r="Q267" s="5" t="str">
        <f t="shared" si="155"/>
        <v/>
      </c>
      <c r="R267" s="5" t="e">
        <f>IF(Q267="",NA(),COUNTIF(Q267:$Q$293,Q267))</f>
        <v>#N/A</v>
      </c>
      <c r="S267" s="5" t="e">
        <f t="shared" si="156"/>
        <v>#N/A</v>
      </c>
      <c r="T267" s="5" t="e">
        <f t="shared" si="148"/>
        <v>#N/A</v>
      </c>
      <c r="U267" s="5" t="e">
        <f t="shared" si="157"/>
        <v>#N/A</v>
      </c>
      <c r="V267" s="5" t="e">
        <f t="shared" si="158"/>
        <v>#N/A</v>
      </c>
      <c r="W267" s="5" t="str">
        <f t="shared" si="159"/>
        <v/>
      </c>
      <c r="X267" s="5">
        <v>174</v>
      </c>
      <c r="Y267" s="5" t="str">
        <f t="shared" si="160"/>
        <v/>
      </c>
      <c r="Z267" s="5" t="str">
        <f t="shared" si="161"/>
        <v/>
      </c>
      <c r="AA267" s="5" t="str">
        <f t="shared" si="149"/>
        <v/>
      </c>
      <c r="AB267" s="5" t="str">
        <f t="shared" si="162"/>
        <v/>
      </c>
      <c r="AC267" s="5" t="e">
        <f>IF(AB267="",NA(),COUNTIF(AB267:$AB$293,AB267))</f>
        <v>#N/A</v>
      </c>
      <c r="AD267" s="5" t="e">
        <f t="shared" si="163"/>
        <v>#N/A</v>
      </c>
      <c r="AE267" s="5" t="e">
        <f t="shared" si="150"/>
        <v>#N/A</v>
      </c>
      <c r="AF267" s="5" t="e">
        <f t="shared" si="164"/>
        <v>#N/A</v>
      </c>
      <c r="AG267" s="5" t="e">
        <f t="shared" si="165"/>
        <v>#N/A</v>
      </c>
      <c r="AH267" s="5" t="str">
        <f t="shared" si="166"/>
        <v/>
      </c>
      <c r="AI267" s="5" t="str">
        <f t="shared" si="167"/>
        <v/>
      </c>
      <c r="AJ267" s="5" t="str">
        <f t="shared" si="168"/>
        <v/>
      </c>
      <c r="AK267" s="5" t="str">
        <f t="shared" si="169"/>
        <v/>
      </c>
      <c r="AX267" s="5" t="str">
        <f t="shared" si="151"/>
        <v/>
      </c>
      <c r="AY267" s="5" t="e">
        <f t="shared" si="170"/>
        <v>#N/A</v>
      </c>
      <c r="AZ267" s="5" t="str">
        <f t="shared" si="171"/>
        <v/>
      </c>
      <c r="BA267" s="5" t="str">
        <f t="shared" si="172"/>
        <v/>
      </c>
      <c r="BB267" s="5" t="e">
        <f>IF(BA267="",NA(),COUNTIF(BA$193:$BA267,BA267))</f>
        <v>#N/A</v>
      </c>
      <c r="BC267" s="5" t="e">
        <f t="shared" si="173"/>
        <v>#N/A</v>
      </c>
      <c r="BD267" s="5" t="str">
        <f t="shared" si="152"/>
        <v/>
      </c>
      <c r="BE267" s="5" t="e">
        <f t="shared" si="174"/>
        <v>#N/A</v>
      </c>
      <c r="BF267" s="5" t="str">
        <f t="shared" si="175"/>
        <v/>
      </c>
      <c r="BG267" s="5" t="str">
        <f t="shared" si="176"/>
        <v/>
      </c>
      <c r="BH267" s="5" t="e">
        <f>IF(BG267="",NA(),COUNTIF(BG$193:$BG267,BG267))</f>
        <v>#N/A</v>
      </c>
      <c r="BI267" s="5" t="e">
        <f t="shared" si="177"/>
        <v>#N/A</v>
      </c>
      <c r="BJ267"/>
      <c r="BK267"/>
      <c r="BL267"/>
      <c r="BM267"/>
      <c r="BN267"/>
      <c r="BO267"/>
      <c r="BP267"/>
      <c r="BQ267"/>
      <c r="BR267"/>
      <c r="BS267"/>
      <c r="BT267"/>
      <c r="BU267"/>
      <c r="BV267"/>
      <c r="BW267"/>
      <c r="BX267"/>
      <c r="BY267"/>
      <c r="BZ267"/>
      <c r="CA267"/>
      <c r="CB267"/>
      <c r="CC267"/>
      <c r="CD267"/>
      <c r="CE267"/>
      <c r="CF267"/>
    </row>
    <row r="268" spans="1:84" ht="12.75" customHeight="1">
      <c r="A268"/>
      <c r="B268"/>
      <c r="C268"/>
      <c r="D268"/>
      <c r="E268"/>
      <c r="F268"/>
      <c r="G268"/>
      <c r="J268" s="5" t="e">
        <f t="shared" si="123"/>
        <v>#N/A</v>
      </c>
      <c r="K268" s="5" t="e">
        <f t="shared" si="153"/>
        <v>#N/A</v>
      </c>
      <c r="L268" s="5" t="e">
        <f t="shared" si="124"/>
        <v>#N/A</v>
      </c>
      <c r="M268" s="5" t="e">
        <f t="shared" si="154"/>
        <v>#N/A</v>
      </c>
      <c r="Q268" s="5" t="str">
        <f t="shared" si="155"/>
        <v/>
      </c>
      <c r="R268" s="5" t="e">
        <f>IF(Q268="",NA(),COUNTIF(Q268:$Q$293,Q268))</f>
        <v>#N/A</v>
      </c>
      <c r="S268" s="5" t="e">
        <f t="shared" si="156"/>
        <v>#N/A</v>
      </c>
      <c r="T268" s="5" t="e">
        <f t="shared" si="148"/>
        <v>#N/A</v>
      </c>
      <c r="U268" s="5" t="e">
        <f t="shared" si="157"/>
        <v>#N/A</v>
      </c>
      <c r="V268" s="5" t="e">
        <f t="shared" si="158"/>
        <v>#N/A</v>
      </c>
      <c r="W268" s="5" t="str">
        <f t="shared" si="159"/>
        <v/>
      </c>
      <c r="X268" s="5">
        <v>175</v>
      </c>
      <c r="Y268" s="5" t="str">
        <f t="shared" si="160"/>
        <v/>
      </c>
      <c r="Z268" s="5" t="str">
        <f t="shared" si="161"/>
        <v/>
      </c>
      <c r="AA268" s="5" t="str">
        <f t="shared" si="149"/>
        <v/>
      </c>
      <c r="AB268" s="5" t="str">
        <f t="shared" si="162"/>
        <v/>
      </c>
      <c r="AC268" s="5" t="e">
        <f>IF(AB268="",NA(),COUNTIF(AB268:$AB$293,AB268))</f>
        <v>#N/A</v>
      </c>
      <c r="AD268" s="5" t="e">
        <f t="shared" si="163"/>
        <v>#N/A</v>
      </c>
      <c r="AE268" s="5" t="e">
        <f t="shared" si="150"/>
        <v>#N/A</v>
      </c>
      <c r="AF268" s="5" t="e">
        <f t="shared" si="164"/>
        <v>#N/A</v>
      </c>
      <c r="AG268" s="5" t="e">
        <f t="shared" si="165"/>
        <v>#N/A</v>
      </c>
      <c r="AH268" s="5" t="str">
        <f t="shared" si="166"/>
        <v/>
      </c>
      <c r="AI268" s="5" t="str">
        <f t="shared" si="167"/>
        <v/>
      </c>
      <c r="AJ268" s="5" t="str">
        <f t="shared" si="168"/>
        <v/>
      </c>
      <c r="AK268" s="5" t="str">
        <f t="shared" si="169"/>
        <v/>
      </c>
      <c r="AX268" s="5" t="str">
        <f t="shared" si="151"/>
        <v/>
      </c>
      <c r="AY268" s="5" t="e">
        <f t="shared" si="170"/>
        <v>#N/A</v>
      </c>
      <c r="AZ268" s="5" t="str">
        <f t="shared" si="171"/>
        <v/>
      </c>
      <c r="BA268" s="5" t="str">
        <f t="shared" si="172"/>
        <v/>
      </c>
      <c r="BB268" s="5" t="e">
        <f>IF(BA268="",NA(),COUNTIF(BA$193:$BA268,BA268))</f>
        <v>#N/A</v>
      </c>
      <c r="BC268" s="5" t="e">
        <f t="shared" si="173"/>
        <v>#N/A</v>
      </c>
      <c r="BD268" s="5" t="str">
        <f t="shared" si="152"/>
        <v/>
      </c>
      <c r="BE268" s="5" t="e">
        <f t="shared" si="174"/>
        <v>#N/A</v>
      </c>
      <c r="BF268" s="5" t="str">
        <f t="shared" si="175"/>
        <v/>
      </c>
      <c r="BG268" s="5" t="str">
        <f t="shared" si="176"/>
        <v/>
      </c>
      <c r="BH268" s="5" t="e">
        <f>IF(BG268="",NA(),COUNTIF(BG$193:$BG268,BG268))</f>
        <v>#N/A</v>
      </c>
      <c r="BI268" s="5" t="e">
        <f t="shared" si="177"/>
        <v>#N/A</v>
      </c>
      <c r="BJ268"/>
      <c r="BK268"/>
      <c r="BL268"/>
      <c r="BM268"/>
      <c r="BN268"/>
      <c r="BO268"/>
      <c r="BP268"/>
      <c r="BQ268"/>
      <c r="BR268"/>
      <c r="BS268"/>
      <c r="BT268"/>
      <c r="BU268"/>
      <c r="BV268"/>
      <c r="BW268"/>
      <c r="BX268"/>
      <c r="BY268"/>
      <c r="BZ268"/>
      <c r="CA268"/>
      <c r="CB268"/>
      <c r="CC268"/>
      <c r="CD268"/>
      <c r="CE268"/>
      <c r="CF268"/>
    </row>
    <row r="269" spans="1:84" ht="12.75" customHeight="1">
      <c r="A269"/>
      <c r="B269"/>
      <c r="C269"/>
      <c r="D269"/>
      <c r="E269"/>
      <c r="F269"/>
      <c r="G269"/>
      <c r="J269" s="5" t="e">
        <f t="shared" si="123"/>
        <v>#N/A</v>
      </c>
      <c r="K269" s="5" t="e">
        <f t="shared" si="153"/>
        <v>#N/A</v>
      </c>
      <c r="L269" s="5" t="e">
        <f t="shared" si="124"/>
        <v>#N/A</v>
      </c>
      <c r="M269" s="5" t="e">
        <f t="shared" si="154"/>
        <v>#N/A</v>
      </c>
      <c r="Q269" s="5" t="str">
        <f t="shared" si="155"/>
        <v/>
      </c>
      <c r="R269" s="5" t="e">
        <f>IF(Q269="",NA(),COUNTIF(Q269:$Q$293,Q269))</f>
        <v>#N/A</v>
      </c>
      <c r="S269" s="5" t="e">
        <f t="shared" si="156"/>
        <v>#N/A</v>
      </c>
      <c r="T269" s="5" t="e">
        <f t="shared" si="148"/>
        <v>#N/A</v>
      </c>
      <c r="U269" s="5" t="e">
        <f t="shared" si="157"/>
        <v>#N/A</v>
      </c>
      <c r="V269" s="5" t="e">
        <f t="shared" si="158"/>
        <v>#N/A</v>
      </c>
      <c r="W269" s="5" t="str">
        <f t="shared" si="159"/>
        <v/>
      </c>
      <c r="X269" s="5">
        <v>176</v>
      </c>
      <c r="Y269" s="5" t="str">
        <f t="shared" si="160"/>
        <v/>
      </c>
      <c r="Z269" s="5" t="str">
        <f t="shared" si="161"/>
        <v/>
      </c>
      <c r="AA269" s="5" t="str">
        <f t="shared" si="149"/>
        <v/>
      </c>
      <c r="AB269" s="5" t="str">
        <f t="shared" si="162"/>
        <v/>
      </c>
      <c r="AC269" s="5" t="e">
        <f>IF(AB269="",NA(),COUNTIF(AB269:$AB$293,AB269))</f>
        <v>#N/A</v>
      </c>
      <c r="AD269" s="5" t="e">
        <f t="shared" si="163"/>
        <v>#N/A</v>
      </c>
      <c r="AE269" s="5" t="e">
        <f t="shared" si="150"/>
        <v>#N/A</v>
      </c>
      <c r="AF269" s="5" t="e">
        <f t="shared" si="164"/>
        <v>#N/A</v>
      </c>
      <c r="AG269" s="5" t="e">
        <f t="shared" si="165"/>
        <v>#N/A</v>
      </c>
      <c r="AH269" s="5" t="str">
        <f t="shared" si="166"/>
        <v/>
      </c>
      <c r="AI269" s="5" t="str">
        <f t="shared" si="167"/>
        <v/>
      </c>
      <c r="AJ269" s="5" t="str">
        <f t="shared" si="168"/>
        <v/>
      </c>
      <c r="AK269" s="5" t="str">
        <f t="shared" si="169"/>
        <v/>
      </c>
      <c r="AX269" s="5" t="str">
        <f t="shared" si="151"/>
        <v/>
      </c>
      <c r="AY269" s="5" t="e">
        <f t="shared" si="170"/>
        <v>#N/A</v>
      </c>
      <c r="AZ269" s="5" t="str">
        <f t="shared" si="171"/>
        <v/>
      </c>
      <c r="BA269" s="5" t="str">
        <f t="shared" si="172"/>
        <v/>
      </c>
      <c r="BB269" s="5" t="e">
        <f>IF(BA269="",NA(),COUNTIF(BA$193:$BA269,BA269))</f>
        <v>#N/A</v>
      </c>
      <c r="BC269" s="5" t="e">
        <f t="shared" si="173"/>
        <v>#N/A</v>
      </c>
      <c r="BD269" s="5" t="str">
        <f t="shared" si="152"/>
        <v/>
      </c>
      <c r="BE269" s="5" t="e">
        <f t="shared" si="174"/>
        <v>#N/A</v>
      </c>
      <c r="BF269" s="5" t="str">
        <f t="shared" si="175"/>
        <v/>
      </c>
      <c r="BG269" s="5" t="str">
        <f t="shared" si="176"/>
        <v/>
      </c>
      <c r="BH269" s="5" t="e">
        <f>IF(BG269="",NA(),COUNTIF(BG$193:$BG269,BG269))</f>
        <v>#N/A</v>
      </c>
      <c r="BI269" s="5" t="e">
        <f t="shared" si="177"/>
        <v>#N/A</v>
      </c>
      <c r="BJ269"/>
      <c r="BK269"/>
      <c r="BL269"/>
      <c r="BM269"/>
      <c r="BN269"/>
      <c r="BO269"/>
      <c r="BP269"/>
      <c r="BQ269"/>
      <c r="BR269"/>
      <c r="BS269"/>
      <c r="BT269"/>
      <c r="BU269"/>
      <c r="BV269"/>
      <c r="BW269"/>
      <c r="BX269"/>
      <c r="BY269"/>
      <c r="BZ269"/>
      <c r="CA269"/>
      <c r="CB269"/>
      <c r="CC269"/>
      <c r="CD269"/>
      <c r="CE269"/>
      <c r="CF269"/>
    </row>
    <row r="270" spans="1:84" ht="12.75" customHeight="1">
      <c r="A270"/>
      <c r="B270"/>
      <c r="C270"/>
      <c r="D270"/>
      <c r="E270"/>
      <c r="F270"/>
      <c r="G270"/>
      <c r="J270" s="5" t="e">
        <f t="shared" si="123"/>
        <v>#N/A</v>
      </c>
      <c r="K270" s="5" t="e">
        <f t="shared" si="153"/>
        <v>#N/A</v>
      </c>
      <c r="L270" s="5" t="e">
        <f t="shared" si="124"/>
        <v>#N/A</v>
      </c>
      <c r="M270" s="5" t="e">
        <f t="shared" si="154"/>
        <v>#N/A</v>
      </c>
      <c r="Q270" s="5" t="str">
        <f t="shared" si="155"/>
        <v/>
      </c>
      <c r="R270" s="5" t="e">
        <f>IF(Q270="",NA(),COUNTIF(Q270:$Q$293,Q270))</f>
        <v>#N/A</v>
      </c>
      <c r="S270" s="5" t="e">
        <f t="shared" si="156"/>
        <v>#N/A</v>
      </c>
      <c r="T270" s="5" t="e">
        <f t="shared" si="148"/>
        <v>#N/A</v>
      </c>
      <c r="U270" s="5" t="e">
        <f t="shared" si="157"/>
        <v>#N/A</v>
      </c>
      <c r="V270" s="5" t="e">
        <f t="shared" si="158"/>
        <v>#N/A</v>
      </c>
      <c r="W270" s="5" t="str">
        <f t="shared" si="159"/>
        <v/>
      </c>
      <c r="X270" s="5">
        <v>177</v>
      </c>
      <c r="Y270" s="5" t="str">
        <f t="shared" si="160"/>
        <v/>
      </c>
      <c r="Z270" s="5" t="str">
        <f t="shared" si="161"/>
        <v/>
      </c>
      <c r="AA270" s="5" t="str">
        <f t="shared" si="149"/>
        <v/>
      </c>
      <c r="AB270" s="5" t="str">
        <f t="shared" si="162"/>
        <v/>
      </c>
      <c r="AC270" s="5" t="e">
        <f>IF(AB270="",NA(),COUNTIF(AB270:$AB$293,AB270))</f>
        <v>#N/A</v>
      </c>
      <c r="AD270" s="5" t="e">
        <f t="shared" si="163"/>
        <v>#N/A</v>
      </c>
      <c r="AE270" s="5" t="e">
        <f t="shared" si="150"/>
        <v>#N/A</v>
      </c>
      <c r="AF270" s="5" t="e">
        <f t="shared" si="164"/>
        <v>#N/A</v>
      </c>
      <c r="AG270" s="5" t="e">
        <f t="shared" si="165"/>
        <v>#N/A</v>
      </c>
      <c r="AH270" s="5" t="str">
        <f t="shared" si="166"/>
        <v/>
      </c>
      <c r="AI270" s="5" t="str">
        <f t="shared" si="167"/>
        <v/>
      </c>
      <c r="AJ270" s="5" t="str">
        <f t="shared" si="168"/>
        <v/>
      </c>
      <c r="AK270" s="5" t="str">
        <f t="shared" si="169"/>
        <v/>
      </c>
      <c r="AX270" s="5" t="str">
        <f t="shared" si="151"/>
        <v/>
      </c>
      <c r="AY270" s="5" t="e">
        <f t="shared" si="170"/>
        <v>#N/A</v>
      </c>
      <c r="AZ270" s="5" t="str">
        <f t="shared" si="171"/>
        <v/>
      </c>
      <c r="BA270" s="5" t="str">
        <f t="shared" si="172"/>
        <v/>
      </c>
      <c r="BB270" s="5" t="e">
        <f>IF(BA270="",NA(),COUNTIF(BA$193:$BA270,BA270))</f>
        <v>#N/A</v>
      </c>
      <c r="BC270" s="5" t="e">
        <f t="shared" si="173"/>
        <v>#N/A</v>
      </c>
      <c r="BD270" s="5" t="str">
        <f t="shared" si="152"/>
        <v/>
      </c>
      <c r="BE270" s="5" t="e">
        <f t="shared" si="174"/>
        <v>#N/A</v>
      </c>
      <c r="BF270" s="5" t="str">
        <f t="shared" si="175"/>
        <v/>
      </c>
      <c r="BG270" s="5" t="str">
        <f t="shared" si="176"/>
        <v/>
      </c>
      <c r="BH270" s="5" t="e">
        <f>IF(BG270="",NA(),COUNTIF(BG$193:$BG270,BG270))</f>
        <v>#N/A</v>
      </c>
      <c r="BI270" s="5" t="e">
        <f t="shared" si="177"/>
        <v>#N/A</v>
      </c>
      <c r="BJ270"/>
      <c r="BK270"/>
      <c r="BL270"/>
      <c r="BM270"/>
      <c r="BN270"/>
      <c r="BO270"/>
      <c r="BP270"/>
      <c r="BQ270"/>
      <c r="BR270"/>
      <c r="BS270"/>
      <c r="BT270"/>
      <c r="BU270"/>
      <c r="BV270"/>
      <c r="BW270"/>
      <c r="BX270"/>
      <c r="BY270"/>
      <c r="BZ270"/>
      <c r="CA270"/>
      <c r="CB270"/>
      <c r="CC270"/>
      <c r="CD270"/>
      <c r="CE270"/>
      <c r="CF270"/>
    </row>
    <row r="271" spans="1:84" ht="12.75" customHeight="1">
      <c r="A271"/>
      <c r="B271"/>
      <c r="C271"/>
      <c r="D271"/>
      <c r="E271"/>
      <c r="F271"/>
      <c r="G271"/>
      <c r="J271" s="5" t="e">
        <f t="shared" si="123"/>
        <v>#N/A</v>
      </c>
      <c r="K271" s="5" t="e">
        <f t="shared" si="153"/>
        <v>#N/A</v>
      </c>
      <c r="L271" s="5" t="e">
        <f t="shared" si="124"/>
        <v>#N/A</v>
      </c>
      <c r="M271" s="5" t="e">
        <f t="shared" si="154"/>
        <v>#N/A</v>
      </c>
      <c r="Q271" s="5" t="str">
        <f t="shared" si="155"/>
        <v/>
      </c>
      <c r="R271" s="5" t="e">
        <f>IF(Q271="",NA(),COUNTIF(Q271:$Q$293,Q271))</f>
        <v>#N/A</v>
      </c>
      <c r="S271" s="5" t="e">
        <f t="shared" si="156"/>
        <v>#N/A</v>
      </c>
      <c r="T271" s="5" t="e">
        <f t="shared" si="148"/>
        <v>#N/A</v>
      </c>
      <c r="U271" s="5" t="e">
        <f t="shared" si="157"/>
        <v>#N/A</v>
      </c>
      <c r="V271" s="5" t="e">
        <f t="shared" si="158"/>
        <v>#N/A</v>
      </c>
      <c r="W271" s="5" t="str">
        <f t="shared" si="159"/>
        <v/>
      </c>
      <c r="X271" s="5">
        <v>178</v>
      </c>
      <c r="Y271" s="5" t="str">
        <f t="shared" si="160"/>
        <v/>
      </c>
      <c r="Z271" s="5" t="str">
        <f t="shared" si="161"/>
        <v/>
      </c>
      <c r="AA271" s="5" t="str">
        <f t="shared" si="149"/>
        <v/>
      </c>
      <c r="AB271" s="5" t="str">
        <f t="shared" si="162"/>
        <v/>
      </c>
      <c r="AC271" s="5" t="e">
        <f>IF(AB271="",NA(),COUNTIF(AB271:$AB$293,AB271))</f>
        <v>#N/A</v>
      </c>
      <c r="AD271" s="5" t="e">
        <f t="shared" si="163"/>
        <v>#N/A</v>
      </c>
      <c r="AE271" s="5" t="e">
        <f t="shared" si="150"/>
        <v>#N/A</v>
      </c>
      <c r="AF271" s="5" t="e">
        <f t="shared" si="164"/>
        <v>#N/A</v>
      </c>
      <c r="AG271" s="5" t="e">
        <f t="shared" si="165"/>
        <v>#N/A</v>
      </c>
      <c r="AH271" s="5" t="str">
        <f t="shared" si="166"/>
        <v/>
      </c>
      <c r="AI271" s="5" t="str">
        <f t="shared" si="167"/>
        <v/>
      </c>
      <c r="AJ271" s="5" t="str">
        <f t="shared" si="168"/>
        <v/>
      </c>
      <c r="AK271" s="5" t="str">
        <f t="shared" si="169"/>
        <v/>
      </c>
      <c r="AX271" s="5" t="str">
        <f t="shared" si="151"/>
        <v/>
      </c>
      <c r="AY271" s="5" t="e">
        <f t="shared" si="170"/>
        <v>#N/A</v>
      </c>
      <c r="AZ271" s="5" t="str">
        <f t="shared" si="171"/>
        <v/>
      </c>
      <c r="BA271" s="5" t="str">
        <f t="shared" si="172"/>
        <v/>
      </c>
      <c r="BB271" s="5" t="e">
        <f>IF(BA271="",NA(),COUNTIF(BA$193:$BA271,BA271))</f>
        <v>#N/A</v>
      </c>
      <c r="BC271" s="5" t="e">
        <f t="shared" si="173"/>
        <v>#N/A</v>
      </c>
      <c r="BD271" s="5" t="str">
        <f t="shared" si="152"/>
        <v/>
      </c>
      <c r="BE271" s="5" t="e">
        <f t="shared" si="174"/>
        <v>#N/A</v>
      </c>
      <c r="BF271" s="5" t="str">
        <f t="shared" si="175"/>
        <v/>
      </c>
      <c r="BG271" s="5" t="str">
        <f t="shared" si="176"/>
        <v/>
      </c>
      <c r="BH271" s="5" t="e">
        <f>IF(BG271="",NA(),COUNTIF(BG$193:$BG271,BG271))</f>
        <v>#N/A</v>
      </c>
      <c r="BI271" s="5" t="e">
        <f t="shared" si="177"/>
        <v>#N/A</v>
      </c>
      <c r="BJ271"/>
      <c r="BK271"/>
      <c r="BL271"/>
      <c r="BM271"/>
      <c r="BN271"/>
      <c r="BO271"/>
      <c r="BP271"/>
      <c r="BQ271"/>
      <c r="BR271"/>
      <c r="BS271"/>
      <c r="BT271"/>
      <c r="BU271"/>
      <c r="BV271"/>
      <c r="BW271"/>
      <c r="BX271"/>
      <c r="BY271"/>
      <c r="BZ271"/>
      <c r="CA271"/>
      <c r="CB271"/>
      <c r="CC271"/>
      <c r="CD271"/>
      <c r="CE271"/>
      <c r="CF271"/>
    </row>
    <row r="272" spans="1:84" ht="12.75" customHeight="1">
      <c r="A272"/>
      <c r="B272"/>
      <c r="C272"/>
      <c r="D272"/>
      <c r="E272"/>
      <c r="F272"/>
      <c r="G272"/>
      <c r="J272" s="5" t="e">
        <f t="shared" si="123"/>
        <v>#N/A</v>
      </c>
      <c r="K272" s="5" t="e">
        <f t="shared" si="153"/>
        <v>#N/A</v>
      </c>
      <c r="L272" s="5" t="e">
        <f t="shared" si="124"/>
        <v>#N/A</v>
      </c>
      <c r="M272" s="5" t="e">
        <f t="shared" si="154"/>
        <v>#N/A</v>
      </c>
      <c r="Q272" s="5" t="str">
        <f t="shared" si="155"/>
        <v/>
      </c>
      <c r="R272" s="5" t="e">
        <f>IF(Q272="",NA(),COUNTIF(Q272:$Q$293,Q272))</f>
        <v>#N/A</v>
      </c>
      <c r="S272" s="5" t="e">
        <f t="shared" si="156"/>
        <v>#N/A</v>
      </c>
      <c r="T272" s="5" t="e">
        <f t="shared" si="148"/>
        <v>#N/A</v>
      </c>
      <c r="U272" s="5" t="e">
        <f t="shared" si="157"/>
        <v>#N/A</v>
      </c>
      <c r="V272" s="5" t="e">
        <f t="shared" si="158"/>
        <v>#N/A</v>
      </c>
      <c r="W272" s="5" t="str">
        <f t="shared" si="159"/>
        <v/>
      </c>
      <c r="X272" s="5">
        <v>179</v>
      </c>
      <c r="Y272" s="5" t="str">
        <f t="shared" si="160"/>
        <v/>
      </c>
      <c r="Z272" s="5" t="str">
        <f t="shared" si="161"/>
        <v/>
      </c>
      <c r="AA272" s="5" t="str">
        <f t="shared" si="149"/>
        <v/>
      </c>
      <c r="AB272" s="5" t="str">
        <f t="shared" si="162"/>
        <v/>
      </c>
      <c r="AC272" s="5" t="e">
        <f>IF(AB272="",NA(),COUNTIF(AB272:$AB$293,AB272))</f>
        <v>#N/A</v>
      </c>
      <c r="AD272" s="5" t="e">
        <f t="shared" si="163"/>
        <v>#N/A</v>
      </c>
      <c r="AE272" s="5" t="e">
        <f t="shared" si="150"/>
        <v>#N/A</v>
      </c>
      <c r="AF272" s="5" t="e">
        <f t="shared" si="164"/>
        <v>#N/A</v>
      </c>
      <c r="AG272" s="5" t="e">
        <f t="shared" si="165"/>
        <v>#N/A</v>
      </c>
      <c r="AH272" s="5" t="str">
        <f t="shared" si="166"/>
        <v/>
      </c>
      <c r="AI272" s="5" t="str">
        <f t="shared" si="167"/>
        <v/>
      </c>
      <c r="AJ272" s="5" t="str">
        <f t="shared" si="168"/>
        <v/>
      </c>
      <c r="AK272" s="5" t="str">
        <f t="shared" si="169"/>
        <v/>
      </c>
      <c r="AX272" s="5" t="str">
        <f t="shared" si="151"/>
        <v/>
      </c>
      <c r="AY272" s="5" t="e">
        <f t="shared" si="170"/>
        <v>#N/A</v>
      </c>
      <c r="AZ272" s="5" t="str">
        <f t="shared" si="171"/>
        <v/>
      </c>
      <c r="BA272" s="5" t="str">
        <f t="shared" si="172"/>
        <v/>
      </c>
      <c r="BB272" s="5" t="e">
        <f>IF(BA272="",NA(),COUNTIF(BA$193:$BA272,BA272))</f>
        <v>#N/A</v>
      </c>
      <c r="BC272" s="5" t="e">
        <f t="shared" si="173"/>
        <v>#N/A</v>
      </c>
      <c r="BD272" s="5" t="str">
        <f t="shared" si="152"/>
        <v/>
      </c>
      <c r="BE272" s="5" t="e">
        <f t="shared" si="174"/>
        <v>#N/A</v>
      </c>
      <c r="BF272" s="5" t="str">
        <f t="shared" si="175"/>
        <v/>
      </c>
      <c r="BG272" s="5" t="str">
        <f t="shared" si="176"/>
        <v/>
      </c>
      <c r="BH272" s="5" t="e">
        <f>IF(BG272="",NA(),COUNTIF(BG$193:$BG272,BG272))</f>
        <v>#N/A</v>
      </c>
      <c r="BI272" s="5" t="e">
        <f t="shared" si="177"/>
        <v>#N/A</v>
      </c>
      <c r="BJ272"/>
      <c r="BK272"/>
      <c r="BL272"/>
      <c r="BM272"/>
      <c r="BN272"/>
      <c r="BO272"/>
      <c r="BP272"/>
      <c r="BQ272"/>
      <c r="BR272"/>
      <c r="BS272"/>
      <c r="BT272"/>
      <c r="BU272"/>
      <c r="BV272"/>
      <c r="BW272"/>
      <c r="BX272"/>
      <c r="BY272"/>
      <c r="BZ272"/>
      <c r="CA272"/>
      <c r="CB272"/>
      <c r="CC272"/>
      <c r="CD272"/>
      <c r="CE272"/>
      <c r="CF272"/>
    </row>
    <row r="273" spans="1:84" ht="12.75" customHeight="1">
      <c r="A273"/>
      <c r="B273"/>
      <c r="C273"/>
      <c r="D273"/>
      <c r="E273"/>
      <c r="F273"/>
      <c r="G273"/>
      <c r="J273" s="5" t="e">
        <f t="shared" si="123"/>
        <v>#N/A</v>
      </c>
      <c r="K273" s="5" t="e">
        <f t="shared" si="153"/>
        <v>#N/A</v>
      </c>
      <c r="L273" s="5" t="e">
        <f t="shared" si="124"/>
        <v>#N/A</v>
      </c>
      <c r="M273" s="5" t="e">
        <f t="shared" si="154"/>
        <v>#N/A</v>
      </c>
      <c r="Q273" s="5" t="str">
        <f t="shared" si="155"/>
        <v/>
      </c>
      <c r="R273" s="5" t="e">
        <f>IF(Q273="",NA(),COUNTIF(Q273:$Q$293,Q273))</f>
        <v>#N/A</v>
      </c>
      <c r="S273" s="5" t="e">
        <f t="shared" si="156"/>
        <v>#N/A</v>
      </c>
      <c r="T273" s="5" t="e">
        <f t="shared" si="148"/>
        <v>#N/A</v>
      </c>
      <c r="U273" s="5" t="e">
        <f t="shared" si="157"/>
        <v>#N/A</v>
      </c>
      <c r="V273" s="5" t="e">
        <f t="shared" si="158"/>
        <v>#N/A</v>
      </c>
      <c r="W273" s="5" t="str">
        <f t="shared" si="159"/>
        <v/>
      </c>
      <c r="X273" s="5">
        <v>180</v>
      </c>
      <c r="Y273" s="5" t="str">
        <f t="shared" si="160"/>
        <v/>
      </c>
      <c r="Z273" s="5" t="str">
        <f t="shared" si="161"/>
        <v/>
      </c>
      <c r="AA273" s="5" t="str">
        <f t="shared" si="149"/>
        <v/>
      </c>
      <c r="AB273" s="5" t="str">
        <f t="shared" si="162"/>
        <v/>
      </c>
      <c r="AC273" s="5" t="e">
        <f>IF(AB273="",NA(),COUNTIF(AB273:$AB$293,AB273))</f>
        <v>#N/A</v>
      </c>
      <c r="AD273" s="5" t="e">
        <f t="shared" si="163"/>
        <v>#N/A</v>
      </c>
      <c r="AE273" s="5" t="e">
        <f t="shared" si="150"/>
        <v>#N/A</v>
      </c>
      <c r="AF273" s="5" t="e">
        <f t="shared" si="164"/>
        <v>#N/A</v>
      </c>
      <c r="AG273" s="5" t="e">
        <f t="shared" si="165"/>
        <v>#N/A</v>
      </c>
      <c r="AH273" s="5" t="str">
        <f t="shared" si="166"/>
        <v/>
      </c>
      <c r="AI273" s="5" t="str">
        <f t="shared" si="167"/>
        <v/>
      </c>
      <c r="AJ273" s="5" t="str">
        <f t="shared" si="168"/>
        <v/>
      </c>
      <c r="AK273" s="5" t="str">
        <f t="shared" si="169"/>
        <v/>
      </c>
      <c r="AX273" s="5" t="str">
        <f t="shared" si="151"/>
        <v/>
      </c>
      <c r="AY273" s="5" t="e">
        <f t="shared" si="170"/>
        <v>#N/A</v>
      </c>
      <c r="AZ273" s="5" t="str">
        <f t="shared" si="171"/>
        <v/>
      </c>
      <c r="BA273" s="5" t="str">
        <f t="shared" si="172"/>
        <v/>
      </c>
      <c r="BB273" s="5" t="e">
        <f>IF(BA273="",NA(),COUNTIF(BA$193:$BA273,BA273))</f>
        <v>#N/A</v>
      </c>
      <c r="BC273" s="5" t="e">
        <f t="shared" si="173"/>
        <v>#N/A</v>
      </c>
      <c r="BD273" s="5" t="str">
        <f t="shared" si="152"/>
        <v/>
      </c>
      <c r="BE273" s="5" t="e">
        <f t="shared" si="174"/>
        <v>#N/A</v>
      </c>
      <c r="BF273" s="5" t="str">
        <f t="shared" si="175"/>
        <v/>
      </c>
      <c r="BG273" s="5" t="str">
        <f t="shared" si="176"/>
        <v/>
      </c>
      <c r="BH273" s="5" t="e">
        <f>IF(BG273="",NA(),COUNTIF(BG$193:$BG273,BG273))</f>
        <v>#N/A</v>
      </c>
      <c r="BI273" s="5" t="e">
        <f t="shared" si="177"/>
        <v>#N/A</v>
      </c>
      <c r="BJ273"/>
      <c r="BK273"/>
      <c r="BL273"/>
      <c r="BM273"/>
      <c r="BN273"/>
      <c r="BO273"/>
      <c r="BP273"/>
      <c r="BQ273"/>
      <c r="BR273"/>
      <c r="BS273"/>
      <c r="BT273"/>
      <c r="BU273"/>
      <c r="BV273"/>
      <c r="BW273"/>
      <c r="BX273"/>
      <c r="BY273"/>
      <c r="BZ273"/>
      <c r="CA273"/>
      <c r="CB273"/>
      <c r="CC273"/>
      <c r="CD273"/>
      <c r="CE273"/>
      <c r="CF273"/>
    </row>
    <row r="274" spans="1:84" ht="12.75" customHeight="1">
      <c r="A274"/>
      <c r="B274"/>
      <c r="C274"/>
      <c r="D274"/>
      <c r="E274"/>
      <c r="F274"/>
      <c r="G274"/>
      <c r="J274" s="5" t="e">
        <f t="shared" si="123"/>
        <v>#N/A</v>
      </c>
      <c r="K274" s="5" t="e">
        <f t="shared" si="153"/>
        <v>#N/A</v>
      </c>
      <c r="L274" s="5" t="e">
        <f t="shared" si="124"/>
        <v>#N/A</v>
      </c>
      <c r="M274" s="5" t="e">
        <f t="shared" si="154"/>
        <v>#N/A</v>
      </c>
      <c r="Q274" s="5" t="str">
        <f t="shared" si="155"/>
        <v/>
      </c>
      <c r="R274" s="5" t="e">
        <f>IF(Q274="",NA(),COUNTIF(Q274:$Q$293,Q274))</f>
        <v>#N/A</v>
      </c>
      <c r="S274" s="5" t="e">
        <f t="shared" si="156"/>
        <v>#N/A</v>
      </c>
      <c r="T274" s="5" t="e">
        <f t="shared" si="148"/>
        <v>#N/A</v>
      </c>
      <c r="U274" s="5" t="e">
        <f t="shared" si="157"/>
        <v>#N/A</v>
      </c>
      <c r="V274" s="5" t="e">
        <f t="shared" si="158"/>
        <v>#N/A</v>
      </c>
      <c r="W274" s="5" t="str">
        <f t="shared" si="159"/>
        <v/>
      </c>
      <c r="X274" s="5">
        <v>181</v>
      </c>
      <c r="Y274" s="5" t="str">
        <f t="shared" si="160"/>
        <v/>
      </c>
      <c r="Z274" s="5" t="str">
        <f t="shared" si="161"/>
        <v/>
      </c>
      <c r="AA274" s="5" t="str">
        <f t="shared" si="149"/>
        <v/>
      </c>
      <c r="AB274" s="5" t="str">
        <f t="shared" si="162"/>
        <v/>
      </c>
      <c r="AC274" s="5" t="e">
        <f>IF(AB274="",NA(),COUNTIF(AB274:$AB$293,AB274))</f>
        <v>#N/A</v>
      </c>
      <c r="AD274" s="5" t="e">
        <f t="shared" si="163"/>
        <v>#N/A</v>
      </c>
      <c r="AE274" s="5" t="e">
        <f t="shared" si="150"/>
        <v>#N/A</v>
      </c>
      <c r="AF274" s="5" t="e">
        <f t="shared" si="164"/>
        <v>#N/A</v>
      </c>
      <c r="AG274" s="5" t="e">
        <f t="shared" si="165"/>
        <v>#N/A</v>
      </c>
      <c r="AH274" s="5" t="str">
        <f t="shared" si="166"/>
        <v/>
      </c>
      <c r="AI274" s="5" t="str">
        <f t="shared" si="167"/>
        <v/>
      </c>
      <c r="AJ274" s="5" t="str">
        <f t="shared" si="168"/>
        <v/>
      </c>
      <c r="AK274" s="5" t="str">
        <f t="shared" si="169"/>
        <v/>
      </c>
      <c r="AX274" s="5" t="str">
        <f t="shared" si="151"/>
        <v/>
      </c>
      <c r="AY274" s="5" t="e">
        <f t="shared" si="170"/>
        <v>#N/A</v>
      </c>
      <c r="AZ274" s="5" t="str">
        <f t="shared" si="171"/>
        <v/>
      </c>
      <c r="BA274" s="5" t="str">
        <f t="shared" si="172"/>
        <v/>
      </c>
      <c r="BB274" s="5" t="e">
        <f>IF(BA274="",NA(),COUNTIF(BA$193:$BA274,BA274))</f>
        <v>#N/A</v>
      </c>
      <c r="BC274" s="5" t="e">
        <f t="shared" si="173"/>
        <v>#N/A</v>
      </c>
      <c r="BD274" s="5" t="str">
        <f t="shared" si="152"/>
        <v/>
      </c>
      <c r="BE274" s="5" t="e">
        <f t="shared" si="174"/>
        <v>#N/A</v>
      </c>
      <c r="BF274" s="5" t="str">
        <f t="shared" si="175"/>
        <v/>
      </c>
      <c r="BG274" s="5" t="str">
        <f t="shared" si="176"/>
        <v/>
      </c>
      <c r="BH274" s="5" t="e">
        <f>IF(BG274="",NA(),COUNTIF(BG$193:$BG274,BG274))</f>
        <v>#N/A</v>
      </c>
      <c r="BI274" s="5" t="e">
        <f t="shared" si="177"/>
        <v>#N/A</v>
      </c>
      <c r="BJ274"/>
      <c r="BK274"/>
      <c r="BL274"/>
      <c r="BM274"/>
      <c r="BN274"/>
      <c r="BO274"/>
      <c r="BP274"/>
      <c r="BQ274"/>
      <c r="BR274"/>
      <c r="BS274"/>
      <c r="BT274"/>
      <c r="BU274"/>
      <c r="BV274"/>
      <c r="BW274"/>
      <c r="BX274"/>
      <c r="BY274"/>
      <c r="BZ274"/>
      <c r="CA274"/>
      <c r="CB274"/>
      <c r="CC274"/>
      <c r="CD274"/>
      <c r="CE274"/>
      <c r="CF274"/>
    </row>
    <row r="275" spans="1:84" ht="12.75" customHeight="1">
      <c r="A275"/>
      <c r="B275"/>
      <c r="C275"/>
      <c r="D275"/>
      <c r="E275"/>
      <c r="F275"/>
      <c r="G275"/>
      <c r="J275" s="5" t="e">
        <f t="shared" si="123"/>
        <v>#N/A</v>
      </c>
      <c r="K275" s="5" t="e">
        <f t="shared" si="153"/>
        <v>#N/A</v>
      </c>
      <c r="L275" s="5" t="e">
        <f t="shared" si="124"/>
        <v>#N/A</v>
      </c>
      <c r="M275" s="5" t="e">
        <f t="shared" si="154"/>
        <v>#N/A</v>
      </c>
      <c r="Q275" s="5" t="str">
        <f t="shared" si="155"/>
        <v/>
      </c>
      <c r="R275" s="5" t="e">
        <f>IF(Q275="",NA(),COUNTIF(Q275:$Q$293,Q275))</f>
        <v>#N/A</v>
      </c>
      <c r="S275" s="5" t="e">
        <f t="shared" si="156"/>
        <v>#N/A</v>
      </c>
      <c r="T275" s="5" t="e">
        <f t="shared" si="148"/>
        <v>#N/A</v>
      </c>
      <c r="U275" s="5" t="e">
        <f t="shared" si="157"/>
        <v>#N/A</v>
      </c>
      <c r="V275" s="5" t="e">
        <f t="shared" si="158"/>
        <v>#N/A</v>
      </c>
      <c r="W275" s="5" t="str">
        <f t="shared" si="159"/>
        <v/>
      </c>
      <c r="X275" s="5">
        <v>182</v>
      </c>
      <c r="Y275" s="5" t="str">
        <f t="shared" si="160"/>
        <v/>
      </c>
      <c r="Z275" s="5" t="str">
        <f t="shared" si="161"/>
        <v/>
      </c>
      <c r="AA275" s="5" t="str">
        <f t="shared" si="149"/>
        <v/>
      </c>
      <c r="AB275" s="5" t="str">
        <f t="shared" si="162"/>
        <v/>
      </c>
      <c r="AC275" s="5" t="e">
        <f>IF(AB275="",NA(),COUNTIF(AB275:$AB$293,AB275))</f>
        <v>#N/A</v>
      </c>
      <c r="AD275" s="5" t="e">
        <f t="shared" si="163"/>
        <v>#N/A</v>
      </c>
      <c r="AE275" s="5" t="e">
        <f t="shared" si="150"/>
        <v>#N/A</v>
      </c>
      <c r="AF275" s="5" t="e">
        <f t="shared" si="164"/>
        <v>#N/A</v>
      </c>
      <c r="AG275" s="5" t="e">
        <f t="shared" si="165"/>
        <v>#N/A</v>
      </c>
      <c r="AH275" s="5" t="str">
        <f t="shared" si="166"/>
        <v/>
      </c>
      <c r="AI275" s="5" t="str">
        <f t="shared" si="167"/>
        <v/>
      </c>
      <c r="AJ275" s="5" t="str">
        <f t="shared" si="168"/>
        <v/>
      </c>
      <c r="AK275" s="5" t="str">
        <f t="shared" si="169"/>
        <v/>
      </c>
      <c r="AX275" s="5" t="str">
        <f t="shared" si="151"/>
        <v/>
      </c>
      <c r="AY275" s="5" t="e">
        <f t="shared" si="170"/>
        <v>#N/A</v>
      </c>
      <c r="AZ275" s="5" t="str">
        <f t="shared" si="171"/>
        <v/>
      </c>
      <c r="BA275" s="5" t="str">
        <f t="shared" si="172"/>
        <v/>
      </c>
      <c r="BB275" s="5" t="e">
        <f>IF(BA275="",NA(),COUNTIF(BA$193:$BA275,BA275))</f>
        <v>#N/A</v>
      </c>
      <c r="BC275" s="5" t="e">
        <f t="shared" si="173"/>
        <v>#N/A</v>
      </c>
      <c r="BD275" s="5" t="str">
        <f t="shared" si="152"/>
        <v/>
      </c>
      <c r="BE275" s="5" t="e">
        <f t="shared" si="174"/>
        <v>#N/A</v>
      </c>
      <c r="BF275" s="5" t="str">
        <f t="shared" si="175"/>
        <v/>
      </c>
      <c r="BG275" s="5" t="str">
        <f t="shared" si="176"/>
        <v/>
      </c>
      <c r="BH275" s="5" t="e">
        <f>IF(BG275="",NA(),COUNTIF(BG$193:$BG275,BG275))</f>
        <v>#N/A</v>
      </c>
      <c r="BI275" s="5" t="e">
        <f t="shared" si="177"/>
        <v>#N/A</v>
      </c>
      <c r="BJ275"/>
      <c r="BK275"/>
      <c r="BL275"/>
      <c r="BM275"/>
      <c r="BN275"/>
      <c r="BO275"/>
      <c r="BP275"/>
      <c r="BQ275"/>
      <c r="BR275"/>
      <c r="BS275"/>
      <c r="BT275"/>
      <c r="BU275"/>
      <c r="BV275"/>
      <c r="BW275"/>
      <c r="BX275"/>
      <c r="BY275"/>
      <c r="BZ275"/>
      <c r="CA275"/>
      <c r="CB275"/>
      <c r="CC275"/>
      <c r="CD275"/>
      <c r="CE275"/>
      <c r="CF275"/>
    </row>
    <row r="276" spans="1:84" ht="12.75" customHeight="1">
      <c r="A276"/>
      <c r="B276"/>
      <c r="C276"/>
      <c r="D276"/>
      <c r="E276"/>
      <c r="F276"/>
      <c r="G276"/>
      <c r="J276" s="5" t="e">
        <f t="shared" si="123"/>
        <v>#N/A</v>
      </c>
      <c r="K276" s="5" t="e">
        <f t="shared" si="153"/>
        <v>#N/A</v>
      </c>
      <c r="L276" s="5" t="e">
        <f t="shared" si="124"/>
        <v>#N/A</v>
      </c>
      <c r="M276" s="5" t="e">
        <f t="shared" si="154"/>
        <v>#N/A</v>
      </c>
      <c r="Q276" s="5" t="str">
        <f t="shared" si="155"/>
        <v/>
      </c>
      <c r="R276" s="5" t="e">
        <f>IF(Q276="",NA(),COUNTIF(Q276:$Q$293,Q276))</f>
        <v>#N/A</v>
      </c>
      <c r="S276" s="5" t="e">
        <f t="shared" si="156"/>
        <v>#N/A</v>
      </c>
      <c r="T276" s="5" t="e">
        <f t="shared" si="148"/>
        <v>#N/A</v>
      </c>
      <c r="U276" s="5" t="e">
        <f t="shared" si="157"/>
        <v>#N/A</v>
      </c>
      <c r="V276" s="5" t="e">
        <f t="shared" si="158"/>
        <v>#N/A</v>
      </c>
      <c r="W276" s="5" t="str">
        <f t="shared" si="159"/>
        <v/>
      </c>
      <c r="X276" s="5">
        <v>183</v>
      </c>
      <c r="Y276" s="5" t="str">
        <f t="shared" si="160"/>
        <v/>
      </c>
      <c r="Z276" s="5" t="str">
        <f t="shared" si="161"/>
        <v/>
      </c>
      <c r="AA276" s="5" t="str">
        <f t="shared" si="149"/>
        <v/>
      </c>
      <c r="AB276" s="5" t="str">
        <f t="shared" si="162"/>
        <v/>
      </c>
      <c r="AC276" s="5" t="e">
        <f>IF(AB276="",NA(),COUNTIF(AB276:$AB$293,AB276))</f>
        <v>#N/A</v>
      </c>
      <c r="AD276" s="5" t="e">
        <f t="shared" si="163"/>
        <v>#N/A</v>
      </c>
      <c r="AE276" s="5" t="e">
        <f t="shared" si="150"/>
        <v>#N/A</v>
      </c>
      <c r="AF276" s="5" t="e">
        <f t="shared" si="164"/>
        <v>#N/A</v>
      </c>
      <c r="AG276" s="5" t="e">
        <f t="shared" si="165"/>
        <v>#N/A</v>
      </c>
      <c r="AH276" s="5" t="str">
        <f t="shared" si="166"/>
        <v/>
      </c>
      <c r="AI276" s="5" t="str">
        <f t="shared" si="167"/>
        <v/>
      </c>
      <c r="AJ276" s="5" t="str">
        <f t="shared" si="168"/>
        <v/>
      </c>
      <c r="AK276" s="5" t="str">
        <f t="shared" si="169"/>
        <v/>
      </c>
      <c r="AX276" s="5" t="str">
        <f t="shared" si="151"/>
        <v/>
      </c>
      <c r="AY276" s="5" t="e">
        <f t="shared" si="170"/>
        <v>#N/A</v>
      </c>
      <c r="AZ276" s="5" t="str">
        <f t="shared" si="171"/>
        <v/>
      </c>
      <c r="BA276" s="5" t="str">
        <f t="shared" si="172"/>
        <v/>
      </c>
      <c r="BB276" s="5" t="e">
        <f>IF(BA276="",NA(),COUNTIF(BA$193:$BA276,BA276))</f>
        <v>#N/A</v>
      </c>
      <c r="BC276" s="5" t="e">
        <f t="shared" si="173"/>
        <v>#N/A</v>
      </c>
      <c r="BD276" s="5" t="str">
        <f t="shared" si="152"/>
        <v/>
      </c>
      <c r="BE276" s="5" t="e">
        <f t="shared" si="174"/>
        <v>#N/A</v>
      </c>
      <c r="BF276" s="5" t="str">
        <f t="shared" si="175"/>
        <v/>
      </c>
      <c r="BG276" s="5" t="str">
        <f t="shared" si="176"/>
        <v/>
      </c>
      <c r="BH276" s="5" t="e">
        <f>IF(BG276="",NA(),COUNTIF(BG$193:$BG276,BG276))</f>
        <v>#N/A</v>
      </c>
      <c r="BI276" s="5" t="e">
        <f t="shared" si="177"/>
        <v>#N/A</v>
      </c>
      <c r="BJ276"/>
      <c r="BK276"/>
      <c r="BL276"/>
      <c r="BM276"/>
      <c r="BN276"/>
      <c r="BO276"/>
      <c r="BP276"/>
      <c r="BQ276"/>
      <c r="BR276"/>
      <c r="BS276"/>
      <c r="BT276"/>
      <c r="BU276"/>
      <c r="BV276"/>
      <c r="BW276"/>
      <c r="BX276"/>
      <c r="BY276"/>
      <c r="BZ276"/>
      <c r="CA276"/>
      <c r="CB276"/>
      <c r="CC276"/>
      <c r="CD276"/>
      <c r="CE276"/>
      <c r="CF276"/>
    </row>
    <row r="277" spans="1:84" ht="12.75" customHeight="1">
      <c r="A277"/>
      <c r="B277"/>
      <c r="C277"/>
      <c r="D277"/>
      <c r="E277"/>
      <c r="F277"/>
      <c r="G277"/>
      <c r="J277" s="5" t="e">
        <f t="shared" ref="J277:J283" si="178">0.85-IF($AP$92,BC287-$S$83,0)</f>
        <v>#N/A</v>
      </c>
      <c r="K277" s="5" t="e">
        <f t="shared" si="153"/>
        <v>#N/A</v>
      </c>
      <c r="L277" s="5" t="e">
        <f t="shared" ref="L277:L283" si="179">2.15+IF($AP$92,BI287-$S$83,0)</f>
        <v>#N/A</v>
      </c>
      <c r="M277" s="5" t="e">
        <f t="shared" si="154"/>
        <v>#N/A</v>
      </c>
      <c r="Q277" s="5" t="str">
        <f t="shared" si="155"/>
        <v/>
      </c>
      <c r="R277" s="5" t="e">
        <f>IF(Q277="",NA(),COUNTIF(Q277:$Q$293,Q277))</f>
        <v>#N/A</v>
      </c>
      <c r="S277" s="5" t="e">
        <f t="shared" si="156"/>
        <v>#N/A</v>
      </c>
      <c r="T277" s="5" t="e">
        <f t="shared" si="148"/>
        <v>#N/A</v>
      </c>
      <c r="U277" s="5" t="e">
        <f t="shared" si="157"/>
        <v>#N/A</v>
      </c>
      <c r="V277" s="5" t="e">
        <f t="shared" si="158"/>
        <v>#N/A</v>
      </c>
      <c r="W277" s="5" t="str">
        <f t="shared" si="159"/>
        <v/>
      </c>
      <c r="X277" s="5">
        <v>184</v>
      </c>
      <c r="Y277" s="5" t="str">
        <f t="shared" si="160"/>
        <v/>
      </c>
      <c r="Z277" s="5" t="str">
        <f t="shared" si="161"/>
        <v/>
      </c>
      <c r="AA277" s="5" t="str">
        <f t="shared" si="149"/>
        <v/>
      </c>
      <c r="AB277" s="5" t="str">
        <f t="shared" si="162"/>
        <v/>
      </c>
      <c r="AC277" s="5" t="e">
        <f>IF(AB277="",NA(),COUNTIF(AB277:$AB$293,AB277))</f>
        <v>#N/A</v>
      </c>
      <c r="AD277" s="5" t="e">
        <f t="shared" si="163"/>
        <v>#N/A</v>
      </c>
      <c r="AE277" s="5" t="e">
        <f t="shared" si="150"/>
        <v>#N/A</v>
      </c>
      <c r="AF277" s="5" t="e">
        <f t="shared" si="164"/>
        <v>#N/A</v>
      </c>
      <c r="AG277" s="5" t="e">
        <f t="shared" si="165"/>
        <v>#N/A</v>
      </c>
      <c r="AH277" s="5" t="str">
        <f t="shared" si="166"/>
        <v/>
      </c>
      <c r="AI277" s="5" t="str">
        <f t="shared" si="167"/>
        <v/>
      </c>
      <c r="AJ277" s="5" t="str">
        <f t="shared" si="168"/>
        <v/>
      </c>
      <c r="AK277" s="5" t="str">
        <f t="shared" si="169"/>
        <v/>
      </c>
      <c r="AX277" s="5" t="str">
        <f t="shared" si="151"/>
        <v/>
      </c>
      <c r="AY277" s="5" t="e">
        <f t="shared" si="170"/>
        <v>#N/A</v>
      </c>
      <c r="AZ277" s="5" t="str">
        <f t="shared" si="171"/>
        <v/>
      </c>
      <c r="BA277" s="5" t="str">
        <f t="shared" si="172"/>
        <v/>
      </c>
      <c r="BB277" s="5" t="e">
        <f>IF(BA277="",NA(),COUNTIF(BA$193:$BA277,BA277))</f>
        <v>#N/A</v>
      </c>
      <c r="BC277" s="5" t="e">
        <f t="shared" si="173"/>
        <v>#N/A</v>
      </c>
      <c r="BD277" s="5" t="str">
        <f t="shared" si="152"/>
        <v/>
      </c>
      <c r="BE277" s="5" t="e">
        <f t="shared" si="174"/>
        <v>#N/A</v>
      </c>
      <c r="BF277" s="5" t="str">
        <f t="shared" si="175"/>
        <v/>
      </c>
      <c r="BG277" s="5" t="str">
        <f t="shared" si="176"/>
        <v/>
      </c>
      <c r="BH277" s="5" t="e">
        <f>IF(BG277="",NA(),COUNTIF(BG$193:$BG277,BG277))</f>
        <v>#N/A</v>
      </c>
      <c r="BI277" s="5" t="e">
        <f t="shared" si="177"/>
        <v>#N/A</v>
      </c>
      <c r="BJ277"/>
      <c r="BK277"/>
      <c r="BL277"/>
      <c r="BM277"/>
      <c r="BN277"/>
      <c r="BO277"/>
      <c r="BP277"/>
      <c r="BQ277"/>
      <c r="BR277"/>
      <c r="BS277"/>
      <c r="BT277"/>
      <c r="BU277"/>
      <c r="BV277"/>
      <c r="BW277"/>
      <c r="BX277"/>
      <c r="BY277"/>
      <c r="BZ277"/>
      <c r="CA277"/>
      <c r="CB277"/>
      <c r="CC277"/>
      <c r="CD277"/>
      <c r="CE277"/>
      <c r="CF277"/>
    </row>
    <row r="278" spans="1:84" ht="12.75" customHeight="1">
      <c r="A278"/>
      <c r="B278"/>
      <c r="C278"/>
      <c r="D278"/>
      <c r="E278"/>
      <c r="F278"/>
      <c r="G278"/>
      <c r="J278" s="5" t="e">
        <f t="shared" si="178"/>
        <v>#N/A</v>
      </c>
      <c r="K278" s="5" t="e">
        <f t="shared" si="153"/>
        <v>#N/A</v>
      </c>
      <c r="L278" s="5" t="e">
        <f t="shared" si="179"/>
        <v>#N/A</v>
      </c>
      <c r="M278" s="5" t="e">
        <f t="shared" si="154"/>
        <v>#N/A</v>
      </c>
      <c r="Q278" s="5" t="str">
        <f t="shared" si="155"/>
        <v/>
      </c>
      <c r="R278" s="5" t="e">
        <f>IF(Q278="",NA(),COUNTIF(Q278:$Q$293,Q278))</f>
        <v>#N/A</v>
      </c>
      <c r="S278" s="5" t="e">
        <f t="shared" si="156"/>
        <v>#N/A</v>
      </c>
      <c r="T278" s="5" t="e">
        <f t="shared" si="148"/>
        <v>#N/A</v>
      </c>
      <c r="U278" s="5" t="e">
        <f t="shared" si="157"/>
        <v>#N/A</v>
      </c>
      <c r="V278" s="5" t="e">
        <f t="shared" si="158"/>
        <v>#N/A</v>
      </c>
      <c r="W278" s="5" t="str">
        <f t="shared" si="159"/>
        <v/>
      </c>
      <c r="X278" s="5">
        <v>185</v>
      </c>
      <c r="Y278" s="5" t="str">
        <f t="shared" si="160"/>
        <v/>
      </c>
      <c r="Z278" s="5" t="str">
        <f t="shared" si="161"/>
        <v/>
      </c>
      <c r="AA278" s="5" t="str">
        <f t="shared" si="149"/>
        <v/>
      </c>
      <c r="AB278" s="5" t="str">
        <f t="shared" si="162"/>
        <v/>
      </c>
      <c r="AC278" s="5" t="e">
        <f>IF(AB278="",NA(),COUNTIF(AB278:$AB$293,AB278))</f>
        <v>#N/A</v>
      </c>
      <c r="AD278" s="5" t="e">
        <f t="shared" si="163"/>
        <v>#N/A</v>
      </c>
      <c r="AE278" s="5" t="e">
        <f t="shared" si="150"/>
        <v>#N/A</v>
      </c>
      <c r="AF278" s="5" t="e">
        <f t="shared" si="164"/>
        <v>#N/A</v>
      </c>
      <c r="AG278" s="5" t="e">
        <f t="shared" si="165"/>
        <v>#N/A</v>
      </c>
      <c r="AH278" s="5" t="str">
        <f t="shared" si="166"/>
        <v/>
      </c>
      <c r="AI278" s="5" t="str">
        <f t="shared" si="167"/>
        <v/>
      </c>
      <c r="AJ278" s="5" t="str">
        <f t="shared" si="168"/>
        <v/>
      </c>
      <c r="AK278" s="5" t="str">
        <f t="shared" si="169"/>
        <v/>
      </c>
      <c r="AX278" s="5" t="str">
        <f t="shared" si="151"/>
        <v/>
      </c>
      <c r="AY278" s="5" t="e">
        <f t="shared" si="170"/>
        <v>#N/A</v>
      </c>
      <c r="AZ278" s="5" t="str">
        <f t="shared" si="171"/>
        <v/>
      </c>
      <c r="BA278" s="5" t="str">
        <f t="shared" si="172"/>
        <v/>
      </c>
      <c r="BB278" s="5" t="e">
        <f>IF(BA278="",NA(),COUNTIF(BA$193:$BA278,BA278))</f>
        <v>#N/A</v>
      </c>
      <c r="BC278" s="5" t="e">
        <f t="shared" si="173"/>
        <v>#N/A</v>
      </c>
      <c r="BD278" s="5" t="str">
        <f t="shared" si="152"/>
        <v/>
      </c>
      <c r="BE278" s="5" t="e">
        <f t="shared" si="174"/>
        <v>#N/A</v>
      </c>
      <c r="BF278" s="5" t="str">
        <f t="shared" si="175"/>
        <v/>
      </c>
      <c r="BG278" s="5" t="str">
        <f t="shared" si="176"/>
        <v/>
      </c>
      <c r="BH278" s="5" t="e">
        <f>IF(BG278="",NA(),COUNTIF(BG$193:$BG278,BG278))</f>
        <v>#N/A</v>
      </c>
      <c r="BI278" s="5" t="e">
        <f t="shared" si="177"/>
        <v>#N/A</v>
      </c>
      <c r="BJ278"/>
      <c r="BK278"/>
      <c r="BL278"/>
      <c r="BM278"/>
      <c r="BN278"/>
      <c r="BO278"/>
      <c r="BP278"/>
      <c r="BQ278"/>
      <c r="BR278"/>
      <c r="BS278"/>
      <c r="BT278"/>
      <c r="BU278"/>
      <c r="BV278"/>
      <c r="BW278"/>
      <c r="BX278"/>
      <c r="BY278"/>
      <c r="BZ278"/>
      <c r="CA278"/>
      <c r="CB278"/>
      <c r="CC278"/>
      <c r="CD278"/>
      <c r="CE278"/>
      <c r="CF278"/>
    </row>
    <row r="279" spans="1:84" ht="12.75" customHeight="1">
      <c r="A279"/>
      <c r="B279"/>
      <c r="C279"/>
      <c r="D279"/>
      <c r="E279"/>
      <c r="F279"/>
      <c r="G279"/>
      <c r="J279" s="5" t="e">
        <f t="shared" si="178"/>
        <v>#N/A</v>
      </c>
      <c r="K279" s="5" t="e">
        <f t="shared" si="153"/>
        <v>#N/A</v>
      </c>
      <c r="L279" s="5" t="e">
        <f t="shared" si="179"/>
        <v>#N/A</v>
      </c>
      <c r="M279" s="5" t="e">
        <f t="shared" si="154"/>
        <v>#N/A</v>
      </c>
      <c r="Q279" s="5" t="str">
        <f t="shared" si="155"/>
        <v/>
      </c>
      <c r="R279" s="5" t="e">
        <f>IF(Q279="",NA(),COUNTIF(Q279:$Q$293,Q279))</f>
        <v>#N/A</v>
      </c>
      <c r="S279" s="5" t="e">
        <f t="shared" si="156"/>
        <v>#N/A</v>
      </c>
      <c r="T279" s="5" t="e">
        <f t="shared" si="148"/>
        <v>#N/A</v>
      </c>
      <c r="U279" s="5" t="e">
        <f t="shared" si="157"/>
        <v>#N/A</v>
      </c>
      <c r="V279" s="5" t="e">
        <f t="shared" si="158"/>
        <v>#N/A</v>
      </c>
      <c r="W279" s="5" t="str">
        <f t="shared" si="159"/>
        <v/>
      </c>
      <c r="X279" s="5">
        <v>186</v>
      </c>
      <c r="Y279" s="5" t="str">
        <f t="shared" si="160"/>
        <v/>
      </c>
      <c r="Z279" s="5" t="str">
        <f t="shared" si="161"/>
        <v/>
      </c>
      <c r="AA279" s="5" t="str">
        <f t="shared" si="149"/>
        <v/>
      </c>
      <c r="AB279" s="5" t="str">
        <f t="shared" si="162"/>
        <v/>
      </c>
      <c r="AC279" s="5" t="e">
        <f>IF(AB279="",NA(),COUNTIF(AB279:$AB$293,AB279))</f>
        <v>#N/A</v>
      </c>
      <c r="AD279" s="5" t="e">
        <f t="shared" si="163"/>
        <v>#N/A</v>
      </c>
      <c r="AE279" s="5" t="e">
        <f t="shared" si="150"/>
        <v>#N/A</v>
      </c>
      <c r="AF279" s="5" t="e">
        <f t="shared" si="164"/>
        <v>#N/A</v>
      </c>
      <c r="AG279" s="5" t="e">
        <f t="shared" si="165"/>
        <v>#N/A</v>
      </c>
      <c r="AH279" s="5" t="str">
        <f t="shared" si="166"/>
        <v/>
      </c>
      <c r="AI279" s="5" t="str">
        <f t="shared" si="167"/>
        <v/>
      </c>
      <c r="AJ279" s="5" t="str">
        <f t="shared" si="168"/>
        <v/>
      </c>
      <c r="AK279" s="5" t="str">
        <f t="shared" si="169"/>
        <v/>
      </c>
      <c r="AX279" s="5" t="str">
        <f t="shared" si="151"/>
        <v/>
      </c>
      <c r="AY279" s="5" t="e">
        <f t="shared" si="170"/>
        <v>#N/A</v>
      </c>
      <c r="AZ279" s="5" t="str">
        <f t="shared" si="171"/>
        <v/>
      </c>
      <c r="BA279" s="5" t="str">
        <f t="shared" si="172"/>
        <v/>
      </c>
      <c r="BB279" s="5" t="e">
        <f>IF(BA279="",NA(),COUNTIF(BA$193:$BA279,BA279))</f>
        <v>#N/A</v>
      </c>
      <c r="BC279" s="5" t="e">
        <f t="shared" si="173"/>
        <v>#N/A</v>
      </c>
      <c r="BD279" s="5" t="str">
        <f t="shared" si="152"/>
        <v/>
      </c>
      <c r="BE279" s="5" t="e">
        <f t="shared" si="174"/>
        <v>#N/A</v>
      </c>
      <c r="BF279" s="5" t="str">
        <f t="shared" si="175"/>
        <v/>
      </c>
      <c r="BG279" s="5" t="str">
        <f t="shared" si="176"/>
        <v/>
      </c>
      <c r="BH279" s="5" t="e">
        <f>IF(BG279="",NA(),COUNTIF(BG$193:$BG279,BG279))</f>
        <v>#N/A</v>
      </c>
      <c r="BI279" s="5" t="e">
        <f t="shared" si="177"/>
        <v>#N/A</v>
      </c>
      <c r="BJ279"/>
      <c r="BK279"/>
      <c r="BL279"/>
      <c r="BM279"/>
      <c r="BN279"/>
      <c r="BO279"/>
      <c r="BP279"/>
      <c r="BQ279"/>
      <c r="BR279"/>
      <c r="BS279"/>
      <c r="BT279"/>
      <c r="BU279"/>
      <c r="BV279"/>
      <c r="BW279"/>
      <c r="BX279"/>
      <c r="BY279"/>
      <c r="BZ279"/>
      <c r="CA279"/>
      <c r="CB279"/>
      <c r="CC279"/>
      <c r="CD279"/>
      <c r="CE279"/>
      <c r="CF279"/>
    </row>
    <row r="280" spans="1:84" ht="12.75" customHeight="1">
      <c r="A280"/>
      <c r="B280"/>
      <c r="C280"/>
      <c r="D280"/>
      <c r="E280"/>
      <c r="F280"/>
      <c r="G280"/>
      <c r="J280" s="5" t="e">
        <f t="shared" si="178"/>
        <v>#N/A</v>
      </c>
      <c r="K280" s="5" t="e">
        <f t="shared" si="153"/>
        <v>#N/A</v>
      </c>
      <c r="L280" s="5" t="e">
        <f t="shared" si="179"/>
        <v>#N/A</v>
      </c>
      <c r="M280" s="5" t="e">
        <f t="shared" si="154"/>
        <v>#N/A</v>
      </c>
      <c r="Q280" s="5" t="str">
        <f t="shared" si="155"/>
        <v/>
      </c>
      <c r="R280" s="5" t="e">
        <f>IF(Q280="",NA(),COUNTIF(Q280:$Q$293,Q280))</f>
        <v>#N/A</v>
      </c>
      <c r="S280" s="5" t="e">
        <f t="shared" si="156"/>
        <v>#N/A</v>
      </c>
      <c r="T280" s="5" t="e">
        <f t="shared" si="148"/>
        <v>#N/A</v>
      </c>
      <c r="U280" s="5" t="e">
        <f t="shared" si="157"/>
        <v>#N/A</v>
      </c>
      <c r="V280" s="5" t="e">
        <f t="shared" si="158"/>
        <v>#N/A</v>
      </c>
      <c r="W280" s="5" t="str">
        <f t="shared" si="159"/>
        <v/>
      </c>
      <c r="X280" s="5">
        <v>187</v>
      </c>
      <c r="Y280" s="5" t="str">
        <f t="shared" si="160"/>
        <v/>
      </c>
      <c r="Z280" s="5" t="str">
        <f t="shared" si="161"/>
        <v/>
      </c>
      <c r="AA280" s="5" t="str">
        <f t="shared" si="149"/>
        <v/>
      </c>
      <c r="AB280" s="5" t="str">
        <f t="shared" si="162"/>
        <v/>
      </c>
      <c r="AC280" s="5" t="e">
        <f>IF(AB280="",NA(),COUNTIF(AB280:$AB$293,AB280))</f>
        <v>#N/A</v>
      </c>
      <c r="AD280" s="5" t="e">
        <f t="shared" si="163"/>
        <v>#N/A</v>
      </c>
      <c r="AE280" s="5" t="e">
        <f t="shared" si="150"/>
        <v>#N/A</v>
      </c>
      <c r="AF280" s="5" t="e">
        <f t="shared" si="164"/>
        <v>#N/A</v>
      </c>
      <c r="AG280" s="5" t="e">
        <f t="shared" si="165"/>
        <v>#N/A</v>
      </c>
      <c r="AH280" s="5" t="str">
        <f t="shared" si="166"/>
        <v/>
      </c>
      <c r="AI280" s="5" t="str">
        <f t="shared" si="167"/>
        <v/>
      </c>
      <c r="AJ280" s="5" t="str">
        <f t="shared" si="168"/>
        <v/>
      </c>
      <c r="AK280" s="5" t="str">
        <f t="shared" si="169"/>
        <v/>
      </c>
      <c r="AX280" s="5" t="str">
        <f t="shared" si="151"/>
        <v/>
      </c>
      <c r="AY280" s="5" t="e">
        <f t="shared" si="170"/>
        <v>#N/A</v>
      </c>
      <c r="AZ280" s="5" t="str">
        <f t="shared" si="171"/>
        <v/>
      </c>
      <c r="BA280" s="5" t="str">
        <f t="shared" si="172"/>
        <v/>
      </c>
      <c r="BB280" s="5" t="e">
        <f>IF(BA280="",NA(),COUNTIF(BA$193:$BA280,BA280))</f>
        <v>#N/A</v>
      </c>
      <c r="BC280" s="5" t="e">
        <f t="shared" si="173"/>
        <v>#N/A</v>
      </c>
      <c r="BD280" s="5" t="str">
        <f t="shared" si="152"/>
        <v/>
      </c>
      <c r="BE280" s="5" t="e">
        <f t="shared" si="174"/>
        <v>#N/A</v>
      </c>
      <c r="BF280" s="5" t="str">
        <f t="shared" si="175"/>
        <v/>
      </c>
      <c r="BG280" s="5" t="str">
        <f t="shared" si="176"/>
        <v/>
      </c>
      <c r="BH280" s="5" t="e">
        <f>IF(BG280="",NA(),COUNTIF(BG$193:$BG280,BG280))</f>
        <v>#N/A</v>
      </c>
      <c r="BI280" s="5" t="e">
        <f t="shared" si="177"/>
        <v>#N/A</v>
      </c>
      <c r="BJ280"/>
      <c r="BK280"/>
      <c r="BL280"/>
      <c r="BM280"/>
      <c r="BN280"/>
      <c r="BO280"/>
      <c r="BP280"/>
      <c r="BQ280"/>
      <c r="BR280"/>
      <c r="BS280"/>
      <c r="BT280"/>
      <c r="BU280"/>
      <c r="BV280"/>
      <c r="BW280"/>
      <c r="BX280"/>
      <c r="BY280"/>
      <c r="BZ280"/>
      <c r="CA280"/>
      <c r="CB280"/>
      <c r="CC280"/>
      <c r="CD280"/>
      <c r="CE280"/>
      <c r="CF280"/>
    </row>
    <row r="281" spans="1:84" ht="12.75" customHeight="1">
      <c r="A281"/>
      <c r="B281"/>
      <c r="C281"/>
      <c r="D281"/>
      <c r="E281"/>
      <c r="F281"/>
      <c r="G281"/>
      <c r="J281" s="5" t="e">
        <f t="shared" si="178"/>
        <v>#N/A</v>
      </c>
      <c r="K281" s="5" t="e">
        <f t="shared" si="153"/>
        <v>#N/A</v>
      </c>
      <c r="L281" s="5" t="e">
        <f t="shared" si="179"/>
        <v>#N/A</v>
      </c>
      <c r="M281" s="5" t="e">
        <f t="shared" si="154"/>
        <v>#N/A</v>
      </c>
      <c r="Q281" s="5" t="str">
        <f t="shared" si="155"/>
        <v/>
      </c>
      <c r="R281" s="5" t="e">
        <f>IF(Q281="",NA(),COUNTIF(Q281:$Q$293,Q281))</f>
        <v>#N/A</v>
      </c>
      <c r="S281" s="5" t="e">
        <f t="shared" si="156"/>
        <v>#N/A</v>
      </c>
      <c r="T281" s="5" t="e">
        <f t="shared" si="148"/>
        <v>#N/A</v>
      </c>
      <c r="U281" s="5" t="e">
        <f t="shared" si="157"/>
        <v>#N/A</v>
      </c>
      <c r="V281" s="5" t="e">
        <f t="shared" si="158"/>
        <v>#N/A</v>
      </c>
      <c r="W281" s="5" t="str">
        <f t="shared" si="159"/>
        <v/>
      </c>
      <c r="X281" s="5">
        <v>188</v>
      </c>
      <c r="Y281" s="5" t="str">
        <f t="shared" si="160"/>
        <v/>
      </c>
      <c r="Z281" s="5" t="str">
        <f t="shared" si="161"/>
        <v/>
      </c>
      <c r="AA281" s="5" t="str">
        <f t="shared" si="149"/>
        <v/>
      </c>
      <c r="AB281" s="5" t="str">
        <f t="shared" si="162"/>
        <v/>
      </c>
      <c r="AC281" s="5" t="e">
        <f>IF(AB281="",NA(),COUNTIF(AB281:$AB$293,AB281))</f>
        <v>#N/A</v>
      </c>
      <c r="AD281" s="5" t="e">
        <f t="shared" si="163"/>
        <v>#N/A</v>
      </c>
      <c r="AE281" s="5" t="e">
        <f t="shared" si="150"/>
        <v>#N/A</v>
      </c>
      <c r="AF281" s="5" t="e">
        <f t="shared" si="164"/>
        <v>#N/A</v>
      </c>
      <c r="AG281" s="5" t="e">
        <f t="shared" si="165"/>
        <v>#N/A</v>
      </c>
      <c r="AH281" s="5" t="str">
        <f t="shared" si="166"/>
        <v/>
      </c>
      <c r="AI281" s="5" t="str">
        <f t="shared" si="167"/>
        <v/>
      </c>
      <c r="AJ281" s="5" t="str">
        <f t="shared" si="168"/>
        <v/>
      </c>
      <c r="AK281" s="5" t="str">
        <f t="shared" si="169"/>
        <v/>
      </c>
      <c r="AX281" s="5" t="str">
        <f t="shared" si="151"/>
        <v/>
      </c>
      <c r="AY281" s="5" t="e">
        <f t="shared" si="170"/>
        <v>#N/A</v>
      </c>
      <c r="AZ281" s="5" t="str">
        <f t="shared" si="171"/>
        <v/>
      </c>
      <c r="BA281" s="5" t="str">
        <f t="shared" si="172"/>
        <v/>
      </c>
      <c r="BB281" s="5" t="e">
        <f>IF(BA281="",NA(),COUNTIF(BA$193:$BA281,BA281))</f>
        <v>#N/A</v>
      </c>
      <c r="BC281" s="5" t="e">
        <f t="shared" si="173"/>
        <v>#N/A</v>
      </c>
      <c r="BD281" s="5" t="str">
        <f t="shared" si="152"/>
        <v/>
      </c>
      <c r="BE281" s="5" t="e">
        <f t="shared" si="174"/>
        <v>#N/A</v>
      </c>
      <c r="BF281" s="5" t="str">
        <f t="shared" si="175"/>
        <v/>
      </c>
      <c r="BG281" s="5" t="str">
        <f t="shared" si="176"/>
        <v/>
      </c>
      <c r="BH281" s="5" t="e">
        <f>IF(BG281="",NA(),COUNTIF(BG$193:$BG281,BG281))</f>
        <v>#N/A</v>
      </c>
      <c r="BI281" s="5" t="e">
        <f t="shared" si="177"/>
        <v>#N/A</v>
      </c>
      <c r="BJ281"/>
      <c r="BK281"/>
      <c r="BL281"/>
      <c r="BM281"/>
      <c r="BN281"/>
      <c r="BO281"/>
      <c r="BP281"/>
      <c r="BQ281"/>
      <c r="BR281"/>
      <c r="BS281"/>
      <c r="BT281"/>
      <c r="BU281"/>
      <c r="BV281"/>
      <c r="BW281"/>
      <c r="BX281"/>
      <c r="BY281"/>
      <c r="BZ281"/>
      <c r="CA281"/>
      <c r="CB281"/>
      <c r="CC281"/>
      <c r="CD281"/>
      <c r="CE281"/>
      <c r="CF281"/>
    </row>
    <row r="282" spans="1:84" ht="12.75" customHeight="1">
      <c r="A282"/>
      <c r="B282"/>
      <c r="C282"/>
      <c r="D282"/>
      <c r="E282"/>
      <c r="F282"/>
      <c r="G282"/>
      <c r="J282" s="5" t="e">
        <f t="shared" si="178"/>
        <v>#N/A</v>
      </c>
      <c r="K282" s="5" t="e">
        <f t="shared" si="153"/>
        <v>#N/A</v>
      </c>
      <c r="L282" s="5" t="e">
        <f t="shared" si="179"/>
        <v>#N/A</v>
      </c>
      <c r="M282" s="5" t="e">
        <f t="shared" si="154"/>
        <v>#N/A</v>
      </c>
      <c r="Q282" s="5" t="str">
        <f t="shared" si="155"/>
        <v/>
      </c>
      <c r="R282" s="5" t="e">
        <f>IF(Q282="",NA(),COUNTIF(Q282:$Q$293,Q282))</f>
        <v>#N/A</v>
      </c>
      <c r="S282" s="5" t="e">
        <f t="shared" si="156"/>
        <v>#N/A</v>
      </c>
      <c r="T282" s="5" t="e">
        <f t="shared" si="148"/>
        <v>#N/A</v>
      </c>
      <c r="U282" s="5" t="e">
        <f t="shared" si="157"/>
        <v>#N/A</v>
      </c>
      <c r="V282" s="5" t="e">
        <f t="shared" si="158"/>
        <v>#N/A</v>
      </c>
      <c r="W282" s="5" t="str">
        <f t="shared" si="159"/>
        <v/>
      </c>
      <c r="X282" s="5">
        <v>189</v>
      </c>
      <c r="Y282" s="5" t="str">
        <f t="shared" si="160"/>
        <v/>
      </c>
      <c r="Z282" s="5" t="str">
        <f t="shared" si="161"/>
        <v/>
      </c>
      <c r="AA282" s="5" t="str">
        <f t="shared" si="149"/>
        <v/>
      </c>
      <c r="AB282" s="5" t="str">
        <f t="shared" si="162"/>
        <v/>
      </c>
      <c r="AC282" s="5" t="e">
        <f>IF(AB282="",NA(),COUNTIF(AB282:$AB$293,AB282))</f>
        <v>#N/A</v>
      </c>
      <c r="AD282" s="5" t="e">
        <f t="shared" si="163"/>
        <v>#N/A</v>
      </c>
      <c r="AE282" s="5" t="e">
        <f t="shared" si="150"/>
        <v>#N/A</v>
      </c>
      <c r="AF282" s="5" t="e">
        <f t="shared" si="164"/>
        <v>#N/A</v>
      </c>
      <c r="AG282" s="5" t="e">
        <f t="shared" si="165"/>
        <v>#N/A</v>
      </c>
      <c r="AH282" s="5" t="str">
        <f t="shared" si="166"/>
        <v/>
      </c>
      <c r="AI282" s="5" t="str">
        <f t="shared" si="167"/>
        <v/>
      </c>
      <c r="AJ282" s="5" t="str">
        <f t="shared" si="168"/>
        <v/>
      </c>
      <c r="AK282" s="5" t="str">
        <f t="shared" si="169"/>
        <v/>
      </c>
      <c r="AX282" s="5" t="str">
        <f t="shared" si="151"/>
        <v/>
      </c>
      <c r="AY282" s="5" t="e">
        <f t="shared" si="170"/>
        <v>#N/A</v>
      </c>
      <c r="AZ282" s="5" t="str">
        <f t="shared" si="171"/>
        <v/>
      </c>
      <c r="BA282" s="5" t="str">
        <f t="shared" si="172"/>
        <v/>
      </c>
      <c r="BB282" s="5" t="e">
        <f>IF(BA282="",NA(),COUNTIF(BA$193:$BA282,BA282))</f>
        <v>#N/A</v>
      </c>
      <c r="BC282" s="5" t="e">
        <f t="shared" si="173"/>
        <v>#N/A</v>
      </c>
      <c r="BD282" s="5" t="str">
        <f t="shared" si="152"/>
        <v/>
      </c>
      <c r="BE282" s="5" t="e">
        <f t="shared" si="174"/>
        <v>#N/A</v>
      </c>
      <c r="BF282" s="5" t="str">
        <f t="shared" si="175"/>
        <v/>
      </c>
      <c r="BG282" s="5" t="str">
        <f t="shared" si="176"/>
        <v/>
      </c>
      <c r="BH282" s="5" t="e">
        <f>IF(BG282="",NA(),COUNTIF(BG$193:$BG282,BG282))</f>
        <v>#N/A</v>
      </c>
      <c r="BI282" s="5" t="e">
        <f t="shared" si="177"/>
        <v>#N/A</v>
      </c>
      <c r="BJ282"/>
      <c r="BK282"/>
      <c r="BL282"/>
      <c r="BM282"/>
      <c r="BN282"/>
      <c r="BO282"/>
      <c r="BP282"/>
      <c r="BQ282"/>
      <c r="BR282"/>
      <c r="BS282"/>
      <c r="BT282"/>
      <c r="BU282"/>
      <c r="BV282"/>
      <c r="BW282"/>
      <c r="BX282"/>
      <c r="BY282"/>
      <c r="BZ282"/>
      <c r="CA282"/>
      <c r="CB282"/>
      <c r="CC282"/>
      <c r="CD282"/>
      <c r="CE282"/>
      <c r="CF282"/>
    </row>
    <row r="283" spans="1:84" ht="12.75" customHeight="1">
      <c r="A283"/>
      <c r="B283"/>
      <c r="C283"/>
      <c r="D283"/>
      <c r="E283"/>
      <c r="F283"/>
      <c r="G283"/>
      <c r="J283" s="5" t="e">
        <f t="shared" si="178"/>
        <v>#N/A</v>
      </c>
      <c r="K283" s="5" t="e">
        <f t="shared" si="153"/>
        <v>#N/A</v>
      </c>
      <c r="L283" s="5" t="e">
        <f t="shared" si="179"/>
        <v>#N/A</v>
      </c>
      <c r="M283" s="5" t="e">
        <f t="shared" si="154"/>
        <v>#N/A</v>
      </c>
      <c r="Q283" s="5" t="str">
        <f t="shared" si="155"/>
        <v/>
      </c>
      <c r="R283" s="5" t="e">
        <f>IF(Q283="",NA(),COUNTIF(Q283:$Q$293,Q283))</f>
        <v>#N/A</v>
      </c>
      <c r="S283" s="5" t="e">
        <f t="shared" si="156"/>
        <v>#N/A</v>
      </c>
      <c r="T283" s="5" t="e">
        <f t="shared" si="148"/>
        <v>#N/A</v>
      </c>
      <c r="U283" s="5" t="e">
        <f t="shared" si="157"/>
        <v>#N/A</v>
      </c>
      <c r="V283" s="5" t="e">
        <f t="shared" si="158"/>
        <v>#N/A</v>
      </c>
      <c r="W283" s="5" t="str">
        <f t="shared" si="159"/>
        <v/>
      </c>
      <c r="X283" s="5">
        <v>190</v>
      </c>
      <c r="Y283" s="5" t="str">
        <f t="shared" si="160"/>
        <v/>
      </c>
      <c r="Z283" s="5" t="str">
        <f t="shared" si="161"/>
        <v/>
      </c>
      <c r="AA283" s="5" t="str">
        <f t="shared" si="149"/>
        <v/>
      </c>
      <c r="AB283" s="5" t="str">
        <f t="shared" si="162"/>
        <v/>
      </c>
      <c r="AC283" s="5" t="e">
        <f>IF(AB283="",NA(),COUNTIF(AB283:$AB$293,AB283))</f>
        <v>#N/A</v>
      </c>
      <c r="AD283" s="5" t="e">
        <f t="shared" si="163"/>
        <v>#N/A</v>
      </c>
      <c r="AE283" s="5" t="e">
        <f t="shared" si="150"/>
        <v>#N/A</v>
      </c>
      <c r="AF283" s="5" t="e">
        <f t="shared" si="164"/>
        <v>#N/A</v>
      </c>
      <c r="AG283" s="5" t="e">
        <f t="shared" si="165"/>
        <v>#N/A</v>
      </c>
      <c r="AH283" s="5" t="str">
        <f t="shared" si="166"/>
        <v/>
      </c>
      <c r="AI283" s="5" t="str">
        <f t="shared" si="167"/>
        <v/>
      </c>
      <c r="AJ283" s="5" t="str">
        <f t="shared" si="168"/>
        <v/>
      </c>
      <c r="AK283" s="5" t="str">
        <f t="shared" si="169"/>
        <v/>
      </c>
      <c r="AX283" s="5" t="str">
        <f t="shared" si="151"/>
        <v/>
      </c>
      <c r="AY283" s="5" t="e">
        <f t="shared" si="170"/>
        <v>#N/A</v>
      </c>
      <c r="AZ283" s="5" t="str">
        <f t="shared" si="171"/>
        <v/>
      </c>
      <c r="BA283" s="5" t="str">
        <f t="shared" si="172"/>
        <v/>
      </c>
      <c r="BB283" s="5" t="e">
        <f>IF(BA283="",NA(),COUNTIF(BA$193:$BA283,BA283))</f>
        <v>#N/A</v>
      </c>
      <c r="BC283" s="5" t="e">
        <f t="shared" si="173"/>
        <v>#N/A</v>
      </c>
      <c r="BD283" s="5" t="str">
        <f t="shared" si="152"/>
        <v/>
      </c>
      <c r="BE283" s="5" t="e">
        <f t="shared" si="174"/>
        <v>#N/A</v>
      </c>
      <c r="BF283" s="5" t="str">
        <f t="shared" si="175"/>
        <v/>
      </c>
      <c r="BG283" s="5" t="str">
        <f t="shared" si="176"/>
        <v/>
      </c>
      <c r="BH283" s="5" t="e">
        <f>IF(BG283="",NA(),COUNTIF(BG$193:$BG283,BG283))</f>
        <v>#N/A</v>
      </c>
      <c r="BI283" s="5" t="e">
        <f t="shared" si="177"/>
        <v>#N/A</v>
      </c>
      <c r="BJ283"/>
      <c r="BK283"/>
      <c r="BL283"/>
      <c r="BM283"/>
      <c r="BN283"/>
      <c r="BO283"/>
      <c r="BP283"/>
      <c r="BQ283"/>
      <c r="BR283"/>
      <c r="BS283"/>
      <c r="BT283"/>
      <c r="BU283"/>
      <c r="BV283"/>
      <c r="BW283"/>
      <c r="BX283"/>
      <c r="BY283"/>
      <c r="BZ283"/>
      <c r="CA283"/>
      <c r="CB283"/>
      <c r="CC283"/>
      <c r="CD283"/>
      <c r="CE283"/>
      <c r="CF283"/>
    </row>
    <row r="284" spans="1:84" ht="12.75" customHeight="1">
      <c r="A284"/>
      <c r="B284"/>
      <c r="C284"/>
      <c r="D284"/>
      <c r="E284"/>
      <c r="F284"/>
      <c r="G284"/>
      <c r="Q284" s="5" t="str">
        <f t="shared" si="155"/>
        <v/>
      </c>
      <c r="R284" s="5" t="e">
        <f>IF(Q284="",NA(),COUNTIF(Q284:$Q$293,Q284))</f>
        <v>#N/A</v>
      </c>
      <c r="S284" s="5" t="e">
        <f t="shared" si="156"/>
        <v>#N/A</v>
      </c>
      <c r="T284" s="5" t="e">
        <f t="shared" si="148"/>
        <v>#N/A</v>
      </c>
      <c r="U284" s="5" t="e">
        <f t="shared" si="157"/>
        <v>#N/A</v>
      </c>
      <c r="V284" s="5" t="e">
        <f t="shared" si="158"/>
        <v>#N/A</v>
      </c>
      <c r="W284" s="5" t="str">
        <f t="shared" si="159"/>
        <v/>
      </c>
      <c r="X284" s="5">
        <v>191</v>
      </c>
      <c r="Y284" s="5" t="str">
        <f t="shared" si="160"/>
        <v/>
      </c>
      <c r="Z284" s="5" t="str">
        <f t="shared" si="161"/>
        <v/>
      </c>
      <c r="AA284" s="5" t="str">
        <f t="shared" si="149"/>
        <v/>
      </c>
      <c r="AB284" s="5" t="str">
        <f t="shared" si="162"/>
        <v/>
      </c>
      <c r="AC284" s="5" t="e">
        <f>IF(AB284="",NA(),COUNTIF(AB284:$AB$293,AB284))</f>
        <v>#N/A</v>
      </c>
      <c r="AD284" s="5" t="e">
        <f t="shared" si="163"/>
        <v>#N/A</v>
      </c>
      <c r="AE284" s="5" t="e">
        <f t="shared" si="150"/>
        <v>#N/A</v>
      </c>
      <c r="AF284" s="5" t="e">
        <f t="shared" si="164"/>
        <v>#N/A</v>
      </c>
      <c r="AG284" s="5" t="e">
        <f t="shared" si="165"/>
        <v>#N/A</v>
      </c>
      <c r="AH284" s="5" t="str">
        <f t="shared" si="166"/>
        <v/>
      </c>
      <c r="AI284" s="5" t="str">
        <f t="shared" si="167"/>
        <v/>
      </c>
      <c r="AJ284" s="5" t="str">
        <f t="shared" si="168"/>
        <v/>
      </c>
      <c r="AK284" s="5" t="str">
        <f t="shared" si="169"/>
        <v/>
      </c>
      <c r="AX284" s="5" t="str">
        <f t="shared" si="151"/>
        <v/>
      </c>
      <c r="AY284" s="5" t="e">
        <f t="shared" si="170"/>
        <v>#N/A</v>
      </c>
      <c r="AZ284" s="5" t="str">
        <f t="shared" si="171"/>
        <v/>
      </c>
      <c r="BA284" s="5" t="str">
        <f t="shared" si="172"/>
        <v/>
      </c>
      <c r="BB284" s="5" t="e">
        <f>IF(BA284="",NA(),COUNTIF(BA$193:$BA284,BA284))</f>
        <v>#N/A</v>
      </c>
      <c r="BC284" s="5" t="e">
        <f t="shared" si="173"/>
        <v>#N/A</v>
      </c>
      <c r="BD284" s="5" t="str">
        <f t="shared" si="152"/>
        <v/>
      </c>
      <c r="BE284" s="5" t="e">
        <f t="shared" si="174"/>
        <v>#N/A</v>
      </c>
      <c r="BF284" s="5" t="str">
        <f t="shared" si="175"/>
        <v/>
      </c>
      <c r="BG284" s="5" t="str">
        <f t="shared" si="176"/>
        <v/>
      </c>
      <c r="BH284" s="5" t="e">
        <f>IF(BG284="",NA(),COUNTIF(BG$193:$BG284,BG284))</f>
        <v>#N/A</v>
      </c>
      <c r="BI284" s="5" t="e">
        <f t="shared" si="177"/>
        <v>#N/A</v>
      </c>
      <c r="BJ284"/>
      <c r="BK284"/>
      <c r="BL284"/>
      <c r="BM284"/>
      <c r="BN284"/>
      <c r="BO284"/>
      <c r="BP284"/>
      <c r="BQ284"/>
      <c r="BR284"/>
      <c r="BS284"/>
      <c r="BT284"/>
      <c r="BU284"/>
      <c r="BV284"/>
      <c r="BW284"/>
      <c r="BX284"/>
      <c r="BY284"/>
      <c r="BZ284"/>
      <c r="CA284"/>
      <c r="CB284"/>
      <c r="CC284"/>
      <c r="CD284"/>
      <c r="CE284"/>
      <c r="CF284"/>
    </row>
    <row r="285" spans="1:84" ht="12.75" customHeight="1">
      <c r="A285"/>
      <c r="B285"/>
      <c r="C285"/>
      <c r="D285"/>
      <c r="E285"/>
      <c r="F285"/>
      <c r="G285"/>
      <c r="Q285" s="5" t="str">
        <f t="shared" si="155"/>
        <v/>
      </c>
      <c r="R285" s="5" t="e">
        <f>IF(Q285="",NA(),COUNTIF(Q285:$Q$293,Q285))</f>
        <v>#N/A</v>
      </c>
      <c r="S285" s="5" t="e">
        <f t="shared" si="156"/>
        <v>#N/A</v>
      </c>
      <c r="T285" s="5" t="e">
        <f t="shared" si="148"/>
        <v>#N/A</v>
      </c>
      <c r="U285" s="5" t="e">
        <f t="shared" si="157"/>
        <v>#N/A</v>
      </c>
      <c r="V285" s="5" t="e">
        <f t="shared" si="158"/>
        <v>#N/A</v>
      </c>
      <c r="W285" s="5" t="str">
        <f t="shared" si="159"/>
        <v/>
      </c>
      <c r="X285" s="5">
        <v>192</v>
      </c>
      <c r="Y285" s="5" t="str">
        <f t="shared" si="160"/>
        <v/>
      </c>
      <c r="Z285" s="5" t="str">
        <f t="shared" si="161"/>
        <v/>
      </c>
      <c r="AA285" s="5" t="str">
        <f t="shared" si="149"/>
        <v/>
      </c>
      <c r="AB285" s="5" t="str">
        <f t="shared" si="162"/>
        <v/>
      </c>
      <c r="AC285" s="5" t="e">
        <f>IF(AB285="",NA(),COUNTIF(AB285:$AB$293,AB285))</f>
        <v>#N/A</v>
      </c>
      <c r="AD285" s="5" t="e">
        <f t="shared" si="163"/>
        <v>#N/A</v>
      </c>
      <c r="AE285" s="5" t="e">
        <f t="shared" si="150"/>
        <v>#N/A</v>
      </c>
      <c r="AF285" s="5" t="e">
        <f t="shared" si="164"/>
        <v>#N/A</v>
      </c>
      <c r="AG285" s="5" t="e">
        <f t="shared" si="165"/>
        <v>#N/A</v>
      </c>
      <c r="AH285" s="5" t="str">
        <f t="shared" si="166"/>
        <v/>
      </c>
      <c r="AI285" s="5" t="str">
        <f t="shared" si="167"/>
        <v/>
      </c>
      <c r="AJ285" s="5" t="str">
        <f t="shared" si="168"/>
        <v/>
      </c>
      <c r="AK285" s="5" t="str">
        <f t="shared" si="169"/>
        <v/>
      </c>
      <c r="AX285" s="5" t="str">
        <f t="shared" si="151"/>
        <v/>
      </c>
      <c r="AY285" s="5" t="e">
        <f t="shared" si="170"/>
        <v>#N/A</v>
      </c>
      <c r="AZ285" s="5" t="str">
        <f t="shared" si="171"/>
        <v/>
      </c>
      <c r="BA285" s="5" t="str">
        <f t="shared" si="172"/>
        <v/>
      </c>
      <c r="BB285" s="5" t="e">
        <f>IF(BA285="",NA(),COUNTIF(BA$193:$BA285,BA285))</f>
        <v>#N/A</v>
      </c>
      <c r="BC285" s="5" t="e">
        <f t="shared" si="173"/>
        <v>#N/A</v>
      </c>
      <c r="BD285" s="5" t="str">
        <f t="shared" si="152"/>
        <v/>
      </c>
      <c r="BE285" s="5" t="e">
        <f t="shared" si="174"/>
        <v>#N/A</v>
      </c>
      <c r="BF285" s="5" t="str">
        <f t="shared" si="175"/>
        <v/>
      </c>
      <c r="BG285" s="5" t="str">
        <f t="shared" si="176"/>
        <v/>
      </c>
      <c r="BH285" s="5" t="e">
        <f>IF(BG285="",NA(),COUNTIF(BG$193:$BG285,BG285))</f>
        <v>#N/A</v>
      </c>
      <c r="BI285" s="5" t="e">
        <f t="shared" si="177"/>
        <v>#N/A</v>
      </c>
      <c r="BJ285"/>
      <c r="BK285"/>
      <c r="BL285"/>
      <c r="BM285"/>
      <c r="BN285"/>
      <c r="BO285"/>
      <c r="BP285"/>
      <c r="BQ285"/>
      <c r="BR285"/>
      <c r="BS285"/>
      <c r="BT285"/>
      <c r="BU285"/>
      <c r="BV285"/>
      <c r="BW285"/>
      <c r="BX285"/>
      <c r="BY285"/>
      <c r="BZ285"/>
      <c r="CA285"/>
      <c r="CB285"/>
      <c r="CC285"/>
      <c r="CD285"/>
      <c r="CE285"/>
      <c r="CF285"/>
    </row>
    <row r="286" spans="1:84" ht="12.75" customHeight="1">
      <c r="A286"/>
      <c r="B286"/>
      <c r="C286"/>
      <c r="D286"/>
      <c r="E286"/>
      <c r="F286"/>
      <c r="G286"/>
      <c r="Q286" s="5" t="str">
        <f t="shared" ref="Q286:Q293" si="180">IF(Y286="","",IF($AF$87=0,Y286,ROUND(Y286/$AF$87,0)))</f>
        <v/>
      </c>
      <c r="R286" s="5" t="e">
        <f>IF(Q286="",NA(),COUNTIF(Q286:$Q$293,Q286))</f>
        <v>#N/A</v>
      </c>
      <c r="S286" s="5" t="e">
        <f t="shared" ref="S286:S293" si="181">(R286-1)*$AF$90</f>
        <v>#N/A</v>
      </c>
      <c r="T286" s="5" t="e">
        <f t="shared" si="148"/>
        <v>#N/A</v>
      </c>
      <c r="U286" s="5" t="e">
        <f t="shared" ref="U286:U293" si="182">IF(X286&gt;$X$89,NA(),IF(OR(X286&lt;=$X$90,X286&gt;$X$89-$X$90),IF($AP$92,W286,Y286),NA()))</f>
        <v>#N/A</v>
      </c>
      <c r="V286" s="5" t="e">
        <f t="shared" ref="V286:V293" si="183">IF(X286&gt;$X$89,NA(),IF(AND(X286&gt;$X$90,X286&lt;=$X$89-$X$90),IF($AP$92,W286,Y286),NA()))</f>
        <v>#N/A</v>
      </c>
      <c r="W286" s="5" t="str">
        <f t="shared" ref="W286:W293" si="184">IF(X286&gt;$X$89,"",LARGE($AZ$94:$AZ$293,X286))</f>
        <v/>
      </c>
      <c r="X286" s="5">
        <v>193</v>
      </c>
      <c r="Y286" s="5" t="str">
        <f t="shared" ref="Y286:Y293" si="185">IF(X286&gt;$X$89,"",LARGE($AX$94:$AX$293,X286))</f>
        <v/>
      </c>
      <c r="Z286" s="5" t="str">
        <f t="shared" ref="Z286:Z293" si="186">IF(X286&gt;$X$89,"",IF(AND(X286&gt;$X$90,X286&lt;=$X$89-$X$90),Y286,""))</f>
        <v/>
      </c>
      <c r="AA286" s="5" t="str">
        <f t="shared" si="149"/>
        <v/>
      </c>
      <c r="AB286" s="5" t="str">
        <f t="shared" ref="AB286:AB293" si="187">IF(AI286="","",IF($AF$87=0,AI286,ROUND(AI286/$AF$87,0)))</f>
        <v/>
      </c>
      <c r="AC286" s="5" t="e">
        <f>IF(AB286="",NA(),COUNTIF(AB286:$AB$293,AB286))</f>
        <v>#N/A</v>
      </c>
      <c r="AD286" s="5" t="e">
        <f t="shared" ref="AD286:AD293" si="188">(AC286-1)*$AF$90</f>
        <v>#N/A</v>
      </c>
      <c r="AE286" s="5" t="e">
        <f t="shared" si="150"/>
        <v>#N/A</v>
      </c>
      <c r="AF286" s="5" t="e">
        <f t="shared" ref="AF286:AF293" si="189">IF(X286&gt;$AC$89,NA(),IF(OR(X286&lt;=$AC$90,X286&gt;$AC$89-$AC$90),IF($AP$92,AH286,AI286),NA()))</f>
        <v>#N/A</v>
      </c>
      <c r="AG286" s="5" t="e">
        <f t="shared" ref="AG286:AG293" si="190">IF(X286&gt;$AC$89,NA(),IF(AND(X286&gt;$AC$90,X286&lt;=$AC$89-$AC$90),IF($AP$92,AH286,AI286),NA()))</f>
        <v>#N/A</v>
      </c>
      <c r="AH286" s="5" t="str">
        <f t="shared" ref="AH286:AH293" si="191">IF(X286&gt;$AC$89,"",LARGE($BF$94:$BF$293,X286))</f>
        <v/>
      </c>
      <c r="AI286" s="5" t="str">
        <f t="shared" ref="AI286:AI293" si="192">IF(X286&gt;$AC$89,"",LARGE($BD$94:$BD$293,X286))</f>
        <v/>
      </c>
      <c r="AJ286" s="5" t="str">
        <f t="shared" ref="AJ286:AJ293" si="193">IF(X286&gt;$AC$89,"",IF(AND(X286&gt;$AC$90,X286&lt;=$AC$89-$AC$90),AI286,""))</f>
        <v/>
      </c>
      <c r="AK286" s="5" t="str">
        <f t="shared" ref="AK286:AK293" si="194">IF(X286&gt;$AC$89,"",IF(AND(X286&gt;$AC$90,X286&lt;=$AC$89-$AC$90),AI286,IF(X286&lt;=$AC$90,$AJ$90,$AJ$91)))</f>
        <v/>
      </c>
      <c r="AX286" s="5" t="str">
        <f t="shared" si="151"/>
        <v/>
      </c>
      <c r="AY286" s="5" t="e">
        <f t="shared" ref="AY286:AY293" si="195">IF(AND($AO$97,NOT(B201=""),$AO$95),B201,NA())</f>
        <v>#N/A</v>
      </c>
      <c r="AZ286" s="5" t="str">
        <f t="shared" ref="AZ286:AZ293" si="196">IF(BA286="","",IF($AF$87=0,AY286,BA286*$AF$87))</f>
        <v/>
      </c>
      <c r="BA286" s="5" t="str">
        <f t="shared" ref="BA286:BA293" si="197">IF(ISNA(AY286),"",IF($AF$87=0,AY286,ROUND(AY286/$AF$87,0)))</f>
        <v/>
      </c>
      <c r="BB286" s="5" t="e">
        <f>IF(BA286="",NA(),COUNTIF(BA$193:$BA286,BA286))</f>
        <v>#N/A</v>
      </c>
      <c r="BC286" s="5" t="e">
        <f t="shared" ref="BC286:BC293" si="198">(BB286-1)*$AF$90</f>
        <v>#N/A</v>
      </c>
      <c r="BD286" s="5" t="str">
        <f t="shared" si="152"/>
        <v/>
      </c>
      <c r="BE286" s="5" t="e">
        <f t="shared" ref="BE286:BE293" si="199">IF(AND($AO$97,NOT(E201=""),$AO$96),E201,NA())</f>
        <v>#N/A</v>
      </c>
      <c r="BF286" s="5" t="str">
        <f t="shared" ref="BF286:BF293" si="200">IF(BG286="","",IF($AF$87=0,BE286,BG286*$AF$87))</f>
        <v/>
      </c>
      <c r="BG286" s="5" t="str">
        <f t="shared" ref="BG286:BG293" si="201">IF(ISNA(BE286),"",IF($AF$87=0,BE286,ROUND(BE286/$AF$87,0)))</f>
        <v/>
      </c>
      <c r="BH286" s="5" t="e">
        <f>IF(BG286="",NA(),COUNTIF(BG$193:$BG286,BG286))</f>
        <v>#N/A</v>
      </c>
      <c r="BI286" s="5" t="e">
        <f t="shared" ref="BI286:BI293" si="202">(BH286-1)*$AF$90</f>
        <v>#N/A</v>
      </c>
      <c r="BJ286"/>
      <c r="BK286"/>
      <c r="BL286"/>
      <c r="BM286"/>
      <c r="BN286"/>
      <c r="BO286"/>
      <c r="BP286"/>
      <c r="BQ286"/>
      <c r="BR286"/>
      <c r="BS286"/>
      <c r="BT286"/>
      <c r="BU286"/>
      <c r="BV286"/>
      <c r="BW286"/>
      <c r="BX286"/>
      <c r="BY286"/>
      <c r="BZ286"/>
      <c r="CA286"/>
      <c r="CB286"/>
      <c r="CC286"/>
      <c r="CD286"/>
      <c r="CE286"/>
      <c r="CF286"/>
    </row>
    <row r="287" spans="1:84" ht="12.75" customHeight="1">
      <c r="A287"/>
      <c r="B287"/>
      <c r="C287"/>
      <c r="D287"/>
      <c r="E287"/>
      <c r="F287"/>
      <c r="G287"/>
      <c r="Q287" s="5" t="str">
        <f t="shared" si="180"/>
        <v/>
      </c>
      <c r="R287" s="5" t="e">
        <f>IF(Q287="",NA(),COUNTIF(Q287:$Q$293,Q287))</f>
        <v>#N/A</v>
      </c>
      <c r="S287" s="5" t="e">
        <f t="shared" si="181"/>
        <v>#N/A</v>
      </c>
      <c r="T287" s="5" t="e">
        <f t="shared" ref="T287:T293" si="203">IF($AC$91,0.85-IF($AP$92,S287-$S$83,0),NA())</f>
        <v>#N/A</v>
      </c>
      <c r="U287" s="5" t="e">
        <f t="shared" si="182"/>
        <v>#N/A</v>
      </c>
      <c r="V287" s="5" t="e">
        <f t="shared" si="183"/>
        <v>#N/A</v>
      </c>
      <c r="W287" s="5" t="str">
        <f t="shared" si="184"/>
        <v/>
      </c>
      <c r="X287" s="5">
        <v>194</v>
      </c>
      <c r="Y287" s="5" t="str">
        <f t="shared" si="185"/>
        <v/>
      </c>
      <c r="Z287" s="5" t="str">
        <f t="shared" si="186"/>
        <v/>
      </c>
      <c r="AA287" s="5" t="str">
        <f t="shared" ref="AA287:AA293" si="204">IF(X287&gt;$X$89,"",IF(AND(X287&gt;$X$90,X287&lt;=$X$89-$X$90),Y287,IF(X287&lt;=$X$90,$Z$90,$Z$91)))</f>
        <v/>
      </c>
      <c r="AB287" s="5" t="str">
        <f t="shared" si="187"/>
        <v/>
      </c>
      <c r="AC287" s="5" t="e">
        <f>IF(AB287="",NA(),COUNTIF(AB287:$AB$293,AB287))</f>
        <v>#N/A</v>
      </c>
      <c r="AD287" s="5" t="e">
        <f t="shared" si="188"/>
        <v>#N/A</v>
      </c>
      <c r="AE287" s="5" t="e">
        <f t="shared" ref="AE287:AE293" si="205">IF($AC$91,2.15+IF($AP$92,AD287-$S$83,0),NA())</f>
        <v>#N/A</v>
      </c>
      <c r="AF287" s="5" t="e">
        <f t="shared" si="189"/>
        <v>#N/A</v>
      </c>
      <c r="AG287" s="5" t="e">
        <f t="shared" si="190"/>
        <v>#N/A</v>
      </c>
      <c r="AH287" s="5" t="str">
        <f t="shared" si="191"/>
        <v/>
      </c>
      <c r="AI287" s="5" t="str">
        <f t="shared" si="192"/>
        <v/>
      </c>
      <c r="AJ287" s="5" t="str">
        <f t="shared" si="193"/>
        <v/>
      </c>
      <c r="AK287" s="5" t="str">
        <f t="shared" si="194"/>
        <v/>
      </c>
      <c r="AX287" s="5" t="str">
        <f t="shared" ref="AX287:AX293" si="206">IF(ISNA(AY287),"",AY287)</f>
        <v/>
      </c>
      <c r="AY287" s="5" t="e">
        <f t="shared" si="195"/>
        <v>#N/A</v>
      </c>
      <c r="AZ287" s="5" t="str">
        <f t="shared" si="196"/>
        <v/>
      </c>
      <c r="BA287" s="5" t="str">
        <f t="shared" si="197"/>
        <v/>
      </c>
      <c r="BB287" s="5" t="e">
        <f>IF(BA287="",NA(),COUNTIF(BA$193:$BA287,BA287))</f>
        <v>#N/A</v>
      </c>
      <c r="BC287" s="5" t="e">
        <f t="shared" si="198"/>
        <v>#N/A</v>
      </c>
      <c r="BD287" s="5" t="str">
        <f t="shared" ref="BD287:BD293" si="207">IF(ISNA(BE287),"",BE287)</f>
        <v/>
      </c>
      <c r="BE287" s="5" t="e">
        <f t="shared" si="199"/>
        <v>#N/A</v>
      </c>
      <c r="BF287" s="5" t="str">
        <f t="shared" si="200"/>
        <v/>
      </c>
      <c r="BG287" s="5" t="str">
        <f t="shared" si="201"/>
        <v/>
      </c>
      <c r="BH287" s="5" t="e">
        <f>IF(BG287="",NA(),COUNTIF(BG$193:$BG287,BG287))</f>
        <v>#N/A</v>
      </c>
      <c r="BI287" s="5" t="e">
        <f t="shared" si="202"/>
        <v>#N/A</v>
      </c>
      <c r="BJ287"/>
      <c r="BK287"/>
      <c r="BL287"/>
      <c r="BM287"/>
      <c r="BN287"/>
      <c r="BO287"/>
      <c r="BP287"/>
      <c r="BQ287"/>
      <c r="BR287"/>
      <c r="BS287"/>
      <c r="BT287"/>
      <c r="BU287"/>
      <c r="BV287"/>
      <c r="BW287"/>
      <c r="BX287"/>
      <c r="BY287"/>
      <c r="BZ287"/>
      <c r="CA287"/>
      <c r="CB287"/>
      <c r="CC287"/>
      <c r="CD287"/>
      <c r="CE287"/>
      <c r="CF287"/>
    </row>
    <row r="288" spans="1:84" ht="12.75" customHeight="1">
      <c r="A288"/>
      <c r="B288"/>
      <c r="C288"/>
      <c r="D288"/>
      <c r="E288"/>
      <c r="F288"/>
      <c r="G288"/>
      <c r="Q288" s="5" t="str">
        <f t="shared" si="180"/>
        <v/>
      </c>
      <c r="R288" s="5" t="e">
        <f>IF(Q288="",NA(),COUNTIF(Q288:$Q$293,Q288))</f>
        <v>#N/A</v>
      </c>
      <c r="S288" s="5" t="e">
        <f t="shared" si="181"/>
        <v>#N/A</v>
      </c>
      <c r="T288" s="5" t="e">
        <f t="shared" si="203"/>
        <v>#N/A</v>
      </c>
      <c r="U288" s="5" t="e">
        <f t="shared" si="182"/>
        <v>#N/A</v>
      </c>
      <c r="V288" s="5" t="e">
        <f t="shared" si="183"/>
        <v>#N/A</v>
      </c>
      <c r="W288" s="5" t="str">
        <f t="shared" si="184"/>
        <v/>
      </c>
      <c r="X288" s="5">
        <v>195</v>
      </c>
      <c r="Y288" s="5" t="str">
        <f t="shared" si="185"/>
        <v/>
      </c>
      <c r="Z288" s="5" t="str">
        <f t="shared" si="186"/>
        <v/>
      </c>
      <c r="AA288" s="5" t="str">
        <f t="shared" si="204"/>
        <v/>
      </c>
      <c r="AB288" s="5" t="str">
        <f t="shared" si="187"/>
        <v/>
      </c>
      <c r="AC288" s="5" t="e">
        <f>IF(AB288="",NA(),COUNTIF(AB288:$AB$293,AB288))</f>
        <v>#N/A</v>
      </c>
      <c r="AD288" s="5" t="e">
        <f t="shared" si="188"/>
        <v>#N/A</v>
      </c>
      <c r="AE288" s="5" t="e">
        <f t="shared" si="205"/>
        <v>#N/A</v>
      </c>
      <c r="AF288" s="5" t="e">
        <f t="shared" si="189"/>
        <v>#N/A</v>
      </c>
      <c r="AG288" s="5" t="e">
        <f t="shared" si="190"/>
        <v>#N/A</v>
      </c>
      <c r="AH288" s="5" t="str">
        <f t="shared" si="191"/>
        <v/>
      </c>
      <c r="AI288" s="5" t="str">
        <f t="shared" si="192"/>
        <v/>
      </c>
      <c r="AJ288" s="5" t="str">
        <f t="shared" si="193"/>
        <v/>
      </c>
      <c r="AK288" s="5" t="str">
        <f t="shared" si="194"/>
        <v/>
      </c>
      <c r="AX288" s="5" t="str">
        <f t="shared" si="206"/>
        <v/>
      </c>
      <c r="AY288" s="5" t="e">
        <f t="shared" si="195"/>
        <v>#N/A</v>
      </c>
      <c r="AZ288" s="5" t="str">
        <f t="shared" si="196"/>
        <v/>
      </c>
      <c r="BA288" s="5" t="str">
        <f t="shared" si="197"/>
        <v/>
      </c>
      <c r="BB288" s="5" t="e">
        <f>IF(BA288="",NA(),COUNTIF(BA$193:$BA288,BA288))</f>
        <v>#N/A</v>
      </c>
      <c r="BC288" s="5" t="e">
        <f t="shared" si="198"/>
        <v>#N/A</v>
      </c>
      <c r="BD288" s="5" t="str">
        <f t="shared" si="207"/>
        <v/>
      </c>
      <c r="BE288" s="5" t="e">
        <f t="shared" si="199"/>
        <v>#N/A</v>
      </c>
      <c r="BF288" s="5" t="str">
        <f t="shared" si="200"/>
        <v/>
      </c>
      <c r="BG288" s="5" t="str">
        <f t="shared" si="201"/>
        <v/>
      </c>
      <c r="BH288" s="5" t="e">
        <f>IF(BG288="",NA(),COUNTIF(BG$193:$BG288,BG288))</f>
        <v>#N/A</v>
      </c>
      <c r="BI288" s="5" t="e">
        <f t="shared" si="202"/>
        <v>#N/A</v>
      </c>
      <c r="BJ288"/>
      <c r="BK288"/>
      <c r="BL288"/>
      <c r="BM288"/>
      <c r="BN288"/>
      <c r="BO288"/>
      <c r="BP288"/>
      <c r="BQ288"/>
      <c r="BR288"/>
      <c r="BS288"/>
      <c r="BT288"/>
      <c r="BU288"/>
      <c r="BV288"/>
      <c r="BW288"/>
      <c r="BX288"/>
      <c r="BY288"/>
      <c r="BZ288"/>
      <c r="CA288"/>
      <c r="CB288"/>
      <c r="CC288"/>
      <c r="CD288"/>
      <c r="CE288"/>
      <c r="CF288"/>
    </row>
    <row r="289" spans="1:84" ht="12.75" customHeight="1">
      <c r="A289"/>
      <c r="B289"/>
      <c r="C289"/>
      <c r="D289"/>
      <c r="E289"/>
      <c r="F289"/>
      <c r="G289"/>
      <c r="Q289" s="5" t="str">
        <f t="shared" si="180"/>
        <v/>
      </c>
      <c r="R289" s="5" t="e">
        <f>IF(Q289="",NA(),COUNTIF(Q289:$Q$293,Q289))</f>
        <v>#N/A</v>
      </c>
      <c r="S289" s="5" t="e">
        <f t="shared" si="181"/>
        <v>#N/A</v>
      </c>
      <c r="T289" s="5" t="e">
        <f t="shared" si="203"/>
        <v>#N/A</v>
      </c>
      <c r="U289" s="5" t="e">
        <f t="shared" si="182"/>
        <v>#N/A</v>
      </c>
      <c r="V289" s="5" t="e">
        <f t="shared" si="183"/>
        <v>#N/A</v>
      </c>
      <c r="W289" s="5" t="str">
        <f t="shared" si="184"/>
        <v/>
      </c>
      <c r="X289" s="5">
        <v>196</v>
      </c>
      <c r="Y289" s="5" t="str">
        <f t="shared" si="185"/>
        <v/>
      </c>
      <c r="Z289" s="5" t="str">
        <f t="shared" si="186"/>
        <v/>
      </c>
      <c r="AA289" s="5" t="str">
        <f t="shared" si="204"/>
        <v/>
      </c>
      <c r="AB289" s="5" t="str">
        <f t="shared" si="187"/>
        <v/>
      </c>
      <c r="AC289" s="5" t="e">
        <f>IF(AB289="",NA(),COUNTIF(AB289:$AB$293,AB289))</f>
        <v>#N/A</v>
      </c>
      <c r="AD289" s="5" t="e">
        <f t="shared" si="188"/>
        <v>#N/A</v>
      </c>
      <c r="AE289" s="5" t="e">
        <f t="shared" si="205"/>
        <v>#N/A</v>
      </c>
      <c r="AF289" s="5" t="e">
        <f t="shared" si="189"/>
        <v>#N/A</v>
      </c>
      <c r="AG289" s="5" t="e">
        <f t="shared" si="190"/>
        <v>#N/A</v>
      </c>
      <c r="AH289" s="5" t="str">
        <f t="shared" si="191"/>
        <v/>
      </c>
      <c r="AI289" s="5" t="str">
        <f t="shared" si="192"/>
        <v/>
      </c>
      <c r="AJ289" s="5" t="str">
        <f t="shared" si="193"/>
        <v/>
      </c>
      <c r="AK289" s="5" t="str">
        <f t="shared" si="194"/>
        <v/>
      </c>
      <c r="AX289" s="5" t="str">
        <f t="shared" si="206"/>
        <v/>
      </c>
      <c r="AY289" s="5" t="e">
        <f t="shared" si="195"/>
        <v>#N/A</v>
      </c>
      <c r="AZ289" s="5" t="str">
        <f t="shared" si="196"/>
        <v/>
      </c>
      <c r="BA289" s="5" t="str">
        <f t="shared" si="197"/>
        <v/>
      </c>
      <c r="BB289" s="5" t="e">
        <f>IF(BA289="",NA(),COUNTIF(BA$193:$BA289,BA289))</f>
        <v>#N/A</v>
      </c>
      <c r="BC289" s="5" t="e">
        <f t="shared" si="198"/>
        <v>#N/A</v>
      </c>
      <c r="BD289" s="5" t="str">
        <f t="shared" si="207"/>
        <v/>
      </c>
      <c r="BE289" s="5" t="e">
        <f t="shared" si="199"/>
        <v>#N/A</v>
      </c>
      <c r="BF289" s="5" t="str">
        <f t="shared" si="200"/>
        <v/>
      </c>
      <c r="BG289" s="5" t="str">
        <f t="shared" si="201"/>
        <v/>
      </c>
      <c r="BH289" s="5" t="e">
        <f>IF(BG289="",NA(),COUNTIF(BG$193:$BG289,BG289))</f>
        <v>#N/A</v>
      </c>
      <c r="BI289" s="5" t="e">
        <f t="shared" si="202"/>
        <v>#N/A</v>
      </c>
      <c r="BJ289"/>
      <c r="BK289"/>
      <c r="BL289"/>
      <c r="BM289"/>
      <c r="BN289"/>
      <c r="BO289"/>
      <c r="BP289"/>
      <c r="BQ289"/>
      <c r="BR289"/>
      <c r="BS289"/>
      <c r="BT289"/>
      <c r="BU289"/>
      <c r="BV289"/>
      <c r="BW289"/>
      <c r="BX289"/>
      <c r="BY289"/>
      <c r="BZ289"/>
      <c r="CA289"/>
      <c r="CB289"/>
      <c r="CC289"/>
      <c r="CD289"/>
      <c r="CE289"/>
      <c r="CF289"/>
    </row>
    <row r="290" spans="1:84" ht="12.75" customHeight="1">
      <c r="A290"/>
      <c r="B290"/>
      <c r="C290"/>
      <c r="D290"/>
      <c r="E290"/>
      <c r="F290"/>
      <c r="G290"/>
      <c r="Q290" s="5" t="str">
        <f t="shared" si="180"/>
        <v/>
      </c>
      <c r="R290" s="5" t="e">
        <f>IF(Q290="",NA(),COUNTIF(Q290:$Q$293,Q290))</f>
        <v>#N/A</v>
      </c>
      <c r="S290" s="5" t="e">
        <f t="shared" si="181"/>
        <v>#N/A</v>
      </c>
      <c r="T290" s="5" t="e">
        <f t="shared" si="203"/>
        <v>#N/A</v>
      </c>
      <c r="U290" s="5" t="e">
        <f t="shared" si="182"/>
        <v>#N/A</v>
      </c>
      <c r="V290" s="5" t="e">
        <f t="shared" si="183"/>
        <v>#N/A</v>
      </c>
      <c r="W290" s="5" t="str">
        <f t="shared" si="184"/>
        <v/>
      </c>
      <c r="X290" s="5">
        <v>197</v>
      </c>
      <c r="Y290" s="5" t="str">
        <f t="shared" si="185"/>
        <v/>
      </c>
      <c r="Z290" s="5" t="str">
        <f t="shared" si="186"/>
        <v/>
      </c>
      <c r="AA290" s="5" t="str">
        <f t="shared" si="204"/>
        <v/>
      </c>
      <c r="AB290" s="5" t="str">
        <f t="shared" si="187"/>
        <v/>
      </c>
      <c r="AC290" s="5" t="e">
        <f>IF(AB290="",NA(),COUNTIF(AB290:$AB$293,AB290))</f>
        <v>#N/A</v>
      </c>
      <c r="AD290" s="5" t="e">
        <f t="shared" si="188"/>
        <v>#N/A</v>
      </c>
      <c r="AE290" s="5" t="e">
        <f t="shared" si="205"/>
        <v>#N/A</v>
      </c>
      <c r="AF290" s="5" t="e">
        <f t="shared" si="189"/>
        <v>#N/A</v>
      </c>
      <c r="AG290" s="5" t="e">
        <f t="shared" si="190"/>
        <v>#N/A</v>
      </c>
      <c r="AH290" s="5" t="str">
        <f t="shared" si="191"/>
        <v/>
      </c>
      <c r="AI290" s="5" t="str">
        <f t="shared" si="192"/>
        <v/>
      </c>
      <c r="AJ290" s="5" t="str">
        <f t="shared" si="193"/>
        <v/>
      </c>
      <c r="AK290" s="5" t="str">
        <f t="shared" si="194"/>
        <v/>
      </c>
      <c r="AX290" s="5" t="str">
        <f t="shared" si="206"/>
        <v/>
      </c>
      <c r="AY290" s="5" t="e">
        <f t="shared" si="195"/>
        <v>#N/A</v>
      </c>
      <c r="AZ290" s="5" t="str">
        <f t="shared" si="196"/>
        <v/>
      </c>
      <c r="BA290" s="5" t="str">
        <f t="shared" si="197"/>
        <v/>
      </c>
      <c r="BB290" s="5" t="e">
        <f>IF(BA290="",NA(),COUNTIF(BA$193:$BA290,BA290))</f>
        <v>#N/A</v>
      </c>
      <c r="BC290" s="5" t="e">
        <f t="shared" si="198"/>
        <v>#N/A</v>
      </c>
      <c r="BD290" s="5" t="str">
        <f t="shared" si="207"/>
        <v/>
      </c>
      <c r="BE290" s="5" t="e">
        <f t="shared" si="199"/>
        <v>#N/A</v>
      </c>
      <c r="BF290" s="5" t="str">
        <f t="shared" si="200"/>
        <v/>
      </c>
      <c r="BG290" s="5" t="str">
        <f t="shared" si="201"/>
        <v/>
      </c>
      <c r="BH290" s="5" t="e">
        <f>IF(BG290="",NA(),COUNTIF(BG$193:$BG290,BG290))</f>
        <v>#N/A</v>
      </c>
      <c r="BI290" s="5" t="e">
        <f t="shared" si="202"/>
        <v>#N/A</v>
      </c>
      <c r="BJ290"/>
      <c r="BK290"/>
      <c r="BL290"/>
      <c r="BM290"/>
      <c r="BN290"/>
      <c r="BO290"/>
      <c r="BP290"/>
      <c r="BQ290"/>
      <c r="BR290"/>
      <c r="BS290"/>
      <c r="BT290"/>
      <c r="BU290"/>
      <c r="BV290"/>
      <c r="BW290"/>
      <c r="BX290"/>
      <c r="BY290"/>
      <c r="BZ290"/>
      <c r="CA290"/>
      <c r="CB290"/>
      <c r="CC290"/>
      <c r="CD290"/>
      <c r="CE290"/>
      <c r="CF290"/>
    </row>
    <row r="291" spans="1:84" ht="12.75" customHeight="1">
      <c r="A291"/>
      <c r="B291"/>
      <c r="C291"/>
      <c r="D291"/>
      <c r="E291"/>
      <c r="F291"/>
      <c r="G291"/>
      <c r="Q291" s="5" t="str">
        <f t="shared" si="180"/>
        <v/>
      </c>
      <c r="R291" s="5" t="e">
        <f>IF(Q291="",NA(),COUNTIF(Q291:$Q$293,Q291))</f>
        <v>#N/A</v>
      </c>
      <c r="S291" s="5" t="e">
        <f t="shared" si="181"/>
        <v>#N/A</v>
      </c>
      <c r="T291" s="5" t="e">
        <f t="shared" si="203"/>
        <v>#N/A</v>
      </c>
      <c r="U291" s="5" t="e">
        <f t="shared" si="182"/>
        <v>#N/A</v>
      </c>
      <c r="V291" s="5" t="e">
        <f t="shared" si="183"/>
        <v>#N/A</v>
      </c>
      <c r="W291" s="5" t="str">
        <f t="shared" si="184"/>
        <v/>
      </c>
      <c r="X291" s="5">
        <v>198</v>
      </c>
      <c r="Y291" s="5" t="str">
        <f t="shared" si="185"/>
        <v/>
      </c>
      <c r="Z291" s="5" t="str">
        <f t="shared" si="186"/>
        <v/>
      </c>
      <c r="AA291" s="5" t="str">
        <f t="shared" si="204"/>
        <v/>
      </c>
      <c r="AB291" s="5" t="str">
        <f t="shared" si="187"/>
        <v/>
      </c>
      <c r="AC291" s="5" t="e">
        <f>IF(AB291="",NA(),COUNTIF(AB291:$AB$293,AB291))</f>
        <v>#N/A</v>
      </c>
      <c r="AD291" s="5" t="e">
        <f t="shared" si="188"/>
        <v>#N/A</v>
      </c>
      <c r="AE291" s="5" t="e">
        <f t="shared" si="205"/>
        <v>#N/A</v>
      </c>
      <c r="AF291" s="5" t="e">
        <f t="shared" si="189"/>
        <v>#N/A</v>
      </c>
      <c r="AG291" s="5" t="e">
        <f t="shared" si="190"/>
        <v>#N/A</v>
      </c>
      <c r="AH291" s="5" t="str">
        <f t="shared" si="191"/>
        <v/>
      </c>
      <c r="AI291" s="5" t="str">
        <f t="shared" si="192"/>
        <v/>
      </c>
      <c r="AJ291" s="5" t="str">
        <f t="shared" si="193"/>
        <v/>
      </c>
      <c r="AK291" s="5" t="str">
        <f t="shared" si="194"/>
        <v/>
      </c>
      <c r="AX291" s="5" t="str">
        <f t="shared" si="206"/>
        <v/>
      </c>
      <c r="AY291" s="5" t="e">
        <f t="shared" si="195"/>
        <v>#N/A</v>
      </c>
      <c r="AZ291" s="5" t="str">
        <f t="shared" si="196"/>
        <v/>
      </c>
      <c r="BA291" s="5" t="str">
        <f t="shared" si="197"/>
        <v/>
      </c>
      <c r="BB291" s="5" t="e">
        <f>IF(BA291="",NA(),COUNTIF(BA$193:$BA291,BA291))</f>
        <v>#N/A</v>
      </c>
      <c r="BC291" s="5" t="e">
        <f t="shared" si="198"/>
        <v>#N/A</v>
      </c>
      <c r="BD291" s="5" t="str">
        <f t="shared" si="207"/>
        <v/>
      </c>
      <c r="BE291" s="5" t="e">
        <f t="shared" si="199"/>
        <v>#N/A</v>
      </c>
      <c r="BF291" s="5" t="str">
        <f t="shared" si="200"/>
        <v/>
      </c>
      <c r="BG291" s="5" t="str">
        <f t="shared" si="201"/>
        <v/>
      </c>
      <c r="BH291" s="5" t="e">
        <f>IF(BG291="",NA(),COUNTIF(BG$193:$BG291,BG291))</f>
        <v>#N/A</v>
      </c>
      <c r="BI291" s="5" t="e">
        <f t="shared" si="202"/>
        <v>#N/A</v>
      </c>
      <c r="BJ291"/>
      <c r="BK291"/>
      <c r="BL291"/>
      <c r="BM291"/>
      <c r="BN291"/>
      <c r="BO291"/>
      <c r="BP291"/>
      <c r="BQ291"/>
      <c r="BR291"/>
      <c r="BS291"/>
      <c r="BT291"/>
      <c r="BU291"/>
      <c r="BV291"/>
      <c r="BW291"/>
      <c r="BX291"/>
      <c r="BY291"/>
      <c r="BZ291"/>
      <c r="CA291"/>
      <c r="CB291"/>
      <c r="CC291"/>
      <c r="CD291"/>
      <c r="CE291"/>
      <c r="CF291"/>
    </row>
    <row r="292" spans="1:84" ht="12.75" customHeight="1">
      <c r="A292"/>
      <c r="B292"/>
      <c r="C292"/>
      <c r="D292"/>
      <c r="E292"/>
      <c r="F292"/>
      <c r="G292"/>
      <c r="Q292" s="5" t="str">
        <f t="shared" si="180"/>
        <v/>
      </c>
      <c r="R292" s="5" t="e">
        <f>IF(Q292="",NA(),COUNTIF(Q292:$Q$293,Q292))</f>
        <v>#N/A</v>
      </c>
      <c r="S292" s="5" t="e">
        <f t="shared" si="181"/>
        <v>#N/A</v>
      </c>
      <c r="T292" s="5" t="e">
        <f t="shared" si="203"/>
        <v>#N/A</v>
      </c>
      <c r="U292" s="5" t="e">
        <f t="shared" si="182"/>
        <v>#N/A</v>
      </c>
      <c r="V292" s="5" t="e">
        <f t="shared" si="183"/>
        <v>#N/A</v>
      </c>
      <c r="W292" s="5" t="str">
        <f t="shared" si="184"/>
        <v/>
      </c>
      <c r="X292" s="5">
        <v>199</v>
      </c>
      <c r="Y292" s="5" t="str">
        <f t="shared" si="185"/>
        <v/>
      </c>
      <c r="Z292" s="5" t="str">
        <f t="shared" si="186"/>
        <v/>
      </c>
      <c r="AA292" s="5" t="str">
        <f t="shared" si="204"/>
        <v/>
      </c>
      <c r="AB292" s="5" t="str">
        <f t="shared" si="187"/>
        <v/>
      </c>
      <c r="AC292" s="5" t="e">
        <f>IF(AB292="",NA(),COUNTIF(AB292:$AB$293,AB292))</f>
        <v>#N/A</v>
      </c>
      <c r="AD292" s="5" t="e">
        <f t="shared" si="188"/>
        <v>#N/A</v>
      </c>
      <c r="AE292" s="5" t="e">
        <f t="shared" si="205"/>
        <v>#N/A</v>
      </c>
      <c r="AF292" s="5" t="e">
        <f t="shared" si="189"/>
        <v>#N/A</v>
      </c>
      <c r="AG292" s="5" t="e">
        <f t="shared" si="190"/>
        <v>#N/A</v>
      </c>
      <c r="AH292" s="5" t="str">
        <f t="shared" si="191"/>
        <v/>
      </c>
      <c r="AI292" s="5" t="str">
        <f t="shared" si="192"/>
        <v/>
      </c>
      <c r="AJ292" s="5" t="str">
        <f t="shared" si="193"/>
        <v/>
      </c>
      <c r="AK292" s="5" t="str">
        <f t="shared" si="194"/>
        <v/>
      </c>
      <c r="AX292" s="5" t="str">
        <f t="shared" si="206"/>
        <v/>
      </c>
      <c r="AY292" s="5" t="e">
        <f t="shared" si="195"/>
        <v>#N/A</v>
      </c>
      <c r="AZ292" s="5" t="str">
        <f t="shared" si="196"/>
        <v/>
      </c>
      <c r="BA292" s="5" t="str">
        <f t="shared" si="197"/>
        <v/>
      </c>
      <c r="BB292" s="5" t="e">
        <f>IF(BA292="",NA(),COUNTIF(BA$193:$BA292,BA292))</f>
        <v>#N/A</v>
      </c>
      <c r="BC292" s="5" t="e">
        <f t="shared" si="198"/>
        <v>#N/A</v>
      </c>
      <c r="BD292" s="5" t="str">
        <f t="shared" si="207"/>
        <v/>
      </c>
      <c r="BE292" s="5" t="e">
        <f t="shared" si="199"/>
        <v>#N/A</v>
      </c>
      <c r="BF292" s="5" t="str">
        <f t="shared" si="200"/>
        <v/>
      </c>
      <c r="BG292" s="5" t="str">
        <f t="shared" si="201"/>
        <v/>
      </c>
      <c r="BH292" s="5" t="e">
        <f>IF(BG292="",NA(),COUNTIF(BG$193:$BG292,BG292))</f>
        <v>#N/A</v>
      </c>
      <c r="BI292" s="5" t="e">
        <f t="shared" si="202"/>
        <v>#N/A</v>
      </c>
      <c r="BJ292"/>
      <c r="BK292"/>
      <c r="BL292"/>
      <c r="BM292"/>
      <c r="BN292"/>
      <c r="BO292"/>
      <c r="BP292"/>
      <c r="BQ292"/>
      <c r="BR292"/>
      <c r="BS292"/>
      <c r="BT292"/>
      <c r="BU292"/>
      <c r="BV292"/>
      <c r="BW292"/>
      <c r="BX292"/>
      <c r="BY292"/>
      <c r="BZ292"/>
      <c r="CA292"/>
      <c r="CB292"/>
      <c r="CC292"/>
      <c r="CD292"/>
      <c r="CE292"/>
      <c r="CF292"/>
    </row>
    <row r="293" spans="1:84" ht="12.75" customHeight="1">
      <c r="A293"/>
      <c r="B293"/>
      <c r="C293"/>
      <c r="D293"/>
      <c r="E293"/>
      <c r="F293"/>
      <c r="G293"/>
      <c r="Q293" s="5" t="str">
        <f t="shared" si="180"/>
        <v/>
      </c>
      <c r="R293" s="5" t="e">
        <f>IF(Q293="",NA(),COUNTIF(Q293:$Q$293,Q293))</f>
        <v>#N/A</v>
      </c>
      <c r="S293" s="5" t="e">
        <f t="shared" si="181"/>
        <v>#N/A</v>
      </c>
      <c r="T293" s="5" t="e">
        <f t="shared" si="203"/>
        <v>#N/A</v>
      </c>
      <c r="U293" s="5" t="e">
        <f t="shared" si="182"/>
        <v>#N/A</v>
      </c>
      <c r="V293" s="5" t="e">
        <f t="shared" si="183"/>
        <v>#N/A</v>
      </c>
      <c r="W293" s="5" t="str">
        <f t="shared" si="184"/>
        <v/>
      </c>
      <c r="X293" s="5">
        <v>200</v>
      </c>
      <c r="Y293" s="5" t="str">
        <f t="shared" si="185"/>
        <v/>
      </c>
      <c r="Z293" s="5" t="str">
        <f t="shared" si="186"/>
        <v/>
      </c>
      <c r="AA293" s="5" t="str">
        <f t="shared" si="204"/>
        <v/>
      </c>
      <c r="AB293" s="5" t="str">
        <f t="shared" si="187"/>
        <v/>
      </c>
      <c r="AC293" s="5" t="e">
        <f>IF(AB293="",NA(),COUNTIF(AB293:$AB$293,AB293))</f>
        <v>#N/A</v>
      </c>
      <c r="AD293" s="5" t="e">
        <f t="shared" si="188"/>
        <v>#N/A</v>
      </c>
      <c r="AE293" s="5" t="e">
        <f t="shared" si="205"/>
        <v>#N/A</v>
      </c>
      <c r="AF293" s="5" t="e">
        <f t="shared" si="189"/>
        <v>#N/A</v>
      </c>
      <c r="AG293" s="5" t="e">
        <f t="shared" si="190"/>
        <v>#N/A</v>
      </c>
      <c r="AH293" s="5" t="str">
        <f t="shared" si="191"/>
        <v/>
      </c>
      <c r="AI293" s="5" t="str">
        <f t="shared" si="192"/>
        <v/>
      </c>
      <c r="AJ293" s="5" t="str">
        <f t="shared" si="193"/>
        <v/>
      </c>
      <c r="AK293" s="5" t="str">
        <f t="shared" si="194"/>
        <v/>
      </c>
      <c r="AX293" s="5" t="str">
        <f t="shared" si="206"/>
        <v/>
      </c>
      <c r="AY293" s="5" t="e">
        <f t="shared" si="195"/>
        <v>#N/A</v>
      </c>
      <c r="AZ293" s="5" t="str">
        <f t="shared" si="196"/>
        <v/>
      </c>
      <c r="BA293" s="5" t="str">
        <f t="shared" si="197"/>
        <v/>
      </c>
      <c r="BB293" s="5" t="e">
        <f>IF(BA293="",NA(),COUNTIF(BA$193:$BA293,BA293))</f>
        <v>#N/A</v>
      </c>
      <c r="BC293" s="5" t="e">
        <f t="shared" si="198"/>
        <v>#N/A</v>
      </c>
      <c r="BD293" s="5" t="str">
        <f t="shared" si="207"/>
        <v/>
      </c>
      <c r="BE293" s="5" t="e">
        <f t="shared" si="199"/>
        <v>#N/A</v>
      </c>
      <c r="BF293" s="5" t="str">
        <f t="shared" si="200"/>
        <v/>
      </c>
      <c r="BG293" s="5" t="str">
        <f t="shared" si="201"/>
        <v/>
      </c>
      <c r="BH293" s="5" t="e">
        <f>IF(BG293="",NA(),COUNTIF(BG$193:$BG293,BG293))</f>
        <v>#N/A</v>
      </c>
      <c r="BI293" s="5" t="e">
        <f t="shared" si="202"/>
        <v>#N/A</v>
      </c>
      <c r="BJ293"/>
      <c r="BK293"/>
      <c r="BL293"/>
      <c r="BM293"/>
      <c r="BN293"/>
      <c r="BO293"/>
      <c r="BP293"/>
      <c r="BQ293"/>
      <c r="BR293"/>
      <c r="BS293"/>
      <c r="BT293"/>
      <c r="BU293"/>
      <c r="BV293"/>
      <c r="BW293"/>
      <c r="BX293"/>
      <c r="BY293"/>
      <c r="BZ293"/>
      <c r="CA293"/>
      <c r="CB293"/>
      <c r="CC293"/>
      <c r="CD293"/>
      <c r="CE293"/>
      <c r="CF293"/>
    </row>
    <row r="294" spans="1:84" ht="12.75" customHeight="1">
      <c r="A294"/>
      <c r="B294"/>
      <c r="C294"/>
      <c r="D294"/>
      <c r="E294"/>
      <c r="F294"/>
      <c r="G294"/>
      <c r="AD294" s="68"/>
      <c r="BJ294"/>
      <c r="BK294"/>
      <c r="BL294"/>
      <c r="BM294"/>
      <c r="BN294"/>
      <c r="BO294"/>
      <c r="BP294"/>
      <c r="BQ294"/>
      <c r="BR294"/>
      <c r="BS294"/>
      <c r="BT294"/>
      <c r="BU294"/>
      <c r="BV294"/>
      <c r="BW294"/>
      <c r="BX294"/>
      <c r="BY294"/>
      <c r="BZ294"/>
      <c r="CA294"/>
      <c r="CB294"/>
      <c r="CC294"/>
      <c r="CD294"/>
      <c r="CE294"/>
      <c r="CF294"/>
    </row>
    <row r="295" spans="1:84" ht="12.75" customHeight="1">
      <c r="A295"/>
      <c r="B295"/>
      <c r="C295"/>
      <c r="D295"/>
      <c r="E295"/>
      <c r="F295"/>
      <c r="G295"/>
      <c r="AB295" s="68"/>
      <c r="BJ295"/>
      <c r="BK295"/>
      <c r="BL295"/>
      <c r="BM295"/>
      <c r="BN295"/>
      <c r="BO295"/>
      <c r="BP295"/>
      <c r="BQ295"/>
      <c r="BR295"/>
      <c r="BS295"/>
      <c r="BT295"/>
      <c r="BU295"/>
      <c r="BV295"/>
      <c r="BW295"/>
      <c r="BX295"/>
      <c r="BY295"/>
      <c r="BZ295"/>
      <c r="CA295"/>
      <c r="CB295"/>
      <c r="CC295"/>
      <c r="CD295"/>
      <c r="CE295"/>
      <c r="CF295"/>
    </row>
    <row r="296" spans="1:84" ht="12.75" customHeight="1">
      <c r="A296"/>
      <c r="B296"/>
      <c r="C296"/>
      <c r="D296"/>
      <c r="E296"/>
      <c r="F296"/>
      <c r="G296"/>
      <c r="AB296" s="68"/>
      <c r="BJ296"/>
      <c r="BK296"/>
      <c r="BL296"/>
      <c r="BM296"/>
      <c r="BN296"/>
      <c r="BO296"/>
      <c r="BP296"/>
      <c r="BQ296"/>
      <c r="BR296"/>
      <c r="BS296"/>
      <c r="BT296"/>
      <c r="BU296"/>
      <c r="BV296"/>
      <c r="BW296"/>
      <c r="BX296"/>
      <c r="BY296"/>
      <c r="BZ296"/>
      <c r="CA296"/>
      <c r="CB296"/>
      <c r="CC296"/>
      <c r="CD296"/>
      <c r="CE296"/>
      <c r="CF296"/>
    </row>
    <row r="297" spans="1:84" ht="12.75" customHeight="1">
      <c r="A297"/>
      <c r="B297"/>
      <c r="C297"/>
      <c r="D297"/>
      <c r="E297"/>
      <c r="F297"/>
      <c r="G297"/>
      <c r="AB297" s="68"/>
      <c r="BJ297"/>
      <c r="BK297"/>
      <c r="BL297"/>
      <c r="BM297"/>
      <c r="BN297"/>
      <c r="BO297"/>
      <c r="BP297"/>
      <c r="BQ297"/>
      <c r="BR297"/>
      <c r="BS297"/>
      <c r="BT297"/>
      <c r="BU297"/>
      <c r="BV297"/>
      <c r="BW297"/>
      <c r="BX297"/>
      <c r="BY297"/>
      <c r="BZ297"/>
      <c r="CA297"/>
      <c r="CB297"/>
      <c r="CC297"/>
      <c r="CD297"/>
      <c r="CE297"/>
      <c r="CF297"/>
    </row>
    <row r="298" spans="1:84" ht="12.75" customHeight="1">
      <c r="A298"/>
      <c r="B298"/>
      <c r="C298"/>
      <c r="D298"/>
      <c r="E298"/>
      <c r="F298"/>
      <c r="G298"/>
      <c r="AB298" s="68"/>
      <c r="BJ298"/>
      <c r="BK298"/>
      <c r="BL298"/>
      <c r="BM298"/>
      <c r="BN298"/>
      <c r="BO298"/>
      <c r="BP298"/>
      <c r="BQ298"/>
      <c r="BR298"/>
      <c r="BS298"/>
      <c r="BT298"/>
      <c r="BU298"/>
      <c r="BV298"/>
      <c r="BW298"/>
      <c r="BX298"/>
      <c r="BY298"/>
      <c r="BZ298"/>
      <c r="CA298"/>
      <c r="CB298"/>
      <c r="CC298"/>
      <c r="CD298"/>
      <c r="CE298"/>
      <c r="CF298"/>
    </row>
    <row r="299" spans="1:84" ht="12.75" customHeight="1">
      <c r="A299"/>
      <c r="B299"/>
      <c r="C299"/>
      <c r="D299"/>
      <c r="E299"/>
      <c r="F299"/>
      <c r="G299"/>
      <c r="AB299" s="68"/>
      <c r="BJ299"/>
      <c r="BK299"/>
      <c r="BL299"/>
      <c r="BM299"/>
      <c r="BN299"/>
      <c r="BO299"/>
      <c r="BP299"/>
      <c r="BQ299"/>
      <c r="BR299"/>
      <c r="BS299"/>
      <c r="BT299"/>
      <c r="BU299"/>
      <c r="BV299"/>
      <c r="BW299"/>
      <c r="BX299"/>
      <c r="BY299"/>
      <c r="BZ299"/>
      <c r="CA299"/>
      <c r="CB299"/>
      <c r="CC299"/>
      <c r="CD299"/>
      <c r="CE299"/>
      <c r="CF299"/>
    </row>
    <row r="300" spans="1:84" ht="12.75" customHeight="1">
      <c r="A300"/>
      <c r="B300"/>
      <c r="C300"/>
      <c r="D300"/>
      <c r="E300"/>
      <c r="F300"/>
      <c r="G300"/>
      <c r="AB300" s="68"/>
      <c r="BJ300"/>
      <c r="BK300"/>
      <c r="BL300"/>
      <c r="BM300"/>
      <c r="BN300"/>
      <c r="BO300"/>
      <c r="BP300"/>
      <c r="BQ300"/>
      <c r="BR300"/>
      <c r="BS300"/>
      <c r="BT300"/>
      <c r="BU300"/>
      <c r="BV300"/>
      <c r="BW300"/>
      <c r="BX300"/>
      <c r="BY300"/>
      <c r="BZ300"/>
      <c r="CA300"/>
      <c r="CB300"/>
      <c r="CC300"/>
      <c r="CD300"/>
      <c r="CE300"/>
      <c r="CF300"/>
    </row>
    <row r="301" spans="1:84" ht="12.75" customHeight="1">
      <c r="A301"/>
      <c r="B301"/>
      <c r="C301"/>
      <c r="D301"/>
      <c r="E301"/>
      <c r="F301"/>
      <c r="G301"/>
      <c r="AB301" s="68"/>
      <c r="BJ301"/>
      <c r="BK301"/>
      <c r="BL301"/>
      <c r="BM301"/>
      <c r="BN301"/>
      <c r="BO301"/>
      <c r="BP301"/>
      <c r="BQ301"/>
      <c r="BR301"/>
      <c r="BS301"/>
      <c r="BT301"/>
      <c r="BU301"/>
      <c r="BV301"/>
      <c r="BW301"/>
      <c r="BX301"/>
      <c r="BY301"/>
      <c r="BZ301"/>
      <c r="CA301"/>
      <c r="CB301"/>
      <c r="CC301"/>
      <c r="CD301"/>
      <c r="CE301"/>
      <c r="CF301"/>
    </row>
    <row r="302" spans="1:84" ht="12.75" customHeight="1">
      <c r="A302"/>
      <c r="B302"/>
      <c r="C302"/>
      <c r="D302"/>
      <c r="E302"/>
      <c r="F302"/>
      <c r="G302"/>
      <c r="AB302" s="68"/>
      <c r="BJ302"/>
      <c r="BK302"/>
      <c r="BL302"/>
      <c r="BM302"/>
      <c r="BN302"/>
      <c r="BO302"/>
      <c r="BP302"/>
      <c r="BQ302"/>
      <c r="BR302"/>
      <c r="BS302"/>
      <c r="BT302"/>
      <c r="BU302"/>
      <c r="BV302"/>
      <c r="BW302"/>
      <c r="BX302"/>
      <c r="BY302"/>
      <c r="BZ302"/>
      <c r="CA302"/>
      <c r="CB302"/>
      <c r="CC302"/>
      <c r="CD302"/>
      <c r="CE302"/>
      <c r="CF302"/>
    </row>
    <row r="303" spans="1:84" ht="12.75" customHeight="1">
      <c r="A303"/>
      <c r="B303"/>
      <c r="C303"/>
      <c r="D303"/>
      <c r="E303"/>
      <c r="F303"/>
      <c r="G303"/>
      <c r="AB303" s="68"/>
      <c r="BJ303"/>
      <c r="BK303"/>
      <c r="BL303"/>
      <c r="BM303"/>
      <c r="BN303"/>
      <c r="BO303"/>
      <c r="BP303"/>
      <c r="BQ303"/>
      <c r="BR303"/>
      <c r="BS303"/>
      <c r="BT303"/>
      <c r="BU303"/>
      <c r="BV303"/>
      <c r="BW303"/>
      <c r="BX303"/>
      <c r="BY303"/>
      <c r="BZ303"/>
      <c r="CA303"/>
      <c r="CB303"/>
      <c r="CC303"/>
      <c r="CD303"/>
      <c r="CE303"/>
      <c r="CF303"/>
    </row>
    <row r="304" spans="1:84" ht="12.75" customHeight="1">
      <c r="A304"/>
      <c r="B304"/>
      <c r="C304"/>
      <c r="D304"/>
      <c r="E304"/>
      <c r="F304"/>
      <c r="G304"/>
      <c r="AB304" s="68"/>
      <c r="BJ304"/>
      <c r="BK304"/>
      <c r="BL304"/>
      <c r="BM304"/>
      <c r="BN304"/>
      <c r="BO304"/>
      <c r="BP304"/>
      <c r="BQ304"/>
      <c r="BR304"/>
      <c r="BS304"/>
      <c r="BT304"/>
      <c r="BU304"/>
      <c r="BV304"/>
      <c r="BW304"/>
      <c r="BX304"/>
      <c r="BY304"/>
      <c r="BZ304"/>
      <c r="CA304"/>
      <c r="CB304"/>
      <c r="CC304"/>
      <c r="CD304"/>
      <c r="CE304"/>
      <c r="CF304"/>
    </row>
    <row r="305" spans="1:84" ht="12.75" customHeight="1">
      <c r="A305"/>
      <c r="B305"/>
      <c r="C305"/>
      <c r="D305"/>
      <c r="E305"/>
      <c r="F305"/>
      <c r="G305"/>
      <c r="AB305" s="68"/>
      <c r="BJ305"/>
      <c r="BK305"/>
      <c r="BL305"/>
      <c r="BM305"/>
      <c r="BN305"/>
      <c r="BO305"/>
      <c r="BP305"/>
      <c r="BQ305"/>
      <c r="BR305"/>
      <c r="BS305"/>
      <c r="BT305"/>
      <c r="BU305"/>
      <c r="BV305"/>
      <c r="BW305"/>
      <c r="BX305"/>
      <c r="BY305"/>
      <c r="BZ305"/>
      <c r="CA305"/>
      <c r="CB305"/>
      <c r="CC305"/>
      <c r="CD305"/>
      <c r="CE305"/>
      <c r="CF305"/>
    </row>
    <row r="306" spans="1:84" ht="12.75" customHeight="1">
      <c r="A306"/>
      <c r="B306"/>
      <c r="C306"/>
      <c r="D306"/>
      <c r="E306"/>
      <c r="F306"/>
      <c r="G306"/>
      <c r="AB306" s="68"/>
      <c r="BJ306"/>
      <c r="BK306"/>
      <c r="BL306"/>
      <c r="BM306"/>
      <c r="BN306"/>
      <c r="BO306"/>
      <c r="BP306"/>
      <c r="BQ306"/>
      <c r="BR306"/>
      <c r="BS306"/>
      <c r="BT306"/>
      <c r="BU306"/>
      <c r="BV306"/>
      <c r="BW306"/>
      <c r="BX306"/>
      <c r="BY306"/>
      <c r="BZ306"/>
      <c r="CA306"/>
      <c r="CB306"/>
      <c r="CC306"/>
      <c r="CD306"/>
      <c r="CE306"/>
      <c r="CF306"/>
    </row>
    <row r="307" spans="1:84" ht="12.75" customHeight="1">
      <c r="A307"/>
      <c r="B307"/>
      <c r="C307"/>
      <c r="D307"/>
      <c r="E307"/>
      <c r="F307"/>
      <c r="G307"/>
      <c r="AB307" s="68"/>
      <c r="BJ307"/>
      <c r="BK307"/>
      <c r="BL307"/>
      <c r="BM307"/>
      <c r="BN307"/>
      <c r="BO307"/>
      <c r="BP307"/>
      <c r="BQ307"/>
      <c r="BR307"/>
      <c r="BS307"/>
      <c r="BT307"/>
      <c r="BU307"/>
      <c r="BV307"/>
      <c r="BW307"/>
      <c r="BX307"/>
      <c r="BY307"/>
      <c r="BZ307"/>
      <c r="CA307"/>
      <c r="CB307"/>
      <c r="CC307"/>
      <c r="CD307"/>
      <c r="CE307"/>
      <c r="CF307"/>
    </row>
    <row r="308" spans="1:84" ht="12.75" customHeight="1">
      <c r="A308"/>
      <c r="B308"/>
      <c r="C308"/>
      <c r="D308"/>
      <c r="E308"/>
      <c r="F308"/>
      <c r="G308"/>
      <c r="AB308" s="68"/>
      <c r="BJ308"/>
      <c r="BK308"/>
      <c r="BL308"/>
      <c r="BM308"/>
      <c r="BN308"/>
      <c r="BO308"/>
      <c r="BP308"/>
      <c r="BQ308"/>
      <c r="BR308"/>
      <c r="BS308"/>
      <c r="BT308"/>
      <c r="BU308"/>
      <c r="BV308"/>
      <c r="BW308"/>
      <c r="BX308"/>
      <c r="BY308"/>
      <c r="BZ308"/>
      <c r="CA308"/>
      <c r="CB308"/>
      <c r="CC308"/>
      <c r="CD308"/>
      <c r="CE308"/>
      <c r="CF308"/>
    </row>
    <row r="309" spans="1:84" ht="12.75" customHeight="1">
      <c r="A309"/>
      <c r="B309"/>
      <c r="C309"/>
      <c r="D309"/>
      <c r="E309"/>
      <c r="F309"/>
      <c r="G309"/>
      <c r="AB309" s="68"/>
      <c r="BJ309"/>
      <c r="BK309"/>
      <c r="BL309"/>
      <c r="BM309"/>
      <c r="BN309"/>
      <c r="BO309"/>
      <c r="BP309"/>
      <c r="BQ309"/>
      <c r="BR309"/>
      <c r="BS309"/>
      <c r="BT309"/>
      <c r="BU309"/>
      <c r="BV309"/>
      <c r="BW309"/>
      <c r="BX309"/>
      <c r="BY309"/>
      <c r="BZ309"/>
      <c r="CA309"/>
      <c r="CB309"/>
      <c r="CC309"/>
      <c r="CD309"/>
      <c r="CE309"/>
      <c r="CF309"/>
    </row>
    <row r="310" spans="1:84" ht="12.75" customHeight="1">
      <c r="A310"/>
      <c r="B310"/>
      <c r="C310"/>
      <c r="D310"/>
      <c r="E310"/>
      <c r="F310"/>
      <c r="G310"/>
      <c r="AB310" s="68"/>
      <c r="BJ310"/>
      <c r="BK310"/>
      <c r="BL310"/>
      <c r="BM310"/>
      <c r="BN310"/>
      <c r="BO310"/>
      <c r="BP310"/>
      <c r="BQ310"/>
      <c r="BR310"/>
      <c r="BS310"/>
      <c r="BT310"/>
      <c r="BU310"/>
      <c r="BV310"/>
      <c r="BW310"/>
      <c r="BX310"/>
      <c r="BY310"/>
      <c r="BZ310"/>
      <c r="CA310"/>
      <c r="CB310"/>
      <c r="CC310"/>
      <c r="CD310"/>
      <c r="CE310"/>
      <c r="CF310"/>
    </row>
    <row r="311" spans="1:84" ht="12.75" customHeight="1">
      <c r="A311"/>
      <c r="B311"/>
      <c r="C311"/>
      <c r="D311"/>
      <c r="E311"/>
      <c r="F311"/>
      <c r="G311"/>
      <c r="AB311" s="68"/>
      <c r="BJ311"/>
      <c r="BK311"/>
      <c r="BL311"/>
      <c r="BM311"/>
      <c r="BN311"/>
      <c r="BO311"/>
      <c r="BP311"/>
      <c r="BQ311"/>
      <c r="BR311"/>
      <c r="BS311"/>
      <c r="BT311"/>
      <c r="BU311"/>
      <c r="BV311"/>
      <c r="BW311"/>
      <c r="BX311"/>
      <c r="BY311"/>
      <c r="BZ311"/>
      <c r="CA311"/>
      <c r="CB311"/>
      <c r="CC311"/>
      <c r="CD311"/>
      <c r="CE311"/>
      <c r="CF311"/>
    </row>
    <row r="312" spans="1:84" ht="12.75" customHeight="1">
      <c r="A312"/>
      <c r="B312"/>
      <c r="C312"/>
      <c r="D312"/>
      <c r="E312"/>
      <c r="F312"/>
      <c r="G312"/>
      <c r="AB312" s="68"/>
      <c r="BJ312"/>
      <c r="BK312"/>
      <c r="BL312"/>
      <c r="BM312"/>
      <c r="BN312"/>
      <c r="BO312"/>
      <c r="BP312"/>
      <c r="BQ312"/>
      <c r="BR312"/>
      <c r="BS312"/>
      <c r="BT312"/>
      <c r="BU312"/>
      <c r="BV312"/>
      <c r="BW312"/>
      <c r="BX312"/>
      <c r="BY312"/>
      <c r="BZ312"/>
      <c r="CA312"/>
      <c r="CB312"/>
      <c r="CC312"/>
      <c r="CD312"/>
      <c r="CE312"/>
      <c r="CF312"/>
    </row>
    <row r="313" spans="1:84" ht="12.75" customHeight="1">
      <c r="A313"/>
      <c r="B313"/>
      <c r="C313"/>
      <c r="D313"/>
      <c r="E313"/>
      <c r="F313"/>
      <c r="G313"/>
      <c r="AB313" s="68"/>
      <c r="BJ313"/>
      <c r="BK313"/>
      <c r="BL313"/>
      <c r="BM313"/>
      <c r="BN313"/>
      <c r="BO313"/>
      <c r="BP313"/>
      <c r="BQ313"/>
      <c r="BR313"/>
      <c r="BS313"/>
      <c r="BT313"/>
      <c r="BU313"/>
      <c r="BV313"/>
      <c r="BW313"/>
      <c r="BX313"/>
      <c r="BY313"/>
      <c r="BZ313"/>
      <c r="CA313"/>
      <c r="CB313"/>
      <c r="CC313"/>
      <c r="CD313"/>
      <c r="CE313"/>
      <c r="CF313"/>
    </row>
    <row r="314" spans="1:84" ht="12.75" customHeight="1">
      <c r="A314"/>
      <c r="B314"/>
      <c r="C314"/>
      <c r="D314"/>
      <c r="E314"/>
      <c r="F314"/>
      <c r="G314"/>
      <c r="AB314" s="68"/>
      <c r="BJ314"/>
      <c r="BK314"/>
      <c r="BL314"/>
      <c r="BM314"/>
      <c r="BN314"/>
      <c r="BO314"/>
      <c r="BP314"/>
      <c r="BQ314"/>
      <c r="BR314"/>
      <c r="BS314"/>
      <c r="BT314"/>
      <c r="BU314"/>
      <c r="BV314"/>
      <c r="BW314"/>
      <c r="BX314"/>
      <c r="BY314"/>
      <c r="BZ314"/>
      <c r="CA314"/>
      <c r="CB314"/>
      <c r="CC314"/>
      <c r="CD314"/>
      <c r="CE314"/>
      <c r="CF314"/>
    </row>
    <row r="315" spans="1:84" ht="12.75" customHeight="1">
      <c r="A315"/>
      <c r="B315"/>
      <c r="C315"/>
      <c r="D315"/>
      <c r="E315"/>
      <c r="F315"/>
      <c r="G315"/>
      <c r="AB315" s="68"/>
      <c r="BJ315"/>
      <c r="BK315"/>
      <c r="BL315"/>
      <c r="BM315"/>
      <c r="BN315"/>
      <c r="BO315"/>
      <c r="BP315"/>
      <c r="BQ315"/>
      <c r="BR315"/>
      <c r="BS315"/>
      <c r="BT315"/>
      <c r="BU315"/>
      <c r="BV315"/>
      <c r="BW315"/>
      <c r="BX315"/>
      <c r="BY315"/>
      <c r="BZ315"/>
      <c r="CA315"/>
      <c r="CB315"/>
      <c r="CC315"/>
      <c r="CD315"/>
      <c r="CE315"/>
      <c r="CF315"/>
    </row>
    <row r="316" spans="1:84" ht="12.75" customHeight="1">
      <c r="A316"/>
      <c r="B316"/>
      <c r="C316"/>
      <c r="D316"/>
      <c r="E316"/>
      <c r="F316"/>
      <c r="G316"/>
      <c r="AB316" s="68"/>
      <c r="BJ316"/>
      <c r="BK316"/>
      <c r="BL316"/>
      <c r="BM316"/>
      <c r="BN316"/>
      <c r="BO316"/>
      <c r="BP316"/>
      <c r="BQ316"/>
      <c r="BR316"/>
      <c r="BS316"/>
      <c r="BT316"/>
      <c r="BU316"/>
      <c r="BV316"/>
      <c r="BW316"/>
      <c r="BX316"/>
      <c r="BY316"/>
      <c r="BZ316"/>
      <c r="CA316"/>
      <c r="CB316"/>
      <c r="CC316"/>
      <c r="CD316"/>
      <c r="CE316"/>
      <c r="CF316"/>
    </row>
    <row r="317" spans="1:84" ht="12.75" customHeight="1">
      <c r="A317"/>
      <c r="B317"/>
      <c r="C317"/>
      <c r="D317"/>
      <c r="E317"/>
      <c r="F317"/>
      <c r="G317"/>
      <c r="AB317" s="68"/>
      <c r="BJ317"/>
      <c r="BK317"/>
      <c r="BL317"/>
      <c r="BM317"/>
      <c r="BN317"/>
      <c r="BO317"/>
      <c r="BP317"/>
      <c r="BQ317"/>
      <c r="BR317"/>
      <c r="BS317"/>
      <c r="BT317"/>
      <c r="BU317"/>
      <c r="BV317"/>
      <c r="BW317"/>
      <c r="BX317"/>
      <c r="BY317"/>
      <c r="BZ317"/>
      <c r="CA317"/>
      <c r="CB317"/>
      <c r="CC317"/>
      <c r="CD317"/>
      <c r="CE317"/>
      <c r="CF317"/>
    </row>
    <row r="318" spans="1:84" ht="12.75" customHeight="1">
      <c r="A318"/>
      <c r="B318"/>
      <c r="C318"/>
      <c r="D318"/>
      <c r="E318"/>
      <c r="F318"/>
      <c r="G318"/>
      <c r="AB318" s="68"/>
      <c r="BJ318"/>
      <c r="BK318"/>
      <c r="BL318"/>
      <c r="BM318"/>
      <c r="BN318"/>
      <c r="BO318"/>
      <c r="BP318"/>
      <c r="BQ318"/>
      <c r="BR318"/>
      <c r="BS318"/>
      <c r="BT318"/>
      <c r="BU318"/>
      <c r="BV318"/>
      <c r="BW318"/>
      <c r="BX318"/>
      <c r="BY318"/>
      <c r="BZ318"/>
      <c r="CA318"/>
      <c r="CB318"/>
      <c r="CC318"/>
      <c r="CD318"/>
      <c r="CE318"/>
      <c r="CF318"/>
    </row>
    <row r="319" spans="1:84" ht="12.75" customHeight="1">
      <c r="A319"/>
      <c r="B319"/>
      <c r="C319"/>
      <c r="D319"/>
      <c r="E319"/>
      <c r="F319"/>
      <c r="G319"/>
      <c r="AB319" s="68"/>
      <c r="BJ319"/>
      <c r="BK319"/>
      <c r="BL319"/>
      <c r="BM319"/>
      <c r="BN319"/>
      <c r="BO319"/>
      <c r="BP319"/>
      <c r="BQ319"/>
      <c r="BR319"/>
      <c r="BS319"/>
      <c r="BT319"/>
      <c r="BU319"/>
      <c r="BV319"/>
      <c r="BW319"/>
      <c r="BX319"/>
      <c r="BY319"/>
      <c r="BZ319"/>
      <c r="CA319"/>
      <c r="CB319"/>
      <c r="CC319"/>
      <c r="CD319"/>
      <c r="CE319"/>
      <c r="CF319"/>
    </row>
    <row r="320" spans="1:84" ht="12.75" customHeight="1">
      <c r="A320"/>
      <c r="B320"/>
      <c r="C320"/>
      <c r="D320"/>
      <c r="E320"/>
      <c r="F320"/>
      <c r="G320"/>
      <c r="AB320" s="68"/>
      <c r="BJ320"/>
      <c r="BK320"/>
      <c r="BL320"/>
      <c r="BM320"/>
      <c r="BN320"/>
      <c r="BO320"/>
      <c r="BP320"/>
      <c r="BQ320"/>
      <c r="BR320"/>
      <c r="BS320"/>
      <c r="BT320"/>
      <c r="BU320"/>
      <c r="BV320"/>
      <c r="BW320"/>
      <c r="BX320"/>
      <c r="BY320"/>
      <c r="BZ320"/>
      <c r="CA320"/>
      <c r="CB320"/>
      <c r="CC320"/>
      <c r="CD320"/>
      <c r="CE320"/>
      <c r="CF320"/>
    </row>
    <row r="321" spans="1:84" ht="12.75" customHeight="1">
      <c r="A321"/>
      <c r="B321"/>
      <c r="C321"/>
      <c r="D321"/>
      <c r="E321"/>
      <c r="F321"/>
      <c r="G321"/>
      <c r="AB321" s="68"/>
      <c r="BJ321"/>
      <c r="BK321"/>
      <c r="BL321"/>
      <c r="BM321"/>
      <c r="BN321"/>
      <c r="BO321"/>
      <c r="BP321"/>
      <c r="BQ321"/>
      <c r="BR321"/>
      <c r="BS321"/>
      <c r="BT321"/>
      <c r="BU321"/>
      <c r="BV321"/>
      <c r="BW321"/>
      <c r="BX321"/>
      <c r="BY321"/>
      <c r="BZ321"/>
      <c r="CA321"/>
      <c r="CB321"/>
      <c r="CC321"/>
      <c r="CD321"/>
      <c r="CE321"/>
      <c r="CF321"/>
    </row>
    <row r="322" spans="1:84" ht="12.75" customHeight="1">
      <c r="A322"/>
      <c r="B322"/>
      <c r="C322"/>
      <c r="D322"/>
      <c r="E322"/>
      <c r="F322"/>
      <c r="G322"/>
      <c r="AB322" s="68"/>
      <c r="BJ322"/>
      <c r="BK322"/>
      <c r="BL322"/>
      <c r="BM322"/>
      <c r="BN322"/>
      <c r="BO322"/>
      <c r="BP322"/>
      <c r="BQ322"/>
      <c r="BR322"/>
      <c r="BS322"/>
      <c r="BT322"/>
      <c r="BU322"/>
      <c r="BV322"/>
      <c r="BW322"/>
      <c r="BX322"/>
      <c r="BY322"/>
      <c r="BZ322"/>
      <c r="CA322"/>
      <c r="CB322"/>
      <c r="CC322"/>
      <c r="CD322"/>
      <c r="CE322"/>
      <c r="CF322"/>
    </row>
    <row r="323" spans="1:84" ht="12.75" customHeight="1">
      <c r="A323"/>
      <c r="B323"/>
      <c r="C323"/>
      <c r="D323"/>
      <c r="E323"/>
      <c r="F323"/>
      <c r="G323"/>
      <c r="AB323" s="68"/>
      <c r="BJ323"/>
      <c r="BK323"/>
      <c r="BL323"/>
      <c r="BM323"/>
      <c r="BN323"/>
      <c r="BO323"/>
      <c r="BP323"/>
      <c r="BQ323"/>
      <c r="BR323"/>
      <c r="BS323"/>
      <c r="BT323"/>
      <c r="BU323"/>
      <c r="BV323"/>
      <c r="BW323"/>
      <c r="BX323"/>
      <c r="BY323"/>
      <c r="BZ323"/>
      <c r="CA323"/>
      <c r="CB323"/>
      <c r="CC323"/>
      <c r="CD323"/>
      <c r="CE323"/>
      <c r="CF323"/>
    </row>
    <row r="324" spans="1:84" ht="12.75" customHeight="1">
      <c r="A324"/>
      <c r="B324"/>
      <c r="C324"/>
      <c r="D324"/>
      <c r="E324"/>
      <c r="F324"/>
      <c r="G324"/>
      <c r="AB324" s="68"/>
      <c r="BJ324"/>
      <c r="BK324"/>
      <c r="BL324"/>
      <c r="BM324"/>
      <c r="BN324"/>
      <c r="BO324"/>
      <c r="BP324"/>
      <c r="BQ324"/>
      <c r="BR324"/>
      <c r="BS324"/>
      <c r="BT324"/>
      <c r="BU324"/>
      <c r="BV324"/>
      <c r="BW324"/>
      <c r="BX324"/>
      <c r="BY324"/>
      <c r="BZ324"/>
      <c r="CA324"/>
      <c r="CB324"/>
      <c r="CC324"/>
      <c r="CD324"/>
      <c r="CE324"/>
      <c r="CF324"/>
    </row>
    <row r="325" spans="1:84" ht="12.75" customHeight="1">
      <c r="A325"/>
      <c r="B325"/>
      <c r="C325"/>
      <c r="D325"/>
      <c r="E325"/>
      <c r="F325"/>
      <c r="G325"/>
      <c r="AB325" s="68"/>
      <c r="BJ325"/>
      <c r="BK325"/>
      <c r="BL325"/>
      <c r="BM325"/>
      <c r="BN325"/>
      <c r="BO325"/>
      <c r="BP325"/>
      <c r="BQ325"/>
      <c r="BR325"/>
      <c r="BS325"/>
      <c r="BT325"/>
      <c r="BU325"/>
      <c r="BV325"/>
      <c r="BW325"/>
      <c r="BX325"/>
      <c r="BY325"/>
      <c r="BZ325"/>
      <c r="CA325"/>
      <c r="CB325"/>
      <c r="CC325"/>
      <c r="CD325"/>
      <c r="CE325"/>
      <c r="CF325"/>
    </row>
    <row r="326" spans="1:84" ht="12.75" customHeight="1">
      <c r="A326"/>
      <c r="B326"/>
      <c r="C326"/>
      <c r="D326"/>
      <c r="E326"/>
      <c r="F326"/>
      <c r="G326"/>
      <c r="AB326" s="68"/>
      <c r="BJ326"/>
      <c r="BK326"/>
      <c r="BL326"/>
      <c r="BM326"/>
      <c r="BN326"/>
      <c r="BO326"/>
      <c r="BP326"/>
      <c r="BQ326"/>
      <c r="BR326"/>
      <c r="BS326"/>
      <c r="BT326"/>
      <c r="BU326"/>
      <c r="BV326"/>
      <c r="BW326"/>
      <c r="BX326"/>
      <c r="BY326"/>
      <c r="BZ326"/>
      <c r="CA326"/>
      <c r="CB326"/>
      <c r="CC326"/>
      <c r="CD326"/>
      <c r="CE326"/>
      <c r="CF326"/>
    </row>
    <row r="327" spans="1:84" ht="12.75" customHeight="1">
      <c r="A327"/>
      <c r="B327"/>
      <c r="C327"/>
      <c r="D327"/>
      <c r="E327"/>
      <c r="F327"/>
      <c r="G327"/>
      <c r="AB327" s="68"/>
      <c r="BJ327"/>
      <c r="BK327"/>
      <c r="BL327"/>
      <c r="BM327"/>
      <c r="BN327"/>
      <c r="BO327"/>
      <c r="BP327"/>
      <c r="BQ327"/>
      <c r="BR327"/>
      <c r="BS327"/>
      <c r="BT327"/>
      <c r="BU327"/>
      <c r="BV327"/>
      <c r="BW327"/>
      <c r="BX327"/>
      <c r="BY327"/>
      <c r="BZ327"/>
      <c r="CA327"/>
      <c r="CB327"/>
      <c r="CC327"/>
      <c r="CD327"/>
      <c r="CE327"/>
      <c r="CF327"/>
    </row>
    <row r="328" spans="1:84" ht="12.75" customHeight="1">
      <c r="A328"/>
      <c r="B328"/>
      <c r="C328"/>
      <c r="D328"/>
      <c r="E328"/>
      <c r="F328"/>
      <c r="G328"/>
      <c r="AB328" s="68"/>
      <c r="BJ328"/>
      <c r="BK328"/>
      <c r="BL328"/>
      <c r="BM328"/>
      <c r="BN328"/>
      <c r="BO328"/>
      <c r="BP328"/>
      <c r="BQ328"/>
      <c r="BR328"/>
      <c r="BS328"/>
      <c r="BT328"/>
      <c r="BU328"/>
      <c r="BV328"/>
      <c r="BW328"/>
      <c r="BX328"/>
      <c r="BY328"/>
      <c r="BZ328"/>
      <c r="CA328"/>
      <c r="CB328"/>
      <c r="CC328"/>
      <c r="CD328"/>
      <c r="CE328"/>
      <c r="CF328"/>
    </row>
    <row r="329" spans="1:84" ht="12.75" customHeight="1">
      <c r="A329"/>
      <c r="B329"/>
      <c r="C329"/>
      <c r="D329"/>
      <c r="E329"/>
      <c r="F329"/>
      <c r="G329"/>
      <c r="AB329" s="68"/>
      <c r="BJ329"/>
      <c r="BK329"/>
      <c r="BL329"/>
      <c r="BM329"/>
      <c r="BN329"/>
      <c r="BO329"/>
      <c r="BP329"/>
      <c r="BQ329"/>
      <c r="BR329"/>
      <c r="BS329"/>
      <c r="BT329"/>
      <c r="BU329"/>
      <c r="BV329"/>
      <c r="BW329"/>
      <c r="BX329"/>
      <c r="BY329"/>
      <c r="BZ329"/>
      <c r="CA329"/>
      <c r="CB329"/>
      <c r="CC329"/>
      <c r="CD329"/>
      <c r="CE329"/>
      <c r="CF329"/>
    </row>
    <row r="330" spans="1:84" ht="12.75" customHeight="1">
      <c r="A330"/>
      <c r="B330"/>
      <c r="C330"/>
      <c r="D330"/>
      <c r="E330"/>
      <c r="F330"/>
      <c r="G330"/>
      <c r="AB330" s="68"/>
      <c r="BJ330"/>
      <c r="BK330"/>
      <c r="BL330"/>
      <c r="BM330"/>
      <c r="BN330"/>
      <c r="BO330"/>
      <c r="BP330"/>
      <c r="BQ330"/>
      <c r="BR330"/>
      <c r="BS330"/>
      <c r="BT330"/>
      <c r="BU330"/>
      <c r="BV330"/>
      <c r="BW330"/>
      <c r="BX330"/>
      <c r="BY330"/>
      <c r="BZ330"/>
      <c r="CA330"/>
      <c r="CB330"/>
      <c r="CC330"/>
      <c r="CD330"/>
      <c r="CE330"/>
      <c r="CF330"/>
    </row>
    <row r="331" spans="1:84" ht="12.75" customHeight="1">
      <c r="A331"/>
      <c r="B331"/>
      <c r="C331"/>
      <c r="D331"/>
      <c r="E331"/>
      <c r="F331"/>
      <c r="G331"/>
      <c r="AB331" s="68"/>
      <c r="BJ331"/>
      <c r="BK331"/>
      <c r="BL331"/>
      <c r="BM331"/>
      <c r="BN331"/>
      <c r="BO331"/>
      <c r="BP331"/>
      <c r="BQ331"/>
      <c r="BR331"/>
      <c r="BS331"/>
      <c r="BT331"/>
      <c r="BU331"/>
      <c r="BV331"/>
      <c r="BW331"/>
      <c r="BX331"/>
      <c r="BY331"/>
      <c r="BZ331"/>
      <c r="CA331"/>
      <c r="CB331"/>
      <c r="CC331"/>
      <c r="CD331"/>
      <c r="CE331"/>
      <c r="CF331"/>
    </row>
    <row r="332" spans="1:84" ht="12.75" customHeight="1">
      <c r="A332"/>
      <c r="B332"/>
      <c r="C332"/>
      <c r="D332"/>
      <c r="E332"/>
      <c r="F332"/>
      <c r="G332"/>
      <c r="AB332" s="68"/>
      <c r="BJ332"/>
      <c r="BK332"/>
      <c r="BL332"/>
      <c r="BM332"/>
      <c r="BN332"/>
      <c r="BO332"/>
      <c r="BP332"/>
      <c r="BQ332"/>
      <c r="BR332"/>
      <c r="BS332"/>
      <c r="BT332"/>
      <c r="BU332"/>
      <c r="BV332"/>
      <c r="BW332"/>
      <c r="BX332"/>
      <c r="BY332"/>
      <c r="BZ332"/>
      <c r="CA332"/>
      <c r="CB332"/>
      <c r="CC332"/>
      <c r="CD332"/>
      <c r="CE332"/>
      <c r="CF332"/>
    </row>
    <row r="333" spans="1:84" ht="12.75" customHeight="1">
      <c r="A333"/>
      <c r="B333"/>
      <c r="C333"/>
      <c r="D333"/>
      <c r="E333"/>
      <c r="F333"/>
      <c r="G333"/>
      <c r="AB333" s="68"/>
      <c r="BJ333"/>
      <c r="BK333"/>
      <c r="BL333"/>
      <c r="BM333"/>
      <c r="BN333"/>
      <c r="BO333"/>
      <c r="BP333"/>
      <c r="BQ333"/>
      <c r="BR333"/>
      <c r="BS333"/>
      <c r="BT333"/>
      <c r="BU333"/>
      <c r="BV333"/>
      <c r="BW333"/>
      <c r="BX333"/>
      <c r="BY333"/>
      <c r="BZ333"/>
      <c r="CA333"/>
      <c r="CB333"/>
      <c r="CC333"/>
      <c r="CD333"/>
      <c r="CE333"/>
      <c r="CF333"/>
    </row>
    <row r="334" spans="1:84" ht="12.75" customHeight="1">
      <c r="A334"/>
      <c r="B334"/>
      <c r="C334"/>
      <c r="D334"/>
      <c r="E334"/>
      <c r="F334"/>
      <c r="G334"/>
      <c r="AB334" s="68"/>
      <c r="BJ334"/>
      <c r="BK334"/>
      <c r="BL334"/>
      <c r="BM334"/>
      <c r="BN334"/>
      <c r="BO334"/>
      <c r="BP334"/>
      <c r="BQ334"/>
      <c r="BR334"/>
      <c r="BS334"/>
      <c r="BT334"/>
      <c r="BU334"/>
      <c r="BV334"/>
      <c r="BW334"/>
      <c r="BX334"/>
      <c r="BY334"/>
      <c r="BZ334"/>
      <c r="CA334"/>
      <c r="CB334"/>
      <c r="CC334"/>
      <c r="CD334"/>
      <c r="CE334"/>
      <c r="CF334"/>
    </row>
    <row r="335" spans="1:84" ht="12.75" customHeight="1">
      <c r="A335"/>
      <c r="B335"/>
      <c r="C335"/>
      <c r="D335"/>
      <c r="E335"/>
      <c r="F335"/>
      <c r="G335"/>
      <c r="AB335" s="68"/>
      <c r="BJ335"/>
      <c r="BK335"/>
      <c r="BL335"/>
      <c r="BM335"/>
      <c r="BN335"/>
      <c r="BO335"/>
      <c r="BP335"/>
      <c r="BQ335"/>
      <c r="BR335"/>
      <c r="BS335"/>
      <c r="BT335"/>
      <c r="BU335"/>
      <c r="BV335"/>
      <c r="BW335"/>
      <c r="BX335"/>
      <c r="BY335"/>
      <c r="BZ335"/>
      <c r="CA335"/>
      <c r="CB335"/>
      <c r="CC335"/>
      <c r="CD335"/>
      <c r="CE335"/>
      <c r="CF335"/>
    </row>
    <row r="336" spans="1:84" ht="12.75" customHeight="1">
      <c r="A336"/>
      <c r="B336"/>
      <c r="C336"/>
      <c r="D336"/>
      <c r="E336"/>
      <c r="F336"/>
      <c r="G336"/>
      <c r="AB336" s="68"/>
      <c r="BJ336"/>
      <c r="BK336"/>
      <c r="BL336"/>
      <c r="BM336"/>
      <c r="BN336"/>
      <c r="BO336"/>
      <c r="BP336"/>
      <c r="BQ336"/>
      <c r="BR336"/>
      <c r="BS336"/>
      <c r="BT336"/>
      <c r="BU336"/>
      <c r="BV336"/>
      <c r="BW336"/>
      <c r="BX336"/>
      <c r="BY336"/>
      <c r="BZ336"/>
      <c r="CA336"/>
      <c r="CB336"/>
      <c r="CC336"/>
      <c r="CD336"/>
      <c r="CE336"/>
      <c r="CF336"/>
    </row>
    <row r="337" spans="1:84" ht="12.75" customHeight="1">
      <c r="A337"/>
      <c r="B337"/>
      <c r="C337"/>
      <c r="D337"/>
      <c r="E337"/>
      <c r="F337"/>
      <c r="G337"/>
      <c r="AB337" s="68"/>
      <c r="BJ337"/>
      <c r="BK337"/>
      <c r="BL337"/>
      <c r="BM337"/>
      <c r="BN337"/>
      <c r="BO337"/>
      <c r="BP337"/>
      <c r="BQ337"/>
      <c r="BR337"/>
      <c r="BS337"/>
      <c r="BT337"/>
      <c r="BU337"/>
      <c r="BV337"/>
      <c r="BW337"/>
      <c r="BX337"/>
      <c r="BY337"/>
      <c r="BZ337"/>
      <c r="CA337"/>
      <c r="CB337"/>
      <c r="CC337"/>
      <c r="CD337"/>
      <c r="CE337"/>
      <c r="CF337"/>
    </row>
    <row r="338" spans="1:84" ht="12.75" customHeight="1">
      <c r="A338"/>
      <c r="B338"/>
      <c r="C338"/>
      <c r="D338"/>
      <c r="E338"/>
      <c r="F338"/>
      <c r="G338"/>
      <c r="AB338" s="68"/>
      <c r="BJ338"/>
      <c r="BK338"/>
      <c r="BL338"/>
      <c r="BM338"/>
      <c r="BN338"/>
      <c r="BO338"/>
      <c r="BP338"/>
      <c r="BQ338"/>
      <c r="BR338"/>
      <c r="BS338"/>
      <c r="BT338"/>
      <c r="BU338"/>
      <c r="BV338"/>
      <c r="BW338"/>
      <c r="BX338"/>
      <c r="BY338"/>
      <c r="BZ338"/>
      <c r="CA338"/>
      <c r="CB338"/>
      <c r="CC338"/>
      <c r="CD338"/>
      <c r="CE338"/>
      <c r="CF338"/>
    </row>
    <row r="339" spans="1:84" ht="12.75" customHeight="1">
      <c r="A339"/>
      <c r="B339"/>
      <c r="C339"/>
      <c r="D339"/>
      <c r="E339"/>
      <c r="F339"/>
      <c r="G339"/>
      <c r="AB339" s="68"/>
      <c r="BJ339"/>
      <c r="BK339"/>
      <c r="BL339"/>
      <c r="BM339"/>
      <c r="BN339"/>
      <c r="BO339"/>
      <c r="BP339"/>
      <c r="BQ339"/>
      <c r="BR339"/>
      <c r="BS339"/>
      <c r="BT339"/>
      <c r="BU339"/>
      <c r="BV339"/>
      <c r="BW339"/>
      <c r="BX339"/>
      <c r="BY339"/>
      <c r="BZ339"/>
      <c r="CA339"/>
      <c r="CB339"/>
      <c r="CC339"/>
      <c r="CD339"/>
      <c r="CE339"/>
      <c r="CF339"/>
    </row>
    <row r="340" spans="1:84" ht="12.75" customHeight="1">
      <c r="A340"/>
      <c r="B340"/>
      <c r="C340"/>
      <c r="D340"/>
      <c r="E340"/>
      <c r="F340"/>
      <c r="G340"/>
      <c r="AB340" s="68"/>
      <c r="BJ340"/>
      <c r="BK340"/>
      <c r="BL340"/>
      <c r="BM340"/>
      <c r="BN340"/>
      <c r="BO340"/>
      <c r="BP340"/>
      <c r="BQ340"/>
      <c r="BR340"/>
      <c r="BS340"/>
      <c r="BT340"/>
      <c r="BU340"/>
      <c r="BV340"/>
      <c r="BW340"/>
      <c r="BX340"/>
      <c r="BY340"/>
      <c r="BZ340"/>
      <c r="CA340"/>
      <c r="CB340"/>
      <c r="CC340"/>
      <c r="CD340"/>
      <c r="CE340"/>
      <c r="CF340"/>
    </row>
    <row r="341" spans="1:84" ht="12.75" customHeight="1">
      <c r="A341"/>
      <c r="B341"/>
      <c r="C341"/>
      <c r="D341"/>
      <c r="E341"/>
      <c r="F341"/>
      <c r="G341"/>
      <c r="AB341" s="68"/>
      <c r="BJ341"/>
      <c r="BK341"/>
      <c r="BL341"/>
      <c r="BM341"/>
      <c r="BN341"/>
      <c r="BO341"/>
      <c r="BP341"/>
      <c r="BQ341"/>
      <c r="BR341"/>
      <c r="BS341"/>
      <c r="BT341"/>
      <c r="BU341"/>
      <c r="BV341"/>
      <c r="BW341"/>
      <c r="BX341"/>
      <c r="BY341"/>
      <c r="BZ341"/>
      <c r="CA341"/>
      <c r="CB341"/>
      <c r="CC341"/>
      <c r="CD341"/>
      <c r="CE341"/>
      <c r="CF341"/>
    </row>
    <row r="342" spans="1:84" ht="12.75" customHeight="1">
      <c r="A342"/>
      <c r="B342"/>
      <c r="C342"/>
      <c r="D342"/>
      <c r="E342"/>
      <c r="F342"/>
      <c r="G342"/>
      <c r="AB342" s="68"/>
      <c r="BJ342"/>
      <c r="BK342"/>
      <c r="BL342"/>
      <c r="BM342"/>
      <c r="BN342"/>
      <c r="BO342"/>
      <c r="BP342"/>
      <c r="BQ342"/>
      <c r="BR342"/>
      <c r="BS342"/>
      <c r="BT342"/>
      <c r="BU342"/>
      <c r="BV342"/>
      <c r="BW342"/>
      <c r="BX342"/>
      <c r="BY342"/>
      <c r="BZ342"/>
      <c r="CA342"/>
      <c r="CB342"/>
      <c r="CC342"/>
      <c r="CD342"/>
      <c r="CE342"/>
      <c r="CF342"/>
    </row>
    <row r="343" spans="1:84" ht="12.75" customHeight="1">
      <c r="A343"/>
      <c r="B343"/>
      <c r="C343"/>
      <c r="D343"/>
      <c r="E343"/>
      <c r="F343"/>
      <c r="G343"/>
      <c r="AB343" s="68"/>
      <c r="BJ343"/>
      <c r="BK343"/>
      <c r="BL343"/>
      <c r="BM343"/>
      <c r="BN343"/>
      <c r="BO343"/>
      <c r="BP343"/>
      <c r="BQ343"/>
      <c r="BR343"/>
      <c r="BS343"/>
      <c r="BT343"/>
      <c r="BU343"/>
      <c r="BV343"/>
      <c r="BW343"/>
      <c r="BX343"/>
      <c r="BY343"/>
      <c r="BZ343"/>
      <c r="CA343"/>
      <c r="CB343"/>
      <c r="CC343"/>
      <c r="CD343"/>
      <c r="CE343"/>
      <c r="CF343"/>
    </row>
    <row r="344" spans="1:84" ht="12.75" customHeight="1">
      <c r="A344"/>
      <c r="B344"/>
      <c r="C344"/>
      <c r="D344"/>
      <c r="E344"/>
      <c r="F344"/>
      <c r="G344"/>
      <c r="AB344" s="68"/>
      <c r="BJ344"/>
      <c r="BK344"/>
      <c r="BL344"/>
      <c r="BM344"/>
      <c r="BN344"/>
      <c r="BO344"/>
      <c r="BP344"/>
      <c r="BQ344"/>
      <c r="BR344"/>
      <c r="BS344"/>
      <c r="BT344"/>
      <c r="BU344"/>
      <c r="BV344"/>
      <c r="BW344"/>
      <c r="BX344"/>
      <c r="BY344"/>
      <c r="BZ344"/>
      <c r="CA344"/>
      <c r="CB344"/>
      <c r="CC344"/>
      <c r="CD344"/>
      <c r="CE344"/>
      <c r="CF344"/>
    </row>
    <row r="345" spans="1:84" ht="12.75" customHeight="1">
      <c r="A345"/>
      <c r="B345"/>
      <c r="C345"/>
      <c r="D345"/>
      <c r="E345"/>
      <c r="F345"/>
      <c r="G345"/>
      <c r="AB345" s="68"/>
      <c r="BJ345"/>
      <c r="BK345"/>
      <c r="BL345"/>
      <c r="BM345"/>
      <c r="BN345"/>
      <c r="BO345"/>
      <c r="BP345"/>
      <c r="BQ345"/>
      <c r="BR345"/>
      <c r="BS345"/>
      <c r="BT345"/>
      <c r="BU345"/>
      <c r="BV345"/>
      <c r="BW345"/>
      <c r="BX345"/>
      <c r="BY345"/>
      <c r="BZ345"/>
      <c r="CA345"/>
      <c r="CB345"/>
      <c r="CC345"/>
      <c r="CD345"/>
      <c r="CE345"/>
      <c r="CF345"/>
    </row>
    <row r="346" spans="1:84" ht="12.75" customHeight="1">
      <c r="A346"/>
      <c r="B346"/>
      <c r="C346"/>
      <c r="D346"/>
      <c r="E346"/>
      <c r="F346"/>
      <c r="G346"/>
      <c r="AB346" s="68"/>
      <c r="BJ346"/>
      <c r="BK346"/>
      <c r="BL346"/>
      <c r="BM346"/>
      <c r="BN346"/>
      <c r="BO346"/>
      <c r="BP346"/>
      <c r="BQ346"/>
      <c r="BR346"/>
      <c r="BS346"/>
      <c r="BT346"/>
      <c r="BU346"/>
      <c r="BV346"/>
      <c r="BW346"/>
      <c r="BX346"/>
      <c r="BY346"/>
      <c r="BZ346"/>
      <c r="CA346"/>
      <c r="CB346"/>
      <c r="CC346"/>
      <c r="CD346"/>
      <c r="CE346"/>
      <c r="CF346"/>
    </row>
    <row r="347" spans="1:84" ht="12.75" customHeight="1">
      <c r="A347"/>
      <c r="B347"/>
      <c r="C347"/>
      <c r="D347"/>
      <c r="E347"/>
      <c r="F347"/>
      <c r="G347"/>
      <c r="AB347" s="68"/>
      <c r="BJ347"/>
      <c r="BK347"/>
      <c r="BL347"/>
      <c r="BM347"/>
      <c r="BN347"/>
      <c r="BO347"/>
      <c r="BP347"/>
      <c r="BQ347"/>
      <c r="BR347"/>
      <c r="BS347"/>
      <c r="BT347"/>
      <c r="BU347"/>
      <c r="BV347"/>
      <c r="BW347"/>
      <c r="BX347"/>
      <c r="BY347"/>
      <c r="BZ347"/>
      <c r="CA347"/>
      <c r="CB347"/>
      <c r="CC347"/>
      <c r="CD347"/>
      <c r="CE347"/>
      <c r="CF347"/>
    </row>
    <row r="348" spans="1:84" ht="12.75" customHeight="1">
      <c r="A348"/>
      <c r="B348"/>
      <c r="C348"/>
      <c r="D348"/>
      <c r="E348"/>
      <c r="F348"/>
      <c r="G348"/>
      <c r="AB348" s="68"/>
      <c r="BJ348"/>
      <c r="BK348"/>
      <c r="BL348"/>
      <c r="BM348"/>
      <c r="BN348"/>
      <c r="BO348"/>
      <c r="BP348"/>
      <c r="BQ348"/>
      <c r="BR348"/>
      <c r="BS348"/>
      <c r="BT348"/>
      <c r="BU348"/>
      <c r="BV348"/>
      <c r="BW348"/>
      <c r="BX348"/>
      <c r="BY348"/>
      <c r="BZ348"/>
      <c r="CA348"/>
      <c r="CB348"/>
      <c r="CC348"/>
      <c r="CD348"/>
      <c r="CE348"/>
      <c r="CF348"/>
    </row>
    <row r="349" spans="1:84" ht="12.75" customHeight="1">
      <c r="A349"/>
      <c r="B349"/>
      <c r="C349"/>
      <c r="D349"/>
      <c r="E349"/>
      <c r="F349"/>
      <c r="G349"/>
      <c r="AB349" s="68"/>
      <c r="BJ349"/>
      <c r="BK349"/>
      <c r="BL349"/>
      <c r="BM349"/>
      <c r="BN349"/>
      <c r="BO349"/>
      <c r="BP349"/>
      <c r="BQ349"/>
      <c r="BR349"/>
      <c r="BS349"/>
      <c r="BT349"/>
      <c r="BU349"/>
      <c r="BV349"/>
      <c r="BW349"/>
      <c r="BX349"/>
      <c r="BY349"/>
      <c r="BZ349"/>
      <c r="CA349"/>
      <c r="CB349"/>
      <c r="CC349"/>
      <c r="CD349"/>
      <c r="CE349"/>
      <c r="CF349"/>
    </row>
    <row r="350" spans="1:84" ht="12.75" customHeight="1">
      <c r="A350"/>
      <c r="B350"/>
      <c r="C350"/>
      <c r="D350"/>
      <c r="E350"/>
      <c r="F350"/>
      <c r="G350"/>
      <c r="AB350" s="68"/>
      <c r="BJ350"/>
      <c r="BK350"/>
      <c r="BL350"/>
      <c r="BM350"/>
      <c r="BN350"/>
      <c r="BO350"/>
      <c r="BP350"/>
      <c r="BQ350"/>
      <c r="BR350"/>
      <c r="BS350"/>
      <c r="BT350"/>
      <c r="BU350"/>
      <c r="BV350"/>
      <c r="BW350"/>
      <c r="BX350"/>
      <c r="BY350"/>
      <c r="BZ350"/>
      <c r="CA350"/>
      <c r="CB350"/>
      <c r="CC350"/>
      <c r="CD350"/>
      <c r="CE350"/>
      <c r="CF350"/>
    </row>
    <row r="351" spans="1:84" ht="12.75" customHeight="1">
      <c r="A351"/>
      <c r="B351"/>
      <c r="C351"/>
      <c r="D351"/>
      <c r="E351"/>
      <c r="F351"/>
      <c r="G351"/>
      <c r="AB351" s="68"/>
      <c r="BJ351"/>
      <c r="BK351"/>
      <c r="BL351"/>
      <c r="BM351"/>
      <c r="BN351"/>
      <c r="BO351"/>
      <c r="BP351"/>
      <c r="BQ351"/>
      <c r="BR351"/>
      <c r="BS351"/>
      <c r="BT351"/>
      <c r="BU351"/>
      <c r="BV351"/>
      <c r="BW351"/>
      <c r="BX351"/>
      <c r="BY351"/>
      <c r="BZ351"/>
      <c r="CA351"/>
      <c r="CB351"/>
      <c r="CC351"/>
      <c r="CD351"/>
      <c r="CE351"/>
      <c r="CF351"/>
    </row>
    <row r="352" spans="1:84" ht="12.75" customHeight="1">
      <c r="A352"/>
      <c r="B352"/>
      <c r="C352"/>
      <c r="D352"/>
      <c r="E352"/>
      <c r="F352"/>
      <c r="G352"/>
      <c r="AB352" s="68"/>
      <c r="BJ352"/>
      <c r="BK352"/>
      <c r="BL352"/>
      <c r="BM352"/>
      <c r="BN352"/>
      <c r="BO352"/>
      <c r="BP352"/>
      <c r="BQ352"/>
      <c r="BR352"/>
      <c r="BS352"/>
      <c r="BT352"/>
      <c r="BU352"/>
      <c r="BV352"/>
      <c r="BW352"/>
      <c r="BX352"/>
      <c r="BY352"/>
      <c r="BZ352"/>
      <c r="CA352"/>
      <c r="CB352"/>
      <c r="CC352"/>
      <c r="CD352"/>
      <c r="CE352"/>
      <c r="CF352"/>
    </row>
    <row r="353" spans="1:84" ht="12.75" customHeight="1">
      <c r="A353"/>
      <c r="B353"/>
      <c r="C353"/>
      <c r="D353"/>
      <c r="E353"/>
      <c r="F353"/>
      <c r="G353"/>
      <c r="AB353" s="68"/>
      <c r="BJ353"/>
      <c r="BK353"/>
      <c r="BL353"/>
      <c r="BM353"/>
      <c r="BN353"/>
      <c r="BO353"/>
      <c r="BP353"/>
      <c r="BQ353"/>
      <c r="BR353"/>
      <c r="BS353"/>
      <c r="BT353"/>
      <c r="BU353"/>
      <c r="BV353"/>
      <c r="BW353"/>
      <c r="BX353"/>
      <c r="BY353"/>
      <c r="BZ353"/>
      <c r="CA353"/>
      <c r="CB353"/>
      <c r="CC353"/>
      <c r="CD353"/>
      <c r="CE353"/>
      <c r="CF353"/>
    </row>
    <row r="354" spans="1:84" ht="12.75" customHeight="1">
      <c r="A354"/>
      <c r="B354"/>
      <c r="C354"/>
      <c r="D354"/>
      <c r="E354"/>
      <c r="F354"/>
      <c r="G354"/>
      <c r="AB354" s="68"/>
      <c r="BJ354"/>
      <c r="BK354"/>
      <c r="BL354"/>
      <c r="BM354"/>
      <c r="BN354"/>
      <c r="BO354"/>
      <c r="BP354"/>
      <c r="BQ354"/>
      <c r="BR354"/>
      <c r="BS354"/>
      <c r="BT354"/>
      <c r="BU354"/>
      <c r="BV354"/>
      <c r="BW354"/>
      <c r="BX354"/>
      <c r="BY354"/>
      <c r="BZ354"/>
      <c r="CA354"/>
      <c r="CB354"/>
      <c r="CC354"/>
      <c r="CD354"/>
      <c r="CE354"/>
      <c r="CF354"/>
    </row>
    <row r="355" spans="1:84" ht="12.75" customHeight="1">
      <c r="A355"/>
      <c r="B355"/>
      <c r="C355"/>
      <c r="D355"/>
      <c r="E355"/>
      <c r="F355"/>
      <c r="G355"/>
      <c r="AB355" s="68"/>
      <c r="BJ355"/>
      <c r="BK355"/>
      <c r="BL355"/>
      <c r="BM355"/>
      <c r="BN355"/>
      <c r="BO355"/>
      <c r="BP355"/>
      <c r="BQ355"/>
      <c r="BR355"/>
      <c r="BS355"/>
      <c r="BT355"/>
      <c r="BU355"/>
      <c r="BV355"/>
      <c r="BW355"/>
      <c r="BX355"/>
      <c r="BY355"/>
      <c r="BZ355"/>
      <c r="CA355"/>
      <c r="CB355"/>
      <c r="CC355"/>
      <c r="CD355"/>
      <c r="CE355"/>
      <c r="CF355"/>
    </row>
    <row r="356" spans="1:84" ht="12.75" customHeight="1">
      <c r="A356"/>
      <c r="B356"/>
      <c r="C356"/>
      <c r="D356"/>
      <c r="E356"/>
      <c r="F356"/>
      <c r="G356"/>
      <c r="AB356" s="68"/>
      <c r="BJ356"/>
      <c r="BK356"/>
      <c r="BL356"/>
      <c r="BM356"/>
      <c r="BN356"/>
      <c r="BO356"/>
      <c r="BP356"/>
      <c r="BQ356"/>
      <c r="BR356"/>
      <c r="BS356"/>
      <c r="BT356"/>
      <c r="BU356"/>
      <c r="BV356"/>
      <c r="BW356"/>
      <c r="BX356"/>
      <c r="BY356"/>
      <c r="BZ356"/>
      <c r="CA356"/>
      <c r="CB356"/>
      <c r="CC356"/>
      <c r="CD356"/>
      <c r="CE356"/>
      <c r="CF356"/>
    </row>
    <row r="357" spans="1:84" ht="12.75" customHeight="1">
      <c r="A357"/>
      <c r="B357"/>
      <c r="C357"/>
      <c r="D357"/>
      <c r="E357"/>
      <c r="F357"/>
      <c r="G357"/>
      <c r="AB357" s="68"/>
      <c r="BJ357"/>
      <c r="BK357"/>
      <c r="BL357"/>
      <c r="BM357"/>
      <c r="BN357"/>
      <c r="BO357"/>
      <c r="BP357"/>
      <c r="BQ357"/>
      <c r="BR357"/>
      <c r="BS357"/>
      <c r="BT357"/>
      <c r="BU357"/>
      <c r="BV357"/>
      <c r="BW357"/>
      <c r="BX357"/>
      <c r="BY357"/>
      <c r="BZ357"/>
      <c r="CA357"/>
      <c r="CB357"/>
      <c r="CC357"/>
      <c r="CD357"/>
      <c r="CE357"/>
      <c r="CF357"/>
    </row>
    <row r="358" spans="1:84" ht="12.75" customHeight="1">
      <c r="A358"/>
      <c r="B358"/>
      <c r="C358"/>
      <c r="D358"/>
      <c r="E358"/>
      <c r="F358"/>
      <c r="G358"/>
      <c r="AB358" s="68"/>
      <c r="BJ358"/>
      <c r="BK358"/>
      <c r="BL358"/>
      <c r="BM358"/>
      <c r="BN358"/>
      <c r="BO358"/>
      <c r="BP358"/>
      <c r="BQ358"/>
      <c r="BR358"/>
      <c r="BS358"/>
      <c r="BT358"/>
      <c r="BU358"/>
      <c r="BV358"/>
      <c r="BW358"/>
      <c r="BX358"/>
      <c r="BY358"/>
      <c r="BZ358"/>
      <c r="CA358"/>
      <c r="CB358"/>
      <c r="CC358"/>
      <c r="CD358"/>
      <c r="CE358"/>
      <c r="CF358"/>
    </row>
    <row r="359" spans="1:84" ht="12.75" customHeight="1">
      <c r="A359"/>
      <c r="B359"/>
      <c r="C359"/>
      <c r="D359"/>
      <c r="E359"/>
      <c r="F359"/>
      <c r="G359"/>
      <c r="AB359" s="68"/>
      <c r="BJ359"/>
      <c r="BK359"/>
      <c r="BL359"/>
      <c r="BM359"/>
      <c r="BN359"/>
      <c r="BO359"/>
      <c r="BP359"/>
      <c r="BQ359"/>
      <c r="BR359"/>
      <c r="BS359"/>
      <c r="BT359"/>
      <c r="BU359"/>
      <c r="BV359"/>
      <c r="BW359"/>
      <c r="BX359"/>
      <c r="BY359"/>
      <c r="BZ359"/>
      <c r="CA359"/>
      <c r="CB359"/>
      <c r="CC359"/>
      <c r="CD359"/>
      <c r="CE359"/>
      <c r="CF359"/>
    </row>
    <row r="360" spans="1:84" ht="12.75" customHeight="1">
      <c r="A360"/>
      <c r="B360"/>
      <c r="C360"/>
      <c r="D360"/>
      <c r="E360"/>
      <c r="F360"/>
      <c r="G360"/>
      <c r="AB360" s="68"/>
      <c r="BJ360"/>
      <c r="BK360"/>
      <c r="BL360"/>
      <c r="BM360"/>
      <c r="BN360"/>
      <c r="BO360"/>
      <c r="BP360"/>
      <c r="BQ360"/>
      <c r="BR360"/>
      <c r="BS360"/>
      <c r="BT360"/>
      <c r="BU360"/>
      <c r="BV360"/>
      <c r="BW360"/>
      <c r="BX360"/>
      <c r="BY360"/>
      <c r="BZ360"/>
      <c r="CA360"/>
      <c r="CB360"/>
      <c r="CC360"/>
      <c r="CD360"/>
      <c r="CE360"/>
      <c r="CF360"/>
    </row>
    <row r="361" spans="1:84" ht="12.75" customHeight="1">
      <c r="A361"/>
      <c r="B361"/>
      <c r="C361"/>
      <c r="D361"/>
      <c r="E361"/>
      <c r="F361"/>
      <c r="G361"/>
      <c r="AB361" s="68"/>
      <c r="BJ361"/>
      <c r="BK361"/>
      <c r="BL361"/>
      <c r="BM361"/>
      <c r="BN361"/>
      <c r="BO361"/>
      <c r="BP361"/>
      <c r="BQ361"/>
      <c r="BR361"/>
      <c r="BS361"/>
      <c r="BT361"/>
      <c r="BU361"/>
      <c r="BV361"/>
      <c r="BW361"/>
      <c r="BX361"/>
      <c r="BY361"/>
      <c r="BZ361"/>
      <c r="CA361"/>
      <c r="CB361"/>
      <c r="CC361"/>
      <c r="CD361"/>
      <c r="CE361"/>
      <c r="CF361"/>
    </row>
    <row r="362" spans="1:84" ht="12.75" customHeight="1">
      <c r="A362"/>
      <c r="B362"/>
      <c r="C362"/>
      <c r="D362"/>
      <c r="E362"/>
      <c r="F362"/>
      <c r="G362"/>
      <c r="AB362" s="68"/>
      <c r="BJ362"/>
      <c r="BK362"/>
      <c r="BL362"/>
      <c r="BM362"/>
      <c r="BN362"/>
      <c r="BO362"/>
      <c r="BP362"/>
      <c r="BQ362"/>
      <c r="BR362"/>
      <c r="BS362"/>
      <c r="BT362"/>
      <c r="BU362"/>
      <c r="BV362"/>
      <c r="BW362"/>
      <c r="BX362"/>
      <c r="BY362"/>
      <c r="BZ362"/>
      <c r="CA362"/>
      <c r="CB362"/>
      <c r="CC362"/>
      <c r="CD362"/>
      <c r="CE362"/>
      <c r="CF362"/>
    </row>
    <row r="363" spans="1:84" ht="12.75" customHeight="1">
      <c r="A363"/>
      <c r="B363"/>
      <c r="C363"/>
      <c r="D363"/>
      <c r="E363"/>
      <c r="F363"/>
      <c r="G363"/>
      <c r="AB363" s="68"/>
      <c r="BJ363"/>
      <c r="BK363"/>
      <c r="BL363"/>
      <c r="BM363"/>
      <c r="BN363"/>
      <c r="BO363"/>
      <c r="BP363"/>
      <c r="BQ363"/>
      <c r="BR363"/>
      <c r="BS363"/>
      <c r="BT363"/>
      <c r="BU363"/>
      <c r="BV363"/>
      <c r="BW363"/>
      <c r="BX363"/>
      <c r="BY363"/>
      <c r="BZ363"/>
      <c r="CA363"/>
      <c r="CB363"/>
      <c r="CC363"/>
      <c r="CD363"/>
      <c r="CE363"/>
      <c r="CF363"/>
    </row>
    <row r="364" spans="1:84" ht="12.75" customHeight="1">
      <c r="A364"/>
      <c r="B364"/>
      <c r="C364"/>
      <c r="D364"/>
      <c r="E364"/>
      <c r="F364"/>
      <c r="G364"/>
      <c r="AB364" s="68"/>
      <c r="BJ364"/>
      <c r="BK364"/>
      <c r="BL364"/>
      <c r="BM364"/>
      <c r="BN364"/>
      <c r="BO364"/>
      <c r="BP364"/>
      <c r="BQ364"/>
      <c r="BR364"/>
      <c r="BS364"/>
      <c r="BT364"/>
      <c r="BU364"/>
      <c r="BV364"/>
      <c r="BW364"/>
      <c r="BX364"/>
      <c r="BY364"/>
      <c r="BZ364"/>
      <c r="CA364"/>
      <c r="CB364"/>
      <c r="CC364"/>
      <c r="CD364"/>
      <c r="CE364"/>
      <c r="CF364"/>
    </row>
    <row r="365" spans="1:84" ht="12.75" customHeight="1">
      <c r="A365"/>
      <c r="B365"/>
      <c r="C365"/>
      <c r="D365"/>
      <c r="E365"/>
      <c r="F365"/>
      <c r="G365"/>
      <c r="AB365" s="68"/>
      <c r="BJ365"/>
      <c r="BK365"/>
      <c r="BL365"/>
      <c r="BM365"/>
      <c r="BN365"/>
      <c r="BO365"/>
      <c r="BP365"/>
      <c r="BQ365"/>
      <c r="BR365"/>
      <c r="BS365"/>
      <c r="BT365"/>
      <c r="BU365"/>
      <c r="BV365"/>
      <c r="BW365"/>
      <c r="BX365"/>
      <c r="BY365"/>
      <c r="BZ365"/>
      <c r="CA365"/>
      <c r="CB365"/>
      <c r="CC365"/>
      <c r="CD365"/>
      <c r="CE365"/>
      <c r="CF365"/>
    </row>
    <row r="366" spans="1:84" ht="12.75" customHeight="1">
      <c r="A366"/>
      <c r="B366"/>
      <c r="C366"/>
      <c r="D366"/>
      <c r="E366"/>
      <c r="F366"/>
      <c r="G366"/>
      <c r="AB366" s="68"/>
      <c r="BJ366"/>
      <c r="BK366"/>
      <c r="BL366"/>
      <c r="BM366"/>
      <c r="BN366"/>
      <c r="BO366"/>
      <c r="BP366"/>
      <c r="BQ366"/>
      <c r="BR366"/>
      <c r="BS366"/>
      <c r="BT366"/>
      <c r="BU366"/>
      <c r="BV366"/>
      <c r="BW366"/>
      <c r="BX366"/>
      <c r="BY366"/>
      <c r="BZ366"/>
      <c r="CA366"/>
      <c r="CB366"/>
      <c r="CC366"/>
      <c r="CD366"/>
      <c r="CE366"/>
      <c r="CF366"/>
    </row>
    <row r="367" spans="1:84" ht="12.75" customHeight="1">
      <c r="A367"/>
      <c r="B367"/>
      <c r="C367"/>
      <c r="D367"/>
      <c r="E367"/>
      <c r="F367"/>
      <c r="G367"/>
      <c r="AB367" s="68"/>
      <c r="BJ367"/>
      <c r="BK367"/>
      <c r="BL367"/>
      <c r="BM367"/>
      <c r="BN367"/>
      <c r="BO367"/>
      <c r="BP367"/>
      <c r="BQ367"/>
      <c r="BR367"/>
      <c r="BS367"/>
      <c r="BT367"/>
      <c r="BU367"/>
      <c r="BV367"/>
      <c r="BW367"/>
      <c r="BX367"/>
      <c r="BY367"/>
      <c r="BZ367"/>
      <c r="CA367"/>
      <c r="CB367"/>
      <c r="CC367"/>
      <c r="CD367"/>
      <c r="CE367"/>
      <c r="CF367"/>
    </row>
    <row r="368" spans="1:84" ht="12.75" customHeight="1">
      <c r="A368"/>
      <c r="B368"/>
      <c r="C368"/>
      <c r="D368"/>
      <c r="E368"/>
      <c r="F368"/>
      <c r="G368"/>
      <c r="AB368" s="68"/>
      <c r="BJ368"/>
      <c r="BK368"/>
      <c r="BL368"/>
      <c r="BM368"/>
      <c r="BN368"/>
      <c r="BO368"/>
      <c r="BP368"/>
      <c r="BQ368"/>
      <c r="BR368"/>
      <c r="BS368"/>
      <c r="BT368"/>
      <c r="BU368"/>
      <c r="BV368"/>
      <c r="BW368"/>
      <c r="BX368"/>
      <c r="BY368"/>
      <c r="BZ368"/>
      <c r="CA368"/>
      <c r="CB368"/>
      <c r="CC368"/>
      <c r="CD368"/>
      <c r="CE368"/>
      <c r="CF368"/>
    </row>
    <row r="369" spans="1:84" ht="12.75" customHeight="1">
      <c r="A369"/>
      <c r="B369"/>
      <c r="C369"/>
      <c r="D369"/>
      <c r="E369"/>
      <c r="F369"/>
      <c r="G369"/>
      <c r="AB369" s="68"/>
      <c r="BJ369"/>
      <c r="BK369"/>
      <c r="BL369"/>
      <c r="BM369"/>
      <c r="BN369"/>
      <c r="BO369"/>
      <c r="BP369"/>
      <c r="BQ369"/>
      <c r="BR369"/>
      <c r="BS369"/>
      <c r="BT369"/>
      <c r="BU369"/>
      <c r="BV369"/>
      <c r="BW369"/>
      <c r="BX369"/>
      <c r="BY369"/>
      <c r="BZ369"/>
      <c r="CA369"/>
      <c r="CB369"/>
      <c r="CC369"/>
      <c r="CD369"/>
      <c r="CE369"/>
      <c r="CF369"/>
    </row>
    <row r="370" spans="1:84" ht="12.75" customHeight="1">
      <c r="A370"/>
      <c r="B370"/>
      <c r="C370"/>
      <c r="D370"/>
      <c r="E370"/>
      <c r="F370"/>
      <c r="G370"/>
      <c r="AB370" s="68"/>
      <c r="BJ370"/>
      <c r="BK370"/>
      <c r="BL370"/>
      <c r="BM370"/>
      <c r="BN370"/>
      <c r="BO370"/>
      <c r="BP370"/>
      <c r="BQ370"/>
      <c r="BR370"/>
      <c r="BS370"/>
      <c r="BT370"/>
      <c r="BU370"/>
      <c r="BV370"/>
      <c r="BW370"/>
      <c r="BX370"/>
      <c r="BY370"/>
      <c r="BZ370"/>
      <c r="CA370"/>
      <c r="CB370"/>
      <c r="CC370"/>
      <c r="CD370"/>
      <c r="CE370"/>
      <c r="CF370"/>
    </row>
    <row r="371" spans="1:84" ht="12.75" customHeight="1">
      <c r="A371"/>
      <c r="B371"/>
      <c r="C371"/>
      <c r="D371"/>
      <c r="E371"/>
      <c r="F371"/>
      <c r="G371"/>
      <c r="AB371" s="68"/>
      <c r="BJ371"/>
      <c r="BK371"/>
      <c r="BL371"/>
      <c r="BM371"/>
      <c r="BN371"/>
      <c r="BO371"/>
      <c r="BP371"/>
      <c r="BQ371"/>
      <c r="BR371"/>
      <c r="BS371"/>
      <c r="BT371"/>
      <c r="BU371"/>
      <c r="BV371"/>
      <c r="BW371"/>
      <c r="BX371"/>
      <c r="BY371"/>
      <c r="BZ371"/>
      <c r="CA371"/>
      <c r="CB371"/>
      <c r="CC371"/>
      <c r="CD371"/>
      <c r="CE371"/>
      <c r="CF371"/>
    </row>
    <row r="372" spans="1:84" ht="12.75" customHeight="1">
      <c r="A372"/>
      <c r="B372"/>
      <c r="C372"/>
      <c r="D372"/>
      <c r="E372"/>
      <c r="F372"/>
      <c r="G372"/>
      <c r="AB372" s="68"/>
      <c r="BJ372"/>
      <c r="BK372"/>
      <c r="BL372"/>
      <c r="BM372"/>
      <c r="BN372"/>
      <c r="BO372"/>
      <c r="BP372"/>
      <c r="BQ372"/>
      <c r="BR372"/>
      <c r="BS372"/>
      <c r="BT372"/>
      <c r="BU372"/>
      <c r="BV372"/>
      <c r="BW372"/>
      <c r="BX372"/>
      <c r="BY372"/>
      <c r="BZ372"/>
      <c r="CA372"/>
      <c r="CB372"/>
      <c r="CC372"/>
      <c r="CD372"/>
      <c r="CE372"/>
      <c r="CF372"/>
    </row>
    <row r="373" spans="1:84" ht="12.75" customHeight="1">
      <c r="A373"/>
      <c r="B373"/>
      <c r="C373"/>
      <c r="D373"/>
      <c r="E373"/>
      <c r="F373"/>
      <c r="G373"/>
      <c r="AB373" s="68"/>
      <c r="BJ373"/>
      <c r="BK373"/>
      <c r="BL373"/>
      <c r="BM373"/>
      <c r="BN373"/>
      <c r="BO373"/>
      <c r="BP373"/>
      <c r="BQ373"/>
      <c r="BR373"/>
      <c r="BS373"/>
      <c r="BT373"/>
      <c r="BU373"/>
      <c r="BV373"/>
      <c r="BW373"/>
      <c r="BX373"/>
      <c r="BY373"/>
      <c r="BZ373"/>
      <c r="CA373"/>
      <c r="CB373"/>
      <c r="CC373"/>
      <c r="CD373"/>
      <c r="CE373"/>
      <c r="CF373"/>
    </row>
    <row r="374" spans="1:84" ht="12.75" customHeight="1">
      <c r="A374"/>
      <c r="B374"/>
      <c r="C374"/>
      <c r="D374"/>
      <c r="E374"/>
      <c r="F374"/>
      <c r="G374"/>
      <c r="AB374" s="68"/>
      <c r="BJ374"/>
      <c r="BK374"/>
      <c r="BL374"/>
      <c r="BM374"/>
      <c r="BN374"/>
      <c r="BO374"/>
      <c r="BP374"/>
      <c r="BQ374"/>
      <c r="BR374"/>
      <c r="BS374"/>
      <c r="BT374"/>
      <c r="BU374"/>
      <c r="BV374"/>
      <c r="BW374"/>
      <c r="BX374"/>
      <c r="BY374"/>
      <c r="BZ374"/>
      <c r="CA374"/>
      <c r="CB374"/>
      <c r="CC374"/>
      <c r="CD374"/>
      <c r="CE374"/>
      <c r="CF374"/>
    </row>
    <row r="375" spans="1:84" ht="12.75" customHeight="1">
      <c r="A375"/>
      <c r="B375"/>
      <c r="C375"/>
      <c r="D375"/>
      <c r="E375"/>
      <c r="F375"/>
      <c r="G375"/>
      <c r="AB375" s="68"/>
      <c r="BJ375"/>
      <c r="BK375"/>
      <c r="BL375"/>
      <c r="BM375"/>
      <c r="BN375"/>
      <c r="BO375"/>
      <c r="BP375"/>
      <c r="BQ375"/>
      <c r="BR375"/>
      <c r="BS375"/>
      <c r="BT375"/>
      <c r="BU375"/>
      <c r="BV375"/>
      <c r="BW375"/>
      <c r="BX375"/>
      <c r="BY375"/>
      <c r="BZ375"/>
      <c r="CA375"/>
      <c r="CB375"/>
      <c r="CC375"/>
      <c r="CD375"/>
      <c r="CE375"/>
      <c r="CF375"/>
    </row>
    <row r="376" spans="1:84" ht="12.75" customHeight="1">
      <c r="A376"/>
      <c r="B376"/>
      <c r="C376"/>
      <c r="D376"/>
      <c r="E376"/>
      <c r="F376"/>
      <c r="G376"/>
      <c r="AB376" s="68"/>
      <c r="BJ376"/>
      <c r="BK376"/>
      <c r="BL376"/>
      <c r="BM376"/>
      <c r="BN376"/>
      <c r="BO376"/>
      <c r="BP376"/>
      <c r="BQ376"/>
      <c r="BR376"/>
      <c r="BS376"/>
      <c r="BT376"/>
      <c r="BU376"/>
      <c r="BV376"/>
      <c r="BW376"/>
      <c r="BX376"/>
      <c r="BY376"/>
      <c r="BZ376"/>
      <c r="CA376"/>
      <c r="CB376"/>
      <c r="CC376"/>
      <c r="CD376"/>
      <c r="CE376"/>
      <c r="CF376"/>
    </row>
    <row r="377" spans="1:84" ht="12.75" customHeight="1">
      <c r="A377"/>
      <c r="B377"/>
      <c r="C377"/>
      <c r="D377"/>
      <c r="E377"/>
      <c r="F377"/>
      <c r="G377"/>
      <c r="AB377" s="68"/>
      <c r="BJ377"/>
      <c r="BK377"/>
      <c r="BL377"/>
      <c r="BM377"/>
      <c r="BN377"/>
      <c r="BO377"/>
      <c r="BP377"/>
      <c r="BQ377"/>
      <c r="BR377"/>
      <c r="BS377"/>
      <c r="BT377"/>
      <c r="BU377"/>
      <c r="BV377"/>
      <c r="BW377"/>
      <c r="BX377"/>
      <c r="BY377"/>
      <c r="BZ377"/>
      <c r="CA377"/>
      <c r="CB377"/>
      <c r="CC377"/>
      <c r="CD377"/>
      <c r="CE377"/>
      <c r="CF377"/>
    </row>
    <row r="378" spans="1:84" ht="12.75" customHeight="1">
      <c r="A378"/>
      <c r="B378"/>
      <c r="C378"/>
      <c r="D378"/>
      <c r="E378"/>
      <c r="F378"/>
      <c r="G378"/>
      <c r="AB378" s="68"/>
      <c r="BJ378"/>
      <c r="BK378"/>
      <c r="BL378"/>
      <c r="BM378"/>
      <c r="BN378"/>
      <c r="BO378"/>
      <c r="BP378"/>
      <c r="BQ378"/>
      <c r="BR378"/>
      <c r="BS378"/>
      <c r="BT378"/>
      <c r="BU378"/>
      <c r="BV378"/>
      <c r="BW378"/>
      <c r="BX378"/>
      <c r="BY378"/>
      <c r="BZ378"/>
      <c r="CA378"/>
      <c r="CB378"/>
      <c r="CC378"/>
      <c r="CD378"/>
      <c r="CE378"/>
      <c r="CF378"/>
    </row>
    <row r="379" spans="1:84" ht="12.75" customHeight="1">
      <c r="A379"/>
      <c r="B379"/>
      <c r="C379"/>
      <c r="D379"/>
      <c r="E379"/>
      <c r="F379"/>
      <c r="G379"/>
      <c r="AB379" s="68"/>
      <c r="BJ379"/>
      <c r="BK379"/>
      <c r="BL379"/>
      <c r="BM379"/>
      <c r="BN379"/>
      <c r="BO379"/>
      <c r="BP379"/>
      <c r="BQ379"/>
      <c r="BR379"/>
      <c r="BS379"/>
      <c r="BT379"/>
      <c r="BU379"/>
      <c r="BV379"/>
      <c r="BW379"/>
      <c r="BX379"/>
      <c r="BY379"/>
      <c r="BZ379"/>
      <c r="CA379"/>
      <c r="CB379"/>
      <c r="CC379"/>
      <c r="CD379"/>
      <c r="CE379"/>
      <c r="CF379"/>
    </row>
    <row r="380" spans="1:84" ht="12.75" customHeight="1">
      <c r="A380"/>
      <c r="B380"/>
      <c r="C380"/>
      <c r="D380"/>
      <c r="E380"/>
      <c r="F380"/>
      <c r="G380"/>
      <c r="AB380" s="68"/>
      <c r="BJ380"/>
      <c r="BK380"/>
      <c r="BL380"/>
      <c r="BM380"/>
      <c r="BN380"/>
      <c r="BO380"/>
      <c r="BP380"/>
      <c r="BQ380"/>
      <c r="BR380"/>
      <c r="BS380"/>
      <c r="BT380"/>
      <c r="BU380"/>
      <c r="BV380"/>
      <c r="BW380"/>
      <c r="BX380"/>
      <c r="BY380"/>
      <c r="BZ380"/>
      <c r="CA380"/>
      <c r="CB380"/>
      <c r="CC380"/>
      <c r="CD380"/>
      <c r="CE380"/>
      <c r="CF380"/>
    </row>
    <row r="381" spans="1:84" ht="12.75" customHeight="1">
      <c r="A381"/>
      <c r="B381"/>
      <c r="C381"/>
      <c r="D381"/>
      <c r="E381"/>
      <c r="F381"/>
      <c r="G381"/>
      <c r="AB381" s="68"/>
      <c r="BJ381"/>
      <c r="BK381"/>
      <c r="BL381"/>
      <c r="BM381"/>
      <c r="BN381"/>
      <c r="BO381"/>
      <c r="BP381"/>
      <c r="BQ381"/>
      <c r="BR381"/>
      <c r="BS381"/>
      <c r="BT381"/>
      <c r="BU381"/>
      <c r="BV381"/>
      <c r="BW381"/>
      <c r="BX381"/>
      <c r="BY381"/>
      <c r="BZ381"/>
      <c r="CA381"/>
      <c r="CB381"/>
      <c r="CC381"/>
      <c r="CD381"/>
      <c r="CE381"/>
      <c r="CF381"/>
    </row>
    <row r="382" spans="1:84" ht="12.75" customHeight="1">
      <c r="A382"/>
      <c r="B382"/>
      <c r="C382"/>
      <c r="D382"/>
      <c r="E382"/>
      <c r="F382"/>
      <c r="G382"/>
      <c r="AB382" s="68"/>
      <c r="BJ382"/>
      <c r="BK382"/>
      <c r="BL382"/>
      <c r="BM382"/>
      <c r="BN382"/>
      <c r="BO382"/>
      <c r="BP382"/>
      <c r="BQ382"/>
      <c r="BR382"/>
      <c r="BS382"/>
      <c r="BT382"/>
      <c r="BU382"/>
      <c r="BV382"/>
      <c r="BW382"/>
      <c r="BX382"/>
      <c r="BY382"/>
      <c r="BZ382"/>
      <c r="CA382"/>
      <c r="CB382"/>
      <c r="CC382"/>
      <c r="CD382"/>
      <c r="CE382"/>
      <c r="CF382"/>
    </row>
    <row r="383" spans="1:84" ht="12.75" customHeight="1">
      <c r="A383"/>
      <c r="B383"/>
      <c r="C383"/>
      <c r="D383"/>
      <c r="E383"/>
      <c r="F383"/>
      <c r="G383"/>
      <c r="AB383" s="68"/>
      <c r="BJ383"/>
      <c r="BK383"/>
      <c r="BL383"/>
      <c r="BM383"/>
      <c r="BN383"/>
      <c r="BO383"/>
      <c r="BP383"/>
      <c r="BQ383"/>
      <c r="BR383"/>
      <c r="BS383"/>
      <c r="BT383"/>
      <c r="BU383"/>
      <c r="BV383"/>
      <c r="BW383"/>
      <c r="BX383"/>
      <c r="BY383"/>
      <c r="BZ383"/>
      <c r="CA383"/>
      <c r="CB383"/>
      <c r="CC383"/>
      <c r="CD383"/>
      <c r="CE383"/>
      <c r="CF383"/>
    </row>
    <row r="384" spans="1:84" ht="12.75" customHeight="1">
      <c r="A384"/>
      <c r="B384"/>
      <c r="C384"/>
      <c r="D384"/>
      <c r="E384"/>
      <c r="F384"/>
      <c r="G384"/>
      <c r="AB384" s="68"/>
      <c r="BJ384"/>
      <c r="BK384"/>
      <c r="BL384"/>
      <c r="BM384"/>
      <c r="BN384"/>
      <c r="BO384"/>
      <c r="BP384"/>
      <c r="BQ384"/>
      <c r="BR384"/>
      <c r="BS384"/>
      <c r="BT384"/>
      <c r="BU384"/>
      <c r="BV384"/>
      <c r="BW384"/>
      <c r="BX384"/>
      <c r="BY384"/>
      <c r="BZ384"/>
      <c r="CA384"/>
      <c r="CB384"/>
      <c r="CC384"/>
      <c r="CD384"/>
      <c r="CE384"/>
      <c r="CF384"/>
    </row>
    <row r="385" spans="1:84" ht="12.75" customHeight="1">
      <c r="A385"/>
      <c r="B385"/>
      <c r="C385"/>
      <c r="D385"/>
      <c r="E385"/>
      <c r="F385"/>
      <c r="G385"/>
      <c r="AB385" s="68"/>
      <c r="BJ385"/>
      <c r="BK385"/>
      <c r="BL385"/>
      <c r="BM385"/>
      <c r="BN385"/>
      <c r="BO385"/>
      <c r="BP385"/>
      <c r="BQ385"/>
      <c r="BR385"/>
      <c r="BS385"/>
      <c r="BT385"/>
      <c r="BU385"/>
      <c r="BV385"/>
      <c r="BW385"/>
      <c r="BX385"/>
      <c r="BY385"/>
      <c r="BZ385"/>
      <c r="CA385"/>
      <c r="CB385"/>
      <c r="CC385"/>
      <c r="CD385"/>
      <c r="CE385"/>
      <c r="CF385"/>
    </row>
    <row r="386" spans="1:84" ht="12.75" customHeight="1">
      <c r="A386"/>
      <c r="B386"/>
      <c r="C386"/>
      <c r="D386"/>
      <c r="E386"/>
      <c r="F386"/>
      <c r="G386"/>
      <c r="AB386" s="68"/>
      <c r="BJ386"/>
      <c r="BK386"/>
      <c r="BL386"/>
      <c r="BM386"/>
      <c r="BN386"/>
      <c r="BO386"/>
      <c r="BP386"/>
      <c r="BQ386"/>
      <c r="BR386"/>
      <c r="BS386"/>
      <c r="BT386"/>
      <c r="BU386"/>
      <c r="BV386"/>
      <c r="BW386"/>
      <c r="BX386"/>
      <c r="BY386"/>
      <c r="BZ386"/>
      <c r="CA386"/>
      <c r="CB386"/>
      <c r="CC386"/>
      <c r="CD386"/>
      <c r="CE386"/>
      <c r="CF386"/>
    </row>
    <row r="387" spans="1:84" ht="12.75" customHeight="1">
      <c r="A387"/>
      <c r="B387"/>
      <c r="C387"/>
      <c r="D387"/>
      <c r="E387"/>
      <c r="F387"/>
      <c r="G387"/>
      <c r="AB387" s="68"/>
      <c r="BJ387"/>
      <c r="BK387"/>
      <c r="BL387"/>
      <c r="BM387"/>
      <c r="BN387"/>
      <c r="BO387"/>
      <c r="BP387"/>
      <c r="BQ387"/>
      <c r="BR387"/>
      <c r="BS387"/>
      <c r="BT387"/>
      <c r="BU387"/>
      <c r="BV387"/>
      <c r="BW387"/>
      <c r="BX387"/>
      <c r="BY387"/>
      <c r="BZ387"/>
      <c r="CA387"/>
      <c r="CB387"/>
      <c r="CC387"/>
      <c r="CD387"/>
      <c r="CE387"/>
      <c r="CF387"/>
    </row>
    <row r="388" spans="1:84" ht="12.75" customHeight="1">
      <c r="A388"/>
      <c r="B388"/>
      <c r="C388"/>
      <c r="D388"/>
      <c r="E388"/>
      <c r="F388"/>
      <c r="G388"/>
      <c r="AB388" s="68"/>
      <c r="BJ388"/>
      <c r="BK388"/>
      <c r="BL388"/>
      <c r="BM388"/>
      <c r="BN388"/>
      <c r="BO388"/>
      <c r="BP388"/>
      <c r="BQ388"/>
      <c r="BR388"/>
      <c r="BS388"/>
      <c r="BT388"/>
      <c r="BU388"/>
      <c r="BV388"/>
      <c r="BW388"/>
      <c r="BX388"/>
      <c r="BY388"/>
      <c r="BZ388"/>
      <c r="CA388"/>
      <c r="CB388"/>
      <c r="CC388"/>
      <c r="CD388"/>
      <c r="CE388"/>
      <c r="CF388"/>
    </row>
    <row r="389" spans="1:84" ht="12.75" customHeight="1">
      <c r="A389"/>
      <c r="B389"/>
      <c r="C389"/>
      <c r="D389"/>
      <c r="E389"/>
      <c r="F389"/>
      <c r="G389"/>
      <c r="AB389" s="68"/>
      <c r="BJ389"/>
      <c r="BK389"/>
      <c r="BL389"/>
      <c r="BM389"/>
      <c r="BN389"/>
      <c r="BO389"/>
      <c r="BP389"/>
      <c r="BQ389"/>
      <c r="BR389"/>
      <c r="BS389"/>
      <c r="BT389"/>
      <c r="BU389"/>
      <c r="BV389"/>
      <c r="BW389"/>
      <c r="BX389"/>
      <c r="BY389"/>
      <c r="BZ389"/>
      <c r="CA389"/>
      <c r="CB389"/>
      <c r="CC389"/>
      <c r="CD389"/>
      <c r="CE389"/>
      <c r="CF389"/>
    </row>
    <row r="390" spans="1:84" ht="12.75" customHeight="1">
      <c r="A390"/>
      <c r="B390"/>
      <c r="C390"/>
      <c r="D390"/>
      <c r="E390"/>
      <c r="F390"/>
      <c r="G390"/>
      <c r="AB390" s="68"/>
      <c r="BJ390"/>
      <c r="BK390"/>
      <c r="BL390"/>
      <c r="BM390"/>
      <c r="BN390"/>
      <c r="BO390"/>
      <c r="BP390"/>
      <c r="BQ390"/>
      <c r="BR390"/>
      <c r="BS390"/>
      <c r="BT390"/>
      <c r="BU390"/>
      <c r="BV390"/>
      <c r="BW390"/>
      <c r="BX390"/>
      <c r="BY390"/>
      <c r="BZ390"/>
      <c r="CA390"/>
      <c r="CB390"/>
      <c r="CC390"/>
      <c r="CD390"/>
      <c r="CE390"/>
      <c r="CF390"/>
    </row>
    <row r="391" spans="1:84" ht="12.75" customHeight="1">
      <c r="A391"/>
      <c r="B391"/>
      <c r="C391"/>
      <c r="D391"/>
      <c r="E391"/>
      <c r="F391"/>
      <c r="G391"/>
      <c r="AB391" s="68"/>
      <c r="BJ391"/>
      <c r="BK391"/>
      <c r="BL391"/>
      <c r="BM391"/>
      <c r="BN391"/>
      <c r="BO391"/>
      <c r="BP391"/>
      <c r="BQ391"/>
      <c r="BR391"/>
      <c r="BS391"/>
      <c r="BT391"/>
      <c r="BU391"/>
      <c r="BV391"/>
      <c r="BW391"/>
      <c r="BX391"/>
      <c r="BY391"/>
      <c r="BZ391"/>
      <c r="CA391"/>
      <c r="CB391"/>
      <c r="CC391"/>
      <c r="CD391"/>
      <c r="CE391"/>
      <c r="CF391"/>
    </row>
    <row r="392" spans="1:84" ht="12.75" customHeight="1">
      <c r="A392"/>
      <c r="B392"/>
      <c r="C392"/>
      <c r="D392"/>
      <c r="E392"/>
      <c r="F392"/>
      <c r="G392"/>
      <c r="AB392" s="68"/>
      <c r="BJ392"/>
      <c r="BK392"/>
      <c r="BL392"/>
      <c r="BM392"/>
      <c r="BN392"/>
      <c r="BO392"/>
      <c r="BP392"/>
      <c r="BQ392"/>
      <c r="BR392"/>
      <c r="BS392"/>
      <c r="BT392"/>
      <c r="BU392"/>
      <c r="BV392"/>
      <c r="BW392"/>
      <c r="BX392"/>
      <c r="BY392"/>
      <c r="BZ392"/>
      <c r="CA392"/>
      <c r="CB392"/>
      <c r="CC392"/>
      <c r="CD392"/>
      <c r="CE392"/>
      <c r="CF392"/>
    </row>
    <row r="393" spans="1:84" ht="12.75" customHeight="1">
      <c r="A393"/>
      <c r="B393"/>
      <c r="C393"/>
      <c r="D393"/>
      <c r="E393"/>
      <c r="F393"/>
      <c r="G393"/>
      <c r="AB393" s="68"/>
      <c r="BJ393"/>
      <c r="BK393"/>
      <c r="BL393"/>
      <c r="BM393"/>
      <c r="BN393"/>
      <c r="BO393"/>
      <c r="BP393"/>
      <c r="BQ393"/>
      <c r="BR393"/>
      <c r="BS393"/>
      <c r="BT393"/>
      <c r="BU393"/>
      <c r="BV393"/>
      <c r="BW393"/>
      <c r="BX393"/>
      <c r="BY393"/>
      <c r="BZ393"/>
      <c r="CA393"/>
      <c r="CB393"/>
      <c r="CC393"/>
      <c r="CD393"/>
      <c r="CE393"/>
      <c r="CF393"/>
    </row>
    <row r="394" spans="1:84" ht="12.75" customHeight="1">
      <c r="A394"/>
      <c r="B394"/>
      <c r="C394"/>
      <c r="D394"/>
      <c r="E394"/>
      <c r="F394"/>
      <c r="G394"/>
      <c r="AB394" s="68"/>
      <c r="BJ394"/>
      <c r="BK394"/>
      <c r="BL394"/>
      <c r="BM394"/>
      <c r="BN394"/>
      <c r="BO394"/>
      <c r="BP394"/>
      <c r="BQ394"/>
      <c r="BR394"/>
      <c r="BS394"/>
      <c r="BT394"/>
      <c r="BU394"/>
      <c r="BV394"/>
      <c r="BW394"/>
      <c r="BX394"/>
      <c r="BY394"/>
      <c r="BZ394"/>
      <c r="CA394"/>
      <c r="CB394"/>
      <c r="CC394"/>
      <c r="CD394"/>
      <c r="CE394"/>
      <c r="CF394"/>
    </row>
    <row r="395" spans="1:84" ht="12.75" customHeight="1">
      <c r="A395"/>
      <c r="B395"/>
      <c r="C395"/>
      <c r="D395"/>
      <c r="E395"/>
      <c r="F395"/>
      <c r="G395"/>
      <c r="AB395" s="68"/>
      <c r="BJ395"/>
      <c r="BK395"/>
      <c r="BL395"/>
      <c r="BM395"/>
      <c r="BN395"/>
      <c r="BO395"/>
      <c r="BP395"/>
      <c r="BQ395"/>
      <c r="BR395"/>
      <c r="BS395"/>
      <c r="BT395"/>
      <c r="BU395"/>
      <c r="BV395"/>
      <c r="BW395"/>
      <c r="BX395"/>
      <c r="BY395"/>
      <c r="BZ395"/>
      <c r="CA395"/>
      <c r="CB395"/>
      <c r="CC395"/>
      <c r="CD395"/>
      <c r="CE395"/>
      <c r="CF395"/>
    </row>
    <row r="396" spans="1:84" ht="12.75" customHeight="1">
      <c r="A396"/>
      <c r="B396"/>
      <c r="C396"/>
      <c r="D396"/>
      <c r="E396"/>
      <c r="F396"/>
      <c r="G396"/>
      <c r="AB396" s="68"/>
      <c r="BJ396"/>
      <c r="BK396"/>
      <c r="BL396"/>
      <c r="BM396"/>
      <c r="BN396"/>
      <c r="BO396"/>
      <c r="BP396"/>
      <c r="BQ396"/>
      <c r="BR396"/>
      <c r="BS396"/>
      <c r="BT396"/>
      <c r="BU396"/>
      <c r="BV396"/>
      <c r="BW396"/>
      <c r="BX396"/>
      <c r="BY396"/>
      <c r="BZ396"/>
      <c r="CA396"/>
      <c r="CB396"/>
      <c r="CC396"/>
      <c r="CD396"/>
      <c r="CE396"/>
      <c r="CF396"/>
    </row>
    <row r="397" spans="1:84" ht="12.75" customHeight="1">
      <c r="A397"/>
      <c r="B397"/>
      <c r="C397"/>
      <c r="D397"/>
      <c r="E397"/>
      <c r="F397"/>
      <c r="G397"/>
      <c r="AB397" s="68"/>
      <c r="BJ397"/>
      <c r="BK397"/>
      <c r="BL397"/>
      <c r="BM397"/>
      <c r="BN397"/>
      <c r="BO397"/>
      <c r="BP397"/>
      <c r="BQ397"/>
      <c r="BR397"/>
      <c r="BS397"/>
      <c r="BT397"/>
      <c r="BU397"/>
      <c r="BV397"/>
      <c r="BW397"/>
      <c r="BX397"/>
      <c r="BY397"/>
      <c r="BZ397"/>
      <c r="CA397"/>
      <c r="CB397"/>
      <c r="CC397"/>
      <c r="CD397"/>
      <c r="CE397"/>
      <c r="CF397"/>
    </row>
    <row r="398" spans="1:84" ht="12.75" customHeight="1">
      <c r="A398"/>
      <c r="B398"/>
      <c r="C398"/>
      <c r="D398"/>
      <c r="E398"/>
      <c r="F398"/>
      <c r="G398"/>
      <c r="AB398" s="68"/>
      <c r="BJ398"/>
      <c r="BK398"/>
      <c r="BL398"/>
      <c r="BM398"/>
      <c r="BN398"/>
      <c r="BO398"/>
      <c r="BP398"/>
      <c r="BQ398"/>
      <c r="BR398"/>
      <c r="BS398"/>
      <c r="BT398"/>
      <c r="BU398"/>
      <c r="BV398"/>
      <c r="BW398"/>
      <c r="BX398"/>
      <c r="BY398"/>
      <c r="BZ398"/>
      <c r="CA398"/>
      <c r="CB398"/>
      <c r="CC398"/>
      <c r="CD398"/>
      <c r="CE398"/>
      <c r="CF398"/>
    </row>
    <row r="399" spans="1:84" ht="12.75" customHeight="1">
      <c r="A399"/>
      <c r="B399"/>
      <c r="C399"/>
      <c r="D399"/>
      <c r="E399"/>
      <c r="F399"/>
      <c r="G399"/>
      <c r="AB399" s="68"/>
      <c r="BJ399"/>
      <c r="BK399"/>
      <c r="BL399"/>
      <c r="BM399"/>
      <c r="BN399"/>
      <c r="BO399"/>
      <c r="BP399"/>
      <c r="BQ399"/>
      <c r="BR399"/>
      <c r="BS399"/>
      <c r="BT399"/>
      <c r="BU399"/>
      <c r="BV399"/>
      <c r="BW399"/>
      <c r="BX399"/>
      <c r="BY399"/>
      <c r="BZ399"/>
      <c r="CA399"/>
      <c r="CB399"/>
      <c r="CC399"/>
      <c r="CD399"/>
      <c r="CE399"/>
      <c r="CF399"/>
    </row>
    <row r="400" spans="1:84" ht="12.75" customHeight="1">
      <c r="A400"/>
      <c r="B400"/>
      <c r="C400"/>
      <c r="D400"/>
      <c r="E400"/>
      <c r="F400"/>
      <c r="G400"/>
      <c r="AB400" s="68"/>
      <c r="BJ400"/>
      <c r="BK400"/>
      <c r="BL400"/>
      <c r="BM400"/>
      <c r="BN400"/>
      <c r="BO400"/>
      <c r="BP400"/>
      <c r="BQ400"/>
      <c r="BR400"/>
      <c r="BS400"/>
      <c r="BT400"/>
      <c r="BU400"/>
      <c r="BV400"/>
      <c r="BW400"/>
      <c r="BX400"/>
      <c r="BY400"/>
      <c r="BZ400"/>
      <c r="CA400"/>
      <c r="CB400"/>
      <c r="CC400"/>
      <c r="CD400"/>
      <c r="CE400"/>
      <c r="CF400"/>
    </row>
    <row r="401" spans="1:84" ht="12.75" customHeight="1">
      <c r="A401"/>
      <c r="B401"/>
      <c r="C401"/>
      <c r="D401"/>
      <c r="E401"/>
      <c r="F401"/>
      <c r="G401"/>
      <c r="AB401" s="68"/>
      <c r="BJ401"/>
      <c r="BK401"/>
      <c r="BL401"/>
      <c r="BM401"/>
      <c r="BN401"/>
      <c r="BO401"/>
      <c r="BP401"/>
      <c r="BQ401"/>
      <c r="BR401"/>
      <c r="BS401"/>
      <c r="BT401"/>
      <c r="BU401"/>
      <c r="BV401"/>
      <c r="BW401"/>
      <c r="BX401"/>
      <c r="BY401"/>
      <c r="BZ401"/>
      <c r="CA401"/>
      <c r="CB401"/>
      <c r="CC401"/>
      <c r="CD401"/>
      <c r="CE401"/>
      <c r="CF401"/>
    </row>
    <row r="402" spans="1:84" ht="12.75" customHeight="1">
      <c r="A402"/>
      <c r="B402"/>
      <c r="C402"/>
      <c r="D402"/>
      <c r="E402"/>
      <c r="F402"/>
      <c r="G402"/>
      <c r="AB402" s="68"/>
      <c r="BJ402"/>
      <c r="BK402"/>
      <c r="BL402"/>
      <c r="BM402"/>
      <c r="BN402"/>
      <c r="BO402"/>
      <c r="BP402"/>
      <c r="BQ402"/>
      <c r="BR402"/>
      <c r="BS402"/>
      <c r="BT402"/>
      <c r="BU402"/>
      <c r="BV402"/>
      <c r="BW402"/>
      <c r="BX402"/>
      <c r="BY402"/>
      <c r="BZ402"/>
      <c r="CA402"/>
      <c r="CB402"/>
      <c r="CC402"/>
      <c r="CD402"/>
      <c r="CE402"/>
      <c r="CF402"/>
    </row>
    <row r="403" spans="1:84" ht="12.75" customHeight="1">
      <c r="A403"/>
      <c r="B403"/>
      <c r="C403"/>
      <c r="D403"/>
      <c r="E403"/>
      <c r="F403"/>
      <c r="G403"/>
      <c r="AB403" s="68"/>
      <c r="BJ403"/>
      <c r="BK403"/>
      <c r="BL403"/>
      <c r="BM403"/>
      <c r="BN403"/>
      <c r="BO403"/>
      <c r="BP403"/>
      <c r="BQ403"/>
      <c r="BR403"/>
      <c r="BS403"/>
      <c r="BT403"/>
      <c r="BU403"/>
      <c r="BV403"/>
      <c r="BW403"/>
      <c r="BX403"/>
      <c r="BY403"/>
      <c r="BZ403"/>
      <c r="CA403"/>
      <c r="CB403"/>
      <c r="CC403"/>
      <c r="CD403"/>
      <c r="CE403"/>
      <c r="CF403"/>
    </row>
    <row r="404" spans="1:84" ht="12.75" customHeight="1">
      <c r="A404"/>
      <c r="B404"/>
      <c r="C404"/>
      <c r="D404"/>
      <c r="E404"/>
      <c r="F404"/>
      <c r="G404"/>
      <c r="AB404" s="68"/>
      <c r="BJ404"/>
      <c r="BK404"/>
      <c r="BL404"/>
      <c r="BM404"/>
      <c r="BN404"/>
      <c r="BO404"/>
      <c r="BP404"/>
      <c r="BQ404"/>
      <c r="BR404"/>
      <c r="BS404"/>
      <c r="BT404"/>
      <c r="BU404"/>
      <c r="BV404"/>
      <c r="BW404"/>
      <c r="BX404"/>
      <c r="BY404"/>
      <c r="BZ404"/>
      <c r="CA404"/>
      <c r="CB404"/>
      <c r="CC404"/>
      <c r="CD404"/>
      <c r="CE404"/>
      <c r="CF404"/>
    </row>
    <row r="405" spans="1:84" ht="12.75" customHeight="1">
      <c r="A405"/>
      <c r="B405"/>
      <c r="C405"/>
      <c r="D405"/>
      <c r="E405"/>
      <c r="F405"/>
      <c r="G405"/>
      <c r="AB405" s="68"/>
      <c r="BJ405"/>
      <c r="BK405"/>
      <c r="BL405"/>
      <c r="BM405"/>
      <c r="BN405"/>
      <c r="BO405"/>
      <c r="BP405"/>
      <c r="BQ405"/>
      <c r="BR405"/>
      <c r="BS405"/>
      <c r="BT405"/>
      <c r="BU405"/>
      <c r="BV405"/>
      <c r="BW405"/>
      <c r="BX405"/>
      <c r="BY405"/>
      <c r="BZ405"/>
      <c r="CA405"/>
      <c r="CB405"/>
      <c r="CC405"/>
      <c r="CD405"/>
      <c r="CE405"/>
      <c r="CF405"/>
    </row>
    <row r="406" spans="1:84" ht="12.75" customHeight="1">
      <c r="A406"/>
      <c r="B406"/>
      <c r="C406"/>
      <c r="D406"/>
      <c r="E406"/>
      <c r="F406"/>
      <c r="G406"/>
      <c r="AB406" s="68"/>
      <c r="BJ406"/>
      <c r="BK406"/>
      <c r="BL406"/>
      <c r="BM406"/>
      <c r="BN406"/>
      <c r="BO406"/>
      <c r="BP406"/>
      <c r="BQ406"/>
      <c r="BR406"/>
      <c r="BS406"/>
      <c r="BT406"/>
      <c r="BU406"/>
      <c r="BV406"/>
      <c r="BW406"/>
      <c r="BX406"/>
      <c r="BY406"/>
      <c r="BZ406"/>
      <c r="CA406"/>
      <c r="CB406"/>
      <c r="CC406"/>
      <c r="CD406"/>
      <c r="CE406"/>
      <c r="CF406"/>
    </row>
    <row r="407" spans="1:84" ht="12.75" customHeight="1">
      <c r="A407"/>
      <c r="B407"/>
      <c r="C407"/>
      <c r="D407"/>
      <c r="E407"/>
      <c r="F407"/>
      <c r="G407"/>
      <c r="AB407" s="68"/>
      <c r="BJ407"/>
      <c r="BK407"/>
      <c r="BL407"/>
      <c r="BM407"/>
      <c r="BN407"/>
      <c r="BO407"/>
      <c r="BP407"/>
      <c r="BQ407"/>
      <c r="BR407"/>
      <c r="BS407"/>
      <c r="BT407"/>
      <c r="BU407"/>
      <c r="BV407"/>
      <c r="BW407"/>
      <c r="BX407"/>
      <c r="BY407"/>
      <c r="BZ407"/>
      <c r="CA407"/>
      <c r="CB407"/>
      <c r="CC407"/>
      <c r="CD407"/>
      <c r="CE407"/>
      <c r="CF407"/>
    </row>
    <row r="408" spans="1:84" ht="12.75" customHeight="1">
      <c r="A408"/>
      <c r="B408"/>
      <c r="C408"/>
      <c r="D408"/>
      <c r="E408"/>
      <c r="F408"/>
      <c r="G408"/>
      <c r="AB408" s="68"/>
      <c r="BJ408"/>
      <c r="BK408"/>
      <c r="BL408"/>
      <c r="BM408"/>
      <c r="BN408"/>
      <c r="BO408"/>
      <c r="BP408"/>
      <c r="BQ408"/>
      <c r="BR408"/>
      <c r="BS408"/>
      <c r="BT408"/>
      <c r="BU408"/>
      <c r="BV408"/>
      <c r="BW408"/>
      <c r="BX408"/>
      <c r="BY408"/>
      <c r="BZ408"/>
      <c r="CA408"/>
      <c r="CB408"/>
      <c r="CC408"/>
      <c r="CD408"/>
      <c r="CE408"/>
      <c r="CF408"/>
    </row>
    <row r="409" spans="1:84" ht="12.75" customHeight="1">
      <c r="A409"/>
      <c r="B409"/>
      <c r="C409"/>
      <c r="D409"/>
      <c r="E409"/>
      <c r="F409"/>
      <c r="G409"/>
      <c r="AB409" s="68"/>
      <c r="BJ409"/>
      <c r="BK409"/>
      <c r="BL409"/>
      <c r="BM409"/>
      <c r="BN409"/>
      <c r="BO409"/>
      <c r="BP409"/>
      <c r="BQ409"/>
      <c r="BR409"/>
      <c r="BS409"/>
      <c r="BT409"/>
      <c r="BU409"/>
      <c r="BV409"/>
      <c r="BW409"/>
      <c r="BX409"/>
      <c r="BY409"/>
      <c r="BZ409"/>
      <c r="CA409"/>
      <c r="CB409"/>
      <c r="CC409"/>
      <c r="CD409"/>
      <c r="CE409"/>
      <c r="CF409"/>
    </row>
    <row r="410" spans="1:84" ht="12.75" customHeight="1">
      <c r="A410"/>
      <c r="B410"/>
      <c r="C410"/>
      <c r="D410"/>
      <c r="E410"/>
      <c r="F410"/>
      <c r="G410"/>
      <c r="AB410" s="68"/>
      <c r="BJ410"/>
      <c r="BK410"/>
      <c r="BL410"/>
      <c r="BM410"/>
      <c r="BN410"/>
      <c r="BO410"/>
      <c r="BP410"/>
      <c r="BQ410"/>
      <c r="BR410"/>
      <c r="BS410"/>
      <c r="BT410"/>
      <c r="BU410"/>
      <c r="BV410"/>
      <c r="BW410"/>
      <c r="BX410"/>
      <c r="BY410"/>
      <c r="BZ410"/>
      <c r="CA410"/>
      <c r="CB410"/>
      <c r="CC410"/>
      <c r="CD410"/>
      <c r="CE410"/>
      <c r="CF410"/>
    </row>
    <row r="411" spans="1:84" ht="12.75" customHeight="1">
      <c r="A411"/>
      <c r="B411"/>
      <c r="C411"/>
      <c r="D411"/>
      <c r="E411"/>
      <c r="F411"/>
      <c r="G411"/>
      <c r="AB411" s="68"/>
      <c r="BJ411"/>
      <c r="BK411"/>
      <c r="BL411"/>
      <c r="BM411"/>
      <c r="BN411"/>
      <c r="BO411"/>
      <c r="BP411"/>
      <c r="BQ411"/>
      <c r="BR411"/>
      <c r="BS411"/>
      <c r="BT411"/>
      <c r="BU411"/>
      <c r="BV411"/>
      <c r="BW411"/>
      <c r="BX411"/>
      <c r="BY411"/>
      <c r="BZ411"/>
      <c r="CA411"/>
      <c r="CB411"/>
      <c r="CC411"/>
      <c r="CD411"/>
      <c r="CE411"/>
      <c r="CF411"/>
    </row>
    <row r="412" spans="1:84" ht="12.75" customHeight="1">
      <c r="A412"/>
      <c r="B412"/>
      <c r="C412"/>
      <c r="D412"/>
      <c r="E412"/>
      <c r="F412"/>
      <c r="G412"/>
      <c r="AB412" s="68"/>
      <c r="BJ412"/>
      <c r="BK412"/>
      <c r="BL412"/>
      <c r="BM412"/>
      <c r="BN412"/>
      <c r="BO412"/>
      <c r="BP412"/>
      <c r="BQ412"/>
      <c r="BR412"/>
      <c r="BS412"/>
      <c r="BT412"/>
      <c r="BU412"/>
      <c r="BV412"/>
      <c r="BW412"/>
      <c r="BX412"/>
      <c r="BY412"/>
      <c r="BZ412"/>
      <c r="CA412"/>
      <c r="CB412"/>
      <c r="CC412"/>
      <c r="CD412"/>
      <c r="CE412"/>
      <c r="CF412"/>
    </row>
    <row r="413" spans="1:84" ht="12.75" customHeight="1">
      <c r="A413"/>
      <c r="B413"/>
      <c r="C413"/>
      <c r="D413"/>
      <c r="E413"/>
      <c r="F413"/>
      <c r="G413"/>
      <c r="AB413" s="68"/>
      <c r="BJ413"/>
      <c r="BK413"/>
      <c r="BL413"/>
      <c r="BM413"/>
      <c r="BN413"/>
      <c r="BO413"/>
      <c r="BP413"/>
      <c r="BQ413"/>
      <c r="BR413"/>
      <c r="BS413"/>
      <c r="BT413"/>
      <c r="BU413"/>
      <c r="BV413"/>
      <c r="BW413"/>
      <c r="BX413"/>
      <c r="BY413"/>
      <c r="BZ413"/>
      <c r="CA413"/>
      <c r="CB413"/>
      <c r="CC413"/>
      <c r="CD413"/>
      <c r="CE413"/>
      <c r="CF413"/>
    </row>
    <row r="414" spans="1:84" ht="12.75" customHeight="1">
      <c r="A414"/>
      <c r="B414"/>
      <c r="C414"/>
      <c r="D414"/>
      <c r="E414"/>
      <c r="F414"/>
      <c r="G414"/>
      <c r="AB414" s="68"/>
      <c r="BJ414"/>
      <c r="BK414"/>
      <c r="BL414"/>
      <c r="BM414"/>
      <c r="BN414"/>
      <c r="BO414"/>
      <c r="BP414"/>
      <c r="BQ414"/>
      <c r="BR414"/>
      <c r="BS414"/>
      <c r="BT414"/>
      <c r="BU414"/>
      <c r="BV414"/>
      <c r="BW414"/>
      <c r="BX414"/>
      <c r="BY414"/>
      <c r="BZ414"/>
      <c r="CA414"/>
      <c r="CB414"/>
      <c r="CC414"/>
      <c r="CD414"/>
      <c r="CE414"/>
      <c r="CF414"/>
    </row>
    <row r="415" spans="1:84" ht="12.75" customHeight="1">
      <c r="A415"/>
      <c r="B415"/>
      <c r="C415"/>
      <c r="D415"/>
      <c r="E415"/>
      <c r="F415"/>
      <c r="G415"/>
      <c r="AB415" s="68"/>
      <c r="BJ415"/>
      <c r="BK415"/>
      <c r="BL415"/>
      <c r="BM415"/>
      <c r="BN415"/>
      <c r="BO415"/>
      <c r="BP415"/>
      <c r="BQ415"/>
      <c r="BR415"/>
      <c r="BS415"/>
      <c r="BT415"/>
      <c r="BU415"/>
      <c r="BV415"/>
      <c r="BW415"/>
      <c r="BX415"/>
      <c r="BY415"/>
      <c r="BZ415"/>
      <c r="CA415"/>
      <c r="CB415"/>
      <c r="CC415"/>
      <c r="CD415"/>
      <c r="CE415"/>
      <c r="CF415"/>
    </row>
    <row r="416" spans="1:84" ht="12.75" customHeight="1">
      <c r="A416"/>
      <c r="B416"/>
      <c r="C416"/>
      <c r="D416"/>
      <c r="E416"/>
      <c r="F416"/>
      <c r="G416"/>
      <c r="AB416" s="68"/>
      <c r="BJ416"/>
      <c r="BK416"/>
      <c r="BL416"/>
      <c r="BM416"/>
      <c r="BN416"/>
      <c r="BO416"/>
      <c r="BP416"/>
      <c r="BQ416"/>
      <c r="BR416"/>
      <c r="BS416"/>
      <c r="BT416"/>
      <c r="BU416"/>
      <c r="BV416"/>
      <c r="BW416"/>
      <c r="BX416"/>
      <c r="BY416"/>
      <c r="BZ416"/>
      <c r="CA416"/>
      <c r="CB416"/>
      <c r="CC416"/>
      <c r="CD416"/>
      <c r="CE416"/>
      <c r="CF416"/>
    </row>
    <row r="417" spans="1:84" ht="12.75" customHeight="1">
      <c r="A417"/>
      <c r="B417"/>
      <c r="C417"/>
      <c r="D417"/>
      <c r="E417"/>
      <c r="F417"/>
      <c r="G417"/>
      <c r="AB417" s="68"/>
      <c r="BJ417"/>
      <c r="BK417"/>
      <c r="BL417"/>
      <c r="BM417"/>
      <c r="BN417"/>
      <c r="BO417"/>
      <c r="BP417"/>
      <c r="BQ417"/>
      <c r="BR417"/>
      <c r="BS417"/>
      <c r="BT417"/>
      <c r="BU417"/>
      <c r="BV417"/>
      <c r="BW417"/>
      <c r="BX417"/>
      <c r="BY417"/>
      <c r="BZ417"/>
      <c r="CA417"/>
      <c r="CB417"/>
      <c r="CC417"/>
      <c r="CD417"/>
      <c r="CE417"/>
      <c r="CF417"/>
    </row>
    <row r="418" spans="1:84" ht="12.75" customHeight="1">
      <c r="A418"/>
      <c r="B418"/>
      <c r="C418"/>
      <c r="D418"/>
      <c r="E418"/>
      <c r="F418"/>
      <c r="G418"/>
      <c r="AB418" s="68"/>
      <c r="BJ418"/>
      <c r="BK418"/>
      <c r="BL418"/>
      <c r="BM418"/>
      <c r="BN418"/>
      <c r="BO418"/>
      <c r="BP418"/>
      <c r="BQ418"/>
      <c r="BR418"/>
      <c r="BS418"/>
      <c r="BT418"/>
      <c r="BU418"/>
      <c r="BV418"/>
      <c r="BW418"/>
      <c r="BX418"/>
      <c r="BY418"/>
      <c r="BZ418"/>
      <c r="CA418"/>
      <c r="CB418"/>
      <c r="CC418"/>
      <c r="CD418"/>
      <c r="CE418"/>
      <c r="CF418"/>
    </row>
    <row r="419" spans="1:84" ht="12.75" customHeight="1">
      <c r="A419"/>
      <c r="B419"/>
      <c r="C419"/>
      <c r="D419"/>
      <c r="E419"/>
      <c r="F419"/>
      <c r="G419"/>
      <c r="AB419" s="68"/>
      <c r="BJ419"/>
      <c r="BK419"/>
      <c r="BL419"/>
      <c r="BM419"/>
      <c r="BN419"/>
      <c r="BO419"/>
      <c r="BP419"/>
      <c r="BQ419"/>
      <c r="BR419"/>
      <c r="BS419"/>
      <c r="BT419"/>
      <c r="BU419"/>
      <c r="BV419"/>
      <c r="BW419"/>
      <c r="BX419"/>
      <c r="BY419"/>
      <c r="BZ419"/>
      <c r="CA419"/>
      <c r="CB419"/>
      <c r="CC419"/>
      <c r="CD419"/>
      <c r="CE419"/>
      <c r="CF419"/>
    </row>
    <row r="420" spans="1:84" ht="12.75" customHeight="1">
      <c r="A420"/>
      <c r="B420"/>
      <c r="C420"/>
      <c r="D420"/>
      <c r="E420"/>
      <c r="F420"/>
      <c r="G420"/>
      <c r="AB420" s="68"/>
      <c r="BJ420"/>
      <c r="BK420"/>
      <c r="BL420"/>
      <c r="BM420"/>
      <c r="BN420"/>
      <c r="BO420"/>
      <c r="BP420"/>
      <c r="BQ420"/>
      <c r="BR420"/>
      <c r="BS420"/>
      <c r="BT420"/>
      <c r="BU420"/>
      <c r="BV420"/>
      <c r="BW420"/>
      <c r="BX420"/>
      <c r="BY420"/>
      <c r="BZ420"/>
      <c r="CA420"/>
      <c r="CB420"/>
      <c r="CC420"/>
      <c r="CD420"/>
      <c r="CE420"/>
      <c r="CF420"/>
    </row>
    <row r="421" spans="1:84" ht="12.75" customHeight="1">
      <c r="A421"/>
      <c r="B421"/>
      <c r="C421"/>
      <c r="D421"/>
      <c r="E421"/>
      <c r="F421"/>
      <c r="G421"/>
      <c r="AB421" s="68"/>
      <c r="BJ421"/>
      <c r="BK421"/>
      <c r="BL421"/>
      <c r="BM421"/>
      <c r="BN421"/>
      <c r="BO421"/>
      <c r="BP421"/>
      <c r="BQ421"/>
      <c r="BR421"/>
      <c r="BS421"/>
      <c r="BT421"/>
      <c r="BU421"/>
      <c r="BV421"/>
      <c r="BW421"/>
      <c r="BX421"/>
      <c r="BY421"/>
      <c r="BZ421"/>
      <c r="CA421"/>
      <c r="CB421"/>
      <c r="CC421"/>
      <c r="CD421"/>
      <c r="CE421"/>
      <c r="CF421"/>
    </row>
    <row r="422" spans="1:84" ht="12.75" customHeight="1">
      <c r="A422"/>
      <c r="B422"/>
      <c r="C422"/>
      <c r="D422"/>
      <c r="E422"/>
      <c r="F422"/>
      <c r="G422"/>
      <c r="AB422" s="68"/>
      <c r="BJ422"/>
      <c r="BK422"/>
      <c r="BL422"/>
      <c r="BM422"/>
      <c r="BN422"/>
      <c r="BO422"/>
      <c r="BP422"/>
      <c r="BQ422"/>
      <c r="BR422"/>
      <c r="BS422"/>
      <c r="BT422"/>
      <c r="BU422"/>
      <c r="BV422"/>
      <c r="BW422"/>
      <c r="BX422"/>
      <c r="BY422"/>
      <c r="BZ422"/>
      <c r="CA422"/>
      <c r="CB422"/>
      <c r="CC422"/>
      <c r="CD422"/>
      <c r="CE422"/>
      <c r="CF422"/>
    </row>
    <row r="423" spans="1:84" ht="12.75" customHeight="1">
      <c r="A423"/>
      <c r="B423"/>
      <c r="C423"/>
      <c r="D423"/>
      <c r="E423"/>
      <c r="F423"/>
      <c r="G423"/>
      <c r="AB423" s="68"/>
      <c r="BJ423"/>
      <c r="BK423"/>
      <c r="BL423"/>
      <c r="BM423"/>
      <c r="BN423"/>
      <c r="BO423"/>
      <c r="BP423"/>
      <c r="BQ423"/>
      <c r="BR423"/>
      <c r="BS423"/>
      <c r="BT423"/>
      <c r="BU423"/>
      <c r="BV423"/>
      <c r="BW423"/>
      <c r="BX423"/>
      <c r="BY423"/>
      <c r="BZ423"/>
      <c r="CA423"/>
      <c r="CB423"/>
      <c r="CC423"/>
      <c r="CD423"/>
      <c r="CE423"/>
      <c r="CF423"/>
    </row>
    <row r="424" spans="1:84" ht="12.75" customHeight="1">
      <c r="A424"/>
      <c r="B424"/>
      <c r="C424"/>
      <c r="D424"/>
      <c r="E424"/>
      <c r="F424"/>
      <c r="G424"/>
      <c r="AB424" s="68"/>
      <c r="BJ424"/>
      <c r="BK424"/>
      <c r="BL424"/>
      <c r="BM424"/>
      <c r="BN424"/>
      <c r="BO424"/>
      <c r="BP424"/>
      <c r="BQ424"/>
      <c r="BR424"/>
      <c r="BS424"/>
      <c r="BT424"/>
      <c r="BU424"/>
      <c r="BV424"/>
      <c r="BW424"/>
      <c r="BX424"/>
      <c r="BY424"/>
      <c r="BZ424"/>
      <c r="CA424"/>
      <c r="CB424"/>
      <c r="CC424"/>
      <c r="CD424"/>
      <c r="CE424"/>
      <c r="CF424"/>
    </row>
    <row r="425" spans="1:84" ht="12.75" customHeight="1">
      <c r="A425"/>
      <c r="B425"/>
      <c r="C425"/>
      <c r="D425"/>
      <c r="E425"/>
      <c r="F425"/>
      <c r="G425"/>
      <c r="AB425" s="68"/>
      <c r="BJ425"/>
      <c r="BK425"/>
      <c r="BL425"/>
      <c r="BM425"/>
      <c r="BN425"/>
      <c r="BO425"/>
      <c r="BP425"/>
      <c r="BQ425"/>
      <c r="BR425"/>
      <c r="BS425"/>
      <c r="BT425"/>
      <c r="BU425"/>
      <c r="BV425"/>
      <c r="BW425"/>
      <c r="BX425"/>
      <c r="BY425"/>
      <c r="BZ425"/>
      <c r="CA425"/>
      <c r="CB425"/>
      <c r="CC425"/>
      <c r="CD425"/>
      <c r="CE425"/>
      <c r="CF425"/>
    </row>
    <row r="426" spans="1:84" ht="12.75" customHeight="1">
      <c r="A426"/>
      <c r="B426"/>
      <c r="C426"/>
      <c r="D426"/>
      <c r="E426"/>
      <c r="F426"/>
      <c r="G426"/>
      <c r="AB426" s="68"/>
      <c r="BJ426"/>
      <c r="BK426"/>
      <c r="BL426"/>
      <c r="BM426"/>
      <c r="BN426"/>
      <c r="BO426"/>
      <c r="BP426"/>
      <c r="BQ426"/>
      <c r="BR426"/>
      <c r="BS426"/>
      <c r="BT426"/>
      <c r="BU426"/>
      <c r="BV426"/>
      <c r="BW426"/>
      <c r="BX426"/>
      <c r="BY426"/>
      <c r="BZ426"/>
      <c r="CA426"/>
      <c r="CB426"/>
      <c r="CC426"/>
      <c r="CD426"/>
      <c r="CE426"/>
      <c r="CF426"/>
    </row>
    <row r="427" spans="1:84" ht="12.75" customHeight="1">
      <c r="A427"/>
      <c r="B427"/>
      <c r="C427"/>
      <c r="D427"/>
      <c r="E427"/>
      <c r="F427"/>
      <c r="G427"/>
      <c r="AB427" s="68"/>
      <c r="BJ427"/>
      <c r="BK427"/>
      <c r="BL427"/>
      <c r="BM427"/>
      <c r="BN427"/>
      <c r="BO427"/>
      <c r="BP427"/>
      <c r="BQ427"/>
      <c r="BR427"/>
      <c r="BS427"/>
      <c r="BT427"/>
      <c r="BU427"/>
      <c r="BV427"/>
      <c r="BW427"/>
      <c r="BX427"/>
      <c r="BY427"/>
      <c r="BZ427"/>
      <c r="CA427"/>
      <c r="CB427"/>
      <c r="CC427"/>
      <c r="CD427"/>
      <c r="CE427"/>
      <c r="CF427"/>
    </row>
    <row r="428" spans="1:84" ht="12.75" customHeight="1">
      <c r="A428"/>
      <c r="B428"/>
      <c r="C428"/>
      <c r="D428"/>
      <c r="E428"/>
      <c r="F428"/>
      <c r="G428"/>
      <c r="AB428" s="68"/>
      <c r="BJ428"/>
      <c r="BK428"/>
      <c r="BL428"/>
      <c r="BM428"/>
      <c r="BN428"/>
      <c r="BO428"/>
      <c r="BP428"/>
      <c r="BQ428"/>
      <c r="BR428"/>
      <c r="BS428"/>
      <c r="BT428"/>
      <c r="BU428"/>
      <c r="BV428"/>
      <c r="BW428"/>
      <c r="BX428"/>
      <c r="BY428"/>
      <c r="BZ428"/>
      <c r="CA428"/>
      <c r="CB428"/>
      <c r="CC428"/>
      <c r="CD428"/>
      <c r="CE428"/>
      <c r="CF428"/>
    </row>
    <row r="429" spans="1:84" ht="12.75" customHeight="1">
      <c r="A429"/>
      <c r="B429"/>
      <c r="C429"/>
      <c r="D429"/>
      <c r="E429"/>
      <c r="F429"/>
      <c r="G429"/>
      <c r="AB429" s="68"/>
      <c r="BJ429"/>
      <c r="BK429"/>
      <c r="BL429"/>
      <c r="BM429"/>
      <c r="BN429"/>
      <c r="BO429"/>
      <c r="BP429"/>
      <c r="BQ429"/>
      <c r="BR429"/>
      <c r="BS429"/>
      <c r="BT429"/>
      <c r="BU429"/>
      <c r="BV429"/>
      <c r="BW429"/>
      <c r="BX429"/>
      <c r="BY429"/>
      <c r="BZ429"/>
      <c r="CA429"/>
      <c r="CB429"/>
      <c r="CC429"/>
      <c r="CD429"/>
      <c r="CE429"/>
      <c r="CF429"/>
    </row>
    <row r="430" spans="1:84" ht="12.75" customHeight="1">
      <c r="A430"/>
      <c r="B430"/>
      <c r="C430"/>
      <c r="D430"/>
      <c r="E430"/>
      <c r="F430"/>
      <c r="G430"/>
      <c r="AB430" s="68"/>
      <c r="BJ430"/>
      <c r="BK430"/>
      <c r="BL430"/>
      <c r="BM430"/>
      <c r="BN430"/>
      <c r="BO430"/>
      <c r="BP430"/>
      <c r="BQ430"/>
      <c r="BR430"/>
      <c r="BS430"/>
      <c r="BT430"/>
      <c r="BU430"/>
      <c r="BV430"/>
      <c r="BW430"/>
      <c r="BX430"/>
      <c r="BY430"/>
      <c r="BZ430"/>
      <c r="CA430"/>
      <c r="CB430"/>
      <c r="CC430"/>
      <c r="CD430"/>
      <c r="CE430"/>
      <c r="CF430"/>
    </row>
    <row r="431" spans="1:84" ht="12.75" customHeight="1">
      <c r="A431"/>
      <c r="B431"/>
      <c r="C431"/>
      <c r="D431"/>
      <c r="E431"/>
      <c r="F431"/>
      <c r="G431"/>
      <c r="AB431" s="68"/>
      <c r="BJ431"/>
      <c r="BK431"/>
      <c r="BL431"/>
      <c r="BM431"/>
      <c r="BN431"/>
      <c r="BO431"/>
      <c r="BP431"/>
      <c r="BQ431"/>
      <c r="BR431"/>
      <c r="BS431"/>
      <c r="BT431"/>
      <c r="BU431"/>
      <c r="BV431"/>
      <c r="BW431"/>
      <c r="BX431"/>
      <c r="BY431"/>
      <c r="BZ431"/>
      <c r="CA431"/>
      <c r="CB431"/>
      <c r="CC431"/>
      <c r="CD431"/>
      <c r="CE431"/>
      <c r="CF431"/>
    </row>
    <row r="432" spans="1:84" ht="12.75" customHeight="1">
      <c r="A432"/>
      <c r="B432"/>
      <c r="C432"/>
      <c r="D432"/>
      <c r="E432"/>
      <c r="F432"/>
      <c r="G432"/>
      <c r="AB432" s="68"/>
      <c r="BJ432"/>
      <c r="BK432"/>
      <c r="BL432"/>
      <c r="BM432"/>
      <c r="BN432"/>
      <c r="BO432"/>
      <c r="BP432"/>
      <c r="BQ432"/>
      <c r="BR432"/>
      <c r="BS432"/>
      <c r="BT432"/>
      <c r="BU432"/>
      <c r="BV432"/>
      <c r="BW432"/>
      <c r="BX432"/>
      <c r="BY432"/>
      <c r="BZ432"/>
      <c r="CA432"/>
      <c r="CB432"/>
      <c r="CC432"/>
      <c r="CD432"/>
      <c r="CE432"/>
      <c r="CF432"/>
    </row>
    <row r="433" spans="1:84" ht="12.75" customHeight="1">
      <c r="A433"/>
      <c r="B433"/>
      <c r="C433"/>
      <c r="D433"/>
      <c r="E433"/>
      <c r="F433"/>
      <c r="G433"/>
      <c r="AB433" s="68"/>
      <c r="BJ433"/>
      <c r="BK433"/>
      <c r="BL433"/>
      <c r="BM433"/>
      <c r="BN433"/>
      <c r="BO433"/>
      <c r="BP433"/>
      <c r="BQ433"/>
      <c r="BR433"/>
      <c r="BS433"/>
      <c r="BT433"/>
      <c r="BU433"/>
      <c r="BV433"/>
      <c r="BW433"/>
      <c r="BX433"/>
      <c r="BY433"/>
      <c r="BZ433"/>
      <c r="CA433"/>
      <c r="CB433"/>
      <c r="CC433"/>
      <c r="CD433"/>
      <c r="CE433"/>
      <c r="CF433"/>
    </row>
    <row r="434" spans="1:84" ht="12.75" customHeight="1">
      <c r="A434"/>
      <c r="B434"/>
      <c r="C434"/>
      <c r="D434"/>
      <c r="E434"/>
      <c r="F434"/>
      <c r="G434"/>
      <c r="AB434" s="68"/>
      <c r="BJ434"/>
      <c r="BK434"/>
      <c r="BL434"/>
      <c r="BM434"/>
      <c r="BN434"/>
      <c r="BO434"/>
      <c r="BP434"/>
      <c r="BQ434"/>
      <c r="BR434"/>
      <c r="BS434"/>
      <c r="BT434"/>
      <c r="BU434"/>
      <c r="BV434"/>
      <c r="BW434"/>
      <c r="BX434"/>
      <c r="BY434"/>
      <c r="BZ434"/>
      <c r="CA434"/>
      <c r="CB434"/>
      <c r="CC434"/>
      <c r="CD434"/>
      <c r="CE434"/>
      <c r="CF434"/>
    </row>
    <row r="435" spans="1:84" ht="12.75" customHeight="1">
      <c r="A435"/>
      <c r="B435"/>
      <c r="C435"/>
      <c r="D435"/>
      <c r="E435"/>
      <c r="F435"/>
      <c r="G435"/>
      <c r="AB435" s="68"/>
      <c r="BJ435"/>
      <c r="BK435"/>
      <c r="BL435"/>
      <c r="BM435"/>
      <c r="BN435"/>
      <c r="BO435"/>
      <c r="BP435"/>
      <c r="BQ435"/>
      <c r="BR435"/>
      <c r="BS435"/>
      <c r="BT435"/>
      <c r="BU435"/>
      <c r="BV435"/>
      <c r="BW435"/>
      <c r="BX435"/>
      <c r="BY435"/>
      <c r="BZ435"/>
      <c r="CA435"/>
      <c r="CB435"/>
      <c r="CC435"/>
      <c r="CD435"/>
      <c r="CE435"/>
      <c r="CF435"/>
    </row>
    <row r="436" spans="1:84" ht="12.75" customHeight="1">
      <c r="A436"/>
      <c r="B436"/>
      <c r="C436"/>
      <c r="D436"/>
      <c r="E436"/>
      <c r="F436"/>
      <c r="G436"/>
      <c r="AB436" s="68"/>
      <c r="BJ436"/>
      <c r="BK436"/>
      <c r="BL436"/>
      <c r="BM436"/>
      <c r="BN436"/>
      <c r="BO436"/>
      <c r="BP436"/>
      <c r="BQ436"/>
      <c r="BR436"/>
      <c r="BS436"/>
      <c r="BT436"/>
      <c r="BU436"/>
      <c r="BV436"/>
      <c r="BW436"/>
      <c r="BX436"/>
      <c r="BY436"/>
      <c r="BZ436"/>
      <c r="CA436"/>
      <c r="CB436"/>
      <c r="CC436"/>
      <c r="CD436"/>
      <c r="CE436"/>
      <c r="CF436"/>
    </row>
    <row r="437" spans="1:84" ht="12.75" customHeight="1">
      <c r="A437"/>
      <c r="B437"/>
      <c r="C437"/>
      <c r="D437"/>
      <c r="E437"/>
      <c r="F437"/>
      <c r="G437"/>
      <c r="AB437" s="68"/>
      <c r="BJ437"/>
      <c r="BK437"/>
      <c r="BL437"/>
      <c r="BM437"/>
      <c r="BN437"/>
      <c r="BO437"/>
      <c r="BP437"/>
      <c r="BQ437"/>
      <c r="BR437"/>
      <c r="BS437"/>
      <c r="BT437"/>
      <c r="BU437"/>
      <c r="BV437"/>
      <c r="BW437"/>
      <c r="BX437"/>
      <c r="BY437"/>
      <c r="BZ437"/>
      <c r="CA437"/>
      <c r="CB437"/>
      <c r="CC437"/>
      <c r="CD437"/>
      <c r="CE437"/>
      <c r="CF437"/>
    </row>
    <row r="438" spans="1:84" ht="12.75" customHeight="1">
      <c r="A438"/>
      <c r="B438"/>
      <c r="C438"/>
      <c r="D438"/>
      <c r="E438"/>
      <c r="F438"/>
      <c r="G438"/>
      <c r="AB438" s="68"/>
      <c r="BJ438"/>
      <c r="BK438"/>
      <c r="BL438"/>
      <c r="BM438"/>
      <c r="BN438"/>
      <c r="BO438"/>
      <c r="BP438"/>
      <c r="BQ438"/>
      <c r="BR438"/>
      <c r="BS438"/>
      <c r="BT438"/>
      <c r="BU438"/>
      <c r="BV438"/>
      <c r="BW438"/>
      <c r="BX438"/>
      <c r="BY438"/>
      <c r="BZ438"/>
      <c r="CA438"/>
      <c r="CB438"/>
      <c r="CC438"/>
      <c r="CD438"/>
      <c r="CE438"/>
      <c r="CF438"/>
    </row>
    <row r="439" spans="1:84" ht="12.75" customHeight="1">
      <c r="A439"/>
      <c r="B439"/>
      <c r="C439"/>
      <c r="D439"/>
      <c r="E439"/>
      <c r="F439"/>
      <c r="G439"/>
      <c r="AB439" s="68"/>
      <c r="BJ439"/>
      <c r="BK439"/>
      <c r="BL439"/>
      <c r="BM439"/>
      <c r="BN439"/>
      <c r="BO439"/>
      <c r="BP439"/>
      <c r="BQ439"/>
      <c r="BR439"/>
      <c r="BS439"/>
      <c r="BT439"/>
      <c r="BU439"/>
      <c r="BV439"/>
      <c r="BW439"/>
      <c r="BX439"/>
      <c r="BY439"/>
      <c r="BZ439"/>
      <c r="CA439"/>
      <c r="CB439"/>
      <c r="CC439"/>
      <c r="CD439"/>
      <c r="CE439"/>
      <c r="CF439"/>
    </row>
    <row r="440" spans="1:84" ht="12.75" customHeight="1">
      <c r="A440"/>
      <c r="B440"/>
      <c r="C440"/>
      <c r="D440"/>
      <c r="E440"/>
      <c r="F440"/>
      <c r="G440"/>
      <c r="AB440" s="68"/>
      <c r="BJ440"/>
      <c r="BK440"/>
      <c r="BL440"/>
      <c r="BM440"/>
      <c r="BN440"/>
      <c r="BO440"/>
      <c r="BP440"/>
      <c r="BQ440"/>
      <c r="BR440"/>
      <c r="BS440"/>
      <c r="BT440"/>
      <c r="BU440"/>
      <c r="BV440"/>
      <c r="BW440"/>
      <c r="BX440"/>
      <c r="BY440"/>
      <c r="BZ440"/>
      <c r="CA440"/>
      <c r="CB440"/>
      <c r="CC440"/>
      <c r="CD440"/>
      <c r="CE440"/>
      <c r="CF440"/>
    </row>
    <row r="441" spans="1:84" ht="12.75" customHeight="1">
      <c r="A441"/>
      <c r="B441"/>
      <c r="C441"/>
      <c r="D441"/>
      <c r="E441"/>
      <c r="F441"/>
      <c r="G441"/>
      <c r="AB441" s="68"/>
      <c r="BJ441"/>
      <c r="BK441"/>
      <c r="BL441"/>
      <c r="BM441"/>
      <c r="BN441"/>
      <c r="BO441"/>
      <c r="BP441"/>
      <c r="BQ441"/>
      <c r="BR441"/>
      <c r="BS441"/>
      <c r="BT441"/>
      <c r="BU441"/>
      <c r="BV441"/>
      <c r="BW441"/>
      <c r="BX441"/>
      <c r="BY441"/>
      <c r="BZ441"/>
      <c r="CA441"/>
      <c r="CB441"/>
      <c r="CC441"/>
      <c r="CD441"/>
      <c r="CE441"/>
      <c r="CF441"/>
    </row>
    <row r="442" spans="1:84" ht="12.75" customHeight="1">
      <c r="A442"/>
      <c r="B442"/>
      <c r="C442"/>
      <c r="D442"/>
      <c r="E442"/>
      <c r="F442"/>
      <c r="G442"/>
      <c r="AB442" s="68"/>
      <c r="BJ442"/>
      <c r="BK442"/>
      <c r="BL442"/>
      <c r="BM442"/>
      <c r="BN442"/>
      <c r="BO442"/>
      <c r="BP442"/>
      <c r="BQ442"/>
      <c r="BR442"/>
      <c r="BS442"/>
      <c r="BT442"/>
      <c r="BU442"/>
      <c r="BV442"/>
      <c r="BW442"/>
      <c r="BX442"/>
      <c r="BY442"/>
      <c r="BZ442"/>
      <c r="CA442"/>
      <c r="CB442"/>
      <c r="CC442"/>
      <c r="CD442"/>
      <c r="CE442"/>
      <c r="CF442"/>
    </row>
    <row r="443" spans="1:84" ht="12.75" customHeight="1">
      <c r="A443"/>
      <c r="B443"/>
      <c r="C443"/>
      <c r="D443"/>
      <c r="E443"/>
      <c r="F443"/>
      <c r="G443"/>
      <c r="AB443" s="68"/>
      <c r="BJ443"/>
      <c r="BK443"/>
      <c r="BL443"/>
      <c r="BM443"/>
      <c r="BN443"/>
      <c r="BO443"/>
      <c r="BP443"/>
      <c r="BQ443"/>
      <c r="BR443"/>
      <c r="BS443"/>
      <c r="BT443"/>
      <c r="BU443"/>
      <c r="BV443"/>
      <c r="BW443"/>
      <c r="BX443"/>
      <c r="BY443"/>
      <c r="BZ443"/>
      <c r="CA443"/>
      <c r="CB443"/>
      <c r="CC443"/>
      <c r="CD443"/>
      <c r="CE443"/>
      <c r="CF443"/>
    </row>
    <row r="444" spans="1:84" ht="12.75" customHeight="1">
      <c r="A444"/>
      <c r="B444"/>
      <c r="C444"/>
      <c r="D444"/>
      <c r="E444"/>
      <c r="F444"/>
      <c r="G444"/>
      <c r="AB444" s="68"/>
      <c r="BJ444"/>
      <c r="BK444"/>
      <c r="BL444"/>
      <c r="BM444"/>
      <c r="BN444"/>
      <c r="BO444"/>
      <c r="BP444"/>
      <c r="BQ444"/>
      <c r="BR444"/>
      <c r="BS444"/>
      <c r="BT444"/>
      <c r="BU444"/>
      <c r="BV444"/>
      <c r="BW444"/>
      <c r="BX444"/>
      <c r="BY444"/>
      <c r="BZ444"/>
      <c r="CA444"/>
      <c r="CB444"/>
      <c r="CC444"/>
      <c r="CD444"/>
      <c r="CE444"/>
      <c r="CF444"/>
    </row>
    <row r="445" spans="1:84" ht="12.75" customHeight="1">
      <c r="A445"/>
      <c r="B445"/>
      <c r="C445"/>
      <c r="D445"/>
      <c r="E445"/>
      <c r="F445"/>
      <c r="G445"/>
      <c r="AB445" s="68"/>
      <c r="BJ445"/>
      <c r="BK445"/>
      <c r="BL445"/>
      <c r="BM445"/>
      <c r="BN445"/>
      <c r="BO445"/>
      <c r="BP445"/>
      <c r="BQ445"/>
      <c r="BR445"/>
      <c r="BS445"/>
      <c r="BT445"/>
      <c r="BU445"/>
      <c r="BV445"/>
      <c r="BW445"/>
      <c r="BX445"/>
      <c r="BY445"/>
      <c r="BZ445"/>
      <c r="CA445"/>
      <c r="CB445"/>
      <c r="CC445"/>
      <c r="CD445"/>
      <c r="CE445"/>
      <c r="CF445"/>
    </row>
    <row r="446" spans="1:84" ht="12.75" customHeight="1">
      <c r="A446"/>
      <c r="B446"/>
      <c r="C446"/>
      <c r="D446"/>
      <c r="E446"/>
      <c r="F446"/>
      <c r="G446"/>
      <c r="AB446" s="68"/>
      <c r="BJ446"/>
      <c r="BK446"/>
      <c r="BL446"/>
      <c r="BM446"/>
      <c r="BN446"/>
      <c r="BO446"/>
      <c r="BP446"/>
      <c r="BQ446"/>
      <c r="BR446"/>
      <c r="BS446"/>
      <c r="BT446"/>
      <c r="BU446"/>
      <c r="BV446"/>
      <c r="BW446"/>
      <c r="BX446"/>
      <c r="BY446"/>
      <c r="BZ446"/>
      <c r="CA446"/>
      <c r="CB446"/>
      <c r="CC446"/>
      <c r="CD446"/>
      <c r="CE446"/>
      <c r="CF446"/>
    </row>
    <row r="447" spans="1:84" ht="12.75" customHeight="1">
      <c r="A447"/>
      <c r="B447"/>
      <c r="C447"/>
      <c r="D447"/>
      <c r="E447"/>
      <c r="F447"/>
      <c r="G447"/>
      <c r="AB447" s="68"/>
      <c r="BJ447"/>
      <c r="BK447"/>
      <c r="BL447"/>
      <c r="BM447"/>
      <c r="BN447"/>
      <c r="BO447"/>
      <c r="BP447"/>
      <c r="BQ447"/>
      <c r="BR447"/>
      <c r="BS447"/>
      <c r="BT447"/>
      <c r="BU447"/>
      <c r="BV447"/>
      <c r="BW447"/>
      <c r="BX447"/>
      <c r="BY447"/>
      <c r="BZ447"/>
      <c r="CA447"/>
      <c r="CB447"/>
      <c r="CC447"/>
      <c r="CD447"/>
      <c r="CE447"/>
      <c r="CF447"/>
    </row>
    <row r="448" spans="1:84" ht="12.75" customHeight="1">
      <c r="A448"/>
      <c r="B448"/>
      <c r="C448"/>
      <c r="D448"/>
      <c r="E448"/>
      <c r="F448"/>
      <c r="G448"/>
      <c r="AB448" s="68"/>
      <c r="BJ448"/>
      <c r="BK448"/>
      <c r="BL448"/>
      <c r="BM448"/>
      <c r="BN448"/>
      <c r="BO448"/>
      <c r="BP448"/>
      <c r="BQ448"/>
      <c r="BR448"/>
      <c r="BS448"/>
      <c r="BT448"/>
      <c r="BU448"/>
      <c r="BV448"/>
      <c r="BW448"/>
      <c r="BX448"/>
      <c r="BY448"/>
      <c r="BZ448"/>
      <c r="CA448"/>
      <c r="CB448"/>
      <c r="CC448"/>
      <c r="CD448"/>
      <c r="CE448"/>
      <c r="CF448"/>
    </row>
    <row r="449" spans="1:84" ht="12.75" customHeight="1">
      <c r="A449"/>
      <c r="B449"/>
      <c r="C449"/>
      <c r="D449"/>
      <c r="E449"/>
      <c r="F449"/>
      <c r="G449"/>
      <c r="AB449" s="68"/>
      <c r="BJ449"/>
      <c r="BK449"/>
      <c r="BL449"/>
      <c r="BM449"/>
      <c r="BN449"/>
      <c r="BO449"/>
      <c r="BP449"/>
      <c r="BQ449"/>
      <c r="BR449"/>
      <c r="BS449"/>
      <c r="BT449"/>
      <c r="BU449"/>
      <c r="BV449"/>
      <c r="BW449"/>
      <c r="BX449"/>
      <c r="BY449"/>
      <c r="BZ449"/>
      <c r="CA449"/>
      <c r="CB449"/>
      <c r="CC449"/>
      <c r="CD449"/>
      <c r="CE449"/>
      <c r="CF449"/>
    </row>
    <row r="450" spans="1:84" ht="12.75" customHeight="1">
      <c r="A450"/>
      <c r="B450"/>
      <c r="C450"/>
      <c r="D450"/>
      <c r="E450"/>
      <c r="F450"/>
      <c r="G450"/>
      <c r="AB450" s="68"/>
      <c r="BJ450"/>
      <c r="BK450"/>
      <c r="BL450"/>
      <c r="BM450"/>
      <c r="BN450"/>
      <c r="BO450"/>
      <c r="BP450"/>
      <c r="BQ450"/>
      <c r="BR450"/>
      <c r="BS450"/>
      <c r="BT450"/>
      <c r="BU450"/>
      <c r="BV450"/>
      <c r="BW450"/>
      <c r="BX450"/>
      <c r="BY450"/>
      <c r="BZ450"/>
      <c r="CA450"/>
      <c r="CB450"/>
      <c r="CC450"/>
      <c r="CD450"/>
      <c r="CE450"/>
      <c r="CF450"/>
    </row>
    <row r="451" spans="1:84" ht="12.75" customHeight="1">
      <c r="A451"/>
      <c r="B451"/>
      <c r="C451"/>
      <c r="D451"/>
      <c r="E451"/>
      <c r="F451"/>
      <c r="G451"/>
      <c r="AB451" s="68"/>
      <c r="BJ451"/>
      <c r="BK451"/>
      <c r="BL451"/>
      <c r="BM451"/>
      <c r="BN451"/>
      <c r="BO451"/>
      <c r="BP451"/>
      <c r="BQ451"/>
      <c r="BR451"/>
      <c r="BS451"/>
      <c r="BT451"/>
      <c r="BU451"/>
      <c r="BV451"/>
      <c r="BW451"/>
      <c r="BX451"/>
      <c r="BY451"/>
      <c r="BZ451"/>
      <c r="CA451"/>
      <c r="CB451"/>
      <c r="CC451"/>
      <c r="CD451"/>
      <c r="CE451"/>
      <c r="CF451"/>
    </row>
    <row r="452" spans="1:84" ht="12.75" customHeight="1">
      <c r="A452"/>
      <c r="B452"/>
      <c r="C452"/>
      <c r="D452"/>
      <c r="E452"/>
      <c r="F452"/>
      <c r="G452"/>
      <c r="AB452" s="68"/>
      <c r="BJ452"/>
      <c r="BK452"/>
      <c r="BL452"/>
      <c r="BM452"/>
      <c r="BN452"/>
      <c r="BO452"/>
      <c r="BP452"/>
      <c r="BQ452"/>
      <c r="BR452"/>
      <c r="BS452"/>
      <c r="BT452"/>
      <c r="BU452"/>
      <c r="BV452"/>
      <c r="BW452"/>
      <c r="BX452"/>
      <c r="BY452"/>
      <c r="BZ452"/>
      <c r="CA452"/>
      <c r="CB452"/>
      <c r="CC452"/>
      <c r="CD452"/>
      <c r="CE452"/>
      <c r="CF452"/>
    </row>
    <row r="453" spans="1:84" ht="12.75" customHeight="1">
      <c r="A453"/>
      <c r="B453"/>
      <c r="C453"/>
      <c r="D453"/>
      <c r="E453"/>
      <c r="F453"/>
      <c r="G453"/>
      <c r="AB453" s="68"/>
      <c r="BJ453"/>
      <c r="BK453"/>
      <c r="BL453"/>
      <c r="BM453"/>
      <c r="BN453"/>
      <c r="BO453"/>
      <c r="BP453"/>
      <c r="BQ453"/>
      <c r="BR453"/>
      <c r="BS453"/>
      <c r="BT453"/>
      <c r="BU453"/>
      <c r="BV453"/>
      <c r="BW453"/>
      <c r="BX453"/>
      <c r="BY453"/>
      <c r="BZ453"/>
      <c r="CA453"/>
      <c r="CB453"/>
      <c r="CC453"/>
      <c r="CD453"/>
      <c r="CE453"/>
      <c r="CF453"/>
    </row>
    <row r="454" spans="1:84" ht="12.75" customHeight="1">
      <c r="A454"/>
      <c r="B454"/>
      <c r="C454"/>
      <c r="D454"/>
      <c r="E454"/>
      <c r="F454"/>
      <c r="G454"/>
      <c r="AB454" s="68"/>
      <c r="BJ454"/>
      <c r="BK454"/>
      <c r="BL454"/>
      <c r="BM454"/>
      <c r="BN454"/>
      <c r="BO454"/>
      <c r="BP454"/>
      <c r="BQ454"/>
      <c r="BR454"/>
      <c r="BS454"/>
      <c r="BT454"/>
      <c r="BU454"/>
      <c r="BV454"/>
      <c r="BW454"/>
      <c r="BX454"/>
      <c r="BY454"/>
      <c r="BZ454"/>
      <c r="CA454"/>
      <c r="CB454"/>
      <c r="CC454"/>
      <c r="CD454"/>
      <c r="CE454"/>
      <c r="CF454"/>
    </row>
    <row r="455" spans="1:84" ht="12.75" customHeight="1">
      <c r="A455"/>
      <c r="B455"/>
      <c r="C455"/>
      <c r="D455"/>
      <c r="E455"/>
      <c r="F455"/>
      <c r="G455"/>
      <c r="AB455" s="68"/>
      <c r="BJ455"/>
      <c r="BK455"/>
      <c r="BL455"/>
      <c r="BM455"/>
      <c r="BN455"/>
      <c r="BO455"/>
      <c r="BP455"/>
      <c r="BQ455"/>
      <c r="BR455"/>
      <c r="BS455"/>
      <c r="BT455"/>
      <c r="BU455"/>
      <c r="BV455"/>
      <c r="BW455"/>
      <c r="BX455"/>
      <c r="BY455"/>
      <c r="BZ455"/>
      <c r="CA455"/>
      <c r="CB455"/>
      <c r="CC455"/>
      <c r="CD455"/>
      <c r="CE455"/>
      <c r="CF455"/>
    </row>
    <row r="456" spans="1:84" ht="12.75" customHeight="1">
      <c r="A456"/>
      <c r="B456"/>
      <c r="C456"/>
      <c r="D456"/>
      <c r="E456"/>
      <c r="F456"/>
      <c r="G456"/>
      <c r="AB456" s="68"/>
      <c r="BJ456"/>
      <c r="BK456"/>
      <c r="BL456"/>
      <c r="BM456"/>
      <c r="BN456"/>
      <c r="BO456"/>
      <c r="BP456"/>
      <c r="BQ456"/>
      <c r="BR456"/>
      <c r="BS456"/>
      <c r="BT456"/>
      <c r="BU456"/>
      <c r="BV456"/>
      <c r="BW456"/>
      <c r="BX456"/>
      <c r="BY456"/>
      <c r="BZ456"/>
      <c r="CA456"/>
      <c r="CB456"/>
      <c r="CC456"/>
      <c r="CD456"/>
      <c r="CE456"/>
      <c r="CF456"/>
    </row>
    <row r="457" spans="1:84" ht="12.75" customHeight="1">
      <c r="A457"/>
      <c r="B457"/>
      <c r="C457"/>
      <c r="D457"/>
      <c r="E457"/>
      <c r="F457"/>
      <c r="G457"/>
      <c r="AB457" s="68"/>
      <c r="BJ457"/>
      <c r="BK457"/>
      <c r="BL457"/>
      <c r="BM457"/>
      <c r="BN457"/>
      <c r="BO457"/>
      <c r="BP457"/>
      <c r="BQ457"/>
      <c r="BR457"/>
      <c r="BS457"/>
      <c r="BT457"/>
      <c r="BU457"/>
      <c r="BV457"/>
      <c r="BW457"/>
      <c r="BX457"/>
      <c r="BY457"/>
      <c r="BZ457"/>
      <c r="CA457"/>
      <c r="CB457"/>
      <c r="CC457"/>
      <c r="CD457"/>
      <c r="CE457"/>
      <c r="CF457"/>
    </row>
    <row r="458" spans="1:84" ht="12.75" customHeight="1">
      <c r="A458"/>
      <c r="B458"/>
      <c r="C458"/>
      <c r="D458"/>
      <c r="E458"/>
      <c r="F458"/>
      <c r="G458"/>
      <c r="AB458" s="68"/>
      <c r="BJ458"/>
      <c r="BK458"/>
      <c r="BL458"/>
      <c r="BM458"/>
      <c r="BN458"/>
      <c r="BO458"/>
      <c r="BP458"/>
      <c r="BQ458"/>
      <c r="BR458"/>
      <c r="BS458"/>
      <c r="BT458"/>
      <c r="BU458"/>
      <c r="BV458"/>
      <c r="BW458"/>
      <c r="BX458"/>
      <c r="BY458"/>
      <c r="BZ458"/>
      <c r="CA458"/>
      <c r="CB458"/>
      <c r="CC458"/>
      <c r="CD458"/>
      <c r="CE458"/>
      <c r="CF458"/>
    </row>
    <row r="459" spans="1:84" ht="12.75" customHeight="1">
      <c r="A459"/>
      <c r="B459"/>
      <c r="C459"/>
      <c r="D459"/>
      <c r="E459"/>
      <c r="F459"/>
      <c r="G459"/>
      <c r="AB459" s="68"/>
      <c r="BJ459"/>
      <c r="BK459"/>
      <c r="BL459"/>
      <c r="BM459"/>
      <c r="BN459"/>
      <c r="BO459"/>
      <c r="BP459"/>
      <c r="BQ459"/>
      <c r="BR459"/>
      <c r="BS459"/>
      <c r="BT459"/>
      <c r="BU459"/>
      <c r="BV459"/>
      <c r="BW459"/>
      <c r="BX459"/>
      <c r="BY459"/>
      <c r="BZ459"/>
      <c r="CA459"/>
      <c r="CB459"/>
      <c r="CC459"/>
      <c r="CD459"/>
      <c r="CE459"/>
      <c r="CF459"/>
    </row>
    <row r="460" spans="1:84" ht="12.75" customHeight="1">
      <c r="A460"/>
      <c r="B460"/>
      <c r="C460"/>
      <c r="D460"/>
      <c r="E460"/>
      <c r="F460"/>
      <c r="G460"/>
      <c r="AB460" s="68"/>
      <c r="BJ460"/>
      <c r="BK460"/>
      <c r="BL460"/>
      <c r="BM460"/>
      <c r="BN460"/>
      <c r="BO460"/>
      <c r="BP460"/>
      <c r="BQ460"/>
      <c r="BR460"/>
      <c r="BS460"/>
      <c r="BT460"/>
      <c r="BU460"/>
      <c r="BV460"/>
      <c r="BW460"/>
      <c r="BX460"/>
      <c r="BY460"/>
      <c r="BZ460"/>
      <c r="CA460"/>
      <c r="CB460"/>
      <c r="CC460"/>
      <c r="CD460"/>
      <c r="CE460"/>
      <c r="CF460"/>
    </row>
    <row r="461" spans="1:84" ht="12.75" customHeight="1">
      <c r="A461"/>
      <c r="B461"/>
      <c r="C461"/>
      <c r="D461"/>
      <c r="E461"/>
      <c r="F461"/>
      <c r="G461"/>
      <c r="AB461" s="68"/>
      <c r="BJ461"/>
      <c r="BK461"/>
      <c r="BL461"/>
      <c r="BM461"/>
      <c r="BN461"/>
      <c r="BO461"/>
      <c r="BP461"/>
      <c r="BQ461"/>
      <c r="BR461"/>
      <c r="BS461"/>
      <c r="BT461"/>
      <c r="BU461"/>
      <c r="BV461"/>
      <c r="BW461"/>
      <c r="BX461"/>
      <c r="BY461"/>
      <c r="BZ461"/>
      <c r="CA461"/>
      <c r="CB461"/>
      <c r="CC461"/>
      <c r="CD461"/>
      <c r="CE461"/>
      <c r="CF461"/>
    </row>
    <row r="462" spans="1:84" ht="12.75" customHeight="1">
      <c r="A462"/>
      <c r="B462"/>
      <c r="C462"/>
      <c r="D462"/>
      <c r="E462"/>
      <c r="F462"/>
      <c r="G462"/>
      <c r="AB462" s="68"/>
      <c r="BJ462"/>
      <c r="BK462"/>
      <c r="BL462"/>
      <c r="BM462"/>
      <c r="BN462"/>
      <c r="BO462"/>
      <c r="BP462"/>
      <c r="BQ462"/>
      <c r="BR462"/>
      <c r="BS462"/>
      <c r="BT462"/>
      <c r="BU462"/>
      <c r="BV462"/>
      <c r="BW462"/>
      <c r="BX462"/>
      <c r="BY462"/>
      <c r="BZ462"/>
      <c r="CA462"/>
      <c r="CB462"/>
      <c r="CC462"/>
      <c r="CD462"/>
      <c r="CE462"/>
      <c r="CF462"/>
    </row>
    <row r="463" spans="1:84" ht="12.75" customHeight="1">
      <c r="A463"/>
      <c r="B463"/>
      <c r="C463"/>
      <c r="D463"/>
      <c r="E463"/>
      <c r="F463"/>
      <c r="G463"/>
      <c r="AB463" s="68"/>
      <c r="BJ463"/>
      <c r="BK463"/>
      <c r="BL463"/>
      <c r="BM463"/>
      <c r="BN463"/>
      <c r="BO463"/>
      <c r="BP463"/>
      <c r="BQ463"/>
      <c r="BR463"/>
      <c r="BS463"/>
      <c r="BT463"/>
      <c r="BU463"/>
      <c r="BV463"/>
      <c r="BW463"/>
      <c r="BX463"/>
      <c r="BY463"/>
      <c r="BZ463"/>
      <c r="CA463"/>
      <c r="CB463"/>
      <c r="CC463"/>
      <c r="CD463"/>
      <c r="CE463"/>
      <c r="CF463"/>
    </row>
    <row r="464" spans="1:84" ht="12.75" customHeight="1">
      <c r="A464"/>
      <c r="B464"/>
      <c r="C464"/>
      <c r="D464"/>
      <c r="E464"/>
      <c r="F464"/>
      <c r="G464"/>
      <c r="AB464" s="68"/>
      <c r="BJ464"/>
      <c r="BK464"/>
      <c r="BL464"/>
      <c r="BM464"/>
      <c r="BN464"/>
      <c r="BO464"/>
      <c r="BP464"/>
      <c r="BQ464"/>
      <c r="BR464"/>
      <c r="BS464"/>
      <c r="BT464"/>
      <c r="BU464"/>
      <c r="BV464"/>
      <c r="BW464"/>
      <c r="BX464"/>
      <c r="BY464"/>
      <c r="BZ464"/>
      <c r="CA464"/>
      <c r="CB464"/>
      <c r="CC464"/>
      <c r="CD464"/>
      <c r="CE464"/>
      <c r="CF464"/>
    </row>
    <row r="465" spans="1:84" ht="12.75" customHeight="1">
      <c r="A465"/>
      <c r="B465"/>
      <c r="C465"/>
      <c r="D465"/>
      <c r="E465"/>
      <c r="F465"/>
      <c r="G465"/>
      <c r="AB465" s="68"/>
      <c r="BJ465"/>
      <c r="BK465"/>
      <c r="BL465"/>
      <c r="BM465"/>
      <c r="BN465"/>
      <c r="BO465"/>
      <c r="BP465"/>
      <c r="BQ465"/>
      <c r="BR465"/>
      <c r="BS465"/>
      <c r="BT465"/>
      <c r="BU465"/>
      <c r="BV465"/>
      <c r="BW465"/>
      <c r="BX465"/>
      <c r="BY465"/>
      <c r="BZ465"/>
      <c r="CA465"/>
      <c r="CB465"/>
      <c r="CC465"/>
      <c r="CD465"/>
      <c r="CE465"/>
      <c r="CF465"/>
    </row>
    <row r="466" spans="1:84" ht="12.75" customHeight="1">
      <c r="A466"/>
      <c r="B466"/>
      <c r="C466"/>
      <c r="D466"/>
      <c r="E466"/>
      <c r="F466"/>
      <c r="G466"/>
      <c r="AB466" s="68"/>
      <c r="BJ466"/>
      <c r="BK466"/>
      <c r="BL466"/>
      <c r="BM466"/>
      <c r="BN466"/>
      <c r="BO466"/>
      <c r="BP466"/>
      <c r="BQ466"/>
      <c r="BR466"/>
      <c r="BS466"/>
      <c r="BT466"/>
      <c r="BU466"/>
      <c r="BV466"/>
      <c r="BW466"/>
      <c r="BX466"/>
      <c r="BY466"/>
      <c r="BZ466"/>
      <c r="CA466"/>
      <c r="CB466"/>
      <c r="CC466"/>
      <c r="CD466"/>
      <c r="CE466"/>
      <c r="CF466"/>
    </row>
    <row r="467" spans="1:84" ht="12.75" customHeight="1">
      <c r="A467"/>
      <c r="B467"/>
      <c r="C467"/>
      <c r="D467"/>
      <c r="E467"/>
      <c r="F467"/>
      <c r="G467"/>
      <c r="AB467" s="68"/>
      <c r="BJ467"/>
      <c r="BK467"/>
      <c r="BL467"/>
      <c r="BM467"/>
      <c r="BN467"/>
      <c r="BO467"/>
      <c r="BP467"/>
      <c r="BQ467"/>
      <c r="BR467"/>
      <c r="BS467"/>
      <c r="BT467"/>
      <c r="BU467"/>
      <c r="BV467"/>
      <c r="BW467"/>
      <c r="BX467"/>
      <c r="BY467"/>
      <c r="BZ467"/>
      <c r="CA467"/>
      <c r="CB467"/>
      <c r="CC467"/>
      <c r="CD467"/>
      <c r="CE467"/>
      <c r="CF467"/>
    </row>
    <row r="468" spans="1:84" ht="12.75" customHeight="1">
      <c r="A468"/>
      <c r="B468"/>
      <c r="C468"/>
      <c r="D468"/>
      <c r="E468"/>
      <c r="F468"/>
      <c r="G468"/>
      <c r="AB468" s="68"/>
      <c r="BJ468"/>
      <c r="BK468"/>
      <c r="BL468"/>
      <c r="BM468"/>
      <c r="BN468"/>
      <c r="BO468"/>
      <c r="BP468"/>
      <c r="BQ468"/>
      <c r="BR468"/>
      <c r="BS468"/>
      <c r="BT468"/>
      <c r="BU468"/>
      <c r="BV468"/>
      <c r="BW468"/>
      <c r="BX468"/>
      <c r="BY468"/>
      <c r="BZ468"/>
      <c r="CA468"/>
      <c r="CB468"/>
      <c r="CC468"/>
      <c r="CD468"/>
      <c r="CE468"/>
      <c r="CF468"/>
    </row>
    <row r="469" spans="1:84" ht="12.75" customHeight="1">
      <c r="A469"/>
      <c r="B469"/>
      <c r="C469"/>
      <c r="D469"/>
      <c r="E469"/>
      <c r="F469"/>
      <c r="G469"/>
      <c r="AB469" s="68"/>
      <c r="BJ469"/>
      <c r="BK469"/>
      <c r="BL469"/>
      <c r="BM469"/>
      <c r="BN469"/>
      <c r="BO469"/>
      <c r="BP469"/>
      <c r="BQ469"/>
      <c r="BR469"/>
      <c r="BS469"/>
      <c r="BT469"/>
      <c r="BU469"/>
      <c r="BV469"/>
      <c r="BW469"/>
      <c r="BX469"/>
      <c r="BY469"/>
      <c r="BZ469"/>
      <c r="CA469"/>
      <c r="CB469"/>
      <c r="CC469"/>
      <c r="CD469"/>
      <c r="CE469"/>
      <c r="CF469"/>
    </row>
    <row r="470" spans="1:84" ht="12.75" customHeight="1">
      <c r="A470"/>
      <c r="B470"/>
      <c r="C470"/>
      <c r="D470"/>
      <c r="E470"/>
      <c r="F470"/>
      <c r="G470"/>
      <c r="AB470" s="68"/>
      <c r="BJ470"/>
      <c r="BK470"/>
      <c r="BL470"/>
      <c r="BM470"/>
      <c r="BN470"/>
      <c r="BO470"/>
      <c r="BP470"/>
      <c r="BQ470"/>
      <c r="BR470"/>
      <c r="BS470"/>
      <c r="BT470"/>
      <c r="BU470"/>
      <c r="BV470"/>
      <c r="BW470"/>
      <c r="BX470"/>
      <c r="BY470"/>
      <c r="BZ470"/>
      <c r="CA470"/>
      <c r="CB470"/>
      <c r="CC470"/>
      <c r="CD470"/>
      <c r="CE470"/>
      <c r="CF470"/>
    </row>
    <row r="471" spans="1:84" ht="12.75" customHeight="1">
      <c r="A471"/>
      <c r="B471"/>
      <c r="C471"/>
      <c r="D471"/>
      <c r="E471"/>
      <c r="F471"/>
      <c r="G471"/>
      <c r="AB471" s="68"/>
      <c r="BJ471"/>
      <c r="BK471"/>
      <c r="BL471"/>
      <c r="BM471"/>
      <c r="BN471"/>
      <c r="BO471"/>
      <c r="BP471"/>
      <c r="BQ471"/>
      <c r="BR471"/>
      <c r="BS471"/>
      <c r="BT471"/>
      <c r="BU471"/>
      <c r="BV471"/>
      <c r="BW471"/>
      <c r="BX471"/>
      <c r="BY471"/>
      <c r="BZ471"/>
      <c r="CA471"/>
      <c r="CB471"/>
      <c r="CC471"/>
      <c r="CD471"/>
      <c r="CE471"/>
      <c r="CF471"/>
    </row>
    <row r="472" spans="1:84" ht="12.75" customHeight="1">
      <c r="A472"/>
      <c r="B472"/>
      <c r="C472"/>
      <c r="D472"/>
      <c r="E472"/>
      <c r="F472"/>
      <c r="G472"/>
      <c r="AB472" s="68"/>
      <c r="BJ472"/>
      <c r="BK472"/>
      <c r="BL472"/>
      <c r="BM472"/>
      <c r="BN472"/>
      <c r="BO472"/>
      <c r="BP472"/>
      <c r="BQ472"/>
      <c r="BR472"/>
      <c r="BS472"/>
      <c r="BT472"/>
      <c r="BU472"/>
      <c r="BV472"/>
      <c r="BW472"/>
      <c r="BX472"/>
      <c r="BY472"/>
      <c r="BZ472"/>
      <c r="CA472"/>
      <c r="CB472"/>
      <c r="CC472"/>
      <c r="CD472"/>
      <c r="CE472"/>
      <c r="CF472"/>
    </row>
    <row r="473" spans="1:84" ht="12.75" customHeight="1">
      <c r="A473"/>
      <c r="B473"/>
      <c r="C473"/>
      <c r="D473"/>
      <c r="E473"/>
      <c r="F473"/>
      <c r="G473"/>
      <c r="AB473" s="68"/>
      <c r="BJ473"/>
      <c r="BK473"/>
      <c r="BL473"/>
      <c r="BM473"/>
      <c r="BN473"/>
      <c r="BO473"/>
      <c r="BP473"/>
      <c r="BQ473"/>
      <c r="BR473"/>
      <c r="BS473"/>
      <c r="BT473"/>
      <c r="BU473"/>
      <c r="BV473"/>
      <c r="BW473"/>
      <c r="BX473"/>
      <c r="BY473"/>
      <c r="BZ473"/>
      <c r="CA473"/>
      <c r="CB473"/>
      <c r="CC473"/>
      <c r="CD473"/>
      <c r="CE473"/>
      <c r="CF473"/>
    </row>
    <row r="474" spans="1:84" ht="12.75" customHeight="1">
      <c r="A474"/>
      <c r="B474"/>
      <c r="C474"/>
      <c r="D474"/>
      <c r="E474"/>
      <c r="F474"/>
      <c r="G474"/>
      <c r="AB474" s="68"/>
      <c r="BJ474"/>
      <c r="BK474"/>
      <c r="BL474"/>
      <c r="BM474"/>
      <c r="BN474"/>
      <c r="BO474"/>
      <c r="BP474"/>
      <c r="BQ474"/>
      <c r="BR474"/>
      <c r="BS474"/>
      <c r="BT474"/>
      <c r="BU474"/>
      <c r="BV474"/>
      <c r="BW474"/>
      <c r="BX474"/>
      <c r="BY474"/>
      <c r="BZ474"/>
      <c r="CA474"/>
      <c r="CB474"/>
      <c r="CC474"/>
      <c r="CD474"/>
      <c r="CE474"/>
      <c r="CF474"/>
    </row>
    <row r="475" spans="1:84" ht="12.75" customHeight="1">
      <c r="A475"/>
      <c r="B475"/>
      <c r="C475"/>
      <c r="D475"/>
      <c r="E475"/>
      <c r="F475"/>
      <c r="G475"/>
      <c r="AB475" s="68"/>
      <c r="BJ475"/>
      <c r="BK475"/>
      <c r="BL475"/>
      <c r="BM475"/>
      <c r="BN475"/>
      <c r="BO475"/>
      <c r="BP475"/>
      <c r="BQ475"/>
      <c r="BR475"/>
      <c r="BS475"/>
      <c r="BT475"/>
      <c r="BU475"/>
      <c r="BV475"/>
      <c r="BW475"/>
      <c r="BX475"/>
      <c r="BY475"/>
      <c r="BZ475"/>
      <c r="CA475"/>
      <c r="CB475"/>
      <c r="CC475"/>
      <c r="CD475"/>
      <c r="CE475"/>
      <c r="CF475"/>
    </row>
    <row r="476" spans="1:84" ht="12.75" customHeight="1">
      <c r="A476"/>
      <c r="B476"/>
      <c r="C476"/>
      <c r="D476"/>
      <c r="E476"/>
      <c r="F476"/>
      <c r="G476"/>
      <c r="AB476" s="68"/>
      <c r="BJ476"/>
      <c r="BK476"/>
      <c r="BL476"/>
      <c r="BM476"/>
      <c r="BN476"/>
      <c r="BO476"/>
      <c r="BP476"/>
      <c r="BQ476"/>
      <c r="BR476"/>
      <c r="BS476"/>
      <c r="BT476"/>
      <c r="BU476"/>
      <c r="BV476"/>
      <c r="BW476"/>
      <c r="BX476"/>
      <c r="BY476"/>
      <c r="BZ476"/>
      <c r="CA476"/>
      <c r="CB476"/>
      <c r="CC476"/>
      <c r="CD476"/>
      <c r="CE476"/>
      <c r="CF476"/>
    </row>
    <row r="477" spans="1:84" ht="12.75" customHeight="1">
      <c r="A477"/>
      <c r="B477"/>
      <c r="C477"/>
      <c r="D477"/>
      <c r="E477"/>
      <c r="F477"/>
      <c r="G477"/>
      <c r="AB477" s="68"/>
      <c r="BJ477"/>
      <c r="BK477"/>
      <c r="BL477"/>
      <c r="BM477"/>
      <c r="BN477"/>
      <c r="BO477"/>
      <c r="BP477"/>
      <c r="BQ477"/>
      <c r="BR477"/>
      <c r="BS477"/>
      <c r="BT477"/>
      <c r="BU477"/>
      <c r="BV477"/>
      <c r="BW477"/>
      <c r="BX477"/>
      <c r="BY477"/>
      <c r="BZ477"/>
      <c r="CA477"/>
      <c r="CB477"/>
      <c r="CC477"/>
      <c r="CD477"/>
      <c r="CE477"/>
      <c r="CF477"/>
    </row>
    <row r="478" spans="1:84" ht="12.75" customHeight="1">
      <c r="A478"/>
      <c r="B478"/>
      <c r="C478"/>
      <c r="D478"/>
      <c r="E478"/>
      <c r="F478"/>
      <c r="G478"/>
      <c r="AB478" s="68"/>
      <c r="BJ478"/>
      <c r="BK478"/>
      <c r="BL478"/>
      <c r="BM478"/>
      <c r="BN478"/>
      <c r="BO478"/>
      <c r="BP478"/>
      <c r="BQ478"/>
      <c r="BR478"/>
      <c r="BS478"/>
      <c r="BT478"/>
      <c r="BU478"/>
      <c r="BV478"/>
      <c r="BW478"/>
      <c r="BX478"/>
      <c r="BY478"/>
      <c r="BZ478"/>
      <c r="CA478"/>
      <c r="CB478"/>
      <c r="CC478"/>
      <c r="CD478"/>
      <c r="CE478"/>
      <c r="CF478"/>
    </row>
    <row r="479" spans="1:84" ht="12.75" customHeight="1">
      <c r="A479"/>
      <c r="B479"/>
      <c r="C479"/>
      <c r="D479"/>
      <c r="E479"/>
      <c r="F479"/>
      <c r="G479"/>
      <c r="AB479" s="68"/>
      <c r="BJ479"/>
      <c r="BK479"/>
      <c r="BL479"/>
      <c r="BM479"/>
      <c r="BN479"/>
      <c r="BO479"/>
      <c r="BP479"/>
      <c r="BQ479"/>
      <c r="BR479"/>
      <c r="BS479"/>
      <c r="BT479"/>
      <c r="BU479"/>
      <c r="BV479"/>
      <c r="BW479"/>
      <c r="BX479"/>
      <c r="BY479"/>
      <c r="BZ479"/>
      <c r="CA479"/>
      <c r="CB479"/>
      <c r="CC479"/>
      <c r="CD479"/>
      <c r="CE479"/>
      <c r="CF479"/>
    </row>
    <row r="480" spans="1:84" ht="12.75" customHeight="1">
      <c r="A480"/>
      <c r="B480"/>
      <c r="C480"/>
      <c r="D480"/>
      <c r="E480"/>
      <c r="F480"/>
      <c r="G480"/>
      <c r="AB480" s="68"/>
      <c r="BJ480"/>
      <c r="BK480"/>
      <c r="BL480"/>
      <c r="BM480"/>
      <c r="BN480"/>
      <c r="BO480"/>
      <c r="BP480"/>
      <c r="BQ480"/>
      <c r="BR480"/>
      <c r="BS480"/>
      <c r="BT480"/>
      <c r="BU480"/>
      <c r="BV480"/>
      <c r="BW480"/>
      <c r="BX480"/>
      <c r="BY480"/>
      <c r="BZ480"/>
      <c r="CA480"/>
      <c r="CB480"/>
      <c r="CC480"/>
      <c r="CD480"/>
      <c r="CE480"/>
      <c r="CF480"/>
    </row>
    <row r="481" spans="1:84" ht="12.75" customHeight="1">
      <c r="A481"/>
      <c r="B481"/>
      <c r="C481"/>
      <c r="D481"/>
      <c r="E481"/>
      <c r="F481"/>
      <c r="G481"/>
      <c r="AB481" s="68"/>
      <c r="BJ481"/>
      <c r="BK481"/>
      <c r="BL481"/>
      <c r="BM481"/>
      <c r="BN481"/>
      <c r="BO481"/>
      <c r="BP481"/>
      <c r="BQ481"/>
      <c r="BR481"/>
      <c r="BS481"/>
      <c r="BT481"/>
      <c r="BU481"/>
      <c r="BV481"/>
      <c r="BW481"/>
      <c r="BX481"/>
      <c r="BY481"/>
      <c r="BZ481"/>
      <c r="CA481"/>
      <c r="CB481"/>
      <c r="CC481"/>
      <c r="CD481"/>
      <c r="CE481"/>
      <c r="CF481"/>
    </row>
    <row r="482" spans="1:84" ht="12.75" customHeight="1">
      <c r="A482"/>
      <c r="B482"/>
      <c r="C482"/>
      <c r="D482"/>
      <c r="E482"/>
      <c r="F482"/>
      <c r="G482"/>
      <c r="AB482" s="68"/>
      <c r="BJ482"/>
      <c r="BK482"/>
      <c r="BL482"/>
      <c r="BM482"/>
      <c r="BN482"/>
      <c r="BO482"/>
      <c r="BP482"/>
      <c r="BQ482"/>
      <c r="BR482"/>
      <c r="BS482"/>
      <c r="BT482"/>
      <c r="BU482"/>
      <c r="BV482"/>
      <c r="BW482"/>
      <c r="BX482"/>
      <c r="BY482"/>
      <c r="BZ482"/>
      <c r="CA482"/>
      <c r="CB482"/>
      <c r="CC482"/>
      <c r="CD482"/>
      <c r="CE482"/>
      <c r="CF482"/>
    </row>
    <row r="483" spans="1:84" ht="12.75" customHeight="1">
      <c r="A483"/>
      <c r="B483"/>
      <c r="C483"/>
      <c r="D483"/>
      <c r="E483"/>
      <c r="F483"/>
      <c r="G483"/>
      <c r="AB483" s="68"/>
      <c r="BJ483"/>
      <c r="BK483"/>
      <c r="BL483"/>
      <c r="BM483"/>
      <c r="BN483"/>
      <c r="BO483"/>
      <c r="BP483"/>
      <c r="BQ483"/>
      <c r="BR483"/>
      <c r="BS483"/>
      <c r="BT483"/>
      <c r="BU483"/>
      <c r="BV483"/>
      <c r="BW483"/>
      <c r="BX483"/>
      <c r="BY483"/>
      <c r="BZ483"/>
      <c r="CA483"/>
      <c r="CB483"/>
      <c r="CC483"/>
      <c r="CD483"/>
      <c r="CE483"/>
      <c r="CF483"/>
    </row>
    <row r="484" spans="1:84" ht="12.75" customHeight="1">
      <c r="A484"/>
      <c r="B484"/>
      <c r="C484"/>
      <c r="D484"/>
      <c r="E484"/>
      <c r="F484"/>
      <c r="G484"/>
      <c r="AB484" s="68"/>
      <c r="BJ484"/>
      <c r="BK484"/>
      <c r="BL484"/>
      <c r="BM484"/>
      <c r="BN484"/>
      <c r="BO484"/>
      <c r="BP484"/>
      <c r="BQ484"/>
      <c r="BR484"/>
      <c r="BS484"/>
      <c r="BT484"/>
      <c r="BU484"/>
      <c r="BV484"/>
      <c r="BW484"/>
      <c r="BX484"/>
      <c r="BY484"/>
      <c r="BZ484"/>
      <c r="CA484"/>
      <c r="CB484"/>
      <c r="CC484"/>
      <c r="CD484"/>
      <c r="CE484"/>
      <c r="CF484"/>
    </row>
    <row r="485" spans="1:84" ht="12.75" customHeight="1">
      <c r="A485"/>
      <c r="B485"/>
      <c r="C485"/>
      <c r="D485"/>
      <c r="E485"/>
      <c r="F485"/>
      <c r="G485"/>
      <c r="AB485" s="68"/>
      <c r="BJ485"/>
      <c r="BK485"/>
      <c r="BL485"/>
      <c r="BM485"/>
      <c r="BN485"/>
      <c r="BO485"/>
      <c r="BP485"/>
      <c r="BQ485"/>
      <c r="BR485"/>
      <c r="BS485"/>
      <c r="BT485"/>
      <c r="BU485"/>
      <c r="BV485"/>
      <c r="BW485"/>
      <c r="BX485"/>
      <c r="BY485"/>
      <c r="BZ485"/>
      <c r="CA485"/>
      <c r="CB485"/>
      <c r="CC485"/>
      <c r="CD485"/>
      <c r="CE485"/>
      <c r="CF485"/>
    </row>
    <row r="486" spans="1:84" ht="12.75" customHeight="1">
      <c r="A486"/>
      <c r="B486"/>
      <c r="C486"/>
      <c r="D486"/>
      <c r="E486"/>
      <c r="F486"/>
      <c r="G486"/>
      <c r="AB486" s="68"/>
      <c r="BJ486"/>
      <c r="BK486"/>
      <c r="BL486"/>
      <c r="BM486"/>
      <c r="BN486"/>
      <c r="BO486"/>
      <c r="BP486"/>
      <c r="BQ486"/>
      <c r="BR486"/>
      <c r="BS486"/>
      <c r="BT486"/>
      <c r="BU486"/>
      <c r="BV486"/>
      <c r="BW486"/>
      <c r="BX486"/>
      <c r="BY486"/>
      <c r="BZ486"/>
      <c r="CA486"/>
      <c r="CB486"/>
      <c r="CC486"/>
      <c r="CD486"/>
      <c r="CE486"/>
      <c r="CF486"/>
    </row>
    <row r="487" spans="1:84" ht="12.75" customHeight="1">
      <c r="A487"/>
      <c r="B487"/>
      <c r="C487"/>
      <c r="D487"/>
      <c r="E487"/>
      <c r="F487"/>
      <c r="G487"/>
      <c r="AB487" s="68"/>
      <c r="BJ487"/>
      <c r="BK487"/>
      <c r="BL487"/>
      <c r="BM487"/>
      <c r="BN487"/>
      <c r="BO487"/>
      <c r="BP487"/>
      <c r="BQ487"/>
      <c r="BR487"/>
      <c r="BS487"/>
      <c r="BT487"/>
      <c r="BU487"/>
      <c r="BV487"/>
      <c r="BW487"/>
      <c r="BX487"/>
      <c r="BY487"/>
      <c r="BZ487"/>
      <c r="CA487"/>
      <c r="CB487"/>
      <c r="CC487"/>
      <c r="CD487"/>
      <c r="CE487"/>
      <c r="CF487"/>
    </row>
    <row r="488" spans="1:84" ht="12.75" customHeight="1">
      <c r="A488"/>
      <c r="B488"/>
      <c r="C488"/>
      <c r="D488"/>
      <c r="E488"/>
      <c r="F488"/>
      <c r="G488"/>
      <c r="AB488" s="68"/>
      <c r="BJ488"/>
      <c r="BK488"/>
      <c r="BL488"/>
      <c r="BM488"/>
      <c r="BN488"/>
      <c r="BO488"/>
      <c r="BP488"/>
      <c r="BQ488"/>
      <c r="BR488"/>
      <c r="BS488"/>
      <c r="BT488"/>
      <c r="BU488"/>
      <c r="BV488"/>
      <c r="BW488"/>
      <c r="BX488"/>
      <c r="BY488"/>
      <c r="BZ488"/>
      <c r="CA488"/>
      <c r="CB488"/>
      <c r="CC488"/>
      <c r="CD488"/>
      <c r="CE488"/>
      <c r="CF488"/>
    </row>
    <row r="489" spans="1:84" ht="12.75" customHeight="1">
      <c r="A489"/>
      <c r="B489"/>
      <c r="C489"/>
      <c r="D489"/>
      <c r="E489"/>
      <c r="F489"/>
      <c r="G489"/>
      <c r="AB489" s="68"/>
      <c r="BJ489"/>
      <c r="BK489"/>
      <c r="BL489"/>
      <c r="BM489"/>
      <c r="BN489"/>
      <c r="BO489"/>
      <c r="BP489"/>
      <c r="BQ489"/>
      <c r="BR489"/>
      <c r="BS489"/>
      <c r="BT489"/>
      <c r="BU489"/>
      <c r="BV489"/>
      <c r="BW489"/>
      <c r="BX489"/>
      <c r="BY489"/>
      <c r="BZ489"/>
      <c r="CA489"/>
      <c r="CB489"/>
      <c r="CC489"/>
      <c r="CD489"/>
      <c r="CE489"/>
      <c r="CF489"/>
    </row>
    <row r="490" spans="1:84" ht="12.75" customHeight="1">
      <c r="A490"/>
      <c r="B490"/>
      <c r="C490"/>
      <c r="D490"/>
      <c r="E490"/>
      <c r="F490"/>
      <c r="G490"/>
      <c r="AB490" s="68"/>
      <c r="BJ490"/>
      <c r="BK490"/>
      <c r="BL490"/>
      <c r="BM490"/>
      <c r="BN490"/>
      <c r="BO490"/>
      <c r="BP490"/>
      <c r="BQ490"/>
      <c r="BR490"/>
      <c r="BS490"/>
      <c r="BT490"/>
      <c r="BU490"/>
      <c r="BV490"/>
      <c r="BW490"/>
      <c r="BX490"/>
      <c r="BY490"/>
      <c r="BZ490"/>
      <c r="CA490"/>
      <c r="CB490"/>
      <c r="CC490"/>
      <c r="CD490"/>
      <c r="CE490"/>
      <c r="CF490"/>
    </row>
    <row r="491" spans="1:84" ht="12.75" customHeight="1">
      <c r="A491"/>
      <c r="B491"/>
      <c r="C491"/>
      <c r="D491"/>
      <c r="E491"/>
      <c r="F491"/>
      <c r="G491"/>
      <c r="AB491" s="68"/>
      <c r="BJ491"/>
      <c r="BK491"/>
      <c r="BL491"/>
      <c r="BM491"/>
      <c r="BN491"/>
      <c r="BO491"/>
      <c r="BP491"/>
      <c r="BQ491"/>
      <c r="BR491"/>
      <c r="BS491"/>
      <c r="BT491"/>
      <c r="BU491"/>
      <c r="BV491"/>
      <c r="BW491"/>
      <c r="BX491"/>
      <c r="BY491"/>
      <c r="BZ491"/>
      <c r="CA491"/>
      <c r="CB491"/>
      <c r="CC491"/>
      <c r="CD491"/>
      <c r="CE491"/>
      <c r="CF491"/>
    </row>
    <row r="492" spans="1:84" ht="12.75" customHeight="1">
      <c r="A492"/>
      <c r="B492"/>
      <c r="C492"/>
      <c r="D492"/>
      <c r="E492"/>
      <c r="F492"/>
      <c r="G492"/>
      <c r="AB492" s="68"/>
      <c r="BJ492"/>
      <c r="BK492"/>
      <c r="BL492"/>
      <c r="BM492"/>
      <c r="BN492"/>
      <c r="BO492"/>
      <c r="BP492"/>
      <c r="BQ492"/>
      <c r="BR492"/>
      <c r="BS492"/>
      <c r="BT492"/>
      <c r="BU492"/>
      <c r="BV492"/>
      <c r="BW492"/>
      <c r="BX492"/>
      <c r="BY492"/>
      <c r="BZ492"/>
      <c r="CA492"/>
      <c r="CB492"/>
      <c r="CC492"/>
      <c r="CD492"/>
      <c r="CE492"/>
      <c r="CF492"/>
    </row>
    <row r="493" spans="1:84" ht="12.75" customHeight="1">
      <c r="A493"/>
      <c r="B493"/>
      <c r="C493"/>
      <c r="D493"/>
      <c r="E493"/>
      <c r="F493"/>
      <c r="G493"/>
      <c r="AB493" s="68"/>
      <c r="BJ493"/>
      <c r="BK493"/>
      <c r="BL493"/>
      <c r="BM493"/>
      <c r="BN493"/>
      <c r="BO493"/>
      <c r="BP493"/>
      <c r="BQ493"/>
      <c r="BR493"/>
      <c r="BS493"/>
      <c r="BT493"/>
      <c r="BU493"/>
      <c r="BV493"/>
      <c r="BW493"/>
      <c r="BX493"/>
      <c r="BY493"/>
      <c r="BZ493"/>
      <c r="CA493"/>
      <c r="CB493"/>
      <c r="CC493"/>
      <c r="CD493"/>
      <c r="CE493"/>
      <c r="CF493"/>
    </row>
    <row r="494" spans="1:84" ht="12.75" customHeight="1">
      <c r="A494"/>
      <c r="B494"/>
      <c r="C494"/>
      <c r="D494"/>
      <c r="E494"/>
      <c r="F494"/>
      <c r="G494"/>
      <c r="AB494" s="68"/>
      <c r="BJ494"/>
      <c r="BK494"/>
      <c r="BL494"/>
      <c r="BM494"/>
      <c r="BN494"/>
      <c r="BO494"/>
      <c r="BP494"/>
      <c r="BQ494"/>
      <c r="BR494"/>
      <c r="BS494"/>
      <c r="BT494"/>
      <c r="BU494"/>
      <c r="BV494"/>
      <c r="BW494"/>
      <c r="BX494"/>
      <c r="BY494"/>
      <c r="BZ494"/>
      <c r="CA494"/>
      <c r="CB494"/>
      <c r="CC494"/>
      <c r="CD494"/>
      <c r="CE494"/>
      <c r="CF494"/>
    </row>
    <row r="495" spans="1:84" ht="12.75" customHeight="1">
      <c r="A495"/>
      <c r="B495"/>
      <c r="C495"/>
      <c r="D495"/>
      <c r="E495"/>
      <c r="F495"/>
      <c r="G495"/>
      <c r="AB495" s="68"/>
      <c r="BJ495"/>
      <c r="BK495"/>
      <c r="BL495"/>
      <c r="BM495"/>
      <c r="BN495"/>
      <c r="BO495"/>
      <c r="BP495"/>
      <c r="BQ495"/>
      <c r="BR495"/>
      <c r="BS495"/>
      <c r="BT495"/>
      <c r="BU495"/>
      <c r="BV495"/>
      <c r="BW495"/>
      <c r="BX495"/>
      <c r="BY495"/>
      <c r="BZ495"/>
      <c r="CA495"/>
      <c r="CB495"/>
      <c r="CC495"/>
      <c r="CD495"/>
      <c r="CE495"/>
      <c r="CF495"/>
    </row>
    <row r="496" spans="1:84" ht="12.75" customHeight="1">
      <c r="A496"/>
      <c r="B496"/>
      <c r="C496"/>
      <c r="D496"/>
      <c r="E496"/>
      <c r="F496"/>
      <c r="G496"/>
      <c r="AB496" s="68"/>
      <c r="BJ496"/>
      <c r="BK496"/>
      <c r="BL496"/>
      <c r="BM496"/>
      <c r="BN496"/>
      <c r="BO496"/>
      <c r="BP496"/>
      <c r="BQ496"/>
      <c r="BR496"/>
      <c r="BS496"/>
      <c r="BT496"/>
      <c r="BU496"/>
      <c r="BV496"/>
      <c r="BW496"/>
      <c r="BX496"/>
      <c r="BY496"/>
      <c r="BZ496"/>
      <c r="CA496"/>
      <c r="CB496"/>
      <c r="CC496"/>
      <c r="CD496"/>
      <c r="CE496"/>
      <c r="CF496"/>
    </row>
    <row r="497" spans="1:84" ht="12.75" customHeight="1">
      <c r="A497"/>
      <c r="B497"/>
      <c r="C497"/>
      <c r="D497"/>
      <c r="E497"/>
      <c r="F497"/>
      <c r="G497"/>
      <c r="AB497" s="68"/>
      <c r="BJ497"/>
      <c r="BK497"/>
      <c r="BL497"/>
      <c r="BM497"/>
      <c r="BN497"/>
      <c r="BO497"/>
      <c r="BP497"/>
      <c r="BQ497"/>
      <c r="BR497"/>
      <c r="BS497"/>
      <c r="BT497"/>
      <c r="BU497"/>
      <c r="BV497"/>
      <c r="BW497"/>
      <c r="BX497"/>
      <c r="BY497"/>
      <c r="BZ497"/>
      <c r="CA497"/>
      <c r="CB497"/>
      <c r="CC497"/>
      <c r="CD497"/>
      <c r="CE497"/>
      <c r="CF497"/>
    </row>
    <row r="498" spans="1:84" ht="12.75" customHeight="1">
      <c r="A498"/>
      <c r="B498"/>
      <c r="C498"/>
      <c r="D498"/>
      <c r="E498"/>
      <c r="F498"/>
      <c r="G498"/>
      <c r="AB498" s="68"/>
      <c r="BJ498"/>
      <c r="BK498"/>
      <c r="BL498"/>
      <c r="BM498"/>
      <c r="BN498"/>
      <c r="BO498"/>
      <c r="BP498"/>
      <c r="BQ498"/>
      <c r="BR498"/>
      <c r="BS498"/>
      <c r="BT498"/>
      <c r="BU498"/>
      <c r="BV498"/>
      <c r="BW498"/>
      <c r="BX498"/>
      <c r="BY498"/>
      <c r="BZ498"/>
      <c r="CA498"/>
      <c r="CB498"/>
      <c r="CC498"/>
      <c r="CD498"/>
      <c r="CE498"/>
      <c r="CF498"/>
    </row>
    <row r="499" spans="1:84" ht="12.75" customHeight="1">
      <c r="A499"/>
      <c r="B499"/>
      <c r="C499"/>
      <c r="D499"/>
      <c r="E499"/>
      <c r="F499"/>
      <c r="G499"/>
      <c r="AB499" s="68"/>
      <c r="BJ499"/>
      <c r="BK499"/>
      <c r="BL499"/>
      <c r="BM499"/>
      <c r="BN499"/>
      <c r="BO499"/>
      <c r="BP499"/>
      <c r="BQ499"/>
      <c r="BR499"/>
      <c r="BS499"/>
      <c r="BT499"/>
      <c r="BU499"/>
      <c r="BV499"/>
      <c r="BW499"/>
      <c r="BX499"/>
      <c r="BY499"/>
      <c r="BZ499"/>
      <c r="CA499"/>
      <c r="CB499"/>
      <c r="CC499"/>
      <c r="CD499"/>
      <c r="CE499"/>
      <c r="CF499"/>
    </row>
    <row r="500" spans="1:84" ht="12.75" customHeight="1">
      <c r="A500"/>
      <c r="B500"/>
      <c r="C500"/>
      <c r="D500"/>
      <c r="E500"/>
      <c r="F500"/>
      <c r="G500"/>
      <c r="AB500" s="68"/>
      <c r="BJ500"/>
      <c r="BK500"/>
      <c r="BL500"/>
      <c r="BM500"/>
      <c r="BN500"/>
      <c r="BO500"/>
      <c r="BP500"/>
      <c r="BQ500"/>
      <c r="BR500"/>
      <c r="BS500"/>
      <c r="BT500"/>
      <c r="BU500"/>
      <c r="BV500"/>
      <c r="BW500"/>
      <c r="BX500"/>
      <c r="BY500"/>
      <c r="BZ500"/>
      <c r="CA500"/>
      <c r="CB500"/>
      <c r="CC500"/>
      <c r="CD500"/>
      <c r="CE500"/>
      <c r="CF500"/>
    </row>
    <row r="501" spans="1:84" ht="12.75" customHeight="1">
      <c r="A501"/>
      <c r="B501"/>
      <c r="C501"/>
      <c r="D501"/>
      <c r="E501"/>
      <c r="F501"/>
      <c r="G501"/>
      <c r="AB501" s="68"/>
      <c r="BJ501"/>
      <c r="BK501"/>
      <c r="BL501"/>
      <c r="BM501"/>
      <c r="BN501"/>
      <c r="BO501"/>
      <c r="BP501"/>
      <c r="BQ501"/>
      <c r="BR501"/>
      <c r="BS501"/>
      <c r="BT501"/>
      <c r="BU501"/>
      <c r="BV501"/>
      <c r="BW501"/>
      <c r="BX501"/>
      <c r="BY501"/>
      <c r="BZ501"/>
      <c r="CA501"/>
      <c r="CB501"/>
      <c r="CC501"/>
      <c r="CD501"/>
      <c r="CE501"/>
      <c r="CF501"/>
    </row>
    <row r="502" spans="1:84" ht="12.75" customHeight="1">
      <c r="A502"/>
      <c r="B502"/>
      <c r="C502"/>
      <c r="D502"/>
      <c r="E502"/>
      <c r="F502"/>
      <c r="G502"/>
      <c r="AB502" s="68"/>
      <c r="BJ502"/>
      <c r="BK502"/>
      <c r="BL502"/>
      <c r="BM502"/>
      <c r="BN502"/>
      <c r="BO502"/>
      <c r="BP502"/>
      <c r="BQ502"/>
      <c r="BR502"/>
      <c r="BS502"/>
      <c r="BT502"/>
      <c r="BU502"/>
      <c r="BV502"/>
      <c r="BW502"/>
      <c r="BX502"/>
      <c r="BY502"/>
      <c r="BZ502"/>
      <c r="CA502"/>
      <c r="CB502"/>
      <c r="CC502"/>
      <c r="CD502"/>
      <c r="CE502"/>
      <c r="CF502"/>
    </row>
    <row r="503" spans="1:84" ht="12.75" customHeight="1">
      <c r="A503"/>
      <c r="B503"/>
      <c r="C503"/>
      <c r="D503"/>
      <c r="E503"/>
      <c r="F503"/>
      <c r="G503"/>
      <c r="AB503" s="68"/>
      <c r="BJ503"/>
      <c r="BK503"/>
      <c r="BL503"/>
      <c r="BM503"/>
      <c r="BN503"/>
      <c r="BO503"/>
      <c r="BP503"/>
      <c r="BQ503"/>
      <c r="BR503"/>
      <c r="BS503"/>
      <c r="BT503"/>
      <c r="BU503"/>
      <c r="BV503"/>
      <c r="BW503"/>
      <c r="BX503"/>
      <c r="BY503"/>
      <c r="BZ503"/>
      <c r="CA503"/>
      <c r="CB503"/>
      <c r="CC503"/>
      <c r="CD503"/>
      <c r="CE503"/>
      <c r="CF503"/>
    </row>
    <row r="504" spans="1:84" ht="12.75" customHeight="1">
      <c r="A504"/>
      <c r="B504"/>
      <c r="C504"/>
      <c r="D504"/>
      <c r="E504"/>
      <c r="F504"/>
      <c r="G504"/>
      <c r="AB504" s="68"/>
      <c r="BJ504"/>
      <c r="BK504"/>
      <c r="BL504"/>
      <c r="BM504"/>
      <c r="BN504"/>
      <c r="BO504"/>
      <c r="BP504"/>
      <c r="BQ504"/>
      <c r="BR504"/>
      <c r="BS504"/>
      <c r="BT504"/>
      <c r="BU504"/>
      <c r="BV504"/>
      <c r="BW504"/>
      <c r="BX504"/>
      <c r="BY504"/>
      <c r="BZ504"/>
      <c r="CA504"/>
      <c r="CB504"/>
      <c r="CC504"/>
      <c r="CD504"/>
      <c r="CE504"/>
      <c r="CF504"/>
    </row>
    <row r="505" spans="1:84" ht="12.75" customHeight="1">
      <c r="A505"/>
      <c r="B505"/>
      <c r="C505"/>
      <c r="D505"/>
      <c r="E505"/>
      <c r="F505"/>
      <c r="G505"/>
      <c r="AB505" s="68"/>
      <c r="BJ505"/>
      <c r="BK505"/>
      <c r="BL505"/>
      <c r="BM505"/>
      <c r="BN505"/>
      <c r="BO505"/>
      <c r="BP505"/>
      <c r="BQ505"/>
      <c r="BR505"/>
      <c r="BS505"/>
      <c r="BT505"/>
      <c r="BU505"/>
      <c r="BV505"/>
      <c r="BW505"/>
      <c r="BX505"/>
      <c r="BY505"/>
      <c r="BZ505"/>
      <c r="CA505"/>
      <c r="CB505"/>
      <c r="CC505"/>
      <c r="CD505"/>
      <c r="CE505"/>
      <c r="CF505"/>
    </row>
    <row r="506" spans="1:84" ht="12.75" customHeight="1">
      <c r="A506"/>
      <c r="B506"/>
      <c r="C506"/>
      <c r="D506"/>
      <c r="E506"/>
      <c r="F506"/>
      <c r="G506"/>
      <c r="AB506" s="68"/>
      <c r="BJ506"/>
      <c r="BK506"/>
      <c r="BL506"/>
      <c r="BM506"/>
      <c r="BN506"/>
      <c r="BO506"/>
      <c r="BP506"/>
      <c r="BQ506"/>
      <c r="BR506"/>
      <c r="BS506"/>
      <c r="BT506"/>
      <c r="BU506"/>
      <c r="BV506"/>
      <c r="BW506"/>
      <c r="BX506"/>
      <c r="BY506"/>
      <c r="BZ506"/>
      <c r="CA506"/>
      <c r="CB506"/>
      <c r="CC506"/>
      <c r="CD506"/>
      <c r="CE506"/>
      <c r="CF506"/>
    </row>
    <row r="507" spans="1:84" ht="12.75" customHeight="1">
      <c r="A507"/>
      <c r="B507"/>
      <c r="C507"/>
      <c r="D507"/>
      <c r="E507"/>
      <c r="F507"/>
      <c r="G507"/>
      <c r="AB507" s="68"/>
      <c r="BJ507"/>
      <c r="BK507"/>
      <c r="BL507"/>
      <c r="BM507"/>
      <c r="BN507"/>
      <c r="BO507"/>
      <c r="BP507"/>
      <c r="BQ507"/>
      <c r="BR507"/>
      <c r="BS507"/>
      <c r="BT507"/>
      <c r="BU507"/>
      <c r="BV507"/>
      <c r="BW507"/>
      <c r="BX507"/>
      <c r="BY507"/>
      <c r="BZ507"/>
      <c r="CA507"/>
      <c r="CB507"/>
      <c r="CC507"/>
      <c r="CD507"/>
      <c r="CE507"/>
      <c r="CF507"/>
    </row>
    <row r="508" spans="1:84" ht="12.75" customHeight="1">
      <c r="A508"/>
      <c r="B508"/>
      <c r="C508"/>
      <c r="D508"/>
      <c r="E508"/>
      <c r="F508"/>
      <c r="G508"/>
      <c r="AB508" s="68"/>
      <c r="BJ508"/>
      <c r="BK508"/>
      <c r="BL508"/>
      <c r="BM508"/>
      <c r="BN508"/>
      <c r="BO508"/>
      <c r="BP508"/>
      <c r="BQ508"/>
      <c r="BR508"/>
      <c r="BS508"/>
      <c r="BT508"/>
      <c r="BU508"/>
      <c r="BV508"/>
      <c r="BW508"/>
      <c r="BX508"/>
      <c r="BY508"/>
      <c r="BZ508"/>
      <c r="CA508"/>
      <c r="CB508"/>
      <c r="CC508"/>
      <c r="CD508"/>
      <c r="CE508"/>
      <c r="CF508"/>
    </row>
    <row r="509" spans="1:84" ht="12.75" customHeight="1">
      <c r="A509"/>
      <c r="B509"/>
      <c r="C509"/>
      <c r="D509"/>
      <c r="E509"/>
      <c r="F509"/>
      <c r="G509"/>
      <c r="AB509" s="68"/>
      <c r="BJ509"/>
      <c r="BK509"/>
      <c r="BL509"/>
      <c r="BM509"/>
      <c r="BN509"/>
      <c r="BO509"/>
      <c r="BP509"/>
      <c r="BQ509"/>
      <c r="BR509"/>
      <c r="BS509"/>
      <c r="BT509"/>
      <c r="BU509"/>
      <c r="BV509"/>
      <c r="BW509"/>
      <c r="BX509"/>
      <c r="BY509"/>
      <c r="BZ509"/>
      <c r="CA509"/>
      <c r="CB509"/>
      <c r="CC509"/>
      <c r="CD509"/>
      <c r="CE509"/>
      <c r="CF509"/>
    </row>
    <row r="510" spans="1:84" ht="12.75" customHeight="1">
      <c r="A510"/>
      <c r="B510"/>
      <c r="C510"/>
      <c r="D510"/>
      <c r="E510"/>
      <c r="F510"/>
      <c r="G510"/>
      <c r="AB510" s="68"/>
      <c r="BJ510"/>
      <c r="BK510"/>
      <c r="BL510"/>
      <c r="BM510"/>
      <c r="BN510"/>
      <c r="BO510"/>
      <c r="BP510"/>
      <c r="BQ510"/>
      <c r="BR510"/>
      <c r="BS510"/>
      <c r="BT510"/>
      <c r="BU510"/>
      <c r="BV510"/>
      <c r="BW510"/>
      <c r="BX510"/>
      <c r="BY510"/>
      <c r="BZ510"/>
      <c r="CA510"/>
      <c r="CB510"/>
      <c r="CC510"/>
      <c r="CD510"/>
      <c r="CE510"/>
      <c r="CF510"/>
    </row>
    <row r="511" spans="1:84" ht="12.75" customHeight="1">
      <c r="A511"/>
      <c r="B511"/>
      <c r="C511"/>
      <c r="D511"/>
      <c r="E511"/>
      <c r="F511"/>
      <c r="G511"/>
      <c r="AB511" s="68"/>
      <c r="BJ511"/>
      <c r="BK511"/>
      <c r="BL511"/>
      <c r="BM511"/>
      <c r="BN511"/>
      <c r="BO511"/>
      <c r="BP511"/>
      <c r="BQ511"/>
      <c r="BR511"/>
      <c r="BS511"/>
      <c r="BT511"/>
      <c r="BU511"/>
      <c r="BV511"/>
      <c r="BW511"/>
      <c r="BX511"/>
      <c r="BY511"/>
      <c r="BZ511"/>
      <c r="CA511"/>
      <c r="CB511"/>
      <c r="CC511"/>
      <c r="CD511"/>
      <c r="CE511"/>
      <c r="CF511"/>
    </row>
    <row r="512" spans="1:84" ht="12.75" customHeight="1">
      <c r="A512"/>
      <c r="B512"/>
      <c r="C512"/>
      <c r="D512"/>
      <c r="E512"/>
      <c r="F512"/>
      <c r="G512"/>
      <c r="AB512" s="68"/>
      <c r="BJ512"/>
      <c r="BK512"/>
      <c r="BL512"/>
      <c r="BM512"/>
      <c r="BN512"/>
      <c r="BO512"/>
      <c r="BP512"/>
      <c r="BQ512"/>
      <c r="BR512"/>
      <c r="BS512"/>
      <c r="BT512"/>
      <c r="BU512"/>
      <c r="BV512"/>
      <c r="BW512"/>
      <c r="BX512"/>
      <c r="BY512"/>
      <c r="BZ512"/>
      <c r="CA512"/>
      <c r="CB512"/>
      <c r="CC512"/>
      <c r="CD512"/>
      <c r="CE512"/>
      <c r="CF512"/>
    </row>
    <row r="513" spans="1:84" ht="12.75" customHeight="1">
      <c r="A513"/>
      <c r="B513"/>
      <c r="C513"/>
      <c r="D513"/>
      <c r="E513"/>
      <c r="F513"/>
      <c r="G513"/>
      <c r="AB513" s="68"/>
      <c r="BJ513"/>
      <c r="BK513"/>
      <c r="BL513"/>
      <c r="BM513"/>
      <c r="BN513"/>
      <c r="BO513"/>
      <c r="BP513"/>
      <c r="BQ513"/>
      <c r="BR513"/>
      <c r="BS513"/>
      <c r="BT513"/>
      <c r="BU513"/>
      <c r="BV513"/>
      <c r="BW513"/>
      <c r="BX513"/>
      <c r="BY513"/>
      <c r="BZ513"/>
      <c r="CA513"/>
      <c r="CB513"/>
      <c r="CC513"/>
      <c r="CD513"/>
      <c r="CE513"/>
      <c r="CF513"/>
    </row>
    <row r="514" spans="1:84" ht="12.75" customHeight="1">
      <c r="A514"/>
      <c r="B514"/>
      <c r="C514"/>
      <c r="D514"/>
      <c r="E514"/>
      <c r="F514"/>
      <c r="G514"/>
      <c r="AB514" s="68"/>
      <c r="BJ514"/>
      <c r="BK514"/>
      <c r="BL514"/>
      <c r="BM514"/>
      <c r="BN514"/>
      <c r="BO514"/>
      <c r="BP514"/>
      <c r="BQ514"/>
      <c r="BR514"/>
      <c r="BS514"/>
      <c r="BT514"/>
      <c r="BU514"/>
      <c r="BV514"/>
      <c r="BW514"/>
      <c r="BX514"/>
      <c r="BY514"/>
      <c r="BZ514"/>
      <c r="CA514"/>
      <c r="CB514"/>
      <c r="CC514"/>
      <c r="CD514"/>
      <c r="CE514"/>
      <c r="CF514"/>
    </row>
    <row r="515" spans="1:84" ht="12.75" customHeight="1">
      <c r="A515"/>
      <c r="B515"/>
      <c r="C515"/>
      <c r="D515"/>
      <c r="E515"/>
      <c r="F515"/>
      <c r="G515"/>
      <c r="AB515" s="68"/>
      <c r="BJ515"/>
      <c r="BK515"/>
      <c r="BL515"/>
      <c r="BM515"/>
      <c r="BN515"/>
      <c r="BO515"/>
      <c r="BP515"/>
      <c r="BQ515"/>
      <c r="BR515"/>
      <c r="BS515"/>
      <c r="BT515"/>
      <c r="BU515"/>
      <c r="BV515"/>
      <c r="BW515"/>
      <c r="BX515"/>
      <c r="BY515"/>
      <c r="BZ515"/>
      <c r="CA515"/>
      <c r="CB515"/>
      <c r="CC515"/>
      <c r="CD515"/>
      <c r="CE515"/>
      <c r="CF515"/>
    </row>
    <row r="516" spans="1:84" ht="12.75" customHeight="1">
      <c r="A516"/>
      <c r="B516"/>
      <c r="C516"/>
      <c r="D516"/>
      <c r="E516"/>
      <c r="F516"/>
      <c r="G516"/>
      <c r="AB516" s="68"/>
      <c r="BJ516"/>
      <c r="BK516"/>
      <c r="BL516"/>
      <c r="BM516"/>
      <c r="BN516"/>
      <c r="BO516"/>
      <c r="BP516"/>
      <c r="BQ516"/>
      <c r="BR516"/>
      <c r="BS516"/>
      <c r="BT516"/>
      <c r="BU516"/>
      <c r="BV516"/>
      <c r="BW516"/>
      <c r="BX516"/>
      <c r="BY516"/>
      <c r="BZ516"/>
      <c r="CA516"/>
      <c r="CB516"/>
      <c r="CC516"/>
      <c r="CD516"/>
      <c r="CE516"/>
      <c r="CF516"/>
    </row>
    <row r="517" spans="1:84" ht="12.75" customHeight="1">
      <c r="A517"/>
      <c r="B517"/>
      <c r="C517"/>
      <c r="D517"/>
      <c r="E517"/>
      <c r="F517"/>
      <c r="G517"/>
      <c r="AB517" s="68"/>
      <c r="BJ517"/>
      <c r="BK517"/>
      <c r="BL517"/>
      <c r="BM517"/>
      <c r="BN517"/>
      <c r="BO517"/>
      <c r="BP517"/>
      <c r="BQ517"/>
      <c r="BR517"/>
      <c r="BS517"/>
      <c r="BT517"/>
      <c r="BU517"/>
      <c r="BV517"/>
      <c r="BW517"/>
      <c r="BX517"/>
      <c r="BY517"/>
      <c r="BZ517"/>
      <c r="CA517"/>
      <c r="CB517"/>
      <c r="CC517"/>
      <c r="CD517"/>
      <c r="CE517"/>
      <c r="CF517"/>
    </row>
    <row r="518" spans="1:84" ht="12.75" customHeight="1">
      <c r="A518"/>
      <c r="B518"/>
      <c r="C518"/>
      <c r="D518"/>
      <c r="E518"/>
      <c r="F518"/>
      <c r="G518"/>
      <c r="AB518" s="68"/>
      <c r="BJ518"/>
      <c r="BK518"/>
      <c r="BL518"/>
      <c r="BM518"/>
      <c r="BN518"/>
      <c r="BO518"/>
      <c r="BP518"/>
      <c r="BQ518"/>
      <c r="BR518"/>
      <c r="BS518"/>
      <c r="BT518"/>
      <c r="BU518"/>
      <c r="BV518"/>
      <c r="BW518"/>
      <c r="BX518"/>
      <c r="BY518"/>
      <c r="BZ518"/>
      <c r="CA518"/>
      <c r="CB518"/>
      <c r="CC518"/>
      <c r="CD518"/>
      <c r="CE518"/>
      <c r="CF518"/>
    </row>
    <row r="519" spans="1:84" ht="12.75" customHeight="1">
      <c r="A519"/>
      <c r="B519"/>
      <c r="C519"/>
      <c r="D519"/>
      <c r="E519"/>
      <c r="F519"/>
      <c r="G519"/>
      <c r="AB519" s="68"/>
      <c r="BJ519"/>
      <c r="BK519"/>
      <c r="BL519"/>
      <c r="BM519"/>
      <c r="BN519"/>
      <c r="BO519"/>
      <c r="BP519"/>
      <c r="BQ519"/>
      <c r="BR519"/>
      <c r="BS519"/>
      <c r="BT519"/>
      <c r="BU519"/>
      <c r="BV519"/>
      <c r="BW519"/>
      <c r="BX519"/>
      <c r="BY519"/>
      <c r="BZ519"/>
      <c r="CA519"/>
      <c r="CB519"/>
      <c r="CC519"/>
      <c r="CD519"/>
      <c r="CE519"/>
      <c r="CF519"/>
    </row>
    <row r="520" spans="1:84" ht="12.75" customHeight="1">
      <c r="A520"/>
      <c r="B520"/>
      <c r="C520"/>
      <c r="D520"/>
      <c r="E520"/>
      <c r="F520"/>
      <c r="G520"/>
      <c r="AB520" s="68"/>
      <c r="BJ520"/>
      <c r="BK520"/>
      <c r="BL520"/>
      <c r="BM520"/>
      <c r="BN520"/>
      <c r="BO520"/>
      <c r="BP520"/>
      <c r="BQ520"/>
      <c r="BR520"/>
      <c r="BS520"/>
      <c r="BT520"/>
      <c r="BU520"/>
      <c r="BV520"/>
      <c r="BW520"/>
      <c r="BX520"/>
      <c r="BY520"/>
      <c r="BZ520"/>
      <c r="CA520"/>
      <c r="CB520"/>
      <c r="CC520"/>
      <c r="CD520"/>
      <c r="CE520"/>
      <c r="CF520"/>
    </row>
    <row r="521" spans="1:84" ht="12.75" customHeight="1">
      <c r="A521"/>
      <c r="B521"/>
      <c r="C521"/>
      <c r="D521"/>
      <c r="E521"/>
      <c r="F521"/>
      <c r="G521"/>
      <c r="AB521" s="68"/>
      <c r="BJ521"/>
      <c r="BK521"/>
      <c r="BL521"/>
      <c r="BM521"/>
      <c r="BN521"/>
      <c r="BO521"/>
      <c r="BP521"/>
      <c r="BQ521"/>
      <c r="BR521"/>
      <c r="BS521"/>
      <c r="BT521"/>
      <c r="BU521"/>
      <c r="BV521"/>
      <c r="BW521"/>
      <c r="BX521"/>
      <c r="BY521"/>
      <c r="BZ521"/>
      <c r="CA521"/>
      <c r="CB521"/>
      <c r="CC521"/>
      <c r="CD521"/>
      <c r="CE521"/>
      <c r="CF521"/>
    </row>
    <row r="522" spans="1:84" ht="12.75" customHeight="1">
      <c r="A522"/>
      <c r="B522"/>
      <c r="C522"/>
      <c r="D522"/>
      <c r="E522"/>
      <c r="F522"/>
      <c r="G522"/>
      <c r="AB522" s="68"/>
      <c r="BJ522"/>
      <c r="BK522"/>
      <c r="BL522"/>
      <c r="BM522"/>
      <c r="BN522"/>
      <c r="BO522"/>
      <c r="BP522"/>
      <c r="BQ522"/>
      <c r="BR522"/>
      <c r="BS522"/>
      <c r="BT522"/>
      <c r="BU522"/>
      <c r="BV522"/>
      <c r="BW522"/>
      <c r="BX522"/>
      <c r="BY522"/>
      <c r="BZ522"/>
      <c r="CA522"/>
      <c r="CB522"/>
      <c r="CC522"/>
      <c r="CD522"/>
      <c r="CE522"/>
      <c r="CF522"/>
    </row>
    <row r="523" spans="1:84" ht="12.75" customHeight="1">
      <c r="A523"/>
      <c r="B523"/>
      <c r="C523"/>
      <c r="D523"/>
      <c r="E523"/>
      <c r="F523"/>
      <c r="G523"/>
      <c r="AB523" s="68"/>
      <c r="BJ523"/>
      <c r="BK523"/>
      <c r="BL523"/>
      <c r="BM523"/>
      <c r="BN523"/>
      <c r="BO523"/>
      <c r="BP523"/>
      <c r="BQ523"/>
      <c r="BR523"/>
      <c r="BS523"/>
      <c r="BT523"/>
      <c r="BU523"/>
      <c r="BV523"/>
      <c r="BW523"/>
      <c r="BX523"/>
      <c r="BY523"/>
      <c r="BZ523"/>
      <c r="CA523"/>
      <c r="CB523"/>
      <c r="CC523"/>
      <c r="CD523"/>
      <c r="CE523"/>
      <c r="CF523"/>
    </row>
    <row r="524" spans="1:84" ht="12.75" customHeight="1">
      <c r="A524"/>
      <c r="B524"/>
      <c r="C524"/>
      <c r="D524"/>
      <c r="E524"/>
      <c r="F524"/>
      <c r="G524"/>
      <c r="AB524" s="68"/>
      <c r="BJ524"/>
      <c r="BK524"/>
      <c r="BL524"/>
      <c r="BM524"/>
      <c r="BN524"/>
      <c r="BO524"/>
      <c r="BP524"/>
      <c r="BQ524"/>
      <c r="BR524"/>
      <c r="BS524"/>
      <c r="BT524"/>
      <c r="BU524"/>
      <c r="BV524"/>
      <c r="BW524"/>
      <c r="BX524"/>
      <c r="BY524"/>
      <c r="BZ524"/>
      <c r="CA524"/>
      <c r="CB524"/>
      <c r="CC524"/>
      <c r="CD524"/>
      <c r="CE524"/>
      <c r="CF524"/>
    </row>
    <row r="525" spans="1:84" ht="12.75" customHeight="1">
      <c r="A525"/>
      <c r="B525"/>
      <c r="C525"/>
      <c r="D525"/>
      <c r="E525"/>
      <c r="F525"/>
      <c r="G525"/>
      <c r="AB525" s="68"/>
      <c r="BJ525"/>
      <c r="BK525"/>
      <c r="BL525"/>
      <c r="BM525"/>
      <c r="BN525"/>
      <c r="BO525"/>
      <c r="BP525"/>
      <c r="BQ525"/>
      <c r="BR525"/>
      <c r="BS525"/>
      <c r="BT525"/>
      <c r="BU525"/>
      <c r="BV525"/>
      <c r="BW525"/>
      <c r="BX525"/>
      <c r="BY525"/>
      <c r="BZ525"/>
      <c r="CA525"/>
      <c r="CB525"/>
      <c r="CC525"/>
      <c r="CD525"/>
      <c r="CE525"/>
      <c r="CF525"/>
    </row>
    <row r="526" spans="1:84" ht="12.75" customHeight="1">
      <c r="A526"/>
      <c r="B526"/>
      <c r="C526"/>
      <c r="D526"/>
      <c r="E526"/>
      <c r="F526"/>
      <c r="G526"/>
      <c r="AB526" s="68"/>
      <c r="BJ526"/>
      <c r="BK526"/>
      <c r="BL526"/>
      <c r="BM526"/>
      <c r="BN526"/>
      <c r="BO526"/>
      <c r="BP526"/>
      <c r="BQ526"/>
      <c r="BR526"/>
      <c r="BS526"/>
      <c r="BT526"/>
      <c r="BU526"/>
      <c r="BV526"/>
      <c r="BW526"/>
      <c r="BX526"/>
      <c r="BY526"/>
      <c r="BZ526"/>
      <c r="CA526"/>
      <c r="CB526"/>
      <c r="CC526"/>
      <c r="CD526"/>
      <c r="CE526"/>
      <c r="CF526"/>
    </row>
    <row r="527" spans="1:84" ht="12.75" customHeight="1">
      <c r="A527"/>
      <c r="B527"/>
      <c r="C527"/>
      <c r="D527"/>
      <c r="E527"/>
      <c r="F527"/>
      <c r="G527"/>
      <c r="AB527" s="68"/>
      <c r="BJ527"/>
      <c r="BK527"/>
      <c r="BL527"/>
      <c r="BM527"/>
      <c r="BN527"/>
      <c r="BO527"/>
      <c r="BP527"/>
      <c r="BQ527"/>
      <c r="BR527"/>
      <c r="BS527"/>
      <c r="BT527"/>
      <c r="BU527"/>
      <c r="BV527"/>
      <c r="BW527"/>
      <c r="BX527"/>
      <c r="BY527"/>
      <c r="BZ527"/>
      <c r="CA527"/>
      <c r="CB527"/>
      <c r="CC527"/>
      <c r="CD527"/>
      <c r="CE527"/>
      <c r="CF527"/>
    </row>
    <row r="528" spans="1:84" ht="12.75" customHeight="1">
      <c r="A528"/>
      <c r="B528"/>
      <c r="C528"/>
      <c r="D528"/>
      <c r="E528"/>
      <c r="F528"/>
      <c r="G528"/>
      <c r="AB528" s="68"/>
      <c r="BJ528"/>
      <c r="BK528"/>
      <c r="BL528"/>
      <c r="BM528"/>
      <c r="BN528"/>
      <c r="BO528"/>
      <c r="BP528"/>
      <c r="BQ528"/>
      <c r="BR528"/>
      <c r="BS528"/>
      <c r="BT528"/>
      <c r="BU528"/>
      <c r="BV528"/>
      <c r="BW528"/>
      <c r="BX528"/>
      <c r="BY528"/>
      <c r="BZ528"/>
      <c r="CA528"/>
      <c r="CB528"/>
      <c r="CC528"/>
      <c r="CD528"/>
      <c r="CE528"/>
      <c r="CF528"/>
    </row>
    <row r="529" spans="1:84" ht="12.75" customHeight="1">
      <c r="A529"/>
      <c r="B529"/>
      <c r="C529"/>
      <c r="D529"/>
      <c r="E529"/>
      <c r="F529"/>
      <c r="G529"/>
      <c r="AB529" s="68"/>
      <c r="BJ529"/>
      <c r="BK529"/>
      <c r="BL529"/>
      <c r="BM529"/>
      <c r="BN529"/>
      <c r="BO529"/>
      <c r="BP529"/>
      <c r="BQ529"/>
      <c r="BR529"/>
      <c r="BS529"/>
      <c r="BT529"/>
      <c r="BU529"/>
      <c r="BV529"/>
      <c r="BW529"/>
      <c r="BX529"/>
      <c r="BY529"/>
      <c r="BZ529"/>
      <c r="CA529"/>
      <c r="CB529"/>
      <c r="CC529"/>
      <c r="CD529"/>
      <c r="CE529"/>
      <c r="CF529"/>
    </row>
    <row r="530" spans="1:84" ht="12.75" customHeight="1">
      <c r="A530"/>
      <c r="B530"/>
      <c r="C530"/>
      <c r="D530"/>
      <c r="E530"/>
      <c r="F530"/>
      <c r="G530"/>
      <c r="AB530" s="68"/>
      <c r="BJ530"/>
      <c r="BK530"/>
      <c r="BL530"/>
      <c r="BM530"/>
      <c r="BN530"/>
      <c r="BO530"/>
      <c r="BP530"/>
      <c r="BQ530"/>
      <c r="BR530"/>
      <c r="BS530"/>
      <c r="BT530"/>
      <c r="BU530"/>
      <c r="BV530"/>
      <c r="BW530"/>
      <c r="BX530"/>
      <c r="BY530"/>
      <c r="BZ530"/>
      <c r="CA530"/>
      <c r="CB530"/>
      <c r="CC530"/>
      <c r="CD530"/>
      <c r="CE530"/>
      <c r="CF530"/>
    </row>
    <row r="531" spans="1:84" ht="12.75" customHeight="1">
      <c r="A531"/>
      <c r="B531"/>
      <c r="C531"/>
      <c r="D531"/>
      <c r="E531"/>
      <c r="F531"/>
      <c r="G531"/>
      <c r="AB531" s="68"/>
      <c r="BJ531"/>
      <c r="BK531"/>
      <c r="BL531"/>
      <c r="BM531"/>
      <c r="BN531"/>
      <c r="BO531"/>
      <c r="BP531"/>
      <c r="BQ531"/>
      <c r="BR531"/>
      <c r="BS531"/>
      <c r="BT531"/>
      <c r="BU531"/>
      <c r="BV531"/>
      <c r="BW531"/>
      <c r="BX531"/>
      <c r="BY531"/>
      <c r="BZ531"/>
      <c r="CA531"/>
      <c r="CB531"/>
      <c r="CC531"/>
      <c r="CD531"/>
      <c r="CE531"/>
      <c r="CF531"/>
    </row>
    <row r="532" spans="1:84" ht="12.75" customHeight="1">
      <c r="A532"/>
      <c r="B532"/>
      <c r="C532"/>
      <c r="D532"/>
      <c r="E532"/>
      <c r="F532"/>
      <c r="G532"/>
      <c r="AB532" s="68"/>
      <c r="BJ532"/>
      <c r="BK532"/>
      <c r="BL532"/>
      <c r="BM532"/>
      <c r="BN532"/>
      <c r="BO532"/>
      <c r="BP532"/>
      <c r="BQ532"/>
      <c r="BR532"/>
      <c r="BS532"/>
      <c r="BT532"/>
      <c r="BU532"/>
      <c r="BV532"/>
      <c r="BW532"/>
      <c r="BX532"/>
      <c r="BY532"/>
      <c r="BZ532"/>
      <c r="CA532"/>
      <c r="CB532"/>
      <c r="CC532"/>
      <c r="CD532"/>
      <c r="CE532"/>
      <c r="CF532"/>
    </row>
    <row r="533" spans="1:84" ht="12.75" customHeight="1">
      <c r="A533"/>
      <c r="B533"/>
      <c r="C533"/>
      <c r="D533"/>
      <c r="E533"/>
      <c r="F533"/>
      <c r="G533"/>
      <c r="AB533" s="68"/>
      <c r="BJ533"/>
      <c r="BK533"/>
      <c r="BL533"/>
      <c r="BM533"/>
      <c r="BN533"/>
      <c r="BO533"/>
      <c r="BP533"/>
      <c r="BQ533"/>
      <c r="BR533"/>
      <c r="BS533"/>
      <c r="BT533"/>
      <c r="BU533"/>
      <c r="BV533"/>
      <c r="BW533"/>
      <c r="BX533"/>
      <c r="BY533"/>
      <c r="BZ533"/>
      <c r="CA533"/>
      <c r="CB533"/>
      <c r="CC533"/>
      <c r="CD533"/>
      <c r="CE533"/>
      <c r="CF533"/>
    </row>
    <row r="534" spans="1:84" ht="12.75" customHeight="1">
      <c r="A534"/>
      <c r="B534"/>
      <c r="C534"/>
      <c r="D534"/>
      <c r="E534"/>
      <c r="F534"/>
      <c r="G534"/>
      <c r="AB534" s="68"/>
      <c r="BJ534"/>
      <c r="BK534"/>
      <c r="BL534"/>
      <c r="BM534"/>
      <c r="BN534"/>
      <c r="BO534"/>
      <c r="BP534"/>
      <c r="BQ534"/>
      <c r="BR534"/>
      <c r="BS534"/>
      <c r="BT534"/>
      <c r="BU534"/>
      <c r="BV534"/>
      <c r="BW534"/>
      <c r="BX534"/>
      <c r="BY534"/>
      <c r="BZ534"/>
      <c r="CA534"/>
      <c r="CB534"/>
      <c r="CC534"/>
      <c r="CD534"/>
      <c r="CE534"/>
      <c r="CF534"/>
    </row>
    <row r="535" spans="1:84" ht="12.75" customHeight="1">
      <c r="A535"/>
      <c r="B535"/>
      <c r="C535"/>
      <c r="D535"/>
      <c r="E535"/>
      <c r="F535"/>
      <c r="G535"/>
      <c r="AB535" s="68"/>
      <c r="BJ535"/>
      <c r="BK535"/>
      <c r="BL535"/>
      <c r="BM535"/>
      <c r="BN535"/>
      <c r="BO535"/>
      <c r="BP535"/>
      <c r="BQ535"/>
      <c r="BR535"/>
      <c r="BS535"/>
      <c r="BT535"/>
      <c r="BU535"/>
      <c r="BV535"/>
      <c r="BW535"/>
      <c r="BX535"/>
      <c r="BY535"/>
      <c r="BZ535"/>
      <c r="CA535"/>
      <c r="CB535"/>
      <c r="CC535"/>
      <c r="CD535"/>
      <c r="CE535"/>
      <c r="CF535"/>
    </row>
    <row r="536" spans="1:84" ht="12.75" customHeight="1">
      <c r="A536"/>
      <c r="B536"/>
      <c r="C536"/>
      <c r="D536"/>
      <c r="E536"/>
      <c r="F536"/>
      <c r="G536"/>
      <c r="AB536" s="68"/>
      <c r="BJ536"/>
      <c r="BK536"/>
      <c r="BL536"/>
      <c r="BM536"/>
      <c r="BN536"/>
      <c r="BO536"/>
      <c r="BP536"/>
      <c r="BQ536"/>
      <c r="BR536"/>
      <c r="BS536"/>
      <c r="BT536"/>
      <c r="BU536"/>
      <c r="BV536"/>
      <c r="BW536"/>
      <c r="BX536"/>
      <c r="BY536"/>
      <c r="BZ536"/>
      <c r="CA536"/>
      <c r="CB536"/>
      <c r="CC536"/>
      <c r="CD536"/>
      <c r="CE536"/>
      <c r="CF536"/>
    </row>
    <row r="537" spans="1:84" ht="12.75" customHeight="1">
      <c r="A537"/>
      <c r="B537"/>
      <c r="C537"/>
      <c r="D537"/>
      <c r="E537"/>
      <c r="F537"/>
      <c r="G537"/>
      <c r="AB537" s="68"/>
      <c r="BJ537"/>
      <c r="BK537"/>
      <c r="BL537"/>
      <c r="BM537"/>
      <c r="BN537"/>
      <c r="BO537"/>
      <c r="BP537"/>
      <c r="BQ537"/>
      <c r="BR537"/>
      <c r="BS537"/>
      <c r="BT537"/>
      <c r="BU537"/>
      <c r="BV537"/>
      <c r="BW537"/>
      <c r="BX537"/>
      <c r="BY537"/>
      <c r="BZ537"/>
      <c r="CA537"/>
      <c r="CB537"/>
      <c r="CC537"/>
      <c r="CD537"/>
      <c r="CE537"/>
      <c r="CF537"/>
    </row>
    <row r="538" spans="1:84" ht="12.75" customHeight="1">
      <c r="A538"/>
      <c r="B538"/>
      <c r="C538"/>
      <c r="D538"/>
      <c r="E538"/>
      <c r="F538"/>
      <c r="G538"/>
      <c r="AB538" s="68"/>
      <c r="BJ538"/>
      <c r="BK538"/>
      <c r="BL538"/>
      <c r="BM538"/>
      <c r="BN538"/>
      <c r="BO538"/>
      <c r="BP538"/>
      <c r="BQ538"/>
      <c r="BR538"/>
      <c r="BS538"/>
      <c r="BT538"/>
      <c r="BU538"/>
      <c r="BV538"/>
      <c r="BW538"/>
      <c r="BX538"/>
      <c r="BY538"/>
      <c r="BZ538"/>
      <c r="CA538"/>
      <c r="CB538"/>
      <c r="CC538"/>
      <c r="CD538"/>
      <c r="CE538"/>
      <c r="CF538"/>
    </row>
    <row r="539" spans="1:84" ht="12.75" customHeight="1">
      <c r="A539"/>
      <c r="B539"/>
      <c r="C539"/>
      <c r="D539"/>
      <c r="E539"/>
      <c r="F539"/>
      <c r="G539"/>
      <c r="AB539" s="68"/>
      <c r="BJ539"/>
      <c r="BK539"/>
      <c r="BL539"/>
      <c r="BM539"/>
      <c r="BN539"/>
      <c r="BO539"/>
      <c r="BP539"/>
      <c r="BQ539"/>
      <c r="BR539"/>
      <c r="BS539"/>
      <c r="BT539"/>
      <c r="BU539"/>
      <c r="BV539"/>
      <c r="BW539"/>
      <c r="BX539"/>
      <c r="BY539"/>
      <c r="BZ539"/>
      <c r="CA539"/>
      <c r="CB539"/>
      <c r="CC539"/>
      <c r="CD539"/>
      <c r="CE539"/>
      <c r="CF539"/>
    </row>
    <row r="540" spans="1:84" ht="12.75" customHeight="1">
      <c r="A540"/>
      <c r="B540"/>
      <c r="C540"/>
      <c r="D540"/>
      <c r="E540"/>
      <c r="F540"/>
      <c r="G540"/>
      <c r="AB540" s="68"/>
      <c r="BJ540"/>
      <c r="BK540"/>
      <c r="BL540"/>
      <c r="BM540"/>
      <c r="BN540"/>
      <c r="BO540"/>
      <c r="BP540"/>
      <c r="BQ540"/>
      <c r="BR540"/>
      <c r="BS540"/>
      <c r="BT540"/>
      <c r="BU540"/>
      <c r="BV540"/>
      <c r="BW540"/>
      <c r="BX540"/>
      <c r="BY540"/>
      <c r="BZ540"/>
      <c r="CA540"/>
      <c r="CB540"/>
      <c r="CC540"/>
      <c r="CD540"/>
      <c r="CE540"/>
      <c r="CF540"/>
    </row>
    <row r="541" spans="1:84" ht="12.75" customHeight="1">
      <c r="A541"/>
      <c r="B541"/>
      <c r="C541"/>
      <c r="D541"/>
      <c r="E541"/>
      <c r="F541"/>
      <c r="G541"/>
      <c r="AB541" s="68"/>
      <c r="BJ541"/>
      <c r="BK541"/>
      <c r="BL541"/>
      <c r="BM541"/>
      <c r="BN541"/>
      <c r="BO541"/>
      <c r="BP541"/>
      <c r="BQ541"/>
      <c r="BR541"/>
      <c r="BS541"/>
      <c r="BT541"/>
      <c r="BU541"/>
      <c r="BV541"/>
      <c r="BW541"/>
      <c r="BX541"/>
      <c r="BY541"/>
      <c r="BZ541"/>
      <c r="CA541"/>
      <c r="CB541"/>
      <c r="CC541"/>
      <c r="CD541"/>
      <c r="CE541"/>
      <c r="CF541"/>
    </row>
    <row r="542" spans="1:84" ht="12.75" customHeight="1">
      <c r="A542"/>
      <c r="B542"/>
      <c r="C542"/>
      <c r="D542"/>
      <c r="E542"/>
      <c r="F542"/>
      <c r="G542"/>
      <c r="AB542" s="68"/>
      <c r="BJ542"/>
      <c r="BK542"/>
      <c r="BL542"/>
      <c r="BM542"/>
      <c r="BN542"/>
      <c r="BO542"/>
      <c r="BP542"/>
      <c r="BQ542"/>
      <c r="BR542"/>
      <c r="BS542"/>
      <c r="BT542"/>
      <c r="BU542"/>
      <c r="BV542"/>
      <c r="BW542"/>
      <c r="BX542"/>
      <c r="BY542"/>
      <c r="BZ542"/>
      <c r="CA542"/>
      <c r="CB542"/>
      <c r="CC542"/>
      <c r="CD542"/>
      <c r="CE542"/>
      <c r="CF542"/>
    </row>
    <row r="543" spans="1:84" ht="12.75" customHeight="1">
      <c r="A543"/>
      <c r="B543"/>
      <c r="C543"/>
      <c r="D543"/>
      <c r="E543"/>
      <c r="F543"/>
      <c r="G543"/>
      <c r="AB543" s="68"/>
      <c r="BJ543"/>
      <c r="BK543"/>
      <c r="BL543"/>
      <c r="BM543"/>
      <c r="BN543"/>
      <c r="BO543"/>
      <c r="BP543"/>
      <c r="BQ543"/>
      <c r="BR543"/>
      <c r="BS543"/>
      <c r="BT543"/>
      <c r="BU543"/>
      <c r="BV543"/>
      <c r="BW543"/>
      <c r="BX543"/>
      <c r="BY543"/>
      <c r="BZ543"/>
      <c r="CA543"/>
      <c r="CB543"/>
      <c r="CC543"/>
      <c r="CD543"/>
      <c r="CE543"/>
      <c r="CF543"/>
    </row>
    <row r="544" spans="1:84" ht="12.75" customHeight="1">
      <c r="A544"/>
      <c r="B544"/>
      <c r="C544"/>
      <c r="D544"/>
      <c r="E544"/>
      <c r="F544"/>
      <c r="G544"/>
      <c r="AB544" s="68"/>
      <c r="BJ544"/>
      <c r="BK544"/>
      <c r="BL544"/>
      <c r="BM544"/>
      <c r="BN544"/>
      <c r="BO544"/>
      <c r="BP544"/>
      <c r="BQ544"/>
      <c r="BR544"/>
      <c r="BS544"/>
      <c r="BT544"/>
      <c r="BU544"/>
      <c r="BV544"/>
      <c r="BW544"/>
      <c r="BX544"/>
      <c r="BY544"/>
      <c r="BZ544"/>
      <c r="CA544"/>
      <c r="CB544"/>
      <c r="CC544"/>
      <c r="CD544"/>
      <c r="CE544"/>
      <c r="CF544"/>
    </row>
    <row r="545" spans="1:84" ht="12.75" customHeight="1">
      <c r="A545"/>
      <c r="B545"/>
      <c r="C545"/>
      <c r="D545"/>
      <c r="E545"/>
      <c r="F545"/>
      <c r="G545"/>
      <c r="AB545" s="68"/>
      <c r="BJ545"/>
      <c r="BK545"/>
      <c r="BL545"/>
      <c r="BM545"/>
      <c r="BN545"/>
      <c r="BO545"/>
      <c r="BP545"/>
      <c r="BQ545"/>
      <c r="BR545"/>
      <c r="BS545"/>
      <c r="BT545"/>
      <c r="BU545"/>
      <c r="BV545"/>
      <c r="BW545"/>
      <c r="BX545"/>
      <c r="BY545"/>
      <c r="BZ545"/>
      <c r="CA545"/>
      <c r="CB545"/>
      <c r="CC545"/>
      <c r="CD545"/>
      <c r="CE545"/>
      <c r="CF545"/>
    </row>
    <row r="546" spans="1:84" ht="12.75" customHeight="1">
      <c r="A546"/>
      <c r="B546"/>
      <c r="C546"/>
      <c r="D546"/>
      <c r="E546"/>
      <c r="F546"/>
      <c r="G546"/>
      <c r="AB546" s="68"/>
      <c r="BJ546"/>
      <c r="BK546"/>
      <c r="BL546"/>
      <c r="BM546"/>
      <c r="BN546"/>
      <c r="BO546"/>
      <c r="BP546"/>
      <c r="BQ546"/>
      <c r="BR546"/>
      <c r="BS546"/>
      <c r="BT546"/>
      <c r="BU546"/>
      <c r="BV546"/>
      <c r="BW546"/>
      <c r="BX546"/>
      <c r="BY546"/>
      <c r="BZ546"/>
      <c r="CA546"/>
      <c r="CB546"/>
      <c r="CC546"/>
      <c r="CD546"/>
      <c r="CE546"/>
      <c r="CF546"/>
    </row>
    <row r="547" spans="1:84" ht="12.75" customHeight="1">
      <c r="A547"/>
      <c r="B547"/>
      <c r="C547"/>
      <c r="D547"/>
      <c r="E547"/>
      <c r="F547"/>
      <c r="G547"/>
      <c r="AB547" s="68"/>
      <c r="BJ547"/>
      <c r="BK547"/>
      <c r="BL547"/>
      <c r="BM547"/>
      <c r="BN547"/>
      <c r="BO547"/>
      <c r="BP547"/>
      <c r="BQ547"/>
      <c r="BR547"/>
      <c r="BS547"/>
      <c r="BT547"/>
      <c r="BU547"/>
      <c r="BV547"/>
      <c r="BW547"/>
      <c r="BX547"/>
      <c r="BY547"/>
      <c r="BZ547"/>
      <c r="CA547"/>
      <c r="CB547"/>
      <c r="CC547"/>
      <c r="CD547"/>
      <c r="CE547"/>
      <c r="CF547"/>
    </row>
    <row r="548" spans="1:84" ht="12.75" customHeight="1">
      <c r="A548"/>
      <c r="B548"/>
      <c r="C548"/>
      <c r="D548"/>
      <c r="E548"/>
      <c r="F548"/>
      <c r="G548"/>
      <c r="AB548" s="68"/>
      <c r="BJ548"/>
      <c r="BK548"/>
      <c r="BL548"/>
      <c r="BM548"/>
      <c r="BN548"/>
      <c r="BO548"/>
      <c r="BP548"/>
      <c r="BQ548"/>
      <c r="BR548"/>
      <c r="BS548"/>
      <c r="BT548"/>
      <c r="BU548"/>
      <c r="BV548"/>
      <c r="BW548"/>
      <c r="BX548"/>
      <c r="BY548"/>
      <c r="BZ548"/>
      <c r="CA548"/>
      <c r="CB548"/>
      <c r="CC548"/>
      <c r="CD548"/>
      <c r="CE548"/>
      <c r="CF548"/>
    </row>
    <row r="549" spans="1:84" ht="12.75" customHeight="1">
      <c r="A549"/>
      <c r="B549"/>
      <c r="C549"/>
      <c r="D549"/>
      <c r="E549"/>
      <c r="F549"/>
      <c r="G549"/>
      <c r="AB549" s="68"/>
      <c r="BJ549"/>
      <c r="BK549"/>
      <c r="BL549"/>
      <c r="BM549"/>
      <c r="BN549"/>
      <c r="BO549"/>
      <c r="BP549"/>
      <c r="BQ549"/>
      <c r="BR549"/>
      <c r="BS549"/>
      <c r="BT549"/>
      <c r="BU549"/>
      <c r="BV549"/>
      <c r="BW549"/>
      <c r="BX549"/>
      <c r="BY549"/>
      <c r="BZ549"/>
      <c r="CA549"/>
      <c r="CB549"/>
      <c r="CC549"/>
      <c r="CD549"/>
      <c r="CE549"/>
      <c r="CF549"/>
    </row>
    <row r="550" spans="1:84" ht="12.75" customHeight="1">
      <c r="A550"/>
      <c r="B550"/>
      <c r="C550"/>
      <c r="D550"/>
      <c r="E550"/>
      <c r="F550"/>
      <c r="G550"/>
      <c r="AB550" s="68"/>
      <c r="BJ550"/>
      <c r="BK550"/>
      <c r="BL550"/>
      <c r="BM550"/>
      <c r="BN550"/>
      <c r="BO550"/>
      <c r="BP550"/>
      <c r="BQ550"/>
      <c r="BR550"/>
      <c r="BS550"/>
      <c r="BT550"/>
      <c r="BU550"/>
      <c r="BV550"/>
      <c r="BW550"/>
      <c r="BX550"/>
      <c r="BY550"/>
      <c r="BZ550"/>
      <c r="CA550"/>
      <c r="CB550"/>
      <c r="CC550"/>
      <c r="CD550"/>
      <c r="CE550"/>
      <c r="CF550"/>
    </row>
    <row r="551" spans="1:84" ht="12.75" customHeight="1">
      <c r="A551"/>
      <c r="B551"/>
      <c r="C551"/>
      <c r="D551"/>
      <c r="E551"/>
      <c r="F551"/>
      <c r="G551"/>
      <c r="AB551" s="68"/>
      <c r="BJ551"/>
      <c r="BK551"/>
      <c r="BL551"/>
      <c r="BM551"/>
      <c r="BN551"/>
      <c r="BO551"/>
      <c r="BP551"/>
      <c r="BQ551"/>
      <c r="BR551"/>
      <c r="BS551"/>
      <c r="BT551"/>
      <c r="BU551"/>
      <c r="BV551"/>
      <c r="BW551"/>
      <c r="BX551"/>
      <c r="BY551"/>
      <c r="BZ551"/>
      <c r="CA551"/>
      <c r="CB551"/>
      <c r="CC551"/>
      <c r="CD551"/>
      <c r="CE551"/>
      <c r="CF551"/>
    </row>
    <row r="552" spans="1:84" ht="12.75" customHeight="1">
      <c r="A552"/>
      <c r="B552"/>
      <c r="C552"/>
      <c r="D552"/>
      <c r="E552"/>
      <c r="F552"/>
      <c r="G552"/>
      <c r="AB552" s="68"/>
      <c r="BJ552"/>
      <c r="BK552"/>
      <c r="BL552"/>
      <c r="BM552"/>
      <c r="BN552"/>
      <c r="BO552"/>
      <c r="BP552"/>
      <c r="BQ552"/>
      <c r="BR552"/>
      <c r="BS552"/>
      <c r="BT552"/>
      <c r="BU552"/>
      <c r="BV552"/>
      <c r="BW552"/>
      <c r="BX552"/>
      <c r="BY552"/>
      <c r="BZ552"/>
      <c r="CA552"/>
      <c r="CB552"/>
      <c r="CC552"/>
      <c r="CD552"/>
      <c r="CE552"/>
      <c r="CF552"/>
    </row>
    <row r="553" spans="1:84" ht="12.75" customHeight="1">
      <c r="A553"/>
      <c r="B553"/>
      <c r="C553"/>
      <c r="D553"/>
      <c r="E553"/>
      <c r="F553"/>
      <c r="G553"/>
      <c r="AB553" s="68"/>
      <c r="BJ553"/>
      <c r="BK553"/>
      <c r="BL553"/>
      <c r="BM553"/>
      <c r="BN553"/>
      <c r="BO553"/>
      <c r="BP553"/>
      <c r="BQ553"/>
      <c r="BR553"/>
      <c r="BS553"/>
      <c r="BT553"/>
      <c r="BU553"/>
      <c r="BV553"/>
      <c r="BW553"/>
      <c r="BX553"/>
      <c r="BY553"/>
      <c r="BZ553"/>
      <c r="CA553"/>
      <c r="CB553"/>
      <c r="CC553"/>
      <c r="CD553"/>
      <c r="CE553"/>
      <c r="CF553"/>
    </row>
    <row r="554" spans="1:84" ht="12.75" customHeight="1">
      <c r="A554"/>
      <c r="B554"/>
      <c r="C554"/>
      <c r="D554"/>
      <c r="E554"/>
      <c r="F554"/>
      <c r="G554"/>
      <c r="AB554" s="68"/>
      <c r="BJ554"/>
      <c r="BK554"/>
      <c r="BL554"/>
      <c r="BM554"/>
      <c r="BN554"/>
      <c r="BO554"/>
      <c r="BP554"/>
      <c r="BQ554"/>
      <c r="BR554"/>
      <c r="BS554"/>
      <c r="BT554"/>
      <c r="BU554"/>
      <c r="BV554"/>
      <c r="BW554"/>
      <c r="BX554"/>
      <c r="BY554"/>
      <c r="BZ554"/>
      <c r="CA554"/>
      <c r="CB554"/>
      <c r="CC554"/>
      <c r="CD554"/>
      <c r="CE554"/>
      <c r="CF554"/>
    </row>
    <row r="555" spans="1:84" ht="12.75" customHeight="1">
      <c r="A555"/>
      <c r="B555"/>
      <c r="C555"/>
      <c r="D555"/>
      <c r="E555"/>
      <c r="F555"/>
      <c r="G555"/>
      <c r="AB555" s="68"/>
      <c r="BJ555"/>
      <c r="BK555"/>
      <c r="BL555"/>
      <c r="BM555"/>
      <c r="BN555"/>
      <c r="BO555"/>
      <c r="BP555"/>
      <c r="BQ555"/>
      <c r="BR555"/>
      <c r="BS555"/>
      <c r="BT555"/>
      <c r="BU555"/>
      <c r="BV555"/>
      <c r="BW555"/>
      <c r="BX555"/>
      <c r="BY555"/>
      <c r="BZ555"/>
      <c r="CA555"/>
      <c r="CB555"/>
      <c r="CC555"/>
      <c r="CD555"/>
      <c r="CE555"/>
      <c r="CF555"/>
    </row>
    <row r="556" spans="1:84" ht="12.75" customHeight="1">
      <c r="A556"/>
      <c r="B556"/>
      <c r="C556"/>
      <c r="D556"/>
      <c r="E556"/>
      <c r="F556"/>
      <c r="G556"/>
      <c r="AB556" s="68"/>
      <c r="BJ556"/>
      <c r="BK556"/>
      <c r="BL556"/>
      <c r="BM556"/>
      <c r="BN556"/>
      <c r="BO556"/>
      <c r="BP556"/>
      <c r="BQ556"/>
      <c r="BR556"/>
      <c r="BS556"/>
      <c r="BT556"/>
      <c r="BU556"/>
      <c r="BV556"/>
      <c r="BW556"/>
      <c r="BX556"/>
      <c r="BY556"/>
      <c r="BZ556"/>
      <c r="CA556"/>
      <c r="CB556"/>
      <c r="CC556"/>
      <c r="CD556"/>
      <c r="CE556"/>
      <c r="CF556"/>
    </row>
    <row r="557" spans="1:84" ht="12.75" customHeight="1">
      <c r="A557"/>
      <c r="B557"/>
      <c r="C557"/>
      <c r="D557"/>
      <c r="E557"/>
      <c r="F557"/>
      <c r="G557"/>
      <c r="AB557" s="68"/>
      <c r="BJ557"/>
      <c r="BK557"/>
      <c r="BL557"/>
      <c r="BM557"/>
      <c r="BN557"/>
      <c r="BO557"/>
      <c r="BP557"/>
      <c r="BQ557"/>
      <c r="BR557"/>
      <c r="BS557"/>
      <c r="BT557"/>
      <c r="BU557"/>
      <c r="BV557"/>
      <c r="BW557"/>
      <c r="BX557"/>
      <c r="BY557"/>
      <c r="BZ557"/>
      <c r="CA557"/>
      <c r="CB557"/>
      <c r="CC557"/>
      <c r="CD557"/>
      <c r="CE557"/>
      <c r="CF557"/>
    </row>
    <row r="558" spans="1:84" ht="12.75" customHeight="1">
      <c r="A558"/>
      <c r="B558"/>
      <c r="C558"/>
      <c r="D558"/>
      <c r="E558"/>
      <c r="F558"/>
      <c r="G558"/>
      <c r="AB558" s="68"/>
      <c r="BJ558"/>
      <c r="BK558"/>
      <c r="BL558"/>
      <c r="BM558"/>
      <c r="BN558"/>
      <c r="BO558"/>
      <c r="BP558"/>
      <c r="BQ558"/>
      <c r="BR558"/>
      <c r="BS558"/>
      <c r="BT558"/>
      <c r="BU558"/>
      <c r="BV558"/>
      <c r="BW558"/>
      <c r="BX558"/>
      <c r="BY558"/>
      <c r="BZ558"/>
      <c r="CA558"/>
      <c r="CB558"/>
      <c r="CC558"/>
      <c r="CD558"/>
      <c r="CE558"/>
      <c r="CF558"/>
    </row>
    <row r="559" spans="1:84" ht="12.75" customHeight="1">
      <c r="A559"/>
      <c r="B559"/>
      <c r="C559"/>
      <c r="D559"/>
      <c r="E559"/>
      <c r="F559"/>
      <c r="G559"/>
      <c r="AB559" s="68"/>
      <c r="BJ559"/>
      <c r="BK559"/>
      <c r="BL559"/>
      <c r="BM559"/>
      <c r="BN559"/>
      <c r="BO559"/>
      <c r="BP559"/>
      <c r="BQ559"/>
      <c r="BR559"/>
      <c r="BS559"/>
      <c r="BT559"/>
      <c r="BU559"/>
      <c r="BV559"/>
      <c r="BW559"/>
      <c r="BX559"/>
      <c r="BY559"/>
      <c r="BZ559"/>
      <c r="CA559"/>
      <c r="CB559"/>
      <c r="CC559"/>
      <c r="CD559"/>
      <c r="CE559"/>
      <c r="CF559"/>
    </row>
    <row r="560" spans="1:84" ht="12.75" customHeight="1">
      <c r="A560"/>
      <c r="B560"/>
      <c r="C560"/>
      <c r="D560"/>
      <c r="E560"/>
      <c r="F560"/>
      <c r="G560"/>
      <c r="AB560" s="68"/>
      <c r="BJ560"/>
      <c r="BK560"/>
      <c r="BL560"/>
      <c r="BM560"/>
      <c r="BN560"/>
      <c r="BO560"/>
      <c r="BP560"/>
      <c r="BQ560"/>
      <c r="BR560"/>
      <c r="BS560"/>
      <c r="BT560"/>
      <c r="BU560"/>
      <c r="BV560"/>
      <c r="BW560"/>
      <c r="BX560"/>
      <c r="BY560"/>
      <c r="BZ560"/>
      <c r="CA560"/>
      <c r="CB560"/>
      <c r="CC560"/>
      <c r="CD560"/>
      <c r="CE560"/>
      <c r="CF560"/>
    </row>
    <row r="561" spans="1:84" ht="12.75" customHeight="1">
      <c r="A561"/>
      <c r="B561"/>
      <c r="C561"/>
      <c r="D561"/>
      <c r="E561"/>
      <c r="F561"/>
      <c r="G561"/>
      <c r="AB561" s="68"/>
      <c r="BJ561"/>
      <c r="BK561"/>
      <c r="BL561"/>
      <c r="BM561"/>
      <c r="BN561"/>
      <c r="BO561"/>
      <c r="BP561"/>
      <c r="BQ561"/>
      <c r="BR561"/>
      <c r="BS561"/>
      <c r="BT561"/>
      <c r="BU561"/>
      <c r="BV561"/>
      <c r="BW561"/>
      <c r="BX561"/>
      <c r="BY561"/>
      <c r="BZ561"/>
      <c r="CA561"/>
      <c r="CB561"/>
      <c r="CC561"/>
      <c r="CD561"/>
      <c r="CE561"/>
      <c r="CF561"/>
    </row>
    <row r="562" spans="1:84" ht="12.75" customHeight="1">
      <c r="A562"/>
      <c r="B562"/>
      <c r="C562"/>
      <c r="D562"/>
      <c r="E562"/>
      <c r="F562"/>
      <c r="G562"/>
      <c r="AB562" s="68"/>
      <c r="BJ562"/>
      <c r="BK562"/>
      <c r="BL562"/>
      <c r="BM562"/>
      <c r="BN562"/>
      <c r="BO562"/>
      <c r="BP562"/>
      <c r="BQ562"/>
      <c r="BR562"/>
      <c r="BS562"/>
      <c r="BT562"/>
      <c r="BU562"/>
      <c r="BV562"/>
      <c r="BW562"/>
      <c r="BX562"/>
      <c r="BY562"/>
      <c r="BZ562"/>
      <c r="CA562"/>
      <c r="CB562"/>
      <c r="CC562"/>
      <c r="CD562"/>
      <c r="CE562"/>
      <c r="CF562"/>
    </row>
    <row r="563" spans="1:84" ht="12.75" customHeight="1">
      <c r="A563"/>
      <c r="B563"/>
      <c r="C563"/>
      <c r="D563"/>
      <c r="E563"/>
      <c r="F563"/>
      <c r="G563"/>
      <c r="AB563" s="68"/>
      <c r="BJ563"/>
      <c r="BK563"/>
      <c r="BL563"/>
      <c r="BM563"/>
      <c r="BN563"/>
      <c r="BO563"/>
      <c r="BP563"/>
      <c r="BQ563"/>
      <c r="BR563"/>
      <c r="BS563"/>
      <c r="BT563"/>
      <c r="BU563"/>
      <c r="BV563"/>
      <c r="BW563"/>
      <c r="BX563"/>
      <c r="BY563"/>
      <c r="BZ563"/>
      <c r="CA563"/>
      <c r="CB563"/>
      <c r="CC563"/>
      <c r="CD563"/>
      <c r="CE563"/>
      <c r="CF563"/>
    </row>
    <row r="564" spans="1:84" ht="12.75" customHeight="1">
      <c r="A564"/>
      <c r="B564"/>
      <c r="C564"/>
      <c r="D564"/>
      <c r="E564"/>
      <c r="F564"/>
      <c r="G564"/>
      <c r="AB564" s="68"/>
      <c r="BJ564"/>
      <c r="BK564"/>
      <c r="BL564"/>
      <c r="BM564"/>
      <c r="BN564"/>
      <c r="BO564"/>
      <c r="BP564"/>
      <c r="BQ564"/>
      <c r="BR564"/>
      <c r="BS564"/>
      <c r="BT564"/>
      <c r="BU564"/>
      <c r="BV564"/>
      <c r="BW564"/>
      <c r="BX564"/>
      <c r="BY564"/>
      <c r="BZ564"/>
      <c r="CA564"/>
      <c r="CB564"/>
      <c r="CC564"/>
      <c r="CD564"/>
      <c r="CE564"/>
      <c r="CF564"/>
    </row>
    <row r="565" spans="1:84" ht="12.75" customHeight="1">
      <c r="A565"/>
      <c r="B565"/>
      <c r="C565"/>
      <c r="D565"/>
      <c r="E565"/>
      <c r="F565"/>
      <c r="G565"/>
      <c r="AB565" s="68"/>
      <c r="BJ565"/>
      <c r="BK565"/>
      <c r="BL565"/>
      <c r="BM565"/>
      <c r="BN565"/>
      <c r="BO565"/>
      <c r="BP565"/>
      <c r="BQ565"/>
      <c r="BR565"/>
      <c r="BS565"/>
      <c r="BT565"/>
      <c r="BU565"/>
      <c r="BV565"/>
      <c r="BW565"/>
      <c r="BX565"/>
      <c r="BY565"/>
      <c r="BZ565"/>
      <c r="CA565"/>
      <c r="CB565"/>
      <c r="CC565"/>
      <c r="CD565"/>
      <c r="CE565"/>
      <c r="CF565"/>
    </row>
    <row r="566" spans="1:84" ht="12.75" customHeight="1">
      <c r="A566"/>
      <c r="B566"/>
      <c r="C566"/>
      <c r="D566"/>
      <c r="E566"/>
      <c r="F566"/>
      <c r="G566"/>
      <c r="AB566" s="68"/>
      <c r="BJ566"/>
      <c r="BK566"/>
      <c r="BL566"/>
      <c r="BM566"/>
      <c r="BN566"/>
      <c r="BO566"/>
      <c r="BP566"/>
      <c r="BQ566"/>
      <c r="BR566"/>
      <c r="BS566"/>
      <c r="BT566"/>
      <c r="BU566"/>
      <c r="BV566"/>
      <c r="BW566"/>
      <c r="BX566"/>
      <c r="BY566"/>
      <c r="BZ566"/>
      <c r="CA566"/>
      <c r="CB566"/>
      <c r="CC566"/>
      <c r="CD566"/>
      <c r="CE566"/>
      <c r="CF566"/>
    </row>
    <row r="567" spans="1:84" ht="12.75" customHeight="1">
      <c r="A567"/>
      <c r="B567"/>
      <c r="C567"/>
      <c r="D567"/>
      <c r="E567"/>
      <c r="F567"/>
      <c r="G567"/>
      <c r="AB567" s="68"/>
      <c r="BJ567"/>
      <c r="BK567"/>
      <c r="BL567"/>
      <c r="BM567"/>
      <c r="BN567"/>
      <c r="BO567"/>
      <c r="BP567"/>
      <c r="BQ567"/>
      <c r="BR567"/>
      <c r="BS567"/>
      <c r="BT567"/>
      <c r="BU567"/>
      <c r="BV567"/>
      <c r="BW567"/>
      <c r="BX567"/>
      <c r="BY567"/>
      <c r="BZ567"/>
      <c r="CA567"/>
      <c r="CB567"/>
      <c r="CC567"/>
      <c r="CD567"/>
      <c r="CE567"/>
      <c r="CF567"/>
    </row>
    <row r="568" spans="1:84" ht="12.75" customHeight="1">
      <c r="A568"/>
      <c r="B568"/>
      <c r="C568"/>
      <c r="D568"/>
      <c r="E568"/>
      <c r="F568"/>
      <c r="G568"/>
      <c r="AB568" s="68"/>
      <c r="BJ568"/>
      <c r="BK568"/>
      <c r="BL568"/>
      <c r="BM568"/>
      <c r="BN568"/>
      <c r="BO568"/>
      <c r="BP568"/>
      <c r="BQ568"/>
      <c r="BR568"/>
      <c r="BS568"/>
      <c r="BT568"/>
      <c r="BU568"/>
      <c r="BV568"/>
      <c r="BW568"/>
      <c r="BX568"/>
      <c r="BY568"/>
      <c r="BZ568"/>
      <c r="CA568"/>
      <c r="CB568"/>
      <c r="CC568"/>
      <c r="CD568"/>
      <c r="CE568"/>
      <c r="CF568"/>
    </row>
    <row r="569" spans="1:84" ht="12.75" customHeight="1">
      <c r="A569"/>
      <c r="B569"/>
      <c r="C569"/>
      <c r="D569"/>
      <c r="E569"/>
      <c r="F569"/>
      <c r="G569"/>
      <c r="AB569" s="68"/>
      <c r="BJ569"/>
      <c r="BK569"/>
      <c r="BL569"/>
      <c r="BM569"/>
      <c r="BN569"/>
      <c r="BO569"/>
      <c r="BP569"/>
      <c r="BQ569"/>
      <c r="BR569"/>
      <c r="BS569"/>
      <c r="BT569"/>
      <c r="BU569"/>
      <c r="BV569"/>
      <c r="BW569"/>
      <c r="BX569"/>
      <c r="BY569"/>
      <c r="BZ569"/>
      <c r="CA569"/>
      <c r="CB569"/>
      <c r="CC569"/>
      <c r="CD569"/>
      <c r="CE569"/>
      <c r="CF569"/>
    </row>
    <row r="570" spans="1:84" ht="12.75" customHeight="1">
      <c r="A570"/>
      <c r="B570"/>
      <c r="C570"/>
      <c r="D570"/>
      <c r="E570"/>
      <c r="F570"/>
      <c r="G570"/>
      <c r="AB570" s="68"/>
      <c r="BJ570"/>
      <c r="BK570"/>
      <c r="BL570"/>
      <c r="BM570"/>
      <c r="BN570"/>
      <c r="BO570"/>
      <c r="BP570"/>
      <c r="BQ570"/>
      <c r="BR570"/>
      <c r="BS570"/>
      <c r="BT570"/>
      <c r="BU570"/>
      <c r="BV570"/>
      <c r="BW570"/>
      <c r="BX570"/>
      <c r="BY570"/>
      <c r="BZ570"/>
      <c r="CA570"/>
      <c r="CB570"/>
      <c r="CC570"/>
      <c r="CD570"/>
      <c r="CE570"/>
      <c r="CF570"/>
    </row>
    <row r="571" spans="1:84" ht="12.75" customHeight="1">
      <c r="A571"/>
      <c r="B571"/>
      <c r="C571"/>
      <c r="D571"/>
      <c r="E571"/>
      <c r="F571"/>
      <c r="G571"/>
      <c r="AB571" s="68"/>
      <c r="BJ571"/>
      <c r="BK571"/>
      <c r="BL571"/>
      <c r="BM571"/>
      <c r="BN571"/>
      <c r="BO571"/>
      <c r="BP571"/>
      <c r="BQ571"/>
      <c r="BR571"/>
      <c r="BS571"/>
      <c r="BT571"/>
      <c r="BU571"/>
      <c r="BV571"/>
      <c r="BW571"/>
      <c r="BX571"/>
      <c r="BY571"/>
      <c r="BZ571"/>
      <c r="CA571"/>
      <c r="CB571"/>
      <c r="CC571"/>
      <c r="CD571"/>
      <c r="CE571"/>
      <c r="CF571"/>
    </row>
    <row r="572" spans="1:84" ht="12.75" customHeight="1">
      <c r="A572"/>
      <c r="B572"/>
      <c r="C572"/>
      <c r="D572"/>
      <c r="E572"/>
      <c r="F572"/>
      <c r="G572"/>
      <c r="AB572" s="68"/>
      <c r="BJ572"/>
      <c r="BK572"/>
      <c r="BL572"/>
      <c r="BM572"/>
      <c r="BN572"/>
      <c r="BO572"/>
      <c r="BP572"/>
      <c r="BQ572"/>
      <c r="BR572"/>
      <c r="BS572"/>
      <c r="BT572"/>
      <c r="BU572"/>
      <c r="BV572"/>
      <c r="BW572"/>
      <c r="BX572"/>
      <c r="BY572"/>
      <c r="BZ572"/>
      <c r="CA572"/>
      <c r="CB572"/>
      <c r="CC572"/>
      <c r="CD572"/>
      <c r="CE572"/>
      <c r="CF572"/>
    </row>
    <row r="573" spans="1:84" ht="12.75" customHeight="1">
      <c r="A573"/>
      <c r="B573"/>
      <c r="C573"/>
      <c r="D573"/>
      <c r="E573"/>
      <c r="F573"/>
      <c r="G573"/>
      <c r="AB573" s="68"/>
      <c r="BJ573"/>
      <c r="BK573"/>
      <c r="BL573"/>
      <c r="BM573"/>
      <c r="BN573"/>
      <c r="BO573"/>
      <c r="BP573"/>
      <c r="BQ573"/>
      <c r="BR573"/>
      <c r="BS573"/>
      <c r="BT573"/>
      <c r="BU573"/>
      <c r="BV573"/>
      <c r="BW573"/>
      <c r="BX573"/>
      <c r="BY573"/>
      <c r="BZ573"/>
      <c r="CA573"/>
      <c r="CB573"/>
      <c r="CC573"/>
      <c r="CD573"/>
      <c r="CE573"/>
      <c r="CF573"/>
    </row>
    <row r="574" spans="1:84" ht="12.75" customHeight="1">
      <c r="A574"/>
      <c r="B574"/>
      <c r="C574"/>
      <c r="D574"/>
      <c r="E574"/>
      <c r="F574"/>
      <c r="G574"/>
      <c r="AB574" s="68"/>
      <c r="BJ574"/>
      <c r="BK574"/>
      <c r="BL574"/>
      <c r="BM574"/>
      <c r="BN574"/>
      <c r="BO574"/>
      <c r="BP574"/>
      <c r="BQ574"/>
      <c r="BR574"/>
      <c r="BS574"/>
      <c r="BT574"/>
      <c r="BU574"/>
      <c r="BV574"/>
      <c r="BW574"/>
      <c r="BX574"/>
      <c r="BY574"/>
      <c r="BZ574"/>
      <c r="CA574"/>
      <c r="CB574"/>
      <c r="CC574"/>
      <c r="CD574"/>
      <c r="CE574"/>
      <c r="CF574"/>
    </row>
    <row r="575" spans="1:84" ht="12.75" customHeight="1">
      <c r="A575"/>
      <c r="B575"/>
      <c r="C575"/>
      <c r="D575"/>
      <c r="E575"/>
      <c r="F575"/>
      <c r="G575"/>
      <c r="AB575" s="68"/>
      <c r="BJ575"/>
      <c r="BK575"/>
      <c r="BL575"/>
      <c r="BM575"/>
      <c r="BN575"/>
      <c r="BO575"/>
      <c r="BP575"/>
      <c r="BQ575"/>
      <c r="BR575"/>
      <c r="BS575"/>
      <c r="BT575"/>
      <c r="BU575"/>
      <c r="BV575"/>
      <c r="BW575"/>
      <c r="BX575"/>
      <c r="BY575"/>
      <c r="BZ575"/>
      <c r="CA575"/>
      <c r="CB575"/>
      <c r="CC575"/>
      <c r="CD575"/>
      <c r="CE575"/>
      <c r="CF575"/>
    </row>
    <row r="576" spans="1:84" ht="12.75" customHeight="1">
      <c r="A576"/>
      <c r="B576"/>
      <c r="C576"/>
      <c r="D576"/>
      <c r="E576"/>
      <c r="F576"/>
      <c r="G576"/>
      <c r="AB576" s="68"/>
      <c r="BJ576"/>
      <c r="BK576"/>
      <c r="BL576"/>
      <c r="BM576"/>
      <c r="BN576"/>
      <c r="BO576"/>
      <c r="BP576"/>
      <c r="BQ576"/>
      <c r="BR576"/>
      <c r="BS576"/>
      <c r="BT576"/>
      <c r="BU576"/>
      <c r="BV576"/>
      <c r="BW576"/>
      <c r="BX576"/>
      <c r="BY576"/>
      <c r="BZ576"/>
      <c r="CA576"/>
      <c r="CB576"/>
      <c r="CC576"/>
      <c r="CD576"/>
      <c r="CE576"/>
      <c r="CF576"/>
    </row>
    <row r="577" spans="1:84" ht="12.75" customHeight="1">
      <c r="A577"/>
      <c r="B577"/>
      <c r="C577"/>
      <c r="D577"/>
      <c r="E577"/>
      <c r="F577"/>
      <c r="G577"/>
      <c r="AB577" s="68"/>
      <c r="BJ577"/>
      <c r="BK577"/>
      <c r="BL577"/>
      <c r="BM577"/>
      <c r="BN577"/>
      <c r="BO577"/>
      <c r="BP577"/>
      <c r="BQ577"/>
      <c r="BR577"/>
      <c r="BS577"/>
      <c r="BT577"/>
      <c r="BU577"/>
      <c r="BV577"/>
      <c r="BW577"/>
      <c r="BX577"/>
      <c r="BY577"/>
      <c r="BZ577"/>
      <c r="CA577"/>
      <c r="CB577"/>
      <c r="CC577"/>
      <c r="CD577"/>
      <c r="CE577"/>
      <c r="CF577"/>
    </row>
    <row r="578" spans="1:84" ht="12.75" customHeight="1">
      <c r="A578"/>
      <c r="B578"/>
      <c r="C578"/>
      <c r="D578"/>
      <c r="E578"/>
      <c r="F578"/>
      <c r="G578"/>
      <c r="AB578" s="68"/>
      <c r="BJ578"/>
      <c r="BK578"/>
      <c r="BL578"/>
      <c r="BM578"/>
      <c r="BN578"/>
      <c r="BO578"/>
      <c r="BP578"/>
      <c r="BQ578"/>
      <c r="BR578"/>
      <c r="BS578"/>
      <c r="BT578"/>
      <c r="BU578"/>
      <c r="BV578"/>
      <c r="BW578"/>
      <c r="BX578"/>
      <c r="BY578"/>
      <c r="BZ578"/>
      <c r="CA578"/>
      <c r="CB578"/>
      <c r="CC578"/>
      <c r="CD578"/>
      <c r="CE578"/>
      <c r="CF578"/>
    </row>
    <row r="579" spans="1:84" ht="12.75" customHeight="1">
      <c r="A579"/>
      <c r="B579"/>
      <c r="C579"/>
      <c r="D579"/>
      <c r="E579"/>
      <c r="F579"/>
      <c r="G579"/>
      <c r="AB579" s="68"/>
      <c r="BJ579"/>
      <c r="BK579"/>
      <c r="BL579"/>
      <c r="BM579"/>
      <c r="BN579"/>
      <c r="BO579"/>
      <c r="BP579"/>
      <c r="BQ579"/>
      <c r="BR579"/>
      <c r="BS579"/>
      <c r="BT579"/>
      <c r="BU579"/>
      <c r="BV579"/>
      <c r="BW579"/>
      <c r="BX579"/>
      <c r="BY579"/>
      <c r="BZ579"/>
      <c r="CA579"/>
      <c r="CB579"/>
      <c r="CC579"/>
      <c r="CD579"/>
      <c r="CE579"/>
      <c r="CF579"/>
    </row>
    <row r="580" spans="1:84" ht="12.75" customHeight="1">
      <c r="A580"/>
      <c r="B580"/>
      <c r="C580"/>
      <c r="D580"/>
      <c r="E580"/>
      <c r="F580"/>
      <c r="G580"/>
      <c r="AB580" s="68"/>
      <c r="BJ580"/>
      <c r="BK580"/>
      <c r="BL580"/>
      <c r="BM580"/>
      <c r="BN580"/>
      <c r="BO580"/>
      <c r="BP580"/>
      <c r="BQ580"/>
      <c r="BR580"/>
      <c r="BS580"/>
      <c r="BT580"/>
      <c r="BU580"/>
      <c r="BV580"/>
      <c r="BW580"/>
      <c r="BX580"/>
      <c r="BY580"/>
      <c r="BZ580"/>
      <c r="CA580"/>
      <c r="CB580"/>
      <c r="CC580"/>
      <c r="CD580"/>
      <c r="CE580"/>
      <c r="CF580"/>
    </row>
    <row r="581" spans="1:84" ht="12.75" customHeight="1">
      <c r="A581"/>
      <c r="B581"/>
      <c r="C581"/>
      <c r="D581"/>
      <c r="E581"/>
      <c r="F581"/>
      <c r="G581"/>
      <c r="AB581" s="68"/>
      <c r="BJ581"/>
      <c r="BK581"/>
      <c r="BL581"/>
      <c r="BM581"/>
      <c r="BN581"/>
      <c r="BO581"/>
      <c r="BP581"/>
      <c r="BQ581"/>
      <c r="BR581"/>
      <c r="BS581"/>
      <c r="BT581"/>
      <c r="BU581"/>
      <c r="BV581"/>
      <c r="BW581"/>
      <c r="BX581"/>
      <c r="BY581"/>
      <c r="BZ581"/>
      <c r="CA581"/>
      <c r="CB581"/>
      <c r="CC581"/>
      <c r="CD581"/>
      <c r="CE581"/>
      <c r="CF581"/>
    </row>
    <row r="582" spans="1:84" ht="12.75" customHeight="1">
      <c r="A582"/>
      <c r="B582"/>
      <c r="C582"/>
      <c r="D582"/>
      <c r="E582"/>
      <c r="F582"/>
      <c r="G582"/>
      <c r="AB582" s="68"/>
      <c r="BJ582"/>
      <c r="BK582"/>
      <c r="BL582"/>
      <c r="BM582"/>
      <c r="BN582"/>
      <c r="BO582"/>
      <c r="BP582"/>
      <c r="BQ582"/>
      <c r="BR582"/>
      <c r="BS582"/>
      <c r="BT582"/>
      <c r="BU582"/>
      <c r="BV582"/>
      <c r="BW582"/>
      <c r="BX582"/>
      <c r="BY582"/>
      <c r="BZ582"/>
      <c r="CA582"/>
      <c r="CB582"/>
      <c r="CC582"/>
      <c r="CD582"/>
      <c r="CE582"/>
      <c r="CF582"/>
    </row>
    <row r="583" spans="1:84" ht="12.75" customHeight="1">
      <c r="A583"/>
      <c r="B583"/>
      <c r="C583"/>
      <c r="D583"/>
      <c r="E583"/>
      <c r="F583"/>
      <c r="G583"/>
      <c r="AB583" s="68"/>
      <c r="BJ583"/>
      <c r="BK583"/>
      <c r="BL583"/>
      <c r="BM583"/>
      <c r="BN583"/>
      <c r="BO583"/>
      <c r="BP583"/>
      <c r="BQ583"/>
      <c r="BR583"/>
      <c r="BS583"/>
      <c r="BT583"/>
      <c r="BU583"/>
      <c r="BV583"/>
      <c r="BW583"/>
      <c r="BX583"/>
      <c r="BY583"/>
      <c r="BZ583"/>
      <c r="CA583"/>
      <c r="CB583"/>
      <c r="CC583"/>
      <c r="CD583"/>
      <c r="CE583"/>
      <c r="CF583"/>
    </row>
    <row r="584" spans="1:84" ht="12.75" customHeight="1">
      <c r="A584"/>
      <c r="B584"/>
      <c r="C584"/>
      <c r="D584"/>
      <c r="E584"/>
      <c r="F584"/>
      <c r="G584"/>
      <c r="AB584" s="68"/>
      <c r="BJ584"/>
      <c r="BK584"/>
      <c r="BL584"/>
      <c r="BM584"/>
      <c r="BN584"/>
      <c r="BO584"/>
      <c r="BP584"/>
      <c r="BQ584"/>
      <c r="BR584"/>
      <c r="BS584"/>
      <c r="BT584"/>
      <c r="BU584"/>
      <c r="BV584"/>
      <c r="BW584"/>
      <c r="BX584"/>
      <c r="BY584"/>
      <c r="BZ584"/>
      <c r="CA584"/>
      <c r="CB584"/>
      <c r="CC584"/>
      <c r="CD584"/>
      <c r="CE584"/>
      <c r="CF584"/>
    </row>
    <row r="585" spans="1:84" ht="12.75" customHeight="1">
      <c r="A585"/>
      <c r="B585"/>
      <c r="C585"/>
      <c r="D585"/>
      <c r="E585"/>
      <c r="F585"/>
      <c r="G585"/>
      <c r="AB585" s="68"/>
      <c r="BJ585"/>
      <c r="BK585"/>
      <c r="BL585"/>
      <c r="BM585"/>
      <c r="BN585"/>
      <c r="BO585"/>
      <c r="BP585"/>
      <c r="BQ585"/>
      <c r="BR585"/>
      <c r="BS585"/>
      <c r="BT585"/>
      <c r="BU585"/>
      <c r="BV585"/>
      <c r="BW585"/>
      <c r="BX585"/>
      <c r="BY585"/>
      <c r="BZ585"/>
      <c r="CA585"/>
      <c r="CB585"/>
      <c r="CC585"/>
      <c r="CD585"/>
      <c r="CE585"/>
      <c r="CF585"/>
    </row>
    <row r="586" spans="1:84" ht="12.75" customHeight="1">
      <c r="A586"/>
      <c r="B586"/>
      <c r="C586"/>
      <c r="D586"/>
      <c r="E586"/>
      <c r="F586"/>
      <c r="G586"/>
      <c r="AB586" s="68"/>
      <c r="BJ586"/>
      <c r="BK586"/>
      <c r="BL586"/>
      <c r="BM586"/>
      <c r="BN586"/>
      <c r="BO586"/>
      <c r="BP586"/>
      <c r="BQ586"/>
      <c r="BR586"/>
      <c r="BS586"/>
      <c r="BT586"/>
      <c r="BU586"/>
      <c r="BV586"/>
      <c r="BW586"/>
      <c r="BX586"/>
      <c r="BY586"/>
      <c r="BZ586"/>
      <c r="CA586"/>
      <c r="CB586"/>
      <c r="CC586"/>
      <c r="CD586"/>
      <c r="CE586"/>
      <c r="CF586"/>
    </row>
    <row r="587" spans="1:84" ht="12.75" customHeight="1">
      <c r="A587"/>
      <c r="B587"/>
      <c r="C587"/>
      <c r="D587"/>
      <c r="E587"/>
      <c r="F587"/>
      <c r="G587"/>
      <c r="AB587" s="68"/>
      <c r="BJ587"/>
      <c r="BK587"/>
      <c r="BL587"/>
      <c r="BM587"/>
      <c r="BN587"/>
      <c r="BO587"/>
      <c r="BP587"/>
      <c r="BQ587"/>
      <c r="BR587"/>
      <c r="BS587"/>
      <c r="BT587"/>
      <c r="BU587"/>
      <c r="BV587"/>
      <c r="BW587"/>
      <c r="BX587"/>
      <c r="BY587"/>
      <c r="BZ587"/>
      <c r="CA587"/>
      <c r="CB587"/>
      <c r="CC587"/>
      <c r="CD587"/>
      <c r="CE587"/>
      <c r="CF587"/>
    </row>
    <row r="588" spans="1:84" ht="12.75" customHeight="1">
      <c r="A588"/>
      <c r="B588"/>
      <c r="C588"/>
      <c r="D588"/>
      <c r="E588"/>
      <c r="F588"/>
      <c r="G588"/>
      <c r="AB588" s="68"/>
      <c r="BJ588"/>
      <c r="BK588"/>
      <c r="BL588"/>
      <c r="BM588"/>
      <c r="BN588"/>
      <c r="BO588"/>
      <c r="BP588"/>
      <c r="BQ588"/>
      <c r="BR588"/>
      <c r="BS588"/>
      <c r="BT588"/>
      <c r="BU588"/>
      <c r="BV588"/>
      <c r="BW588"/>
      <c r="BX588"/>
      <c r="BY588"/>
      <c r="BZ588"/>
      <c r="CA588"/>
      <c r="CB588"/>
      <c r="CC588"/>
      <c r="CD588"/>
      <c r="CE588"/>
      <c r="CF588"/>
    </row>
    <row r="589" spans="1:84" ht="12.75" customHeight="1">
      <c r="A589"/>
      <c r="B589"/>
      <c r="C589"/>
      <c r="D589"/>
      <c r="E589"/>
      <c r="F589"/>
      <c r="G589"/>
      <c r="AB589" s="68"/>
      <c r="BJ589"/>
      <c r="BK589"/>
      <c r="BL589"/>
      <c r="BM589"/>
      <c r="BN589"/>
      <c r="BO589"/>
      <c r="BP589"/>
      <c r="BQ589"/>
      <c r="BR589"/>
      <c r="BS589"/>
      <c r="BT589"/>
      <c r="BU589"/>
      <c r="BV589"/>
      <c r="BW589"/>
      <c r="BX589"/>
      <c r="BY589"/>
      <c r="BZ589"/>
      <c r="CA589"/>
      <c r="CB589"/>
      <c r="CC589"/>
      <c r="CD589"/>
      <c r="CE589"/>
      <c r="CF589"/>
    </row>
    <row r="590" spans="1:84" ht="12.75" customHeight="1">
      <c r="A590"/>
      <c r="B590"/>
      <c r="C590"/>
      <c r="D590"/>
      <c r="E590"/>
      <c r="F590"/>
      <c r="G590"/>
      <c r="AB590" s="68"/>
      <c r="BJ590"/>
      <c r="BK590"/>
      <c r="BL590"/>
      <c r="BM590"/>
      <c r="BN590"/>
      <c r="BO590"/>
      <c r="BP590"/>
      <c r="BQ590"/>
      <c r="BR590"/>
      <c r="BS590"/>
      <c r="BT590"/>
      <c r="BU590"/>
      <c r="BV590"/>
      <c r="BW590"/>
      <c r="BX590"/>
      <c r="BY590"/>
      <c r="BZ590"/>
      <c r="CA590"/>
      <c r="CB590"/>
      <c r="CC590"/>
      <c r="CD590"/>
      <c r="CE590"/>
      <c r="CF590"/>
    </row>
    <row r="591" spans="1:84" ht="12.75" customHeight="1">
      <c r="A591"/>
      <c r="B591"/>
      <c r="C591"/>
      <c r="D591"/>
      <c r="E591"/>
      <c r="F591"/>
      <c r="G591"/>
      <c r="AB591" s="68"/>
      <c r="BJ591"/>
      <c r="BK591"/>
      <c r="BL591"/>
      <c r="BM591"/>
      <c r="BN591"/>
      <c r="BO591"/>
      <c r="BP591"/>
      <c r="BQ591"/>
      <c r="BR591"/>
      <c r="BS591"/>
      <c r="BT591"/>
      <c r="BU591"/>
      <c r="BV591"/>
      <c r="BW591"/>
      <c r="BX591"/>
      <c r="BY591"/>
      <c r="BZ591"/>
      <c r="CA591"/>
      <c r="CB591"/>
      <c r="CC591"/>
      <c r="CD591"/>
      <c r="CE591"/>
      <c r="CF591"/>
    </row>
    <row r="592" spans="1:84" ht="12.75" customHeight="1">
      <c r="A592"/>
      <c r="B592"/>
      <c r="C592"/>
      <c r="D592"/>
      <c r="E592"/>
      <c r="F592"/>
      <c r="G592"/>
      <c r="AB592" s="68"/>
      <c r="BJ592"/>
      <c r="BK592"/>
      <c r="BL592"/>
      <c r="BM592"/>
      <c r="BN592"/>
      <c r="BO592"/>
      <c r="BP592"/>
      <c r="BQ592"/>
      <c r="BR592"/>
      <c r="BS592"/>
      <c r="BT592"/>
      <c r="BU592"/>
      <c r="BV592"/>
      <c r="BW592"/>
      <c r="BX592"/>
      <c r="BY592"/>
      <c r="BZ592"/>
      <c r="CA592"/>
      <c r="CB592"/>
      <c r="CC592"/>
      <c r="CD592"/>
      <c r="CE592"/>
      <c r="CF592"/>
    </row>
    <row r="593" spans="1:84" ht="12.75" customHeight="1">
      <c r="A593"/>
      <c r="B593"/>
      <c r="C593"/>
      <c r="D593"/>
      <c r="E593"/>
      <c r="F593"/>
      <c r="G593"/>
      <c r="AB593" s="68"/>
      <c r="BJ593"/>
      <c r="BK593"/>
      <c r="BL593"/>
      <c r="BM593"/>
      <c r="BN593"/>
      <c r="BO593"/>
      <c r="BP593"/>
      <c r="BQ593"/>
      <c r="BR593"/>
      <c r="BS593"/>
      <c r="BT593"/>
      <c r="BU593"/>
      <c r="BV593"/>
      <c r="BW593"/>
      <c r="BX593"/>
      <c r="BY593"/>
      <c r="BZ593"/>
      <c r="CA593"/>
      <c r="CB593"/>
      <c r="CC593"/>
      <c r="CD593"/>
      <c r="CE593"/>
      <c r="CF593"/>
    </row>
    <row r="594" spans="1:84" ht="12.75" customHeight="1">
      <c r="A594"/>
      <c r="B594"/>
      <c r="C594"/>
      <c r="D594"/>
      <c r="E594"/>
      <c r="F594"/>
      <c r="G594"/>
      <c r="AB594" s="68"/>
      <c r="BJ594"/>
      <c r="BK594"/>
      <c r="BL594"/>
      <c r="BM594"/>
      <c r="BN594"/>
      <c r="BO594"/>
      <c r="BP594"/>
      <c r="BQ594"/>
      <c r="BR594"/>
      <c r="BS594"/>
      <c r="BT594"/>
      <c r="BU594"/>
      <c r="BV594"/>
      <c r="BW594"/>
      <c r="BX594"/>
      <c r="BY594"/>
      <c r="BZ594"/>
      <c r="CA594"/>
      <c r="CB594"/>
      <c r="CC594"/>
      <c r="CD594"/>
      <c r="CE594"/>
      <c r="CF594"/>
    </row>
    <row r="595" spans="1:84" ht="12.75" customHeight="1">
      <c r="A595"/>
      <c r="B595"/>
      <c r="C595"/>
      <c r="D595"/>
      <c r="E595"/>
      <c r="F595"/>
      <c r="G595"/>
      <c r="AB595" s="68"/>
      <c r="BJ595"/>
      <c r="BK595"/>
      <c r="BL595"/>
      <c r="BM595"/>
      <c r="BN595"/>
      <c r="BO595"/>
      <c r="BP595"/>
      <c r="BQ595"/>
      <c r="BR595"/>
      <c r="BS595"/>
      <c r="BT595"/>
      <c r="BU595"/>
      <c r="BV595"/>
      <c r="BW595"/>
      <c r="BX595"/>
      <c r="BY595"/>
      <c r="BZ595"/>
      <c r="CA595"/>
      <c r="CB595"/>
      <c r="CC595"/>
      <c r="CD595"/>
      <c r="CE595"/>
      <c r="CF595"/>
    </row>
    <row r="596" spans="1:84" ht="12.75" customHeight="1">
      <c r="A596"/>
      <c r="B596"/>
      <c r="C596"/>
      <c r="D596"/>
      <c r="E596"/>
      <c r="F596"/>
      <c r="G596"/>
      <c r="AB596" s="68"/>
      <c r="BJ596"/>
      <c r="BK596"/>
      <c r="BL596"/>
      <c r="BM596"/>
      <c r="BN596"/>
      <c r="BO596"/>
      <c r="BP596"/>
      <c r="BQ596"/>
      <c r="BR596"/>
      <c r="BS596"/>
      <c r="BT596"/>
      <c r="BU596"/>
      <c r="BV596"/>
      <c r="BW596"/>
      <c r="BX596"/>
      <c r="BY596"/>
      <c r="BZ596"/>
      <c r="CA596"/>
      <c r="CB596"/>
      <c r="CC596"/>
      <c r="CD596"/>
      <c r="CE596"/>
      <c r="CF596"/>
    </row>
    <row r="597" spans="1:84" ht="12.75" customHeight="1">
      <c r="A597"/>
      <c r="B597"/>
      <c r="C597"/>
      <c r="D597"/>
      <c r="E597"/>
      <c r="F597"/>
      <c r="G597"/>
      <c r="AB597" s="68"/>
      <c r="BJ597"/>
      <c r="BK597"/>
      <c r="BL597"/>
      <c r="BM597"/>
      <c r="BN597"/>
      <c r="BO597"/>
      <c r="BP597"/>
      <c r="BQ597"/>
      <c r="BR597"/>
      <c r="BS597"/>
      <c r="BT597"/>
      <c r="BU597"/>
      <c r="BV597"/>
      <c r="BW597"/>
      <c r="BX597"/>
      <c r="BY597"/>
      <c r="BZ597"/>
      <c r="CA597"/>
      <c r="CB597"/>
      <c r="CC597"/>
      <c r="CD597"/>
      <c r="CE597"/>
      <c r="CF597"/>
    </row>
    <row r="598" spans="1:84" ht="12.75" customHeight="1">
      <c r="A598"/>
      <c r="B598"/>
      <c r="C598"/>
      <c r="D598"/>
      <c r="E598"/>
      <c r="F598"/>
      <c r="G598"/>
      <c r="AB598" s="68"/>
      <c r="BJ598"/>
      <c r="BK598"/>
      <c r="BL598"/>
      <c r="BM598"/>
      <c r="BN598"/>
      <c r="BO598"/>
      <c r="BP598"/>
      <c r="BQ598"/>
      <c r="BR598"/>
      <c r="BS598"/>
      <c r="BT598"/>
      <c r="BU598"/>
      <c r="BV598"/>
      <c r="BW598"/>
      <c r="BX598"/>
      <c r="BY598"/>
      <c r="BZ598"/>
      <c r="CA598"/>
      <c r="CB598"/>
      <c r="CC598"/>
      <c r="CD598"/>
      <c r="CE598"/>
      <c r="CF598"/>
    </row>
    <row r="599" spans="1:84" ht="12.75" customHeight="1">
      <c r="A599"/>
      <c r="B599"/>
      <c r="C599"/>
      <c r="D599"/>
      <c r="E599"/>
      <c r="F599"/>
      <c r="G599"/>
      <c r="AB599" s="68"/>
      <c r="BJ599"/>
      <c r="BK599"/>
      <c r="BL599"/>
      <c r="BM599"/>
      <c r="BN599"/>
      <c r="BO599"/>
      <c r="BP599"/>
      <c r="BQ599"/>
      <c r="BR599"/>
      <c r="BS599"/>
      <c r="BT599"/>
      <c r="BU599"/>
      <c r="BV599"/>
      <c r="BW599"/>
      <c r="BX599"/>
      <c r="BY599"/>
      <c r="BZ599"/>
      <c r="CA599"/>
      <c r="CB599"/>
      <c r="CC599"/>
      <c r="CD599"/>
      <c r="CE599"/>
      <c r="CF599"/>
    </row>
    <row r="600" spans="1:84" ht="12.75" customHeight="1">
      <c r="A600"/>
      <c r="B600"/>
      <c r="C600"/>
      <c r="D600"/>
      <c r="E600"/>
      <c r="F600"/>
      <c r="G600"/>
      <c r="AB600" s="68"/>
      <c r="BJ600"/>
      <c r="BK600"/>
      <c r="BL600"/>
      <c r="BM600"/>
      <c r="BN600"/>
      <c r="BO600"/>
      <c r="BP600"/>
      <c r="BQ600"/>
      <c r="BR600"/>
      <c r="BS600"/>
      <c r="BT600"/>
      <c r="BU600"/>
      <c r="BV600"/>
      <c r="BW600"/>
      <c r="BX600"/>
      <c r="BY600"/>
      <c r="BZ600"/>
      <c r="CA600"/>
      <c r="CB600"/>
      <c r="CC600"/>
      <c r="CD600"/>
      <c r="CE600"/>
      <c r="CF600"/>
    </row>
    <row r="601" spans="1:84" ht="12.75" customHeight="1">
      <c r="A601"/>
      <c r="B601"/>
      <c r="C601"/>
      <c r="D601"/>
      <c r="E601"/>
      <c r="F601"/>
      <c r="G601"/>
      <c r="AB601" s="68"/>
      <c r="BJ601"/>
      <c r="BK601"/>
      <c r="BL601"/>
      <c r="BM601"/>
      <c r="BN601"/>
      <c r="BO601"/>
      <c r="BP601"/>
      <c r="BQ601"/>
      <c r="BR601"/>
      <c r="BS601"/>
      <c r="BT601"/>
      <c r="BU601"/>
      <c r="BV601"/>
      <c r="BW601"/>
      <c r="BX601"/>
      <c r="BY601"/>
      <c r="BZ601"/>
      <c r="CA601"/>
      <c r="CB601"/>
      <c r="CC601"/>
      <c r="CD601"/>
      <c r="CE601"/>
      <c r="CF601"/>
    </row>
    <row r="602" spans="1:84" ht="12.75" customHeight="1">
      <c r="A602"/>
      <c r="B602"/>
      <c r="C602"/>
      <c r="D602"/>
      <c r="E602"/>
      <c r="F602"/>
      <c r="G602"/>
      <c r="AB602" s="68"/>
      <c r="BJ602"/>
      <c r="BK602"/>
      <c r="BL602"/>
      <c r="BM602"/>
      <c r="BN602"/>
      <c r="BO602"/>
      <c r="BP602"/>
      <c r="BQ602"/>
      <c r="BR602"/>
      <c r="BS602"/>
      <c r="BT602"/>
      <c r="BU602"/>
      <c r="BV602"/>
      <c r="BW602"/>
      <c r="BX602"/>
      <c r="BY602"/>
      <c r="BZ602"/>
      <c r="CA602"/>
      <c r="CB602"/>
      <c r="CC602"/>
      <c r="CD602"/>
      <c r="CE602"/>
      <c r="CF602"/>
    </row>
    <row r="603" spans="1:84" ht="12.75" customHeight="1">
      <c r="A603"/>
      <c r="B603"/>
      <c r="C603"/>
      <c r="D603"/>
      <c r="E603"/>
      <c r="F603"/>
      <c r="G603"/>
      <c r="AB603" s="68"/>
      <c r="BJ603"/>
      <c r="BK603"/>
      <c r="BL603"/>
      <c r="BM603"/>
      <c r="BN603"/>
      <c r="BO603"/>
      <c r="BP603"/>
      <c r="BQ603"/>
      <c r="BR603"/>
      <c r="BS603"/>
      <c r="BT603"/>
      <c r="BU603"/>
      <c r="BV603"/>
      <c r="BW603"/>
      <c r="BX603"/>
      <c r="BY603"/>
      <c r="BZ603"/>
      <c r="CA603"/>
      <c r="CB603"/>
      <c r="CC603"/>
      <c r="CD603"/>
      <c r="CE603"/>
      <c r="CF603"/>
    </row>
    <row r="604" spans="1:84" ht="12.75" customHeight="1">
      <c r="A604"/>
      <c r="B604"/>
      <c r="C604"/>
      <c r="D604"/>
      <c r="E604"/>
      <c r="F604"/>
      <c r="G604"/>
      <c r="AB604" s="68"/>
      <c r="BJ604"/>
      <c r="BK604"/>
      <c r="BL604"/>
      <c r="BM604"/>
      <c r="BN604"/>
      <c r="BO604"/>
      <c r="BP604"/>
      <c r="BQ604"/>
      <c r="BR604"/>
      <c r="BS604"/>
      <c r="BT604"/>
      <c r="BU604"/>
      <c r="BV604"/>
      <c r="BW604"/>
      <c r="BX604"/>
      <c r="BY604"/>
      <c r="BZ604"/>
      <c r="CA604"/>
      <c r="CB604"/>
      <c r="CC604"/>
      <c r="CD604"/>
      <c r="CE604"/>
      <c r="CF604"/>
    </row>
    <row r="605" spans="1:84" ht="12.75" customHeight="1">
      <c r="A605"/>
      <c r="B605"/>
      <c r="C605"/>
      <c r="D605"/>
      <c r="E605"/>
      <c r="F605"/>
      <c r="G605"/>
      <c r="AB605" s="68"/>
      <c r="BJ605"/>
      <c r="BK605"/>
      <c r="BL605"/>
      <c r="BM605"/>
      <c r="BN605"/>
      <c r="BO605"/>
      <c r="BP605"/>
      <c r="BQ605"/>
      <c r="BR605"/>
      <c r="BS605"/>
      <c r="BT605"/>
      <c r="BU605"/>
      <c r="BV605"/>
      <c r="BW605"/>
      <c r="BX605"/>
      <c r="BY605"/>
      <c r="BZ605"/>
      <c r="CA605"/>
      <c r="CB605"/>
      <c r="CC605"/>
      <c r="CD605"/>
      <c r="CE605"/>
      <c r="CF605"/>
    </row>
    <row r="606" spans="1:84" ht="12.75" customHeight="1">
      <c r="A606"/>
      <c r="B606"/>
      <c r="C606"/>
      <c r="D606"/>
      <c r="E606"/>
      <c r="F606"/>
      <c r="G606"/>
      <c r="AB606" s="68"/>
      <c r="BJ606"/>
      <c r="BK606"/>
      <c r="BL606"/>
      <c r="BM606"/>
      <c r="BN606"/>
      <c r="BO606"/>
      <c r="BP606"/>
      <c r="BQ606"/>
      <c r="BR606"/>
      <c r="BS606"/>
      <c r="BT606"/>
      <c r="BU606"/>
      <c r="BV606"/>
      <c r="BW606"/>
      <c r="BX606"/>
      <c r="BY606"/>
      <c r="BZ606"/>
      <c r="CA606"/>
      <c r="CB606"/>
      <c r="CC606"/>
      <c r="CD606"/>
      <c r="CE606"/>
      <c r="CF606"/>
    </row>
    <row r="607" spans="1:84" ht="12.75" customHeight="1">
      <c r="A607"/>
      <c r="B607"/>
      <c r="C607"/>
      <c r="D607"/>
      <c r="E607"/>
      <c r="F607"/>
      <c r="G607"/>
      <c r="AB607" s="68"/>
      <c r="BJ607"/>
      <c r="BK607"/>
      <c r="BL607"/>
      <c r="BM607"/>
      <c r="BN607"/>
      <c r="BO607"/>
      <c r="BP607"/>
      <c r="BQ607"/>
      <c r="BR607"/>
      <c r="BS607"/>
      <c r="BT607"/>
      <c r="BU607"/>
      <c r="BV607"/>
      <c r="BW607"/>
      <c r="BX607"/>
      <c r="BY607"/>
      <c r="BZ607"/>
      <c r="CA607"/>
      <c r="CB607"/>
      <c r="CC607"/>
      <c r="CD607"/>
      <c r="CE607"/>
      <c r="CF607"/>
    </row>
    <row r="608" spans="1:84" ht="12.75" customHeight="1">
      <c r="A608"/>
      <c r="B608"/>
      <c r="C608"/>
      <c r="D608"/>
      <c r="E608"/>
      <c r="F608"/>
      <c r="G608"/>
      <c r="AB608" s="68"/>
      <c r="BJ608"/>
      <c r="BK608"/>
      <c r="BL608"/>
      <c r="BM608"/>
      <c r="BN608"/>
      <c r="BO608"/>
      <c r="BP608"/>
      <c r="BQ608"/>
      <c r="BR608"/>
      <c r="BS608"/>
      <c r="BT608"/>
      <c r="BU608"/>
      <c r="BV608"/>
      <c r="BW608"/>
      <c r="BX608"/>
      <c r="BY608"/>
      <c r="BZ608"/>
      <c r="CA608"/>
      <c r="CB608"/>
      <c r="CC608"/>
      <c r="CD608"/>
      <c r="CE608"/>
      <c r="CF608"/>
    </row>
    <row r="609" spans="1:84" ht="12.75" customHeight="1">
      <c r="A609"/>
      <c r="B609"/>
      <c r="C609"/>
      <c r="D609"/>
      <c r="E609"/>
      <c r="F609"/>
      <c r="G609"/>
      <c r="AB609" s="68"/>
      <c r="BJ609"/>
      <c r="BK609"/>
      <c r="BL609"/>
      <c r="BM609"/>
      <c r="BN609"/>
      <c r="BO609"/>
      <c r="BP609"/>
      <c r="BQ609"/>
      <c r="BR609"/>
      <c r="BS609"/>
      <c r="BT609"/>
      <c r="BU609"/>
      <c r="BV609"/>
      <c r="BW609"/>
      <c r="BX609"/>
      <c r="BY609"/>
      <c r="BZ609"/>
      <c r="CA609"/>
      <c r="CB609"/>
      <c r="CC609"/>
      <c r="CD609"/>
      <c r="CE609"/>
      <c r="CF609"/>
    </row>
    <row r="610" spans="1:84" ht="12.75" customHeight="1">
      <c r="A610"/>
      <c r="B610"/>
      <c r="C610"/>
      <c r="D610"/>
      <c r="E610"/>
      <c r="F610"/>
      <c r="G610"/>
      <c r="AB610" s="68"/>
      <c r="BJ610"/>
      <c r="BK610"/>
      <c r="BL610"/>
      <c r="BM610"/>
      <c r="BN610"/>
      <c r="BO610"/>
      <c r="BP610"/>
      <c r="BQ610"/>
      <c r="BR610"/>
      <c r="BS610"/>
      <c r="BT610"/>
      <c r="BU610"/>
      <c r="BV610"/>
      <c r="BW610"/>
      <c r="BX610"/>
      <c r="BY610"/>
      <c r="BZ610"/>
      <c r="CA610"/>
      <c r="CB610"/>
      <c r="CC610"/>
      <c r="CD610"/>
      <c r="CE610"/>
      <c r="CF610"/>
    </row>
    <row r="611" spans="1:84" ht="12.75" customHeight="1">
      <c r="A611"/>
      <c r="B611"/>
      <c r="C611"/>
      <c r="D611"/>
      <c r="E611"/>
      <c r="F611"/>
      <c r="G611"/>
      <c r="AB611" s="68"/>
      <c r="BJ611"/>
      <c r="BK611"/>
      <c r="BL611"/>
      <c r="BM611"/>
      <c r="BN611"/>
      <c r="BO611"/>
      <c r="BP611"/>
      <c r="BQ611"/>
      <c r="BR611"/>
      <c r="BS611"/>
      <c r="BT611"/>
      <c r="BU611"/>
      <c r="BV611"/>
      <c r="BW611"/>
      <c r="BX611"/>
      <c r="BY611"/>
      <c r="BZ611"/>
      <c r="CA611"/>
      <c r="CB611"/>
      <c r="CC611"/>
      <c r="CD611"/>
      <c r="CE611"/>
      <c r="CF611"/>
    </row>
    <row r="612" spans="1:84" ht="12.75" customHeight="1">
      <c r="A612"/>
      <c r="B612"/>
      <c r="C612"/>
      <c r="D612"/>
      <c r="E612"/>
      <c r="F612"/>
      <c r="G612"/>
      <c r="AB612" s="68"/>
      <c r="BJ612"/>
      <c r="BK612"/>
      <c r="BL612"/>
      <c r="BM612"/>
      <c r="BN612"/>
      <c r="BO612"/>
      <c r="BP612"/>
      <c r="BQ612"/>
      <c r="BR612"/>
      <c r="BS612"/>
      <c r="BT612"/>
      <c r="BU612"/>
      <c r="BV612"/>
      <c r="BW612"/>
      <c r="BX612"/>
      <c r="BY612"/>
      <c r="BZ612"/>
      <c r="CA612"/>
      <c r="CB612"/>
      <c r="CC612"/>
      <c r="CD612"/>
      <c r="CE612"/>
      <c r="CF612"/>
    </row>
    <row r="613" spans="1:84" ht="12.75" customHeight="1">
      <c r="A613"/>
      <c r="B613"/>
      <c r="C613"/>
      <c r="D613"/>
      <c r="E613"/>
      <c r="F613"/>
      <c r="G613"/>
      <c r="AB613" s="68"/>
      <c r="BJ613"/>
      <c r="BK613"/>
      <c r="BL613"/>
      <c r="BM613"/>
      <c r="BN613"/>
      <c r="BO613"/>
      <c r="BP613"/>
      <c r="BQ613"/>
      <c r="BR613"/>
      <c r="BS613"/>
      <c r="BT613"/>
      <c r="BU613"/>
      <c r="BV613"/>
      <c r="BW613"/>
      <c r="BX613"/>
      <c r="BY613"/>
      <c r="BZ613"/>
      <c r="CA613"/>
      <c r="CB613"/>
      <c r="CC613"/>
      <c r="CD613"/>
      <c r="CE613"/>
      <c r="CF613"/>
    </row>
    <row r="614" spans="1:84" ht="12.75" customHeight="1">
      <c r="A614"/>
      <c r="B614"/>
      <c r="C614"/>
      <c r="D614"/>
      <c r="E614"/>
      <c r="F614"/>
      <c r="G614"/>
      <c r="AB614" s="68"/>
      <c r="BJ614"/>
      <c r="BK614"/>
      <c r="BL614"/>
      <c r="BM614"/>
      <c r="BN614"/>
      <c r="BO614"/>
      <c r="BP614"/>
      <c r="BQ614"/>
      <c r="BR614"/>
      <c r="BS614"/>
      <c r="BT614"/>
      <c r="BU614"/>
      <c r="BV614"/>
      <c r="BW614"/>
      <c r="BX614"/>
      <c r="BY614"/>
      <c r="BZ614"/>
      <c r="CA614"/>
      <c r="CB614"/>
      <c r="CC614"/>
      <c r="CD614"/>
      <c r="CE614"/>
      <c r="CF614"/>
    </row>
    <row r="615" spans="1:84" ht="12.75" customHeight="1">
      <c r="A615"/>
      <c r="B615"/>
      <c r="C615"/>
      <c r="D615"/>
      <c r="E615"/>
      <c r="F615"/>
      <c r="G615"/>
      <c r="AB615" s="68"/>
      <c r="BJ615"/>
      <c r="BK615"/>
      <c r="BL615"/>
      <c r="BM615"/>
      <c r="BN615"/>
      <c r="BO615"/>
      <c r="BP615"/>
      <c r="BQ615"/>
      <c r="BR615"/>
      <c r="BS615"/>
      <c r="BT615"/>
      <c r="BU615"/>
      <c r="BV615"/>
      <c r="BW615"/>
      <c r="BX615"/>
      <c r="BY615"/>
      <c r="BZ615"/>
      <c r="CA615"/>
      <c r="CB615"/>
      <c r="CC615"/>
      <c r="CD615"/>
      <c r="CE615"/>
      <c r="CF615"/>
    </row>
    <row r="616" spans="1:84" ht="12.75" customHeight="1">
      <c r="A616"/>
      <c r="B616"/>
      <c r="C616"/>
      <c r="D616"/>
      <c r="E616"/>
      <c r="F616"/>
      <c r="G616"/>
      <c r="AB616" s="68"/>
      <c r="BJ616"/>
      <c r="BK616"/>
      <c r="BL616"/>
      <c r="BM616"/>
      <c r="BN616"/>
      <c r="BO616"/>
      <c r="BP616"/>
      <c r="BQ616"/>
      <c r="BR616"/>
      <c r="BS616"/>
      <c r="BT616"/>
      <c r="BU616"/>
      <c r="BV616"/>
      <c r="BW616"/>
      <c r="BX616"/>
      <c r="BY616"/>
      <c r="BZ616"/>
      <c r="CA616"/>
      <c r="CB616"/>
      <c r="CC616"/>
      <c r="CD616"/>
      <c r="CE616"/>
      <c r="CF616"/>
    </row>
    <row r="617" spans="1:84" ht="12.75" customHeight="1">
      <c r="A617"/>
      <c r="B617"/>
      <c r="C617"/>
      <c r="D617"/>
      <c r="E617"/>
      <c r="F617"/>
      <c r="G617"/>
      <c r="AB617" s="68"/>
      <c r="BJ617"/>
      <c r="BK617"/>
      <c r="BL617"/>
      <c r="BM617"/>
      <c r="BN617"/>
      <c r="BO617"/>
      <c r="BP617"/>
      <c r="BQ617"/>
      <c r="BR617"/>
      <c r="BS617"/>
      <c r="BT617"/>
      <c r="BU617"/>
      <c r="BV617"/>
      <c r="BW617"/>
      <c r="BX617"/>
      <c r="BY617"/>
      <c r="BZ617"/>
      <c r="CA617"/>
      <c r="CB617"/>
      <c r="CC617"/>
      <c r="CD617"/>
      <c r="CE617"/>
      <c r="CF617"/>
    </row>
    <row r="618" spans="1:84" ht="12.75" customHeight="1">
      <c r="A618"/>
      <c r="B618"/>
      <c r="C618"/>
      <c r="D618"/>
      <c r="E618"/>
      <c r="F618"/>
      <c r="G618"/>
      <c r="AB618" s="68"/>
      <c r="BJ618"/>
      <c r="BK618"/>
      <c r="BL618"/>
      <c r="BM618"/>
      <c r="BN618"/>
      <c r="BO618"/>
      <c r="BP618"/>
      <c r="BQ618"/>
      <c r="BR618"/>
      <c r="BS618"/>
      <c r="BT618"/>
      <c r="BU618"/>
      <c r="BV618"/>
      <c r="BW618"/>
      <c r="BX618"/>
      <c r="BY618"/>
      <c r="BZ618"/>
      <c r="CA618"/>
      <c r="CB618"/>
      <c r="CC618"/>
      <c r="CD618"/>
      <c r="CE618"/>
      <c r="CF618"/>
    </row>
    <row r="619" spans="1:84" ht="12.75" customHeight="1">
      <c r="A619"/>
      <c r="B619"/>
      <c r="C619"/>
      <c r="D619"/>
      <c r="E619"/>
      <c r="F619"/>
      <c r="G619"/>
      <c r="AB619" s="68"/>
      <c r="BJ619"/>
      <c r="BK619"/>
      <c r="BL619"/>
      <c r="BM619"/>
      <c r="BN619"/>
      <c r="BO619"/>
      <c r="BP619"/>
      <c r="BQ619"/>
      <c r="BR619"/>
      <c r="BS619"/>
      <c r="BT619"/>
      <c r="BU619"/>
      <c r="BV619"/>
      <c r="BW619"/>
      <c r="BX619"/>
      <c r="BY619"/>
      <c r="BZ619"/>
      <c r="CA619"/>
      <c r="CB619"/>
      <c r="CC619"/>
      <c r="CD619"/>
      <c r="CE619"/>
      <c r="CF619"/>
    </row>
    <row r="620" spans="1:84" ht="12.75" customHeight="1">
      <c r="A620"/>
      <c r="B620"/>
      <c r="C620"/>
      <c r="D620"/>
      <c r="E620"/>
      <c r="F620"/>
      <c r="G620"/>
      <c r="AB620" s="68"/>
      <c r="BJ620"/>
      <c r="BK620"/>
      <c r="BL620"/>
      <c r="BM620"/>
      <c r="BN620"/>
      <c r="BO620"/>
      <c r="BP620"/>
      <c r="BQ620"/>
      <c r="BR620"/>
      <c r="BS620"/>
      <c r="BT620"/>
      <c r="BU620"/>
      <c r="BV620"/>
      <c r="BW620"/>
      <c r="BX620"/>
      <c r="BY620"/>
      <c r="BZ620"/>
      <c r="CA620"/>
      <c r="CB620"/>
      <c r="CC620"/>
      <c r="CD620"/>
      <c r="CE620"/>
      <c r="CF620"/>
    </row>
    <row r="621" spans="1:84" ht="12.75" customHeight="1">
      <c r="A621"/>
      <c r="B621"/>
      <c r="C621"/>
      <c r="D621"/>
      <c r="E621"/>
      <c r="F621"/>
      <c r="G621"/>
      <c r="AB621" s="68"/>
      <c r="BJ621"/>
      <c r="BK621"/>
      <c r="BL621"/>
      <c r="BM621"/>
      <c r="BN621"/>
      <c r="BO621"/>
      <c r="BP621"/>
      <c r="BQ621"/>
      <c r="BR621"/>
      <c r="BS621"/>
      <c r="BT621"/>
      <c r="BU621"/>
      <c r="BV621"/>
      <c r="BW621"/>
      <c r="BX621"/>
      <c r="BY621"/>
      <c r="BZ621"/>
      <c r="CA621"/>
      <c r="CB621"/>
      <c r="CC621"/>
      <c r="CD621"/>
      <c r="CE621"/>
      <c r="CF621"/>
    </row>
    <row r="622" spans="1:84" ht="12.75" customHeight="1">
      <c r="A622"/>
      <c r="B622"/>
      <c r="C622"/>
      <c r="D622"/>
      <c r="E622"/>
      <c r="F622"/>
      <c r="G622"/>
      <c r="AB622" s="68"/>
      <c r="BJ622"/>
      <c r="BK622"/>
      <c r="BL622"/>
      <c r="BM622"/>
      <c r="BN622"/>
      <c r="BO622"/>
      <c r="BP622"/>
      <c r="BQ622"/>
      <c r="BR622"/>
      <c r="BS622"/>
      <c r="BT622"/>
      <c r="BU622"/>
      <c r="BV622"/>
      <c r="BW622"/>
      <c r="BX622"/>
      <c r="BY622"/>
      <c r="BZ622"/>
      <c r="CA622"/>
      <c r="CB622"/>
      <c r="CC622"/>
      <c r="CD622"/>
      <c r="CE622"/>
      <c r="CF622"/>
    </row>
    <row r="623" spans="1:84" ht="12.75" customHeight="1">
      <c r="A623"/>
      <c r="B623"/>
      <c r="C623"/>
      <c r="D623"/>
      <c r="E623"/>
      <c r="F623"/>
      <c r="G623"/>
      <c r="AB623" s="68"/>
      <c r="BJ623"/>
      <c r="BK623"/>
      <c r="BL623"/>
      <c r="BM623"/>
      <c r="BN623"/>
      <c r="BO623"/>
      <c r="BP623"/>
      <c r="BQ623"/>
      <c r="BR623"/>
      <c r="BS623"/>
      <c r="BT623"/>
      <c r="BU623"/>
      <c r="BV623"/>
      <c r="BW623"/>
      <c r="BX623"/>
      <c r="BY623"/>
      <c r="BZ623"/>
      <c r="CA623"/>
      <c r="CB623"/>
      <c r="CC623"/>
      <c r="CD623"/>
      <c r="CE623"/>
      <c r="CF623"/>
    </row>
    <row r="624" spans="1:84" ht="12.75" customHeight="1">
      <c r="A624"/>
      <c r="B624"/>
      <c r="C624"/>
      <c r="D624"/>
      <c r="E624"/>
      <c r="F624"/>
      <c r="G624"/>
      <c r="AB624" s="68"/>
      <c r="BJ624"/>
      <c r="BK624"/>
      <c r="BL624"/>
      <c r="BM624"/>
      <c r="BN624"/>
      <c r="BO624"/>
      <c r="BP624"/>
      <c r="BQ624"/>
      <c r="BR624"/>
      <c r="BS624"/>
      <c r="BT624"/>
      <c r="BU624"/>
      <c r="BV624"/>
      <c r="BW624"/>
      <c r="BX624"/>
      <c r="BY624"/>
      <c r="BZ624"/>
      <c r="CA624"/>
      <c r="CB624"/>
      <c r="CC624"/>
      <c r="CD624"/>
      <c r="CE624"/>
      <c r="CF624"/>
    </row>
    <row r="625" spans="1:84" ht="12.75" customHeight="1">
      <c r="A625"/>
      <c r="B625"/>
      <c r="C625"/>
      <c r="D625"/>
      <c r="E625"/>
      <c r="F625"/>
      <c r="G625"/>
      <c r="AB625" s="68"/>
      <c r="BJ625"/>
      <c r="BK625"/>
      <c r="BL625"/>
      <c r="BM625"/>
      <c r="BN625"/>
      <c r="BO625"/>
      <c r="BP625"/>
      <c r="BQ625"/>
      <c r="BR625"/>
      <c r="BS625"/>
      <c r="BT625"/>
      <c r="BU625"/>
      <c r="BV625"/>
      <c r="BW625"/>
      <c r="BX625"/>
      <c r="BY625"/>
      <c r="BZ625"/>
      <c r="CA625"/>
      <c r="CB625"/>
      <c r="CC625"/>
      <c r="CD625"/>
      <c r="CE625"/>
      <c r="CF625"/>
    </row>
    <row r="626" spans="1:84" ht="12.75" customHeight="1">
      <c r="A626"/>
      <c r="B626"/>
      <c r="C626"/>
      <c r="D626"/>
      <c r="E626"/>
      <c r="F626"/>
      <c r="G626"/>
      <c r="AB626" s="68"/>
      <c r="BJ626"/>
      <c r="BK626"/>
      <c r="BL626"/>
      <c r="BM626"/>
      <c r="BN626"/>
      <c r="BO626"/>
      <c r="BP626"/>
      <c r="BQ626"/>
      <c r="BR626"/>
      <c r="BS626"/>
      <c r="BT626"/>
      <c r="BU626"/>
      <c r="BV626"/>
      <c r="BW626"/>
      <c r="BX626"/>
      <c r="BY626"/>
      <c r="BZ626"/>
      <c r="CA626"/>
      <c r="CB626"/>
      <c r="CC626"/>
      <c r="CD626"/>
      <c r="CE626"/>
      <c r="CF626"/>
    </row>
    <row r="627" spans="1:84" ht="12.75" customHeight="1">
      <c r="A627"/>
      <c r="B627"/>
      <c r="C627"/>
      <c r="D627"/>
      <c r="E627"/>
      <c r="F627"/>
      <c r="G627"/>
      <c r="AB627" s="68"/>
      <c r="BJ627"/>
      <c r="BK627"/>
      <c r="BL627"/>
      <c r="BM627"/>
      <c r="BN627"/>
      <c r="BO627"/>
      <c r="BP627"/>
      <c r="BQ627"/>
      <c r="BR627"/>
      <c r="BS627"/>
      <c r="BT627"/>
      <c r="BU627"/>
      <c r="BV627"/>
      <c r="BW627"/>
      <c r="BX627"/>
      <c r="BY627"/>
      <c r="BZ627"/>
      <c r="CA627"/>
      <c r="CB627"/>
      <c r="CC627"/>
      <c r="CD627"/>
      <c r="CE627"/>
      <c r="CF627"/>
    </row>
    <row r="628" spans="1:84" ht="12.75" customHeight="1">
      <c r="A628"/>
      <c r="B628"/>
      <c r="C628"/>
      <c r="D628"/>
      <c r="E628"/>
      <c r="F628"/>
      <c r="G628"/>
      <c r="AB628" s="68"/>
      <c r="BJ628"/>
      <c r="BK628"/>
      <c r="BL628"/>
      <c r="BM628"/>
      <c r="BN628"/>
      <c r="BO628"/>
      <c r="BP628"/>
      <c r="BQ628"/>
      <c r="BR628"/>
      <c r="BS628"/>
      <c r="BT628"/>
      <c r="BU628"/>
      <c r="BV628"/>
      <c r="BW628"/>
      <c r="BX628"/>
      <c r="BY628"/>
      <c r="BZ628"/>
      <c r="CA628"/>
      <c r="CB628"/>
      <c r="CC628"/>
      <c r="CD628"/>
      <c r="CE628"/>
      <c r="CF628"/>
    </row>
    <row r="629" spans="1:84" ht="12.75" customHeight="1">
      <c r="A629"/>
      <c r="B629"/>
      <c r="C629"/>
      <c r="D629"/>
      <c r="E629"/>
      <c r="F629"/>
      <c r="G629"/>
      <c r="AB629" s="68"/>
      <c r="BJ629"/>
      <c r="BK629"/>
      <c r="BL629"/>
      <c r="BM629"/>
      <c r="BN629"/>
      <c r="BO629"/>
      <c r="BP629"/>
      <c r="BQ629"/>
      <c r="BR629"/>
      <c r="BS629"/>
      <c r="BT629"/>
      <c r="BU629"/>
      <c r="BV629"/>
      <c r="BW629"/>
      <c r="BX629"/>
      <c r="BY629"/>
      <c r="BZ629"/>
      <c r="CA629"/>
      <c r="CB629"/>
      <c r="CC629"/>
      <c r="CD629"/>
      <c r="CE629"/>
      <c r="CF629"/>
    </row>
    <row r="630" spans="1:84" ht="12.75" customHeight="1">
      <c r="A630"/>
      <c r="B630"/>
      <c r="C630"/>
      <c r="D630"/>
      <c r="E630"/>
      <c r="F630"/>
      <c r="G630"/>
      <c r="AB630" s="68"/>
      <c r="BJ630"/>
      <c r="BK630"/>
      <c r="BL630"/>
      <c r="BM630"/>
      <c r="BN630"/>
      <c r="BO630"/>
      <c r="BP630"/>
      <c r="BQ630"/>
      <c r="BR630"/>
      <c r="BS630"/>
      <c r="BT630"/>
      <c r="BU630"/>
      <c r="BV630"/>
      <c r="BW630"/>
      <c r="BX630"/>
      <c r="BY630"/>
      <c r="BZ630"/>
      <c r="CA630"/>
      <c r="CB630"/>
      <c r="CC630"/>
      <c r="CD630"/>
      <c r="CE630"/>
      <c r="CF630"/>
    </row>
    <row r="631" spans="1:84" ht="12.75" customHeight="1">
      <c r="A631"/>
      <c r="B631"/>
      <c r="C631"/>
      <c r="D631"/>
      <c r="E631"/>
      <c r="F631"/>
      <c r="G631"/>
      <c r="AB631" s="68"/>
      <c r="BJ631"/>
      <c r="BK631"/>
      <c r="BL631"/>
      <c r="BM631"/>
      <c r="BN631"/>
      <c r="BO631"/>
      <c r="BP631"/>
      <c r="BQ631"/>
      <c r="BR631"/>
      <c r="BS631"/>
      <c r="BT631"/>
      <c r="BU631"/>
      <c r="BV631"/>
      <c r="BW631"/>
      <c r="BX631"/>
      <c r="BY631"/>
      <c r="BZ631"/>
      <c r="CA631"/>
      <c r="CB631"/>
      <c r="CC631"/>
      <c r="CD631"/>
      <c r="CE631"/>
      <c r="CF631"/>
    </row>
    <row r="632" spans="1:84" ht="12.75" customHeight="1">
      <c r="A632"/>
      <c r="B632"/>
      <c r="C632"/>
      <c r="D632"/>
      <c r="E632"/>
      <c r="F632"/>
      <c r="G632"/>
      <c r="AB632" s="68"/>
      <c r="BJ632"/>
      <c r="BK632"/>
      <c r="BL632"/>
      <c r="BM632"/>
      <c r="BN632"/>
      <c r="BO632"/>
      <c r="BP632"/>
      <c r="BQ632"/>
      <c r="BR632"/>
      <c r="BS632"/>
      <c r="BT632"/>
      <c r="BU632"/>
      <c r="BV632"/>
      <c r="BW632"/>
      <c r="BX632"/>
      <c r="BY632"/>
      <c r="BZ632"/>
      <c r="CA632"/>
      <c r="CB632"/>
      <c r="CC632"/>
      <c r="CD632"/>
      <c r="CE632"/>
      <c r="CF632"/>
    </row>
    <row r="633" spans="1:84" ht="12.75" customHeight="1">
      <c r="A633"/>
      <c r="B633"/>
      <c r="C633"/>
      <c r="D633"/>
      <c r="E633"/>
      <c r="F633"/>
      <c r="G633"/>
      <c r="AB633" s="68"/>
      <c r="BJ633"/>
      <c r="BK633"/>
      <c r="BL633"/>
      <c r="BM633"/>
      <c r="BN633"/>
      <c r="BO633"/>
      <c r="BP633"/>
      <c r="BQ633"/>
      <c r="BR633"/>
      <c r="BS633"/>
      <c r="BT633"/>
      <c r="BU633"/>
      <c r="BV633"/>
      <c r="BW633"/>
      <c r="BX633"/>
      <c r="BY633"/>
      <c r="BZ633"/>
      <c r="CA633"/>
      <c r="CB633"/>
      <c r="CC633"/>
      <c r="CD633"/>
      <c r="CE633"/>
      <c r="CF633"/>
    </row>
    <row r="634" spans="1:84" ht="12.75" customHeight="1">
      <c r="A634"/>
      <c r="B634"/>
      <c r="C634"/>
      <c r="D634"/>
      <c r="E634"/>
      <c r="F634"/>
      <c r="G634"/>
      <c r="AB634" s="68"/>
      <c r="BJ634"/>
      <c r="BK634"/>
      <c r="BL634"/>
      <c r="BM634"/>
      <c r="BN634"/>
      <c r="BO634"/>
      <c r="BP634"/>
      <c r="BQ634"/>
      <c r="BR634"/>
      <c r="BS634"/>
      <c r="BT634"/>
      <c r="BU634"/>
      <c r="BV634"/>
      <c r="BW634"/>
      <c r="BX634"/>
      <c r="BY634"/>
      <c r="BZ634"/>
      <c r="CA634"/>
      <c r="CB634"/>
      <c r="CC634"/>
      <c r="CD634"/>
      <c r="CE634"/>
      <c r="CF634"/>
    </row>
    <row r="635" spans="1:84" ht="12.75" customHeight="1">
      <c r="A635"/>
      <c r="B635"/>
      <c r="C635"/>
      <c r="D635"/>
      <c r="E635"/>
      <c r="F635"/>
      <c r="G635"/>
      <c r="AB635" s="68"/>
      <c r="BJ635"/>
      <c r="BK635"/>
      <c r="BL635"/>
      <c r="BM635"/>
      <c r="BN635"/>
      <c r="BO635"/>
      <c r="BP635"/>
      <c r="BQ635"/>
      <c r="BR635"/>
      <c r="BS635"/>
      <c r="BT635"/>
      <c r="BU635"/>
      <c r="BV635"/>
      <c r="BW635"/>
      <c r="BX635"/>
      <c r="BY635"/>
      <c r="BZ635"/>
      <c r="CA635"/>
      <c r="CB635"/>
      <c r="CC635"/>
      <c r="CD635"/>
      <c r="CE635"/>
      <c r="CF635"/>
    </row>
    <row r="636" spans="1:84" ht="12.75" customHeight="1">
      <c r="A636"/>
      <c r="B636"/>
      <c r="C636"/>
      <c r="D636"/>
      <c r="E636"/>
      <c r="F636"/>
      <c r="G636"/>
      <c r="AB636" s="68"/>
      <c r="BJ636"/>
      <c r="BK636"/>
      <c r="BL636"/>
      <c r="BM636"/>
      <c r="BN636"/>
      <c r="BO636"/>
      <c r="BP636"/>
      <c r="BQ636"/>
      <c r="BR636"/>
      <c r="BS636"/>
      <c r="BT636"/>
      <c r="BU636"/>
      <c r="BV636"/>
      <c r="BW636"/>
      <c r="BX636"/>
      <c r="BY636"/>
      <c r="BZ636"/>
      <c r="CA636"/>
      <c r="CB636"/>
      <c r="CC636"/>
      <c r="CD636"/>
      <c r="CE636"/>
      <c r="CF636"/>
    </row>
    <row r="637" spans="1:84" ht="12.75" customHeight="1">
      <c r="A637"/>
      <c r="B637"/>
      <c r="C637"/>
      <c r="D637"/>
      <c r="E637"/>
      <c r="F637"/>
      <c r="G637"/>
      <c r="AB637" s="68"/>
      <c r="BJ637"/>
      <c r="BK637"/>
      <c r="BL637"/>
      <c r="BM637"/>
      <c r="BN637"/>
      <c r="BO637"/>
      <c r="BP637"/>
      <c r="BQ637"/>
      <c r="BR637"/>
      <c r="BS637"/>
      <c r="BT637"/>
      <c r="BU637"/>
      <c r="BV637"/>
      <c r="BW637"/>
      <c r="BX637"/>
      <c r="BY637"/>
      <c r="BZ637"/>
      <c r="CA637"/>
      <c r="CB637"/>
      <c r="CC637"/>
      <c r="CD637"/>
      <c r="CE637"/>
      <c r="CF637"/>
    </row>
    <row r="638" spans="1:84" ht="12.75" customHeight="1">
      <c r="A638"/>
      <c r="B638"/>
      <c r="C638"/>
      <c r="D638"/>
      <c r="E638"/>
      <c r="F638"/>
      <c r="G638"/>
      <c r="AB638" s="68"/>
      <c r="BJ638"/>
      <c r="BK638"/>
      <c r="BL638"/>
      <c r="BM638"/>
      <c r="BN638"/>
      <c r="BO638"/>
      <c r="BP638"/>
      <c r="BQ638"/>
      <c r="BR638"/>
      <c r="BS638"/>
      <c r="BT638"/>
      <c r="BU638"/>
      <c r="BV638"/>
      <c r="BW638"/>
      <c r="BX638"/>
      <c r="BY638"/>
      <c r="BZ638"/>
      <c r="CA638"/>
      <c r="CB638"/>
      <c r="CC638"/>
      <c r="CD638"/>
      <c r="CE638"/>
      <c r="CF638"/>
    </row>
    <row r="639" spans="1:84" ht="12.75" customHeight="1">
      <c r="A639"/>
      <c r="B639"/>
      <c r="C639"/>
      <c r="D639"/>
      <c r="E639"/>
      <c r="F639"/>
      <c r="G639"/>
      <c r="AB639" s="68"/>
      <c r="BJ639"/>
      <c r="BK639"/>
      <c r="BL639"/>
      <c r="BM639"/>
      <c r="BN639"/>
      <c r="BO639"/>
      <c r="BP639"/>
      <c r="BQ639"/>
      <c r="BR639"/>
      <c r="BS639"/>
      <c r="BT639"/>
      <c r="BU639"/>
      <c r="BV639"/>
      <c r="BW639"/>
      <c r="BX639"/>
      <c r="BY639"/>
      <c r="BZ639"/>
      <c r="CA639"/>
      <c r="CB639"/>
      <c r="CC639"/>
      <c r="CD639"/>
      <c r="CE639"/>
      <c r="CF639"/>
    </row>
    <row r="640" spans="1:84" ht="12.75" customHeight="1">
      <c r="A640"/>
      <c r="B640"/>
      <c r="C640"/>
      <c r="D640"/>
      <c r="E640"/>
      <c r="F640"/>
      <c r="G640"/>
      <c r="AB640" s="68"/>
      <c r="BJ640"/>
      <c r="BK640"/>
      <c r="BL640"/>
      <c r="BM640"/>
      <c r="BN640"/>
      <c r="BO640"/>
      <c r="BP640"/>
      <c r="BQ640"/>
      <c r="BR640"/>
      <c r="BS640"/>
      <c r="BT640"/>
      <c r="BU640"/>
      <c r="BV640"/>
      <c r="BW640"/>
      <c r="BX640"/>
      <c r="BY640"/>
      <c r="BZ640"/>
      <c r="CA640"/>
      <c r="CB640"/>
      <c r="CC640"/>
      <c r="CD640"/>
      <c r="CE640"/>
      <c r="CF640"/>
    </row>
    <row r="641" spans="1:84" ht="12.75" customHeight="1">
      <c r="A641"/>
      <c r="B641"/>
      <c r="C641"/>
      <c r="D641"/>
      <c r="E641"/>
      <c r="F641"/>
      <c r="G641"/>
      <c r="AB641" s="68"/>
      <c r="BJ641"/>
      <c r="BK641"/>
      <c r="BL641"/>
      <c r="BM641"/>
      <c r="BN641"/>
      <c r="BO641"/>
      <c r="BP641"/>
      <c r="BQ641"/>
      <c r="BR641"/>
      <c r="BS641"/>
      <c r="BT641"/>
      <c r="BU641"/>
      <c r="BV641"/>
      <c r="BW641"/>
      <c r="BX641"/>
      <c r="BY641"/>
      <c r="BZ641"/>
      <c r="CA641"/>
      <c r="CB641"/>
      <c r="CC641"/>
      <c r="CD641"/>
      <c r="CE641"/>
      <c r="CF641"/>
    </row>
    <row r="642" spans="1:84" ht="12.75" customHeight="1">
      <c r="A642"/>
      <c r="B642"/>
      <c r="C642"/>
      <c r="D642"/>
      <c r="E642"/>
      <c r="F642"/>
      <c r="G642"/>
      <c r="AB642" s="68"/>
      <c r="BJ642"/>
      <c r="BK642"/>
      <c r="BL642"/>
      <c r="BM642"/>
      <c r="BN642"/>
      <c r="BO642"/>
      <c r="BP642"/>
      <c r="BQ642"/>
      <c r="BR642"/>
      <c r="BS642"/>
      <c r="BT642"/>
      <c r="BU642"/>
      <c r="BV642"/>
      <c r="BW642"/>
      <c r="BX642"/>
      <c r="BY642"/>
      <c r="BZ642"/>
      <c r="CA642"/>
      <c r="CB642"/>
      <c r="CC642"/>
      <c r="CD642"/>
      <c r="CE642"/>
      <c r="CF642"/>
    </row>
    <row r="643" spans="1:84" ht="12.75" customHeight="1">
      <c r="A643"/>
      <c r="B643"/>
      <c r="C643"/>
      <c r="D643"/>
      <c r="E643"/>
      <c r="F643"/>
      <c r="G643"/>
      <c r="AB643" s="68"/>
      <c r="BJ643"/>
      <c r="BK643"/>
      <c r="BL643"/>
      <c r="BM643"/>
      <c r="BN643"/>
      <c r="BO643"/>
      <c r="BP643"/>
      <c r="BQ643"/>
      <c r="BR643"/>
      <c r="BS643"/>
      <c r="BT643"/>
      <c r="BU643"/>
      <c r="BV643"/>
      <c r="BW643"/>
      <c r="BX643"/>
      <c r="BY643"/>
      <c r="BZ643"/>
      <c r="CA643"/>
      <c r="CB643"/>
      <c r="CC643"/>
      <c r="CD643"/>
      <c r="CE643"/>
      <c r="CF643"/>
    </row>
    <row r="644" spans="1:84" ht="12.75" customHeight="1">
      <c r="A644"/>
      <c r="B644"/>
      <c r="C644"/>
      <c r="D644"/>
      <c r="E644"/>
      <c r="F644"/>
      <c r="G644"/>
      <c r="AB644" s="68"/>
      <c r="BJ644"/>
      <c r="BK644"/>
      <c r="BL644"/>
      <c r="BM644"/>
      <c r="BN644"/>
      <c r="BO644"/>
      <c r="BP644"/>
      <c r="BQ644"/>
      <c r="BR644"/>
      <c r="BS644"/>
      <c r="BT644"/>
      <c r="BU644"/>
      <c r="BV644"/>
      <c r="BW644"/>
      <c r="BX644"/>
      <c r="BY644"/>
      <c r="BZ644"/>
      <c r="CA644"/>
      <c r="CB644"/>
      <c r="CC644"/>
      <c r="CD644"/>
      <c r="CE644"/>
      <c r="CF644"/>
    </row>
    <row r="645" spans="1:84" ht="12.75" customHeight="1">
      <c r="A645"/>
      <c r="B645"/>
      <c r="C645"/>
      <c r="D645"/>
      <c r="E645"/>
      <c r="F645"/>
      <c r="G645"/>
      <c r="AB645" s="68"/>
      <c r="BJ645"/>
      <c r="BK645"/>
      <c r="BL645"/>
      <c r="BM645"/>
      <c r="BN645"/>
      <c r="BO645"/>
      <c r="BP645"/>
      <c r="BQ645"/>
      <c r="BR645"/>
      <c r="BS645"/>
      <c r="BT645"/>
      <c r="BU645"/>
      <c r="BV645"/>
      <c r="BW645"/>
      <c r="BX645"/>
      <c r="BY645"/>
      <c r="BZ645"/>
      <c r="CA645"/>
      <c r="CB645"/>
      <c r="CC645"/>
      <c r="CD645"/>
      <c r="CE645"/>
      <c r="CF645"/>
    </row>
    <row r="646" spans="1:84" ht="12.75" customHeight="1">
      <c r="A646"/>
      <c r="B646"/>
      <c r="C646"/>
      <c r="D646"/>
      <c r="E646"/>
      <c r="F646"/>
      <c r="G646"/>
      <c r="AB646" s="68"/>
      <c r="BJ646"/>
      <c r="BK646"/>
      <c r="BL646"/>
      <c r="BM646"/>
      <c r="BN646"/>
      <c r="BO646"/>
      <c r="BP646"/>
      <c r="BQ646"/>
      <c r="BR646"/>
      <c r="BS646"/>
      <c r="BT646"/>
      <c r="BU646"/>
      <c r="BV646"/>
      <c r="BW646"/>
      <c r="BX646"/>
      <c r="BY646"/>
      <c r="BZ646"/>
      <c r="CA646"/>
      <c r="CB646"/>
      <c r="CC646"/>
      <c r="CD646"/>
      <c r="CE646"/>
      <c r="CF646"/>
    </row>
    <row r="647" spans="1:84" ht="12.75" customHeight="1">
      <c r="A647"/>
      <c r="B647"/>
      <c r="C647"/>
      <c r="D647"/>
      <c r="E647"/>
      <c r="F647"/>
      <c r="G647"/>
      <c r="AB647" s="68"/>
      <c r="BJ647"/>
      <c r="BK647"/>
      <c r="BL647"/>
      <c r="BM647"/>
      <c r="BN647"/>
      <c r="BO647"/>
      <c r="BP647"/>
      <c r="BQ647"/>
      <c r="BR647"/>
      <c r="BS647"/>
      <c r="BT647"/>
      <c r="BU647"/>
      <c r="BV647"/>
      <c r="BW647"/>
      <c r="BX647"/>
      <c r="BY647"/>
      <c r="BZ647"/>
      <c r="CA647"/>
      <c r="CB647"/>
      <c r="CC647"/>
      <c r="CD647"/>
      <c r="CE647"/>
      <c r="CF647"/>
    </row>
    <row r="648" spans="1:84" ht="12.75" customHeight="1">
      <c r="A648"/>
      <c r="B648"/>
      <c r="C648"/>
      <c r="D648"/>
      <c r="E648"/>
      <c r="F648"/>
      <c r="G648"/>
      <c r="AB648" s="68"/>
      <c r="BJ648"/>
      <c r="BK648"/>
      <c r="BL648"/>
      <c r="BM648"/>
      <c r="BN648"/>
      <c r="BO648"/>
      <c r="BP648"/>
      <c r="BQ648"/>
      <c r="BR648"/>
      <c r="BS648"/>
      <c r="BT648"/>
      <c r="BU648"/>
      <c r="BV648"/>
      <c r="BW648"/>
      <c r="BX648"/>
      <c r="BY648"/>
      <c r="BZ648"/>
      <c r="CA648"/>
      <c r="CB648"/>
      <c r="CC648"/>
      <c r="CD648"/>
      <c r="CE648"/>
      <c r="CF648"/>
    </row>
    <row r="649" spans="1:84" ht="12.75" customHeight="1">
      <c r="A649"/>
      <c r="B649"/>
      <c r="C649"/>
      <c r="D649"/>
      <c r="E649"/>
      <c r="F649"/>
      <c r="G649"/>
      <c r="AB649" s="68"/>
      <c r="BJ649"/>
      <c r="BK649"/>
      <c r="BL649"/>
      <c r="BM649"/>
      <c r="BN649"/>
      <c r="BO649"/>
      <c r="BP649"/>
      <c r="BQ649"/>
      <c r="BR649"/>
      <c r="BS649"/>
      <c r="BT649"/>
      <c r="BU649"/>
      <c r="BV649"/>
      <c r="BW649"/>
      <c r="BX649"/>
      <c r="BY649"/>
      <c r="BZ649"/>
      <c r="CA649"/>
      <c r="CB649"/>
      <c r="CC649"/>
      <c r="CD649"/>
      <c r="CE649"/>
      <c r="CF649"/>
    </row>
    <row r="650" spans="1:84" ht="12.75" customHeight="1">
      <c r="A650"/>
      <c r="B650"/>
      <c r="C650"/>
      <c r="D650"/>
      <c r="E650"/>
      <c r="F650"/>
      <c r="G650"/>
      <c r="AB650" s="68"/>
      <c r="BJ650"/>
      <c r="BK650"/>
      <c r="BL650"/>
      <c r="BM650"/>
      <c r="BN650"/>
      <c r="BO650"/>
      <c r="BP650"/>
      <c r="BQ650"/>
      <c r="BR650"/>
      <c r="BS650"/>
      <c r="BT650"/>
      <c r="BU650"/>
      <c r="BV650"/>
      <c r="BW650"/>
      <c r="BX650"/>
      <c r="BY650"/>
      <c r="BZ650"/>
      <c r="CA650"/>
      <c r="CB650"/>
      <c r="CC650"/>
      <c r="CD650"/>
      <c r="CE650"/>
      <c r="CF650"/>
    </row>
    <row r="651" spans="1:84" ht="12.75" customHeight="1">
      <c r="A651"/>
      <c r="B651"/>
      <c r="C651"/>
      <c r="D651"/>
      <c r="E651"/>
      <c r="F651"/>
      <c r="G651"/>
      <c r="AB651" s="68"/>
      <c r="BJ651"/>
      <c r="BK651"/>
      <c r="BL651"/>
      <c r="BM651"/>
      <c r="BN651"/>
      <c r="BO651"/>
      <c r="BP651"/>
      <c r="BQ651"/>
      <c r="BR651"/>
      <c r="BS651"/>
      <c r="BT651"/>
      <c r="BU651"/>
      <c r="BV651"/>
      <c r="BW651"/>
      <c r="BX651"/>
      <c r="BY651"/>
      <c r="BZ651"/>
      <c r="CA651"/>
      <c r="CB651"/>
      <c r="CC651"/>
      <c r="CD651"/>
      <c r="CE651"/>
      <c r="CF651"/>
    </row>
    <row r="652" spans="1:84" ht="12.75" customHeight="1">
      <c r="A652"/>
      <c r="B652"/>
      <c r="C652"/>
      <c r="D652"/>
      <c r="E652"/>
      <c r="F652"/>
      <c r="G652"/>
      <c r="AB652" s="68"/>
      <c r="BJ652"/>
      <c r="BK652"/>
      <c r="BL652"/>
      <c r="BM652"/>
      <c r="BN652"/>
      <c r="BO652"/>
      <c r="BP652"/>
      <c r="BQ652"/>
      <c r="BR652"/>
      <c r="BS652"/>
      <c r="BT652"/>
      <c r="BU652"/>
      <c r="BV652"/>
      <c r="BW652"/>
      <c r="BX652"/>
      <c r="BY652"/>
      <c r="BZ652"/>
      <c r="CA652"/>
      <c r="CB652"/>
      <c r="CC652"/>
      <c r="CD652"/>
      <c r="CE652"/>
      <c r="CF652"/>
    </row>
    <row r="653" spans="1:84" ht="12.75" customHeight="1">
      <c r="A653"/>
      <c r="B653"/>
      <c r="C653"/>
      <c r="D653"/>
      <c r="E653"/>
      <c r="F653"/>
      <c r="G653"/>
      <c r="AB653" s="68"/>
      <c r="BJ653"/>
      <c r="BK653"/>
      <c r="BL653"/>
      <c r="BM653"/>
      <c r="BN653"/>
      <c r="BO653"/>
      <c r="BP653"/>
      <c r="BQ653"/>
      <c r="BR653"/>
      <c r="BS653"/>
      <c r="BT653"/>
      <c r="BU653"/>
      <c r="BV653"/>
      <c r="BW653"/>
      <c r="BX653"/>
      <c r="BY653"/>
      <c r="BZ653"/>
      <c r="CA653"/>
      <c r="CB653"/>
      <c r="CC653"/>
      <c r="CD653"/>
      <c r="CE653"/>
      <c r="CF653"/>
    </row>
    <row r="654" spans="1:84" ht="12.75" customHeight="1">
      <c r="A654"/>
      <c r="B654"/>
      <c r="C654"/>
      <c r="D654"/>
      <c r="E654"/>
      <c r="F654"/>
      <c r="G654"/>
      <c r="AB654" s="68"/>
      <c r="BJ654"/>
      <c r="BK654"/>
      <c r="BL654"/>
      <c r="BM654"/>
      <c r="BN654"/>
      <c r="BO654"/>
      <c r="BP654"/>
      <c r="BQ654"/>
      <c r="BR654"/>
      <c r="BS654"/>
      <c r="BT654"/>
      <c r="BU654"/>
      <c r="BV654"/>
      <c r="BW654"/>
      <c r="BX654"/>
      <c r="BY654"/>
      <c r="BZ654"/>
      <c r="CA654"/>
      <c r="CB654"/>
      <c r="CC654"/>
      <c r="CD654"/>
      <c r="CE654"/>
      <c r="CF654"/>
    </row>
    <row r="655" spans="1:84" ht="12.75" customHeight="1">
      <c r="A655"/>
      <c r="B655"/>
      <c r="C655"/>
      <c r="D655"/>
      <c r="E655"/>
      <c r="F655"/>
      <c r="G655"/>
      <c r="AB655" s="68"/>
      <c r="BJ655"/>
      <c r="BK655"/>
      <c r="BL655"/>
      <c r="BM655"/>
      <c r="BN655"/>
      <c r="BO655"/>
      <c r="BP655"/>
      <c r="BQ655"/>
      <c r="BR655"/>
      <c r="BS655"/>
      <c r="BT655"/>
      <c r="BU655"/>
      <c r="BV655"/>
      <c r="BW655"/>
      <c r="BX655"/>
      <c r="BY655"/>
      <c r="BZ655"/>
      <c r="CA655"/>
      <c r="CB655"/>
      <c r="CC655"/>
      <c r="CD655"/>
      <c r="CE655"/>
      <c r="CF655"/>
    </row>
    <row r="656" spans="1:84" ht="12.75" customHeight="1">
      <c r="A656"/>
      <c r="B656"/>
      <c r="C656"/>
      <c r="D656"/>
      <c r="E656"/>
      <c r="F656"/>
      <c r="G656"/>
      <c r="AB656" s="68"/>
      <c r="BJ656"/>
      <c r="BK656"/>
      <c r="BL656"/>
      <c r="BM656"/>
      <c r="BN656"/>
      <c r="BO656"/>
      <c r="BP656"/>
      <c r="BQ656"/>
      <c r="BR656"/>
      <c r="BS656"/>
      <c r="BT656"/>
      <c r="BU656"/>
      <c r="BV656"/>
      <c r="BW656"/>
      <c r="BX656"/>
      <c r="BY656"/>
      <c r="BZ656"/>
      <c r="CA656"/>
      <c r="CB656"/>
      <c r="CC656"/>
      <c r="CD656"/>
      <c r="CE656"/>
      <c r="CF656"/>
    </row>
    <row r="657" spans="1:84" ht="12.75" customHeight="1">
      <c r="A657"/>
      <c r="B657"/>
      <c r="C657"/>
      <c r="D657"/>
      <c r="E657"/>
      <c r="F657"/>
      <c r="G657"/>
      <c r="AB657" s="68"/>
      <c r="BJ657"/>
      <c r="BK657"/>
      <c r="BL657"/>
      <c r="BM657"/>
      <c r="BN657"/>
      <c r="BO657"/>
      <c r="BP657"/>
      <c r="BQ657"/>
      <c r="BR657"/>
      <c r="BS657"/>
      <c r="BT657"/>
      <c r="BU657"/>
      <c r="BV657"/>
      <c r="BW657"/>
      <c r="BX657"/>
      <c r="BY657"/>
      <c r="BZ657"/>
      <c r="CA657"/>
      <c r="CB657"/>
      <c r="CC657"/>
      <c r="CD657"/>
      <c r="CE657"/>
      <c r="CF657"/>
    </row>
    <row r="658" spans="1:84" ht="12.75" customHeight="1">
      <c r="A658"/>
      <c r="B658"/>
      <c r="C658"/>
      <c r="D658"/>
      <c r="E658"/>
      <c r="F658"/>
      <c r="G658"/>
      <c r="AB658" s="68"/>
      <c r="BJ658"/>
      <c r="BK658"/>
      <c r="BL658"/>
      <c r="BM658"/>
      <c r="BN658"/>
      <c r="BO658"/>
      <c r="BP658"/>
      <c r="BQ658"/>
      <c r="BR658"/>
      <c r="BS658"/>
      <c r="BT658"/>
      <c r="BU658"/>
      <c r="BV658"/>
      <c r="BW658"/>
      <c r="BX658"/>
      <c r="BY658"/>
      <c r="BZ658"/>
      <c r="CA658"/>
      <c r="CB658"/>
      <c r="CC658"/>
      <c r="CD658"/>
      <c r="CE658"/>
      <c r="CF658"/>
    </row>
    <row r="659" spans="1:84" ht="12.75" customHeight="1">
      <c r="A659"/>
      <c r="B659"/>
      <c r="C659"/>
      <c r="D659"/>
      <c r="E659"/>
      <c r="F659"/>
      <c r="G659"/>
      <c r="AB659" s="68"/>
      <c r="BJ659"/>
      <c r="BK659"/>
      <c r="BL659"/>
      <c r="BM659"/>
      <c r="BN659"/>
      <c r="BO659"/>
      <c r="BP659"/>
      <c r="BQ659"/>
      <c r="BR659"/>
      <c r="BS659"/>
      <c r="BT659"/>
      <c r="BU659"/>
      <c r="BV659"/>
      <c r="BW659"/>
      <c r="BX659"/>
      <c r="BY659"/>
      <c r="BZ659"/>
      <c r="CA659"/>
      <c r="CB659"/>
      <c r="CC659"/>
      <c r="CD659"/>
      <c r="CE659"/>
      <c r="CF659"/>
    </row>
    <row r="660" spans="1:84" ht="12.75" customHeight="1">
      <c r="A660"/>
      <c r="B660"/>
      <c r="C660"/>
      <c r="D660"/>
      <c r="E660"/>
      <c r="F660"/>
      <c r="G660"/>
      <c r="AB660" s="68"/>
      <c r="BJ660"/>
      <c r="BK660"/>
      <c r="BL660"/>
      <c r="BM660"/>
      <c r="BN660"/>
      <c r="BO660"/>
      <c r="BP660"/>
      <c r="BQ660"/>
      <c r="BR660"/>
      <c r="BS660"/>
      <c r="BT660"/>
      <c r="BU660"/>
      <c r="BV660"/>
      <c r="BW660"/>
      <c r="BX660"/>
      <c r="BY660"/>
      <c r="BZ660"/>
      <c r="CA660"/>
      <c r="CB660"/>
      <c r="CC660"/>
      <c r="CD660"/>
      <c r="CE660"/>
      <c r="CF660"/>
    </row>
    <row r="661" spans="1:84" ht="12.75" customHeight="1">
      <c r="A661"/>
      <c r="B661"/>
      <c r="C661"/>
      <c r="D661"/>
      <c r="E661"/>
      <c r="F661"/>
      <c r="G661"/>
      <c r="AB661" s="68"/>
      <c r="BJ661"/>
      <c r="BK661"/>
      <c r="BL661"/>
      <c r="BM661"/>
      <c r="BN661"/>
      <c r="BO661"/>
      <c r="BP661"/>
      <c r="BQ661"/>
      <c r="BR661"/>
      <c r="BS661"/>
      <c r="BT661"/>
      <c r="BU661"/>
      <c r="BV661"/>
      <c r="BW661"/>
      <c r="BX661"/>
      <c r="BY661"/>
      <c r="BZ661"/>
      <c r="CA661"/>
      <c r="CB661"/>
      <c r="CC661"/>
      <c r="CD661"/>
      <c r="CE661"/>
      <c r="CF661"/>
    </row>
    <row r="662" spans="1:84" ht="12.75" customHeight="1">
      <c r="A662"/>
      <c r="B662"/>
      <c r="C662"/>
      <c r="D662"/>
      <c r="E662"/>
      <c r="F662"/>
      <c r="G662"/>
      <c r="AB662" s="68"/>
      <c r="BJ662"/>
      <c r="BK662"/>
      <c r="BL662"/>
      <c r="BM662"/>
      <c r="BN662"/>
      <c r="BO662"/>
      <c r="BP662"/>
      <c r="BQ662"/>
      <c r="BR662"/>
      <c r="BS662"/>
      <c r="BT662"/>
      <c r="BU662"/>
      <c r="BV662"/>
      <c r="BW662"/>
      <c r="BX662"/>
      <c r="BY662"/>
      <c r="BZ662"/>
      <c r="CA662"/>
      <c r="CB662"/>
      <c r="CC662"/>
      <c r="CD662"/>
      <c r="CE662"/>
      <c r="CF662"/>
    </row>
    <row r="663" spans="1:84" ht="12.75" customHeight="1">
      <c r="A663"/>
      <c r="B663"/>
      <c r="C663"/>
      <c r="D663"/>
      <c r="E663"/>
      <c r="F663"/>
      <c r="G663"/>
      <c r="AB663" s="68"/>
      <c r="BJ663"/>
      <c r="BK663"/>
      <c r="BL663"/>
      <c r="BM663"/>
      <c r="BN663"/>
      <c r="BO663"/>
      <c r="BP663"/>
      <c r="BQ663"/>
      <c r="BR663"/>
      <c r="BS663"/>
      <c r="BT663"/>
      <c r="BU663"/>
      <c r="BV663"/>
      <c r="BW663"/>
      <c r="BX663"/>
      <c r="BY663"/>
      <c r="BZ663"/>
      <c r="CA663"/>
      <c r="CB663"/>
      <c r="CC663"/>
      <c r="CD663"/>
      <c r="CE663"/>
      <c r="CF663"/>
    </row>
    <row r="664" spans="1:84" ht="12.75" customHeight="1">
      <c r="A664"/>
      <c r="B664"/>
      <c r="C664"/>
      <c r="D664"/>
      <c r="E664"/>
      <c r="F664"/>
      <c r="G664"/>
      <c r="AB664" s="68"/>
      <c r="BJ664"/>
      <c r="BK664"/>
      <c r="BL664"/>
      <c r="BM664"/>
      <c r="BN664"/>
      <c r="BO664"/>
      <c r="BP664"/>
      <c r="BQ664"/>
      <c r="BR664"/>
      <c r="BS664"/>
      <c r="BT664"/>
      <c r="BU664"/>
      <c r="BV664"/>
      <c r="BW664"/>
      <c r="BX664"/>
      <c r="BY664"/>
      <c r="BZ664"/>
      <c r="CA664"/>
      <c r="CB664"/>
      <c r="CC664"/>
      <c r="CD664"/>
      <c r="CE664"/>
      <c r="CF664"/>
    </row>
    <row r="665" spans="1:84" ht="12.75" customHeight="1">
      <c r="A665"/>
      <c r="B665"/>
      <c r="C665"/>
      <c r="D665"/>
      <c r="E665"/>
      <c r="F665"/>
      <c r="G665"/>
      <c r="AB665" s="68"/>
      <c r="BJ665"/>
      <c r="BK665"/>
      <c r="BL665"/>
      <c r="BM665"/>
      <c r="BN665"/>
      <c r="BO665"/>
      <c r="BP665"/>
      <c r="BQ665"/>
      <c r="BR665"/>
      <c r="BS665"/>
      <c r="BT665"/>
      <c r="BU665"/>
      <c r="BV665"/>
      <c r="BW665"/>
      <c r="BX665"/>
      <c r="BY665"/>
      <c r="BZ665"/>
      <c r="CA665"/>
      <c r="CB665"/>
      <c r="CC665"/>
      <c r="CD665"/>
      <c r="CE665"/>
      <c r="CF665"/>
    </row>
    <row r="666" spans="1:84" ht="12.75" customHeight="1">
      <c r="A666"/>
      <c r="B666"/>
      <c r="C666"/>
      <c r="D666"/>
      <c r="E666"/>
      <c r="F666"/>
      <c r="G666"/>
      <c r="AB666" s="68"/>
      <c r="BJ666"/>
      <c r="BK666"/>
      <c r="BL666"/>
      <c r="BM666"/>
      <c r="BN666"/>
      <c r="BO666"/>
      <c r="BP666"/>
      <c r="BQ666"/>
      <c r="BR666"/>
      <c r="BS666"/>
      <c r="BT666"/>
      <c r="BU666"/>
      <c r="BV666"/>
      <c r="BW666"/>
      <c r="BX666"/>
      <c r="BY666"/>
      <c r="BZ666"/>
      <c r="CA666"/>
      <c r="CB666"/>
      <c r="CC666"/>
      <c r="CD666"/>
      <c r="CE666"/>
      <c r="CF666"/>
    </row>
    <row r="667" spans="1:84" ht="12.75" customHeight="1">
      <c r="A667"/>
      <c r="B667"/>
      <c r="C667"/>
      <c r="D667"/>
      <c r="E667"/>
      <c r="F667"/>
      <c r="G667"/>
      <c r="AB667" s="68"/>
      <c r="BJ667"/>
      <c r="BK667"/>
      <c r="BL667"/>
      <c r="BM667"/>
      <c r="BN667"/>
      <c r="BO667"/>
      <c r="BP667"/>
      <c r="BQ667"/>
      <c r="BR667"/>
      <c r="BS667"/>
      <c r="BT667"/>
      <c r="BU667"/>
      <c r="BV667"/>
      <c r="BW667"/>
      <c r="BX667"/>
      <c r="BY667"/>
      <c r="BZ667"/>
      <c r="CA667"/>
      <c r="CB667"/>
      <c r="CC667"/>
      <c r="CD667"/>
      <c r="CE667"/>
      <c r="CF667"/>
    </row>
    <row r="668" spans="1:84" ht="12.75" customHeight="1">
      <c r="A668"/>
      <c r="B668"/>
      <c r="C668"/>
      <c r="D668"/>
      <c r="E668"/>
      <c r="F668"/>
      <c r="G668"/>
      <c r="AB668" s="68"/>
      <c r="BJ668"/>
      <c r="BK668"/>
      <c r="BL668"/>
      <c r="BM668"/>
      <c r="BN668"/>
      <c r="BO668"/>
      <c r="BP668"/>
      <c r="BQ668"/>
      <c r="BR668"/>
      <c r="BS668"/>
      <c r="BT668"/>
      <c r="BU668"/>
      <c r="BV668"/>
      <c r="BW668"/>
      <c r="BX668"/>
      <c r="BY668"/>
      <c r="BZ668"/>
      <c r="CA668"/>
      <c r="CB668"/>
      <c r="CC668"/>
      <c r="CD668"/>
      <c r="CE668"/>
      <c r="CF668"/>
    </row>
    <row r="669" spans="1:84" ht="12.75" customHeight="1">
      <c r="A669"/>
      <c r="B669"/>
      <c r="C669"/>
      <c r="D669"/>
      <c r="E669"/>
      <c r="F669"/>
      <c r="G669"/>
      <c r="AB669" s="68"/>
      <c r="BJ669"/>
      <c r="BK669"/>
      <c r="BL669"/>
      <c r="BM669"/>
      <c r="BN669"/>
      <c r="BO669"/>
      <c r="BP669"/>
      <c r="BQ669"/>
      <c r="BR669"/>
      <c r="BS669"/>
      <c r="BT669"/>
      <c r="BU669"/>
      <c r="BV669"/>
      <c r="BW669"/>
      <c r="BX669"/>
      <c r="BY669"/>
      <c r="BZ669"/>
      <c r="CA669"/>
      <c r="CB669"/>
      <c r="CC669"/>
      <c r="CD669"/>
      <c r="CE669"/>
      <c r="CF669"/>
    </row>
    <row r="670" spans="1:84" ht="12.75" customHeight="1">
      <c r="A670"/>
      <c r="B670"/>
      <c r="C670"/>
      <c r="D670"/>
      <c r="E670"/>
      <c r="F670"/>
      <c r="G670"/>
      <c r="AB670" s="68"/>
      <c r="BJ670"/>
      <c r="BK670"/>
      <c r="BL670"/>
      <c r="BM670"/>
      <c r="BN670"/>
      <c r="BO670"/>
      <c r="BP670"/>
      <c r="BQ670"/>
      <c r="BR670"/>
      <c r="BS670"/>
      <c r="BT670"/>
      <c r="BU670"/>
      <c r="BV670"/>
      <c r="BW670"/>
      <c r="BX670"/>
      <c r="BY670"/>
      <c r="BZ670"/>
      <c r="CA670"/>
      <c r="CB670"/>
      <c r="CC670"/>
      <c r="CD670"/>
      <c r="CE670"/>
      <c r="CF670"/>
    </row>
    <row r="671" spans="1:84" ht="12.75" customHeight="1">
      <c r="A671"/>
      <c r="B671"/>
      <c r="C671"/>
      <c r="D671"/>
      <c r="E671"/>
      <c r="F671"/>
      <c r="G671"/>
      <c r="AB671" s="68"/>
      <c r="BJ671"/>
      <c r="BK671"/>
      <c r="BL671"/>
      <c r="BM671"/>
      <c r="BN671"/>
      <c r="BO671"/>
      <c r="BP671"/>
      <c r="BQ671"/>
      <c r="BR671"/>
      <c r="BS671"/>
      <c r="BT671"/>
      <c r="BU671"/>
      <c r="BV671"/>
      <c r="BW671"/>
      <c r="BX671"/>
      <c r="BY671"/>
      <c r="BZ671"/>
      <c r="CA671"/>
      <c r="CB671"/>
      <c r="CC671"/>
      <c r="CD671"/>
      <c r="CE671"/>
      <c r="CF671"/>
    </row>
    <row r="672" spans="1:84" ht="12.75" customHeight="1">
      <c r="A672"/>
      <c r="B672"/>
      <c r="C672"/>
      <c r="D672"/>
      <c r="E672"/>
      <c r="F672"/>
      <c r="G672"/>
      <c r="AB672" s="68"/>
      <c r="BJ672"/>
      <c r="BK672"/>
      <c r="BL672"/>
      <c r="BM672"/>
      <c r="BN672"/>
      <c r="BO672"/>
      <c r="BP672"/>
      <c r="BQ672"/>
      <c r="BR672"/>
      <c r="BS672"/>
      <c r="BT672"/>
      <c r="BU672"/>
      <c r="BV672"/>
      <c r="BW672"/>
      <c r="BX672"/>
      <c r="BY672"/>
      <c r="BZ672"/>
      <c r="CA672"/>
      <c r="CB672"/>
      <c r="CC672"/>
      <c r="CD672"/>
      <c r="CE672"/>
      <c r="CF672"/>
    </row>
    <row r="673" spans="1:84" ht="12.75" customHeight="1">
      <c r="A673"/>
      <c r="B673"/>
      <c r="C673"/>
      <c r="D673"/>
      <c r="E673"/>
      <c r="F673"/>
      <c r="G673"/>
      <c r="AB673" s="68"/>
      <c r="BJ673"/>
      <c r="BK673"/>
      <c r="BL673"/>
      <c r="BM673"/>
      <c r="BN673"/>
      <c r="BO673"/>
      <c r="BP673"/>
      <c r="BQ673"/>
      <c r="BR673"/>
      <c r="BS673"/>
      <c r="BT673"/>
      <c r="BU673"/>
      <c r="BV673"/>
      <c r="BW673"/>
      <c r="BX673"/>
      <c r="BY673"/>
      <c r="BZ673"/>
      <c r="CA673"/>
      <c r="CB673"/>
      <c r="CC673"/>
      <c r="CD673"/>
      <c r="CE673"/>
      <c r="CF673"/>
    </row>
    <row r="674" spans="1:84" ht="12.75" customHeight="1">
      <c r="A674"/>
      <c r="B674"/>
      <c r="C674"/>
      <c r="D674"/>
      <c r="E674"/>
      <c r="F674"/>
      <c r="G674"/>
      <c r="AB674" s="68"/>
      <c r="BJ674"/>
      <c r="BK674"/>
      <c r="BL674"/>
      <c r="BM674"/>
      <c r="BN674"/>
      <c r="BO674"/>
      <c r="BP674"/>
      <c r="BQ674"/>
      <c r="BR674"/>
      <c r="BS674"/>
      <c r="BT674"/>
      <c r="BU674"/>
      <c r="BV674"/>
      <c r="BW674"/>
      <c r="BX674"/>
      <c r="BY674"/>
      <c r="BZ674"/>
      <c r="CA674"/>
      <c r="CB674"/>
      <c r="CC674"/>
      <c r="CD674"/>
      <c r="CE674"/>
      <c r="CF674"/>
    </row>
    <row r="675" spans="1:84" ht="12.75" customHeight="1">
      <c r="A675"/>
      <c r="B675"/>
      <c r="C675"/>
      <c r="D675"/>
      <c r="E675"/>
      <c r="F675"/>
      <c r="G675"/>
      <c r="AB675" s="68"/>
      <c r="BJ675"/>
      <c r="BK675"/>
      <c r="BL675"/>
      <c r="BM675"/>
      <c r="BN675"/>
      <c r="BO675"/>
      <c r="BP675"/>
      <c r="BQ675"/>
      <c r="BR675"/>
      <c r="BS675"/>
      <c r="BT675"/>
      <c r="BU675"/>
      <c r="BV675"/>
      <c r="BW675"/>
      <c r="BX675"/>
      <c r="BY675"/>
      <c r="BZ675"/>
      <c r="CA675"/>
      <c r="CB675"/>
      <c r="CC675"/>
      <c r="CD675"/>
      <c r="CE675"/>
      <c r="CF675"/>
    </row>
    <row r="676" spans="1:84" ht="12.75" customHeight="1">
      <c r="A676"/>
      <c r="B676"/>
      <c r="C676"/>
      <c r="D676"/>
      <c r="E676"/>
      <c r="F676"/>
      <c r="G676"/>
      <c r="AB676" s="68"/>
      <c r="BJ676"/>
      <c r="BK676"/>
      <c r="BL676"/>
      <c r="BM676"/>
      <c r="BN676"/>
      <c r="BO676"/>
      <c r="BP676"/>
      <c r="BQ676"/>
      <c r="BR676"/>
      <c r="BS676"/>
      <c r="BT676"/>
      <c r="BU676"/>
      <c r="BV676"/>
      <c r="BW676"/>
      <c r="BX676"/>
      <c r="BY676"/>
      <c r="BZ676"/>
      <c r="CA676"/>
      <c r="CB676"/>
      <c r="CC676"/>
      <c r="CD676"/>
      <c r="CE676"/>
      <c r="CF676"/>
    </row>
    <row r="677" spans="1:84" ht="12.75" customHeight="1">
      <c r="A677"/>
      <c r="B677"/>
      <c r="C677"/>
      <c r="D677"/>
      <c r="E677"/>
      <c r="F677"/>
      <c r="G677"/>
      <c r="AB677" s="68"/>
      <c r="BJ677"/>
      <c r="BK677"/>
      <c r="BL677"/>
      <c r="BM677"/>
      <c r="BN677"/>
      <c r="BO677"/>
      <c r="BP677"/>
      <c r="BQ677"/>
      <c r="BR677"/>
      <c r="BS677"/>
      <c r="BT677"/>
      <c r="BU677"/>
      <c r="BV677"/>
      <c r="BW677"/>
      <c r="BX677"/>
      <c r="BY677"/>
      <c r="BZ677"/>
      <c r="CA677"/>
      <c r="CB677"/>
      <c r="CC677"/>
      <c r="CD677"/>
      <c r="CE677"/>
      <c r="CF677"/>
    </row>
    <row r="678" spans="1:84" ht="12.75" customHeight="1">
      <c r="A678"/>
      <c r="B678"/>
      <c r="C678"/>
      <c r="D678"/>
      <c r="E678"/>
      <c r="F678"/>
      <c r="G678"/>
      <c r="AB678" s="68"/>
      <c r="BJ678"/>
      <c r="BK678"/>
      <c r="BL678"/>
      <c r="BM678"/>
      <c r="BN678"/>
      <c r="BO678"/>
      <c r="BP678"/>
      <c r="BQ678"/>
      <c r="BR678"/>
      <c r="BS678"/>
      <c r="BT678"/>
      <c r="BU678"/>
      <c r="BV678"/>
      <c r="BW678"/>
      <c r="BX678"/>
      <c r="BY678"/>
      <c r="BZ678"/>
      <c r="CA678"/>
      <c r="CB678"/>
      <c r="CC678"/>
      <c r="CD678"/>
      <c r="CE678"/>
      <c r="CF678"/>
    </row>
    <row r="679" spans="1:84" ht="12.75" customHeight="1">
      <c r="A679"/>
      <c r="B679"/>
      <c r="C679"/>
      <c r="D679"/>
      <c r="E679"/>
      <c r="F679"/>
      <c r="G679"/>
      <c r="AB679" s="68"/>
      <c r="BJ679"/>
      <c r="BK679"/>
      <c r="BL679"/>
      <c r="BM679"/>
      <c r="BN679"/>
      <c r="BO679"/>
      <c r="BP679"/>
      <c r="BQ679"/>
      <c r="BR679"/>
      <c r="BS679"/>
      <c r="BT679"/>
      <c r="BU679"/>
      <c r="BV679"/>
      <c r="BW679"/>
      <c r="BX679"/>
      <c r="BY679"/>
      <c r="BZ679"/>
      <c r="CA679"/>
      <c r="CB679"/>
      <c r="CC679"/>
      <c r="CD679"/>
      <c r="CE679"/>
      <c r="CF679"/>
    </row>
    <row r="680" spans="1:84" ht="12.75" customHeight="1">
      <c r="A680"/>
      <c r="B680"/>
      <c r="C680"/>
      <c r="D680"/>
      <c r="E680"/>
      <c r="F680"/>
      <c r="G680"/>
      <c r="AB680" s="68"/>
      <c r="BJ680"/>
      <c r="BK680"/>
      <c r="BL680"/>
      <c r="BM680"/>
      <c r="BN680"/>
      <c r="BO680"/>
      <c r="BP680"/>
      <c r="BQ680"/>
      <c r="BR680"/>
      <c r="BS680"/>
      <c r="BT680"/>
      <c r="BU680"/>
      <c r="BV680"/>
      <c r="BW680"/>
      <c r="BX680"/>
      <c r="BY680"/>
      <c r="BZ680"/>
      <c r="CA680"/>
      <c r="CB680"/>
      <c r="CC680"/>
      <c r="CD680"/>
      <c r="CE680"/>
      <c r="CF680"/>
    </row>
    <row r="681" spans="1:84" ht="12.75" customHeight="1">
      <c r="A681"/>
      <c r="B681"/>
      <c r="C681"/>
      <c r="D681"/>
      <c r="E681"/>
      <c r="F681"/>
      <c r="G681"/>
      <c r="AB681" s="68"/>
      <c r="BJ681"/>
      <c r="BK681"/>
      <c r="BL681"/>
      <c r="BM681"/>
      <c r="BN681"/>
      <c r="BO681"/>
      <c r="BP681"/>
      <c r="BQ681"/>
      <c r="BR681"/>
      <c r="BS681"/>
      <c r="BT681"/>
      <c r="BU681"/>
      <c r="BV681"/>
      <c r="BW681"/>
      <c r="BX681"/>
      <c r="BY681"/>
      <c r="BZ681"/>
      <c r="CA681"/>
      <c r="CB681"/>
      <c r="CC681"/>
      <c r="CD681"/>
      <c r="CE681"/>
      <c r="CF681"/>
    </row>
    <row r="682" spans="1:84" ht="12.75" customHeight="1">
      <c r="A682"/>
      <c r="B682"/>
      <c r="C682"/>
      <c r="D682"/>
      <c r="E682"/>
      <c r="F682"/>
      <c r="G682"/>
      <c r="AB682" s="68"/>
      <c r="BJ682"/>
      <c r="BK682"/>
      <c r="BL682"/>
      <c r="BM682"/>
      <c r="BN682"/>
      <c r="BO682"/>
      <c r="BP682"/>
      <c r="BQ682"/>
      <c r="BR682"/>
      <c r="BS682"/>
      <c r="BT682"/>
      <c r="BU682"/>
      <c r="BV682"/>
      <c r="BW682"/>
      <c r="BX682"/>
      <c r="BY682"/>
      <c r="BZ682"/>
      <c r="CA682"/>
      <c r="CB682"/>
      <c r="CC682"/>
      <c r="CD682"/>
      <c r="CE682"/>
      <c r="CF682"/>
    </row>
    <row r="683" spans="1:84" ht="12.75" customHeight="1">
      <c r="A683"/>
      <c r="B683"/>
      <c r="C683"/>
      <c r="D683"/>
      <c r="E683"/>
      <c r="F683"/>
      <c r="G683"/>
      <c r="AB683" s="68"/>
      <c r="BJ683"/>
      <c r="BK683"/>
      <c r="BL683"/>
      <c r="BM683"/>
      <c r="BN683"/>
      <c r="BO683"/>
      <c r="BP683"/>
      <c r="BQ683"/>
      <c r="BR683"/>
      <c r="BS683"/>
      <c r="BT683"/>
      <c r="BU683"/>
      <c r="BV683"/>
      <c r="BW683"/>
      <c r="BX683"/>
      <c r="BY683"/>
      <c r="BZ683"/>
      <c r="CA683"/>
      <c r="CB683"/>
      <c r="CC683"/>
      <c r="CD683"/>
      <c r="CE683"/>
      <c r="CF683"/>
    </row>
    <row r="684" spans="1:84" ht="12.75" customHeight="1">
      <c r="A684"/>
      <c r="B684"/>
      <c r="C684"/>
      <c r="D684"/>
      <c r="E684"/>
      <c r="F684"/>
      <c r="G684"/>
      <c r="AB684" s="68"/>
      <c r="BJ684"/>
      <c r="BK684"/>
      <c r="BL684"/>
      <c r="BM684"/>
      <c r="BN684"/>
      <c r="BO684"/>
      <c r="BP684"/>
      <c r="BQ684"/>
      <c r="BR684"/>
      <c r="BS684"/>
      <c r="BT684"/>
      <c r="BU684"/>
      <c r="BV684"/>
      <c r="BW684"/>
      <c r="BX684"/>
      <c r="BY684"/>
      <c r="BZ684"/>
      <c r="CA684"/>
      <c r="CB684"/>
      <c r="CC684"/>
      <c r="CD684"/>
      <c r="CE684"/>
      <c r="CF684"/>
    </row>
    <row r="685" spans="1:84" ht="12.75" customHeight="1">
      <c r="A685"/>
      <c r="B685"/>
      <c r="C685"/>
      <c r="D685"/>
      <c r="E685"/>
      <c r="F685"/>
      <c r="G685"/>
      <c r="AB685" s="68"/>
      <c r="BJ685"/>
      <c r="BK685"/>
      <c r="BL685"/>
      <c r="BM685"/>
      <c r="BN685"/>
      <c r="BO685"/>
      <c r="BP685"/>
      <c r="BQ685"/>
      <c r="BR685"/>
      <c r="BS685"/>
      <c r="BT685"/>
      <c r="BU685"/>
      <c r="BV685"/>
      <c r="BW685"/>
      <c r="BX685"/>
      <c r="BY685"/>
      <c r="BZ685"/>
      <c r="CA685"/>
      <c r="CB685"/>
      <c r="CC685"/>
      <c r="CD685"/>
      <c r="CE685"/>
      <c r="CF685"/>
    </row>
    <row r="686" spans="1:84" ht="12.75" customHeight="1">
      <c r="A686"/>
      <c r="B686"/>
      <c r="C686"/>
      <c r="D686"/>
      <c r="E686"/>
      <c r="F686"/>
      <c r="G686"/>
      <c r="AB686" s="68"/>
      <c r="BJ686"/>
      <c r="BK686"/>
      <c r="BL686"/>
      <c r="BM686"/>
      <c r="BN686"/>
      <c r="BO686"/>
      <c r="BP686"/>
      <c r="BQ686"/>
      <c r="BR686"/>
      <c r="BS686"/>
      <c r="BT686"/>
      <c r="BU686"/>
      <c r="BV686"/>
      <c r="BW686"/>
      <c r="BX686"/>
      <c r="BY686"/>
      <c r="BZ686"/>
      <c r="CA686"/>
      <c r="CB686"/>
      <c r="CC686"/>
      <c r="CD686"/>
      <c r="CE686"/>
      <c r="CF686"/>
    </row>
    <row r="687" spans="1:84" ht="12.75" customHeight="1">
      <c r="A687"/>
      <c r="B687"/>
      <c r="C687"/>
      <c r="D687"/>
      <c r="E687"/>
      <c r="F687"/>
      <c r="G687"/>
      <c r="AB687" s="68"/>
      <c r="BJ687"/>
      <c r="BK687"/>
      <c r="BL687"/>
      <c r="BM687"/>
      <c r="BN687"/>
      <c r="BO687"/>
      <c r="BP687"/>
      <c r="BQ687"/>
      <c r="BR687"/>
      <c r="BS687"/>
      <c r="BT687"/>
      <c r="BU687"/>
      <c r="BV687"/>
      <c r="BW687"/>
      <c r="BX687"/>
      <c r="BY687"/>
      <c r="BZ687"/>
      <c r="CA687"/>
      <c r="CB687"/>
      <c r="CC687"/>
      <c r="CD687"/>
      <c r="CE687"/>
      <c r="CF687"/>
    </row>
    <row r="688" spans="1:84" ht="12.75" customHeight="1">
      <c r="A688"/>
      <c r="B688"/>
      <c r="C688"/>
      <c r="D688"/>
      <c r="E688"/>
      <c r="F688"/>
      <c r="G688"/>
      <c r="AB688" s="68"/>
      <c r="BJ688"/>
      <c r="BK688"/>
      <c r="BL688"/>
      <c r="BM688"/>
      <c r="BN688"/>
      <c r="BO688"/>
      <c r="BP688"/>
      <c r="BQ688"/>
      <c r="BR688"/>
      <c r="BS688"/>
      <c r="BT688"/>
      <c r="BU688"/>
      <c r="BV688"/>
      <c r="BW688"/>
      <c r="BX688"/>
      <c r="BY688"/>
      <c r="BZ688"/>
      <c r="CA688"/>
      <c r="CB688"/>
      <c r="CC688"/>
      <c r="CD688"/>
      <c r="CE688"/>
      <c r="CF688"/>
    </row>
    <row r="689" spans="1:84" ht="12.75" customHeight="1">
      <c r="A689"/>
      <c r="B689"/>
      <c r="C689"/>
      <c r="D689"/>
      <c r="E689"/>
      <c r="F689"/>
      <c r="G689"/>
      <c r="AB689" s="68"/>
      <c r="BJ689"/>
      <c r="BK689"/>
      <c r="BL689"/>
      <c r="BM689"/>
      <c r="BN689"/>
      <c r="BO689"/>
      <c r="BP689"/>
      <c r="BQ689"/>
      <c r="BR689"/>
      <c r="BS689"/>
      <c r="BT689"/>
      <c r="BU689"/>
      <c r="BV689"/>
      <c r="BW689"/>
      <c r="BX689"/>
      <c r="BY689"/>
      <c r="BZ689"/>
      <c r="CA689"/>
      <c r="CB689"/>
      <c r="CC689"/>
      <c r="CD689"/>
      <c r="CE689"/>
      <c r="CF689"/>
    </row>
    <row r="690" spans="1:84" ht="12.75" customHeight="1">
      <c r="A690"/>
      <c r="B690"/>
      <c r="C690"/>
      <c r="D690"/>
      <c r="E690"/>
      <c r="F690"/>
      <c r="G690"/>
      <c r="AB690" s="68"/>
      <c r="BJ690"/>
      <c r="BK690"/>
      <c r="BL690"/>
      <c r="BM690"/>
      <c r="BN690"/>
      <c r="BO690"/>
      <c r="BP690"/>
      <c r="BQ690"/>
      <c r="BR690"/>
      <c r="BS690"/>
      <c r="BT690"/>
      <c r="BU690"/>
      <c r="BV690"/>
      <c r="BW690"/>
      <c r="BX690"/>
      <c r="BY690"/>
      <c r="BZ690"/>
      <c r="CA690"/>
      <c r="CB690"/>
      <c r="CC690"/>
      <c r="CD690"/>
      <c r="CE690"/>
      <c r="CF690"/>
    </row>
    <row r="691" spans="1:84" ht="12.75" customHeight="1">
      <c r="A691"/>
      <c r="B691"/>
      <c r="C691"/>
      <c r="D691"/>
      <c r="E691"/>
      <c r="F691"/>
      <c r="G691"/>
      <c r="AB691" s="68"/>
      <c r="BJ691"/>
      <c r="BK691"/>
      <c r="BL691"/>
      <c r="BM691"/>
      <c r="BN691"/>
      <c r="BO691"/>
      <c r="BP691"/>
      <c r="BQ691"/>
      <c r="BR691"/>
      <c r="BS691"/>
      <c r="BT691"/>
      <c r="BU691"/>
      <c r="BV691"/>
      <c r="BW691"/>
      <c r="BX691"/>
      <c r="BY691"/>
      <c r="BZ691"/>
      <c r="CA691"/>
      <c r="CB691"/>
      <c r="CC691"/>
      <c r="CD691"/>
      <c r="CE691"/>
      <c r="CF691"/>
    </row>
    <row r="692" spans="1:84" ht="12.75" customHeight="1">
      <c r="A692"/>
      <c r="B692"/>
      <c r="C692"/>
      <c r="D692"/>
      <c r="E692"/>
      <c r="F692"/>
      <c r="G692"/>
      <c r="AB692" s="68"/>
      <c r="BJ692"/>
      <c r="BK692"/>
      <c r="BL692"/>
      <c r="BM692"/>
      <c r="BN692"/>
      <c r="BO692"/>
      <c r="BP692"/>
      <c r="BQ692"/>
      <c r="BR692"/>
      <c r="BS692"/>
      <c r="BT692"/>
      <c r="BU692"/>
      <c r="BV692"/>
      <c r="BW692"/>
      <c r="BX692"/>
      <c r="BY692"/>
      <c r="BZ692"/>
      <c r="CA692"/>
      <c r="CB692"/>
      <c r="CC692"/>
      <c r="CD692"/>
      <c r="CE692"/>
      <c r="CF692"/>
    </row>
    <row r="693" spans="1:84" ht="12.75" customHeight="1">
      <c r="A693"/>
      <c r="B693"/>
      <c r="C693"/>
      <c r="D693"/>
      <c r="E693"/>
      <c r="F693"/>
      <c r="G693"/>
      <c r="AB693" s="68"/>
      <c r="BJ693"/>
      <c r="BK693"/>
      <c r="BL693"/>
      <c r="BM693"/>
      <c r="BN693"/>
      <c r="BO693"/>
      <c r="BP693"/>
      <c r="BQ693"/>
      <c r="BR693"/>
      <c r="BS693"/>
      <c r="BT693"/>
      <c r="BU693"/>
      <c r="BV693"/>
      <c r="BW693"/>
      <c r="BX693"/>
      <c r="BY693"/>
      <c r="BZ693"/>
      <c r="CA693"/>
      <c r="CB693"/>
      <c r="CC693"/>
      <c r="CD693"/>
      <c r="CE693"/>
      <c r="CF693"/>
    </row>
    <row r="694" spans="1:84" ht="12.75" customHeight="1">
      <c r="A694"/>
      <c r="B694"/>
      <c r="C694"/>
      <c r="D694"/>
      <c r="E694"/>
      <c r="F694"/>
      <c r="G694"/>
      <c r="AB694" s="68"/>
      <c r="BJ694"/>
      <c r="BK694"/>
      <c r="BL694"/>
      <c r="BM694"/>
      <c r="BN694"/>
      <c r="BO694"/>
      <c r="BP694"/>
      <c r="BQ694"/>
      <c r="BR694"/>
      <c r="BS694"/>
      <c r="BT694"/>
      <c r="BU694"/>
      <c r="BV694"/>
      <c r="BW694"/>
      <c r="BX694"/>
      <c r="BY694"/>
      <c r="BZ694"/>
      <c r="CA694"/>
      <c r="CB694"/>
      <c r="CC694"/>
      <c r="CD694"/>
      <c r="CE694"/>
      <c r="CF694"/>
    </row>
    <row r="695" spans="1:84" ht="12.75" customHeight="1">
      <c r="A695"/>
      <c r="B695"/>
      <c r="C695"/>
      <c r="D695"/>
      <c r="E695"/>
      <c r="F695"/>
      <c r="G695"/>
      <c r="AB695" s="68"/>
      <c r="BJ695"/>
      <c r="BK695"/>
      <c r="BL695"/>
      <c r="BM695"/>
      <c r="BN695"/>
      <c r="BO695"/>
      <c r="BP695"/>
      <c r="BQ695"/>
      <c r="BR695"/>
      <c r="BS695"/>
      <c r="BT695"/>
      <c r="BU695"/>
      <c r="BV695"/>
      <c r="BW695"/>
      <c r="BX695"/>
      <c r="BY695"/>
      <c r="BZ695"/>
      <c r="CA695"/>
      <c r="CB695"/>
      <c r="CC695"/>
      <c r="CD695"/>
      <c r="CE695"/>
      <c r="CF695"/>
    </row>
    <row r="696" spans="1:84" ht="12.75" customHeight="1">
      <c r="A696"/>
      <c r="B696"/>
      <c r="C696"/>
      <c r="D696"/>
      <c r="E696"/>
      <c r="F696"/>
      <c r="G696"/>
      <c r="AB696" s="68"/>
      <c r="BJ696"/>
      <c r="BK696"/>
      <c r="BL696"/>
      <c r="BM696"/>
      <c r="BN696"/>
      <c r="BO696"/>
      <c r="BP696"/>
      <c r="BQ696"/>
      <c r="BR696"/>
      <c r="BS696"/>
      <c r="BT696"/>
      <c r="BU696"/>
      <c r="BV696"/>
      <c r="BW696"/>
      <c r="BX696"/>
      <c r="BY696"/>
      <c r="BZ696"/>
      <c r="CA696"/>
      <c r="CB696"/>
      <c r="CC696"/>
      <c r="CD696"/>
      <c r="CE696"/>
      <c r="CF696"/>
    </row>
    <row r="697" spans="1:84" ht="12.75" customHeight="1">
      <c r="A697"/>
      <c r="B697"/>
      <c r="C697"/>
      <c r="D697"/>
      <c r="E697"/>
      <c r="F697"/>
      <c r="G697"/>
      <c r="AB697" s="68"/>
      <c r="BJ697"/>
      <c r="BK697"/>
      <c r="BL697"/>
      <c r="BM697"/>
      <c r="BN697"/>
      <c r="BO697"/>
      <c r="BP697"/>
      <c r="BQ697"/>
      <c r="BR697"/>
      <c r="BS697"/>
      <c r="BT697"/>
      <c r="BU697"/>
      <c r="BV697"/>
      <c r="BW697"/>
      <c r="BX697"/>
      <c r="BY697"/>
      <c r="BZ697"/>
      <c r="CA697"/>
      <c r="CB697"/>
      <c r="CC697"/>
      <c r="CD697"/>
      <c r="CE697"/>
      <c r="CF697"/>
    </row>
    <row r="698" spans="1:84" ht="12.75" customHeight="1">
      <c r="A698"/>
      <c r="B698"/>
      <c r="C698"/>
      <c r="D698"/>
      <c r="E698"/>
      <c r="F698"/>
      <c r="G698"/>
      <c r="AB698" s="68"/>
      <c r="BJ698"/>
      <c r="BK698"/>
      <c r="BL698"/>
      <c r="BM698"/>
      <c r="BN698"/>
      <c r="BO698"/>
      <c r="BP698"/>
      <c r="BQ698"/>
      <c r="BR698"/>
      <c r="BS698"/>
      <c r="BT698"/>
      <c r="BU698"/>
      <c r="BV698"/>
      <c r="BW698"/>
      <c r="BX698"/>
      <c r="BY698"/>
      <c r="BZ698"/>
      <c r="CA698"/>
      <c r="CB698"/>
      <c r="CC698"/>
      <c r="CD698"/>
      <c r="CE698"/>
      <c r="CF698"/>
    </row>
    <row r="699" spans="1:84" ht="12.75" customHeight="1">
      <c r="A699"/>
      <c r="B699"/>
      <c r="C699"/>
      <c r="D699"/>
      <c r="E699"/>
      <c r="F699"/>
      <c r="G699"/>
      <c r="AB699" s="68"/>
      <c r="BJ699"/>
      <c r="BK699"/>
      <c r="BL699"/>
      <c r="BM699"/>
      <c r="BN699"/>
      <c r="BO699"/>
      <c r="BP699"/>
      <c r="BQ699"/>
      <c r="BR699"/>
      <c r="BS699"/>
      <c r="BT699"/>
      <c r="BU699"/>
      <c r="BV699"/>
      <c r="BW699"/>
      <c r="BX699"/>
      <c r="BY699"/>
      <c r="BZ699"/>
      <c r="CA699"/>
      <c r="CB699"/>
      <c r="CC699"/>
      <c r="CD699"/>
      <c r="CE699"/>
      <c r="CF699"/>
    </row>
    <row r="700" spans="1:84" ht="12.75" customHeight="1">
      <c r="A700"/>
      <c r="B700"/>
      <c r="C700"/>
      <c r="D700"/>
      <c r="E700"/>
      <c r="F700"/>
      <c r="G700"/>
      <c r="AB700" s="68"/>
      <c r="BJ700"/>
      <c r="BK700"/>
      <c r="BL700"/>
      <c r="BM700"/>
      <c r="BN700"/>
      <c r="BO700"/>
      <c r="BP700"/>
      <c r="BQ700"/>
      <c r="BR700"/>
      <c r="BS700"/>
      <c r="BT700"/>
      <c r="BU700"/>
      <c r="BV700"/>
      <c r="BW700"/>
      <c r="BX700"/>
      <c r="BY700"/>
      <c r="BZ700"/>
      <c r="CA700"/>
      <c r="CB700"/>
      <c r="CC700"/>
      <c r="CD700"/>
      <c r="CE700"/>
      <c r="CF700"/>
    </row>
    <row r="701" spans="1:84" ht="12.75" customHeight="1">
      <c r="A701"/>
      <c r="B701"/>
      <c r="C701"/>
      <c r="D701"/>
      <c r="E701"/>
      <c r="F701"/>
      <c r="G701"/>
      <c r="AB701" s="68"/>
      <c r="BJ701"/>
      <c r="BK701"/>
      <c r="BL701"/>
      <c r="BM701"/>
      <c r="BN701"/>
      <c r="BO701"/>
      <c r="BP701"/>
      <c r="BQ701"/>
      <c r="BR701"/>
      <c r="BS701"/>
      <c r="BT701"/>
      <c r="BU701"/>
      <c r="BV701"/>
      <c r="BW701"/>
      <c r="BX701"/>
      <c r="BY701"/>
      <c r="BZ701"/>
      <c r="CA701"/>
      <c r="CB701"/>
      <c r="CC701"/>
      <c r="CD701"/>
      <c r="CE701"/>
      <c r="CF701"/>
    </row>
    <row r="702" spans="1:84" ht="12.75" customHeight="1">
      <c r="A702"/>
      <c r="B702"/>
      <c r="C702"/>
      <c r="D702"/>
      <c r="E702"/>
      <c r="F702"/>
      <c r="G702"/>
      <c r="AB702" s="68"/>
      <c r="BJ702"/>
      <c r="BK702"/>
      <c r="BL702"/>
      <c r="BM702"/>
      <c r="BN702"/>
      <c r="BO702"/>
      <c r="BP702"/>
      <c r="BQ702"/>
      <c r="BR702"/>
      <c r="BS702"/>
      <c r="BT702"/>
      <c r="BU702"/>
      <c r="BV702"/>
      <c r="BW702"/>
      <c r="BX702"/>
      <c r="BY702"/>
      <c r="BZ702"/>
      <c r="CA702"/>
      <c r="CB702"/>
      <c r="CC702"/>
      <c r="CD702"/>
      <c r="CE702"/>
      <c r="CF702"/>
    </row>
    <row r="703" spans="1:84" ht="12.75" customHeight="1">
      <c r="A703"/>
      <c r="B703"/>
      <c r="C703"/>
      <c r="D703"/>
      <c r="E703"/>
      <c r="F703"/>
      <c r="G703"/>
      <c r="AB703" s="68"/>
      <c r="BJ703"/>
      <c r="BK703"/>
      <c r="BL703"/>
      <c r="BM703"/>
      <c r="BN703"/>
      <c r="BO703"/>
      <c r="BP703"/>
      <c r="BQ703"/>
      <c r="BR703"/>
      <c r="BS703"/>
      <c r="BT703"/>
      <c r="BU703"/>
      <c r="BV703"/>
      <c r="BW703"/>
      <c r="BX703"/>
      <c r="BY703"/>
      <c r="BZ703"/>
      <c r="CA703"/>
      <c r="CB703"/>
      <c r="CC703"/>
      <c r="CD703"/>
      <c r="CE703"/>
      <c r="CF703"/>
    </row>
    <row r="704" spans="1:84" ht="12.75" customHeight="1">
      <c r="A704"/>
      <c r="B704"/>
      <c r="C704"/>
      <c r="D704"/>
      <c r="E704"/>
      <c r="F704"/>
      <c r="G704"/>
      <c r="AB704" s="68"/>
      <c r="BJ704"/>
      <c r="BK704"/>
      <c r="BL704"/>
      <c r="BM704"/>
      <c r="BN704"/>
      <c r="BO704"/>
      <c r="BP704"/>
      <c r="BQ704"/>
      <c r="BR704"/>
      <c r="BS704"/>
      <c r="BT704"/>
      <c r="BU704"/>
      <c r="BV704"/>
      <c r="BW704"/>
      <c r="BX704"/>
      <c r="BY704"/>
      <c r="BZ704"/>
      <c r="CA704"/>
      <c r="CB704"/>
      <c r="CC704"/>
      <c r="CD704"/>
      <c r="CE704"/>
      <c r="CF704"/>
    </row>
    <row r="705" spans="1:84" ht="12.75" customHeight="1">
      <c r="A705"/>
      <c r="B705"/>
      <c r="C705"/>
      <c r="D705"/>
      <c r="E705"/>
      <c r="F705"/>
      <c r="G705"/>
      <c r="AB705" s="68"/>
      <c r="BJ705"/>
      <c r="BK705"/>
      <c r="BL705"/>
      <c r="BM705"/>
      <c r="BN705"/>
      <c r="BO705"/>
      <c r="BP705"/>
      <c r="BQ705"/>
      <c r="BR705"/>
      <c r="BS705"/>
      <c r="BT705"/>
      <c r="BU705"/>
      <c r="BV705"/>
      <c r="BW705"/>
      <c r="BX705"/>
      <c r="BY705"/>
      <c r="BZ705"/>
      <c r="CA705"/>
      <c r="CB705"/>
      <c r="CC705"/>
      <c r="CD705"/>
      <c r="CE705"/>
      <c r="CF705"/>
    </row>
    <row r="706" spans="1:84" ht="12.75" customHeight="1">
      <c r="A706"/>
      <c r="B706"/>
      <c r="C706"/>
      <c r="D706"/>
      <c r="E706"/>
      <c r="F706"/>
      <c r="G706"/>
      <c r="AB706" s="68"/>
      <c r="BJ706"/>
      <c r="BK706"/>
      <c r="BL706"/>
      <c r="BM706"/>
      <c r="BN706"/>
      <c r="BO706"/>
      <c r="BP706"/>
      <c r="BQ706"/>
      <c r="BR706"/>
      <c r="BS706"/>
      <c r="BT706"/>
      <c r="BU706"/>
      <c r="BV706"/>
      <c r="BW706"/>
      <c r="BX706"/>
      <c r="BY706"/>
      <c r="BZ706"/>
      <c r="CA706"/>
      <c r="CB706"/>
      <c r="CC706"/>
      <c r="CD706"/>
      <c r="CE706"/>
      <c r="CF706"/>
    </row>
    <row r="707" spans="1:84" ht="12.75" customHeight="1">
      <c r="A707"/>
      <c r="B707"/>
      <c r="C707"/>
      <c r="D707"/>
      <c r="E707"/>
      <c r="F707"/>
      <c r="G707"/>
      <c r="AB707" s="68"/>
      <c r="BJ707"/>
      <c r="BK707"/>
      <c r="BL707"/>
      <c r="BM707"/>
      <c r="BN707"/>
      <c r="BO707"/>
      <c r="BP707"/>
      <c r="BQ707"/>
      <c r="BR707"/>
      <c r="BS707"/>
      <c r="BT707"/>
      <c r="BU707"/>
      <c r="BV707"/>
      <c r="BW707"/>
      <c r="BX707"/>
      <c r="BY707"/>
      <c r="BZ707"/>
      <c r="CA707"/>
      <c r="CB707"/>
      <c r="CC707"/>
      <c r="CD707"/>
      <c r="CE707"/>
      <c r="CF707"/>
    </row>
    <row r="708" spans="1:84" ht="12.75" customHeight="1">
      <c r="A708"/>
      <c r="B708"/>
      <c r="C708"/>
      <c r="D708"/>
      <c r="E708"/>
      <c r="F708"/>
      <c r="G708"/>
      <c r="AB708" s="68"/>
      <c r="BJ708"/>
      <c r="BK708"/>
      <c r="BL708"/>
      <c r="BM708"/>
      <c r="BN708"/>
      <c r="BO708"/>
      <c r="BP708"/>
      <c r="BQ708"/>
      <c r="BR708"/>
      <c r="BS708"/>
      <c r="BT708"/>
      <c r="BU708"/>
      <c r="BV708"/>
      <c r="BW708"/>
      <c r="BX708"/>
      <c r="BY708"/>
      <c r="BZ708"/>
      <c r="CA708"/>
      <c r="CB708"/>
      <c r="CC708"/>
      <c r="CD708"/>
      <c r="CE708"/>
      <c r="CF708"/>
    </row>
    <row r="709" spans="1:84" ht="12.75" customHeight="1">
      <c r="A709"/>
      <c r="B709"/>
      <c r="C709"/>
      <c r="D709"/>
      <c r="E709"/>
      <c r="F709"/>
      <c r="G709"/>
      <c r="AB709" s="68"/>
      <c r="BJ709"/>
      <c r="BK709"/>
      <c r="BL709"/>
      <c r="BM709"/>
      <c r="BN709"/>
      <c r="BO709"/>
      <c r="BP709"/>
      <c r="BQ709"/>
      <c r="BR709"/>
      <c r="BS709"/>
      <c r="BT709"/>
      <c r="BU709"/>
      <c r="BV709"/>
      <c r="BW709"/>
      <c r="BX709"/>
      <c r="BY709"/>
      <c r="BZ709"/>
      <c r="CA709"/>
      <c r="CB709"/>
      <c r="CC709"/>
      <c r="CD709"/>
      <c r="CE709"/>
      <c r="CF709"/>
    </row>
    <row r="710" spans="1:84" ht="12.75" customHeight="1">
      <c r="A710"/>
      <c r="B710"/>
      <c r="C710"/>
      <c r="D710"/>
      <c r="E710"/>
      <c r="F710"/>
      <c r="G710"/>
      <c r="AB710" s="68"/>
      <c r="BJ710"/>
      <c r="BK710"/>
      <c r="BL710"/>
      <c r="BM710"/>
      <c r="BN710"/>
      <c r="BO710"/>
      <c r="BP710"/>
      <c r="BQ710"/>
      <c r="BR710"/>
      <c r="BS710"/>
      <c r="BT710"/>
      <c r="BU710"/>
      <c r="BV710"/>
      <c r="BW710"/>
      <c r="BX710"/>
      <c r="BY710"/>
      <c r="BZ710"/>
      <c r="CA710"/>
      <c r="CB710"/>
      <c r="CC710"/>
      <c r="CD710"/>
      <c r="CE710"/>
      <c r="CF710"/>
    </row>
    <row r="711" spans="1:84" ht="12.75" customHeight="1">
      <c r="A711"/>
      <c r="B711"/>
      <c r="C711"/>
      <c r="D711"/>
      <c r="E711"/>
      <c r="F711"/>
      <c r="G711"/>
      <c r="AB711" s="68"/>
      <c r="BJ711"/>
      <c r="BK711"/>
      <c r="BL711"/>
      <c r="BM711"/>
      <c r="BN711"/>
      <c r="BO711"/>
      <c r="BP711"/>
      <c r="BQ711"/>
      <c r="BR711"/>
      <c r="BS711"/>
      <c r="BT711"/>
      <c r="BU711"/>
      <c r="BV711"/>
      <c r="BW711"/>
      <c r="BX711"/>
      <c r="BY711"/>
      <c r="BZ711"/>
      <c r="CA711"/>
      <c r="CB711"/>
      <c r="CC711"/>
      <c r="CD711"/>
      <c r="CE711"/>
      <c r="CF711"/>
    </row>
    <row r="712" spans="1:84" ht="12.75" customHeight="1">
      <c r="A712"/>
      <c r="B712"/>
      <c r="C712"/>
      <c r="D712"/>
      <c r="E712"/>
      <c r="F712"/>
      <c r="G712"/>
      <c r="AB712" s="68"/>
      <c r="BJ712"/>
      <c r="BK712"/>
      <c r="BL712"/>
      <c r="BM712"/>
      <c r="BN712"/>
      <c r="BO712"/>
      <c r="BP712"/>
      <c r="BQ712"/>
      <c r="BR712"/>
      <c r="BS712"/>
      <c r="BT712"/>
      <c r="BU712"/>
      <c r="BV712"/>
      <c r="BW712"/>
      <c r="BX712"/>
      <c r="BY712"/>
      <c r="BZ712"/>
      <c r="CA712"/>
      <c r="CB712"/>
      <c r="CC712"/>
      <c r="CD712"/>
      <c r="CE712"/>
      <c r="CF712"/>
    </row>
    <row r="713" spans="1:84" ht="12.75" customHeight="1">
      <c r="A713"/>
      <c r="B713"/>
      <c r="C713"/>
      <c r="D713"/>
      <c r="E713"/>
      <c r="F713"/>
      <c r="G713"/>
      <c r="AB713" s="68"/>
      <c r="BJ713"/>
      <c r="BK713"/>
      <c r="BL713"/>
      <c r="BM713"/>
      <c r="BN713"/>
      <c r="BO713"/>
      <c r="BP713"/>
      <c r="BQ713"/>
      <c r="BR713"/>
      <c r="BS713"/>
      <c r="BT713"/>
      <c r="BU713"/>
      <c r="BV713"/>
      <c r="BW713"/>
      <c r="BX713"/>
      <c r="BY713"/>
      <c r="BZ713"/>
      <c r="CA713"/>
      <c r="CB713"/>
      <c r="CC713"/>
      <c r="CD713"/>
      <c r="CE713"/>
      <c r="CF713"/>
    </row>
    <row r="714" spans="1:84" ht="12.75" customHeight="1">
      <c r="A714"/>
      <c r="B714"/>
      <c r="C714"/>
      <c r="D714"/>
      <c r="E714"/>
      <c r="F714"/>
      <c r="G714"/>
      <c r="AB714" s="68"/>
      <c r="BJ714"/>
      <c r="BK714"/>
      <c r="BL714"/>
      <c r="BM714"/>
      <c r="BN714"/>
      <c r="BO714"/>
      <c r="BP714"/>
      <c r="BQ714"/>
      <c r="BR714"/>
      <c r="BS714"/>
      <c r="BT714"/>
      <c r="BU714"/>
      <c r="BV714"/>
      <c r="BW714"/>
      <c r="BX714"/>
      <c r="BY714"/>
      <c r="BZ714"/>
      <c r="CA714"/>
      <c r="CB714"/>
      <c r="CC714"/>
      <c r="CD714"/>
      <c r="CE714"/>
      <c r="CF714"/>
    </row>
    <row r="715" spans="1:84" ht="12.75" customHeight="1">
      <c r="A715"/>
      <c r="B715"/>
      <c r="C715"/>
      <c r="D715"/>
      <c r="E715"/>
      <c r="F715"/>
      <c r="G715"/>
      <c r="AB715" s="68"/>
      <c r="BJ715"/>
      <c r="BK715"/>
      <c r="BL715"/>
      <c r="BM715"/>
      <c r="BN715"/>
      <c r="BO715"/>
      <c r="BP715"/>
      <c r="BQ715"/>
      <c r="BR715"/>
      <c r="BS715"/>
      <c r="BT715"/>
      <c r="BU715"/>
      <c r="BV715"/>
      <c r="BW715"/>
      <c r="BX715"/>
      <c r="BY715"/>
      <c r="BZ715"/>
      <c r="CA715"/>
      <c r="CB715"/>
      <c r="CC715"/>
      <c r="CD715"/>
      <c r="CE715"/>
      <c r="CF715"/>
    </row>
    <row r="716" spans="1:84" ht="12.75" customHeight="1">
      <c r="A716"/>
      <c r="B716"/>
      <c r="C716"/>
      <c r="D716"/>
      <c r="E716"/>
      <c r="F716"/>
      <c r="G716"/>
      <c r="AB716" s="68"/>
      <c r="BJ716"/>
      <c r="BK716"/>
      <c r="BL716"/>
      <c r="BM716"/>
      <c r="BN716"/>
      <c r="BO716"/>
      <c r="BP716"/>
      <c r="BQ716"/>
      <c r="BR716"/>
      <c r="BS716"/>
      <c r="BT716"/>
      <c r="BU716"/>
      <c r="BV716"/>
      <c r="BW716"/>
      <c r="BX716"/>
      <c r="BY716"/>
      <c r="BZ716"/>
      <c r="CA716"/>
      <c r="CB716"/>
      <c r="CC716"/>
      <c r="CD716"/>
      <c r="CE716"/>
      <c r="CF716"/>
    </row>
    <row r="717" spans="1:84" ht="12.75" customHeight="1">
      <c r="A717"/>
      <c r="B717"/>
      <c r="C717"/>
      <c r="D717"/>
      <c r="E717"/>
      <c r="F717"/>
      <c r="G717"/>
      <c r="AB717" s="68"/>
      <c r="BJ717"/>
      <c r="BK717"/>
      <c r="BL717"/>
      <c r="BM717"/>
      <c r="BN717"/>
      <c r="BO717"/>
      <c r="BP717"/>
      <c r="BQ717"/>
      <c r="BR717"/>
      <c r="BS717"/>
      <c r="BT717"/>
      <c r="BU717"/>
      <c r="BV717"/>
      <c r="BW717"/>
      <c r="BX717"/>
      <c r="BY717"/>
      <c r="BZ717"/>
      <c r="CA717"/>
      <c r="CB717"/>
      <c r="CC717"/>
      <c r="CD717"/>
      <c r="CE717"/>
      <c r="CF717"/>
    </row>
    <row r="718" spans="1:84" ht="12.75" customHeight="1">
      <c r="A718"/>
      <c r="B718"/>
      <c r="C718"/>
      <c r="D718"/>
      <c r="E718"/>
      <c r="F718"/>
      <c r="G718"/>
      <c r="AB718" s="68"/>
      <c r="BJ718"/>
      <c r="BK718"/>
      <c r="BL718"/>
      <c r="BM718"/>
      <c r="BN718"/>
      <c r="BO718"/>
      <c r="BP718"/>
      <c r="BQ718"/>
      <c r="BR718"/>
      <c r="BS718"/>
      <c r="BT718"/>
      <c r="BU718"/>
      <c r="BV718"/>
      <c r="BW718"/>
      <c r="BX718"/>
      <c r="BY718"/>
      <c r="BZ718"/>
      <c r="CA718"/>
      <c r="CB718"/>
      <c r="CC718"/>
      <c r="CD718"/>
      <c r="CE718"/>
      <c r="CF718"/>
    </row>
    <row r="719" spans="1:84" ht="12.75" customHeight="1">
      <c r="A719"/>
      <c r="B719"/>
      <c r="C719"/>
      <c r="D719"/>
      <c r="E719"/>
      <c r="F719"/>
      <c r="G719"/>
      <c r="AB719" s="68"/>
      <c r="BJ719"/>
      <c r="BK719"/>
      <c r="BL719"/>
      <c r="BM719"/>
      <c r="BN719"/>
      <c r="BO719"/>
      <c r="BP719"/>
      <c r="BQ719"/>
      <c r="BR719"/>
      <c r="BS719"/>
      <c r="BT719"/>
      <c r="BU719"/>
      <c r="BV719"/>
      <c r="BW719"/>
      <c r="BX719"/>
      <c r="BY719"/>
      <c r="BZ719"/>
      <c r="CA719"/>
      <c r="CB719"/>
      <c r="CC719"/>
      <c r="CD719"/>
      <c r="CE719"/>
      <c r="CF719"/>
    </row>
    <row r="720" spans="1:84" ht="12.75" customHeight="1">
      <c r="A720"/>
      <c r="B720"/>
      <c r="C720"/>
      <c r="D720"/>
      <c r="E720"/>
      <c r="F720"/>
      <c r="G720"/>
      <c r="AB720" s="68"/>
      <c r="BJ720"/>
      <c r="BK720"/>
      <c r="BL720"/>
      <c r="BM720"/>
      <c r="BN720"/>
      <c r="BO720"/>
      <c r="BP720"/>
      <c r="BQ720"/>
      <c r="BR720"/>
      <c r="BS720"/>
      <c r="BT720"/>
      <c r="BU720"/>
      <c r="BV720"/>
      <c r="BW720"/>
      <c r="BX720"/>
      <c r="BY720"/>
      <c r="BZ720"/>
      <c r="CA720"/>
      <c r="CB720"/>
      <c r="CC720"/>
      <c r="CD720"/>
      <c r="CE720"/>
      <c r="CF720"/>
    </row>
    <row r="721" spans="1:84" ht="12.75" customHeight="1">
      <c r="A721"/>
      <c r="B721"/>
      <c r="C721"/>
      <c r="D721"/>
      <c r="E721"/>
      <c r="F721"/>
      <c r="G721"/>
      <c r="AB721" s="68"/>
      <c r="BJ721"/>
      <c r="BK721"/>
      <c r="BL721"/>
      <c r="BM721"/>
      <c r="BN721"/>
      <c r="BO721"/>
      <c r="BP721"/>
      <c r="BQ721"/>
      <c r="BR721"/>
      <c r="BS721"/>
      <c r="BT721"/>
      <c r="BU721"/>
      <c r="BV721"/>
      <c r="BW721"/>
      <c r="BX721"/>
      <c r="BY721"/>
      <c r="BZ721"/>
      <c r="CA721"/>
      <c r="CB721"/>
      <c r="CC721"/>
      <c r="CD721"/>
      <c r="CE721"/>
      <c r="CF721"/>
    </row>
    <row r="722" spans="1:84" ht="12.75" customHeight="1">
      <c r="A722"/>
      <c r="B722"/>
      <c r="C722"/>
      <c r="D722"/>
      <c r="E722"/>
      <c r="F722"/>
      <c r="G722"/>
      <c r="AB722" s="68"/>
      <c r="BJ722"/>
      <c r="BK722"/>
      <c r="BL722"/>
      <c r="BM722"/>
      <c r="BN722"/>
      <c r="BO722"/>
      <c r="BP722"/>
      <c r="BQ722"/>
      <c r="BR722"/>
      <c r="BS722"/>
      <c r="BT722"/>
      <c r="BU722"/>
      <c r="BV722"/>
      <c r="BW722"/>
      <c r="BX722"/>
      <c r="BY722"/>
      <c r="BZ722"/>
      <c r="CA722"/>
      <c r="CB722"/>
      <c r="CC722"/>
      <c r="CD722"/>
      <c r="CE722"/>
      <c r="CF722"/>
    </row>
    <row r="723" spans="1:84" ht="12.75" customHeight="1">
      <c r="A723"/>
      <c r="B723"/>
      <c r="C723"/>
      <c r="D723"/>
      <c r="E723"/>
      <c r="F723"/>
      <c r="G723"/>
      <c r="AB723" s="68"/>
      <c r="BJ723"/>
      <c r="BK723"/>
      <c r="BL723"/>
      <c r="BM723"/>
      <c r="BN723"/>
      <c r="BO723"/>
      <c r="BP723"/>
      <c r="BQ723"/>
      <c r="BR723"/>
      <c r="BS723"/>
      <c r="BT723"/>
      <c r="BU723"/>
      <c r="BV723"/>
      <c r="BW723"/>
      <c r="BX723"/>
      <c r="BY723"/>
      <c r="BZ723"/>
      <c r="CA723"/>
      <c r="CB723"/>
      <c r="CC723"/>
      <c r="CD723"/>
      <c r="CE723"/>
      <c r="CF723"/>
    </row>
    <row r="724" spans="1:84" ht="12.75" customHeight="1">
      <c r="A724"/>
      <c r="B724"/>
      <c r="C724"/>
      <c r="D724"/>
      <c r="E724"/>
      <c r="F724"/>
      <c r="G724"/>
      <c r="AB724" s="68"/>
      <c r="BJ724"/>
      <c r="BK724"/>
      <c r="BL724"/>
      <c r="BM724"/>
      <c r="BN724"/>
      <c r="BO724"/>
      <c r="BP724"/>
      <c r="BQ724"/>
      <c r="BR724"/>
      <c r="BS724"/>
      <c r="BT724"/>
      <c r="BU724"/>
      <c r="BV724"/>
      <c r="BW724"/>
      <c r="BX724"/>
      <c r="BY724"/>
      <c r="BZ724"/>
      <c r="CA724"/>
      <c r="CB724"/>
      <c r="CC724"/>
      <c r="CD724"/>
      <c r="CE724"/>
      <c r="CF724"/>
    </row>
    <row r="725" spans="1:84" ht="12.75" customHeight="1">
      <c r="A725"/>
      <c r="B725"/>
      <c r="C725"/>
      <c r="D725"/>
      <c r="E725"/>
      <c r="F725"/>
      <c r="G725"/>
      <c r="AB725" s="68"/>
      <c r="BJ725"/>
      <c r="BK725"/>
      <c r="BL725"/>
      <c r="BM725"/>
      <c r="BN725"/>
      <c r="BO725"/>
      <c r="BP725"/>
      <c r="BQ725"/>
      <c r="BR725"/>
      <c r="BS725"/>
      <c r="BT725"/>
      <c r="BU725"/>
      <c r="BV725"/>
      <c r="BW725"/>
      <c r="BX725"/>
      <c r="BY725"/>
      <c r="BZ725"/>
      <c r="CA725"/>
      <c r="CB725"/>
      <c r="CC725"/>
      <c r="CD725"/>
      <c r="CE725"/>
      <c r="CF725"/>
    </row>
    <row r="726" spans="1:84" ht="12.75" customHeight="1">
      <c r="A726"/>
      <c r="B726"/>
      <c r="C726"/>
      <c r="D726"/>
      <c r="E726"/>
      <c r="F726"/>
      <c r="G726"/>
      <c r="AB726" s="68"/>
      <c r="BJ726"/>
      <c r="BK726"/>
      <c r="BL726"/>
      <c r="BM726"/>
      <c r="BN726"/>
      <c r="BO726"/>
      <c r="BP726"/>
      <c r="BQ726"/>
      <c r="BR726"/>
      <c r="BS726"/>
      <c r="BT726"/>
      <c r="BU726"/>
      <c r="BV726"/>
      <c r="BW726"/>
      <c r="BX726"/>
      <c r="BY726"/>
      <c r="BZ726"/>
      <c r="CA726"/>
      <c r="CB726"/>
      <c r="CC726"/>
      <c r="CD726"/>
      <c r="CE726"/>
      <c r="CF726"/>
    </row>
    <row r="727" spans="1:84" ht="12.75" customHeight="1">
      <c r="A727"/>
      <c r="B727"/>
      <c r="C727"/>
      <c r="D727"/>
      <c r="E727"/>
      <c r="F727"/>
      <c r="G727"/>
      <c r="AB727" s="68"/>
      <c r="BJ727"/>
      <c r="BK727"/>
      <c r="BL727"/>
      <c r="BM727"/>
      <c r="BN727"/>
      <c r="BO727"/>
      <c r="BP727"/>
      <c r="BQ727"/>
      <c r="BR727"/>
      <c r="BS727"/>
      <c r="BT727"/>
      <c r="BU727"/>
      <c r="BV727"/>
      <c r="BW727"/>
      <c r="BX727"/>
      <c r="BY727"/>
      <c r="BZ727"/>
      <c r="CA727"/>
      <c r="CB727"/>
      <c r="CC727"/>
      <c r="CD727"/>
      <c r="CE727"/>
      <c r="CF727"/>
    </row>
    <row r="728" spans="1:84" ht="12.75" customHeight="1">
      <c r="A728"/>
      <c r="B728"/>
      <c r="C728"/>
      <c r="D728"/>
      <c r="E728"/>
      <c r="F728"/>
      <c r="G728"/>
      <c r="AB728" s="68"/>
      <c r="BJ728"/>
      <c r="BK728"/>
      <c r="BL728"/>
      <c r="BM728"/>
      <c r="BN728"/>
      <c r="BO728"/>
      <c r="BP728"/>
      <c r="BQ728"/>
      <c r="BR728"/>
      <c r="BS728"/>
      <c r="BT728"/>
      <c r="BU728"/>
      <c r="BV728"/>
      <c r="BW728"/>
      <c r="BX728"/>
      <c r="BY728"/>
      <c r="BZ728"/>
      <c r="CA728"/>
      <c r="CB728"/>
      <c r="CC728"/>
      <c r="CD728"/>
      <c r="CE728"/>
      <c r="CF728"/>
    </row>
    <row r="729" spans="1:84" ht="12.75" customHeight="1">
      <c r="A729"/>
      <c r="B729"/>
      <c r="C729"/>
      <c r="D729"/>
      <c r="E729"/>
      <c r="F729"/>
      <c r="G729"/>
      <c r="AB729" s="68"/>
      <c r="BJ729"/>
      <c r="BK729"/>
      <c r="BL729"/>
      <c r="BM729"/>
      <c r="BN729"/>
      <c r="BO729"/>
      <c r="BP729"/>
      <c r="BQ729"/>
      <c r="BR729"/>
      <c r="BS729"/>
      <c r="BT729"/>
      <c r="BU729"/>
      <c r="BV729"/>
      <c r="BW729"/>
      <c r="BX729"/>
      <c r="BY729"/>
      <c r="BZ729"/>
      <c r="CA729"/>
      <c r="CB729"/>
      <c r="CC729"/>
      <c r="CD729"/>
      <c r="CE729"/>
      <c r="CF729"/>
    </row>
    <row r="730" spans="1:84" ht="12.75" customHeight="1">
      <c r="A730"/>
      <c r="B730"/>
      <c r="C730"/>
      <c r="D730"/>
      <c r="E730"/>
      <c r="F730"/>
      <c r="G730"/>
      <c r="AB730" s="68"/>
      <c r="BJ730"/>
      <c r="BK730"/>
      <c r="BL730"/>
      <c r="BM730"/>
      <c r="BN730"/>
      <c r="BO730"/>
      <c r="BP730"/>
      <c r="BQ730"/>
      <c r="BR730"/>
      <c r="BS730"/>
      <c r="BT730"/>
      <c r="BU730"/>
      <c r="BV730"/>
      <c r="BW730"/>
      <c r="BX730"/>
      <c r="BY730"/>
      <c r="BZ730"/>
      <c r="CA730"/>
      <c r="CB730"/>
      <c r="CC730"/>
      <c r="CD730"/>
      <c r="CE730"/>
      <c r="CF730"/>
    </row>
    <row r="731" spans="1:84" ht="12.75" customHeight="1">
      <c r="A731"/>
      <c r="B731"/>
      <c r="C731"/>
      <c r="D731"/>
      <c r="E731"/>
      <c r="F731"/>
      <c r="G731"/>
      <c r="AB731" s="68"/>
      <c r="BJ731"/>
      <c r="BK731"/>
      <c r="BL731"/>
      <c r="BM731"/>
      <c r="BN731"/>
      <c r="BO731"/>
      <c r="BP731"/>
      <c r="BQ731"/>
      <c r="BR731"/>
      <c r="BS731"/>
      <c r="BT731"/>
      <c r="BU731"/>
      <c r="BV731"/>
      <c r="BW731"/>
      <c r="BX731"/>
      <c r="BY731"/>
      <c r="BZ731"/>
      <c r="CA731"/>
      <c r="CB731"/>
      <c r="CC731"/>
      <c r="CD731"/>
      <c r="CE731"/>
      <c r="CF731"/>
    </row>
    <row r="732" spans="1:84" ht="12.75" customHeight="1">
      <c r="A732"/>
      <c r="B732"/>
      <c r="C732"/>
      <c r="D732"/>
      <c r="E732"/>
      <c r="F732"/>
      <c r="G732"/>
      <c r="AB732" s="68"/>
      <c r="BJ732"/>
      <c r="BK732"/>
      <c r="BL732"/>
      <c r="BM732"/>
      <c r="BN732"/>
      <c r="BO732"/>
      <c r="BP732"/>
      <c r="BQ732"/>
      <c r="BR732"/>
      <c r="BS732"/>
      <c r="BT732"/>
      <c r="BU732"/>
      <c r="BV732"/>
      <c r="BW732"/>
      <c r="BX732"/>
      <c r="BY732"/>
      <c r="BZ732"/>
      <c r="CA732"/>
      <c r="CB732"/>
      <c r="CC732"/>
      <c r="CD732"/>
      <c r="CE732"/>
      <c r="CF732"/>
    </row>
    <row r="733" spans="1:84" ht="12.75" customHeight="1">
      <c r="A733"/>
      <c r="B733"/>
      <c r="C733"/>
      <c r="D733"/>
      <c r="E733"/>
      <c r="F733"/>
      <c r="G733"/>
      <c r="AB733" s="68"/>
      <c r="BJ733"/>
      <c r="BK733"/>
      <c r="BL733"/>
      <c r="BM733"/>
      <c r="BN733"/>
      <c r="BO733"/>
      <c r="BP733"/>
      <c r="BQ733"/>
      <c r="BR733"/>
      <c r="BS733"/>
      <c r="BT733"/>
      <c r="BU733"/>
      <c r="BV733"/>
      <c r="BW733"/>
      <c r="BX733"/>
      <c r="BY733"/>
      <c r="BZ733"/>
      <c r="CA733"/>
      <c r="CB733"/>
      <c r="CC733"/>
      <c r="CD733"/>
      <c r="CE733"/>
      <c r="CF733"/>
    </row>
    <row r="734" spans="1:84" ht="12.75" customHeight="1">
      <c r="A734"/>
      <c r="B734"/>
      <c r="C734"/>
      <c r="D734"/>
      <c r="E734"/>
      <c r="F734"/>
      <c r="G734"/>
      <c r="AB734" s="68"/>
      <c r="BJ734"/>
      <c r="BK734"/>
      <c r="BL734"/>
      <c r="BM734"/>
      <c r="BN734"/>
      <c r="BO734"/>
      <c r="BP734"/>
      <c r="BQ734"/>
      <c r="BR734"/>
      <c r="BS734"/>
      <c r="BT734"/>
      <c r="BU734"/>
      <c r="BV734"/>
      <c r="BW734"/>
      <c r="BX734"/>
      <c r="BY734"/>
      <c r="BZ734"/>
      <c r="CA734"/>
      <c r="CB734"/>
      <c r="CC734"/>
      <c r="CD734"/>
      <c r="CE734"/>
      <c r="CF734"/>
    </row>
    <row r="735" spans="1:84" ht="12.75" customHeight="1">
      <c r="A735"/>
      <c r="B735"/>
      <c r="C735"/>
      <c r="D735"/>
      <c r="E735"/>
      <c r="F735"/>
      <c r="G735"/>
      <c r="AB735" s="68"/>
      <c r="BJ735"/>
      <c r="BK735"/>
      <c r="BL735"/>
      <c r="BM735"/>
      <c r="BN735"/>
      <c r="BO735"/>
      <c r="BP735"/>
      <c r="BQ735"/>
      <c r="BR735"/>
      <c r="BS735"/>
      <c r="BT735"/>
      <c r="BU735"/>
      <c r="BV735"/>
      <c r="BW735"/>
      <c r="BX735"/>
      <c r="BY735"/>
      <c r="BZ735"/>
      <c r="CA735"/>
      <c r="CB735"/>
      <c r="CC735"/>
      <c r="CD735"/>
      <c r="CE735"/>
      <c r="CF735"/>
    </row>
    <row r="736" spans="1:84" ht="12.75" customHeight="1">
      <c r="A736"/>
      <c r="B736"/>
      <c r="C736"/>
      <c r="D736"/>
      <c r="E736"/>
      <c r="F736"/>
      <c r="G736"/>
      <c r="AB736" s="68"/>
      <c r="BJ736"/>
      <c r="BK736"/>
      <c r="BL736"/>
      <c r="BM736"/>
      <c r="BN736"/>
      <c r="BO736"/>
      <c r="BP736"/>
      <c r="BQ736"/>
      <c r="BR736"/>
      <c r="BS736"/>
      <c r="BT736"/>
      <c r="BU736"/>
      <c r="BV736"/>
      <c r="BW736"/>
      <c r="BX736"/>
      <c r="BY736"/>
      <c r="BZ736"/>
      <c r="CA736"/>
      <c r="CB736"/>
      <c r="CC736"/>
      <c r="CD736"/>
      <c r="CE736"/>
      <c r="CF736"/>
    </row>
    <row r="737" spans="1:84" ht="12.75" customHeight="1">
      <c r="A737"/>
      <c r="B737"/>
      <c r="C737"/>
      <c r="D737"/>
      <c r="E737"/>
      <c r="F737"/>
      <c r="G737"/>
      <c r="AB737" s="68"/>
      <c r="BJ737"/>
      <c r="BK737"/>
      <c r="BL737"/>
      <c r="BM737"/>
      <c r="BN737"/>
      <c r="BO737"/>
      <c r="BP737"/>
      <c r="BQ737"/>
      <c r="BR737"/>
      <c r="BS737"/>
      <c r="BT737"/>
      <c r="BU737"/>
      <c r="BV737"/>
      <c r="BW737"/>
      <c r="BX737"/>
      <c r="BY737"/>
      <c r="BZ737"/>
      <c r="CA737"/>
      <c r="CB737"/>
      <c r="CC737"/>
      <c r="CD737"/>
      <c r="CE737"/>
      <c r="CF737"/>
    </row>
    <row r="738" spans="1:84" ht="12.75" customHeight="1">
      <c r="A738"/>
      <c r="B738"/>
      <c r="C738"/>
      <c r="D738"/>
      <c r="E738"/>
      <c r="F738"/>
      <c r="G738"/>
      <c r="AB738" s="68"/>
      <c r="BJ738"/>
      <c r="BK738"/>
      <c r="BL738"/>
      <c r="BM738"/>
      <c r="BN738"/>
      <c r="BO738"/>
      <c r="BP738"/>
      <c r="BQ738"/>
      <c r="BR738"/>
      <c r="BS738"/>
      <c r="BT738"/>
      <c r="BU738"/>
      <c r="BV738"/>
      <c r="BW738"/>
      <c r="BX738"/>
      <c r="BY738"/>
      <c r="BZ738"/>
      <c r="CA738"/>
      <c r="CB738"/>
      <c r="CC738"/>
      <c r="CD738"/>
      <c r="CE738"/>
      <c r="CF738"/>
    </row>
    <row r="739" spans="1:84" ht="12.75" customHeight="1">
      <c r="A739"/>
      <c r="B739"/>
      <c r="C739"/>
      <c r="D739"/>
      <c r="E739"/>
      <c r="F739"/>
      <c r="G739"/>
      <c r="AB739" s="68"/>
      <c r="BJ739"/>
      <c r="BK739"/>
      <c r="BL739"/>
      <c r="BM739"/>
      <c r="BN739"/>
      <c r="BO739"/>
      <c r="BP739"/>
      <c r="BQ739"/>
      <c r="BR739"/>
      <c r="BS739"/>
      <c r="BT739"/>
      <c r="BU739"/>
      <c r="BV739"/>
      <c r="BW739"/>
      <c r="BX739"/>
      <c r="BY739"/>
      <c r="BZ739"/>
      <c r="CA739"/>
      <c r="CB739"/>
      <c r="CC739"/>
      <c r="CD739"/>
      <c r="CE739"/>
      <c r="CF739"/>
    </row>
    <row r="740" spans="1:84" ht="12.75" customHeight="1">
      <c r="A740"/>
      <c r="B740"/>
      <c r="C740"/>
      <c r="D740"/>
      <c r="E740"/>
      <c r="F740"/>
      <c r="G740"/>
      <c r="AB740" s="68"/>
      <c r="BJ740"/>
      <c r="BK740"/>
      <c r="BL740"/>
      <c r="BM740"/>
      <c r="BN740"/>
      <c r="BO740"/>
      <c r="BP740"/>
      <c r="BQ740"/>
      <c r="BR740"/>
      <c r="BS740"/>
      <c r="BT740"/>
      <c r="BU740"/>
      <c r="BV740"/>
      <c r="BW740"/>
      <c r="BX740"/>
      <c r="BY740"/>
      <c r="BZ740"/>
      <c r="CA740"/>
      <c r="CB740"/>
      <c r="CC740"/>
      <c r="CD740"/>
      <c r="CE740"/>
      <c r="CF740"/>
    </row>
    <row r="741" spans="1:84" ht="12.75" customHeight="1">
      <c r="A741"/>
      <c r="B741"/>
      <c r="C741"/>
      <c r="D741"/>
      <c r="E741"/>
      <c r="F741"/>
      <c r="G741"/>
      <c r="AB741" s="68"/>
      <c r="BJ741"/>
      <c r="BK741"/>
      <c r="BL741"/>
      <c r="BM741"/>
      <c r="BN741"/>
      <c r="BO741"/>
      <c r="BP741"/>
      <c r="BQ741"/>
      <c r="BR741"/>
      <c r="BS741"/>
      <c r="BT741"/>
      <c r="BU741"/>
      <c r="BV741"/>
      <c r="BW741"/>
      <c r="BX741"/>
      <c r="BY741"/>
      <c r="BZ741"/>
      <c r="CA741"/>
      <c r="CB741"/>
      <c r="CC741"/>
      <c r="CD741"/>
      <c r="CE741"/>
      <c r="CF741"/>
    </row>
    <row r="742" spans="1:84" ht="12.75" customHeight="1">
      <c r="A742"/>
      <c r="B742"/>
      <c r="C742"/>
      <c r="D742"/>
      <c r="E742"/>
      <c r="F742"/>
      <c r="G742"/>
      <c r="AB742" s="68"/>
      <c r="BJ742"/>
      <c r="BK742"/>
      <c r="BL742"/>
      <c r="BM742"/>
      <c r="BN742"/>
      <c r="BO742"/>
      <c r="BP742"/>
      <c r="BQ742"/>
      <c r="BR742"/>
      <c r="BS742"/>
      <c r="BT742"/>
      <c r="BU742"/>
      <c r="BV742"/>
      <c r="BW742"/>
      <c r="BX742"/>
      <c r="BY742"/>
      <c r="BZ742"/>
      <c r="CA742"/>
      <c r="CB742"/>
      <c r="CC742"/>
      <c r="CD742"/>
      <c r="CE742"/>
      <c r="CF742"/>
    </row>
    <row r="743" spans="1:84" ht="12.75" customHeight="1">
      <c r="A743"/>
      <c r="B743"/>
      <c r="C743"/>
      <c r="D743"/>
      <c r="E743"/>
      <c r="F743"/>
      <c r="G743"/>
      <c r="AB743" s="68"/>
      <c r="BJ743"/>
      <c r="BK743"/>
      <c r="BL743"/>
      <c r="BM743"/>
      <c r="BN743"/>
      <c r="BO743"/>
      <c r="BP743"/>
      <c r="BQ743"/>
      <c r="BR743"/>
      <c r="BS743"/>
      <c r="BT743"/>
      <c r="BU743"/>
      <c r="BV743"/>
      <c r="BW743"/>
      <c r="BX743"/>
      <c r="BY743"/>
      <c r="BZ743"/>
      <c r="CA743"/>
      <c r="CB743"/>
      <c r="CC743"/>
      <c r="CD743"/>
      <c r="CE743"/>
      <c r="CF743"/>
    </row>
    <row r="744" spans="1:84" ht="12.75" customHeight="1">
      <c r="A744"/>
      <c r="B744"/>
      <c r="C744"/>
      <c r="D744"/>
      <c r="E744"/>
      <c r="F744"/>
      <c r="G744"/>
      <c r="AB744" s="68"/>
      <c r="BJ744"/>
      <c r="BK744"/>
      <c r="BL744"/>
      <c r="BM744"/>
      <c r="BN744"/>
      <c r="BO744"/>
      <c r="BP744"/>
      <c r="BQ744"/>
      <c r="BR744"/>
      <c r="BS744"/>
      <c r="BT744"/>
      <c r="BU744"/>
      <c r="BV744"/>
      <c r="BW744"/>
      <c r="BX744"/>
      <c r="BY744"/>
      <c r="BZ744"/>
      <c r="CA744"/>
      <c r="CB744"/>
      <c r="CC744"/>
      <c r="CD744"/>
      <c r="CE744"/>
      <c r="CF744"/>
    </row>
    <row r="745" spans="1:84" ht="12.75" customHeight="1">
      <c r="A745"/>
      <c r="B745"/>
      <c r="C745"/>
      <c r="D745"/>
      <c r="E745"/>
      <c r="F745"/>
      <c r="G745"/>
      <c r="AB745" s="68"/>
      <c r="BJ745"/>
      <c r="BK745"/>
      <c r="BL745"/>
      <c r="BM745"/>
      <c r="BN745"/>
      <c r="BO745"/>
      <c r="BP745"/>
      <c r="BQ745"/>
      <c r="BR745"/>
      <c r="BS745"/>
      <c r="BT745"/>
      <c r="BU745"/>
      <c r="BV745"/>
      <c r="BW745"/>
      <c r="BX745"/>
      <c r="BY745"/>
      <c r="BZ745"/>
      <c r="CA745"/>
      <c r="CB745"/>
      <c r="CC745"/>
      <c r="CD745"/>
      <c r="CE745"/>
      <c r="CF745"/>
    </row>
    <row r="746" spans="1:84" ht="12.75" customHeight="1">
      <c r="A746"/>
      <c r="B746"/>
      <c r="C746"/>
      <c r="D746"/>
      <c r="E746"/>
      <c r="F746"/>
      <c r="G746"/>
      <c r="AB746" s="68"/>
      <c r="BJ746"/>
      <c r="BK746"/>
      <c r="BL746"/>
      <c r="BM746"/>
      <c r="BN746"/>
      <c r="BO746"/>
      <c r="BP746"/>
      <c r="BQ746"/>
      <c r="BR746"/>
      <c r="BS746"/>
      <c r="BT746"/>
      <c r="BU746"/>
      <c r="BV746"/>
      <c r="BW746"/>
      <c r="BX746"/>
      <c r="BY746"/>
      <c r="BZ746"/>
      <c r="CA746"/>
      <c r="CB746"/>
      <c r="CC746"/>
      <c r="CD746"/>
      <c r="CE746"/>
      <c r="CF746"/>
    </row>
    <row r="747" spans="1:84" ht="12.75" customHeight="1">
      <c r="A747"/>
      <c r="B747"/>
      <c r="C747"/>
      <c r="D747"/>
      <c r="E747"/>
      <c r="F747"/>
      <c r="G747"/>
      <c r="AB747" s="68"/>
      <c r="BJ747"/>
      <c r="BK747"/>
      <c r="BL747"/>
      <c r="BM747"/>
      <c r="BN747"/>
      <c r="BO747"/>
      <c r="BP747"/>
      <c r="BQ747"/>
      <c r="BR747"/>
      <c r="BS747"/>
      <c r="BT747"/>
      <c r="BU747"/>
      <c r="BV747"/>
      <c r="BW747"/>
      <c r="BX747"/>
      <c r="BY747"/>
      <c r="BZ747"/>
      <c r="CA747"/>
      <c r="CB747"/>
      <c r="CC747"/>
      <c r="CD747"/>
      <c r="CE747"/>
      <c r="CF747"/>
    </row>
    <row r="748" spans="1:84" ht="12.75" customHeight="1">
      <c r="A748"/>
      <c r="B748"/>
      <c r="C748"/>
      <c r="D748"/>
      <c r="E748"/>
      <c r="F748"/>
      <c r="G748"/>
      <c r="AB748" s="68"/>
      <c r="BJ748"/>
      <c r="BK748"/>
      <c r="BL748"/>
      <c r="BM748"/>
      <c r="BN748"/>
      <c r="BO748"/>
      <c r="BP748"/>
      <c r="BQ748"/>
      <c r="BR748"/>
      <c r="BS748"/>
      <c r="BT748"/>
      <c r="BU748"/>
      <c r="BV748"/>
      <c r="BW748"/>
      <c r="BX748"/>
      <c r="BY748"/>
      <c r="BZ748"/>
      <c r="CA748"/>
      <c r="CB748"/>
      <c r="CC748"/>
      <c r="CD748"/>
      <c r="CE748"/>
      <c r="CF748"/>
    </row>
    <row r="749" spans="1:84" ht="12.75" customHeight="1">
      <c r="A749"/>
      <c r="B749"/>
      <c r="C749"/>
      <c r="D749"/>
      <c r="E749"/>
      <c r="F749"/>
      <c r="G749"/>
      <c r="AB749" s="68"/>
      <c r="BJ749"/>
      <c r="BK749"/>
      <c r="BL749"/>
      <c r="BM749"/>
      <c r="BN749"/>
      <c r="BO749"/>
      <c r="BP749"/>
      <c r="BQ749"/>
      <c r="BR749"/>
      <c r="BS749"/>
      <c r="BT749"/>
      <c r="BU749"/>
      <c r="BV749"/>
      <c r="BW749"/>
      <c r="BX749"/>
      <c r="BY749"/>
      <c r="BZ749"/>
      <c r="CA749"/>
      <c r="CB749"/>
      <c r="CC749"/>
      <c r="CD749"/>
      <c r="CE749"/>
      <c r="CF749"/>
    </row>
    <row r="750" spans="1:84" ht="12.75" customHeight="1">
      <c r="A750"/>
      <c r="B750"/>
      <c r="C750"/>
      <c r="D750"/>
      <c r="E750"/>
      <c r="F750"/>
      <c r="G750"/>
      <c r="AB750" s="68"/>
      <c r="BJ750"/>
      <c r="BK750"/>
      <c r="BL750"/>
      <c r="BM750"/>
      <c r="BN750"/>
      <c r="BO750"/>
      <c r="BP750"/>
      <c r="BQ750"/>
      <c r="BR750"/>
      <c r="BS750"/>
      <c r="BT750"/>
      <c r="BU750"/>
      <c r="BV750"/>
      <c r="BW750"/>
      <c r="BX750"/>
      <c r="BY750"/>
      <c r="BZ750"/>
      <c r="CA750"/>
      <c r="CB750"/>
      <c r="CC750"/>
      <c r="CD750"/>
      <c r="CE750"/>
      <c r="CF750"/>
    </row>
    <row r="751" spans="1:84" ht="12.75" customHeight="1">
      <c r="A751"/>
      <c r="B751"/>
      <c r="C751"/>
      <c r="D751"/>
      <c r="E751"/>
      <c r="F751"/>
      <c r="G751"/>
      <c r="AB751" s="68"/>
      <c r="BJ751"/>
      <c r="BK751"/>
      <c r="BL751"/>
      <c r="BM751"/>
      <c r="BN751"/>
      <c r="BO751"/>
      <c r="BP751"/>
      <c r="BQ751"/>
      <c r="BR751"/>
      <c r="BS751"/>
      <c r="BT751"/>
      <c r="BU751"/>
      <c r="BV751"/>
      <c r="BW751"/>
      <c r="BX751"/>
      <c r="BY751"/>
      <c r="BZ751"/>
      <c r="CA751"/>
      <c r="CB751"/>
      <c r="CC751"/>
      <c r="CD751"/>
      <c r="CE751"/>
      <c r="CF751"/>
    </row>
    <row r="752" spans="1:84" ht="12.75" customHeight="1">
      <c r="A752"/>
      <c r="B752"/>
      <c r="C752"/>
      <c r="D752"/>
      <c r="E752"/>
      <c r="F752"/>
      <c r="G752"/>
      <c r="AB752" s="68"/>
      <c r="BJ752"/>
      <c r="BK752"/>
      <c r="BL752"/>
      <c r="BM752"/>
      <c r="BN752"/>
      <c r="BO752"/>
      <c r="BP752"/>
      <c r="BQ752"/>
      <c r="BR752"/>
      <c r="BS752"/>
      <c r="BT752"/>
      <c r="BU752"/>
      <c r="BV752"/>
      <c r="BW752"/>
      <c r="BX752"/>
      <c r="BY752"/>
      <c r="BZ752"/>
      <c r="CA752"/>
      <c r="CB752"/>
      <c r="CC752"/>
      <c r="CD752"/>
      <c r="CE752"/>
      <c r="CF752"/>
    </row>
    <row r="753" spans="1:84" ht="12.75" customHeight="1">
      <c r="A753"/>
      <c r="B753"/>
      <c r="C753"/>
      <c r="D753"/>
      <c r="E753"/>
      <c r="F753"/>
      <c r="G753"/>
      <c r="AB753" s="68"/>
      <c r="BJ753"/>
      <c r="BK753"/>
      <c r="BL753"/>
      <c r="BM753"/>
      <c r="BN753"/>
      <c r="BO753"/>
      <c r="BP753"/>
      <c r="BQ753"/>
      <c r="BR753"/>
      <c r="BS753"/>
      <c r="BT753"/>
      <c r="BU753"/>
      <c r="BV753"/>
      <c r="BW753"/>
      <c r="BX753"/>
      <c r="BY753"/>
      <c r="BZ753"/>
      <c r="CA753"/>
      <c r="CB753"/>
      <c r="CC753"/>
      <c r="CD753"/>
      <c r="CE753"/>
      <c r="CF753"/>
    </row>
    <row r="754" spans="1:84" ht="12.75" customHeight="1">
      <c r="A754"/>
      <c r="B754"/>
      <c r="C754"/>
      <c r="D754"/>
      <c r="E754"/>
      <c r="F754"/>
      <c r="G754"/>
      <c r="AB754" s="68"/>
      <c r="BJ754"/>
      <c r="BK754"/>
      <c r="BL754"/>
      <c r="BM754"/>
      <c r="BN754"/>
      <c r="BO754"/>
      <c r="BP754"/>
      <c r="BQ754"/>
      <c r="BR754"/>
      <c r="BS754"/>
      <c r="BT754"/>
      <c r="BU754"/>
      <c r="BV754"/>
      <c r="BW754"/>
      <c r="BX754"/>
      <c r="BY754"/>
      <c r="BZ754"/>
      <c r="CA754"/>
      <c r="CB754"/>
      <c r="CC754"/>
      <c r="CD754"/>
      <c r="CE754"/>
      <c r="CF754"/>
    </row>
    <row r="755" spans="1:84" ht="12.75" customHeight="1">
      <c r="A755"/>
      <c r="B755"/>
      <c r="C755"/>
      <c r="D755"/>
      <c r="E755"/>
      <c r="F755"/>
      <c r="G755"/>
      <c r="AB755" s="68"/>
      <c r="BJ755"/>
      <c r="BK755"/>
      <c r="BL755"/>
      <c r="BM755"/>
      <c r="BN755"/>
      <c r="BO755"/>
      <c r="BP755"/>
      <c r="BQ755"/>
      <c r="BR755"/>
      <c r="BS755"/>
      <c r="BT755"/>
      <c r="BU755"/>
      <c r="BV755"/>
      <c r="BW755"/>
      <c r="BX755"/>
      <c r="BY755"/>
      <c r="BZ755"/>
      <c r="CA755"/>
      <c r="CB755"/>
      <c r="CC755"/>
      <c r="CD755"/>
      <c r="CE755"/>
      <c r="CF755"/>
    </row>
    <row r="756" spans="1:84" ht="12.75" customHeight="1">
      <c r="A756"/>
      <c r="B756"/>
      <c r="C756"/>
      <c r="D756"/>
      <c r="E756"/>
      <c r="F756"/>
      <c r="G756"/>
      <c r="AB756" s="68"/>
      <c r="BJ756"/>
      <c r="BK756"/>
      <c r="BL756"/>
      <c r="BM756"/>
      <c r="BN756"/>
      <c r="BO756"/>
      <c r="BP756"/>
      <c r="BQ756"/>
      <c r="BR756"/>
      <c r="BS756"/>
      <c r="BT756"/>
      <c r="BU756"/>
      <c r="BV756"/>
      <c r="BW756"/>
      <c r="BX756"/>
      <c r="BY756"/>
      <c r="BZ756"/>
      <c r="CA756"/>
      <c r="CB756"/>
      <c r="CC756"/>
      <c r="CD756"/>
      <c r="CE756"/>
      <c r="CF756"/>
    </row>
    <row r="757" spans="1:84" ht="12.75" customHeight="1">
      <c r="A757"/>
      <c r="B757"/>
      <c r="C757"/>
      <c r="D757"/>
      <c r="E757"/>
      <c r="F757"/>
      <c r="G757"/>
      <c r="AB757" s="68"/>
      <c r="BJ757"/>
      <c r="BK757"/>
      <c r="BL757"/>
      <c r="BM757"/>
      <c r="BN757"/>
      <c r="BO757"/>
      <c r="BP757"/>
      <c r="BQ757"/>
      <c r="BR757"/>
      <c r="BS757"/>
      <c r="BT757"/>
      <c r="BU757"/>
      <c r="BV757"/>
      <c r="BW757"/>
      <c r="BX757"/>
      <c r="BY757"/>
      <c r="BZ757"/>
      <c r="CA757"/>
      <c r="CB757"/>
      <c r="CC757"/>
      <c r="CD757"/>
      <c r="CE757"/>
      <c r="CF757"/>
    </row>
    <row r="758" spans="1:84" ht="12.75" customHeight="1">
      <c r="A758"/>
      <c r="B758"/>
      <c r="C758"/>
      <c r="D758"/>
      <c r="E758"/>
      <c r="F758"/>
      <c r="G758"/>
      <c r="AB758" s="68"/>
      <c r="BJ758"/>
      <c r="BK758"/>
      <c r="BL758"/>
      <c r="BM758"/>
      <c r="BN758"/>
      <c r="BO758"/>
      <c r="BP758"/>
      <c r="BQ758"/>
      <c r="BR758"/>
      <c r="BS758"/>
      <c r="BT758"/>
      <c r="BU758"/>
      <c r="BV758"/>
      <c r="BW758"/>
      <c r="BX758"/>
      <c r="BY758"/>
      <c r="BZ758"/>
      <c r="CA758"/>
      <c r="CB758"/>
      <c r="CC758"/>
      <c r="CD758"/>
      <c r="CE758"/>
      <c r="CF758"/>
    </row>
    <row r="759" spans="1:84" ht="12.75" customHeight="1">
      <c r="A759"/>
      <c r="B759"/>
      <c r="C759"/>
      <c r="D759"/>
      <c r="E759"/>
      <c r="F759"/>
      <c r="G759"/>
      <c r="AB759" s="68"/>
      <c r="BJ759"/>
      <c r="BK759"/>
      <c r="BL759"/>
      <c r="BM759"/>
      <c r="BN759"/>
      <c r="BO759"/>
      <c r="BP759"/>
      <c r="BQ759"/>
      <c r="BR759"/>
      <c r="BS759"/>
      <c r="BT759"/>
      <c r="BU759"/>
      <c r="BV759"/>
      <c r="BW759"/>
      <c r="BX759"/>
      <c r="BY759"/>
      <c r="BZ759"/>
      <c r="CA759"/>
      <c r="CB759"/>
      <c r="CC759"/>
      <c r="CD759"/>
      <c r="CE759"/>
      <c r="CF759"/>
    </row>
    <row r="760" spans="1:84" ht="12.75" customHeight="1">
      <c r="A760"/>
      <c r="B760"/>
      <c r="C760"/>
      <c r="D760"/>
      <c r="E760"/>
      <c r="F760"/>
      <c r="G760"/>
      <c r="AB760" s="68"/>
      <c r="BJ760"/>
      <c r="BK760"/>
      <c r="BL760"/>
      <c r="BM760"/>
      <c r="BN760"/>
      <c r="BO760"/>
      <c r="BP760"/>
      <c r="BQ760"/>
      <c r="BR760"/>
      <c r="BS760"/>
      <c r="BT760"/>
      <c r="BU760"/>
      <c r="BV760"/>
      <c r="BW760"/>
      <c r="BX760"/>
      <c r="BY760"/>
      <c r="BZ760"/>
      <c r="CA760"/>
      <c r="CB760"/>
      <c r="CC760"/>
      <c r="CD760"/>
      <c r="CE760"/>
      <c r="CF760"/>
    </row>
    <row r="761" spans="1:84" ht="12.75" customHeight="1">
      <c r="A761"/>
      <c r="B761"/>
      <c r="C761"/>
      <c r="D761"/>
      <c r="E761"/>
      <c r="F761"/>
      <c r="G761"/>
      <c r="AB761" s="68"/>
      <c r="BJ761"/>
      <c r="BK761"/>
      <c r="BL761"/>
      <c r="BM761"/>
      <c r="BN761"/>
      <c r="BO761"/>
      <c r="BP761"/>
      <c r="BQ761"/>
      <c r="BR761"/>
      <c r="BS761"/>
      <c r="BT761"/>
      <c r="BU761"/>
      <c r="BV761"/>
      <c r="BW761"/>
      <c r="BX761"/>
      <c r="BY761"/>
      <c r="BZ761"/>
      <c r="CA761"/>
      <c r="CB761"/>
      <c r="CC761"/>
      <c r="CD761"/>
      <c r="CE761"/>
      <c r="CF761"/>
    </row>
    <row r="762" spans="1:84" ht="12.75" customHeight="1">
      <c r="A762"/>
      <c r="B762"/>
      <c r="C762"/>
      <c r="D762"/>
      <c r="E762"/>
      <c r="F762"/>
      <c r="G762"/>
      <c r="AB762" s="68"/>
      <c r="BJ762"/>
      <c r="BK762"/>
      <c r="BL762"/>
      <c r="BM762"/>
      <c r="BN762"/>
      <c r="BO762"/>
      <c r="BP762"/>
      <c r="BQ762"/>
      <c r="BR762"/>
      <c r="BS762"/>
      <c r="BT762"/>
      <c r="BU762"/>
      <c r="BV762"/>
      <c r="BW762"/>
      <c r="BX762"/>
      <c r="BY762"/>
      <c r="BZ762"/>
      <c r="CA762"/>
      <c r="CB762"/>
      <c r="CC762"/>
      <c r="CD762"/>
      <c r="CE762"/>
      <c r="CF762"/>
    </row>
    <row r="763" spans="1:84" ht="12.75" customHeight="1">
      <c r="A763"/>
      <c r="B763"/>
      <c r="C763"/>
      <c r="D763"/>
      <c r="E763"/>
      <c r="F763"/>
      <c r="G763"/>
      <c r="AB763" s="68"/>
      <c r="BJ763"/>
      <c r="BK763"/>
      <c r="BL763"/>
      <c r="BM763"/>
      <c r="BN763"/>
      <c r="BO763"/>
      <c r="BP763"/>
      <c r="BQ763"/>
      <c r="BR763"/>
      <c r="BS763"/>
      <c r="BT763"/>
      <c r="BU763"/>
      <c r="BV763"/>
      <c r="BW763"/>
      <c r="BX763"/>
      <c r="BY763"/>
      <c r="BZ763"/>
      <c r="CA763"/>
      <c r="CB763"/>
      <c r="CC763"/>
      <c r="CD763"/>
      <c r="CE763"/>
      <c r="CF763"/>
    </row>
    <row r="764" spans="1:84" ht="12.75" customHeight="1">
      <c r="A764"/>
      <c r="B764"/>
      <c r="C764"/>
      <c r="D764"/>
      <c r="E764"/>
      <c r="F764"/>
      <c r="G764"/>
      <c r="AB764" s="68"/>
      <c r="BJ764"/>
      <c r="BK764"/>
      <c r="BL764"/>
      <c r="BM764"/>
      <c r="BN764"/>
      <c r="BO764"/>
      <c r="BP764"/>
      <c r="BQ764"/>
      <c r="BR764"/>
      <c r="BS764"/>
      <c r="BT764"/>
      <c r="BU764"/>
      <c r="BV764"/>
      <c r="BW764"/>
      <c r="BX764"/>
      <c r="BY764"/>
      <c r="BZ764"/>
      <c r="CA764"/>
      <c r="CB764"/>
      <c r="CC764"/>
      <c r="CD764"/>
      <c r="CE764"/>
      <c r="CF764"/>
    </row>
    <row r="765" spans="1:84" ht="12.75" customHeight="1">
      <c r="A765"/>
      <c r="B765"/>
      <c r="C765"/>
      <c r="D765"/>
      <c r="E765"/>
      <c r="F765"/>
      <c r="G765"/>
      <c r="AB765" s="68"/>
      <c r="BJ765"/>
      <c r="BK765"/>
      <c r="BL765"/>
      <c r="BM765"/>
      <c r="BN765"/>
      <c r="BO765"/>
      <c r="BP765"/>
      <c r="BQ765"/>
      <c r="BR765"/>
      <c r="BS765"/>
      <c r="BT765"/>
      <c r="BU765"/>
      <c r="BV765"/>
      <c r="BW765"/>
      <c r="BX765"/>
      <c r="BY765"/>
      <c r="BZ765"/>
      <c r="CA765"/>
      <c r="CB765"/>
      <c r="CC765"/>
      <c r="CD765"/>
      <c r="CE765"/>
      <c r="CF765"/>
    </row>
    <row r="766" spans="1:84" ht="12.75" customHeight="1">
      <c r="A766"/>
      <c r="B766"/>
      <c r="C766"/>
      <c r="D766"/>
      <c r="E766"/>
      <c r="F766"/>
      <c r="G766"/>
      <c r="AB766" s="68"/>
      <c r="BJ766"/>
      <c r="BK766"/>
      <c r="BL766"/>
      <c r="BM766"/>
      <c r="BN766"/>
      <c r="BO766"/>
      <c r="BP766"/>
      <c r="BQ766"/>
      <c r="BR766"/>
      <c r="BS766"/>
      <c r="BT766"/>
      <c r="BU766"/>
      <c r="BV766"/>
      <c r="BW766"/>
      <c r="BX766"/>
      <c r="BY766"/>
      <c r="BZ766"/>
      <c r="CA766"/>
      <c r="CB766"/>
      <c r="CC766"/>
      <c r="CD766"/>
      <c r="CE766"/>
      <c r="CF766"/>
    </row>
    <row r="767" spans="1:84" ht="12.75" customHeight="1">
      <c r="A767"/>
      <c r="B767"/>
      <c r="C767"/>
      <c r="D767"/>
      <c r="E767"/>
      <c r="F767"/>
      <c r="G767"/>
      <c r="AB767" s="68"/>
      <c r="BJ767"/>
      <c r="BK767"/>
      <c r="BL767"/>
      <c r="BM767"/>
      <c r="BN767"/>
      <c r="BO767"/>
      <c r="BP767"/>
      <c r="BQ767"/>
      <c r="BR767"/>
      <c r="BS767"/>
      <c r="BT767"/>
      <c r="BU767"/>
      <c r="BV767"/>
      <c r="BW767"/>
      <c r="BX767"/>
      <c r="BY767"/>
      <c r="BZ767"/>
      <c r="CA767"/>
      <c r="CB767"/>
      <c r="CC767"/>
      <c r="CD767"/>
      <c r="CE767"/>
      <c r="CF767"/>
    </row>
    <row r="768" spans="1:84" ht="12.75" customHeight="1">
      <c r="A768"/>
      <c r="B768"/>
      <c r="C768"/>
      <c r="D768"/>
      <c r="E768"/>
      <c r="F768"/>
      <c r="G768"/>
      <c r="AB768" s="68"/>
      <c r="BJ768"/>
      <c r="BK768"/>
      <c r="BL768"/>
      <c r="BM768"/>
      <c r="BN768"/>
      <c r="BO768"/>
      <c r="BP768"/>
      <c r="BQ768"/>
      <c r="BR768"/>
      <c r="BS768"/>
      <c r="BT768"/>
      <c r="BU768"/>
      <c r="BV768"/>
      <c r="BW768"/>
      <c r="BX768"/>
      <c r="BY768"/>
      <c r="BZ768"/>
      <c r="CA768"/>
      <c r="CB768"/>
      <c r="CC768"/>
      <c r="CD768"/>
      <c r="CE768"/>
      <c r="CF768"/>
    </row>
    <row r="769" spans="1:84" ht="12.75" customHeight="1">
      <c r="A769"/>
      <c r="B769"/>
      <c r="C769"/>
      <c r="D769"/>
      <c r="E769"/>
      <c r="F769"/>
      <c r="G769"/>
      <c r="AB769" s="68"/>
      <c r="BJ769"/>
      <c r="BK769"/>
      <c r="BL769"/>
      <c r="BM769"/>
      <c r="BN769"/>
      <c r="BO769"/>
      <c r="BP769"/>
      <c r="BQ769"/>
      <c r="BR769"/>
      <c r="BS769"/>
      <c r="BT769"/>
      <c r="BU769"/>
      <c r="BV769"/>
      <c r="BW769"/>
      <c r="BX769"/>
      <c r="BY769"/>
      <c r="BZ769"/>
      <c r="CA769"/>
      <c r="CB769"/>
      <c r="CC769"/>
      <c r="CD769"/>
      <c r="CE769"/>
      <c r="CF769"/>
    </row>
    <row r="770" spans="1:84" ht="12.75" customHeight="1">
      <c r="A770"/>
      <c r="B770"/>
      <c r="C770"/>
      <c r="D770"/>
      <c r="E770"/>
      <c r="F770"/>
      <c r="G770"/>
      <c r="AB770" s="68"/>
      <c r="BJ770"/>
      <c r="BK770"/>
      <c r="BL770"/>
      <c r="BM770"/>
      <c r="BN770"/>
      <c r="BO770"/>
      <c r="BP770"/>
      <c r="BQ770"/>
      <c r="BR770"/>
      <c r="BS770"/>
      <c r="BT770"/>
      <c r="BU770"/>
      <c r="BV770"/>
      <c r="BW770"/>
      <c r="BX770"/>
      <c r="BY770"/>
      <c r="BZ770"/>
      <c r="CA770"/>
      <c r="CB770"/>
      <c r="CC770"/>
      <c r="CD770"/>
      <c r="CE770"/>
      <c r="CF770"/>
    </row>
    <row r="771" spans="1:84" ht="12.75" customHeight="1">
      <c r="A771"/>
      <c r="B771"/>
      <c r="C771"/>
      <c r="D771"/>
      <c r="E771"/>
      <c r="F771"/>
      <c r="G771"/>
      <c r="AB771" s="68"/>
      <c r="BJ771"/>
      <c r="BK771"/>
      <c r="BL771"/>
      <c r="BM771"/>
      <c r="BN771"/>
      <c r="BO771"/>
      <c r="BP771"/>
      <c r="BQ771"/>
      <c r="BR771"/>
      <c r="BS771"/>
      <c r="BT771"/>
      <c r="BU771"/>
      <c r="BV771"/>
      <c r="BW771"/>
      <c r="BX771"/>
      <c r="BY771"/>
      <c r="BZ771"/>
      <c r="CA771"/>
      <c r="CB771"/>
      <c r="CC771"/>
      <c r="CD771"/>
      <c r="CE771"/>
      <c r="CF771"/>
    </row>
    <row r="772" spans="1:84" ht="12.75" customHeight="1">
      <c r="A772"/>
      <c r="B772"/>
      <c r="C772"/>
      <c r="D772"/>
      <c r="E772"/>
      <c r="F772"/>
      <c r="G772"/>
      <c r="AB772" s="68"/>
      <c r="BJ772"/>
      <c r="BK772"/>
      <c r="BL772"/>
      <c r="BM772"/>
      <c r="BN772"/>
      <c r="BO772"/>
      <c r="BP772"/>
      <c r="BQ772"/>
      <c r="BR772"/>
      <c r="BS772"/>
      <c r="BT772"/>
      <c r="BU772"/>
      <c r="BV772"/>
      <c r="BW772"/>
      <c r="BX772"/>
      <c r="BY772"/>
      <c r="BZ772"/>
      <c r="CA772"/>
      <c r="CB772"/>
      <c r="CC772"/>
      <c r="CD772"/>
      <c r="CE772"/>
      <c r="CF772"/>
    </row>
    <row r="773" spans="1:84" ht="12.75" customHeight="1">
      <c r="A773"/>
      <c r="B773"/>
      <c r="C773"/>
      <c r="D773"/>
      <c r="E773"/>
      <c r="F773"/>
      <c r="G773"/>
      <c r="AB773" s="68"/>
      <c r="BJ773"/>
      <c r="BK773"/>
      <c r="BL773"/>
      <c r="BM773"/>
      <c r="BN773"/>
      <c r="BO773"/>
      <c r="BP773"/>
      <c r="BQ773"/>
      <c r="BR773"/>
      <c r="BS773"/>
      <c r="BT773"/>
      <c r="BU773"/>
      <c r="BV773"/>
      <c r="BW773"/>
      <c r="BX773"/>
      <c r="BY773"/>
      <c r="BZ773"/>
      <c r="CA773"/>
      <c r="CB773"/>
      <c r="CC773"/>
      <c r="CD773"/>
      <c r="CE773"/>
      <c r="CF773"/>
    </row>
    <row r="774" spans="1:84" ht="12.75" customHeight="1">
      <c r="A774"/>
      <c r="B774"/>
      <c r="C774"/>
      <c r="D774"/>
      <c r="E774"/>
      <c r="F774"/>
      <c r="G774"/>
      <c r="AB774" s="68"/>
      <c r="BJ774"/>
      <c r="BK774"/>
      <c r="BL774"/>
      <c r="BM774"/>
      <c r="BN774"/>
      <c r="BO774"/>
      <c r="BP774"/>
      <c r="BQ774"/>
      <c r="BR774"/>
      <c r="BS774"/>
      <c r="BT774"/>
      <c r="BU774"/>
      <c r="BV774"/>
      <c r="BW774"/>
      <c r="BX774"/>
      <c r="BY774"/>
      <c r="BZ774"/>
      <c r="CA774"/>
      <c r="CB774"/>
      <c r="CC774"/>
      <c r="CD774"/>
      <c r="CE774"/>
      <c r="CF774"/>
    </row>
    <row r="775" spans="1:84" ht="12.75" customHeight="1">
      <c r="A775"/>
      <c r="B775"/>
      <c r="C775"/>
      <c r="D775"/>
      <c r="E775"/>
      <c r="F775"/>
      <c r="G775"/>
      <c r="AB775" s="68"/>
      <c r="BJ775"/>
      <c r="BK775"/>
      <c r="BL775"/>
      <c r="BM775"/>
      <c r="BN775"/>
      <c r="BO775"/>
      <c r="BP775"/>
      <c r="BQ775"/>
      <c r="BR775"/>
      <c r="BS775"/>
      <c r="BT775"/>
      <c r="BU775"/>
      <c r="BV775"/>
      <c r="BW775"/>
      <c r="BX775"/>
      <c r="BY775"/>
      <c r="BZ775"/>
      <c r="CA775"/>
      <c r="CB775"/>
      <c r="CC775"/>
      <c r="CD775"/>
      <c r="CE775"/>
      <c r="CF775"/>
    </row>
    <row r="776" spans="1:84" ht="12.75" customHeight="1">
      <c r="A776"/>
      <c r="B776"/>
      <c r="C776"/>
      <c r="D776"/>
      <c r="E776"/>
      <c r="F776"/>
      <c r="G776"/>
      <c r="AB776" s="68"/>
      <c r="BJ776"/>
      <c r="BK776"/>
      <c r="BL776"/>
      <c r="BM776"/>
      <c r="BN776"/>
      <c r="BO776"/>
      <c r="BP776"/>
      <c r="BQ776"/>
      <c r="BR776"/>
      <c r="BS776"/>
      <c r="BT776"/>
      <c r="BU776"/>
      <c r="BV776"/>
      <c r="BW776"/>
      <c r="BX776"/>
      <c r="BY776"/>
      <c r="BZ776"/>
      <c r="CA776"/>
      <c r="CB776"/>
      <c r="CC776"/>
      <c r="CD776"/>
      <c r="CE776"/>
      <c r="CF776"/>
    </row>
    <row r="777" spans="1:84" ht="12.75" customHeight="1">
      <c r="A777"/>
      <c r="B777"/>
      <c r="C777"/>
      <c r="D777"/>
      <c r="E777"/>
      <c r="F777"/>
      <c r="G777"/>
      <c r="AB777" s="68"/>
      <c r="BJ777"/>
      <c r="BK777"/>
      <c r="BL777"/>
      <c r="BM777"/>
      <c r="BN777"/>
      <c r="BO777"/>
      <c r="BP777"/>
      <c r="BQ777"/>
      <c r="BR777"/>
      <c r="BS777"/>
      <c r="BT777"/>
      <c r="BU777"/>
      <c r="BV777"/>
      <c r="BW777"/>
      <c r="BX777"/>
      <c r="BY777"/>
      <c r="BZ777"/>
      <c r="CA777"/>
      <c r="CB777"/>
      <c r="CC777"/>
      <c r="CD777"/>
      <c r="CE777"/>
      <c r="CF777"/>
    </row>
    <row r="778" spans="1:84" ht="12.75" customHeight="1">
      <c r="A778"/>
      <c r="B778"/>
      <c r="C778"/>
      <c r="D778"/>
      <c r="E778"/>
      <c r="F778"/>
      <c r="G778"/>
      <c r="AB778" s="68"/>
      <c r="BJ778"/>
      <c r="BK778"/>
      <c r="BL778"/>
      <c r="BM778"/>
      <c r="BN778"/>
      <c r="BO778"/>
      <c r="BP778"/>
      <c r="BQ778"/>
      <c r="BR778"/>
      <c r="BS778"/>
      <c r="BT778"/>
      <c r="BU778"/>
      <c r="BV778"/>
      <c r="BW778"/>
      <c r="BX778"/>
      <c r="BY778"/>
      <c r="BZ778"/>
      <c r="CA778"/>
      <c r="CB778"/>
      <c r="CC778"/>
      <c r="CD778"/>
      <c r="CE778"/>
      <c r="CF778"/>
    </row>
    <row r="779" spans="1:84" ht="12.75" customHeight="1">
      <c r="A779"/>
      <c r="B779"/>
      <c r="C779"/>
      <c r="D779"/>
      <c r="E779"/>
      <c r="F779"/>
      <c r="G779"/>
      <c r="AB779" s="68"/>
      <c r="BJ779"/>
      <c r="BK779"/>
      <c r="BL779"/>
      <c r="BM779"/>
      <c r="BN779"/>
      <c r="BO779"/>
      <c r="BP779"/>
      <c r="BQ779"/>
      <c r="BR779"/>
      <c r="BS779"/>
      <c r="BT779"/>
      <c r="BU779"/>
      <c r="BV779"/>
      <c r="BW779"/>
      <c r="BX779"/>
      <c r="BY779"/>
      <c r="BZ779"/>
      <c r="CA779"/>
      <c r="CB779"/>
      <c r="CC779"/>
      <c r="CD779"/>
      <c r="CE779"/>
      <c r="CF779"/>
    </row>
    <row r="780" spans="1:84" ht="12.75" customHeight="1">
      <c r="A780"/>
      <c r="B780"/>
      <c r="C780"/>
      <c r="D780"/>
      <c r="E780"/>
      <c r="F780"/>
      <c r="G780"/>
      <c r="AB780" s="68"/>
      <c r="BJ780"/>
      <c r="BK780"/>
      <c r="BL780"/>
      <c r="BM780"/>
      <c r="BN780"/>
      <c r="BO780"/>
      <c r="BP780"/>
      <c r="BQ780"/>
      <c r="BR780"/>
      <c r="BS780"/>
      <c r="BT780"/>
      <c r="BU780"/>
      <c r="BV780"/>
      <c r="BW780"/>
      <c r="BX780"/>
      <c r="BY780"/>
      <c r="BZ780"/>
      <c r="CA780"/>
      <c r="CB780"/>
      <c r="CC780"/>
      <c r="CD780"/>
      <c r="CE780"/>
      <c r="CF780"/>
    </row>
    <row r="781" spans="1:84" ht="12.75" customHeight="1">
      <c r="A781"/>
      <c r="B781"/>
      <c r="C781"/>
      <c r="D781"/>
      <c r="E781"/>
      <c r="F781"/>
      <c r="G781"/>
      <c r="AB781" s="68"/>
      <c r="BJ781"/>
      <c r="BK781"/>
      <c r="BL781"/>
      <c r="BM781"/>
      <c r="BN781"/>
      <c r="BO781"/>
      <c r="BP781"/>
      <c r="BQ781"/>
      <c r="BR781"/>
      <c r="BS781"/>
      <c r="BT781"/>
      <c r="BU781"/>
      <c r="BV781"/>
      <c r="BW781"/>
      <c r="BX781"/>
      <c r="BY781"/>
      <c r="BZ781"/>
      <c r="CA781"/>
      <c r="CB781"/>
      <c r="CC781"/>
      <c r="CD781"/>
      <c r="CE781"/>
      <c r="CF781"/>
    </row>
    <row r="782" spans="1:84" ht="12.75" customHeight="1">
      <c r="A782"/>
      <c r="B782"/>
      <c r="C782"/>
      <c r="D782"/>
      <c r="E782"/>
      <c r="F782"/>
      <c r="G782"/>
      <c r="AB782" s="68"/>
      <c r="BJ782"/>
      <c r="BK782"/>
      <c r="BL782"/>
      <c r="BM782"/>
      <c r="BN782"/>
      <c r="BO782"/>
      <c r="BP782"/>
      <c r="BQ782"/>
      <c r="BR782"/>
      <c r="BS782"/>
      <c r="BT782"/>
      <c r="BU782"/>
      <c r="BV782"/>
      <c r="BW782"/>
      <c r="BX782"/>
      <c r="BY782"/>
      <c r="BZ782"/>
      <c r="CA782"/>
      <c r="CB782"/>
      <c r="CC782"/>
      <c r="CD782"/>
      <c r="CE782"/>
      <c r="CF782"/>
    </row>
    <row r="783" spans="1:84" ht="12.75" customHeight="1">
      <c r="A783"/>
      <c r="B783"/>
      <c r="C783"/>
      <c r="D783"/>
      <c r="E783"/>
      <c r="F783"/>
      <c r="G783"/>
      <c r="AB783" s="68"/>
      <c r="BJ783"/>
      <c r="BK783"/>
      <c r="BL783"/>
      <c r="BM783"/>
      <c r="BN783"/>
      <c r="BO783"/>
      <c r="BP783"/>
      <c r="BQ783"/>
      <c r="BR783"/>
      <c r="BS783"/>
      <c r="BT783"/>
      <c r="BU783"/>
      <c r="BV783"/>
      <c r="BW783"/>
      <c r="BX783"/>
      <c r="BY783"/>
      <c r="BZ783"/>
      <c r="CA783"/>
      <c r="CB783"/>
      <c r="CC783"/>
      <c r="CD783"/>
      <c r="CE783"/>
      <c r="CF783"/>
    </row>
    <row r="784" spans="1:84" ht="12.75" customHeight="1">
      <c r="A784"/>
      <c r="B784"/>
      <c r="C784"/>
      <c r="D784"/>
      <c r="E784"/>
      <c r="F784"/>
      <c r="G784"/>
      <c r="AB784" s="68"/>
      <c r="BJ784"/>
      <c r="BK784"/>
      <c r="BL784"/>
      <c r="BM784"/>
      <c r="BN784"/>
      <c r="BO784"/>
      <c r="BP784"/>
      <c r="BQ784"/>
      <c r="BR784"/>
      <c r="BS784"/>
      <c r="BT784"/>
      <c r="BU784"/>
      <c r="BV784"/>
      <c r="BW784"/>
      <c r="BX784"/>
      <c r="BY784"/>
      <c r="BZ784"/>
      <c r="CA784"/>
      <c r="CB784"/>
      <c r="CC784"/>
      <c r="CD784"/>
      <c r="CE784"/>
      <c r="CF784"/>
    </row>
    <row r="785" spans="1:84" ht="12.75" customHeight="1">
      <c r="A785"/>
      <c r="B785"/>
      <c r="C785"/>
      <c r="D785"/>
      <c r="E785"/>
      <c r="F785"/>
      <c r="G785"/>
      <c r="AB785" s="68"/>
      <c r="BJ785"/>
      <c r="BK785"/>
      <c r="BL785"/>
      <c r="BM785"/>
      <c r="BN785"/>
      <c r="BO785"/>
      <c r="BP785"/>
      <c r="BQ785"/>
      <c r="BR785"/>
      <c r="BS785"/>
      <c r="BT785"/>
      <c r="BU785"/>
      <c r="BV785"/>
      <c r="BW785"/>
      <c r="BX785"/>
      <c r="BY785"/>
      <c r="BZ785"/>
      <c r="CA785"/>
      <c r="CB785"/>
      <c r="CC785"/>
      <c r="CD785"/>
      <c r="CE785"/>
      <c r="CF785"/>
    </row>
    <row r="786" spans="1:84" ht="12.75" customHeight="1">
      <c r="A786"/>
      <c r="B786"/>
      <c r="C786"/>
      <c r="D786"/>
      <c r="E786"/>
      <c r="F786"/>
      <c r="G786"/>
      <c r="AB786" s="68"/>
      <c r="BJ786"/>
      <c r="BK786"/>
      <c r="BL786"/>
      <c r="BM786"/>
      <c r="BN786"/>
      <c r="BO786"/>
      <c r="BP786"/>
      <c r="BQ786"/>
      <c r="BR786"/>
      <c r="BS786"/>
      <c r="BT786"/>
      <c r="BU786"/>
      <c r="BV786"/>
      <c r="BW786"/>
      <c r="BX786"/>
      <c r="BY786"/>
      <c r="BZ786"/>
      <c r="CA786"/>
      <c r="CB786"/>
      <c r="CC786"/>
      <c r="CD786"/>
      <c r="CE786"/>
      <c r="CF786"/>
    </row>
    <row r="787" spans="1:84" ht="12.75" customHeight="1">
      <c r="A787"/>
      <c r="B787"/>
      <c r="C787"/>
      <c r="D787"/>
      <c r="E787"/>
      <c r="F787"/>
      <c r="G787"/>
      <c r="AB787" s="68"/>
      <c r="BJ787"/>
      <c r="BK787"/>
      <c r="BL787"/>
      <c r="BM787"/>
      <c r="BN787"/>
      <c r="BO787"/>
      <c r="BP787"/>
      <c r="BQ787"/>
      <c r="BR787"/>
      <c r="BS787"/>
      <c r="BT787"/>
      <c r="BU787"/>
      <c r="BV787"/>
      <c r="BW787"/>
      <c r="BX787"/>
      <c r="BY787"/>
      <c r="BZ787"/>
      <c r="CA787"/>
      <c r="CB787"/>
      <c r="CC787"/>
      <c r="CD787"/>
      <c r="CE787"/>
      <c r="CF787"/>
    </row>
    <row r="788" spans="1:84" ht="12.75" customHeight="1">
      <c r="A788"/>
      <c r="B788"/>
      <c r="C788"/>
      <c r="D788"/>
      <c r="E788"/>
      <c r="F788"/>
      <c r="G788"/>
      <c r="AB788" s="68"/>
      <c r="BJ788"/>
      <c r="BK788"/>
      <c r="BL788"/>
      <c r="BM788"/>
      <c r="BN788"/>
      <c r="BO788"/>
      <c r="BP788"/>
      <c r="BQ788"/>
      <c r="BR788"/>
      <c r="BS788"/>
      <c r="BT788"/>
      <c r="BU788"/>
      <c r="BV788"/>
      <c r="BW788"/>
      <c r="BX788"/>
      <c r="BY788"/>
      <c r="BZ788"/>
      <c r="CA788"/>
      <c r="CB788"/>
      <c r="CC788"/>
      <c r="CD788"/>
      <c r="CE788"/>
      <c r="CF788"/>
    </row>
    <row r="789" spans="1:84" ht="12.75" customHeight="1">
      <c r="A789"/>
      <c r="B789"/>
      <c r="C789"/>
      <c r="D789"/>
      <c r="E789"/>
      <c r="F789"/>
      <c r="G789"/>
      <c r="AB789" s="68"/>
      <c r="BJ789"/>
      <c r="BK789"/>
      <c r="BL789"/>
      <c r="BM789"/>
      <c r="BN789"/>
      <c r="BO789"/>
      <c r="BP789"/>
      <c r="BQ789"/>
      <c r="BR789"/>
      <c r="BS789"/>
      <c r="BT789"/>
      <c r="BU789"/>
      <c r="BV789"/>
      <c r="BW789"/>
      <c r="BX789"/>
      <c r="BY789"/>
      <c r="BZ789"/>
      <c r="CA789"/>
      <c r="CB789"/>
      <c r="CC789"/>
      <c r="CD789"/>
      <c r="CE789"/>
      <c r="CF789"/>
    </row>
    <row r="790" spans="1:84" ht="12.75" customHeight="1">
      <c r="A790"/>
      <c r="B790"/>
      <c r="C790"/>
      <c r="D790"/>
      <c r="E790"/>
      <c r="F790"/>
      <c r="G790"/>
      <c r="AB790" s="68"/>
      <c r="BJ790"/>
      <c r="BK790"/>
      <c r="BL790"/>
      <c r="BM790"/>
      <c r="BN790"/>
      <c r="BO790"/>
      <c r="BP790"/>
      <c r="BQ790"/>
      <c r="BR790"/>
      <c r="BS790"/>
      <c r="BT790"/>
      <c r="BU790"/>
      <c r="BV790"/>
      <c r="BW790"/>
      <c r="BX790"/>
      <c r="BY790"/>
      <c r="BZ790"/>
      <c r="CA790"/>
      <c r="CB790"/>
      <c r="CC790"/>
      <c r="CD790"/>
      <c r="CE790"/>
      <c r="CF790"/>
    </row>
    <row r="791" spans="1:84" ht="12.75" customHeight="1">
      <c r="A791"/>
      <c r="B791"/>
      <c r="C791"/>
      <c r="D791"/>
      <c r="E791"/>
      <c r="F791"/>
      <c r="G791"/>
      <c r="AB791" s="68"/>
      <c r="BJ791"/>
      <c r="BK791"/>
      <c r="BL791"/>
      <c r="BM791"/>
      <c r="BN791"/>
      <c r="BO791"/>
      <c r="BP791"/>
      <c r="BQ791"/>
      <c r="BR791"/>
      <c r="BS791"/>
      <c r="BT791"/>
      <c r="BU791"/>
      <c r="BV791"/>
      <c r="BW791"/>
      <c r="BX791"/>
      <c r="BY791"/>
      <c r="BZ791"/>
      <c r="CA791"/>
      <c r="CB791"/>
      <c r="CC791"/>
      <c r="CD791"/>
      <c r="CE791"/>
      <c r="CF791"/>
    </row>
    <row r="792" spans="1:84" ht="12.75" customHeight="1">
      <c r="A792"/>
      <c r="B792"/>
      <c r="C792"/>
      <c r="D792"/>
      <c r="E792"/>
      <c r="F792"/>
      <c r="G792"/>
      <c r="AB792" s="68"/>
      <c r="BJ792"/>
      <c r="BK792"/>
      <c r="BL792"/>
      <c r="BM792"/>
      <c r="BN792"/>
      <c r="BO792"/>
      <c r="BP792"/>
      <c r="BQ792"/>
      <c r="BR792"/>
      <c r="BS792"/>
      <c r="BT792"/>
      <c r="BU792"/>
      <c r="BV792"/>
      <c r="BW792"/>
      <c r="BX792"/>
      <c r="BY792"/>
      <c r="BZ792"/>
      <c r="CA792"/>
      <c r="CB792"/>
      <c r="CC792"/>
      <c r="CD792"/>
      <c r="CE792"/>
      <c r="CF792"/>
    </row>
    <row r="793" spans="1:84" ht="12.75" customHeight="1">
      <c r="A793"/>
      <c r="B793"/>
      <c r="C793"/>
      <c r="D793"/>
      <c r="E793"/>
      <c r="F793"/>
      <c r="G793"/>
      <c r="AB793" s="68"/>
      <c r="BJ793"/>
      <c r="BK793"/>
      <c r="BL793"/>
      <c r="BM793"/>
      <c r="BN793"/>
      <c r="BO793"/>
      <c r="BP793"/>
      <c r="BQ793"/>
      <c r="BR793"/>
      <c r="BS793"/>
      <c r="BT793"/>
      <c r="BU793"/>
      <c r="BV793"/>
      <c r="BW793"/>
      <c r="BX793"/>
      <c r="BY793"/>
      <c r="BZ793"/>
      <c r="CA793"/>
      <c r="CB793"/>
      <c r="CC793"/>
      <c r="CD793"/>
      <c r="CE793"/>
      <c r="CF793"/>
    </row>
    <row r="794" spans="1:84" ht="12.75" customHeight="1">
      <c r="A794"/>
      <c r="B794"/>
      <c r="C794"/>
      <c r="D794"/>
      <c r="E794"/>
      <c r="F794"/>
      <c r="G794"/>
      <c r="AB794" s="68"/>
      <c r="BJ794"/>
      <c r="BK794"/>
      <c r="BL794"/>
      <c r="BM794"/>
      <c r="BN794"/>
      <c r="BO794"/>
      <c r="BP794"/>
      <c r="BQ794"/>
      <c r="BR794"/>
      <c r="BS794"/>
      <c r="BT794"/>
      <c r="BU794"/>
      <c r="BV794"/>
      <c r="BW794"/>
      <c r="BX794"/>
      <c r="BY794"/>
      <c r="BZ794"/>
      <c r="CA794"/>
      <c r="CB794"/>
      <c r="CC794"/>
      <c r="CD794"/>
      <c r="CE794"/>
      <c r="CF794"/>
    </row>
    <row r="795" spans="1:84" ht="12.75" customHeight="1">
      <c r="A795"/>
      <c r="B795"/>
      <c r="C795"/>
      <c r="D795"/>
      <c r="E795"/>
      <c r="F795"/>
      <c r="G795"/>
      <c r="AB795" s="68"/>
      <c r="BJ795"/>
      <c r="BK795"/>
      <c r="BL795"/>
      <c r="BM795"/>
      <c r="BN795"/>
      <c r="BO795"/>
      <c r="BP795"/>
      <c r="BQ795"/>
      <c r="BR795"/>
      <c r="BS795"/>
      <c r="BT795"/>
      <c r="BU795"/>
      <c r="BV795"/>
      <c r="BW795"/>
      <c r="BX795"/>
      <c r="BY795"/>
      <c r="BZ795"/>
      <c r="CA795"/>
      <c r="CB795"/>
      <c r="CC795"/>
      <c r="CD795"/>
      <c r="CE795"/>
      <c r="CF795"/>
    </row>
    <row r="796" spans="1:84" ht="12.75" customHeight="1">
      <c r="A796"/>
      <c r="B796"/>
      <c r="C796"/>
      <c r="D796"/>
      <c r="E796"/>
      <c r="F796"/>
      <c r="G796"/>
      <c r="AB796" s="68"/>
      <c r="BJ796"/>
      <c r="BK796"/>
      <c r="BL796"/>
      <c r="BM796"/>
      <c r="BN796"/>
      <c r="BO796"/>
      <c r="BP796"/>
      <c r="BQ796"/>
      <c r="BR796"/>
      <c r="BS796"/>
      <c r="BT796"/>
      <c r="BU796"/>
      <c r="BV796"/>
      <c r="BW796"/>
      <c r="BX796"/>
      <c r="BY796"/>
      <c r="BZ796"/>
      <c r="CA796"/>
      <c r="CB796"/>
      <c r="CC796"/>
      <c r="CD796"/>
      <c r="CE796"/>
      <c r="CF796"/>
    </row>
    <row r="797" spans="1:84" ht="12.75" customHeight="1">
      <c r="A797"/>
      <c r="B797"/>
      <c r="C797"/>
      <c r="D797"/>
      <c r="E797"/>
      <c r="F797"/>
      <c r="G797"/>
      <c r="AB797" s="68"/>
      <c r="BJ797"/>
      <c r="BK797"/>
      <c r="BL797"/>
      <c r="BM797"/>
      <c r="BN797"/>
      <c r="BO797"/>
      <c r="BP797"/>
      <c r="BQ797"/>
      <c r="BR797"/>
      <c r="BS797"/>
      <c r="BT797"/>
      <c r="BU797"/>
      <c r="BV797"/>
      <c r="BW797"/>
      <c r="BX797"/>
      <c r="BY797"/>
      <c r="BZ797"/>
      <c r="CA797"/>
      <c r="CB797"/>
      <c r="CC797"/>
      <c r="CD797"/>
      <c r="CE797"/>
      <c r="CF797"/>
    </row>
    <row r="798" spans="1:84" ht="12.75" customHeight="1">
      <c r="A798"/>
      <c r="B798"/>
      <c r="C798"/>
      <c r="D798"/>
      <c r="E798"/>
      <c r="F798"/>
      <c r="G798"/>
      <c r="AB798" s="68"/>
      <c r="BJ798"/>
      <c r="BK798"/>
      <c r="BL798"/>
      <c r="BM798"/>
      <c r="BN798"/>
      <c r="BO798"/>
      <c r="BP798"/>
      <c r="BQ798"/>
      <c r="BR798"/>
      <c r="BS798"/>
      <c r="BT798"/>
      <c r="BU798"/>
      <c r="BV798"/>
      <c r="BW798"/>
      <c r="BX798"/>
      <c r="BY798"/>
      <c r="BZ798"/>
      <c r="CA798"/>
      <c r="CB798"/>
      <c r="CC798"/>
      <c r="CD798"/>
      <c r="CE798"/>
      <c r="CF798"/>
    </row>
    <row r="799" spans="1:84" ht="12.75" customHeight="1">
      <c r="A799"/>
      <c r="B799"/>
      <c r="C799"/>
      <c r="D799"/>
      <c r="E799"/>
      <c r="F799"/>
      <c r="G799"/>
      <c r="AB799" s="68"/>
      <c r="BJ799"/>
      <c r="BK799"/>
      <c r="BL799"/>
      <c r="BM799"/>
      <c r="BN799"/>
      <c r="BO799"/>
      <c r="BP799"/>
      <c r="BQ799"/>
      <c r="BR799"/>
      <c r="BS799"/>
      <c r="BT799"/>
      <c r="BU799"/>
      <c r="BV799"/>
      <c r="BW799"/>
      <c r="BX799"/>
      <c r="BY799"/>
      <c r="BZ799"/>
      <c r="CA799"/>
      <c r="CB799"/>
      <c r="CC799"/>
      <c r="CD799"/>
      <c r="CE799"/>
      <c r="CF799"/>
    </row>
    <row r="800" spans="1:84" ht="12.75" customHeight="1">
      <c r="A800"/>
      <c r="B800"/>
      <c r="C800"/>
      <c r="D800"/>
      <c r="E800"/>
      <c r="F800"/>
      <c r="G800"/>
      <c r="AB800" s="68"/>
      <c r="BJ800"/>
      <c r="BK800"/>
      <c r="BL800"/>
      <c r="BM800"/>
      <c r="BN800"/>
      <c r="BO800"/>
      <c r="BP800"/>
      <c r="BQ800"/>
      <c r="BR800"/>
      <c r="BS800"/>
      <c r="BT800"/>
      <c r="BU800"/>
      <c r="BV800"/>
      <c r="BW800"/>
      <c r="BX800"/>
      <c r="BY800"/>
      <c r="BZ800"/>
      <c r="CA800"/>
      <c r="CB800"/>
      <c r="CC800"/>
      <c r="CD800"/>
      <c r="CE800"/>
      <c r="CF800"/>
    </row>
    <row r="801" spans="1:84" ht="12.75" customHeight="1">
      <c r="A801"/>
      <c r="B801"/>
      <c r="C801"/>
      <c r="D801"/>
      <c r="E801"/>
      <c r="F801"/>
      <c r="G801"/>
      <c r="AB801" s="68"/>
      <c r="BJ801"/>
      <c r="BK801"/>
      <c r="BL801"/>
      <c r="BM801"/>
      <c r="BN801"/>
      <c r="BO801"/>
      <c r="BP801"/>
      <c r="BQ801"/>
      <c r="BR801"/>
      <c r="BS801"/>
      <c r="BT801"/>
      <c r="BU801"/>
      <c r="BV801"/>
      <c r="BW801"/>
      <c r="BX801"/>
      <c r="BY801"/>
      <c r="BZ801"/>
      <c r="CA801"/>
      <c r="CB801"/>
      <c r="CC801"/>
      <c r="CD801"/>
      <c r="CE801"/>
      <c r="CF801"/>
    </row>
    <row r="802" spans="1:84" ht="12.75" customHeight="1">
      <c r="A802"/>
      <c r="B802"/>
      <c r="C802"/>
      <c r="D802"/>
      <c r="E802"/>
      <c r="F802"/>
      <c r="G802"/>
      <c r="AB802" s="68"/>
      <c r="BJ802"/>
      <c r="BK802"/>
      <c r="BL802"/>
      <c r="BM802"/>
      <c r="BN802"/>
      <c r="BO802"/>
      <c r="BP802"/>
      <c r="BQ802"/>
      <c r="BR802"/>
      <c r="BS802"/>
      <c r="BT802"/>
      <c r="BU802"/>
      <c r="BV802"/>
      <c r="BW802"/>
      <c r="BX802"/>
      <c r="BY802"/>
      <c r="BZ802"/>
      <c r="CA802"/>
      <c r="CB802"/>
      <c r="CC802"/>
      <c r="CD802"/>
      <c r="CE802"/>
      <c r="CF802"/>
    </row>
    <row r="803" spans="1:84" ht="12.75" customHeight="1">
      <c r="A803"/>
      <c r="B803"/>
      <c r="C803"/>
      <c r="D803"/>
      <c r="E803"/>
      <c r="F803"/>
      <c r="G803"/>
      <c r="AB803" s="68"/>
      <c r="BJ803"/>
      <c r="BK803"/>
      <c r="BL803"/>
      <c r="BM803"/>
      <c r="BN803"/>
      <c r="BO803"/>
      <c r="BP803"/>
      <c r="BQ803"/>
      <c r="BR803"/>
      <c r="BS803"/>
      <c r="BT803"/>
      <c r="BU803"/>
      <c r="BV803"/>
      <c r="BW803"/>
      <c r="BX803"/>
      <c r="BY803"/>
      <c r="BZ803"/>
      <c r="CA803"/>
      <c r="CB803"/>
      <c r="CC803"/>
      <c r="CD803"/>
      <c r="CE803"/>
      <c r="CF803"/>
    </row>
    <row r="804" spans="1:84" ht="12.75" customHeight="1">
      <c r="A804"/>
      <c r="B804"/>
      <c r="C804"/>
      <c r="D804"/>
      <c r="E804"/>
      <c r="F804"/>
      <c r="G804"/>
      <c r="AB804" s="68"/>
      <c r="BJ804"/>
      <c r="BK804"/>
      <c r="BL804"/>
      <c r="BM804"/>
      <c r="BN804"/>
      <c r="BO804"/>
      <c r="BP804"/>
      <c r="BQ804"/>
      <c r="BR804"/>
      <c r="BS804"/>
      <c r="BT804"/>
      <c r="BU804"/>
      <c r="BV804"/>
      <c r="BW804"/>
      <c r="BX804"/>
      <c r="BY804"/>
      <c r="BZ804"/>
      <c r="CA804"/>
      <c r="CB804"/>
      <c r="CC804"/>
      <c r="CD804"/>
      <c r="CE804"/>
      <c r="CF804"/>
    </row>
    <row r="805" spans="1:84" ht="12.75" customHeight="1">
      <c r="A805"/>
      <c r="B805"/>
      <c r="C805"/>
      <c r="D805"/>
      <c r="E805"/>
      <c r="F805"/>
      <c r="G805"/>
      <c r="AB805" s="68"/>
      <c r="BJ805"/>
      <c r="BK805"/>
      <c r="BL805"/>
      <c r="BM805"/>
      <c r="BN805"/>
      <c r="BO805"/>
      <c r="BP805"/>
      <c r="BQ805"/>
      <c r="BR805"/>
      <c r="BS805"/>
      <c r="BT805"/>
      <c r="BU805"/>
      <c r="BV805"/>
      <c r="BW805"/>
      <c r="BX805"/>
      <c r="BY805"/>
      <c r="BZ805"/>
      <c r="CA805"/>
      <c r="CB805"/>
      <c r="CC805"/>
      <c r="CD805"/>
      <c r="CE805"/>
      <c r="CF805"/>
    </row>
    <row r="806" spans="1:84" ht="12.75" customHeight="1">
      <c r="A806"/>
      <c r="B806"/>
      <c r="C806"/>
      <c r="D806"/>
      <c r="E806"/>
      <c r="F806"/>
      <c r="G806"/>
      <c r="AB806" s="68"/>
      <c r="BJ806"/>
      <c r="BK806"/>
      <c r="BL806"/>
      <c r="BM806"/>
      <c r="BN806"/>
      <c r="BO806"/>
      <c r="BP806"/>
      <c r="BQ806"/>
      <c r="BR806"/>
      <c r="BS806"/>
      <c r="BT806"/>
      <c r="BU806"/>
      <c r="BV806"/>
      <c r="BW806"/>
      <c r="BX806"/>
      <c r="BY806"/>
      <c r="BZ806"/>
      <c r="CA806"/>
      <c r="CB806"/>
      <c r="CC806"/>
      <c r="CD806"/>
      <c r="CE806"/>
      <c r="CF806"/>
    </row>
    <row r="807" spans="1:84" ht="12.75" customHeight="1">
      <c r="A807"/>
      <c r="B807"/>
      <c r="C807"/>
      <c r="D807"/>
      <c r="E807"/>
      <c r="F807"/>
      <c r="G807"/>
      <c r="AB807" s="68"/>
      <c r="BJ807"/>
      <c r="BK807"/>
      <c r="BL807"/>
      <c r="BM807"/>
      <c r="BN807"/>
      <c r="BO807"/>
      <c r="BP807"/>
      <c r="BQ807"/>
      <c r="BR807"/>
      <c r="BS807"/>
      <c r="BT807"/>
      <c r="BU807"/>
      <c r="BV807"/>
      <c r="BW807"/>
      <c r="BX807"/>
      <c r="BY807"/>
      <c r="BZ807"/>
      <c r="CA807"/>
      <c r="CB807"/>
      <c r="CC807"/>
      <c r="CD807"/>
      <c r="CE807"/>
      <c r="CF807"/>
    </row>
    <row r="808" spans="1:84" ht="12.75" customHeight="1">
      <c r="A808"/>
      <c r="B808"/>
      <c r="C808"/>
      <c r="D808"/>
      <c r="E808"/>
      <c r="F808"/>
      <c r="G808"/>
      <c r="AB808" s="68"/>
      <c r="BJ808"/>
      <c r="BK808"/>
      <c r="BL808"/>
      <c r="BM808"/>
      <c r="BN808"/>
      <c r="BO808"/>
      <c r="BP808"/>
      <c r="BQ808"/>
      <c r="BR808"/>
      <c r="BS808"/>
      <c r="BT808"/>
      <c r="BU808"/>
      <c r="BV808"/>
      <c r="BW808"/>
      <c r="BX808"/>
      <c r="BY808"/>
      <c r="BZ808"/>
      <c r="CA808"/>
      <c r="CB808"/>
      <c r="CC808"/>
      <c r="CD808"/>
      <c r="CE808"/>
      <c r="CF808"/>
    </row>
    <row r="809" spans="1:84" ht="12.75" customHeight="1">
      <c r="A809"/>
      <c r="B809"/>
      <c r="C809"/>
      <c r="D809"/>
      <c r="E809"/>
      <c r="F809"/>
      <c r="G809"/>
      <c r="AB809" s="68"/>
      <c r="BJ809"/>
      <c r="BK809"/>
      <c r="BL809"/>
      <c r="BM809"/>
      <c r="BN809"/>
      <c r="BO809"/>
      <c r="BP809"/>
      <c r="BQ809"/>
      <c r="BR809"/>
      <c r="BS809"/>
      <c r="BT809"/>
      <c r="BU809"/>
      <c r="BV809"/>
      <c r="BW809"/>
      <c r="BX809"/>
      <c r="BY809"/>
      <c r="BZ809"/>
      <c r="CA809"/>
      <c r="CB809"/>
      <c r="CC809"/>
      <c r="CD809"/>
      <c r="CE809"/>
      <c r="CF809"/>
    </row>
    <row r="810" spans="1:84" ht="12.75" customHeight="1">
      <c r="A810"/>
      <c r="B810"/>
      <c r="C810"/>
      <c r="D810"/>
      <c r="E810"/>
      <c r="F810"/>
      <c r="G810"/>
      <c r="AB810" s="68"/>
      <c r="BJ810"/>
      <c r="BK810"/>
      <c r="BL810"/>
      <c r="BM810"/>
      <c r="BN810"/>
      <c r="BO810"/>
      <c r="BP810"/>
      <c r="BQ810"/>
      <c r="BR810"/>
      <c r="BS810"/>
      <c r="BT810"/>
      <c r="BU810"/>
      <c r="BV810"/>
      <c r="BW810"/>
      <c r="BX810"/>
      <c r="BY810"/>
      <c r="BZ810"/>
      <c r="CA810"/>
      <c r="CB810"/>
      <c r="CC810"/>
      <c r="CD810"/>
      <c r="CE810"/>
      <c r="CF810"/>
    </row>
    <row r="811" spans="1:84" ht="12.75" customHeight="1">
      <c r="A811"/>
      <c r="B811"/>
      <c r="C811"/>
      <c r="D811"/>
      <c r="E811"/>
      <c r="F811"/>
      <c r="G811"/>
      <c r="AB811" s="68"/>
      <c r="BJ811"/>
      <c r="BK811"/>
      <c r="BL811"/>
      <c r="BM811"/>
      <c r="BN811"/>
      <c r="BO811"/>
      <c r="BP811"/>
      <c r="BQ811"/>
      <c r="BR811"/>
      <c r="BS811"/>
      <c r="BT811"/>
      <c r="BU811"/>
      <c r="BV811"/>
      <c r="BW811"/>
      <c r="BX811"/>
      <c r="BY811"/>
      <c r="BZ811"/>
      <c r="CA811"/>
      <c r="CB811"/>
      <c r="CC811"/>
      <c r="CD811"/>
      <c r="CE811"/>
      <c r="CF811"/>
    </row>
    <row r="812" spans="1:84" ht="12.75" customHeight="1">
      <c r="A812"/>
      <c r="B812"/>
      <c r="C812"/>
      <c r="D812"/>
      <c r="E812"/>
      <c r="F812"/>
      <c r="G812"/>
      <c r="AB812" s="68"/>
      <c r="BJ812"/>
      <c r="BK812"/>
      <c r="BL812"/>
      <c r="BM812"/>
      <c r="BN812"/>
      <c r="BO812"/>
      <c r="BP812"/>
      <c r="BQ812"/>
      <c r="BR812"/>
      <c r="BS812"/>
      <c r="BT812"/>
      <c r="BU812"/>
      <c r="BV812"/>
      <c r="BW812"/>
      <c r="BX812"/>
      <c r="BY812"/>
      <c r="BZ812"/>
      <c r="CA812"/>
      <c r="CB812"/>
      <c r="CC812"/>
      <c r="CD812"/>
      <c r="CE812"/>
      <c r="CF812"/>
    </row>
    <row r="813" spans="1:84" ht="12.75" customHeight="1">
      <c r="A813"/>
      <c r="B813"/>
      <c r="C813"/>
      <c r="D813"/>
      <c r="E813"/>
      <c r="F813"/>
      <c r="G813"/>
      <c r="AB813" s="68"/>
      <c r="BJ813"/>
      <c r="BK813"/>
      <c r="BL813"/>
      <c r="BM813"/>
      <c r="BN813"/>
      <c r="BO813"/>
      <c r="BP813"/>
      <c r="BQ813"/>
      <c r="BR813"/>
      <c r="BS813"/>
      <c r="BT813"/>
      <c r="BU813"/>
      <c r="BV813"/>
      <c r="BW813"/>
      <c r="BX813"/>
      <c r="BY813"/>
      <c r="BZ813"/>
      <c r="CA813"/>
      <c r="CB813"/>
      <c r="CC813"/>
      <c r="CD813"/>
      <c r="CE813"/>
      <c r="CF813"/>
    </row>
    <row r="814" spans="1:84" ht="12.75" customHeight="1">
      <c r="A814"/>
      <c r="B814"/>
      <c r="C814"/>
      <c r="D814"/>
      <c r="E814"/>
      <c r="F814"/>
      <c r="G814"/>
      <c r="AB814" s="68"/>
      <c r="BJ814"/>
      <c r="BK814"/>
      <c r="BL814"/>
      <c r="BM814"/>
      <c r="BN814"/>
      <c r="BO814"/>
      <c r="BP814"/>
      <c r="BQ814"/>
      <c r="BR814"/>
      <c r="BS814"/>
      <c r="BT814"/>
      <c r="BU814"/>
      <c r="BV814"/>
      <c r="BW814"/>
      <c r="BX814"/>
      <c r="BY814"/>
      <c r="BZ814"/>
      <c r="CA814"/>
      <c r="CB814"/>
      <c r="CC814"/>
      <c r="CD814"/>
      <c r="CE814"/>
      <c r="CF814"/>
    </row>
    <row r="815" spans="1:84" ht="12.75" customHeight="1">
      <c r="A815"/>
      <c r="B815"/>
      <c r="C815"/>
      <c r="D815"/>
      <c r="E815"/>
      <c r="F815"/>
      <c r="G815"/>
      <c r="AB815" s="68"/>
      <c r="BJ815"/>
      <c r="BK815"/>
      <c r="BL815"/>
      <c r="BM815"/>
      <c r="BN815"/>
      <c r="BO815"/>
      <c r="BP815"/>
      <c r="BQ815"/>
      <c r="BR815"/>
      <c r="BS815"/>
      <c r="BT815"/>
      <c r="BU815"/>
      <c r="BV815"/>
      <c r="BW815"/>
      <c r="BX815"/>
      <c r="BY815"/>
      <c r="BZ815"/>
      <c r="CA815"/>
      <c r="CB815"/>
      <c r="CC815"/>
      <c r="CD815"/>
      <c r="CE815"/>
      <c r="CF815"/>
    </row>
    <row r="816" spans="1:84" ht="12.75" customHeight="1">
      <c r="A816"/>
      <c r="B816"/>
      <c r="C816"/>
      <c r="D816"/>
      <c r="E816"/>
      <c r="F816"/>
      <c r="G816"/>
      <c r="AB816" s="68"/>
      <c r="BJ816"/>
      <c r="BK816"/>
      <c r="BL816"/>
      <c r="BM816"/>
      <c r="BN816"/>
      <c r="BO816"/>
      <c r="BP816"/>
      <c r="BQ816"/>
      <c r="BR816"/>
      <c r="BS816"/>
      <c r="BT816"/>
      <c r="BU816"/>
      <c r="BV816"/>
      <c r="BW816"/>
      <c r="BX816"/>
      <c r="BY816"/>
      <c r="BZ816"/>
      <c r="CA816"/>
      <c r="CB816"/>
      <c r="CC816"/>
      <c r="CD816"/>
      <c r="CE816"/>
      <c r="CF816"/>
    </row>
    <row r="817" spans="1:84" ht="12.75" customHeight="1">
      <c r="A817"/>
      <c r="B817"/>
      <c r="C817"/>
      <c r="D817"/>
      <c r="E817"/>
      <c r="F817"/>
      <c r="G817"/>
      <c r="AB817" s="68"/>
      <c r="BJ817"/>
      <c r="BK817"/>
      <c r="BL817"/>
      <c r="BM817"/>
      <c r="BN817"/>
      <c r="BO817"/>
      <c r="BP817"/>
      <c r="BQ817"/>
      <c r="BR817"/>
      <c r="BS817"/>
      <c r="BT817"/>
      <c r="BU817"/>
      <c r="BV817"/>
      <c r="BW817"/>
      <c r="BX817"/>
      <c r="BY817"/>
      <c r="BZ817"/>
      <c r="CA817"/>
      <c r="CB817"/>
      <c r="CC817"/>
      <c r="CD817"/>
      <c r="CE817"/>
      <c r="CF817"/>
    </row>
    <row r="818" spans="1:84" ht="12.75" customHeight="1">
      <c r="A818"/>
      <c r="B818"/>
      <c r="C818"/>
      <c r="D818"/>
      <c r="E818"/>
      <c r="F818"/>
      <c r="G818"/>
      <c r="AB818" s="68"/>
      <c r="BJ818"/>
      <c r="BK818"/>
      <c r="BL818"/>
      <c r="BM818"/>
      <c r="BN818"/>
      <c r="BO818"/>
      <c r="BP818"/>
      <c r="BQ818"/>
      <c r="BR818"/>
      <c r="BS818"/>
      <c r="BT818"/>
      <c r="BU818"/>
      <c r="BV818"/>
      <c r="BW818"/>
      <c r="BX818"/>
      <c r="BY818"/>
      <c r="BZ818"/>
      <c r="CA818"/>
      <c r="CB818"/>
      <c r="CC818"/>
      <c r="CD818"/>
      <c r="CE818"/>
      <c r="CF818"/>
    </row>
    <row r="819" spans="1:84" ht="12.75" customHeight="1">
      <c r="A819"/>
      <c r="B819"/>
      <c r="C819"/>
      <c r="D819"/>
      <c r="E819"/>
      <c r="F819"/>
      <c r="G819"/>
      <c r="AB819" s="68"/>
      <c r="BJ819"/>
      <c r="BK819"/>
      <c r="BL819"/>
      <c r="BM819"/>
      <c r="BN819"/>
      <c r="BO819"/>
      <c r="BP819"/>
      <c r="BQ819"/>
      <c r="BR819"/>
      <c r="BS819"/>
      <c r="BT819"/>
      <c r="BU819"/>
      <c r="BV819"/>
      <c r="BW819"/>
      <c r="BX819"/>
      <c r="BY819"/>
      <c r="BZ819"/>
      <c r="CA819"/>
      <c r="CB819"/>
      <c r="CC819"/>
      <c r="CD819"/>
      <c r="CE819"/>
      <c r="CF819"/>
    </row>
    <row r="820" spans="1:84" ht="12.75" customHeight="1">
      <c r="A820"/>
      <c r="B820"/>
      <c r="C820"/>
      <c r="D820"/>
      <c r="E820"/>
      <c r="F820"/>
      <c r="G820"/>
      <c r="AB820" s="68"/>
      <c r="BJ820"/>
      <c r="BK820"/>
      <c r="BL820"/>
      <c r="BM820"/>
      <c r="BN820"/>
      <c r="BO820"/>
      <c r="BP820"/>
      <c r="BQ820"/>
      <c r="BR820"/>
      <c r="BS820"/>
      <c r="BT820"/>
      <c r="BU820"/>
      <c r="BV820"/>
      <c r="BW820"/>
      <c r="BX820"/>
      <c r="BY820"/>
      <c r="BZ820"/>
      <c r="CA820"/>
      <c r="CB820"/>
      <c r="CC820"/>
      <c r="CD820"/>
      <c r="CE820"/>
      <c r="CF820"/>
    </row>
    <row r="821" spans="1:84" ht="12.75" customHeight="1">
      <c r="A821"/>
      <c r="B821"/>
      <c r="C821"/>
      <c r="D821"/>
      <c r="E821"/>
      <c r="F821"/>
      <c r="G821"/>
      <c r="AB821" s="68"/>
      <c r="BJ821"/>
      <c r="BK821"/>
      <c r="BL821"/>
      <c r="BM821"/>
      <c r="BN821"/>
      <c r="BO821"/>
      <c r="BP821"/>
      <c r="BQ821"/>
      <c r="BR821"/>
      <c r="BS821"/>
      <c r="BT821"/>
      <c r="BU821"/>
      <c r="BV821"/>
      <c r="BW821"/>
      <c r="BX821"/>
      <c r="BY821"/>
      <c r="BZ821"/>
      <c r="CA821"/>
      <c r="CB821"/>
      <c r="CC821"/>
      <c r="CD821"/>
      <c r="CE821"/>
      <c r="CF821"/>
    </row>
    <row r="822" spans="1:84" ht="12.75" customHeight="1">
      <c r="A822"/>
      <c r="B822"/>
      <c r="C822"/>
      <c r="D822"/>
      <c r="E822"/>
      <c r="F822"/>
      <c r="G822"/>
      <c r="AB822" s="68"/>
      <c r="BJ822"/>
      <c r="BK822"/>
      <c r="BL822"/>
      <c r="BM822"/>
      <c r="BN822"/>
      <c r="BO822"/>
      <c r="BP822"/>
      <c r="BQ822"/>
      <c r="BR822"/>
      <c r="BS822"/>
      <c r="BT822"/>
      <c r="BU822"/>
      <c r="BV822"/>
      <c r="BW822"/>
      <c r="BX822"/>
      <c r="BY822"/>
      <c r="BZ822"/>
      <c r="CA822"/>
      <c r="CB822"/>
      <c r="CC822"/>
      <c r="CD822"/>
      <c r="CE822"/>
      <c r="CF822"/>
    </row>
    <row r="823" spans="1:84" ht="12.75" customHeight="1">
      <c r="A823"/>
      <c r="B823"/>
      <c r="C823"/>
      <c r="D823"/>
      <c r="E823"/>
      <c r="F823"/>
      <c r="G823"/>
      <c r="AB823" s="68"/>
      <c r="BJ823"/>
      <c r="BK823"/>
      <c r="BL823"/>
      <c r="BM823"/>
      <c r="BN823"/>
      <c r="BO823"/>
      <c r="BP823"/>
      <c r="BQ823"/>
      <c r="BR823"/>
      <c r="BS823"/>
      <c r="BT823"/>
      <c r="BU823"/>
      <c r="BV823"/>
      <c r="BW823"/>
      <c r="BX823"/>
      <c r="BY823"/>
      <c r="BZ823"/>
      <c r="CA823"/>
      <c r="CB823"/>
      <c r="CC823"/>
      <c r="CD823"/>
      <c r="CE823"/>
      <c r="CF823"/>
    </row>
    <row r="824" spans="1:84" ht="12.75" customHeight="1">
      <c r="A824"/>
      <c r="B824"/>
      <c r="C824"/>
      <c r="D824"/>
      <c r="E824"/>
      <c r="F824"/>
      <c r="G824"/>
      <c r="AB824" s="68"/>
      <c r="BJ824"/>
      <c r="BK824"/>
      <c r="BL824"/>
      <c r="BM824"/>
      <c r="BN824"/>
      <c r="BO824"/>
      <c r="BP824"/>
      <c r="BQ824"/>
      <c r="BR824"/>
      <c r="BS824"/>
      <c r="BT824"/>
      <c r="BU824"/>
      <c r="BV824"/>
      <c r="BW824"/>
      <c r="BX824"/>
      <c r="BY824"/>
      <c r="BZ824"/>
      <c r="CA824"/>
      <c r="CB824"/>
      <c r="CC824"/>
      <c r="CD824"/>
      <c r="CE824"/>
      <c r="CF824"/>
    </row>
    <row r="825" spans="1:84" ht="12.75" customHeight="1">
      <c r="A825"/>
      <c r="B825"/>
      <c r="C825"/>
      <c r="D825"/>
      <c r="E825"/>
      <c r="F825"/>
      <c r="G825"/>
      <c r="AB825" s="68"/>
      <c r="BJ825"/>
      <c r="BK825"/>
      <c r="BL825"/>
      <c r="BM825"/>
      <c r="BN825"/>
      <c r="BO825"/>
      <c r="BP825"/>
      <c r="BQ825"/>
      <c r="BR825"/>
      <c r="BS825"/>
      <c r="BT825"/>
      <c r="BU825"/>
      <c r="BV825"/>
      <c r="BW825"/>
      <c r="BX825"/>
      <c r="BY825"/>
      <c r="BZ825"/>
      <c r="CA825"/>
      <c r="CB825"/>
      <c r="CC825"/>
      <c r="CD825"/>
      <c r="CE825"/>
      <c r="CF825"/>
    </row>
    <row r="826" spans="1:84" ht="12.75" customHeight="1">
      <c r="A826"/>
      <c r="B826"/>
      <c r="C826"/>
      <c r="D826"/>
      <c r="E826"/>
      <c r="F826"/>
      <c r="G826"/>
      <c r="AB826" s="68"/>
      <c r="BJ826"/>
      <c r="BK826"/>
      <c r="BL826"/>
      <c r="BM826"/>
      <c r="BN826"/>
      <c r="BO826"/>
      <c r="BP826"/>
      <c r="BQ826"/>
      <c r="BR826"/>
      <c r="BS826"/>
      <c r="BT826"/>
      <c r="BU826"/>
      <c r="BV826"/>
      <c r="BW826"/>
      <c r="BX826"/>
      <c r="BY826"/>
      <c r="BZ826"/>
      <c r="CA826"/>
      <c r="CB826"/>
      <c r="CC826"/>
      <c r="CD826"/>
      <c r="CE826"/>
      <c r="CF826"/>
    </row>
    <row r="827" spans="1:84" ht="12.75" customHeight="1">
      <c r="A827"/>
      <c r="B827"/>
      <c r="C827"/>
      <c r="D827"/>
      <c r="E827"/>
      <c r="F827"/>
      <c r="G827"/>
      <c r="AB827" s="68"/>
      <c r="BJ827"/>
      <c r="BK827"/>
      <c r="BL827"/>
      <c r="BM827"/>
      <c r="BN827"/>
      <c r="BO827"/>
      <c r="BP827"/>
      <c r="BQ827"/>
      <c r="BR827"/>
      <c r="BS827"/>
      <c r="BT827"/>
      <c r="BU827"/>
      <c r="BV827"/>
      <c r="BW827"/>
      <c r="BX827"/>
      <c r="BY827"/>
      <c r="BZ827"/>
      <c r="CA827"/>
      <c r="CB827"/>
      <c r="CC827"/>
      <c r="CD827"/>
      <c r="CE827"/>
      <c r="CF827"/>
    </row>
    <row r="828" spans="1:84" ht="12.75" customHeight="1">
      <c r="A828"/>
      <c r="B828"/>
      <c r="C828"/>
      <c r="D828"/>
      <c r="E828"/>
      <c r="F828"/>
      <c r="G828"/>
      <c r="AB828" s="68"/>
      <c r="BJ828"/>
      <c r="BK828"/>
      <c r="BL828"/>
      <c r="BM828"/>
      <c r="BN828"/>
      <c r="BO828"/>
      <c r="BP828"/>
      <c r="BQ828"/>
      <c r="BR828"/>
      <c r="BS828"/>
      <c r="BT828"/>
      <c r="BU828"/>
      <c r="BV828"/>
      <c r="BW828"/>
      <c r="BX828"/>
      <c r="BY828"/>
      <c r="BZ828"/>
      <c r="CA828"/>
      <c r="CB828"/>
      <c r="CC828"/>
      <c r="CD828"/>
      <c r="CE828"/>
      <c r="CF828"/>
    </row>
    <row r="829" spans="1:84" ht="12.75" customHeight="1">
      <c r="A829"/>
      <c r="B829"/>
      <c r="C829"/>
      <c r="D829"/>
      <c r="E829"/>
      <c r="F829"/>
      <c r="G829"/>
      <c r="AB829" s="68"/>
      <c r="BJ829"/>
      <c r="BK829"/>
      <c r="BL829"/>
      <c r="BM829"/>
      <c r="BN829"/>
      <c r="BO829"/>
      <c r="BP829"/>
      <c r="BQ829"/>
      <c r="BR829"/>
      <c r="BS829"/>
      <c r="BT829"/>
      <c r="BU829"/>
      <c r="BV829"/>
      <c r="BW829"/>
      <c r="BX829"/>
      <c r="BY829"/>
      <c r="BZ829"/>
      <c r="CA829"/>
      <c r="CB829"/>
      <c r="CC829"/>
      <c r="CD829"/>
      <c r="CE829"/>
      <c r="CF829"/>
    </row>
    <row r="830" spans="1:84" ht="12.75" customHeight="1">
      <c r="A830"/>
      <c r="B830"/>
      <c r="C830"/>
      <c r="D830"/>
      <c r="E830"/>
      <c r="F830"/>
      <c r="G830"/>
      <c r="AB830" s="68"/>
      <c r="BJ830"/>
      <c r="BK830"/>
      <c r="BL830"/>
      <c r="BM830"/>
      <c r="BN830"/>
      <c r="BO830"/>
      <c r="BP830"/>
      <c r="BQ830"/>
      <c r="BR830"/>
      <c r="BS830"/>
      <c r="BT830"/>
      <c r="BU830"/>
      <c r="BV830"/>
      <c r="BW830"/>
      <c r="BX830"/>
      <c r="BY830"/>
      <c r="BZ830"/>
      <c r="CA830"/>
      <c r="CB830"/>
      <c r="CC830"/>
      <c r="CD830"/>
      <c r="CE830"/>
      <c r="CF830"/>
    </row>
    <row r="831" spans="1:84" ht="12.75" customHeight="1">
      <c r="A831"/>
      <c r="B831"/>
      <c r="C831"/>
      <c r="D831"/>
      <c r="E831"/>
      <c r="F831"/>
      <c r="G831"/>
      <c r="AB831" s="68"/>
      <c r="BJ831"/>
      <c r="BK831"/>
      <c r="BL831"/>
      <c r="BM831"/>
      <c r="BN831"/>
      <c r="BO831"/>
      <c r="BP831"/>
      <c r="BQ831"/>
      <c r="BR831"/>
      <c r="BS831"/>
      <c r="BT831"/>
      <c r="BU831"/>
      <c r="BV831"/>
      <c r="BW831"/>
      <c r="BX831"/>
      <c r="BY831"/>
      <c r="BZ831"/>
      <c r="CA831"/>
      <c r="CB831"/>
      <c r="CC831"/>
      <c r="CD831"/>
      <c r="CE831"/>
      <c r="CF831"/>
    </row>
    <row r="832" spans="1:84" ht="12.75" customHeight="1">
      <c r="A832"/>
      <c r="B832"/>
      <c r="C832"/>
      <c r="D832"/>
      <c r="E832"/>
      <c r="F832"/>
      <c r="G832"/>
      <c r="AB832" s="68"/>
      <c r="BJ832"/>
      <c r="BK832"/>
      <c r="BL832"/>
      <c r="BM832"/>
      <c r="BN832"/>
      <c r="BO832"/>
      <c r="BP832"/>
      <c r="BQ832"/>
      <c r="BR832"/>
      <c r="BS832"/>
      <c r="BT832"/>
      <c r="BU832"/>
      <c r="BV832"/>
      <c r="BW832"/>
      <c r="BX832"/>
      <c r="BY832"/>
      <c r="BZ832"/>
      <c r="CA832"/>
      <c r="CB832"/>
      <c r="CC832"/>
      <c r="CD832"/>
      <c r="CE832"/>
      <c r="CF832"/>
    </row>
    <row r="833" spans="1:84" ht="12.75" customHeight="1">
      <c r="A833"/>
      <c r="B833"/>
      <c r="C833"/>
      <c r="D833"/>
      <c r="E833"/>
      <c r="F833"/>
      <c r="G833"/>
      <c r="AB833" s="68"/>
      <c r="BJ833"/>
      <c r="BK833"/>
      <c r="BL833"/>
      <c r="BM833"/>
      <c r="BN833"/>
      <c r="BO833"/>
      <c r="BP833"/>
      <c r="BQ833"/>
      <c r="BR833"/>
      <c r="BS833"/>
      <c r="BT833"/>
      <c r="BU833"/>
      <c r="BV833"/>
      <c r="BW833"/>
      <c r="BX833"/>
      <c r="BY833"/>
      <c r="BZ833"/>
      <c r="CA833"/>
      <c r="CB833"/>
      <c r="CC833"/>
      <c r="CD833"/>
      <c r="CE833"/>
      <c r="CF833"/>
    </row>
    <row r="834" spans="1:84" ht="12.75" customHeight="1">
      <c r="A834"/>
      <c r="B834"/>
      <c r="C834"/>
      <c r="D834"/>
      <c r="E834"/>
      <c r="F834"/>
      <c r="G834"/>
      <c r="AB834" s="68"/>
      <c r="BJ834"/>
      <c r="BK834"/>
      <c r="BL834"/>
      <c r="BM834"/>
      <c r="BN834"/>
      <c r="BO834"/>
      <c r="BP834"/>
      <c r="BQ834"/>
      <c r="BR834"/>
      <c r="BS834"/>
      <c r="BT834"/>
      <c r="BU834"/>
      <c r="BV834"/>
      <c r="BW834"/>
      <c r="BX834"/>
      <c r="BY834"/>
      <c r="BZ834"/>
      <c r="CA834"/>
      <c r="CB834"/>
      <c r="CC834"/>
      <c r="CD834"/>
      <c r="CE834"/>
      <c r="CF834"/>
    </row>
    <row r="835" spans="1:84" ht="12.75" customHeight="1">
      <c r="A835"/>
      <c r="B835"/>
      <c r="C835"/>
      <c r="D835"/>
      <c r="E835"/>
      <c r="F835"/>
      <c r="G835"/>
      <c r="AB835" s="68"/>
      <c r="BJ835"/>
      <c r="BK835"/>
      <c r="BL835"/>
      <c r="BM835"/>
      <c r="BN835"/>
      <c r="BO835"/>
      <c r="BP835"/>
      <c r="BQ835"/>
      <c r="BR835"/>
      <c r="BS835"/>
      <c r="BT835"/>
      <c r="BU835"/>
      <c r="BV835"/>
      <c r="BW835"/>
      <c r="BX835"/>
      <c r="BY835"/>
      <c r="BZ835"/>
      <c r="CA835"/>
      <c r="CB835"/>
      <c r="CC835"/>
      <c r="CD835"/>
      <c r="CE835"/>
      <c r="CF835"/>
    </row>
    <row r="836" spans="1:84" ht="12.75" customHeight="1">
      <c r="A836"/>
      <c r="B836"/>
      <c r="C836"/>
      <c r="D836"/>
      <c r="E836"/>
      <c r="F836"/>
      <c r="G836"/>
      <c r="AB836" s="68"/>
      <c r="BJ836"/>
      <c r="BK836"/>
      <c r="BL836"/>
      <c r="BM836"/>
      <c r="BN836"/>
      <c r="BO836"/>
      <c r="BP836"/>
      <c r="BQ836"/>
      <c r="BR836"/>
      <c r="BS836"/>
      <c r="BT836"/>
      <c r="BU836"/>
      <c r="BV836"/>
      <c r="BW836"/>
      <c r="BX836"/>
      <c r="BY836"/>
      <c r="BZ836"/>
      <c r="CA836"/>
      <c r="CB836"/>
      <c r="CC836"/>
      <c r="CD836"/>
      <c r="CE836"/>
      <c r="CF836"/>
    </row>
    <row r="837" spans="1:84" ht="12.75" customHeight="1">
      <c r="A837"/>
      <c r="B837"/>
      <c r="C837"/>
      <c r="D837"/>
      <c r="E837"/>
      <c r="F837"/>
      <c r="G837"/>
      <c r="AB837" s="68"/>
      <c r="BJ837"/>
      <c r="BK837"/>
      <c r="BL837"/>
      <c r="BM837"/>
      <c r="BN837"/>
      <c r="BO837"/>
      <c r="BP837"/>
      <c r="BQ837"/>
      <c r="BR837"/>
      <c r="BS837"/>
      <c r="BT837"/>
      <c r="BU837"/>
      <c r="BV837"/>
      <c r="BW837"/>
      <c r="BX837"/>
      <c r="BY837"/>
      <c r="BZ837"/>
      <c r="CA837"/>
      <c r="CB837"/>
      <c r="CC837"/>
      <c r="CD837"/>
      <c r="CE837"/>
      <c r="CF837"/>
    </row>
    <row r="838" spans="1:84" ht="12.75" customHeight="1">
      <c r="A838"/>
      <c r="B838"/>
      <c r="C838"/>
      <c r="D838"/>
      <c r="E838"/>
      <c r="F838"/>
      <c r="G838"/>
      <c r="AB838" s="68"/>
      <c r="BJ838"/>
      <c r="BK838"/>
      <c r="BL838"/>
      <c r="BM838"/>
      <c r="BN838"/>
      <c r="BO838"/>
      <c r="BP838"/>
      <c r="BQ838"/>
      <c r="BR838"/>
      <c r="BS838"/>
      <c r="BT838"/>
      <c r="BU838"/>
      <c r="BV838"/>
      <c r="BW838"/>
      <c r="BX838"/>
      <c r="BY838"/>
      <c r="BZ838"/>
      <c r="CA838"/>
      <c r="CB838"/>
      <c r="CC838"/>
      <c r="CD838"/>
      <c r="CE838"/>
      <c r="CF838"/>
    </row>
    <row r="839" spans="1:84" ht="12.75" customHeight="1">
      <c r="A839"/>
      <c r="B839"/>
      <c r="C839"/>
      <c r="D839"/>
      <c r="E839"/>
      <c r="F839"/>
      <c r="G839"/>
      <c r="AB839" s="68"/>
      <c r="BJ839"/>
      <c r="BK839"/>
      <c r="BL839"/>
      <c r="BM839"/>
      <c r="BN839"/>
      <c r="BO839"/>
      <c r="BP839"/>
      <c r="BQ839"/>
      <c r="BR839"/>
      <c r="BS839"/>
      <c r="BT839"/>
      <c r="BU839"/>
      <c r="BV839"/>
      <c r="BW839"/>
      <c r="BX839"/>
      <c r="BY839"/>
      <c r="BZ839"/>
      <c r="CA839"/>
      <c r="CB839"/>
      <c r="CC839"/>
      <c r="CD839"/>
      <c r="CE839"/>
      <c r="CF839"/>
    </row>
    <row r="840" spans="1:84" ht="12.75" customHeight="1">
      <c r="A840"/>
      <c r="B840"/>
      <c r="C840"/>
      <c r="D840"/>
      <c r="E840"/>
      <c r="F840"/>
      <c r="G840"/>
      <c r="AB840" s="68"/>
      <c r="BJ840"/>
      <c r="BK840"/>
      <c r="BL840"/>
      <c r="BM840"/>
      <c r="BN840"/>
      <c r="BO840"/>
      <c r="BP840"/>
      <c r="BQ840"/>
      <c r="BR840"/>
      <c r="BS840"/>
      <c r="BT840"/>
      <c r="BU840"/>
      <c r="BV840"/>
      <c r="BW840"/>
      <c r="BX840"/>
      <c r="BY840"/>
      <c r="BZ840"/>
      <c r="CA840"/>
      <c r="CB840"/>
      <c r="CC840"/>
      <c r="CD840"/>
      <c r="CE840"/>
      <c r="CF840"/>
    </row>
    <row r="841" spans="1:84" ht="12.75" customHeight="1">
      <c r="A841"/>
      <c r="B841"/>
      <c r="C841"/>
      <c r="D841"/>
      <c r="E841"/>
      <c r="F841"/>
      <c r="G841"/>
      <c r="AB841" s="68"/>
      <c r="BJ841"/>
      <c r="BK841"/>
      <c r="BL841"/>
      <c r="BM841"/>
      <c r="BN841"/>
      <c r="BO841"/>
      <c r="BP841"/>
      <c r="BQ841"/>
      <c r="BR841"/>
      <c r="BS841"/>
      <c r="BT841"/>
      <c r="BU841"/>
      <c r="BV841"/>
      <c r="BW841"/>
      <c r="BX841"/>
      <c r="BY841"/>
      <c r="BZ841"/>
      <c r="CA841"/>
      <c r="CB841"/>
      <c r="CC841"/>
      <c r="CD841"/>
      <c r="CE841"/>
      <c r="CF841"/>
    </row>
    <row r="842" spans="1:84" ht="12.75" customHeight="1">
      <c r="A842"/>
      <c r="B842"/>
      <c r="C842"/>
      <c r="D842"/>
      <c r="E842"/>
      <c r="F842"/>
      <c r="G842"/>
      <c r="AB842" s="68"/>
      <c r="BJ842"/>
      <c r="BK842"/>
      <c r="BL842"/>
      <c r="BM842"/>
      <c r="BN842"/>
      <c r="BO842"/>
      <c r="BP842"/>
      <c r="BQ842"/>
      <c r="BR842"/>
      <c r="BS842"/>
      <c r="BT842"/>
      <c r="BU842"/>
      <c r="BV842"/>
      <c r="BW842"/>
      <c r="BX842"/>
      <c r="BY842"/>
      <c r="BZ842"/>
      <c r="CA842"/>
      <c r="CB842"/>
      <c r="CC842"/>
      <c r="CD842"/>
      <c r="CE842"/>
      <c r="CF842"/>
    </row>
    <row r="843" spans="1:84" ht="12.75" customHeight="1">
      <c r="A843"/>
      <c r="B843"/>
      <c r="C843"/>
      <c r="D843"/>
      <c r="E843"/>
      <c r="F843"/>
      <c r="G843"/>
      <c r="AB843" s="68"/>
      <c r="BJ843"/>
      <c r="BK843"/>
      <c r="BL843"/>
      <c r="BM843"/>
      <c r="BN843"/>
      <c r="BO843"/>
      <c r="BP843"/>
      <c r="BQ843"/>
      <c r="BR843"/>
      <c r="BS843"/>
      <c r="BT843"/>
      <c r="BU843"/>
      <c r="BV843"/>
      <c r="BW843"/>
      <c r="BX843"/>
      <c r="BY843"/>
      <c r="BZ843"/>
      <c r="CA843"/>
      <c r="CB843"/>
      <c r="CC843"/>
      <c r="CD843"/>
      <c r="CE843"/>
      <c r="CF843"/>
    </row>
    <row r="844" spans="1:84" ht="12.75" customHeight="1">
      <c r="A844"/>
      <c r="B844"/>
      <c r="C844"/>
      <c r="D844"/>
      <c r="E844"/>
      <c r="F844"/>
      <c r="G844"/>
      <c r="AB844" s="68"/>
      <c r="BJ844"/>
      <c r="BK844"/>
      <c r="BL844"/>
      <c r="BM844"/>
      <c r="BN844"/>
      <c r="BO844"/>
      <c r="BP844"/>
      <c r="BQ844"/>
      <c r="BR844"/>
      <c r="BS844"/>
      <c r="BT844"/>
      <c r="BU844"/>
      <c r="BV844"/>
      <c r="BW844"/>
      <c r="BX844"/>
      <c r="BY844"/>
      <c r="BZ844"/>
      <c r="CA844"/>
      <c r="CB844"/>
      <c r="CC844"/>
      <c r="CD844"/>
      <c r="CE844"/>
      <c r="CF844"/>
    </row>
    <row r="845" spans="1:84" ht="12.75" customHeight="1">
      <c r="A845"/>
      <c r="B845"/>
      <c r="C845"/>
      <c r="D845"/>
      <c r="E845"/>
      <c r="F845"/>
      <c r="G845"/>
      <c r="AB845" s="68"/>
      <c r="BJ845"/>
      <c r="BK845"/>
      <c r="BL845"/>
      <c r="BM845"/>
      <c r="BN845"/>
      <c r="BO845"/>
      <c r="BP845"/>
      <c r="BQ845"/>
      <c r="BR845"/>
      <c r="BS845"/>
      <c r="BT845"/>
      <c r="BU845"/>
      <c r="BV845"/>
      <c r="BW845"/>
      <c r="BX845"/>
      <c r="BY845"/>
      <c r="BZ845"/>
      <c r="CA845"/>
      <c r="CB845"/>
      <c r="CC845"/>
      <c r="CD845"/>
      <c r="CE845"/>
      <c r="CF845"/>
    </row>
    <row r="846" spans="1:84" ht="12.75" customHeight="1">
      <c r="A846"/>
      <c r="B846"/>
      <c r="C846"/>
      <c r="D846"/>
      <c r="E846"/>
      <c r="F846"/>
      <c r="G846"/>
      <c r="AB846" s="68"/>
      <c r="BJ846"/>
      <c r="BK846"/>
      <c r="BL846"/>
      <c r="BM846"/>
      <c r="BN846"/>
      <c r="BO846"/>
      <c r="BP846"/>
      <c r="BQ846"/>
      <c r="BR846"/>
      <c r="BS846"/>
      <c r="BT846"/>
      <c r="BU846"/>
      <c r="BV846"/>
      <c r="BW846"/>
      <c r="BX846"/>
      <c r="BY846"/>
      <c r="BZ846"/>
      <c r="CA846"/>
      <c r="CB846"/>
      <c r="CC846"/>
      <c r="CD846"/>
      <c r="CE846"/>
      <c r="CF846"/>
    </row>
    <row r="847" spans="1:84" ht="12.75" customHeight="1">
      <c r="A847"/>
      <c r="B847"/>
      <c r="C847"/>
      <c r="D847"/>
      <c r="E847"/>
      <c r="F847"/>
      <c r="G847"/>
      <c r="AB847" s="68"/>
      <c r="BJ847"/>
      <c r="BK847"/>
      <c r="BL847"/>
      <c r="BM847"/>
      <c r="BN847"/>
      <c r="BO847"/>
      <c r="BP847"/>
      <c r="BQ847"/>
      <c r="BR847"/>
      <c r="BS847"/>
      <c r="BT847"/>
      <c r="BU847"/>
      <c r="BV847"/>
      <c r="BW847"/>
      <c r="BX847"/>
      <c r="BY847"/>
      <c r="BZ847"/>
      <c r="CA847"/>
      <c r="CB847"/>
      <c r="CC847"/>
      <c r="CD847"/>
      <c r="CE847"/>
      <c r="CF847"/>
    </row>
    <row r="848" spans="1:84" ht="12.75" customHeight="1">
      <c r="A848"/>
      <c r="B848"/>
      <c r="C848"/>
      <c r="D848"/>
      <c r="E848"/>
      <c r="F848"/>
      <c r="G848"/>
      <c r="AB848" s="68"/>
      <c r="BJ848"/>
      <c r="BK848"/>
      <c r="BL848"/>
      <c r="BM848"/>
      <c r="BN848"/>
      <c r="BO848"/>
      <c r="BP848"/>
      <c r="BQ848"/>
      <c r="BR848"/>
      <c r="BS848"/>
      <c r="BT848"/>
      <c r="BU848"/>
      <c r="BV848"/>
      <c r="BW848"/>
      <c r="BX848"/>
      <c r="BY848"/>
      <c r="BZ848"/>
      <c r="CA848"/>
      <c r="CB848"/>
      <c r="CC848"/>
      <c r="CD848"/>
      <c r="CE848"/>
      <c r="CF848"/>
    </row>
    <row r="849" spans="1:84" ht="12.75" customHeight="1">
      <c r="A849"/>
      <c r="B849"/>
      <c r="C849"/>
      <c r="D849"/>
      <c r="E849"/>
      <c r="F849"/>
      <c r="G849"/>
      <c r="AB849" s="68"/>
      <c r="BJ849"/>
      <c r="BK849"/>
      <c r="BL849"/>
      <c r="BM849"/>
      <c r="BN849"/>
      <c r="BO849"/>
      <c r="BP849"/>
      <c r="BQ849"/>
      <c r="BR849"/>
      <c r="BS849"/>
      <c r="BT849"/>
      <c r="BU849"/>
      <c r="BV849"/>
      <c r="BW849"/>
      <c r="BX849"/>
      <c r="BY849"/>
      <c r="BZ849"/>
      <c r="CA849"/>
      <c r="CB849"/>
      <c r="CC849"/>
      <c r="CD849"/>
      <c r="CE849"/>
      <c r="CF849"/>
    </row>
    <row r="850" spans="1:84" ht="12.75" customHeight="1">
      <c r="A850"/>
      <c r="B850"/>
      <c r="C850"/>
      <c r="D850"/>
      <c r="E850"/>
      <c r="F850"/>
      <c r="G850"/>
      <c r="AB850" s="68"/>
      <c r="BJ850"/>
      <c r="BK850"/>
      <c r="BL850"/>
      <c r="BM850"/>
      <c r="BN850"/>
      <c r="BO850"/>
      <c r="BP850"/>
      <c r="BQ850"/>
      <c r="BR850"/>
      <c r="BS850"/>
      <c r="BT850"/>
      <c r="BU850"/>
      <c r="BV850"/>
      <c r="BW850"/>
      <c r="BX850"/>
      <c r="BY850"/>
      <c r="BZ850"/>
      <c r="CA850"/>
      <c r="CB850"/>
      <c r="CC850"/>
      <c r="CD850"/>
      <c r="CE850"/>
      <c r="CF850"/>
    </row>
    <row r="851" spans="1:84" ht="12.75" customHeight="1">
      <c r="A851"/>
      <c r="B851"/>
      <c r="C851"/>
      <c r="D851"/>
      <c r="E851"/>
      <c r="F851"/>
      <c r="G851"/>
      <c r="AB851" s="68"/>
      <c r="BJ851"/>
      <c r="BK851"/>
      <c r="BL851"/>
      <c r="BM851"/>
      <c r="BN851"/>
      <c r="BO851"/>
      <c r="BP851"/>
      <c r="BQ851"/>
      <c r="BR851"/>
      <c r="BS851"/>
      <c r="BT851"/>
      <c r="BU851"/>
      <c r="BV851"/>
      <c r="BW851"/>
      <c r="BX851"/>
      <c r="BY851"/>
      <c r="BZ851"/>
      <c r="CA851"/>
      <c r="CB851"/>
      <c r="CC851"/>
      <c r="CD851"/>
      <c r="CE851"/>
      <c r="CF851"/>
    </row>
    <row r="852" spans="1:84" ht="12.75" customHeight="1">
      <c r="A852"/>
      <c r="B852"/>
      <c r="C852"/>
      <c r="D852"/>
      <c r="E852"/>
      <c r="F852"/>
      <c r="G852"/>
      <c r="AB852" s="68"/>
      <c r="BJ852"/>
      <c r="BK852"/>
      <c r="BL852"/>
      <c r="BM852"/>
      <c r="BN852"/>
      <c r="BO852"/>
      <c r="BP852"/>
      <c r="BQ852"/>
      <c r="BR852"/>
      <c r="BS852"/>
      <c r="BT852"/>
      <c r="BU852"/>
      <c r="BV852"/>
      <c r="BW852"/>
      <c r="BX852"/>
      <c r="BY852"/>
      <c r="BZ852"/>
      <c r="CA852"/>
      <c r="CB852"/>
      <c r="CC852"/>
      <c r="CD852"/>
      <c r="CE852"/>
      <c r="CF852"/>
    </row>
    <row r="853" spans="1:84" ht="12.75" customHeight="1">
      <c r="A853"/>
      <c r="B853"/>
      <c r="C853"/>
      <c r="D853"/>
      <c r="E853"/>
      <c r="F853"/>
      <c r="G853"/>
      <c r="AB853" s="68"/>
      <c r="BJ853"/>
      <c r="BK853"/>
      <c r="BL853"/>
      <c r="BM853"/>
      <c r="BN853"/>
      <c r="BO853"/>
      <c r="BP853"/>
      <c r="BQ853"/>
      <c r="BR853"/>
      <c r="BS853"/>
      <c r="BT853"/>
      <c r="BU853"/>
      <c r="BV853"/>
      <c r="BW853"/>
      <c r="BX853"/>
      <c r="BY853"/>
      <c r="BZ853"/>
      <c r="CA853"/>
      <c r="CB853"/>
      <c r="CC853"/>
      <c r="CD853"/>
      <c r="CE853"/>
      <c r="CF853"/>
    </row>
    <row r="854" spans="1:84" ht="12.75" customHeight="1">
      <c r="A854"/>
      <c r="B854"/>
      <c r="C854"/>
      <c r="D854"/>
      <c r="E854"/>
      <c r="F854"/>
      <c r="G854"/>
      <c r="AB854" s="68"/>
      <c r="BJ854"/>
      <c r="BK854"/>
      <c r="BL854"/>
      <c r="BM854"/>
      <c r="BN854"/>
      <c r="BO854"/>
      <c r="BP854"/>
      <c r="BQ854"/>
      <c r="BR854"/>
      <c r="BS854"/>
      <c r="BT854"/>
      <c r="BU854"/>
      <c r="BV854"/>
      <c r="BW854"/>
      <c r="BX854"/>
      <c r="BY854"/>
      <c r="BZ854"/>
      <c r="CA854"/>
      <c r="CB854"/>
      <c r="CC854"/>
      <c r="CD854"/>
      <c r="CE854"/>
      <c r="CF854"/>
    </row>
    <row r="855" spans="1:84" ht="12.75" customHeight="1">
      <c r="A855"/>
      <c r="B855"/>
      <c r="C855"/>
      <c r="D855"/>
      <c r="E855"/>
      <c r="F855"/>
      <c r="G855"/>
      <c r="AB855" s="68"/>
      <c r="BJ855"/>
      <c r="BK855"/>
      <c r="BL855"/>
      <c r="BM855"/>
      <c r="BN855"/>
      <c r="BO855"/>
      <c r="BP855"/>
      <c r="BQ855"/>
      <c r="BR855"/>
      <c r="BS855"/>
      <c r="BT855"/>
      <c r="BU855"/>
      <c r="BV855"/>
      <c r="BW855"/>
      <c r="BX855"/>
      <c r="BY855"/>
      <c r="BZ855"/>
      <c r="CA855"/>
      <c r="CB855"/>
      <c r="CC855"/>
      <c r="CD855"/>
      <c r="CE855"/>
      <c r="CF855"/>
    </row>
    <row r="856" spans="1:84" ht="12.75" customHeight="1">
      <c r="A856"/>
      <c r="B856"/>
      <c r="C856"/>
      <c r="D856"/>
      <c r="E856"/>
      <c r="F856"/>
      <c r="G856"/>
      <c r="AB856" s="68"/>
      <c r="BJ856"/>
      <c r="BK856"/>
      <c r="BL856"/>
      <c r="BM856"/>
      <c r="BN856"/>
      <c r="BO856"/>
      <c r="BP856"/>
      <c r="BQ856"/>
      <c r="BR856"/>
      <c r="BS856"/>
      <c r="BT856"/>
      <c r="BU856"/>
      <c r="BV856"/>
      <c r="BW856"/>
      <c r="BX856"/>
      <c r="BY856"/>
      <c r="BZ856"/>
      <c r="CA856"/>
      <c r="CB856"/>
      <c r="CC856"/>
      <c r="CD856"/>
      <c r="CE856"/>
      <c r="CF856"/>
    </row>
    <row r="857" spans="1:84" ht="12.75" customHeight="1">
      <c r="A857"/>
      <c r="B857"/>
      <c r="C857"/>
      <c r="D857"/>
      <c r="E857"/>
      <c r="F857"/>
      <c r="G857"/>
      <c r="AB857" s="68"/>
      <c r="BJ857"/>
      <c r="BK857"/>
      <c r="BL857"/>
      <c r="BM857"/>
      <c r="BN857"/>
      <c r="BO857"/>
      <c r="BP857"/>
      <c r="BQ857"/>
      <c r="BR857"/>
      <c r="BS857"/>
      <c r="BT857"/>
      <c r="BU857"/>
      <c r="BV857"/>
      <c r="BW857"/>
      <c r="BX857"/>
      <c r="BY857"/>
      <c r="BZ857"/>
      <c r="CA857"/>
      <c r="CB857"/>
      <c r="CC857"/>
      <c r="CD857"/>
      <c r="CE857"/>
      <c r="CF857"/>
    </row>
    <row r="858" spans="1:84" ht="12.75" customHeight="1">
      <c r="A858"/>
      <c r="B858"/>
      <c r="C858"/>
      <c r="D858"/>
      <c r="E858"/>
      <c r="F858"/>
      <c r="G858"/>
      <c r="AB858" s="68"/>
      <c r="BJ858"/>
      <c r="BK858"/>
      <c r="BL858"/>
      <c r="BM858"/>
      <c r="BN858"/>
      <c r="BO858"/>
      <c r="BP858"/>
      <c r="BQ858"/>
      <c r="BR858"/>
      <c r="BS858"/>
      <c r="BT858"/>
      <c r="BU858"/>
      <c r="BV858"/>
      <c r="BW858"/>
      <c r="BX858"/>
      <c r="BY858"/>
      <c r="BZ858"/>
      <c r="CA858"/>
      <c r="CB858"/>
      <c r="CC858"/>
      <c r="CD858"/>
      <c r="CE858"/>
      <c r="CF858"/>
    </row>
    <row r="859" spans="1:84" ht="12.75" customHeight="1">
      <c r="A859"/>
      <c r="B859"/>
      <c r="C859"/>
      <c r="D859"/>
      <c r="E859"/>
      <c r="F859"/>
      <c r="G859"/>
      <c r="AB859" s="68"/>
      <c r="BJ859"/>
      <c r="BK859"/>
      <c r="BL859"/>
      <c r="BM859"/>
      <c r="BN859"/>
      <c r="BO859"/>
      <c r="BP859"/>
      <c r="BQ859"/>
      <c r="BR859"/>
      <c r="BS859"/>
      <c r="BT859"/>
      <c r="BU859"/>
      <c r="BV859"/>
      <c r="BW859"/>
      <c r="BX859"/>
      <c r="BY859"/>
      <c r="BZ859"/>
      <c r="CA859"/>
      <c r="CB859"/>
      <c r="CC859"/>
      <c r="CD859"/>
      <c r="CE859"/>
      <c r="CF859"/>
    </row>
    <row r="860" spans="1:84" ht="12.75" customHeight="1">
      <c r="A860"/>
      <c r="B860"/>
      <c r="C860"/>
      <c r="D860"/>
      <c r="E860"/>
      <c r="F860"/>
      <c r="G860"/>
      <c r="AB860" s="68"/>
      <c r="BJ860"/>
      <c r="BK860"/>
      <c r="BL860"/>
      <c r="BM860"/>
      <c r="BN860"/>
      <c r="BO860"/>
      <c r="BP860"/>
      <c r="BQ860"/>
      <c r="BR860"/>
      <c r="BS860"/>
      <c r="BT860"/>
      <c r="BU860"/>
      <c r="BV860"/>
      <c r="BW860"/>
      <c r="BX860"/>
      <c r="BY860"/>
      <c r="BZ860"/>
      <c r="CA860"/>
      <c r="CB860"/>
      <c r="CC860"/>
      <c r="CD860"/>
      <c r="CE860"/>
      <c r="CF860"/>
    </row>
    <row r="861" spans="1:84" ht="12.75" customHeight="1">
      <c r="A861"/>
      <c r="B861"/>
      <c r="C861"/>
      <c r="D861"/>
      <c r="E861"/>
      <c r="F861"/>
      <c r="G861"/>
      <c r="AB861" s="68"/>
      <c r="BJ861"/>
      <c r="BK861"/>
      <c r="BL861"/>
      <c r="BM861"/>
      <c r="BN861"/>
      <c r="BO861"/>
      <c r="BP861"/>
      <c r="BQ861"/>
      <c r="BR861"/>
      <c r="BS861"/>
      <c r="BT861"/>
      <c r="BU861"/>
      <c r="BV861"/>
      <c r="BW861"/>
      <c r="BX861"/>
      <c r="BY861"/>
      <c r="BZ861"/>
      <c r="CA861"/>
      <c r="CB861"/>
      <c r="CC861"/>
      <c r="CD861"/>
      <c r="CE861"/>
      <c r="CF861"/>
    </row>
    <row r="862" spans="1:84" ht="12.75" customHeight="1">
      <c r="A862"/>
      <c r="B862"/>
      <c r="C862"/>
      <c r="D862"/>
      <c r="E862"/>
      <c r="F862"/>
      <c r="G862"/>
      <c r="AB862" s="68"/>
      <c r="BJ862"/>
      <c r="BK862"/>
      <c r="BL862"/>
      <c r="BM862"/>
      <c r="BN862"/>
      <c r="BO862"/>
      <c r="BP862"/>
      <c r="BQ862"/>
      <c r="BR862"/>
      <c r="BS862"/>
      <c r="BT862"/>
      <c r="BU862"/>
      <c r="BV862"/>
      <c r="BW862"/>
      <c r="BX862"/>
      <c r="BY862"/>
      <c r="BZ862"/>
      <c r="CA862"/>
      <c r="CB862"/>
      <c r="CC862"/>
      <c r="CD862"/>
      <c r="CE862"/>
      <c r="CF862"/>
    </row>
    <row r="863" spans="1:84" ht="12.75" customHeight="1">
      <c r="A863"/>
      <c r="B863"/>
      <c r="C863"/>
      <c r="D863"/>
      <c r="E863"/>
      <c r="F863"/>
      <c r="G863"/>
      <c r="AB863" s="68"/>
      <c r="BJ863"/>
      <c r="BK863"/>
      <c r="BL863"/>
      <c r="BM863"/>
      <c r="BN863"/>
      <c r="BO863"/>
      <c r="BP863"/>
      <c r="BQ863"/>
      <c r="BR863"/>
      <c r="BS863"/>
      <c r="BT863"/>
      <c r="BU863"/>
      <c r="BV863"/>
      <c r="BW863"/>
      <c r="BX863"/>
      <c r="BY863"/>
      <c r="BZ863"/>
      <c r="CA863"/>
      <c r="CB863"/>
      <c r="CC863"/>
      <c r="CD863"/>
      <c r="CE863"/>
      <c r="CF863"/>
    </row>
    <row r="864" spans="1:84" ht="12.75" customHeight="1">
      <c r="A864"/>
      <c r="B864"/>
      <c r="C864"/>
      <c r="D864"/>
      <c r="E864"/>
      <c r="F864"/>
      <c r="G864"/>
      <c r="AB864" s="68"/>
      <c r="BJ864"/>
      <c r="BK864"/>
      <c r="BL864"/>
      <c r="BM864"/>
      <c r="BN864"/>
      <c r="BO864"/>
      <c r="BP864"/>
      <c r="BQ864"/>
      <c r="BR864"/>
      <c r="BS864"/>
      <c r="BT864"/>
      <c r="BU864"/>
      <c r="BV864"/>
      <c r="BW864"/>
      <c r="BX864"/>
      <c r="BY864"/>
      <c r="BZ864"/>
      <c r="CA864"/>
      <c r="CB864"/>
      <c r="CC864"/>
      <c r="CD864"/>
      <c r="CE864"/>
      <c r="CF864"/>
    </row>
    <row r="865" spans="1:84" ht="12.75" customHeight="1">
      <c r="A865"/>
      <c r="B865"/>
      <c r="C865"/>
      <c r="D865"/>
      <c r="E865"/>
      <c r="F865"/>
      <c r="G865"/>
      <c r="AB865" s="68"/>
      <c r="BJ865"/>
      <c r="BK865"/>
      <c r="BL865"/>
      <c r="BM865"/>
      <c r="BN865"/>
      <c r="BO865"/>
      <c r="BP865"/>
      <c r="BQ865"/>
      <c r="BR865"/>
      <c r="BS865"/>
      <c r="BT865"/>
      <c r="BU865"/>
      <c r="BV865"/>
      <c r="BW865"/>
      <c r="BX865"/>
      <c r="BY865"/>
      <c r="BZ865"/>
      <c r="CA865"/>
      <c r="CB865"/>
      <c r="CC865"/>
      <c r="CD865"/>
      <c r="CE865"/>
      <c r="CF865"/>
    </row>
    <row r="866" spans="1:84" ht="12.75" customHeight="1">
      <c r="A866"/>
      <c r="B866"/>
      <c r="C866"/>
      <c r="D866"/>
      <c r="E866"/>
      <c r="F866"/>
      <c r="G866"/>
      <c r="AB866" s="68"/>
      <c r="BJ866"/>
      <c r="BK866"/>
      <c r="BL866"/>
      <c r="BM866"/>
      <c r="BN866"/>
      <c r="BO866"/>
      <c r="BP866"/>
      <c r="BQ866"/>
      <c r="BR866"/>
      <c r="BS866"/>
      <c r="BT866"/>
      <c r="BU866"/>
      <c r="BV866"/>
      <c r="BW866"/>
      <c r="BX866"/>
      <c r="BY866"/>
      <c r="BZ866"/>
      <c r="CA866"/>
      <c r="CB866"/>
      <c r="CC866"/>
      <c r="CD866"/>
      <c r="CE866"/>
      <c r="CF866"/>
    </row>
    <row r="867" spans="1:84" ht="12.75" customHeight="1">
      <c r="A867"/>
      <c r="B867"/>
      <c r="C867"/>
      <c r="D867"/>
      <c r="E867"/>
      <c r="F867"/>
      <c r="G867"/>
      <c r="AB867" s="68"/>
      <c r="BJ867"/>
      <c r="BK867"/>
      <c r="BL867"/>
      <c r="BM867"/>
      <c r="BN867"/>
      <c r="BO867"/>
      <c r="BP867"/>
      <c r="BQ867"/>
      <c r="BR867"/>
      <c r="BS867"/>
      <c r="BT867"/>
      <c r="BU867"/>
      <c r="BV867"/>
      <c r="BW867"/>
      <c r="BX867"/>
      <c r="BY867"/>
      <c r="BZ867"/>
      <c r="CA867"/>
      <c r="CB867"/>
      <c r="CC867"/>
      <c r="CD867"/>
      <c r="CE867"/>
      <c r="CF867"/>
    </row>
    <row r="868" spans="1:84" ht="12.75" customHeight="1">
      <c r="A868"/>
      <c r="B868"/>
      <c r="C868"/>
      <c r="D868"/>
      <c r="E868"/>
      <c r="F868"/>
      <c r="G868"/>
      <c r="AB868" s="68"/>
      <c r="BJ868"/>
      <c r="BK868"/>
      <c r="BL868"/>
      <c r="BM868"/>
      <c r="BN868"/>
      <c r="BO868"/>
      <c r="BP868"/>
      <c r="BQ868"/>
      <c r="BR868"/>
      <c r="BS868"/>
      <c r="BT868"/>
      <c r="BU868"/>
      <c r="BV868"/>
      <c r="BW868"/>
      <c r="BX868"/>
      <c r="BY868"/>
      <c r="BZ868"/>
      <c r="CA868"/>
      <c r="CB868"/>
      <c r="CC868"/>
      <c r="CD868"/>
      <c r="CE868"/>
      <c r="CF868"/>
    </row>
    <row r="869" spans="1:84" ht="12.75" customHeight="1">
      <c r="A869"/>
      <c r="B869"/>
      <c r="C869"/>
      <c r="D869"/>
      <c r="E869"/>
      <c r="F869"/>
      <c r="G869"/>
      <c r="AB869" s="68"/>
      <c r="BJ869"/>
      <c r="BK869"/>
      <c r="BL869"/>
      <c r="BM869"/>
      <c r="BN869"/>
      <c r="BO869"/>
      <c r="BP869"/>
      <c r="BQ869"/>
      <c r="BR869"/>
      <c r="BS869"/>
      <c r="BT869"/>
      <c r="BU869"/>
      <c r="BV869"/>
      <c r="BW869"/>
      <c r="BX869"/>
      <c r="BY869"/>
      <c r="BZ869"/>
      <c r="CA869"/>
      <c r="CB869"/>
      <c r="CC869"/>
      <c r="CD869"/>
      <c r="CE869"/>
      <c r="CF869"/>
    </row>
    <row r="870" spans="1:84" ht="12.75" customHeight="1">
      <c r="A870"/>
      <c r="B870"/>
      <c r="C870"/>
      <c r="D870"/>
      <c r="E870"/>
      <c r="F870"/>
      <c r="G870"/>
      <c r="AB870" s="68"/>
      <c r="BJ870"/>
      <c r="BK870"/>
      <c r="BL870"/>
      <c r="BM870"/>
      <c r="BN870"/>
      <c r="BO870"/>
      <c r="BP870"/>
      <c r="BQ870"/>
      <c r="BR870"/>
      <c r="BS870"/>
      <c r="BT870"/>
      <c r="BU870"/>
      <c r="BV870"/>
      <c r="BW870"/>
      <c r="BX870"/>
      <c r="BY870"/>
      <c r="BZ870"/>
      <c r="CA870"/>
      <c r="CB870"/>
      <c r="CC870"/>
      <c r="CD870"/>
      <c r="CE870"/>
      <c r="CF870"/>
    </row>
    <row r="871" spans="1:84" ht="12.75" customHeight="1">
      <c r="A871"/>
      <c r="B871"/>
      <c r="C871"/>
      <c r="D871"/>
      <c r="E871"/>
      <c r="F871"/>
      <c r="G871"/>
      <c r="AB871" s="68"/>
      <c r="BJ871"/>
      <c r="BK871"/>
      <c r="BL871"/>
      <c r="BM871"/>
      <c r="BN871"/>
      <c r="BO871"/>
      <c r="BP871"/>
      <c r="BQ871"/>
      <c r="BR871"/>
      <c r="BS871"/>
      <c r="BT871"/>
      <c r="BU871"/>
      <c r="BV871"/>
      <c r="BW871"/>
      <c r="BX871"/>
      <c r="BY871"/>
      <c r="BZ871"/>
      <c r="CA871"/>
      <c r="CB871"/>
      <c r="CC871"/>
      <c r="CD871"/>
      <c r="CE871"/>
      <c r="CF871"/>
    </row>
    <row r="872" spans="1:84" ht="12.75" customHeight="1">
      <c r="A872"/>
      <c r="B872"/>
      <c r="C872"/>
      <c r="D872"/>
      <c r="E872"/>
      <c r="F872"/>
      <c r="G872"/>
      <c r="AB872" s="68"/>
      <c r="BJ872"/>
      <c r="BK872"/>
      <c r="BL872"/>
      <c r="BM872"/>
      <c r="BN872"/>
      <c r="BO872"/>
      <c r="BP872"/>
      <c r="BQ872"/>
      <c r="BR872"/>
      <c r="BS872"/>
      <c r="BT872"/>
      <c r="BU872"/>
      <c r="BV872"/>
      <c r="BW872"/>
      <c r="BX872"/>
      <c r="BY872"/>
      <c r="BZ872"/>
      <c r="CA872"/>
      <c r="CB872"/>
      <c r="CC872"/>
      <c r="CD872"/>
      <c r="CE872"/>
      <c r="CF872"/>
    </row>
    <row r="873" spans="1:84" ht="12.75" customHeight="1">
      <c r="A873"/>
      <c r="B873"/>
      <c r="C873"/>
      <c r="D873"/>
      <c r="E873"/>
      <c r="F873"/>
      <c r="G873"/>
      <c r="AB873" s="68"/>
      <c r="BJ873"/>
      <c r="BK873"/>
      <c r="BL873"/>
      <c r="BM873"/>
      <c r="BN873"/>
      <c r="BO873"/>
      <c r="BP873"/>
      <c r="BQ873"/>
      <c r="BR873"/>
      <c r="BS873"/>
      <c r="BT873"/>
      <c r="BU873"/>
      <c r="BV873"/>
      <c r="BW873"/>
      <c r="BX873"/>
      <c r="BY873"/>
      <c r="BZ873"/>
      <c r="CA873"/>
      <c r="CB873"/>
      <c r="CC873"/>
      <c r="CD873"/>
      <c r="CE873"/>
      <c r="CF873"/>
    </row>
    <row r="874" spans="1:84" ht="12.75" customHeight="1">
      <c r="A874"/>
      <c r="B874"/>
      <c r="C874"/>
      <c r="D874"/>
      <c r="E874"/>
      <c r="F874"/>
      <c r="G874"/>
      <c r="AB874" s="68"/>
      <c r="BJ874"/>
      <c r="BK874"/>
      <c r="BL874"/>
      <c r="BM874"/>
      <c r="BN874"/>
      <c r="BO874"/>
      <c r="BP874"/>
      <c r="BQ874"/>
      <c r="BR874"/>
      <c r="BS874"/>
      <c r="BT874"/>
      <c r="BU874"/>
      <c r="BV874"/>
      <c r="BW874"/>
      <c r="BX874"/>
      <c r="BY874"/>
      <c r="BZ874"/>
      <c r="CA874"/>
      <c r="CB874"/>
      <c r="CC874"/>
      <c r="CD874"/>
      <c r="CE874"/>
      <c r="CF874"/>
    </row>
    <row r="875" spans="1:84" ht="12.75" customHeight="1">
      <c r="A875"/>
      <c r="B875"/>
      <c r="C875"/>
      <c r="D875"/>
      <c r="E875"/>
      <c r="F875"/>
      <c r="G875"/>
      <c r="AB875" s="68"/>
      <c r="BJ875"/>
      <c r="BK875"/>
      <c r="BL875"/>
      <c r="BM875"/>
      <c r="BN875"/>
      <c r="BO875"/>
      <c r="BP875"/>
      <c r="BQ875"/>
      <c r="BR875"/>
      <c r="BS875"/>
      <c r="BT875"/>
      <c r="BU875"/>
      <c r="BV875"/>
      <c r="BW875"/>
      <c r="BX875"/>
      <c r="BY875"/>
      <c r="BZ875"/>
      <c r="CA875"/>
      <c r="CB875"/>
      <c r="CC875"/>
      <c r="CD875"/>
      <c r="CE875"/>
      <c r="CF875"/>
    </row>
    <row r="876" spans="1:84" ht="12.75" customHeight="1">
      <c r="A876"/>
      <c r="B876"/>
      <c r="C876"/>
      <c r="D876"/>
      <c r="E876"/>
      <c r="F876"/>
      <c r="G876"/>
      <c r="AB876" s="68"/>
      <c r="BJ876"/>
      <c r="BK876"/>
      <c r="BL876"/>
      <c r="BM876"/>
      <c r="BN876"/>
      <c r="BO876"/>
      <c r="BP876"/>
      <c r="BQ876"/>
      <c r="BR876"/>
      <c r="BS876"/>
      <c r="BT876"/>
      <c r="BU876"/>
      <c r="BV876"/>
      <c r="BW876"/>
      <c r="BX876"/>
      <c r="BY876"/>
      <c r="BZ876"/>
      <c r="CA876"/>
      <c r="CB876"/>
      <c r="CC876"/>
      <c r="CD876"/>
      <c r="CE876"/>
      <c r="CF876"/>
    </row>
    <row r="877" spans="1:84" ht="12.75" customHeight="1">
      <c r="A877"/>
      <c r="B877"/>
      <c r="C877"/>
      <c r="D877"/>
      <c r="E877"/>
      <c r="F877"/>
      <c r="G877"/>
      <c r="AB877" s="68"/>
      <c r="BJ877"/>
      <c r="BK877"/>
      <c r="BL877"/>
      <c r="BM877"/>
      <c r="BN877"/>
      <c r="BO877"/>
      <c r="BP877"/>
      <c r="BQ877"/>
      <c r="BR877"/>
      <c r="BS877"/>
      <c r="BT877"/>
      <c r="BU877"/>
      <c r="BV877"/>
      <c r="BW877"/>
      <c r="BX877"/>
      <c r="BY877"/>
      <c r="BZ877"/>
      <c r="CA877"/>
      <c r="CB877"/>
      <c r="CC877"/>
      <c r="CD877"/>
      <c r="CE877"/>
      <c r="CF877"/>
    </row>
    <row r="878" spans="1:84" ht="12.75" customHeight="1">
      <c r="A878"/>
      <c r="B878"/>
      <c r="C878"/>
      <c r="D878"/>
      <c r="E878"/>
      <c r="F878"/>
      <c r="G878"/>
      <c r="AB878" s="68"/>
      <c r="BJ878"/>
      <c r="BK878"/>
      <c r="BL878"/>
      <c r="BM878"/>
      <c r="BN878"/>
      <c r="BO878"/>
      <c r="BP878"/>
      <c r="BQ878"/>
      <c r="BR878"/>
      <c r="BS878"/>
      <c r="BT878"/>
      <c r="BU878"/>
      <c r="BV878"/>
      <c r="BW878"/>
      <c r="BX878"/>
      <c r="BY878"/>
      <c r="BZ878"/>
      <c r="CA878"/>
      <c r="CB878"/>
      <c r="CC878"/>
      <c r="CD878"/>
      <c r="CE878"/>
      <c r="CF878"/>
    </row>
    <row r="879" spans="1:84" ht="12.75" customHeight="1">
      <c r="A879"/>
      <c r="B879"/>
      <c r="C879"/>
      <c r="D879"/>
      <c r="E879"/>
      <c r="F879"/>
      <c r="G879"/>
      <c r="AB879" s="68"/>
      <c r="BJ879"/>
      <c r="BK879"/>
      <c r="BL879"/>
      <c r="BM879"/>
      <c r="BN879"/>
      <c r="BO879"/>
      <c r="BP879"/>
      <c r="BQ879"/>
      <c r="BR879"/>
      <c r="BS879"/>
      <c r="BT879"/>
      <c r="BU879"/>
      <c r="BV879"/>
      <c r="BW879"/>
      <c r="BX879"/>
      <c r="BY879"/>
      <c r="BZ879"/>
      <c r="CA879"/>
      <c r="CB879"/>
      <c r="CC879"/>
      <c r="CD879"/>
      <c r="CE879"/>
      <c r="CF879"/>
    </row>
    <row r="880" spans="1:84" ht="12.75" customHeight="1">
      <c r="A880"/>
      <c r="B880"/>
      <c r="C880"/>
      <c r="D880"/>
      <c r="E880"/>
      <c r="F880"/>
      <c r="G880"/>
      <c r="AB880" s="68"/>
      <c r="BJ880"/>
      <c r="BK880"/>
      <c r="BL880"/>
      <c r="BM880"/>
      <c r="BN880"/>
      <c r="BO880"/>
      <c r="BP880"/>
      <c r="BQ880"/>
      <c r="BR880"/>
      <c r="BS880"/>
      <c r="BT880"/>
      <c r="BU880"/>
      <c r="BV880"/>
      <c r="BW880"/>
      <c r="BX880"/>
      <c r="BY880"/>
      <c r="BZ880"/>
      <c r="CA880"/>
      <c r="CB880"/>
      <c r="CC880"/>
      <c r="CD880"/>
      <c r="CE880"/>
      <c r="CF880"/>
    </row>
    <row r="881" spans="1:84" ht="12.75" customHeight="1">
      <c r="A881"/>
      <c r="B881"/>
      <c r="C881"/>
      <c r="D881"/>
      <c r="E881"/>
      <c r="F881"/>
      <c r="G881"/>
      <c r="AB881" s="68"/>
      <c r="BJ881"/>
      <c r="BK881"/>
      <c r="BL881"/>
      <c r="BM881"/>
      <c r="BN881"/>
      <c r="BO881"/>
      <c r="BP881"/>
      <c r="BQ881"/>
      <c r="BR881"/>
      <c r="BS881"/>
      <c r="BT881"/>
      <c r="BU881"/>
      <c r="BV881"/>
      <c r="BW881"/>
      <c r="BX881"/>
      <c r="BY881"/>
      <c r="BZ881"/>
      <c r="CA881"/>
      <c r="CB881"/>
      <c r="CC881"/>
      <c r="CD881"/>
      <c r="CE881"/>
      <c r="CF881"/>
    </row>
    <row r="882" spans="1:84" ht="12.75" customHeight="1">
      <c r="A882"/>
      <c r="B882"/>
      <c r="C882"/>
      <c r="D882"/>
      <c r="E882"/>
      <c r="F882"/>
      <c r="G882"/>
      <c r="AB882" s="68"/>
      <c r="BJ882"/>
      <c r="BK882"/>
      <c r="BL882"/>
      <c r="BM882"/>
      <c r="BN882"/>
      <c r="BO882"/>
      <c r="BP882"/>
      <c r="BQ882"/>
      <c r="BR882"/>
      <c r="BS882"/>
      <c r="BT882"/>
      <c r="BU882"/>
      <c r="BV882"/>
      <c r="BW882"/>
      <c r="BX882"/>
      <c r="BY882"/>
      <c r="BZ882"/>
      <c r="CA882"/>
      <c r="CB882"/>
      <c r="CC882"/>
      <c r="CD882"/>
      <c r="CE882"/>
      <c r="CF882"/>
    </row>
    <row r="883" spans="1:84" ht="12.75" customHeight="1">
      <c r="A883"/>
      <c r="B883"/>
      <c r="C883"/>
      <c r="D883"/>
      <c r="E883"/>
      <c r="F883"/>
      <c r="G883"/>
      <c r="AB883" s="68"/>
      <c r="BJ883"/>
      <c r="BK883"/>
      <c r="BL883"/>
      <c r="BM883"/>
      <c r="BN883"/>
      <c r="BO883"/>
      <c r="BP883"/>
      <c r="BQ883"/>
      <c r="BR883"/>
      <c r="BS883"/>
      <c r="BT883"/>
      <c r="BU883"/>
      <c r="BV883"/>
      <c r="BW883"/>
      <c r="BX883"/>
      <c r="BY883"/>
      <c r="BZ883"/>
      <c r="CA883"/>
      <c r="CB883"/>
      <c r="CC883"/>
      <c r="CD883"/>
      <c r="CE883"/>
      <c r="CF883"/>
    </row>
    <row r="884" spans="1:84" ht="12.75" customHeight="1">
      <c r="A884"/>
      <c r="B884"/>
      <c r="C884"/>
      <c r="D884"/>
      <c r="E884"/>
      <c r="F884"/>
      <c r="G884"/>
      <c r="AB884" s="68"/>
      <c r="BJ884"/>
      <c r="BK884"/>
      <c r="BL884"/>
      <c r="BM884"/>
      <c r="BN884"/>
      <c r="BO884"/>
      <c r="BP884"/>
      <c r="BQ884"/>
      <c r="BR884"/>
      <c r="BS884"/>
      <c r="BT884"/>
      <c r="BU884"/>
      <c r="BV884"/>
      <c r="BW884"/>
      <c r="BX884"/>
      <c r="BY884"/>
      <c r="BZ884"/>
      <c r="CA884"/>
      <c r="CB884"/>
      <c r="CC884"/>
      <c r="CD884"/>
      <c r="CE884"/>
      <c r="CF884"/>
    </row>
    <row r="885" spans="1:84" ht="12.75" customHeight="1">
      <c r="A885"/>
      <c r="B885"/>
      <c r="C885"/>
      <c r="D885"/>
      <c r="E885"/>
      <c r="F885"/>
      <c r="G885"/>
      <c r="AB885" s="68"/>
      <c r="BJ885"/>
      <c r="BK885"/>
      <c r="BL885"/>
      <c r="BM885"/>
      <c r="BN885"/>
      <c r="BO885"/>
      <c r="BP885"/>
      <c r="BQ885"/>
      <c r="BR885"/>
      <c r="BS885"/>
      <c r="BT885"/>
      <c r="BU885"/>
      <c r="BV885"/>
      <c r="BW885"/>
      <c r="BX885"/>
      <c r="BY885"/>
      <c r="BZ885"/>
      <c r="CA885"/>
      <c r="CB885"/>
      <c r="CC885"/>
      <c r="CD885"/>
      <c r="CE885"/>
      <c r="CF885"/>
    </row>
    <row r="886" spans="1:84" ht="12.75" customHeight="1">
      <c r="A886"/>
      <c r="B886"/>
      <c r="C886"/>
      <c r="D886"/>
      <c r="E886"/>
      <c r="F886"/>
      <c r="G886"/>
      <c r="AB886" s="68"/>
      <c r="BJ886"/>
      <c r="BK886"/>
      <c r="BL886"/>
      <c r="BM886"/>
      <c r="BN886"/>
      <c r="BO886"/>
      <c r="BP886"/>
      <c r="BQ886"/>
      <c r="BR886"/>
      <c r="BS886"/>
      <c r="BT886"/>
      <c r="BU886"/>
      <c r="BV886"/>
      <c r="BW886"/>
      <c r="BX886"/>
      <c r="BY886"/>
      <c r="BZ886"/>
      <c r="CA886"/>
      <c r="CB886"/>
      <c r="CC886"/>
      <c r="CD886"/>
      <c r="CE886"/>
      <c r="CF886"/>
    </row>
    <row r="887" spans="1:84" ht="12.75" customHeight="1">
      <c r="A887"/>
      <c r="B887"/>
      <c r="C887"/>
      <c r="D887"/>
      <c r="E887"/>
      <c r="F887"/>
      <c r="G887"/>
      <c r="AB887" s="68"/>
      <c r="BJ887"/>
      <c r="BK887"/>
      <c r="BL887"/>
      <c r="BM887"/>
      <c r="BN887"/>
      <c r="BO887"/>
      <c r="BP887"/>
      <c r="BQ887"/>
      <c r="BR887"/>
      <c r="BS887"/>
      <c r="BT887"/>
      <c r="BU887"/>
      <c r="BV887"/>
      <c r="BW887"/>
      <c r="BX887"/>
      <c r="BY887"/>
      <c r="BZ887"/>
      <c r="CA887"/>
      <c r="CB887"/>
      <c r="CC887"/>
      <c r="CD887"/>
      <c r="CE887"/>
      <c r="CF887"/>
    </row>
    <row r="888" spans="1:84" ht="12.75" customHeight="1">
      <c r="A888"/>
      <c r="B888"/>
      <c r="C888"/>
      <c r="D888"/>
      <c r="E888"/>
      <c r="F888"/>
      <c r="G888"/>
      <c r="AB888" s="68"/>
      <c r="BJ888"/>
      <c r="BK888"/>
      <c r="BL888"/>
      <c r="BM888"/>
      <c r="BN888"/>
      <c r="BO888"/>
      <c r="BP888"/>
      <c r="BQ888"/>
      <c r="BR888"/>
      <c r="BS888"/>
      <c r="BT888"/>
      <c r="BU888"/>
      <c r="BV888"/>
      <c r="BW888"/>
      <c r="BX888"/>
      <c r="BY888"/>
      <c r="BZ888"/>
      <c r="CA888"/>
      <c r="CB888"/>
      <c r="CC888"/>
      <c r="CD888"/>
      <c r="CE888"/>
      <c r="CF888"/>
    </row>
    <row r="889" spans="1:84" ht="12.75" customHeight="1">
      <c r="A889"/>
      <c r="B889"/>
      <c r="C889"/>
      <c r="D889"/>
      <c r="E889"/>
      <c r="F889"/>
      <c r="G889"/>
      <c r="AB889" s="68"/>
      <c r="BJ889"/>
      <c r="BK889"/>
      <c r="BL889"/>
      <c r="BM889"/>
      <c r="BN889"/>
      <c r="BO889"/>
      <c r="BP889"/>
      <c r="BQ889"/>
      <c r="BR889"/>
      <c r="BS889"/>
      <c r="BT889"/>
      <c r="BU889"/>
      <c r="BV889"/>
      <c r="BW889"/>
      <c r="BX889"/>
      <c r="BY889"/>
      <c r="BZ889"/>
      <c r="CA889"/>
      <c r="CB889"/>
      <c r="CC889"/>
      <c r="CD889"/>
      <c r="CE889"/>
      <c r="CF889"/>
    </row>
    <row r="890" spans="1:84" ht="12.75" customHeight="1">
      <c r="A890"/>
      <c r="B890"/>
      <c r="C890"/>
      <c r="D890"/>
      <c r="E890"/>
      <c r="F890"/>
      <c r="G890"/>
      <c r="AB890" s="68"/>
      <c r="BJ890"/>
      <c r="BK890"/>
      <c r="BL890"/>
      <c r="BM890"/>
      <c r="BN890"/>
      <c r="BO890"/>
      <c r="BP890"/>
      <c r="BQ890"/>
      <c r="BR890"/>
      <c r="BS890"/>
      <c r="BT890"/>
      <c r="BU890"/>
      <c r="BV890"/>
      <c r="BW890"/>
      <c r="BX890"/>
      <c r="BY890"/>
      <c r="BZ890"/>
      <c r="CA890"/>
      <c r="CB890"/>
      <c r="CC890"/>
      <c r="CD890"/>
      <c r="CE890"/>
      <c r="CF890"/>
    </row>
    <row r="891" spans="1:84" ht="12.75" customHeight="1">
      <c r="A891"/>
      <c r="B891"/>
      <c r="C891"/>
      <c r="D891"/>
      <c r="E891"/>
      <c r="F891"/>
      <c r="G891"/>
      <c r="AB891" s="68"/>
      <c r="BJ891"/>
      <c r="BK891"/>
      <c r="BL891"/>
      <c r="BM891"/>
      <c r="BN891"/>
      <c r="BO891"/>
      <c r="BP891"/>
      <c r="BQ891"/>
      <c r="BR891"/>
      <c r="BS891"/>
      <c r="BT891"/>
      <c r="BU891"/>
      <c r="BV891"/>
      <c r="BW891"/>
      <c r="BX891"/>
      <c r="BY891"/>
      <c r="BZ891"/>
      <c r="CA891"/>
      <c r="CB891"/>
      <c r="CC891"/>
      <c r="CD891"/>
      <c r="CE891"/>
      <c r="CF891"/>
    </row>
    <row r="892" spans="1:84" ht="12.75" customHeight="1">
      <c r="A892"/>
      <c r="B892"/>
      <c r="C892"/>
      <c r="D892"/>
      <c r="E892"/>
      <c r="F892"/>
      <c r="G892"/>
      <c r="AB892" s="68"/>
      <c r="BJ892"/>
      <c r="BK892"/>
      <c r="BL892"/>
      <c r="BM892"/>
      <c r="BN892"/>
      <c r="BO892"/>
      <c r="BP892"/>
      <c r="BQ892"/>
      <c r="BR892"/>
      <c r="BS892"/>
      <c r="BT892"/>
      <c r="BU892"/>
      <c r="BV892"/>
      <c r="BW892"/>
      <c r="BX892"/>
      <c r="BY892"/>
      <c r="BZ892"/>
      <c r="CA892"/>
      <c r="CB892"/>
      <c r="CC892"/>
      <c r="CD892"/>
      <c r="CE892"/>
      <c r="CF892"/>
    </row>
    <row r="893" spans="1:84" ht="12.75" customHeight="1">
      <c r="A893"/>
      <c r="B893"/>
      <c r="C893"/>
      <c r="D893"/>
      <c r="E893"/>
      <c r="F893"/>
      <c r="G893"/>
      <c r="AB893" s="68"/>
      <c r="BJ893"/>
      <c r="BK893"/>
      <c r="BL893"/>
      <c r="BM893"/>
      <c r="BN893"/>
      <c r="BO893"/>
      <c r="BP893"/>
      <c r="BQ893"/>
      <c r="BR893"/>
      <c r="BS893"/>
      <c r="BT893"/>
      <c r="BU893"/>
      <c r="BV893"/>
      <c r="BW893"/>
      <c r="BX893"/>
      <c r="BY893"/>
      <c r="BZ893"/>
      <c r="CA893"/>
      <c r="CB893"/>
      <c r="CC893"/>
      <c r="CD893"/>
      <c r="CE893"/>
      <c r="CF893"/>
    </row>
    <row r="894" spans="1:84" ht="12.75" customHeight="1">
      <c r="A894"/>
      <c r="B894"/>
      <c r="C894"/>
      <c r="D894"/>
      <c r="E894"/>
      <c r="F894"/>
      <c r="G894"/>
      <c r="AB894" s="68"/>
      <c r="BJ894"/>
      <c r="BK894"/>
      <c r="BL894"/>
      <c r="BM894"/>
      <c r="BN894"/>
      <c r="BO894"/>
      <c r="BP894"/>
      <c r="BQ894"/>
      <c r="BR894"/>
      <c r="BS894"/>
      <c r="BT894"/>
      <c r="BU894"/>
      <c r="BV894"/>
      <c r="BW894"/>
      <c r="BX894"/>
      <c r="BY894"/>
      <c r="BZ894"/>
      <c r="CA894"/>
      <c r="CB894"/>
      <c r="CC894"/>
      <c r="CD894"/>
      <c r="CE894"/>
      <c r="CF894"/>
    </row>
    <row r="895" spans="1:84" ht="12.75" customHeight="1">
      <c r="A895"/>
      <c r="B895"/>
      <c r="C895"/>
      <c r="D895"/>
      <c r="E895"/>
      <c r="F895"/>
      <c r="G895"/>
      <c r="AB895" s="68"/>
      <c r="BJ895"/>
      <c r="BK895"/>
      <c r="BL895"/>
      <c r="BM895"/>
      <c r="BN895"/>
      <c r="BO895"/>
      <c r="BP895"/>
      <c r="BQ895"/>
      <c r="BR895"/>
      <c r="BS895"/>
      <c r="BT895"/>
      <c r="BU895"/>
      <c r="BV895"/>
      <c r="BW895"/>
      <c r="BX895"/>
      <c r="BY895"/>
      <c r="BZ895"/>
      <c r="CA895"/>
      <c r="CB895"/>
      <c r="CC895"/>
      <c r="CD895"/>
      <c r="CE895"/>
      <c r="CF895"/>
    </row>
    <row r="896" spans="1:84" ht="12.75" customHeight="1">
      <c r="A896"/>
      <c r="B896"/>
      <c r="C896"/>
      <c r="D896"/>
      <c r="E896"/>
      <c r="F896"/>
      <c r="G896"/>
      <c r="AB896" s="68"/>
      <c r="BJ896"/>
      <c r="BK896"/>
      <c r="BL896"/>
      <c r="BM896"/>
      <c r="BN896"/>
      <c r="BO896"/>
      <c r="BP896"/>
      <c r="BQ896"/>
      <c r="BR896"/>
      <c r="BS896"/>
      <c r="BT896"/>
      <c r="BU896"/>
      <c r="BV896"/>
      <c r="BW896"/>
      <c r="BX896"/>
      <c r="BY896"/>
      <c r="BZ896"/>
      <c r="CA896"/>
      <c r="CB896"/>
      <c r="CC896"/>
      <c r="CD896"/>
      <c r="CE896"/>
      <c r="CF896"/>
    </row>
    <row r="897" spans="1:84" ht="12.75" customHeight="1">
      <c r="A897"/>
      <c r="B897"/>
      <c r="C897"/>
      <c r="D897"/>
      <c r="E897"/>
      <c r="F897"/>
      <c r="G897"/>
      <c r="AB897" s="68"/>
      <c r="BJ897"/>
      <c r="BK897"/>
      <c r="BL897"/>
      <c r="BM897"/>
      <c r="BN897"/>
      <c r="BO897"/>
      <c r="BP897"/>
      <c r="BQ897"/>
      <c r="BR897"/>
      <c r="BS897"/>
      <c r="BT897"/>
      <c r="BU897"/>
      <c r="BV897"/>
      <c r="BW897"/>
      <c r="BX897"/>
      <c r="BY897"/>
      <c r="BZ897"/>
      <c r="CA897"/>
      <c r="CB897"/>
      <c r="CC897"/>
      <c r="CD897"/>
      <c r="CE897"/>
      <c r="CF897"/>
    </row>
    <row r="898" spans="1:84" ht="12.75" customHeight="1">
      <c r="A898"/>
      <c r="B898"/>
      <c r="C898"/>
      <c r="D898"/>
      <c r="E898"/>
      <c r="F898"/>
      <c r="G898"/>
      <c r="AB898" s="68"/>
      <c r="BJ898"/>
      <c r="BK898"/>
      <c r="BL898"/>
      <c r="BM898"/>
      <c r="BN898"/>
      <c r="BO898"/>
      <c r="BP898"/>
      <c r="BQ898"/>
      <c r="BR898"/>
      <c r="BS898"/>
      <c r="BT898"/>
      <c r="BU898"/>
      <c r="BV898"/>
      <c r="BW898"/>
      <c r="BX898"/>
      <c r="BY898"/>
      <c r="BZ898"/>
      <c r="CA898"/>
      <c r="CB898"/>
      <c r="CC898"/>
      <c r="CD898"/>
      <c r="CE898"/>
      <c r="CF898"/>
    </row>
    <row r="899" spans="1:84" ht="12.75" customHeight="1">
      <c r="A899"/>
      <c r="B899"/>
      <c r="C899"/>
      <c r="D899"/>
      <c r="E899"/>
      <c r="F899"/>
      <c r="G899"/>
      <c r="AB899" s="68"/>
      <c r="BJ899"/>
      <c r="BK899"/>
      <c r="BL899"/>
      <c r="BM899"/>
      <c r="BN899"/>
      <c r="BO899"/>
      <c r="BP899"/>
      <c r="BQ899"/>
      <c r="BR899"/>
      <c r="BS899"/>
      <c r="BT899"/>
      <c r="BU899"/>
      <c r="BV899"/>
      <c r="BW899"/>
      <c r="BX899"/>
      <c r="BY899"/>
      <c r="BZ899"/>
      <c r="CA899"/>
      <c r="CB899"/>
      <c r="CC899"/>
      <c r="CD899"/>
      <c r="CE899"/>
      <c r="CF899"/>
    </row>
    <row r="900" spans="1:84" ht="12.75" customHeight="1">
      <c r="A900"/>
      <c r="B900"/>
      <c r="C900"/>
      <c r="D900"/>
      <c r="E900"/>
      <c r="F900"/>
      <c r="G900"/>
      <c r="AB900" s="68"/>
      <c r="BJ900"/>
      <c r="BK900"/>
      <c r="BL900"/>
      <c r="BM900"/>
      <c r="BN900"/>
      <c r="BO900"/>
      <c r="BP900"/>
      <c r="BQ900"/>
      <c r="BR900"/>
      <c r="BS900"/>
      <c r="BT900"/>
      <c r="BU900"/>
      <c r="BV900"/>
      <c r="BW900"/>
      <c r="BX900"/>
      <c r="BY900"/>
      <c r="BZ900"/>
      <c r="CA900"/>
      <c r="CB900"/>
      <c r="CC900"/>
      <c r="CD900"/>
      <c r="CE900"/>
      <c r="CF900"/>
    </row>
    <row r="901" spans="1:84" ht="12.75" customHeight="1">
      <c r="A901"/>
      <c r="B901"/>
      <c r="C901"/>
      <c r="D901"/>
      <c r="E901"/>
      <c r="F901"/>
      <c r="G901"/>
      <c r="AB901" s="68"/>
      <c r="BJ901"/>
      <c r="BK901"/>
      <c r="BL901"/>
      <c r="BM901"/>
      <c r="BN901"/>
      <c r="BO901"/>
      <c r="BP901"/>
      <c r="BQ901"/>
      <c r="BR901"/>
      <c r="BS901"/>
      <c r="BT901"/>
      <c r="BU901"/>
      <c r="BV901"/>
      <c r="BW901"/>
      <c r="BX901"/>
      <c r="BY901"/>
      <c r="BZ901"/>
      <c r="CA901"/>
      <c r="CB901"/>
      <c r="CC901"/>
      <c r="CD901"/>
      <c r="CE901"/>
      <c r="CF901"/>
    </row>
    <row r="902" spans="1:84" ht="12.75" customHeight="1">
      <c r="A902"/>
      <c r="B902"/>
      <c r="C902"/>
      <c r="D902"/>
      <c r="E902"/>
      <c r="F902"/>
      <c r="G902"/>
      <c r="AB902" s="68"/>
      <c r="BJ902"/>
      <c r="BK902"/>
      <c r="BL902"/>
      <c r="BM902"/>
      <c r="BN902"/>
      <c r="BO902"/>
      <c r="BP902"/>
      <c r="BQ902"/>
      <c r="BR902"/>
      <c r="BS902"/>
      <c r="BT902"/>
      <c r="BU902"/>
      <c r="BV902"/>
      <c r="BW902"/>
      <c r="BX902"/>
      <c r="BY902"/>
      <c r="BZ902"/>
      <c r="CA902"/>
      <c r="CB902"/>
      <c r="CC902"/>
      <c r="CD902"/>
      <c r="CE902"/>
      <c r="CF902"/>
    </row>
    <row r="903" spans="1:84" ht="12.75" customHeight="1">
      <c r="A903"/>
      <c r="B903"/>
      <c r="C903"/>
      <c r="D903"/>
      <c r="E903"/>
      <c r="F903"/>
      <c r="G903"/>
      <c r="AB903" s="68"/>
      <c r="BJ903"/>
      <c r="BK903"/>
      <c r="BL903"/>
      <c r="BM903"/>
      <c r="BN903"/>
      <c r="BO903"/>
      <c r="BP903"/>
      <c r="BQ903"/>
      <c r="BR903"/>
      <c r="BS903"/>
      <c r="BT903"/>
      <c r="BU903"/>
      <c r="BV903"/>
      <c r="BW903"/>
      <c r="BX903"/>
      <c r="BY903"/>
      <c r="BZ903"/>
      <c r="CA903"/>
      <c r="CB903"/>
      <c r="CC903"/>
      <c r="CD903"/>
      <c r="CE903"/>
      <c r="CF903"/>
    </row>
    <row r="904" spans="1:84" ht="12.75" customHeight="1">
      <c r="A904"/>
      <c r="B904"/>
      <c r="C904"/>
      <c r="D904"/>
      <c r="E904"/>
      <c r="F904"/>
      <c r="G904"/>
      <c r="AB904" s="68"/>
      <c r="BJ904"/>
      <c r="BK904"/>
      <c r="BL904"/>
      <c r="BM904"/>
      <c r="BN904"/>
      <c r="BO904"/>
      <c r="BP904"/>
      <c r="BQ904"/>
      <c r="BR904"/>
      <c r="BS904"/>
      <c r="BT904"/>
      <c r="BU904"/>
      <c r="BV904"/>
      <c r="BW904"/>
      <c r="BX904"/>
      <c r="BY904"/>
      <c r="BZ904"/>
      <c r="CA904"/>
      <c r="CB904"/>
      <c r="CC904"/>
      <c r="CD904"/>
      <c r="CE904"/>
      <c r="CF904"/>
    </row>
    <row r="905" spans="1:84" ht="12.75" customHeight="1">
      <c r="A905"/>
      <c r="B905"/>
      <c r="C905"/>
      <c r="D905"/>
      <c r="E905"/>
      <c r="F905"/>
      <c r="G905"/>
      <c r="AB905" s="68"/>
      <c r="BJ905"/>
      <c r="BK905"/>
      <c r="BL905"/>
      <c r="BM905"/>
      <c r="BN905"/>
      <c r="BO905"/>
      <c r="BP905"/>
      <c r="BQ905"/>
      <c r="BR905"/>
      <c r="BS905"/>
      <c r="BT905"/>
      <c r="BU905"/>
      <c r="BV905"/>
      <c r="BW905"/>
      <c r="BX905"/>
      <c r="BY905"/>
      <c r="BZ905"/>
      <c r="CA905"/>
      <c r="CB905"/>
      <c r="CC905"/>
      <c r="CD905"/>
      <c r="CE905"/>
      <c r="CF905"/>
    </row>
    <row r="906" spans="1:84" ht="12.75" customHeight="1">
      <c r="A906"/>
      <c r="B906"/>
      <c r="C906"/>
      <c r="D906"/>
      <c r="E906"/>
      <c r="F906"/>
      <c r="G906"/>
      <c r="AB906" s="68"/>
      <c r="BJ906"/>
      <c r="BK906"/>
      <c r="BL906"/>
      <c r="BM906"/>
      <c r="BN906"/>
      <c r="BO906"/>
      <c r="BP906"/>
      <c r="BQ906"/>
      <c r="BR906"/>
      <c r="BS906"/>
      <c r="BT906"/>
      <c r="BU906"/>
      <c r="BV906"/>
      <c r="BW906"/>
      <c r="BX906"/>
      <c r="BY906"/>
      <c r="BZ906"/>
      <c r="CA906"/>
      <c r="CB906"/>
      <c r="CC906"/>
      <c r="CD906"/>
      <c r="CE906"/>
      <c r="CF906"/>
    </row>
    <row r="907" spans="1:84" ht="12.75" customHeight="1">
      <c r="A907"/>
      <c r="B907"/>
      <c r="C907"/>
      <c r="D907"/>
      <c r="E907"/>
      <c r="F907"/>
      <c r="G907"/>
      <c r="AB907" s="68"/>
      <c r="BJ907"/>
      <c r="BK907"/>
      <c r="BL907"/>
      <c r="BM907"/>
      <c r="BN907"/>
      <c r="BO907"/>
      <c r="BP907"/>
      <c r="BQ907"/>
      <c r="BR907"/>
      <c r="BS907"/>
      <c r="BT907"/>
      <c r="BU907"/>
      <c r="BV907"/>
      <c r="BW907"/>
      <c r="BX907"/>
      <c r="BY907"/>
      <c r="BZ907"/>
      <c r="CA907"/>
      <c r="CB907"/>
      <c r="CC907"/>
      <c r="CD907"/>
      <c r="CE907"/>
      <c r="CF907"/>
    </row>
    <row r="908" spans="1:84" ht="12.75" customHeight="1">
      <c r="A908"/>
      <c r="B908"/>
      <c r="C908"/>
      <c r="D908"/>
      <c r="E908"/>
      <c r="F908"/>
      <c r="G908"/>
      <c r="AB908" s="68"/>
      <c r="BJ908"/>
      <c r="BK908"/>
      <c r="BL908"/>
      <c r="BM908"/>
      <c r="BN908"/>
      <c r="BO908"/>
      <c r="BP908"/>
      <c r="BQ908"/>
      <c r="BR908"/>
      <c r="BS908"/>
      <c r="BT908"/>
      <c r="BU908"/>
      <c r="BV908"/>
      <c r="BW908"/>
      <c r="BX908"/>
      <c r="BY908"/>
      <c r="BZ908"/>
      <c r="CA908"/>
      <c r="CB908"/>
      <c r="CC908"/>
      <c r="CD908"/>
      <c r="CE908"/>
      <c r="CF908"/>
    </row>
    <row r="909" spans="1:84" ht="12.75" customHeight="1">
      <c r="A909"/>
      <c r="B909"/>
      <c r="C909"/>
      <c r="D909"/>
      <c r="E909"/>
      <c r="F909"/>
      <c r="G909"/>
      <c r="AB909" s="68"/>
      <c r="BJ909"/>
      <c r="BK909"/>
      <c r="BL909"/>
      <c r="BM909"/>
      <c r="BN909"/>
      <c r="BO909"/>
      <c r="BP909"/>
      <c r="BQ909"/>
      <c r="BR909"/>
      <c r="BS909"/>
      <c r="BT909"/>
      <c r="BU909"/>
      <c r="BV909"/>
      <c r="BW909"/>
      <c r="BX909"/>
      <c r="BY909"/>
      <c r="BZ909"/>
      <c r="CA909"/>
      <c r="CB909"/>
      <c r="CC909"/>
      <c r="CD909"/>
      <c r="CE909"/>
      <c r="CF909"/>
    </row>
    <row r="910" spans="1:84" ht="12.75" customHeight="1">
      <c r="A910"/>
      <c r="B910"/>
      <c r="C910"/>
      <c r="D910"/>
      <c r="E910"/>
      <c r="F910"/>
      <c r="G910"/>
      <c r="AB910" s="68"/>
      <c r="BJ910"/>
      <c r="BK910"/>
      <c r="BL910"/>
      <c r="BM910"/>
      <c r="BN910"/>
      <c r="BO910"/>
      <c r="BP910"/>
      <c r="BQ910"/>
      <c r="BR910"/>
      <c r="BS910"/>
      <c r="BT910"/>
      <c r="BU910"/>
      <c r="BV910"/>
      <c r="BW910"/>
      <c r="BX910"/>
      <c r="BY910"/>
      <c r="BZ910"/>
      <c r="CA910"/>
      <c r="CB910"/>
      <c r="CC910"/>
      <c r="CD910"/>
      <c r="CE910"/>
      <c r="CF910"/>
    </row>
    <row r="911" spans="1:84" ht="12.75" customHeight="1">
      <c r="A911"/>
      <c r="B911"/>
      <c r="C911"/>
      <c r="D911"/>
      <c r="E911"/>
      <c r="F911"/>
      <c r="G911"/>
      <c r="AB911" s="68"/>
      <c r="BJ911"/>
      <c r="BK911"/>
      <c r="BL911"/>
      <c r="BM911"/>
      <c r="BN911"/>
      <c r="BO911"/>
      <c r="BP911"/>
      <c r="BQ911"/>
      <c r="BR911"/>
      <c r="BS911"/>
      <c r="BT911"/>
      <c r="BU911"/>
      <c r="BV911"/>
      <c r="BW911"/>
      <c r="BX911"/>
      <c r="BY911"/>
      <c r="BZ911"/>
      <c r="CA911"/>
      <c r="CB911"/>
      <c r="CC911"/>
      <c r="CD911"/>
      <c r="CE911"/>
      <c r="CF911"/>
    </row>
    <row r="912" spans="1:84" ht="12.75" customHeight="1">
      <c r="A912"/>
      <c r="B912"/>
      <c r="C912"/>
      <c r="D912"/>
      <c r="E912"/>
      <c r="F912"/>
      <c r="G912"/>
      <c r="AB912" s="68"/>
      <c r="BJ912"/>
      <c r="BK912"/>
      <c r="BL912"/>
      <c r="BM912"/>
      <c r="BN912"/>
      <c r="BO912"/>
      <c r="BP912"/>
      <c r="BQ912"/>
      <c r="BR912"/>
      <c r="BS912"/>
      <c r="BT912"/>
      <c r="BU912"/>
      <c r="BV912"/>
      <c r="BW912"/>
      <c r="BX912"/>
      <c r="BY912"/>
      <c r="BZ912"/>
      <c r="CA912"/>
      <c r="CB912"/>
      <c r="CC912"/>
      <c r="CD912"/>
      <c r="CE912"/>
      <c r="CF912"/>
    </row>
    <row r="913" spans="1:84" ht="12.75" customHeight="1">
      <c r="A913"/>
      <c r="B913"/>
      <c r="C913"/>
      <c r="D913"/>
      <c r="E913"/>
      <c r="F913"/>
      <c r="G913"/>
      <c r="AB913" s="68"/>
      <c r="BJ913"/>
      <c r="BK913"/>
      <c r="BL913"/>
      <c r="BM913"/>
      <c r="BN913"/>
      <c r="BO913"/>
      <c r="BP913"/>
      <c r="BQ913"/>
      <c r="BR913"/>
      <c r="BS913"/>
      <c r="BT913"/>
      <c r="BU913"/>
      <c r="BV913"/>
      <c r="BW913"/>
      <c r="BX913"/>
      <c r="BY913"/>
      <c r="BZ913"/>
      <c r="CA913"/>
      <c r="CB913"/>
      <c r="CC913"/>
      <c r="CD913"/>
      <c r="CE913"/>
      <c r="CF913"/>
    </row>
    <row r="914" spans="1:84" ht="12.75" customHeight="1">
      <c r="A914"/>
      <c r="B914"/>
      <c r="C914"/>
      <c r="D914"/>
      <c r="E914"/>
      <c r="F914"/>
      <c r="G914"/>
      <c r="AB914" s="68"/>
      <c r="BJ914"/>
      <c r="BK914"/>
      <c r="BL914"/>
      <c r="BM914"/>
      <c r="BN914"/>
      <c r="BO914"/>
      <c r="BP914"/>
      <c r="BQ914"/>
      <c r="BR914"/>
      <c r="BS914"/>
      <c r="BT914"/>
      <c r="BU914"/>
      <c r="BV914"/>
      <c r="BW914"/>
      <c r="BX914"/>
      <c r="BY914"/>
      <c r="BZ914"/>
      <c r="CA914"/>
      <c r="CB914"/>
      <c r="CC914"/>
      <c r="CD914"/>
      <c r="CE914"/>
      <c r="CF914"/>
    </row>
    <row r="915" spans="1:84" ht="12.75" customHeight="1">
      <c r="A915"/>
      <c r="B915"/>
      <c r="C915"/>
      <c r="D915"/>
      <c r="E915"/>
      <c r="F915"/>
      <c r="G915"/>
      <c r="AB915" s="68"/>
      <c r="BJ915"/>
      <c r="BK915"/>
      <c r="BL915"/>
      <c r="BM915"/>
      <c r="BN915"/>
      <c r="BO915"/>
      <c r="BP915"/>
      <c r="BQ915"/>
      <c r="BR915"/>
      <c r="BS915"/>
      <c r="BT915"/>
      <c r="BU915"/>
      <c r="BV915"/>
      <c r="BW915"/>
      <c r="BX915"/>
      <c r="BY915"/>
      <c r="BZ915"/>
      <c r="CA915"/>
      <c r="CB915"/>
      <c r="CC915"/>
      <c r="CD915"/>
      <c r="CE915"/>
      <c r="CF915"/>
    </row>
    <row r="916" spans="1:84" ht="12.75" customHeight="1">
      <c r="A916"/>
      <c r="B916"/>
      <c r="C916"/>
      <c r="D916"/>
      <c r="E916"/>
      <c r="F916"/>
      <c r="G916"/>
      <c r="AB916" s="68"/>
      <c r="BJ916"/>
      <c r="BK916"/>
      <c r="BL916"/>
      <c r="BM916"/>
      <c r="BN916"/>
      <c r="BO916"/>
      <c r="BP916"/>
      <c r="BQ916"/>
      <c r="BR916"/>
      <c r="BS916"/>
      <c r="BT916"/>
      <c r="BU916"/>
      <c r="BV916"/>
      <c r="BW916"/>
      <c r="BX916"/>
      <c r="BY916"/>
      <c r="BZ916"/>
      <c r="CA916"/>
      <c r="CB916"/>
      <c r="CC916"/>
      <c r="CD916"/>
      <c r="CE916"/>
      <c r="CF916"/>
    </row>
    <row r="917" spans="1:84" ht="12.75" customHeight="1">
      <c r="A917"/>
      <c r="B917"/>
      <c r="C917"/>
      <c r="D917"/>
      <c r="E917"/>
      <c r="F917"/>
      <c r="G917"/>
      <c r="AB917" s="68"/>
      <c r="BJ917"/>
      <c r="BK917"/>
      <c r="BL917"/>
      <c r="BM917"/>
      <c r="BN917"/>
      <c r="BO917"/>
      <c r="BP917"/>
      <c r="BQ917"/>
      <c r="BR917"/>
      <c r="BS917"/>
      <c r="BT917"/>
      <c r="BU917"/>
      <c r="BV917"/>
      <c r="BW917"/>
      <c r="BX917"/>
      <c r="BY917"/>
      <c r="BZ917"/>
      <c r="CA917"/>
      <c r="CB917"/>
      <c r="CC917"/>
      <c r="CD917"/>
      <c r="CE917"/>
      <c r="CF917"/>
    </row>
    <row r="918" spans="1:84" ht="12.75" customHeight="1">
      <c r="A918"/>
      <c r="B918"/>
      <c r="C918"/>
      <c r="D918"/>
      <c r="E918"/>
      <c r="F918"/>
      <c r="G918"/>
      <c r="AB918" s="68"/>
      <c r="BJ918"/>
      <c r="BK918"/>
      <c r="BL918"/>
      <c r="BM918"/>
      <c r="BN918"/>
      <c r="BO918"/>
      <c r="BP918"/>
      <c r="BQ918"/>
      <c r="BR918"/>
      <c r="BS918"/>
      <c r="BT918"/>
      <c r="BU918"/>
      <c r="BV918"/>
      <c r="BW918"/>
      <c r="BX918"/>
      <c r="BY918"/>
      <c r="BZ918"/>
      <c r="CA918"/>
      <c r="CB918"/>
      <c r="CC918"/>
      <c r="CD918"/>
      <c r="CE918"/>
      <c r="CF918"/>
    </row>
    <row r="919" spans="1:84" ht="12.75" customHeight="1">
      <c r="A919"/>
      <c r="B919"/>
      <c r="C919"/>
      <c r="D919"/>
      <c r="E919"/>
      <c r="F919"/>
      <c r="G919"/>
      <c r="AB919" s="68"/>
      <c r="BJ919"/>
      <c r="BK919"/>
      <c r="BL919"/>
      <c r="BM919"/>
      <c r="BN919"/>
      <c r="BO919"/>
      <c r="BP919"/>
      <c r="BQ919"/>
      <c r="BR919"/>
      <c r="BS919"/>
      <c r="BT919"/>
      <c r="BU919"/>
      <c r="BV919"/>
      <c r="BW919"/>
      <c r="BX919"/>
      <c r="BY919"/>
      <c r="BZ919"/>
      <c r="CA919"/>
      <c r="CB919"/>
      <c r="CC919"/>
      <c r="CD919"/>
      <c r="CE919"/>
      <c r="CF919"/>
    </row>
    <row r="920" spans="1:84" ht="12.75" customHeight="1">
      <c r="A920"/>
      <c r="B920"/>
      <c r="C920"/>
      <c r="D920"/>
      <c r="E920"/>
      <c r="F920"/>
      <c r="G920"/>
      <c r="AB920" s="68"/>
      <c r="BJ920"/>
      <c r="BK920"/>
      <c r="BL920"/>
      <c r="BM920"/>
      <c r="BN920"/>
      <c r="BO920"/>
      <c r="BP920"/>
      <c r="BQ920"/>
      <c r="BR920"/>
      <c r="BS920"/>
      <c r="BT920"/>
      <c r="BU920"/>
      <c r="BV920"/>
      <c r="BW920"/>
      <c r="BX920"/>
      <c r="BY920"/>
      <c r="BZ920"/>
      <c r="CA920"/>
      <c r="CB920"/>
      <c r="CC920"/>
      <c r="CD920"/>
      <c r="CE920"/>
      <c r="CF920"/>
    </row>
    <row r="921" spans="1:84" ht="12.75" customHeight="1">
      <c r="A921"/>
      <c r="B921"/>
      <c r="C921"/>
      <c r="D921"/>
      <c r="E921"/>
      <c r="F921"/>
      <c r="G921"/>
      <c r="AB921" s="68"/>
      <c r="BJ921"/>
      <c r="BK921"/>
      <c r="BL921"/>
      <c r="BM921"/>
      <c r="BN921"/>
      <c r="BO921"/>
      <c r="BP921"/>
      <c r="BQ921"/>
      <c r="BR921"/>
      <c r="BS921"/>
      <c r="BT921"/>
      <c r="BU921"/>
      <c r="BV921"/>
      <c r="BW921"/>
      <c r="BX921"/>
      <c r="BY921"/>
      <c r="BZ921"/>
      <c r="CA921"/>
      <c r="CB921"/>
      <c r="CC921"/>
      <c r="CD921"/>
      <c r="CE921"/>
      <c r="CF921"/>
    </row>
    <row r="922" spans="1:84" ht="12.75" customHeight="1">
      <c r="A922"/>
      <c r="B922"/>
      <c r="C922"/>
      <c r="D922"/>
      <c r="E922"/>
      <c r="F922"/>
      <c r="G922"/>
      <c r="AB922" s="68"/>
      <c r="BJ922"/>
      <c r="BK922"/>
      <c r="BL922"/>
      <c r="BM922"/>
      <c r="BN922"/>
      <c r="BO922"/>
      <c r="BP922"/>
      <c r="BQ922"/>
      <c r="BR922"/>
      <c r="BS922"/>
      <c r="BT922"/>
      <c r="BU922"/>
      <c r="BV922"/>
      <c r="BW922"/>
      <c r="BX922"/>
      <c r="BY922"/>
      <c r="BZ922"/>
      <c r="CA922"/>
      <c r="CB922"/>
      <c r="CC922"/>
      <c r="CD922"/>
      <c r="CE922"/>
      <c r="CF922"/>
    </row>
    <row r="923" spans="1:84" ht="12.75" customHeight="1">
      <c r="A923"/>
      <c r="B923"/>
      <c r="C923"/>
      <c r="D923"/>
      <c r="E923"/>
      <c r="F923"/>
      <c r="G923"/>
      <c r="AB923" s="68"/>
      <c r="BJ923"/>
      <c r="BK923"/>
      <c r="BL923"/>
      <c r="BM923"/>
      <c r="BN923"/>
      <c r="BO923"/>
      <c r="BP923"/>
      <c r="BQ923"/>
      <c r="BR923"/>
      <c r="BS923"/>
      <c r="BT923"/>
      <c r="BU923"/>
      <c r="BV923"/>
      <c r="BW923"/>
      <c r="BX923"/>
      <c r="BY923"/>
      <c r="BZ923"/>
      <c r="CA923"/>
      <c r="CB923"/>
      <c r="CC923"/>
      <c r="CD923"/>
      <c r="CE923"/>
      <c r="CF923"/>
    </row>
    <row r="924" spans="1:84" ht="12.75" customHeight="1">
      <c r="A924"/>
      <c r="B924"/>
      <c r="C924"/>
      <c r="D924"/>
      <c r="E924"/>
      <c r="F924"/>
      <c r="G924"/>
      <c r="AB924" s="68"/>
      <c r="BJ924"/>
      <c r="BK924"/>
      <c r="BL924"/>
      <c r="BM924"/>
      <c r="BN924"/>
      <c r="BO924"/>
      <c r="BP924"/>
      <c r="BQ924"/>
      <c r="BR924"/>
      <c r="BS924"/>
      <c r="BT924"/>
      <c r="BU924"/>
      <c r="BV924"/>
      <c r="BW924"/>
      <c r="BX924"/>
      <c r="BY924"/>
      <c r="BZ924"/>
      <c r="CA924"/>
      <c r="CB924"/>
      <c r="CC924"/>
      <c r="CD924"/>
      <c r="CE924"/>
      <c r="CF924"/>
    </row>
    <row r="925" spans="1:84" ht="12.75" customHeight="1">
      <c r="A925"/>
      <c r="B925"/>
      <c r="C925"/>
      <c r="D925"/>
      <c r="E925"/>
      <c r="F925"/>
      <c r="G925"/>
      <c r="AB925" s="68"/>
      <c r="BJ925"/>
      <c r="BK925"/>
      <c r="BL925"/>
      <c r="BM925"/>
      <c r="BN925"/>
      <c r="BO925"/>
      <c r="BP925"/>
      <c r="BQ925"/>
      <c r="BR925"/>
      <c r="BS925"/>
      <c r="BT925"/>
      <c r="BU925"/>
      <c r="BV925"/>
      <c r="BW925"/>
      <c r="BX925"/>
      <c r="BY925"/>
      <c r="BZ925"/>
      <c r="CA925"/>
      <c r="CB925"/>
      <c r="CC925"/>
      <c r="CD925"/>
      <c r="CE925"/>
      <c r="CF925"/>
    </row>
    <row r="926" spans="1:84" ht="12.75" customHeight="1">
      <c r="A926"/>
      <c r="B926"/>
      <c r="C926"/>
      <c r="D926"/>
      <c r="E926"/>
      <c r="F926"/>
      <c r="G926"/>
      <c r="AB926" s="68"/>
      <c r="BJ926"/>
      <c r="BK926"/>
      <c r="BL926"/>
      <c r="BM926"/>
      <c r="BN926"/>
      <c r="BO926"/>
      <c r="BP926"/>
      <c r="BQ926"/>
      <c r="BR926"/>
      <c r="BS926"/>
      <c r="BT926"/>
      <c r="BU926"/>
      <c r="BV926"/>
      <c r="BW926"/>
      <c r="BX926"/>
      <c r="BY926"/>
      <c r="BZ926"/>
      <c r="CA926"/>
      <c r="CB926"/>
      <c r="CC926"/>
      <c r="CD926"/>
      <c r="CE926"/>
      <c r="CF926"/>
    </row>
    <row r="927" spans="1:84" ht="12.75" customHeight="1">
      <c r="A927"/>
      <c r="B927"/>
      <c r="C927"/>
      <c r="D927"/>
      <c r="E927"/>
      <c r="F927"/>
      <c r="G927"/>
      <c r="AB927" s="68"/>
      <c r="BJ927"/>
      <c r="BK927"/>
      <c r="BL927"/>
      <c r="BM927"/>
      <c r="BN927"/>
      <c r="BO927"/>
      <c r="BP927"/>
      <c r="BQ927"/>
      <c r="BR927"/>
      <c r="BS927"/>
      <c r="BT927"/>
      <c r="BU927"/>
      <c r="BV927"/>
      <c r="BW927"/>
      <c r="BX927"/>
      <c r="BY927"/>
      <c r="BZ927"/>
      <c r="CA927"/>
      <c r="CB927"/>
      <c r="CC927"/>
      <c r="CD927"/>
      <c r="CE927"/>
      <c r="CF927"/>
    </row>
    <row r="928" spans="1:84" ht="12.75" customHeight="1">
      <c r="A928"/>
      <c r="B928"/>
      <c r="C928"/>
      <c r="D928"/>
      <c r="E928"/>
      <c r="F928"/>
      <c r="G928"/>
      <c r="AB928" s="68"/>
      <c r="BJ928"/>
      <c r="BK928"/>
      <c r="BL928"/>
      <c r="BM928"/>
      <c r="BN928"/>
      <c r="BO928"/>
      <c r="BP928"/>
      <c r="BQ928"/>
      <c r="BR928"/>
      <c r="BS928"/>
      <c r="BT928"/>
      <c r="BU928"/>
      <c r="BV928"/>
      <c r="BW928"/>
      <c r="BX928"/>
      <c r="BY928"/>
      <c r="BZ928"/>
      <c r="CA928"/>
      <c r="CB928"/>
      <c r="CC928"/>
      <c r="CD928"/>
      <c r="CE928"/>
      <c r="CF928"/>
    </row>
    <row r="929" spans="1:84" ht="12.75" customHeight="1">
      <c r="A929"/>
      <c r="B929"/>
      <c r="C929"/>
      <c r="D929"/>
      <c r="E929"/>
      <c r="F929"/>
      <c r="G929"/>
      <c r="AB929" s="68"/>
      <c r="BJ929"/>
      <c r="BK929"/>
      <c r="BL929"/>
      <c r="BM929"/>
      <c r="BN929"/>
      <c r="BO929"/>
      <c r="BP929"/>
      <c r="BQ929"/>
      <c r="BR929"/>
      <c r="BS929"/>
      <c r="BT929"/>
      <c r="BU929"/>
      <c r="BV929"/>
      <c r="BW929"/>
      <c r="BX929"/>
      <c r="BY929"/>
      <c r="BZ929"/>
      <c r="CA929"/>
      <c r="CB929"/>
      <c r="CC929"/>
      <c r="CD929"/>
      <c r="CE929"/>
      <c r="CF929"/>
    </row>
    <row r="930" spans="1:84" ht="12.75" customHeight="1">
      <c r="A930"/>
      <c r="B930"/>
      <c r="C930"/>
      <c r="D930"/>
      <c r="E930"/>
      <c r="F930"/>
      <c r="G930"/>
      <c r="AB930" s="68"/>
      <c r="BJ930"/>
      <c r="BK930"/>
      <c r="BL930"/>
      <c r="BM930"/>
      <c r="BN930"/>
      <c r="BO930"/>
      <c r="BP930"/>
      <c r="BQ930"/>
      <c r="BR930"/>
      <c r="BS930"/>
      <c r="BT930"/>
      <c r="BU930"/>
      <c r="BV930"/>
      <c r="BW930"/>
      <c r="BX930"/>
      <c r="BY930"/>
      <c r="BZ930"/>
      <c r="CA930"/>
      <c r="CB930"/>
      <c r="CC930"/>
      <c r="CD930"/>
      <c r="CE930"/>
      <c r="CF930"/>
    </row>
    <row r="931" spans="1:84" ht="12.75" customHeight="1">
      <c r="A931"/>
      <c r="B931"/>
      <c r="C931"/>
      <c r="D931"/>
      <c r="E931"/>
      <c r="F931"/>
      <c r="G931"/>
      <c r="AB931" s="68"/>
      <c r="BJ931"/>
      <c r="BK931"/>
      <c r="BL931"/>
      <c r="BM931"/>
      <c r="BN931"/>
      <c r="BO931"/>
      <c r="BP931"/>
      <c r="BQ931"/>
      <c r="BR931"/>
      <c r="BS931"/>
      <c r="BT931"/>
      <c r="BU931"/>
      <c r="BV931"/>
      <c r="BW931"/>
      <c r="BX931"/>
      <c r="BY931"/>
      <c r="BZ931"/>
      <c r="CA931"/>
      <c r="CB931"/>
      <c r="CC931"/>
      <c r="CD931"/>
      <c r="CE931"/>
      <c r="CF931"/>
    </row>
    <row r="932" spans="1:84" ht="12.75" customHeight="1">
      <c r="A932"/>
      <c r="B932"/>
      <c r="C932"/>
      <c r="D932"/>
      <c r="E932"/>
      <c r="F932"/>
      <c r="G932"/>
      <c r="AB932" s="68"/>
      <c r="BJ932"/>
      <c r="BK932"/>
      <c r="BL932"/>
      <c r="BM932"/>
      <c r="BN932"/>
      <c r="BO932"/>
      <c r="BP932"/>
      <c r="BQ932"/>
      <c r="BR932"/>
      <c r="BS932"/>
      <c r="BT932"/>
      <c r="BU932"/>
      <c r="BV932"/>
      <c r="BW932"/>
      <c r="BX932"/>
      <c r="BY932"/>
      <c r="BZ932"/>
      <c r="CA932"/>
      <c r="CB932"/>
      <c r="CC932"/>
      <c r="CD932"/>
      <c r="CE932"/>
      <c r="CF932"/>
    </row>
    <row r="933" spans="1:84" ht="12.75" customHeight="1">
      <c r="A933"/>
      <c r="B933"/>
      <c r="C933"/>
      <c r="D933"/>
      <c r="E933"/>
      <c r="F933"/>
      <c r="G933"/>
      <c r="AB933" s="68"/>
      <c r="BJ933"/>
      <c r="BK933"/>
      <c r="BL933"/>
      <c r="BM933"/>
      <c r="BN933"/>
      <c r="BO933"/>
      <c r="BP933"/>
      <c r="BQ933"/>
      <c r="BR933"/>
      <c r="BS933"/>
      <c r="BT933"/>
      <c r="BU933"/>
      <c r="BV933"/>
      <c r="BW933"/>
      <c r="BX933"/>
      <c r="BY933"/>
      <c r="BZ933"/>
      <c r="CA933"/>
      <c r="CB933"/>
      <c r="CC933"/>
      <c r="CD933"/>
      <c r="CE933"/>
      <c r="CF933"/>
    </row>
    <row r="934" spans="1:84" ht="12.75" customHeight="1">
      <c r="A934"/>
      <c r="B934"/>
      <c r="C934"/>
      <c r="D934"/>
      <c r="E934"/>
      <c r="F934"/>
      <c r="G934"/>
      <c r="AB934" s="68"/>
      <c r="BJ934"/>
      <c r="BK934"/>
      <c r="BL934"/>
      <c r="BM934"/>
      <c r="BN934"/>
      <c r="BO934"/>
      <c r="BP934"/>
      <c r="BQ934"/>
      <c r="BR934"/>
      <c r="BS934"/>
      <c r="BT934"/>
      <c r="BU934"/>
      <c r="BV934"/>
      <c r="BW934"/>
      <c r="BX934"/>
      <c r="BY934"/>
      <c r="BZ934"/>
      <c r="CA934"/>
      <c r="CB934"/>
      <c r="CC934"/>
      <c r="CD934"/>
      <c r="CE934"/>
      <c r="CF934"/>
    </row>
    <row r="935" spans="1:84" ht="12.75" customHeight="1">
      <c r="A935"/>
      <c r="B935"/>
      <c r="C935"/>
      <c r="D935"/>
      <c r="E935"/>
      <c r="F935"/>
      <c r="G935"/>
      <c r="AB935" s="68"/>
      <c r="BJ935"/>
      <c r="BK935"/>
      <c r="BL935"/>
      <c r="BM935"/>
      <c r="BN935"/>
      <c r="BO935"/>
      <c r="BP935"/>
      <c r="BQ935"/>
      <c r="BR935"/>
      <c r="BS935"/>
      <c r="BT935"/>
      <c r="BU935"/>
      <c r="BV935"/>
      <c r="BW935"/>
      <c r="BX935"/>
      <c r="BY935"/>
      <c r="BZ935"/>
      <c r="CA935"/>
      <c r="CB935"/>
      <c r="CC935"/>
      <c r="CD935"/>
      <c r="CE935"/>
      <c r="CF935"/>
    </row>
    <row r="936" spans="1:84" ht="12.75" customHeight="1">
      <c r="A936"/>
      <c r="B936"/>
      <c r="C936"/>
      <c r="D936"/>
      <c r="E936"/>
      <c r="F936"/>
      <c r="G936"/>
      <c r="AB936" s="68"/>
      <c r="BJ936"/>
      <c r="BK936"/>
      <c r="BL936"/>
      <c r="BM936"/>
      <c r="BN936"/>
      <c r="BO936"/>
      <c r="BP936"/>
      <c r="BQ936"/>
      <c r="BR936"/>
      <c r="BS936"/>
      <c r="BT936"/>
      <c r="BU936"/>
      <c r="BV936"/>
      <c r="BW936"/>
      <c r="BX936"/>
      <c r="BY936"/>
      <c r="BZ936"/>
      <c r="CA936"/>
      <c r="CB936"/>
      <c r="CC936"/>
      <c r="CD936"/>
      <c r="CE936"/>
      <c r="CF936"/>
    </row>
    <row r="937" spans="1:84" ht="12.75" customHeight="1">
      <c r="A937"/>
      <c r="B937"/>
      <c r="C937"/>
      <c r="D937"/>
      <c r="E937"/>
      <c r="F937"/>
      <c r="G937"/>
      <c r="AB937" s="68"/>
      <c r="BJ937"/>
      <c r="BK937"/>
      <c r="BL937"/>
      <c r="BM937"/>
      <c r="BN937"/>
      <c r="BO937"/>
      <c r="BP937"/>
      <c r="BQ937"/>
      <c r="BR937"/>
      <c r="BS937"/>
      <c r="BT937"/>
      <c r="BU937"/>
      <c r="BV937"/>
      <c r="BW937"/>
      <c r="BX937"/>
      <c r="BY937"/>
      <c r="BZ937"/>
      <c r="CA937"/>
      <c r="CB937"/>
      <c r="CC937"/>
      <c r="CD937"/>
      <c r="CE937"/>
      <c r="CF937"/>
    </row>
    <row r="938" spans="1:84" ht="12.75" customHeight="1">
      <c r="A938"/>
      <c r="B938"/>
      <c r="C938"/>
      <c r="D938"/>
      <c r="E938"/>
      <c r="F938"/>
      <c r="G938"/>
      <c r="AB938" s="68"/>
      <c r="BJ938"/>
      <c r="BK938"/>
      <c r="BL938"/>
      <c r="BM938"/>
      <c r="BN938"/>
      <c r="BO938"/>
      <c r="BP938"/>
      <c r="BQ938"/>
      <c r="BR938"/>
      <c r="BS938"/>
      <c r="BT938"/>
      <c r="BU938"/>
      <c r="BV938"/>
      <c r="BW938"/>
      <c r="BX938"/>
      <c r="BY938"/>
      <c r="BZ938"/>
      <c r="CA938"/>
      <c r="CB938"/>
      <c r="CC938"/>
      <c r="CD938"/>
      <c r="CE938"/>
      <c r="CF938"/>
    </row>
    <row r="939" spans="1:84" ht="12.75" customHeight="1">
      <c r="A939"/>
      <c r="B939"/>
      <c r="C939"/>
      <c r="D939"/>
      <c r="E939"/>
      <c r="F939"/>
      <c r="G939"/>
      <c r="AB939" s="68"/>
      <c r="BJ939"/>
      <c r="BK939"/>
      <c r="BL939"/>
      <c r="BM939"/>
      <c r="BN939"/>
      <c r="BO939"/>
      <c r="BP939"/>
      <c r="BQ939"/>
      <c r="BR939"/>
      <c r="BS939"/>
      <c r="BT939"/>
      <c r="BU939"/>
      <c r="BV939"/>
      <c r="BW939"/>
      <c r="BX939"/>
      <c r="BY939"/>
      <c r="BZ939"/>
      <c r="CA939"/>
      <c r="CB939"/>
      <c r="CC939"/>
      <c r="CD939"/>
      <c r="CE939"/>
      <c r="CF939"/>
    </row>
    <row r="940" spans="1:84" ht="12.75" customHeight="1">
      <c r="A940"/>
      <c r="B940"/>
      <c r="C940"/>
      <c r="D940"/>
      <c r="E940"/>
      <c r="F940"/>
      <c r="G940"/>
      <c r="AB940" s="68"/>
      <c r="BJ940"/>
      <c r="BK940"/>
      <c r="BL940"/>
      <c r="BM940"/>
      <c r="BN940"/>
      <c r="BO940"/>
      <c r="BP940"/>
      <c r="BQ940"/>
      <c r="BR940"/>
      <c r="BS940"/>
      <c r="BT940"/>
      <c r="BU940"/>
      <c r="BV940"/>
      <c r="BW940"/>
      <c r="BX940"/>
      <c r="BY940"/>
      <c r="BZ940"/>
      <c r="CA940"/>
      <c r="CB940"/>
      <c r="CC940"/>
      <c r="CD940"/>
      <c r="CE940"/>
      <c r="CF940"/>
    </row>
    <row r="941" spans="1:84" ht="12.75" customHeight="1">
      <c r="A941"/>
      <c r="B941"/>
      <c r="C941"/>
      <c r="D941"/>
      <c r="E941"/>
      <c r="F941"/>
      <c r="G941"/>
      <c r="AB941" s="68"/>
      <c r="BJ941"/>
      <c r="BK941"/>
      <c r="BL941"/>
      <c r="BM941"/>
      <c r="BN941"/>
      <c r="BO941"/>
      <c r="BP941"/>
      <c r="BQ941"/>
      <c r="BR941"/>
      <c r="BS941"/>
      <c r="BT941"/>
      <c r="BU941"/>
      <c r="BV941"/>
      <c r="BW941"/>
      <c r="BX941"/>
      <c r="BY941"/>
      <c r="BZ941"/>
      <c r="CA941"/>
      <c r="CB941"/>
      <c r="CC941"/>
      <c r="CD941"/>
      <c r="CE941"/>
      <c r="CF941"/>
    </row>
    <row r="942" spans="1:84" ht="12.75" customHeight="1">
      <c r="A942"/>
      <c r="B942"/>
      <c r="C942"/>
      <c r="D942"/>
      <c r="E942"/>
      <c r="F942"/>
      <c r="G942"/>
      <c r="AB942" s="68"/>
      <c r="BJ942"/>
      <c r="BK942"/>
      <c r="BL942"/>
      <c r="BM942"/>
      <c r="BN942"/>
      <c r="BO942"/>
      <c r="BP942"/>
      <c r="BQ942"/>
      <c r="BR942"/>
      <c r="BS942"/>
      <c r="BT942"/>
      <c r="BU942"/>
      <c r="BV942"/>
      <c r="BW942"/>
      <c r="BX942"/>
      <c r="BY942"/>
      <c r="BZ942"/>
      <c r="CA942"/>
      <c r="CB942"/>
      <c r="CC942"/>
      <c r="CD942"/>
      <c r="CE942"/>
      <c r="CF942"/>
    </row>
    <row r="943" spans="1:84" ht="12.75" customHeight="1">
      <c r="A943"/>
      <c r="B943"/>
      <c r="C943"/>
      <c r="D943"/>
      <c r="E943"/>
      <c r="F943"/>
      <c r="G943"/>
      <c r="AB943" s="68"/>
      <c r="BJ943"/>
      <c r="BK943"/>
      <c r="BL943"/>
      <c r="BM943"/>
      <c r="BN943"/>
      <c r="BO943"/>
      <c r="BP943"/>
      <c r="BQ943"/>
      <c r="BR943"/>
      <c r="BS943"/>
      <c r="BT943"/>
      <c r="BU943"/>
      <c r="BV943"/>
      <c r="BW943"/>
      <c r="BX943"/>
      <c r="BY943"/>
      <c r="BZ943"/>
      <c r="CA943"/>
      <c r="CB943"/>
      <c r="CC943"/>
      <c r="CD943"/>
      <c r="CE943"/>
      <c r="CF943"/>
    </row>
    <row r="944" spans="1:84" ht="12.75" customHeight="1">
      <c r="A944"/>
      <c r="B944"/>
      <c r="C944"/>
      <c r="D944"/>
      <c r="E944"/>
      <c r="F944"/>
      <c r="G944"/>
      <c r="AB944" s="68"/>
      <c r="BJ944"/>
      <c r="BK944"/>
      <c r="BL944"/>
      <c r="BM944"/>
      <c r="BN944"/>
      <c r="BO944"/>
      <c r="BP944"/>
      <c r="BQ944"/>
      <c r="BR944"/>
      <c r="BS944"/>
      <c r="BT944"/>
      <c r="BU944"/>
      <c r="BV944"/>
      <c r="BW944"/>
      <c r="BX944"/>
      <c r="BY944"/>
      <c r="BZ944"/>
      <c r="CA944"/>
      <c r="CB944"/>
      <c r="CC944"/>
      <c r="CD944"/>
      <c r="CE944"/>
      <c r="CF944"/>
    </row>
    <row r="945" spans="1:84" ht="12.75" customHeight="1">
      <c r="A945"/>
      <c r="B945"/>
      <c r="C945"/>
      <c r="D945"/>
      <c r="E945"/>
      <c r="F945"/>
      <c r="G945"/>
      <c r="AB945" s="68"/>
      <c r="BJ945"/>
      <c r="BK945"/>
      <c r="BL945"/>
      <c r="BM945"/>
      <c r="BN945"/>
      <c r="BO945"/>
      <c r="BP945"/>
      <c r="BQ945"/>
      <c r="BR945"/>
      <c r="BS945"/>
      <c r="BT945"/>
      <c r="BU945"/>
      <c r="BV945"/>
      <c r="BW945"/>
      <c r="BX945"/>
      <c r="BY945"/>
      <c r="BZ945"/>
      <c r="CA945"/>
      <c r="CB945"/>
      <c r="CC945"/>
      <c r="CD945"/>
      <c r="CE945"/>
      <c r="CF945"/>
    </row>
    <row r="946" spans="1:84" ht="12.75" customHeight="1">
      <c r="A946"/>
      <c r="B946"/>
      <c r="C946"/>
      <c r="D946"/>
      <c r="E946"/>
      <c r="F946"/>
      <c r="G946"/>
      <c r="AB946" s="68"/>
      <c r="BJ946"/>
      <c r="BK946"/>
      <c r="BL946"/>
      <c r="BM946"/>
      <c r="BN946"/>
      <c r="BO946"/>
      <c r="BP946"/>
      <c r="BQ946"/>
      <c r="BR946"/>
      <c r="BS946"/>
      <c r="BT946"/>
      <c r="BU946"/>
      <c r="BV946"/>
      <c r="BW946"/>
      <c r="BX946"/>
      <c r="BY946"/>
      <c r="BZ946"/>
      <c r="CA946"/>
      <c r="CB946"/>
      <c r="CC946"/>
      <c r="CD946"/>
      <c r="CE946"/>
      <c r="CF946"/>
    </row>
    <row r="947" spans="1:84" ht="12.75" customHeight="1">
      <c r="A947"/>
      <c r="B947"/>
      <c r="C947"/>
      <c r="D947"/>
      <c r="E947"/>
      <c r="F947"/>
      <c r="G947"/>
      <c r="AB947" s="68"/>
      <c r="BJ947"/>
      <c r="BK947"/>
      <c r="BL947"/>
      <c r="BM947"/>
      <c r="BN947"/>
      <c r="BO947"/>
      <c r="BP947"/>
      <c r="BQ947"/>
      <c r="BR947"/>
      <c r="BS947"/>
      <c r="BT947"/>
      <c r="BU947"/>
      <c r="BV947"/>
      <c r="BW947"/>
      <c r="BX947"/>
      <c r="BY947"/>
      <c r="BZ947"/>
      <c r="CA947"/>
      <c r="CB947"/>
      <c r="CC947"/>
      <c r="CD947"/>
      <c r="CE947"/>
      <c r="CF947"/>
    </row>
    <row r="948" spans="1:84" ht="12.75" customHeight="1">
      <c r="A948"/>
      <c r="B948"/>
      <c r="C948"/>
      <c r="D948"/>
      <c r="E948"/>
      <c r="F948"/>
      <c r="G948"/>
      <c r="AB948" s="68"/>
      <c r="BJ948"/>
      <c r="BK948"/>
      <c r="BL948"/>
      <c r="BM948"/>
      <c r="BN948"/>
      <c r="BO948"/>
      <c r="BP948"/>
      <c r="BQ948"/>
      <c r="BR948"/>
      <c r="BS948"/>
      <c r="BT948"/>
      <c r="BU948"/>
      <c r="BV948"/>
      <c r="BW948"/>
      <c r="BX948"/>
      <c r="BY948"/>
      <c r="BZ948"/>
      <c r="CA948"/>
      <c r="CB948"/>
      <c r="CC948"/>
      <c r="CD948"/>
      <c r="CE948"/>
      <c r="CF948"/>
    </row>
    <row r="949" spans="1:84" ht="12.75" customHeight="1">
      <c r="A949"/>
      <c r="B949"/>
      <c r="C949"/>
      <c r="D949"/>
      <c r="E949"/>
      <c r="F949"/>
      <c r="G949"/>
      <c r="AB949" s="68"/>
      <c r="BJ949"/>
      <c r="BK949"/>
      <c r="BL949"/>
      <c r="BM949"/>
      <c r="BN949"/>
      <c r="BO949"/>
      <c r="BP949"/>
      <c r="BQ949"/>
      <c r="BR949"/>
      <c r="BS949"/>
      <c r="BT949"/>
      <c r="BU949"/>
      <c r="BV949"/>
      <c r="BW949"/>
      <c r="BX949"/>
      <c r="BY949"/>
      <c r="BZ949"/>
      <c r="CA949"/>
      <c r="CB949"/>
      <c r="CC949"/>
      <c r="CD949"/>
      <c r="CE949"/>
      <c r="CF949"/>
    </row>
    <row r="950" spans="1:84" ht="12.75" customHeight="1">
      <c r="A950"/>
      <c r="B950"/>
      <c r="C950"/>
      <c r="D950"/>
      <c r="E950"/>
      <c r="F950"/>
      <c r="G950"/>
      <c r="AB950" s="68"/>
      <c r="BJ950"/>
      <c r="BK950"/>
      <c r="BL950"/>
      <c r="BM950"/>
      <c r="BN950"/>
      <c r="BO950"/>
      <c r="BP950"/>
      <c r="BQ950"/>
      <c r="BR950"/>
      <c r="BS950"/>
      <c r="BT950"/>
      <c r="BU950"/>
      <c r="BV950"/>
      <c r="BW950"/>
      <c r="BX950"/>
      <c r="BY950"/>
      <c r="BZ950"/>
      <c r="CA950"/>
      <c r="CB950"/>
      <c r="CC950"/>
      <c r="CD950"/>
      <c r="CE950"/>
      <c r="CF950"/>
    </row>
    <row r="951" spans="1:84" ht="12.75" customHeight="1">
      <c r="A951"/>
      <c r="B951"/>
      <c r="C951"/>
      <c r="D951"/>
      <c r="E951"/>
      <c r="F951"/>
      <c r="G951"/>
      <c r="AB951" s="68"/>
      <c r="BJ951"/>
      <c r="BK951"/>
      <c r="BL951"/>
      <c r="BM951"/>
      <c r="BN951"/>
      <c r="BO951"/>
      <c r="BP951"/>
      <c r="BQ951"/>
      <c r="BR951"/>
      <c r="BS951"/>
      <c r="BT951"/>
      <c r="BU951"/>
      <c r="BV951"/>
      <c r="BW951"/>
      <c r="BX951"/>
      <c r="BY951"/>
      <c r="BZ951"/>
      <c r="CA951"/>
      <c r="CB951"/>
      <c r="CC951"/>
      <c r="CD951"/>
      <c r="CE951"/>
      <c r="CF951"/>
    </row>
    <row r="952" spans="1:84" ht="12.75" customHeight="1">
      <c r="A952"/>
      <c r="B952"/>
      <c r="C952"/>
      <c r="D952"/>
      <c r="E952"/>
      <c r="F952"/>
      <c r="G952"/>
      <c r="AB952" s="68"/>
      <c r="BJ952"/>
      <c r="BK952"/>
      <c r="BL952"/>
      <c r="BM952"/>
      <c r="BN952"/>
      <c r="BO952"/>
      <c r="BP952"/>
      <c r="BQ952"/>
      <c r="BR952"/>
      <c r="BS952"/>
      <c r="BT952"/>
      <c r="BU952"/>
      <c r="BV952"/>
      <c r="BW952"/>
      <c r="BX952"/>
      <c r="BY952"/>
      <c r="BZ952"/>
      <c r="CA952"/>
      <c r="CB952"/>
      <c r="CC952"/>
      <c r="CD952"/>
      <c r="CE952"/>
      <c r="CF952"/>
    </row>
    <row r="953" spans="1:84" ht="12.75" customHeight="1">
      <c r="A953"/>
      <c r="B953"/>
      <c r="C953"/>
      <c r="D953"/>
      <c r="E953"/>
      <c r="F953"/>
      <c r="G953"/>
      <c r="AB953" s="68"/>
      <c r="BJ953"/>
      <c r="BK953"/>
      <c r="BL953"/>
      <c r="BM953"/>
      <c r="BN953"/>
      <c r="BO953"/>
      <c r="BP953"/>
      <c r="BQ953"/>
      <c r="BR953"/>
      <c r="BS953"/>
      <c r="BT953"/>
      <c r="BU953"/>
      <c r="BV953"/>
      <c r="BW953"/>
      <c r="BX953"/>
      <c r="BY953"/>
      <c r="BZ953"/>
      <c r="CA953"/>
      <c r="CB953"/>
      <c r="CC953"/>
      <c r="CD953"/>
      <c r="CE953"/>
      <c r="CF953"/>
    </row>
    <row r="954" spans="1:84" ht="12.75" customHeight="1">
      <c r="A954"/>
      <c r="B954"/>
      <c r="C954"/>
      <c r="D954"/>
      <c r="E954"/>
      <c r="F954"/>
      <c r="G954"/>
      <c r="AB954" s="68"/>
      <c r="BJ954"/>
      <c r="BK954"/>
      <c r="BL954"/>
      <c r="BM954"/>
      <c r="BN954"/>
      <c r="BO954"/>
      <c r="BP954"/>
      <c r="BQ954"/>
      <c r="BR954"/>
      <c r="BS954"/>
      <c r="BT954"/>
      <c r="BU954"/>
      <c r="BV954"/>
      <c r="BW954"/>
      <c r="BX954"/>
      <c r="BY954"/>
      <c r="BZ954"/>
      <c r="CA954"/>
      <c r="CB954"/>
      <c r="CC954"/>
      <c r="CD954"/>
      <c r="CE954"/>
      <c r="CF954"/>
    </row>
    <row r="955" spans="1:84" ht="12.75" customHeight="1">
      <c r="A955"/>
      <c r="B955"/>
      <c r="C955"/>
      <c r="D955"/>
      <c r="E955"/>
      <c r="F955"/>
      <c r="G955"/>
      <c r="AB955" s="68"/>
      <c r="BJ955"/>
      <c r="BK955"/>
      <c r="BL955"/>
      <c r="BM955"/>
      <c r="BN955"/>
      <c r="BO955"/>
      <c r="BP955"/>
      <c r="BQ955"/>
      <c r="BR955"/>
      <c r="BS955"/>
      <c r="BT955"/>
      <c r="BU955"/>
      <c r="BV955"/>
      <c r="BW955"/>
      <c r="BX955"/>
      <c r="BY955"/>
      <c r="BZ955"/>
      <c r="CA955"/>
      <c r="CB955"/>
      <c r="CC955"/>
      <c r="CD955"/>
      <c r="CE955"/>
      <c r="CF955"/>
    </row>
    <row r="956" spans="1:84" ht="12.75" customHeight="1">
      <c r="A956"/>
      <c r="B956"/>
      <c r="C956"/>
      <c r="D956"/>
      <c r="E956"/>
      <c r="F956"/>
      <c r="G956"/>
      <c r="AB956" s="68"/>
      <c r="BJ956"/>
      <c r="BK956"/>
      <c r="BL956"/>
      <c r="BM956"/>
      <c r="BN956"/>
      <c r="BO956"/>
      <c r="BP956"/>
      <c r="BQ956"/>
      <c r="BR956"/>
      <c r="BS956"/>
      <c r="BT956"/>
      <c r="BU956"/>
      <c r="BV956"/>
      <c r="BW956"/>
      <c r="BX956"/>
      <c r="BY956"/>
      <c r="BZ956"/>
      <c r="CA956"/>
      <c r="CB956"/>
      <c r="CC956"/>
      <c r="CD956"/>
      <c r="CE956"/>
      <c r="CF956"/>
    </row>
    <row r="957" spans="1:84" ht="12.75" customHeight="1">
      <c r="A957"/>
      <c r="B957"/>
      <c r="C957"/>
      <c r="D957"/>
      <c r="E957"/>
      <c r="F957"/>
      <c r="G957"/>
      <c r="AB957" s="68"/>
      <c r="BJ957"/>
      <c r="BK957"/>
      <c r="BL957"/>
      <c r="BM957"/>
      <c r="BN957"/>
      <c r="BO957"/>
      <c r="BP957"/>
      <c r="BQ957"/>
      <c r="BR957"/>
      <c r="BS957"/>
      <c r="BT957"/>
      <c r="BU957"/>
      <c r="BV957"/>
      <c r="BW957"/>
      <c r="BX957"/>
      <c r="BY957"/>
      <c r="BZ957"/>
      <c r="CA957"/>
      <c r="CB957"/>
      <c r="CC957"/>
      <c r="CD957"/>
      <c r="CE957"/>
      <c r="CF957"/>
    </row>
    <row r="958" spans="1:84" ht="12.75" customHeight="1">
      <c r="A958"/>
      <c r="B958"/>
      <c r="C958"/>
      <c r="D958"/>
      <c r="E958"/>
      <c r="F958"/>
      <c r="G958"/>
      <c r="AB958" s="68"/>
      <c r="BJ958"/>
      <c r="BK958"/>
      <c r="BL958"/>
      <c r="BM958"/>
      <c r="BN958"/>
      <c r="BO958"/>
      <c r="BP958"/>
      <c r="BQ958"/>
      <c r="BR958"/>
      <c r="BS958"/>
      <c r="BT958"/>
      <c r="BU958"/>
      <c r="BV958"/>
      <c r="BW958"/>
      <c r="BX958"/>
      <c r="BY958"/>
      <c r="BZ958"/>
      <c r="CA958"/>
      <c r="CB958"/>
      <c r="CC958"/>
      <c r="CD958"/>
      <c r="CE958"/>
      <c r="CF958"/>
    </row>
    <row r="959" spans="1:84" ht="12.75" customHeight="1">
      <c r="A959"/>
      <c r="B959"/>
      <c r="C959"/>
      <c r="D959"/>
      <c r="E959"/>
      <c r="F959"/>
      <c r="G959"/>
      <c r="AB959" s="68"/>
      <c r="BJ959"/>
      <c r="BK959"/>
      <c r="BL959"/>
      <c r="BM959"/>
      <c r="BN959"/>
      <c r="BO959"/>
      <c r="BP959"/>
      <c r="BQ959"/>
      <c r="BR959"/>
      <c r="BS959"/>
      <c r="BT959"/>
      <c r="BU959"/>
      <c r="BV959"/>
      <c r="BW959"/>
      <c r="BX959"/>
      <c r="BY959"/>
      <c r="BZ959"/>
      <c r="CA959"/>
      <c r="CB959"/>
      <c r="CC959"/>
      <c r="CD959"/>
      <c r="CE959"/>
      <c r="CF959"/>
    </row>
    <row r="960" spans="1:84" ht="12.75" customHeight="1">
      <c r="A960"/>
      <c r="B960"/>
      <c r="C960"/>
      <c r="D960"/>
      <c r="E960"/>
      <c r="F960"/>
      <c r="G960"/>
      <c r="AB960" s="68"/>
      <c r="BJ960"/>
      <c r="BK960"/>
      <c r="BL960"/>
      <c r="BM960"/>
      <c r="BN960"/>
      <c r="BO960"/>
      <c r="BP960"/>
      <c r="BQ960"/>
      <c r="BR960"/>
      <c r="BS960"/>
      <c r="BT960"/>
      <c r="BU960"/>
      <c r="BV960"/>
      <c r="BW960"/>
      <c r="BX960"/>
      <c r="BY960"/>
      <c r="BZ960"/>
      <c r="CA960"/>
      <c r="CB960"/>
      <c r="CC960"/>
      <c r="CD960"/>
      <c r="CE960"/>
      <c r="CF960"/>
    </row>
    <row r="961" spans="1:84" ht="12.75" customHeight="1">
      <c r="A961"/>
      <c r="B961"/>
      <c r="C961"/>
      <c r="D961"/>
      <c r="E961"/>
      <c r="F961"/>
      <c r="G961"/>
      <c r="AB961" s="68"/>
      <c r="BJ961"/>
      <c r="BK961"/>
      <c r="BL961"/>
      <c r="BM961"/>
      <c r="BN961"/>
      <c r="BO961"/>
      <c r="BP961"/>
      <c r="BQ961"/>
      <c r="BR961"/>
      <c r="BS961"/>
      <c r="BT961"/>
      <c r="BU961"/>
      <c r="BV961"/>
      <c r="BW961"/>
      <c r="BX961"/>
      <c r="BY961"/>
      <c r="BZ961"/>
      <c r="CA961"/>
      <c r="CB961"/>
      <c r="CC961"/>
      <c r="CD961"/>
      <c r="CE961"/>
      <c r="CF961"/>
    </row>
    <row r="962" spans="1:84" ht="12.75" customHeight="1">
      <c r="A962"/>
      <c r="B962"/>
      <c r="C962"/>
      <c r="D962"/>
      <c r="E962"/>
      <c r="F962"/>
      <c r="G962"/>
      <c r="AB962" s="68"/>
      <c r="BJ962"/>
      <c r="BK962"/>
      <c r="BL962"/>
      <c r="BM962"/>
      <c r="BN962"/>
      <c r="BO962"/>
      <c r="BP962"/>
      <c r="BQ962"/>
      <c r="BR962"/>
      <c r="BS962"/>
      <c r="BT962"/>
      <c r="BU962"/>
      <c r="BV962"/>
      <c r="BW962"/>
      <c r="BX962"/>
      <c r="BY962"/>
      <c r="BZ962"/>
      <c r="CA962"/>
      <c r="CB962"/>
      <c r="CC962"/>
      <c r="CD962"/>
      <c r="CE962"/>
      <c r="CF962"/>
    </row>
    <row r="963" spans="1:84" ht="12.75" customHeight="1">
      <c r="A963"/>
      <c r="B963"/>
      <c r="C963"/>
      <c r="D963"/>
      <c r="E963"/>
      <c r="F963"/>
      <c r="G963"/>
      <c r="AB963" s="68"/>
      <c r="BJ963"/>
      <c r="BK963"/>
      <c r="BL963"/>
      <c r="BM963"/>
      <c r="BN963"/>
      <c r="BO963"/>
      <c r="BP963"/>
      <c r="BQ963"/>
      <c r="BR963"/>
      <c r="BS963"/>
      <c r="BT963"/>
      <c r="BU963"/>
      <c r="BV963"/>
      <c r="BW963"/>
      <c r="BX963"/>
      <c r="BY963"/>
      <c r="BZ963"/>
      <c r="CA963"/>
      <c r="CB963"/>
      <c r="CC963"/>
      <c r="CD963"/>
      <c r="CE963"/>
      <c r="CF963"/>
    </row>
    <row r="964" spans="1:84" ht="12.75" customHeight="1">
      <c r="A964"/>
      <c r="B964"/>
      <c r="C964"/>
      <c r="D964"/>
      <c r="E964"/>
      <c r="F964"/>
      <c r="G964"/>
      <c r="AB964" s="68"/>
      <c r="BJ964"/>
      <c r="BK964"/>
      <c r="BL964"/>
      <c r="BM964"/>
      <c r="BN964"/>
      <c r="BO964"/>
      <c r="BP964"/>
      <c r="BQ964"/>
      <c r="BR964"/>
      <c r="BS964"/>
      <c r="BT964"/>
      <c r="BU964"/>
      <c r="BV964"/>
      <c r="BW964"/>
      <c r="BX964"/>
      <c r="BY964"/>
      <c r="BZ964"/>
      <c r="CA964"/>
      <c r="CB964"/>
      <c r="CC964"/>
      <c r="CD964"/>
      <c r="CE964"/>
      <c r="CF964"/>
    </row>
    <row r="965" spans="1:84" ht="12.75" customHeight="1">
      <c r="A965"/>
      <c r="B965"/>
      <c r="C965"/>
      <c r="D965"/>
      <c r="E965"/>
      <c r="F965"/>
      <c r="G965"/>
      <c r="AB965" s="68"/>
      <c r="BJ965"/>
      <c r="BK965"/>
      <c r="BL965"/>
      <c r="BM965"/>
      <c r="BN965"/>
      <c r="BO965"/>
      <c r="BP965"/>
      <c r="BQ965"/>
      <c r="BR965"/>
      <c r="BS965"/>
      <c r="BT965"/>
      <c r="BU965"/>
      <c r="BV965"/>
      <c r="BW965"/>
      <c r="BX965"/>
      <c r="BY965"/>
      <c r="BZ965"/>
      <c r="CA965"/>
      <c r="CB965"/>
      <c r="CC965"/>
      <c r="CD965"/>
      <c r="CE965"/>
      <c r="CF965"/>
    </row>
    <row r="966" spans="1:84" ht="12.75" customHeight="1">
      <c r="A966"/>
      <c r="B966"/>
      <c r="C966"/>
      <c r="D966"/>
      <c r="E966"/>
      <c r="F966"/>
      <c r="G966"/>
      <c r="AB966" s="68"/>
      <c r="BJ966"/>
      <c r="BK966"/>
      <c r="BL966"/>
      <c r="BM966"/>
      <c r="BN966"/>
      <c r="BO966"/>
      <c r="BP966"/>
      <c r="BQ966"/>
      <c r="BR966"/>
      <c r="BS966"/>
      <c r="BT966"/>
      <c r="BU966"/>
      <c r="BV966"/>
      <c r="BW966"/>
      <c r="BX966"/>
      <c r="BY966"/>
      <c r="BZ966"/>
      <c r="CA966"/>
      <c r="CB966"/>
      <c r="CC966"/>
      <c r="CD966"/>
      <c r="CE966"/>
      <c r="CF966"/>
    </row>
    <row r="967" spans="1:84" ht="12.75" customHeight="1">
      <c r="A967"/>
      <c r="B967"/>
      <c r="C967"/>
      <c r="D967"/>
      <c r="E967"/>
      <c r="F967"/>
      <c r="G967"/>
      <c r="AB967" s="68"/>
      <c r="BJ967"/>
      <c r="BK967"/>
      <c r="BL967"/>
      <c r="BM967"/>
      <c r="BN967"/>
      <c r="BO967"/>
      <c r="BP967"/>
      <c r="BQ967"/>
      <c r="BR967"/>
      <c r="BS967"/>
      <c r="BT967"/>
      <c r="BU967"/>
      <c r="BV967"/>
      <c r="BW967"/>
      <c r="BX967"/>
      <c r="BY967"/>
      <c r="BZ967"/>
      <c r="CA967"/>
      <c r="CB967"/>
      <c r="CC967"/>
      <c r="CD967"/>
      <c r="CE967"/>
      <c r="CF967"/>
    </row>
    <row r="968" spans="1:84" ht="12.75" customHeight="1">
      <c r="A968"/>
      <c r="B968"/>
      <c r="C968"/>
      <c r="D968"/>
      <c r="E968"/>
      <c r="F968"/>
      <c r="G968"/>
      <c r="AB968" s="68"/>
      <c r="BJ968"/>
      <c r="BK968"/>
      <c r="BL968"/>
      <c r="BM968"/>
      <c r="BN968"/>
      <c r="BO968"/>
      <c r="BP968"/>
      <c r="BQ968"/>
      <c r="BR968"/>
      <c r="BS968"/>
      <c r="BT968"/>
      <c r="BU968"/>
      <c r="BV968"/>
      <c r="BW968"/>
      <c r="BX968"/>
      <c r="BY968"/>
      <c r="BZ968"/>
      <c r="CA968"/>
      <c r="CB968"/>
      <c r="CC968"/>
      <c r="CD968"/>
      <c r="CE968"/>
      <c r="CF968"/>
    </row>
    <row r="969" spans="1:84" ht="12.75" customHeight="1">
      <c r="A969"/>
      <c r="B969"/>
      <c r="C969"/>
      <c r="D969"/>
      <c r="E969"/>
      <c r="F969"/>
      <c r="G969"/>
      <c r="AB969" s="68"/>
      <c r="BJ969"/>
      <c r="BK969"/>
      <c r="BL969"/>
      <c r="BM969"/>
      <c r="BN969"/>
      <c r="BO969"/>
      <c r="BP969"/>
      <c r="BQ969"/>
      <c r="BR969"/>
      <c r="BS969"/>
      <c r="BT969"/>
      <c r="BU969"/>
      <c r="BV969"/>
      <c r="BW969"/>
      <c r="BX969"/>
      <c r="BY969"/>
      <c r="BZ969"/>
      <c r="CA969"/>
      <c r="CB969"/>
      <c r="CC969"/>
      <c r="CD969"/>
      <c r="CE969"/>
      <c r="CF969"/>
    </row>
    <row r="970" spans="1:84" ht="12.75" customHeight="1">
      <c r="A970"/>
      <c r="B970"/>
      <c r="C970"/>
      <c r="D970"/>
      <c r="E970"/>
      <c r="F970"/>
      <c r="G970"/>
      <c r="AB970" s="68"/>
      <c r="BJ970"/>
      <c r="BK970"/>
      <c r="BL970"/>
      <c r="BM970"/>
      <c r="BN970"/>
      <c r="BO970"/>
      <c r="BP970"/>
      <c r="BQ970"/>
      <c r="BR970"/>
      <c r="BS970"/>
      <c r="BT970"/>
      <c r="BU970"/>
      <c r="BV970"/>
      <c r="BW970"/>
      <c r="BX970"/>
      <c r="BY970"/>
      <c r="BZ970"/>
      <c r="CA970"/>
      <c r="CB970"/>
      <c r="CC970"/>
      <c r="CD970"/>
      <c r="CE970"/>
      <c r="CF970"/>
    </row>
    <row r="971" spans="1:84" ht="12.75" customHeight="1">
      <c r="A971"/>
      <c r="B971"/>
      <c r="C971"/>
      <c r="D971"/>
      <c r="E971"/>
      <c r="F971"/>
      <c r="G971"/>
      <c r="AB971" s="68"/>
      <c r="BJ971"/>
      <c r="BK971"/>
      <c r="BL971"/>
      <c r="BM971"/>
      <c r="BN971"/>
      <c r="BO971"/>
      <c r="BP971"/>
      <c r="BQ971"/>
      <c r="BR971"/>
      <c r="BS971"/>
      <c r="BT971"/>
      <c r="BU971"/>
      <c r="BV971"/>
      <c r="BW971"/>
      <c r="BX971"/>
      <c r="BY971"/>
      <c r="BZ971"/>
      <c r="CA971"/>
      <c r="CB971"/>
      <c r="CC971"/>
      <c r="CD971"/>
      <c r="CE971"/>
      <c r="CF971"/>
    </row>
    <row r="972" spans="1:84" ht="12.75" customHeight="1">
      <c r="A972"/>
      <c r="B972"/>
      <c r="C972"/>
      <c r="D972"/>
      <c r="E972"/>
      <c r="F972"/>
      <c r="G972"/>
      <c r="AB972" s="68"/>
      <c r="BJ972"/>
      <c r="BK972"/>
      <c r="BL972"/>
      <c r="BM972"/>
      <c r="BN972"/>
      <c r="BO972"/>
      <c r="BP972"/>
      <c r="BQ972"/>
      <c r="BR972"/>
      <c r="BS972"/>
      <c r="BT972"/>
      <c r="BU972"/>
      <c r="BV972"/>
      <c r="BW972"/>
      <c r="BX972"/>
      <c r="BY972"/>
      <c r="BZ972"/>
      <c r="CA972"/>
      <c r="CB972"/>
      <c r="CC972"/>
      <c r="CD972"/>
      <c r="CE972"/>
      <c r="CF972"/>
    </row>
    <row r="973" spans="1:84" ht="12.75" customHeight="1">
      <c r="A973"/>
      <c r="B973"/>
      <c r="C973"/>
      <c r="D973"/>
      <c r="E973"/>
      <c r="F973"/>
      <c r="G973"/>
      <c r="AB973" s="68"/>
      <c r="BJ973"/>
      <c r="BK973"/>
      <c r="BL973"/>
      <c r="BM973"/>
      <c r="BN973"/>
      <c r="BO973"/>
      <c r="BP973"/>
      <c r="BQ973"/>
      <c r="BR973"/>
      <c r="BS973"/>
      <c r="BT973"/>
      <c r="BU973"/>
      <c r="BV973"/>
      <c r="BW973"/>
      <c r="BX973"/>
      <c r="BY973"/>
      <c r="BZ973"/>
      <c r="CA973"/>
      <c r="CB973"/>
      <c r="CC973"/>
      <c r="CD973"/>
      <c r="CE973"/>
      <c r="CF973"/>
    </row>
    <row r="974" spans="1:84" ht="12.75" customHeight="1">
      <c r="A974"/>
      <c r="B974"/>
      <c r="C974"/>
      <c r="D974"/>
      <c r="E974"/>
      <c r="F974"/>
      <c r="G974"/>
      <c r="AB974" s="68"/>
      <c r="BJ974"/>
      <c r="BK974"/>
      <c r="BL974"/>
      <c r="BM974"/>
      <c r="BN974"/>
      <c r="BO974"/>
      <c r="BP974"/>
      <c r="BQ974"/>
      <c r="BR974"/>
      <c r="BS974"/>
      <c r="BT974"/>
      <c r="BU974"/>
      <c r="BV974"/>
      <c r="BW974"/>
      <c r="BX974"/>
      <c r="BY974"/>
      <c r="BZ974"/>
      <c r="CA974"/>
      <c r="CB974"/>
      <c r="CC974"/>
      <c r="CD974"/>
      <c r="CE974"/>
      <c r="CF974"/>
    </row>
    <row r="975" spans="1:84" ht="12.75" customHeight="1">
      <c r="A975"/>
      <c r="B975"/>
      <c r="C975"/>
      <c r="D975"/>
      <c r="E975"/>
      <c r="F975"/>
      <c r="G975"/>
      <c r="AB975" s="68"/>
      <c r="BJ975"/>
      <c r="BK975"/>
      <c r="BL975"/>
      <c r="BM975"/>
      <c r="BN975"/>
      <c r="BO975"/>
      <c r="BP975"/>
      <c r="BQ975"/>
      <c r="BR975"/>
      <c r="BS975"/>
      <c r="BT975"/>
      <c r="BU975"/>
      <c r="BV975"/>
      <c r="BW975"/>
      <c r="BX975"/>
      <c r="BY975"/>
      <c r="BZ975"/>
      <c r="CA975"/>
      <c r="CB975"/>
      <c r="CC975"/>
      <c r="CD975"/>
      <c r="CE975"/>
      <c r="CF975"/>
    </row>
    <row r="976" spans="1:84" ht="12.75" customHeight="1">
      <c r="A976"/>
      <c r="B976"/>
      <c r="C976"/>
      <c r="D976"/>
      <c r="E976"/>
      <c r="F976"/>
      <c r="G976"/>
      <c r="AB976" s="68"/>
      <c r="BJ976"/>
      <c r="BK976"/>
      <c r="BL976"/>
      <c r="BM976"/>
      <c r="BN976"/>
      <c r="BO976"/>
      <c r="BP976"/>
      <c r="BQ976"/>
      <c r="BR976"/>
      <c r="BS976"/>
      <c r="BT976"/>
      <c r="BU976"/>
      <c r="BV976"/>
      <c r="BW976"/>
      <c r="BX976"/>
      <c r="BY976"/>
      <c r="BZ976"/>
      <c r="CA976"/>
      <c r="CB976"/>
      <c r="CC976"/>
      <c r="CD976"/>
      <c r="CE976"/>
      <c r="CF976"/>
    </row>
    <row r="977" spans="1:84" ht="12.75" customHeight="1">
      <c r="A977"/>
      <c r="B977"/>
      <c r="C977"/>
      <c r="D977"/>
      <c r="E977"/>
      <c r="F977"/>
      <c r="G977"/>
      <c r="AB977" s="68"/>
      <c r="BJ977"/>
      <c r="BK977"/>
      <c r="BL977"/>
      <c r="BM977"/>
      <c r="BN977"/>
      <c r="BO977"/>
      <c r="BP977"/>
      <c r="BQ977"/>
      <c r="BR977"/>
      <c r="BS977"/>
      <c r="BT977"/>
      <c r="BU977"/>
      <c r="BV977"/>
      <c r="BW977"/>
      <c r="BX977"/>
      <c r="BY977"/>
      <c r="BZ977"/>
      <c r="CA977"/>
      <c r="CB977"/>
      <c r="CC977"/>
      <c r="CD977"/>
      <c r="CE977"/>
      <c r="CF977"/>
    </row>
    <row r="978" spans="1:84" ht="12.75" customHeight="1">
      <c r="A978"/>
      <c r="B978"/>
      <c r="C978"/>
      <c r="D978"/>
      <c r="E978"/>
      <c r="F978"/>
      <c r="G978"/>
      <c r="AB978" s="68"/>
      <c r="BJ978"/>
      <c r="BK978"/>
      <c r="BL978"/>
      <c r="BM978"/>
      <c r="BN978"/>
      <c r="BO978"/>
      <c r="BP978"/>
      <c r="BQ978"/>
      <c r="BR978"/>
      <c r="BS978"/>
      <c r="BT978"/>
      <c r="BU978"/>
      <c r="BV978"/>
      <c r="BW978"/>
      <c r="BX978"/>
      <c r="BY978"/>
      <c r="BZ978"/>
      <c r="CA978"/>
      <c r="CB978"/>
      <c r="CC978"/>
      <c r="CD978"/>
      <c r="CE978"/>
      <c r="CF978"/>
    </row>
    <row r="979" spans="1:84" ht="12.75" customHeight="1">
      <c r="A979"/>
      <c r="B979"/>
      <c r="C979"/>
      <c r="D979"/>
      <c r="E979"/>
      <c r="F979"/>
      <c r="G979"/>
      <c r="AB979" s="68"/>
      <c r="BJ979"/>
      <c r="BK979"/>
      <c r="BL979"/>
      <c r="BM979"/>
      <c r="BN979"/>
      <c r="BO979"/>
      <c r="BP979"/>
      <c r="BQ979"/>
      <c r="BR979"/>
      <c r="BS979"/>
      <c r="BT979"/>
      <c r="BU979"/>
      <c r="BV979"/>
      <c r="BW979"/>
      <c r="BX979"/>
      <c r="BY979"/>
      <c r="BZ979"/>
      <c r="CA979"/>
      <c r="CB979"/>
      <c r="CC979"/>
      <c r="CD979"/>
      <c r="CE979"/>
      <c r="CF979"/>
    </row>
    <row r="980" spans="1:84" ht="12.75" customHeight="1">
      <c r="A980"/>
      <c r="B980"/>
      <c r="C980"/>
      <c r="D980"/>
      <c r="E980"/>
      <c r="F980"/>
      <c r="G980"/>
      <c r="AB980" s="68"/>
      <c r="BJ980"/>
      <c r="BK980"/>
      <c r="BL980"/>
      <c r="BM980"/>
      <c r="BN980"/>
      <c r="BO980"/>
      <c r="BP980"/>
      <c r="BQ980"/>
      <c r="BR980"/>
      <c r="BS980"/>
      <c r="BT980"/>
      <c r="BU980"/>
      <c r="BV980"/>
      <c r="BW980"/>
      <c r="BX980"/>
      <c r="BY980"/>
      <c r="BZ980"/>
      <c r="CA980"/>
      <c r="CB980"/>
      <c r="CC980"/>
      <c r="CD980"/>
      <c r="CE980"/>
      <c r="CF980"/>
    </row>
    <row r="981" spans="1:84" ht="12.75" customHeight="1">
      <c r="A981"/>
      <c r="B981"/>
      <c r="C981"/>
      <c r="D981"/>
      <c r="E981"/>
      <c r="F981"/>
      <c r="G981"/>
      <c r="AB981" s="68"/>
      <c r="BJ981"/>
      <c r="BK981"/>
      <c r="BL981"/>
      <c r="BM981"/>
      <c r="BN981"/>
      <c r="BO981"/>
      <c r="BP981"/>
      <c r="BQ981"/>
      <c r="BR981"/>
      <c r="BS981"/>
      <c r="BT981"/>
      <c r="BU981"/>
      <c r="BV981"/>
      <c r="BW981"/>
      <c r="BX981"/>
      <c r="BY981"/>
      <c r="BZ981"/>
      <c r="CA981"/>
      <c r="CB981"/>
      <c r="CC981"/>
      <c r="CD981"/>
      <c r="CE981"/>
      <c r="CF981"/>
    </row>
    <row r="982" spans="1:84" ht="12.75" customHeight="1">
      <c r="A982"/>
      <c r="B982"/>
      <c r="C982"/>
      <c r="D982"/>
      <c r="E982"/>
      <c r="F982"/>
      <c r="G982"/>
      <c r="AB982" s="68"/>
      <c r="BJ982"/>
      <c r="BK982"/>
      <c r="BL982"/>
      <c r="BM982"/>
      <c r="BN982"/>
      <c r="BO982"/>
      <c r="BP982"/>
      <c r="BQ982"/>
      <c r="BR982"/>
      <c r="BS982"/>
      <c r="BT982"/>
      <c r="BU982"/>
      <c r="BV982"/>
      <c r="BW982"/>
      <c r="BX982"/>
      <c r="BY982"/>
      <c r="BZ982"/>
      <c r="CA982"/>
      <c r="CB982"/>
      <c r="CC982"/>
      <c r="CD982"/>
      <c r="CE982"/>
      <c r="CF982"/>
    </row>
    <row r="983" spans="1:84" ht="12.75" customHeight="1">
      <c r="A983"/>
      <c r="B983"/>
      <c r="C983"/>
      <c r="D983"/>
      <c r="E983"/>
      <c r="F983"/>
      <c r="G983"/>
      <c r="AB983" s="68"/>
      <c r="BJ983"/>
      <c r="BK983"/>
      <c r="BL983"/>
      <c r="BM983"/>
      <c r="BN983"/>
      <c r="BO983"/>
      <c r="BP983"/>
      <c r="BQ983"/>
      <c r="BR983"/>
      <c r="BS983"/>
      <c r="BT983"/>
      <c r="BU983"/>
      <c r="BV983"/>
      <c r="BW983"/>
      <c r="BX983"/>
      <c r="BY983"/>
      <c r="BZ983"/>
      <c r="CA983"/>
      <c r="CB983"/>
      <c r="CC983"/>
      <c r="CD983"/>
      <c r="CE983"/>
      <c r="CF983"/>
    </row>
    <row r="984" spans="1:84" ht="12.75" customHeight="1">
      <c r="A984"/>
      <c r="B984"/>
      <c r="C984"/>
      <c r="D984"/>
      <c r="E984"/>
      <c r="F984"/>
      <c r="G984"/>
      <c r="AB984" s="68"/>
      <c r="BJ984"/>
      <c r="BK984"/>
      <c r="BL984"/>
      <c r="BM984"/>
      <c r="BN984"/>
      <c r="BO984"/>
      <c r="BP984"/>
      <c r="BQ984"/>
      <c r="BR984"/>
      <c r="BS984"/>
      <c r="BT984"/>
      <c r="BU984"/>
      <c r="BV984"/>
      <c r="BW984"/>
      <c r="BX984"/>
      <c r="BY984"/>
      <c r="BZ984"/>
      <c r="CA984"/>
      <c r="CB984"/>
      <c r="CC984"/>
      <c r="CD984"/>
      <c r="CE984"/>
      <c r="CF984"/>
    </row>
    <row r="985" spans="1:84" ht="12.75" customHeight="1">
      <c r="A985"/>
      <c r="B985"/>
      <c r="C985"/>
      <c r="D985"/>
      <c r="E985"/>
      <c r="F985"/>
      <c r="G985"/>
      <c r="AB985" s="68"/>
      <c r="BJ985"/>
      <c r="BK985"/>
      <c r="BL985"/>
      <c r="BM985"/>
      <c r="BN985"/>
      <c r="BO985"/>
      <c r="BP985"/>
      <c r="BQ985"/>
      <c r="BR985"/>
      <c r="BS985"/>
      <c r="BT985"/>
      <c r="BU985"/>
      <c r="BV985"/>
      <c r="BW985"/>
      <c r="BX985"/>
      <c r="BY985"/>
      <c r="BZ985"/>
      <c r="CA985"/>
      <c r="CB985"/>
      <c r="CC985"/>
      <c r="CD985"/>
      <c r="CE985"/>
      <c r="CF985"/>
    </row>
    <row r="986" spans="1:84" ht="12.75" customHeight="1">
      <c r="A986"/>
      <c r="B986"/>
      <c r="C986"/>
      <c r="D986"/>
      <c r="E986"/>
      <c r="F986"/>
      <c r="G986"/>
      <c r="AB986" s="68"/>
      <c r="BJ986"/>
      <c r="BK986"/>
      <c r="BL986"/>
      <c r="BM986"/>
      <c r="BN986"/>
      <c r="BO986"/>
      <c r="BP986"/>
      <c r="BQ986"/>
      <c r="BR986"/>
      <c r="BS986"/>
      <c r="BT986"/>
      <c r="BU986"/>
      <c r="BV986"/>
      <c r="BW986"/>
      <c r="BX986"/>
      <c r="BY986"/>
      <c r="BZ986"/>
      <c r="CA986"/>
      <c r="CB986"/>
      <c r="CC986"/>
      <c r="CD986"/>
      <c r="CE986"/>
      <c r="CF986"/>
    </row>
    <row r="987" spans="1:84" ht="12.75" customHeight="1">
      <c r="A987"/>
      <c r="B987"/>
      <c r="C987"/>
      <c r="D987"/>
      <c r="E987"/>
      <c r="F987"/>
      <c r="G987"/>
      <c r="AB987" s="68"/>
      <c r="BJ987"/>
      <c r="BK987"/>
      <c r="BL987"/>
      <c r="BM987"/>
      <c r="BN987"/>
      <c r="BO987"/>
      <c r="BP987"/>
      <c r="BQ987"/>
      <c r="BR987"/>
      <c r="BS987"/>
      <c r="BT987"/>
      <c r="BU987"/>
      <c r="BV987"/>
      <c r="BW987"/>
      <c r="BX987"/>
      <c r="BY987"/>
      <c r="BZ987"/>
      <c r="CA987"/>
      <c r="CB987"/>
      <c r="CC987"/>
      <c r="CD987"/>
      <c r="CE987"/>
      <c r="CF987"/>
    </row>
    <row r="988" spans="1:84" ht="12.75" customHeight="1">
      <c r="A988"/>
      <c r="B988"/>
      <c r="C988"/>
      <c r="D988"/>
      <c r="E988"/>
      <c r="F988"/>
      <c r="G988"/>
      <c r="AB988" s="68"/>
      <c r="BJ988"/>
      <c r="BK988"/>
      <c r="BL988"/>
      <c r="BM988"/>
      <c r="BN988"/>
      <c r="BO988"/>
      <c r="BP988"/>
      <c r="BQ988"/>
      <c r="BR988"/>
      <c r="BS988"/>
      <c r="BT988"/>
      <c r="BU988"/>
      <c r="BV988"/>
      <c r="BW988"/>
      <c r="BX988"/>
      <c r="BY988"/>
      <c r="BZ988"/>
      <c r="CA988"/>
      <c r="CB988"/>
      <c r="CC988"/>
      <c r="CD988"/>
      <c r="CE988"/>
      <c r="CF988"/>
    </row>
    <row r="989" spans="1:84" ht="12.75" customHeight="1">
      <c r="A989"/>
      <c r="B989"/>
      <c r="C989"/>
      <c r="D989"/>
      <c r="E989"/>
      <c r="F989"/>
      <c r="G989"/>
      <c r="AB989" s="68"/>
      <c r="BJ989"/>
      <c r="BK989"/>
      <c r="BL989"/>
      <c r="BM989"/>
      <c r="BN989"/>
      <c r="BO989"/>
      <c r="BP989"/>
      <c r="BQ989"/>
      <c r="BR989"/>
      <c r="BS989"/>
      <c r="BT989"/>
      <c r="BU989"/>
      <c r="BV989"/>
      <c r="BW989"/>
      <c r="BX989"/>
      <c r="BY989"/>
      <c r="BZ989"/>
      <c r="CA989"/>
      <c r="CB989"/>
      <c r="CC989"/>
      <c r="CD989"/>
      <c r="CE989"/>
      <c r="CF989"/>
    </row>
    <row r="990" spans="1:84" ht="12.75" customHeight="1">
      <c r="A990"/>
      <c r="B990"/>
      <c r="C990"/>
      <c r="D990"/>
      <c r="E990"/>
      <c r="F990"/>
      <c r="G990"/>
      <c r="AB990" s="68"/>
      <c r="BJ990"/>
      <c r="BK990"/>
      <c r="BL990"/>
      <c r="BM990"/>
      <c r="BN990"/>
      <c r="BO990"/>
      <c r="BP990"/>
      <c r="BQ990"/>
      <c r="BR990"/>
      <c r="BS990"/>
      <c r="BT990"/>
      <c r="BU990"/>
      <c r="BV990"/>
      <c r="BW990"/>
      <c r="BX990"/>
      <c r="BY990"/>
      <c r="BZ990"/>
      <c r="CA990"/>
      <c r="CB990"/>
      <c r="CC990"/>
      <c r="CD990"/>
      <c r="CE990"/>
      <c r="CF990"/>
    </row>
    <row r="991" spans="1:84" ht="12.75" customHeight="1">
      <c r="A991"/>
      <c r="B991"/>
      <c r="C991"/>
      <c r="D991"/>
      <c r="E991"/>
      <c r="F991"/>
      <c r="G991"/>
      <c r="AB991" s="68"/>
      <c r="BJ991"/>
      <c r="BK991"/>
      <c r="BL991"/>
      <c r="BM991"/>
      <c r="BN991"/>
      <c r="BO991"/>
      <c r="BP991"/>
      <c r="BQ991"/>
      <c r="BR991"/>
      <c r="BS991"/>
      <c r="BT991"/>
      <c r="BU991"/>
      <c r="BV991"/>
      <c r="BW991"/>
      <c r="BX991"/>
      <c r="BY991"/>
      <c r="BZ991"/>
      <c r="CA991"/>
      <c r="CB991"/>
      <c r="CC991"/>
      <c r="CD991"/>
      <c r="CE991"/>
      <c r="CF991"/>
    </row>
    <row r="992" spans="1:84" ht="12.75" customHeight="1">
      <c r="A992"/>
      <c r="B992"/>
      <c r="C992"/>
      <c r="D992"/>
      <c r="E992"/>
      <c r="F992"/>
      <c r="G992"/>
      <c r="AB992" s="68"/>
      <c r="BJ992"/>
      <c r="BK992"/>
      <c r="BL992"/>
      <c r="BM992"/>
      <c r="BN992"/>
      <c r="BO992"/>
      <c r="BP992"/>
      <c r="BQ992"/>
      <c r="BR992"/>
      <c r="BS992"/>
      <c r="BT992"/>
      <c r="BU992"/>
      <c r="BV992"/>
      <c r="BW992"/>
      <c r="BX992"/>
      <c r="BY992"/>
      <c r="BZ992"/>
      <c r="CA992"/>
      <c r="CB992"/>
      <c r="CC992"/>
      <c r="CD992"/>
      <c r="CE992"/>
      <c r="CF992"/>
    </row>
    <row r="993" spans="1:84" ht="12.75" customHeight="1">
      <c r="A993"/>
      <c r="B993"/>
      <c r="C993"/>
      <c r="D993"/>
      <c r="E993"/>
      <c r="F993"/>
      <c r="G993"/>
      <c r="AB993" s="68"/>
      <c r="BJ993"/>
      <c r="BK993"/>
      <c r="BL993"/>
      <c r="BM993"/>
      <c r="BN993"/>
      <c r="BO993"/>
      <c r="BP993"/>
      <c r="BQ993"/>
      <c r="BR993"/>
      <c r="BS993"/>
      <c r="BT993"/>
      <c r="BU993"/>
      <c r="BV993"/>
      <c r="BW993"/>
      <c r="BX993"/>
      <c r="BY993"/>
      <c r="BZ993"/>
      <c r="CA993"/>
      <c r="CB993"/>
      <c r="CC993"/>
      <c r="CD993"/>
      <c r="CE993"/>
      <c r="CF993"/>
    </row>
    <row r="994" spans="1:84" ht="12.75" customHeight="1">
      <c r="A994"/>
      <c r="B994"/>
      <c r="C994"/>
      <c r="D994"/>
      <c r="E994"/>
      <c r="F994"/>
      <c r="G994"/>
      <c r="AB994" s="68"/>
      <c r="BJ994"/>
      <c r="BK994"/>
      <c r="BL994"/>
      <c r="BM994"/>
      <c r="BN994"/>
      <c r="BO994"/>
      <c r="BP994"/>
      <c r="BQ994"/>
      <c r="BR994"/>
      <c r="BS994"/>
      <c r="BT994"/>
      <c r="BU994"/>
      <c r="BV994"/>
      <c r="BW994"/>
      <c r="BX994"/>
      <c r="BY994"/>
      <c r="BZ994"/>
      <c r="CA994"/>
      <c r="CB994"/>
      <c r="CC994"/>
      <c r="CD994"/>
      <c r="CE994"/>
      <c r="CF994"/>
    </row>
    <row r="995" spans="1:84" ht="12.75" customHeight="1">
      <c r="A995"/>
      <c r="B995"/>
      <c r="C995"/>
      <c r="D995"/>
      <c r="E995"/>
      <c r="F995"/>
      <c r="G995"/>
      <c r="AB995" s="68"/>
      <c r="BJ995"/>
      <c r="BK995"/>
      <c r="BL995"/>
      <c r="BM995"/>
      <c r="BN995"/>
      <c r="BO995"/>
      <c r="BP995"/>
      <c r="BQ995"/>
      <c r="BR995"/>
      <c r="BS995"/>
      <c r="BT995"/>
      <c r="BU995"/>
      <c r="BV995"/>
      <c r="BW995"/>
      <c r="BX995"/>
      <c r="BY995"/>
      <c r="BZ995"/>
      <c r="CA995"/>
      <c r="CB995"/>
      <c r="CC995"/>
      <c r="CD995"/>
      <c r="CE995"/>
      <c r="CF995"/>
    </row>
    <row r="996" spans="1:84" ht="12.75" customHeight="1">
      <c r="A996"/>
      <c r="B996"/>
      <c r="C996"/>
      <c r="D996"/>
      <c r="E996"/>
      <c r="F996"/>
      <c r="G996"/>
      <c r="AB996" s="68"/>
      <c r="BJ996"/>
      <c r="BK996"/>
      <c r="BL996"/>
      <c r="BM996"/>
      <c r="BN996"/>
      <c r="BO996"/>
      <c r="BP996"/>
      <c r="BQ996"/>
      <c r="BR996"/>
      <c r="BS996"/>
      <c r="BT996"/>
      <c r="BU996"/>
      <c r="BV996"/>
      <c r="BW996"/>
      <c r="BX996"/>
      <c r="BY996"/>
      <c r="BZ996"/>
      <c r="CA996"/>
      <c r="CB996"/>
      <c r="CC996"/>
      <c r="CD996"/>
      <c r="CE996"/>
      <c r="CF996"/>
    </row>
    <row r="997" spans="1:84" ht="12.75" customHeight="1">
      <c r="A997"/>
      <c r="B997"/>
      <c r="C997"/>
      <c r="D997"/>
      <c r="E997"/>
      <c r="F997"/>
      <c r="G997"/>
      <c r="AB997" s="68"/>
      <c r="BJ997"/>
      <c r="BK997"/>
      <c r="BL997"/>
      <c r="BM997"/>
      <c r="BN997"/>
      <c r="BO997"/>
      <c r="BP997"/>
      <c r="BQ997"/>
      <c r="BR997"/>
      <c r="BS997"/>
      <c r="BT997"/>
      <c r="BU997"/>
      <c r="BV997"/>
      <c r="BW997"/>
      <c r="BX997"/>
      <c r="BY997"/>
      <c r="BZ997"/>
      <c r="CA997"/>
      <c r="CB997"/>
      <c r="CC997"/>
      <c r="CD997"/>
      <c r="CE997"/>
      <c r="CF997"/>
    </row>
    <row r="998" spans="1:84" ht="12.75" customHeight="1">
      <c r="A998"/>
      <c r="B998"/>
      <c r="C998"/>
      <c r="D998"/>
      <c r="E998"/>
      <c r="F998"/>
      <c r="G998"/>
      <c r="AB998" s="68"/>
      <c r="BJ998"/>
      <c r="BK998"/>
      <c r="BL998"/>
      <c r="BM998"/>
      <c r="BN998"/>
      <c r="BO998"/>
      <c r="BP998"/>
      <c r="BQ998"/>
      <c r="BR998"/>
      <c r="BS998"/>
      <c r="BT998"/>
      <c r="BU998"/>
      <c r="BV998"/>
      <c r="BW998"/>
      <c r="BX998"/>
      <c r="BY998"/>
      <c r="BZ998"/>
      <c r="CA998"/>
      <c r="CB998"/>
      <c r="CC998"/>
      <c r="CD998"/>
      <c r="CE998"/>
      <c r="CF998"/>
    </row>
    <row r="999" spans="1:84" ht="12.75" customHeight="1">
      <c r="A999"/>
      <c r="B999"/>
      <c r="C999"/>
      <c r="D999"/>
      <c r="E999"/>
      <c r="F999"/>
      <c r="G999"/>
      <c r="AB999" s="68"/>
      <c r="BJ999"/>
      <c r="BK999"/>
      <c r="BL999"/>
      <c r="BM999"/>
      <c r="BN999"/>
      <c r="BO999"/>
      <c r="BP999"/>
      <c r="BQ999"/>
      <c r="BR999"/>
      <c r="BS999"/>
      <c r="BT999"/>
      <c r="BU999"/>
      <c r="BV999"/>
      <c r="BW999"/>
      <c r="BX999"/>
      <c r="BY999"/>
      <c r="BZ999"/>
      <c r="CA999"/>
      <c r="CB999"/>
      <c r="CC999"/>
      <c r="CD999"/>
      <c r="CE999"/>
      <c r="CF999"/>
    </row>
    <row r="1000" spans="1:84" ht="12.75" customHeight="1">
      <c r="A1000"/>
      <c r="B1000"/>
      <c r="C1000"/>
      <c r="D1000"/>
      <c r="E1000"/>
      <c r="F1000"/>
      <c r="G1000"/>
      <c r="AB1000" s="68"/>
      <c r="BJ1000"/>
      <c r="BK1000"/>
      <c r="BL1000"/>
      <c r="BM1000"/>
      <c r="BN1000"/>
      <c r="BO1000"/>
      <c r="BP1000"/>
      <c r="BQ1000"/>
      <c r="BR1000"/>
      <c r="BS1000"/>
      <c r="BT1000"/>
      <c r="BU1000"/>
      <c r="BV1000"/>
      <c r="BW1000"/>
      <c r="BX1000"/>
      <c r="BY1000"/>
      <c r="BZ1000"/>
      <c r="CA1000"/>
      <c r="CB1000"/>
      <c r="CC1000"/>
      <c r="CD1000"/>
      <c r="CE1000"/>
      <c r="CF1000"/>
    </row>
    <row r="1001" spans="1:84" ht="12.75" customHeight="1">
      <c r="A1001"/>
      <c r="B1001"/>
      <c r="C1001"/>
      <c r="D1001"/>
      <c r="E1001"/>
      <c r="F1001"/>
      <c r="G1001"/>
      <c r="AB1001" s="68"/>
      <c r="BJ1001"/>
      <c r="BK1001"/>
      <c r="BL1001"/>
      <c r="BM1001"/>
      <c r="BN1001"/>
      <c r="BO1001"/>
      <c r="BP1001"/>
      <c r="BQ1001"/>
      <c r="BR1001"/>
      <c r="BS1001"/>
      <c r="BT1001"/>
      <c r="BU1001"/>
      <c r="BV1001"/>
      <c r="BW1001"/>
      <c r="BX1001"/>
      <c r="BY1001"/>
      <c r="BZ1001"/>
      <c r="CA1001"/>
      <c r="CB1001"/>
      <c r="CC1001"/>
      <c r="CD1001"/>
      <c r="CE1001"/>
      <c r="CF1001"/>
    </row>
    <row r="1002" spans="1:84" ht="12.75" customHeight="1">
      <c r="A1002"/>
      <c r="B1002"/>
      <c r="C1002"/>
      <c r="D1002"/>
      <c r="E1002"/>
      <c r="F1002"/>
      <c r="G1002"/>
      <c r="AB1002" s="68"/>
      <c r="BJ1002"/>
      <c r="BK1002"/>
      <c r="BL1002"/>
      <c r="BM1002"/>
      <c r="BN1002"/>
      <c r="BO1002"/>
      <c r="BP1002"/>
      <c r="BQ1002"/>
      <c r="BR1002"/>
      <c r="BS1002"/>
      <c r="BT1002"/>
      <c r="BU1002"/>
      <c r="BV1002"/>
      <c r="BW1002"/>
      <c r="BX1002"/>
      <c r="BY1002"/>
      <c r="BZ1002"/>
      <c r="CA1002"/>
      <c r="CB1002"/>
      <c r="CC1002"/>
      <c r="CD1002"/>
      <c r="CE1002"/>
      <c r="CF1002"/>
    </row>
    <row r="1003" spans="1:84" ht="12.75" customHeight="1">
      <c r="A1003"/>
      <c r="B1003"/>
      <c r="C1003"/>
      <c r="D1003"/>
      <c r="E1003"/>
      <c r="F1003"/>
      <c r="G1003"/>
      <c r="AB1003" s="68"/>
      <c r="BJ1003"/>
      <c r="BK1003"/>
      <c r="BL1003"/>
      <c r="BM1003"/>
      <c r="BN1003"/>
      <c r="BO1003"/>
      <c r="BP1003"/>
      <c r="BQ1003"/>
      <c r="BR1003"/>
      <c r="BS1003"/>
      <c r="BT1003"/>
      <c r="BU1003"/>
      <c r="BV1003"/>
      <c r="BW1003"/>
      <c r="BX1003"/>
      <c r="BY1003"/>
      <c r="BZ1003"/>
      <c r="CA1003"/>
      <c r="CB1003"/>
      <c r="CC1003"/>
      <c r="CD1003"/>
      <c r="CE1003"/>
      <c r="CF1003"/>
    </row>
    <row r="1004" spans="1:84" ht="12.75" customHeight="1">
      <c r="A1004"/>
      <c r="B1004"/>
      <c r="C1004"/>
      <c r="D1004"/>
      <c r="E1004"/>
      <c r="F1004"/>
      <c r="G1004"/>
      <c r="AB1004" s="68"/>
      <c r="BJ1004"/>
      <c r="BK1004"/>
      <c r="BL1004"/>
      <c r="BM1004"/>
      <c r="BN1004"/>
      <c r="BO1004"/>
      <c r="BP1004"/>
      <c r="BQ1004"/>
      <c r="BR1004"/>
      <c r="BS1004"/>
      <c r="BT1004"/>
      <c r="BU1004"/>
      <c r="BV1004"/>
      <c r="BW1004"/>
      <c r="BX1004"/>
      <c r="BY1004"/>
      <c r="BZ1004"/>
      <c r="CA1004"/>
      <c r="CB1004"/>
      <c r="CC1004"/>
      <c r="CD1004"/>
      <c r="CE1004"/>
      <c r="CF1004"/>
    </row>
    <row r="1005" spans="1:84" ht="12.75" customHeight="1">
      <c r="A1005"/>
      <c r="B1005"/>
      <c r="C1005"/>
      <c r="D1005"/>
      <c r="E1005"/>
      <c r="F1005"/>
      <c r="G1005"/>
      <c r="AB1005" s="68"/>
      <c r="BJ1005"/>
      <c r="BK1005"/>
      <c r="BL1005"/>
      <c r="BM1005"/>
      <c r="BN1005"/>
      <c r="BO1005"/>
      <c r="BP1005"/>
      <c r="BQ1005"/>
      <c r="BR1005"/>
      <c r="BS1005"/>
      <c r="BT1005"/>
      <c r="BU1005"/>
      <c r="BV1005"/>
      <c r="BW1005"/>
      <c r="BX1005"/>
      <c r="BY1005"/>
      <c r="BZ1005"/>
      <c r="CA1005"/>
      <c r="CB1005"/>
      <c r="CC1005"/>
      <c r="CD1005"/>
      <c r="CE1005"/>
      <c r="CF1005"/>
    </row>
    <row r="1006" spans="1:84" ht="12.75" customHeight="1">
      <c r="A1006"/>
      <c r="B1006"/>
      <c r="C1006"/>
      <c r="D1006"/>
      <c r="E1006"/>
      <c r="F1006"/>
      <c r="G1006"/>
      <c r="AB1006" s="68"/>
      <c r="BJ1006"/>
      <c r="BK1006"/>
      <c r="BL1006"/>
      <c r="BM1006"/>
      <c r="BN1006"/>
      <c r="BO1006"/>
      <c r="BP1006"/>
      <c r="BQ1006"/>
      <c r="BR1006"/>
      <c r="BS1006"/>
      <c r="BT1006"/>
      <c r="BU1006"/>
      <c r="BV1006"/>
      <c r="BW1006"/>
      <c r="BX1006"/>
      <c r="BY1006"/>
      <c r="BZ1006"/>
      <c r="CA1006"/>
      <c r="CB1006"/>
      <c r="CC1006"/>
      <c r="CD1006"/>
      <c r="CE1006"/>
      <c r="CF1006"/>
    </row>
    <row r="1007" spans="1:84" ht="12.75" customHeight="1">
      <c r="A1007"/>
      <c r="B1007"/>
      <c r="C1007"/>
      <c r="D1007"/>
      <c r="E1007"/>
      <c r="F1007"/>
      <c r="G1007"/>
      <c r="AB1007" s="68"/>
      <c r="BJ1007"/>
      <c r="BK1007"/>
      <c r="BL1007"/>
      <c r="BM1007"/>
      <c r="BN1007"/>
      <c r="BO1007"/>
      <c r="BP1007"/>
      <c r="BQ1007"/>
      <c r="BR1007"/>
      <c r="BS1007"/>
      <c r="BT1007"/>
      <c r="BU1007"/>
      <c r="BV1007"/>
      <c r="BW1007"/>
      <c r="BX1007"/>
      <c r="BY1007"/>
      <c r="BZ1007"/>
      <c r="CA1007"/>
      <c r="CB1007"/>
      <c r="CC1007"/>
      <c r="CD1007"/>
      <c r="CE1007"/>
      <c r="CF1007"/>
    </row>
    <row r="1008" spans="1:84" ht="12.75" customHeight="1">
      <c r="A1008"/>
      <c r="B1008"/>
      <c r="C1008"/>
      <c r="D1008"/>
      <c r="E1008"/>
      <c r="F1008"/>
      <c r="G1008"/>
      <c r="AB1008" s="68"/>
      <c r="BJ1008"/>
      <c r="BK1008"/>
      <c r="BL1008"/>
      <c r="BM1008"/>
      <c r="BN1008"/>
      <c r="BO1008"/>
      <c r="BP1008"/>
      <c r="BQ1008"/>
      <c r="BR1008"/>
      <c r="BS1008"/>
      <c r="BT1008"/>
      <c r="BU1008"/>
      <c r="BV1008"/>
      <c r="BW1008"/>
      <c r="BX1008"/>
      <c r="BY1008"/>
      <c r="BZ1008"/>
      <c r="CA1008"/>
      <c r="CB1008"/>
      <c r="CC1008"/>
      <c r="CD1008"/>
      <c r="CE1008"/>
      <c r="CF1008"/>
    </row>
    <row r="1009" spans="1:84" ht="12.75" customHeight="1">
      <c r="A1009"/>
      <c r="B1009"/>
      <c r="C1009"/>
      <c r="D1009"/>
      <c r="E1009"/>
      <c r="F1009"/>
      <c r="G1009"/>
      <c r="AB1009" s="68"/>
      <c r="BJ1009"/>
      <c r="BK1009"/>
      <c r="BL1009"/>
      <c r="BM1009"/>
      <c r="BN1009"/>
      <c r="BO1009"/>
      <c r="BP1009"/>
      <c r="BQ1009"/>
      <c r="BR1009"/>
      <c r="BS1009"/>
      <c r="BT1009"/>
      <c r="BU1009"/>
      <c r="BV1009"/>
      <c r="BW1009"/>
      <c r="BX1009"/>
      <c r="BY1009"/>
      <c r="BZ1009"/>
      <c r="CA1009"/>
      <c r="CB1009"/>
      <c r="CC1009"/>
      <c r="CD1009"/>
      <c r="CE1009"/>
      <c r="CF1009"/>
    </row>
    <row r="1010" spans="1:84" ht="12.75" customHeight="1">
      <c r="AB1010" s="68"/>
    </row>
    <row r="1011" spans="1:84" ht="12.75" customHeight="1">
      <c r="AB1011" s="68"/>
    </row>
    <row r="1012" spans="1:84" ht="12.75" customHeight="1">
      <c r="AB1012" s="68"/>
    </row>
    <row r="1013" spans="1:84" ht="12.75" customHeight="1">
      <c r="AB1013" s="68"/>
    </row>
    <row r="1014" spans="1:84" ht="12.75" customHeight="1">
      <c r="AB1014" s="68"/>
    </row>
    <row r="1015" spans="1:84" ht="12.75" customHeight="1">
      <c r="AB1015" s="68"/>
    </row>
    <row r="1016" spans="1:84" ht="12.75" customHeight="1">
      <c r="AB1016" s="68"/>
    </row>
    <row r="1017" spans="1:84" ht="12.75" customHeight="1">
      <c r="AB1017" s="68"/>
    </row>
    <row r="1018" spans="1:84" ht="12.75" customHeight="1">
      <c r="AB1018" s="68"/>
    </row>
    <row r="1019" spans="1:84" ht="12.75" customHeight="1">
      <c r="AB1019" s="68"/>
    </row>
    <row r="1020" spans="1:84" ht="12.75" customHeight="1">
      <c r="AB1020" s="68"/>
    </row>
    <row r="1021" spans="1:84" ht="12.75" customHeight="1">
      <c r="AB1021" s="68"/>
    </row>
    <row r="1022" spans="1:84" ht="12.75" customHeight="1">
      <c r="AB1022" s="68"/>
    </row>
    <row r="1023" spans="1:84" ht="12.75" customHeight="1">
      <c r="AB1023" s="68"/>
    </row>
    <row r="1024" spans="1:84" ht="12.75" customHeight="1">
      <c r="AB1024" s="68"/>
    </row>
    <row r="1025" spans="28:28" ht="12.75" customHeight="1">
      <c r="AB1025" s="68"/>
    </row>
    <row r="1026" spans="28:28" ht="12.75" customHeight="1">
      <c r="AB1026" s="68"/>
    </row>
    <row r="1027" spans="28:28" ht="12.75" customHeight="1">
      <c r="AB1027" s="68"/>
    </row>
    <row r="1028" spans="28:28" ht="12.75" customHeight="1">
      <c r="AB1028" s="68"/>
    </row>
    <row r="1029" spans="28:28" ht="12.75" customHeight="1">
      <c r="AB1029" s="68"/>
    </row>
    <row r="1030" spans="28:28" ht="12.75" customHeight="1">
      <c r="AB1030" s="68"/>
    </row>
  </sheetData>
  <sheetProtection sheet="1" objects="1" scenarios="1" selectLockedCells="1"/>
  <phoneticPr fontId="0" type="noConversion"/>
  <conditionalFormatting sqref="N25:N26 K11:K13 M11:M13 K15:K17 L18 M15:M17 L22:L26">
    <cfRule type="cellIs" dxfId="1" priority="1" stopIfTrue="1" operator="greaterThan">
      <formula>$AE$91</formula>
    </cfRule>
  </conditionalFormatting>
  <conditionalFormatting sqref="AC87">
    <cfRule type="cellIs" dxfId="0" priority="2" stopIfTrue="1" operator="greaterThan">
      <formula>$AC$85</formula>
    </cfRule>
  </conditionalFormatting>
  <dataValidations count="2">
    <dataValidation type="decimal" operator="notEqual" allowBlank="1" showInputMessage="1" showErrorMessage="1" errorTitle="Data value" error="Must be a number" sqref="CD9:CD208 BK9:BK208 BN9:BN208 BS9:BS208 BV9:BV208 CA9:CA208 B9:B208 E9:E208">
      <formula1>-9999999999999990</formula1>
    </dataValidation>
    <dataValidation type="decimal" allowBlank="1" showErrorMessage="1" errorTitle="Confidence level" error="Number, min 0, max 99.9" sqref="AP93">
      <formula1>0</formula1>
      <formula2>99.9</formula2>
    </dataValidation>
  </dataValidations>
  <pageMargins left="0.75" right="0.75" top="1" bottom="1" header="0.5" footer="0.5"/>
  <pageSetup paperSize="9" orientation="portrait" horizontalDpi="300" verticalDpi="3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218</vt:i4>
      </vt:variant>
    </vt:vector>
  </HeadingPairs>
  <TitlesOfParts>
    <vt:vector size="231" baseType="lpstr">
      <vt:lpstr>Intro</vt:lpstr>
      <vt:lpstr>Precision two</vt:lpstr>
      <vt:lpstr>Precision paired</vt:lpstr>
      <vt:lpstr>See r</vt:lpstr>
      <vt:lpstr>Scatterplots</vt:lpstr>
      <vt:lpstr>One correlation</vt:lpstr>
      <vt:lpstr>Two correlations</vt:lpstr>
      <vt:lpstr>One proportion</vt:lpstr>
      <vt:lpstr>Two proportions</vt:lpstr>
      <vt:lpstr>Ind groups comparisons</vt:lpstr>
      <vt:lpstr>Ind groups contrasts</vt:lpstr>
      <vt:lpstr>Ind groups 2 x 2</vt:lpstr>
      <vt:lpstr>Robust two</vt:lpstr>
      <vt:lpstr>alabels</vt:lpstr>
      <vt:lpstr>'Ind groups 2 x 2'!all1data</vt:lpstr>
      <vt:lpstr>'Ind groups comparisons'!all1data</vt:lpstr>
      <vt:lpstr>'Ind groups contrasts'!all1data</vt:lpstr>
      <vt:lpstr>'Ind groups 2 x 2'!all2data</vt:lpstr>
      <vt:lpstr>'Ind groups comparisons'!all2data</vt:lpstr>
      <vt:lpstr>'Ind groups contrasts'!all2data</vt:lpstr>
      <vt:lpstr>'Ind groups 2 x 2'!all3data</vt:lpstr>
      <vt:lpstr>'Ind groups comparisons'!all3data</vt:lpstr>
      <vt:lpstr>'Ind groups contrasts'!all3data</vt:lpstr>
      <vt:lpstr>'Ind groups 2 x 2'!alldata</vt:lpstr>
      <vt:lpstr>'Ind groups comparisons'!alldata</vt:lpstr>
      <vt:lpstr>'Ind groups contrasts'!alldata</vt:lpstr>
      <vt:lpstr>'Precision paired'!alph</vt:lpstr>
      <vt:lpstr>'Precision two'!alph</vt:lpstr>
      <vt:lpstr>ame</vt:lpstr>
      <vt:lpstr>'One correlation'!ancount</vt:lpstr>
      <vt:lpstr>'One proportion'!ancount</vt:lpstr>
      <vt:lpstr>'Two correlations'!ancount</vt:lpstr>
      <vt:lpstr>'Two proportions'!ancount</vt:lpstr>
      <vt:lpstr>'One proportion'!approxz</vt:lpstr>
      <vt:lpstr>'Two proportions'!approxzz</vt:lpstr>
      <vt:lpstr>bme</vt:lpstr>
      <vt:lpstr>bonelabel</vt:lpstr>
      <vt:lpstr>btwolabel</vt:lpstr>
      <vt:lpstr>'Ind groups 2 x 2'!countcapt</vt:lpstr>
      <vt:lpstr>'Ind groups comparisons'!countcapt</vt:lpstr>
      <vt:lpstr>'Ind groups contrasts'!countcapt</vt:lpstr>
      <vt:lpstr>'Ind groups 2 x 2'!current</vt:lpstr>
      <vt:lpstr>'Ind groups comparisons'!current</vt:lpstr>
      <vt:lpstr>'Ind groups contrasts'!current</vt:lpstr>
      <vt:lpstr>'Robust two'!dat11two</vt:lpstr>
      <vt:lpstr>'Robust two'!dat12two</vt:lpstr>
      <vt:lpstr>'Robust two'!dat1two</vt:lpstr>
      <vt:lpstr>'Robust two'!dat21two</vt:lpstr>
      <vt:lpstr>'Robust two'!dat22two</vt:lpstr>
      <vt:lpstr>'Robust two'!dat31two</vt:lpstr>
      <vt:lpstr>'Robust two'!dat32two</vt:lpstr>
      <vt:lpstr>'Robust two'!data1two</vt:lpstr>
      <vt:lpstr>'Robust two'!data2two</vt:lpstr>
      <vt:lpstr>'Robust two'!dispddt</vt:lpstr>
      <vt:lpstr>'One proportion'!disph</vt:lpstr>
      <vt:lpstr>'Two proportions'!dispp</vt:lpstr>
      <vt:lpstr>Scatterplots!dispreg</vt:lpstr>
      <vt:lpstr>Scatterplots!dispzplot</vt:lpstr>
      <vt:lpstr>Scatterplots!dispzzplot</vt:lpstr>
      <vt:lpstr>dod</vt:lpstr>
      <vt:lpstr>'Precision paired'!dpark</vt:lpstr>
      <vt:lpstr>'Precision two'!dpark</vt:lpstr>
      <vt:lpstr>'Robust two'!dptstwo</vt:lpstr>
      <vt:lpstr>fd1alabels</vt:lpstr>
      <vt:lpstr>fd1ba</vt:lpstr>
      <vt:lpstr>fd1bb</vt:lpstr>
      <vt:lpstr>fd1data</vt:lpstr>
      <vt:lpstr>fd1names</vt:lpstr>
      <vt:lpstr>fd2alabels</vt:lpstr>
      <vt:lpstr>fd2ba</vt:lpstr>
      <vt:lpstr>fd2bb</vt:lpstr>
      <vt:lpstr>fd2data</vt:lpstr>
      <vt:lpstr>fd2names</vt:lpstr>
      <vt:lpstr>fd3alabels</vt:lpstr>
      <vt:lpstr>fd3ba</vt:lpstr>
      <vt:lpstr>fd3bb</vt:lpstr>
      <vt:lpstr>fd3data</vt:lpstr>
      <vt:lpstr>fd3names</vt:lpstr>
      <vt:lpstr>fdame</vt:lpstr>
      <vt:lpstr>fdany</vt:lpstr>
      <vt:lpstr>fdbme</vt:lpstr>
      <vt:lpstr>fdnames</vt:lpstr>
      <vt:lpstr>fdnome</vt:lpstr>
      <vt:lpstr>fdpark</vt:lpstr>
      <vt:lpstr>fdtf</vt:lpstr>
      <vt:lpstr>'Robust two'!firstptdt</vt:lpstr>
      <vt:lpstr>Scatterplots!firstptxy</vt:lpstr>
      <vt:lpstr>'See r'!forchange</vt:lpstr>
      <vt:lpstr>'One proportion'!forn</vt:lpstr>
      <vt:lpstr>'Two proportions'!forna</vt:lpstr>
      <vt:lpstr>'Two proportions'!fornb</vt:lpstr>
      <vt:lpstr>'Two correlations'!Forrtwo</vt:lpstr>
      <vt:lpstr>'See r'!forseed</vt:lpstr>
      <vt:lpstr>'One proportion'!forx</vt:lpstr>
      <vt:lpstr>'Two proportions'!forxa</vt:lpstr>
      <vt:lpstr>'Two proportions'!forxb</vt:lpstr>
      <vt:lpstr>'Two proportions'!forxx</vt:lpstr>
      <vt:lpstr>'See r'!forzero</vt:lpstr>
      <vt:lpstr>Scatterplots!forzoom</vt:lpstr>
      <vt:lpstr>'See r'!forzoom</vt:lpstr>
      <vt:lpstr>'Precision paired'!gamm</vt:lpstr>
      <vt:lpstr>'Precision two'!gamm</vt:lpstr>
      <vt:lpstr>'One proportion'!getoneprop</vt:lpstr>
      <vt:lpstr>'Two proportions'!gettwoprop</vt:lpstr>
      <vt:lpstr>'Ind groups 2 x 2'!ig1labels</vt:lpstr>
      <vt:lpstr>'Ind groups comparisons'!ig1labels</vt:lpstr>
      <vt:lpstr>'Ind groups contrasts'!ig1labels</vt:lpstr>
      <vt:lpstr>'Ind groups 2 x 2'!ig1names</vt:lpstr>
      <vt:lpstr>'Ind groups comparisons'!ig1names</vt:lpstr>
      <vt:lpstr>'Ind groups contrasts'!ig1names</vt:lpstr>
      <vt:lpstr>'Ind groups 2 x 2'!ig2labels</vt:lpstr>
      <vt:lpstr>'Ind groups comparisons'!ig2labels</vt:lpstr>
      <vt:lpstr>'Ind groups contrasts'!ig2labels</vt:lpstr>
      <vt:lpstr>'Ind groups 2 x 2'!ig2names</vt:lpstr>
      <vt:lpstr>'Ind groups comparisons'!ig2names</vt:lpstr>
      <vt:lpstr>'Ind groups contrasts'!ig2names</vt:lpstr>
      <vt:lpstr>'Ind groups 2 x 2'!ig3labels</vt:lpstr>
      <vt:lpstr>'Ind groups comparisons'!ig3labels</vt:lpstr>
      <vt:lpstr>'Ind groups contrasts'!ig3labels</vt:lpstr>
      <vt:lpstr>'Ind groups 2 x 2'!ig3names</vt:lpstr>
      <vt:lpstr>'Ind groups comparisons'!ig3names</vt:lpstr>
      <vt:lpstr>'Ind groups contrasts'!ig3names</vt:lpstr>
      <vt:lpstr>'Ind groups comparisons'!iglabels</vt:lpstr>
      <vt:lpstr>'Ind groups contrasts'!iglabels</vt:lpstr>
      <vt:lpstr>'Ind groups 2 x 2'!ignames</vt:lpstr>
      <vt:lpstr>'Ind groups comparisons'!ignames</vt:lpstr>
      <vt:lpstr>'Ind groups contrasts'!ignames</vt:lpstr>
      <vt:lpstr>ignone</vt:lpstr>
      <vt:lpstr>'Ind groups comparisons'!igpark</vt:lpstr>
      <vt:lpstr>'Ind groups contrasts'!igpark</vt:lpstr>
      <vt:lpstr>'Ind groups 2 x 2'!igtf</vt:lpstr>
      <vt:lpstr>igtf</vt:lpstr>
      <vt:lpstr>'Robust two'!labs1two</vt:lpstr>
      <vt:lpstr>'Robust two'!labstwo</vt:lpstr>
      <vt:lpstr>'One proportion'!limitedx</vt:lpstr>
      <vt:lpstr>'Two proportions'!limitedxx</vt:lpstr>
      <vt:lpstr>'Ind groups 2 x 2'!MeanHeapSwitch</vt:lpstr>
      <vt:lpstr>'Ind groups comparisons'!MeanHeapSwitch</vt:lpstr>
      <vt:lpstr>'Ind groups contrasts'!MeanHeapSwitch</vt:lpstr>
      <vt:lpstr>'Robust two'!nam1two</vt:lpstr>
      <vt:lpstr>'Robust two'!nam2two</vt:lpstr>
      <vt:lpstr>'Robust two'!nam3two</vt:lpstr>
      <vt:lpstr>'Robust two'!namtwo</vt:lpstr>
      <vt:lpstr>'Robust two'!None</vt:lpstr>
      <vt:lpstr>'Robust two'!Ntwo</vt:lpstr>
      <vt:lpstr>'One correlation'!parkr2</vt:lpstr>
      <vt:lpstr>'Two correlations'!parkrtwo</vt:lpstr>
      <vt:lpstr>'Two proportions'!parkrtwo</vt:lpstr>
      <vt:lpstr>'One correlation'!parkrz</vt:lpstr>
      <vt:lpstr>'One proportion'!parkrz</vt:lpstr>
      <vt:lpstr>'One proportion'!putoneprop</vt:lpstr>
      <vt:lpstr>'Two proportions'!puttwoprop</vt:lpstr>
      <vt:lpstr>'Two proportions'!revchi</vt:lpstr>
      <vt:lpstr>'Robust two'!revdatatwo</vt:lpstr>
      <vt:lpstr>'See r'!rseed</vt:lpstr>
      <vt:lpstr>'One correlation'!rtzshow</vt:lpstr>
      <vt:lpstr>'One proportion'!rtzshow</vt:lpstr>
      <vt:lpstr>'Two correlations'!rtzshow</vt:lpstr>
      <vt:lpstr>'Two proportions'!rtzshow</vt:lpstr>
      <vt:lpstr>'See r'!samplefix</vt:lpstr>
      <vt:lpstr>Scatterplots!scatd1name</vt:lpstr>
      <vt:lpstr>Scatterplots!scatd2name</vt:lpstr>
      <vt:lpstr>Scatterplots!scatd3name</vt:lpstr>
      <vt:lpstr>Scatterplots!scatd4name</vt:lpstr>
      <vt:lpstr>Scatterplots!scatd5name</vt:lpstr>
      <vt:lpstr>Scatterplots!scatd6name</vt:lpstr>
      <vt:lpstr>Scatterplots!scatdatafive</vt:lpstr>
      <vt:lpstr>Scatterplots!scatdatafour</vt:lpstr>
      <vt:lpstr>Scatterplots!scatdataone</vt:lpstr>
      <vt:lpstr>Scatterplots!scatdatasix</vt:lpstr>
      <vt:lpstr>Scatterplots!scatdatathree</vt:lpstr>
      <vt:lpstr>Scatterplots!scatdatatwo</vt:lpstr>
      <vt:lpstr>Scatterplots!scatdname</vt:lpstr>
      <vt:lpstr>Scatterplots!scatlabels</vt:lpstr>
      <vt:lpstr>Scatterplots!scatlabfive</vt:lpstr>
      <vt:lpstr>Scatterplots!scatlabfour</vt:lpstr>
      <vt:lpstr>Scatterplots!scatlabone</vt:lpstr>
      <vt:lpstr>Scatterplots!scatlabsix</vt:lpstr>
      <vt:lpstr>Scatterplots!scatlabthree</vt:lpstr>
      <vt:lpstr>Scatterplots!scatlabtwo</vt:lpstr>
      <vt:lpstr>Scatterplots!spadjsl</vt:lpstr>
      <vt:lpstr>Scatterplots!spcim</vt:lpstr>
      <vt:lpstr>Scatterplots!spparticx</vt:lpstr>
      <vt:lpstr>Scatterplots!spregl</vt:lpstr>
      <vt:lpstr>Scatterplots!spxy</vt:lpstr>
      <vt:lpstr>Scatterplots!spyerr</vt:lpstr>
      <vt:lpstr>Scatterplots!spypr</vt:lpstr>
      <vt:lpstr>'One correlation'!Stz</vt:lpstr>
      <vt:lpstr>'One proportion'!Stz</vt:lpstr>
      <vt:lpstr>'Two correlations'!Stz</vt:lpstr>
      <vt:lpstr>'Two proportions'!Stz</vt:lpstr>
      <vt:lpstr>'One correlation'!Stzz</vt:lpstr>
      <vt:lpstr>'One proportion'!Stzz</vt:lpstr>
      <vt:lpstr>'Two correlations'!Stzz</vt:lpstr>
      <vt:lpstr>'Two proportions'!Stzz</vt:lpstr>
      <vt:lpstr>'Ind groups 2 x 2'!sumall</vt:lpstr>
      <vt:lpstr>'Ind groups comparisons'!sumall</vt:lpstr>
      <vt:lpstr>'Ind groups contrasts'!sumall</vt:lpstr>
      <vt:lpstr>'Ind groups 2 x 2'!sumdata</vt:lpstr>
      <vt:lpstr>'Ind groups comparisons'!sumdata</vt:lpstr>
      <vt:lpstr>'Ind groups contrasts'!sumdata</vt:lpstr>
      <vt:lpstr>sumdataa</vt:lpstr>
      <vt:lpstr>sumdatab</vt:lpstr>
      <vt:lpstr>'Ind groups 2 x 2'!sumformulas</vt:lpstr>
      <vt:lpstr>'Ind groups comparisons'!sumformulas</vt:lpstr>
      <vt:lpstr>'Ind groups contrasts'!sumformulas</vt:lpstr>
      <vt:lpstr>sumformulasa</vt:lpstr>
      <vt:lpstr>sumformulasb</vt:lpstr>
      <vt:lpstr>'One proportion'!tbzoneprop</vt:lpstr>
      <vt:lpstr>'Two proportions'!tbztwoprop</vt:lpstr>
      <vt:lpstr>'See r'!tochange</vt:lpstr>
      <vt:lpstr>Scatterplots!tweak</vt:lpstr>
      <vt:lpstr>'See r'!tweak</vt:lpstr>
      <vt:lpstr>'Robust two'!un1two</vt:lpstr>
      <vt:lpstr>'Robust two'!un2two</vt:lpstr>
      <vt:lpstr>'Robust two'!un3two</vt:lpstr>
      <vt:lpstr>'Robust two'!untwo</vt:lpstr>
      <vt:lpstr>'One proportion'!xandn</vt:lpstr>
      <vt:lpstr>'Ind groups 2 x 2'!XRend</vt:lpstr>
      <vt:lpstr>'Ind groups comparisons'!XRend</vt:lpstr>
      <vt:lpstr>'Ind groups contrasts'!XRend</vt:lpstr>
      <vt:lpstr>'Ind groups 2 x 2'!Xscaleunit</vt:lpstr>
      <vt:lpstr>'Ind groups comparisons'!Xscaleunit</vt:lpstr>
      <vt:lpstr>'Ind groups contrasts'!Xscaleunit</vt:lpstr>
      <vt:lpstr>'Two proportions'!xxandnn</vt:lpstr>
      <vt:lpstr>Scatterplots!xydata</vt:lpstr>
      <vt:lpstr>'Ind groups 2 x 2'!Yaxmax</vt:lpstr>
      <vt:lpstr>'Ind groups comparisons'!Yaxmax</vt:lpstr>
      <vt:lpstr>'Ind groups contrasts'!Yaxmax</vt:lpstr>
      <vt:lpstr>'One proportion'!zoneprop</vt:lpstr>
      <vt:lpstr>'Two proportions'!ztwoprop</vt:lpstr>
    </vt:vector>
  </TitlesOfParts>
  <Company>La Trobe University</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Geoff Cumming</dc:creator>
  <cp:lastModifiedBy>Geoff Cumming</cp:lastModifiedBy>
  <dcterms:created xsi:type="dcterms:W3CDTF">2005-03-30T10:19:15Z</dcterms:created>
  <dcterms:modified xsi:type="dcterms:W3CDTF">2016-01-09T01:18:31Z</dcterms:modified>
</cp:coreProperties>
</file>